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ounter Sheet" sheetId="1" r:id="rId5"/>
    <sheet state="visible" name=" Encounter Balance Calculator" sheetId="2" r:id="rId6"/>
    <sheet state="visible" name="References" sheetId="3" r:id="rId7"/>
    <sheet state="hidden" name="Combatant Category Data" sheetId="4" r:id="rId8"/>
    <sheet state="hidden" name="Item Data" sheetId="5" r:id="rId9"/>
    <sheet state="hidden" name="Attack Data" sheetId="6" r:id="rId10"/>
    <sheet state="hidden" name="FeatureTalent Data" sheetId="7" r:id="rId11"/>
    <sheet state="hidden" name="OrderTechnique Data" sheetId="8" r:id="rId12"/>
    <sheet state="hidden" name="Ability Data" sheetId="9" r:id="rId13"/>
    <sheet state="hidden" name="Misc Data" sheetId="10" r:id="rId14"/>
    <sheet state="hidden" name="Role Data" sheetId="11" r:id="rId15"/>
    <sheet state="hidden" name="Poke Data" sheetId="12" r:id="rId16"/>
    <sheet state="hidden" name="Poke Skills" sheetId="13" r:id="rId17"/>
    <sheet state="hidden" name="Calculations" sheetId="14" r:id="rId18"/>
    <sheet state="visible" name="Homebrew Sheet"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Write down any information you need to keep track of that may occur this Scene! This can include Environmental modifiers, existing Blessings on the field or Objectives your Characters need to complete!</t>
      </text>
    </comment>
    <comment authorId="0" ref="D6">
      <text>
        <t xml:space="preserve">See the Reference Page for a Reference on Rules for each Combatant Category</t>
      </text>
    </comment>
    <comment authorId="0" ref="C8">
      <text>
        <t xml:space="preserve">Special Bonuses
Combat Pairs they're in
Temporary Modifiers
Items they're affected by
Clash Trainer Perks
Features names they have
etc
</t>
      </text>
    </comment>
    <comment authorId="0" ref="C9">
      <text>
        <t xml:space="preserve">Status Afflictions they're' affected by. Conditions they're affected by.
</t>
      </text>
    </comment>
    <comment authorId="0" ref="D11">
      <text>
        <t xml:space="preserve">See the Reference Page for a Reference on Rules for each Combatant Category</t>
      </text>
    </comment>
    <comment authorId="0" ref="C13">
      <text>
        <t xml:space="preserve">Special Bonuses
Combat Pairs they're in
Temporary Modifiers
Items they're affected by
Clash Trainer Perks
Features names they have
etc
</t>
      </text>
    </comment>
    <comment authorId="0" ref="C14">
      <text>
        <t xml:space="preserve">Status Afflictions they're' affected by. Conditions they're affected by.
</t>
      </text>
    </comment>
    <comment authorId="0" ref="D16">
      <text>
        <t xml:space="preserve">See the Reference Page for a Reference on Rules for each Combatant Category</t>
      </text>
    </comment>
    <comment authorId="0" ref="C18">
      <text>
        <t xml:space="preserve">Special Bonuses
Combat Pairs they're in
Temporary Modifiers
Items they're affected by
Clash Trainer Perks
Features names they have
etc
</t>
      </text>
    </comment>
    <comment authorId="0" ref="C19">
      <text>
        <t xml:space="preserve">Status Afflictions they're' affected by. Conditions they're affected by.
</t>
      </text>
    </comment>
    <comment authorId="0" ref="D21">
      <text>
        <t xml:space="preserve">See the Reference Page for a Reference on Rules for each Combatant Category</t>
      </text>
    </comment>
    <comment authorId="0" ref="C23">
      <text>
        <t xml:space="preserve">Special Bonuses
Combat Pairs they're in
Temporary Modifiers
Items they're affected by
Clash Trainer Perks
Features names they have
etc
</t>
      </text>
    </comment>
    <comment authorId="0" ref="C24">
      <text>
        <t xml:space="preserve">Status Afflictions they're' affected by. Conditions they're affected by.
</t>
      </text>
    </comment>
    <comment authorId="0" ref="D26">
      <text>
        <t xml:space="preserve">See the Reference Page for a Reference on Rules for each Combatant Category</t>
      </text>
    </comment>
    <comment authorId="0" ref="C28">
      <text>
        <t xml:space="preserve">Special Bonuses
Combat Pairs they're in
Temporary Modifiers
Items they're affected by
Clash Trainer Perks
Features names they have
etc
</t>
      </text>
    </comment>
    <comment authorId="0" ref="C29">
      <text>
        <t xml:space="preserve">Status Afflictions they're' affected by. Conditions they're affected by.
</t>
      </text>
    </comment>
    <comment authorId="0" ref="D31">
      <text>
        <t xml:space="preserve">See the Reference Page for a Reference on Rules for each Combatant Category</t>
      </text>
    </comment>
    <comment authorId="0" ref="C33">
      <text>
        <t xml:space="preserve">Special Bonuses
Combat Pairs they're in
Temporary Modifiers
Items they're affected by
Clash Trainer Perks
Features names they have
etc
</t>
      </text>
    </comment>
    <comment authorId="0" ref="C34">
      <text>
        <t xml:space="preserve">Status Afflictions they're' affected by. Conditions they're affected by.
</t>
      </text>
    </comment>
    <comment authorId="0" ref="D36">
      <text>
        <t xml:space="preserve">See the Reference Page for a Reference on Rules for each Combatant Category</t>
      </text>
    </comment>
    <comment authorId="0" ref="C38">
      <text>
        <t xml:space="preserve">Special Bonuses
Combat Pairs they're in
Temporary Modifiers
Items they're affected by
Clash Trainer Perks
Features names they have
etc
</t>
      </text>
    </comment>
    <comment authorId="0" ref="C39">
      <text>
        <t xml:space="preserve">Status Afflictions they're' affected by. Conditions they're affected by.
</t>
      </text>
    </comment>
    <comment authorId="0" ref="D41">
      <text>
        <t xml:space="preserve">See the Reference Page for a Reference on Rules for each Combatant Category</t>
      </text>
    </comment>
    <comment authorId="0" ref="C43">
      <text>
        <t xml:space="preserve">Special Bonuses
Combat Pairs they're in
Temporary Modifiers
Items they're affected by
Clash Trainer Perks
Features names they have
etc
</t>
      </text>
    </comment>
    <comment authorId="0" ref="C44">
      <text>
        <t xml:space="preserve">Status Afflictions they're' affected by. Conditions they're affected by.
</t>
      </text>
    </comment>
    <comment authorId="0" ref="D46">
      <text>
        <t xml:space="preserve">See the Reference Page for a Reference on Rules for each Combatant Category</t>
      </text>
    </comment>
    <comment authorId="0" ref="C48">
      <text>
        <t xml:space="preserve">Special Bonuses
Combat Pairs they're in
Temporary Modifiers
Items they're affected by
Clash Trainer Perks
Features names they have
etc
</t>
      </text>
    </comment>
    <comment authorId="0" ref="C49">
      <text>
        <t xml:space="preserve">Status Afflictions they're' affected by. Conditions they're affected by.
</t>
      </text>
    </comment>
    <comment authorId="0" ref="D51">
      <text>
        <t xml:space="preserve">See the Reference Page for a Reference on Rules for each Combatant Category</t>
      </text>
    </comment>
    <comment authorId="0" ref="C53">
      <text>
        <t xml:space="preserve">Special Bonuses
Combat Pairs they're in
Temporary Modifiers
Items they're affected by
Clash Trainer Perks
Features names they have
etc
</t>
      </text>
    </comment>
    <comment authorId="0" ref="C54">
      <text>
        <t xml:space="preserve">Status Afflictions they're' affected by. Conditions they're affected by.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
      <text>
        <t xml:space="preserve">Use to calculate how many points the base version of the trainer should add to Trainer points. (Additional points like Boss HP Bars should be add on top of the value)</t>
      </text>
    </comment>
    <comment authorId="0" ref="E8">
      <text>
        <t xml:space="preserve">Use to calculate how many points the base version of the pkmn should add to Pkmn points. (Additional points like Boss HP Bars should be add on top of the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2">
      <text>
        <t xml:space="preserve">Core Import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2">
      <text>
        <t xml:space="preserve">Core Import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Metronome Check</t>
      </text>
    </comment>
  </commentList>
</comments>
</file>

<file path=xl/sharedStrings.xml><?xml version="1.0" encoding="utf-8"?>
<sst xmlns="http://schemas.openxmlformats.org/spreadsheetml/2006/main" count="473" uniqueCount="313">
  <si>
    <t>GM Encounter Sheet</t>
  </si>
  <si>
    <t>Round #</t>
  </si>
  <si>
    <t>Scene Notes</t>
  </si>
  <si>
    <t>Active Combatant List</t>
  </si>
  <si>
    <t>Light Screen x2</t>
  </si>
  <si>
    <t>Enemy 1</t>
  </si>
  <si>
    <t>Combatant Name</t>
  </si>
  <si>
    <t>Combatant Category</t>
  </si>
  <si>
    <t>Current HP</t>
  </si>
  <si>
    <t>Link to full Character Sheet</t>
  </si>
  <si>
    <t>Mismagius</t>
  </si>
  <si>
    <t>Boss (Alpha)</t>
  </si>
  <si>
    <t>Current Buffs &amp; Notes</t>
  </si>
  <si>
    <t># of HP Bars Remaining</t>
  </si>
  <si>
    <t>Current Debuffs</t>
  </si>
  <si>
    <t>Dazed</t>
  </si>
  <si>
    <t>Turns left this Round</t>
  </si>
  <si>
    <t>Enemy 2</t>
  </si>
  <si>
    <t>Golett 1</t>
  </si>
  <si>
    <t>Enemy 3</t>
  </si>
  <si>
    <t>Gollet 2</t>
  </si>
  <si>
    <t>Offensive</t>
  </si>
  <si>
    <t>Mini Damage Calculator</t>
  </si>
  <si>
    <t>Enemy 4</t>
  </si>
  <si>
    <t>Starting HP</t>
  </si>
  <si>
    <t>Damage Dealt</t>
  </si>
  <si>
    <t>Resolving HP</t>
  </si>
  <si>
    <t>Gollet 3</t>
  </si>
  <si>
    <t>Attack's Effectiveness</t>
  </si>
  <si>
    <t>Relevant Defense Stat</t>
  </si>
  <si>
    <t>Damage Reduction</t>
  </si>
  <si>
    <t>Enemy 5</t>
  </si>
  <si>
    <t>Shuppet 1</t>
  </si>
  <si>
    <t>Type Effectivness Calculator</t>
  </si>
  <si>
    <t>Enemy 6</t>
  </si>
  <si>
    <t>Attack Type</t>
  </si>
  <si>
    <t>Defender Type 1</t>
  </si>
  <si>
    <t>Defender Type 2</t>
  </si>
  <si>
    <t>Shuppet 2</t>
  </si>
  <si>
    <t>Enemy 7</t>
  </si>
  <si>
    <t>Shuppet 3</t>
  </si>
  <si>
    <t>Drowsy</t>
  </si>
  <si>
    <t>Enemy 8</t>
  </si>
  <si>
    <t>Portal 1/2/3</t>
  </si>
  <si>
    <t>Enemy 9</t>
  </si>
  <si>
    <t>Enemy 10</t>
  </si>
  <si>
    <t>Encounter Balance</t>
  </si>
  <si>
    <t>Allies</t>
  </si>
  <si>
    <t>Enemies</t>
  </si>
  <si>
    <t>Trainer points</t>
  </si>
  <si>
    <t>Trainer lvl</t>
  </si>
  <si>
    <t>Advantages</t>
  </si>
  <si>
    <t>Pkmn points</t>
  </si>
  <si>
    <t>Pkmn max lvl</t>
  </si>
  <si>
    <t>Disavantages</t>
  </si>
  <si>
    <t>Pkmn lvl</t>
  </si>
  <si>
    <t>Balance:</t>
  </si>
  <si>
    <t>Ally Total</t>
  </si>
  <si>
    <t>Trainer value</t>
  </si>
  <si>
    <t>Pkmn Value</t>
  </si>
  <si>
    <t>Enemy Total</t>
  </si>
  <si>
    <t>Combatant Category Reference</t>
  </si>
  <si>
    <t>Name</t>
  </si>
  <si>
    <t>Combatant Rules</t>
  </si>
  <si>
    <t>Boss Perks</t>
  </si>
  <si>
    <t>Boss Perk Reference</t>
  </si>
  <si>
    <t>Boss Perk Rules</t>
  </si>
  <si>
    <t>Surge Token Reference</t>
  </si>
  <si>
    <t>Surge Token Rules</t>
  </si>
  <si>
    <t>Stance Reference</t>
  </si>
  <si>
    <t>Stance Effect</t>
  </si>
  <si>
    <t>Break Condition</t>
  </si>
  <si>
    <t>Lair Action Reference</t>
  </si>
  <si>
    <t>Lair Action Rules</t>
  </si>
  <si>
    <t>Example</t>
  </si>
  <si>
    <t>Attack Reference</t>
  </si>
  <si>
    <t>Type</t>
  </si>
  <si>
    <t>Category</t>
  </si>
  <si>
    <t>Frequency</t>
  </si>
  <si>
    <t>Range</t>
  </si>
  <si>
    <t>AC | DB</t>
  </si>
  <si>
    <t>Effect</t>
  </si>
  <si>
    <t>Role Reference</t>
  </si>
  <si>
    <t>Rank 1 Effect</t>
  </si>
  <si>
    <t>Rank 2 Effect</t>
  </si>
  <si>
    <t>Status &amp; Condition Reference</t>
  </si>
  <si>
    <t>Effects</t>
  </si>
  <si>
    <t>Suppressed</t>
  </si>
  <si>
    <t>Capability Reference</t>
  </si>
  <si>
    <t>Maneuver Reference</t>
  </si>
  <si>
    <t>Action</t>
  </si>
  <si>
    <t>Target</t>
  </si>
  <si>
    <t>AC</t>
  </si>
  <si>
    <t>Keyword Reference</t>
  </si>
  <si>
    <t>Terrain Type &amp; Environment Reference</t>
  </si>
  <si>
    <t>Item Reference</t>
  </si>
  <si>
    <t>Rules</t>
  </si>
  <si>
    <t>Perks</t>
  </si>
  <si>
    <t xml:space="preserve">1. Alpha Pokemon are always 5 Levels higher than your Player’s Maximum Pokemon Level. If their Maximum level is 40 or higher, this is instead 10 Levels. If these Pokemon are captured, they are reverted to the Player’s Maximum Pokemon Level.  
2. Alpha Pokemon will have multiple Health Bars. If there are 1-2 Players in the Party, they have 2. If there are 3+ Players, they have 3. Whenever they would faint, they instead revert to their Maximum Hit Point value with the damage not carrying over, then they lose one of their Health Bars. This is considered a “Bar Break”. 
3. Alpha Pokemon may have multiple Turns, equal to the number of Players in the opposing Party. 
4. Alpha Pokemon have 8 Attack Slots by default instead of 6. 
5. Effects that reference, Start of Turn, Per Turn, or End of Turn, only occur once per Round on their first applicable turn where they could occur, regardless of the number of turns they have. Additionally, Save Checks can only occur on the Boss’s last Turn in a Round unless provoked by an outside source such as the Help Maneuver. 
6. Boss Pokemon also may perform Boss Perks, listed below, once at the start of a Scene and twice each time a Bar Break would occur and they don’t faint as a result. </t>
  </si>
  <si>
    <t>1. Choose two different Combat Values below to gain +1 (Modifier or CS) in or reset to their Default Value: Any Stat except HP, Accuracy, Critical Hit Range, Effect Range, Save Checks.
2. The Boss is cured (or removes) of two of the following options: A Status Affliction, A Coat, A Condition other than Fainted. 
3. The Boss gains a Surge Token or two if there are 3+ Players in the opposing Party. 
4. The Boss may enter a Stance. This can only occur once per Scene. 
5. The Boss may use a Lair Action.
6. The Boss may transform into a different form that you have prepared. Cannot be used at the start of Combat.</t>
  </si>
  <si>
    <t>Boss (Guardian)</t>
  </si>
  <si>
    <t xml:space="preserve">1. Guardian Pokemon are instead always +10 Levels higher than your Player’s Maximum Pokemon Level. If they are Tier 3, this is instead 20 Levels.
2. Guardian Pokemon will have multiple Health Bars. If there are 1-2 Players in the Party, they have 2. If there are 3+ Players, they have 3. Whenever they would faint, they instead revert to their Maximum Hit Point value with the damage not carrying over, then they lose one of their Health Bars. This is considered a “Bar Break”. 
3. Guardian Pokemon may have multiple Turns, equal to the number of Players in the opposing Party. 
4. Guardian Pokemon instead have 10 Attack Slots and may choose any Attack from their Tutor Lists to gain, ignoring Pokemon Advancement. 
5. Effects that reference, Start of Turn, Per Turn, or End of Turn, only occur once per Round on their first applicable turn where they could occur, regardless of the number of turns they have. Additionally, Save Checks can only occur on the Boss’s last Turn in a Round unless provoked by an outside source such as the Help Maneuver. 
6. Boss Pokemon also may perform Boss Perks, listed below, once at the start of a Scene and twice each time a Bar Break would occur and they don’t faint as a result. At the end of each Round, the Guardian may use a Boss Perk. We recommend this be used mostly for Lair Actions.
7. At Level 30 Advancement, Guardians gain both an Ability and the 2nd Rank of their Role, instead of choosing between the two. </t>
  </si>
  <si>
    <t>Boss (Swarm)</t>
  </si>
  <si>
    <t xml:space="preserve">1. Instead of Statting multiple Pokemon, a Swarm Pokemon has one Character Sheet representing the entire Swarm. 
2. The Swarm will have a number of Turns equal to the number of Players in the Opposing Party +1. 
3. Whenever the Swarm Pokemon hits 0 HP, they instead permanently lose a Turn, then reset to 100% Hit Points. When they have no Turns remaining, the Swarm faints. 
4. Swarm Pokemon do not have Battle Attack Lists, and instead may use any Attack they can learn.
5. Swarm Pokemon do not have Pokemon Roles, instead, each time they would gain an Ability from Pokemon Progression, they instead gain two. 
6. There will be a number of tokens to represent on the Swarm equal to the number of Turns they currently have. These are all treated as different combatants. If multiple tokens would be targeted by the same Attack, it doesn't deal damage or apply the effect twice, but instead is treated as one step more effective. </t>
  </si>
  <si>
    <t>--</t>
  </si>
  <si>
    <t>Minion (Offensive)</t>
  </si>
  <si>
    <t>1. Minions start with 3 Hit Points. Minions cannot lose hit points outside of listed methods here. They cannot restore Hit Points and cannot gain Temporary Hit Points. When Minions lose a Tick of Hit Points, they lose -1 Hit Point. Whenever they’re hit with a Damaging Attack, they lose -1 Hit Point but they lose an additional Hit Point per condition they meet: the Attack was Super Effective, 1-Target, or a Critical Hit.
2. Minions can use any Attack from their Level-Up or Tutor List, provided their level is high enough. If you stat a Minion before an Encounter, you may choose to instead have Minions only have a maximum of 3 Attacks.
3. The Level of all Minions are 5 less than the Maximum Pokemon Level of the Party.
4. Minions cannot perform Save Checks to cure the effects of Afflictions.                                                                                                                                                                                                                                     5. The Minion can use Damaging Attacks with the At-Will or EOT Frequency. Their Offensive Stat for Damage Calculations is equal to their Level. 
6. The Minion can use Tactic Maneuvers. Swift Action Maneuvers are instead Standard Actions.</t>
  </si>
  <si>
    <t>Minion (Defensive)</t>
  </si>
  <si>
    <t>1. Minions start with 3 Hit Points. Minions cannot lose hit points outside of listed methods here. They cannot restore Hit Points and cannot gain Temporary Hit Points. When Minions lose a Tick of Hit Points, they lose -1 Hit Point. Whenever they’re hit with a Damaging Attack, they lose -1 Hit Point but they lose an additional Hit Point per condition they meet: the Attack was Super Effective, 1-Target, or a Critical Hit.
2. Minions can use any Attack from their Level-Up or Tutor List, provided their level is high enough. If you stat a Minion before an Encounter, you may choose to instead have Minions only have a maximum of 3 Attacks.
3. The Level of all Minions are 5 less than the Maximum Pokemon Level of the Party.
4. Minions cannot perform Save Checks to cure the effects of Afflictions. 
5. The Minion can use Status Attacks with the At-Will Frequency without the Shield Keyword. 
6. The Minions can use the Defend, Provoke and Intercept Maneuver. </t>
  </si>
  <si>
    <t>Minion (Supportive)</t>
  </si>
  <si>
    <t>1. Minions start with 3 Hit Points. Minions cannot lose hit points outside of listed methods here. They cannot restore Hit Points and cannot gain Temporary Hit Points. When Minions lose a Tick of Hit Points, they lose -1 Hit Point. Whenever they’re hit with a Damaging Attack, they lose -1 Hit Point but they lose an additional Hit Point per condition they meet: the Attack was Super Effective, 1-Target, or a Critical Hit.
2. Minions can use any Attack from their Level-Up or Tutor List, provided their level is high enough. If you stat a Minion before an Encounter, you may choose to instead have Minions only have a maximum of 3 Attacks.
3. The Level of all Minions are 5 less than the Maximum Pokemon Level of the Party.
4. Minions cannot perform Save Checks to cure the effects of Afflictions. 
5. The Minion can use Status Attacks without the Shield Keyword or Scene x1 Frequency. 
6. The Minion can use the Help Maneuver and Manipulate Maneuvers. </t>
  </si>
  <si>
    <t>Pokemon</t>
  </si>
  <si>
    <t>Trainer</t>
  </si>
  <si>
    <t>NPC</t>
  </si>
  <si>
    <t>Surge Token</t>
  </si>
  <si>
    <t>In order to even the scales of an Encounter, you could grant your Boss Surge Tokens either as a Boss Perk when they lose HP Bars or through special occasions such as an Environmental Conduit granting Surge Tokens while they’re active. Bosses can expend a Surge Token to perform any of the following as a Free Action either on their Turn, at the end of any Turn, or when it would be triggered (Such as using it for an Intercept Maneuver)</t>
  </si>
  <si>
    <t>Stance</t>
  </si>
  <si>
    <r>
      <rPr>
        <rFont val="Arial"/>
        <color theme="1"/>
        <sz val="9.0"/>
      </rPr>
      <t xml:space="preserve">Sometimes Bosses enter a certain Stance that empowers them in a specific way, but also has the chance to leave them vulnerable if a weakness is exploited, leaving it as a high risk for higher output option. Each Stance has an </t>
    </r>
    <r>
      <rPr>
        <rFont val="Arial"/>
        <b/>
        <color theme="1"/>
        <sz val="9.0"/>
      </rPr>
      <t>Effect</t>
    </r>
    <r>
      <rPr>
        <rFont val="Arial"/>
        <color theme="1"/>
        <sz val="9.0"/>
      </rPr>
      <t xml:space="preserve"> and a </t>
    </r>
    <r>
      <rPr>
        <rFont val="Arial"/>
        <b/>
        <color theme="1"/>
        <sz val="9.0"/>
      </rPr>
      <t>Break Condition</t>
    </r>
    <r>
      <rPr>
        <rFont val="Arial"/>
        <color theme="1"/>
        <sz val="9.0"/>
      </rPr>
      <t xml:space="preserve">. During their current Health Bar, they will have the Effect of the Stance applied to them. When they lose an HP Bar, they automatically lose their Stance’s Effects, however if the Break Condition occurs, they lose their Stance’s Effects and they become Vulnerable until the end of the next Round. </t>
    </r>
  </si>
  <si>
    <t>Lair Action</t>
  </si>
  <si>
    <t xml:space="preserve">Lair Actions can be done easily by Guardians but sometimes by regular bosses in order to show that the environment is alive and often dangerous. Whenever you wish to perform a Lair Action, choose something from the Lair Action references below to enable on the Scene. These are just examples however and you can create your own effects if desired based on the environment your Players are in and what they’re facing. </t>
  </si>
  <si>
    <t>Damaging Attack</t>
  </si>
  <si>
    <t>Expend a Surge Token to perform a Damaging Attack. This Attack is resisted by an additional damage step, but this can be ignored if the Attack only has one Target or if another Surger Token is expended</t>
  </si>
  <si>
    <t>Status Attack</t>
  </si>
  <si>
    <t xml:space="preserve">Expend a Surge Token to perform a Status Attack. This Attack cannot have a range of “Self or Shield”. The Frequency of an Attack used this way is not expended. </t>
  </si>
  <si>
    <t>Maneuver</t>
  </si>
  <si>
    <t xml:space="preserve">Expend a Surge Token to perform a Maneuver. This Maneuver cannot be an Attack of Opportunity, Riposte or Respite. If they use the Help Maneuver, it ignores its restrictions. </t>
  </si>
  <si>
    <t>Resist Attack</t>
  </si>
  <si>
    <t xml:space="preserve">Expend a Surge Token to resist an Attack by an additional damage step. However, the boss's next Swift Action is expended. </t>
  </si>
  <si>
    <t>Save Check</t>
  </si>
  <si>
    <t xml:space="preserve">Expend a Surge Token to perfrom a Save Check. However, the boss's next Swift Action is Expended. </t>
  </si>
  <si>
    <t>Frenzied</t>
  </si>
  <si>
    <t>The Boss immediately becomes Enraged and cannot be cured of it while affected by this Stance. The user’s Damaging Attacks all gain the Smite Keyword and their Critical Hit Range is increased by +2.</t>
  </si>
  <si>
    <t>The Stance is broken when the Boss misses two Attacks or causes one of their enemies to faint.</t>
  </si>
  <si>
    <t>Shielded</t>
  </si>
  <si>
    <t>The Boss gains 5 Ticks of Temporary Hit Points and then becomes one step more resistant to all Physical or Special Category Attacks, depending on which of their Defense Stats are higher (choose on tie).</t>
  </si>
  <si>
    <t>The Stance is broken when the Boss loses all Temporary Hit Points gained this way or has their higher Defense Stat lowered to a negative CS Value</t>
  </si>
  <si>
    <t>Unyielding</t>
  </si>
  <si>
    <t>When the Boss enters an Unyielding Stance, they choose a Player to become their Rival (All their Pokemon are also treated as Rivals). Whenever the Boss Attacks a Rival, they have a +3 to Accuracy, ignore Damage Reduction and can’t have their Attacks resisted by the Rival by any means.</t>
  </si>
  <si>
    <t>The Stance is broken if a Rival of the Boss inflicts a Critical Hit against the Boss or avoids two Attacks.</t>
  </si>
  <si>
    <t>Charging</t>
  </si>
  <si>
    <t>While in this Stance, as a Swift Action, they gain +1 Charge Token. Whenever they’re hit by a Critical Hit or gain an Affliction, they lose a Charge Token. At the end of the Round, if they have at least one Charge Token, they expend all Charge Tokens and may use a Damaging Attack as a Free Action. For each Charge Token expended, they gain a benefit listed below:
» The Attack gains +3 DB
» The Attack gains the Smite Keyword or Sureshot if it already has Smite. 
» The Attack increases its Area of Effect by +1</t>
  </si>
  <si>
    <t>The Stance automatically breaks after the resolution of the Attack used with the expended Charge Tokens or the end of the Round if they’re unable to use the Attack. The Stance is also considered to be broken if they lose their HP Bar before they would resolve this Attack.</t>
  </si>
  <si>
    <t>Desperate</t>
  </si>
  <si>
    <t>When the Boss enters the Desperate Stance, a Minion enters the Field for each opposing Player. Whenever the Boss would start their Turn, instead, two Minions may act or they may add another Minion to the Encounter.</t>
  </si>
  <si>
    <t>The Stance breaks when a number of Minions equal to double the number of Players in the opposing Party faint. After this Stance breaks, all Minions flee the Encounter.</t>
  </si>
  <si>
    <t>Regenerative</t>
  </si>
  <si>
    <t>The user has a +3 bonus to Save Checks and at the end of their Turns (Ignoring the end of Turn rule), they restore two Ticks of Hit Points or gain a Tick of Temporary Hit Points.</t>
  </si>
  <si>
    <t>The Stance breaks when the Boss is hit by a Critical Hit, recovers at least 8 Ticks of Hit Points, or recovers from at least 2 Status Afflictions while in the Stance.</t>
  </si>
  <si>
    <t>Area Retaliation</t>
  </si>
  <si>
    <t xml:space="preserve">Choose one Attack on the Boss’s Battle Attack List or an Attack that would make sense to come from the environment. Then choose either three 3x3 Zones or a 5x5 Zone, or whatever other Zone would make sense for the trigger (These Zones are visible to all Combatants). At the end of the next Round or upon a Trigger being fulfilled, the chosen Attack is used as a Free Action, Targeting all Combatants or Enemies of the Boss within the chosen Zones. If it was chosen from the Boss’s list of Attacks, it ignores Frequency and uses their Offensive Stat. Otherwise it follows the Environmental Damage rules under “Other Damage Types”. </t>
  </si>
  <si>
    <t>A wild jungle causes vines to whiplash in five “Line 4” Ranges, each using the Power Whip Attack. A loud Exploud causes Stalactites to fall from the ceiling in three 3x3 Zones with the Rock Slide Attack.</t>
  </si>
  <si>
    <t>Attack Blowback</t>
  </si>
  <si>
    <t xml:space="preserve">A delayed change in the environment has occurred based on something that happened during this Round. Resolving the effects of this blowback should use a Standard action or Swift Action if resourceful. </t>
  </si>
  <si>
    <t>A machine overloads from a missed thunderbolt causing anyone who ends their turn adjacent to it to become Paralyzed, trees catching on fire from a flamethrower leading to an area of effect of Fire Hazards or a draco meteor landing on a grassland causing a cloud of pollen to haze the field, leading to a -2 to Accuracy for a Round.</t>
  </si>
  <si>
    <t>Battlefield Alteration</t>
  </si>
  <si>
    <t xml:space="preserve">The Battlefield has been altered somehow. One Effect enters the field or alters the terrain that either affects all Combatants, harms the Player’s Party or benefits the Boss’s Party. This usually is either Terrain being changed, Blessings entering the field or the Weather changing. </t>
  </si>
  <si>
    <t>The Weather changes to Thunderstorm. A Nidoking’s rampage leads to a lot of earthen blocking terrain being created on the field on a labyrinth pattern. Psionic aura created by an Alakazam lead to a protective aura on its allies, leading to 2 Activations of the Reflect Attack.</t>
  </si>
  <si>
    <t>Environmental Conduit</t>
  </si>
  <si>
    <t xml:space="preserve">Something appears on the Battlefield that likely has a connection with the Boss and causes a passive effect while it remains undestroyed. This “Conduit” is treated as Blocking Terrain and has HP equal to 20 times the Party’s Trainer Level. Alternatively, three “Conduits” can appear but they only have HP equal to 5 Times their Trainer Level. When it is destroyed, the effects that derived from it cease. </t>
  </si>
  <si>
    <t>Three paintings in a Haunted House start to look alive and at the end of each turn unless destroyed, they roll a Luck Check and on a 5 or under, they Curse someone within 3m of them. A massive generator starts to stir, creating a psychic aura that makes all Psychic Attacks have the Sureshot Keyword unless destroyed and increases in power each round. The Boss creates a crystal that gives it Immunity to Dark Type Damage while active.</t>
  </si>
  <si>
    <t>Fleeting Catastrophe</t>
  </si>
  <si>
    <t xml:space="preserve">Something has occurred on the battlefield that doesn’t have any immediate impact but if not dealt with somehow, it will cause something to occur at the end of the next round or a timer of your discretion. The result from this Catastrophe not being resolved could be another Lair Action but with more drastic impact. Resolving this Catastrophe should use a Standard action or Swift Action if resourceful. </t>
  </si>
  <si>
    <t>A generator starts to fizz and spark looking like it’ll explode. If the Party doesn’t destroy it before it explodes or stops the explosion, it’ll cause a Burst 2 Electric Special Attack with Massive Damage. Alternatively they could use it to their advantage and slide an enemy into its range! A Forest Fire is beginning and will double in Fire Hazards every round its not extinguished.</t>
  </si>
  <si>
    <t>Reactive Battlefield</t>
  </si>
  <si>
    <t xml:space="preserve">Something has occurred in the scene that requires a quick reaction from a Combatant in order to stave off its negative effects. Designate a Combatant or a maximum of a 3x3 Zone to be affected by this Lair Action. They then must perform a Luck Roll with a Modifier of their Skill Rank in a Skill allowed by the GM and a DC of 12. If they fail this Luck Roll, they’re affected by the negative effect, usually gaining a Status Affliction or Conditions or temporary penalty. The Modifier can be doubled before rolling as a Swift Action, Priority (Advanced). If it makes sense to, the Combatant can add an appropriate Skill Rank as a modifier to this Luck Roll. </t>
  </si>
  <si>
    <t>A cloud of dark smoke looms towards a Player that Suppresses them on a failed roll, they can use Occult Edu as their Skill Modifier or Intuition to determine the weird nature of the smoke. The earth shifts under a 2x2 zone from an Earthquake and on a failed roll they are Tripped, they can use Acrobatics as their Skill Modifier to represent their nimbleness.</t>
  </si>
  <si>
    <t>Reinforcements</t>
  </si>
  <si>
    <t xml:space="preserve">A Path has opened on the battlefield in which Pokemon that are allied to the Boss can enter the field. A Minion (Or two if there are 3+ Players in the Party) enters the Field when this Lair Action is used and at the end of every subsequent Round this isn’t resolved. Resolving this Lair Action should use a Standard action or Swift Action if resourceful. </t>
  </si>
  <si>
    <t>A rift in space is opened and a Solrock comes out. The player’s Metagross attacks the portal with a Psychic and it fizzles out. Goomy start to wander out of a swamp lake. The player’s Pangoro stands nearby the lake and uses a Swift Action to intimidate and stave off any other goomy from joining the encounter.</t>
  </si>
  <si>
    <t>Valuables</t>
  </si>
  <si>
    <t>Valuables Effect</t>
  </si>
  <si>
    <t>Consumables</t>
  </si>
  <si>
    <t>Consumables Effect</t>
  </si>
  <si>
    <t>Equipment</t>
  </si>
  <si>
    <t>Equipment Effect</t>
  </si>
  <si>
    <t>Weapon List</t>
  </si>
  <si>
    <t>Armor List</t>
  </si>
  <si>
    <t>Pokemon List</t>
  </si>
  <si>
    <t>All Items</t>
  </si>
  <si>
    <t>All Effects</t>
  </si>
  <si>
    <t>Attack Name</t>
  </si>
  <si>
    <t>Class</t>
  </si>
  <si>
    <t>DB</t>
  </si>
  <si>
    <t>Versatile Effect</t>
  </si>
  <si>
    <t>Attack Tier</t>
  </si>
  <si>
    <t>Metronome</t>
  </si>
  <si>
    <t>Feat Name</t>
  </si>
  <si>
    <t>Prerequisites</t>
  </si>
  <si>
    <t>Talent Name</t>
  </si>
  <si>
    <t>Prereqs</t>
  </si>
  <si>
    <t>Freq</t>
  </si>
  <si>
    <t>Class Name</t>
  </si>
  <si>
    <t>Mechanic</t>
  </si>
  <si>
    <t>Mechanic Effect</t>
  </si>
  <si>
    <t>Order Name</t>
  </si>
  <si>
    <t>Tech Name</t>
  </si>
  <si>
    <t>Class and Type</t>
  </si>
  <si>
    <t>Maneuver Name</t>
  </si>
  <si>
    <t>Maneuver Effect</t>
  </si>
  <si>
    <t>Base Effect</t>
  </si>
  <si>
    <t>Trigger</t>
  </si>
  <si>
    <t>Keywords</t>
  </si>
  <si>
    <t>Capability</t>
  </si>
  <si>
    <t>Affliction</t>
  </si>
  <si>
    <t>Keyword</t>
  </si>
  <si>
    <t>Description</t>
  </si>
  <si>
    <t>Terrain/Weather</t>
  </si>
  <si>
    <t>Role Name</t>
  </si>
  <si>
    <t>Eligible Stats</t>
  </si>
  <si>
    <t>Pokemon:</t>
  </si>
  <si>
    <t>Type1</t>
  </si>
  <si>
    <t>Type2</t>
  </si>
  <si>
    <t>HP</t>
  </si>
  <si>
    <t>Attack</t>
  </si>
  <si>
    <t>Defense</t>
  </si>
  <si>
    <t>Special Attack</t>
  </si>
  <si>
    <t>Special Defense</t>
  </si>
  <si>
    <t>Speed</t>
  </si>
  <si>
    <t>Power</t>
  </si>
  <si>
    <t>Size</t>
  </si>
  <si>
    <t>Weight Class</t>
  </si>
  <si>
    <t>Naturewalk</t>
  </si>
  <si>
    <t>Movement 1</t>
  </si>
  <si>
    <t>Combat 1</t>
  </si>
  <si>
    <t>Narrative 1</t>
  </si>
  <si>
    <t>Evo</t>
  </si>
  <si>
    <t>Diet</t>
  </si>
  <si>
    <t xml:space="preserve">Pokemon: </t>
  </si>
  <si>
    <t>Acrobatics</t>
  </si>
  <si>
    <t>Athletics</t>
  </si>
  <si>
    <t>Charm</t>
  </si>
  <si>
    <t>Combat</t>
  </si>
  <si>
    <t>Command</t>
  </si>
  <si>
    <t>Focus</t>
  </si>
  <si>
    <t>Guile</t>
  </si>
  <si>
    <t>Intimidate</t>
  </si>
  <si>
    <t>Intuition</t>
  </si>
  <si>
    <t>Perception</t>
  </si>
  <si>
    <t>Stealth</t>
  </si>
  <si>
    <t>Gen Edu</t>
  </si>
  <si>
    <t>Med Edu</t>
  </si>
  <si>
    <t>Nature Edu</t>
  </si>
  <si>
    <t>Occult Edu</t>
  </si>
  <si>
    <t>Poké Edu</t>
  </si>
  <si>
    <t>Tech Edu</t>
  </si>
  <si>
    <t>Skill Calc</t>
  </si>
  <si>
    <t>Max Pokemon Level</t>
  </si>
  <si>
    <t>Type Chart D v / A &gt;</t>
  </si>
  <si>
    <t>Bug</t>
  </si>
  <si>
    <t>Dark</t>
  </si>
  <si>
    <t>Dragon</t>
  </si>
  <si>
    <t>Electric</t>
  </si>
  <si>
    <t>Fairy</t>
  </si>
  <si>
    <t>Fighting</t>
  </si>
  <si>
    <t>Fire</t>
  </si>
  <si>
    <t>Flying</t>
  </si>
  <si>
    <t>Ghost</t>
  </si>
  <si>
    <t>Grass</t>
  </si>
  <si>
    <t>Ground</t>
  </si>
  <si>
    <t>Ice</t>
  </si>
  <si>
    <t>Normal</t>
  </si>
  <si>
    <t>Poison</t>
  </si>
  <si>
    <t>Psychic</t>
  </si>
  <si>
    <t>Rock</t>
  </si>
  <si>
    <t>Steel</t>
  </si>
  <si>
    <t>Water</t>
  </si>
  <si>
    <t>Pathetic</t>
  </si>
  <si>
    <t>Untrained</t>
  </si>
  <si>
    <t>Novice</t>
  </si>
  <si>
    <t>Adept</t>
  </si>
  <si>
    <t>Expert</t>
  </si>
  <si>
    <t>Master</t>
  </si>
  <si>
    <t>Virtuoso</t>
  </si>
  <si>
    <t>Damage Base</t>
  </si>
  <si>
    <t>Damage Roll</t>
  </si>
  <si>
    <t>1d6+1</t>
  </si>
  <si>
    <t>1d6+3</t>
  </si>
  <si>
    <t>1d6+5</t>
  </si>
  <si>
    <t>1d8+6</t>
  </si>
  <si>
    <t>None</t>
  </si>
  <si>
    <t>1d8+8</t>
  </si>
  <si>
    <t>2d6+8</t>
  </si>
  <si>
    <t>2d6+10</t>
  </si>
  <si>
    <t>2d8+10</t>
  </si>
  <si>
    <t>2d10+10</t>
  </si>
  <si>
    <t>3d8+10</t>
  </si>
  <si>
    <t>3d10+10</t>
  </si>
  <si>
    <t>Pokemon Skills</t>
  </si>
  <si>
    <t>3d12+10</t>
  </si>
  <si>
    <t>Skill Calc 2 because reasons</t>
  </si>
  <si>
    <t>Inept</t>
  </si>
  <si>
    <t>4d10+10</t>
  </si>
  <si>
    <t>Unlisted</t>
  </si>
  <si>
    <t>4d10+15</t>
  </si>
  <si>
    <t>Proficient</t>
  </si>
  <si>
    <t>4d10+20</t>
  </si>
  <si>
    <t>Mastered</t>
  </si>
  <si>
    <t>5d10+20</t>
  </si>
  <si>
    <t>5d12+25</t>
  </si>
  <si>
    <t>6d12+25</t>
  </si>
  <si>
    <t>6d12+30</t>
  </si>
  <si>
    <t>6d12+35</t>
  </si>
  <si>
    <t>6d12+40</t>
  </si>
  <si>
    <t>6d12+45</t>
  </si>
  <si>
    <t>6d12+50</t>
  </si>
  <si>
    <t>6d12+55</t>
  </si>
  <si>
    <t>6d12+60</t>
  </si>
  <si>
    <t>7d12+65</t>
  </si>
  <si>
    <t>8d12+70</t>
  </si>
  <si>
    <t>8d12+80</t>
  </si>
  <si>
    <t>Homebrew Import</t>
  </si>
  <si>
    <t>If it's your first time in this tab, the link below will connect to a blank Data Sheet. Make a copy, note the Instructions on the front page, and then fill it out with whatever homebrew you'd like to add. Once you're done, copy the link to your custom data sheet here and this character sheet will implement it!</t>
  </si>
  <si>
    <t>https://docs.google.com/spreadsheets/d/1w7QFULgF_RM3p4X2jajXsPaH8imGG3koIPUvfBClMMA/edit?gid=33601565#gid=33601565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</si>
</sst>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35">
    <font>
      <sz val="10.0"/>
      <color rgb="FF000000"/>
      <name val="Arial"/>
      <scheme val="minor"/>
    </font>
    <font>
      <color theme="1"/>
      <name val="Arial"/>
      <scheme val="minor"/>
    </font>
    <font/>
    <font>
      <b/>
      <sz val="24.0"/>
      <color rgb="FFEFEFEF"/>
      <name val="Roboto"/>
    </font>
    <font>
      <b/>
      <sz val="10.0"/>
      <color rgb="FFFFFFFF"/>
      <name val="Roboto"/>
    </font>
    <font>
      <b/>
      <sz val="17.0"/>
      <color rgb="FFEFEFEF"/>
      <name val="Roboto"/>
    </font>
    <font>
      <b/>
      <sz val="10.0"/>
      <color rgb="FF9FC5E8"/>
      <name val="Roboto"/>
    </font>
    <font>
      <b/>
      <sz val="12.0"/>
      <color rgb="FFEFEFEF"/>
      <name val="Roboto"/>
    </font>
    <font>
      <sz val="9.0"/>
      <color theme="1"/>
      <name val="Arial"/>
      <scheme val="minor"/>
    </font>
    <font>
      <b/>
      <sz val="10.0"/>
      <color rgb="FFCCCCCC"/>
      <name val="Roboto"/>
    </font>
    <font>
      <color theme="1"/>
      <name val="Arial"/>
    </font>
    <font>
      <color rgb="FFFFFFFF"/>
      <name val="Roboto"/>
    </font>
    <font>
      <sz val="9.0"/>
      <color rgb="FFFFFFFF"/>
      <name val="Roboto"/>
    </font>
    <font>
      <sz val="10.0"/>
      <color rgb="FFFFFFFF"/>
      <name val="Roboto"/>
    </font>
    <font>
      <b/>
      <sz val="9.0"/>
      <color rgb="FFFFFFFF"/>
      <name val="Roboto"/>
    </font>
    <font>
      <sz val="9.0"/>
      <color rgb="FF000000"/>
      <name val="Roboto"/>
    </font>
    <font>
      <sz val="10.0"/>
      <color theme="1"/>
      <name val="Roboto"/>
    </font>
    <font>
      <b/>
      <sz val="9.0"/>
      <color rgb="FF000000"/>
      <name val="Roboto"/>
    </font>
    <font>
      <b/>
      <sz val="18.0"/>
      <color rgb="FFFFFFFF"/>
      <name val="Arial"/>
      <scheme val="minor"/>
    </font>
    <font>
      <b/>
      <color rgb="FFFFFFFF"/>
      <name val="Arial"/>
      <scheme val="minor"/>
    </font>
    <font>
      <color rgb="FFFFFFFF"/>
      <name val="Arial"/>
      <scheme val="minor"/>
    </font>
    <font>
      <color theme="1"/>
      <name val="Roboto"/>
    </font>
    <font>
      <b/>
      <sz val="18.0"/>
      <color rgb="FFEFEFEF"/>
      <name val="Roboto"/>
    </font>
    <font>
      <b/>
      <color rgb="FFFFFFFF"/>
      <name val="Roboto"/>
    </font>
    <font>
      <sz val="10.0"/>
      <color rgb="FF000000"/>
      <name val="Roboto"/>
    </font>
    <font>
      <b/>
      <sz val="8.0"/>
      <color rgb="FF000000"/>
      <name val="Roboto"/>
    </font>
    <font>
      <sz val="7.0"/>
      <color rgb="FF000000"/>
      <name val="Roboto"/>
    </font>
    <font>
      <i/>
      <sz val="7.0"/>
      <color rgb="FF000000"/>
      <name val="Roboto"/>
    </font>
    <font>
      <sz val="8.0"/>
      <color rgb="FF000000"/>
      <name val="Roboto"/>
    </font>
    <font>
      <color rgb="FF000000"/>
      <name val="Arial"/>
    </font>
    <font>
      <color rgb="FFF3F3F3"/>
      <name val="Arial"/>
    </font>
    <font>
      <sz val="9.0"/>
      <color rgb="FF000000"/>
      <name val="&quot;Google Sans Mono&quot;"/>
    </font>
    <font>
      <color rgb="FFFFFFFF"/>
      <name val="Arial"/>
    </font>
    <font>
      <b/>
      <sz val="12.0"/>
      <color rgb="FFFFFFFF"/>
      <name val="Roboto"/>
    </font>
    <font>
      <u/>
      <color rgb="FF000000"/>
    </font>
  </fonts>
  <fills count="35">
    <fill>
      <patternFill patternType="none"/>
    </fill>
    <fill>
      <patternFill patternType="lightGray"/>
    </fill>
    <fill>
      <patternFill patternType="solid">
        <fgColor rgb="FF000000"/>
        <bgColor rgb="FF000000"/>
      </patternFill>
    </fill>
    <fill>
      <patternFill patternType="solid">
        <fgColor rgb="FF17365D"/>
        <bgColor rgb="FF17365D"/>
      </patternFill>
    </fill>
    <fill>
      <patternFill patternType="solid">
        <fgColor rgb="FF366092"/>
        <bgColor rgb="FF366092"/>
      </patternFill>
    </fill>
    <fill>
      <patternFill patternType="solid">
        <fgColor rgb="FFCFE2F3"/>
        <bgColor rgb="FFCFE2F3"/>
      </patternFill>
    </fill>
    <fill>
      <patternFill patternType="solid">
        <fgColor rgb="FF9FC5E8"/>
        <bgColor rgb="FF9FC5E8"/>
      </patternFill>
    </fill>
    <fill>
      <patternFill patternType="solid">
        <fgColor rgb="FFE06666"/>
        <bgColor rgb="FFE06666"/>
      </patternFill>
    </fill>
    <fill>
      <patternFill patternType="solid">
        <fgColor rgb="FFF6B26B"/>
        <bgColor rgb="FFF6B26B"/>
      </patternFill>
    </fill>
    <fill>
      <patternFill patternType="solid">
        <fgColor rgb="FFFFD966"/>
        <bgColor rgb="FFFFD966"/>
      </patternFill>
    </fill>
    <fill>
      <patternFill patternType="solid">
        <fgColor rgb="FF4A86E8"/>
        <bgColor rgb="FF4A86E8"/>
      </patternFill>
    </fill>
    <fill>
      <patternFill patternType="solid">
        <fgColor rgb="FFD9D9D9"/>
        <bgColor rgb="FFD9D9D9"/>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A4C2F4"/>
        <bgColor rgb="FFA4C2F4"/>
      </patternFill>
    </fill>
    <fill>
      <patternFill patternType="solid">
        <fgColor rgb="FFEFEFEF"/>
        <bgColor rgb="FFEFEFEF"/>
      </patternFill>
    </fill>
    <fill>
      <patternFill patternType="solid">
        <fgColor rgb="FFF3F3F3"/>
        <bgColor rgb="FFF3F3F3"/>
      </patternFill>
    </fill>
    <fill>
      <patternFill patternType="solid">
        <fgColor rgb="FFB6D7A8"/>
        <bgColor rgb="FFB6D7A8"/>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B4A7D6"/>
        <bgColor rgb="FFB4A7D6"/>
      </patternFill>
    </fill>
    <fill>
      <patternFill patternType="solid">
        <fgColor rgb="FFD5A6BD"/>
        <bgColor rgb="FFD5A6BD"/>
      </patternFill>
    </fill>
    <fill>
      <patternFill patternType="solid">
        <fgColor rgb="FFD9D2E9"/>
        <bgColor rgb="FFD9D2E9"/>
      </patternFill>
    </fill>
    <fill>
      <patternFill patternType="solid">
        <fgColor rgb="FFEAD1DC"/>
        <bgColor rgb="FFEAD1DC"/>
      </patternFill>
    </fill>
    <fill>
      <patternFill patternType="solid">
        <fgColor rgb="FFDD7E6B"/>
        <bgColor rgb="FFDD7E6B"/>
      </patternFill>
    </fill>
    <fill>
      <patternFill patternType="solid">
        <fgColor rgb="FFE6B8AF"/>
        <bgColor rgb="FFE6B8AF"/>
      </patternFill>
    </fill>
    <fill>
      <patternFill patternType="solid">
        <fgColor rgb="FFFFF2CC"/>
        <bgColor rgb="FFFFF2CC"/>
      </patternFill>
    </fill>
    <fill>
      <patternFill patternType="solid">
        <fgColor rgb="FFC9DAF8"/>
        <bgColor rgb="FFC9DAF8"/>
      </patternFill>
    </fill>
    <fill>
      <patternFill patternType="solid">
        <fgColor rgb="FF4495DF"/>
        <bgColor rgb="FF4495DF"/>
      </patternFill>
    </fill>
    <fill>
      <patternFill patternType="solid">
        <fgColor rgb="FF99CCFF"/>
        <bgColor rgb="FF99CCFF"/>
      </patternFill>
    </fill>
    <fill>
      <patternFill patternType="solid">
        <fgColor rgb="FF6FA8DC"/>
        <bgColor rgb="FF6FA8DC"/>
      </patternFill>
    </fill>
    <fill>
      <patternFill patternType="solid">
        <fgColor rgb="FF674EA7"/>
        <bgColor rgb="FF674EA7"/>
      </patternFill>
    </fill>
    <fill>
      <patternFill patternType="solid">
        <fgColor rgb="FF3D85C6"/>
        <bgColor rgb="FF3D85C6"/>
      </patternFill>
    </fill>
  </fills>
  <borders count="54">
    <border/>
    <border>
      <right style="medium">
        <color rgb="FF000000"/>
      </right>
    </border>
    <border>
      <left style="thick">
        <color rgb="FF000000"/>
      </lef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medium">
        <color rgb="FF000000"/>
      </right>
    </border>
    <border>
      <left style="thin">
        <color rgb="FF000000"/>
      </left>
      <right style="medium">
        <color rgb="FF000000"/>
      </right>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medium">
        <color rgb="FF000000"/>
      </right>
      <top style="thick">
        <color rgb="FF000000"/>
      </top>
    </border>
    <border>
      <top style="thick">
        <color rgb="FF000000"/>
      </top>
      <bottom style="thin">
        <color rgb="FF000000"/>
      </bottom>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bottom style="medium">
        <color rgb="FF000000"/>
      </bottom>
    </border>
    <border>
      <right style="medium">
        <color rgb="FF000000"/>
      </right>
      <bottom style="medium">
        <color rgb="FF000000"/>
      </bottom>
    </border>
    <border>
      <left style="thick">
        <color rgb="FF000000"/>
      </left>
      <bottom style="medium">
        <color rgb="FF000000"/>
      </bottom>
    </border>
    <border>
      <left style="thick">
        <color rgb="FF000000"/>
      </left>
      <right style="thin">
        <color rgb="FF000000"/>
      </right>
      <bottom style="thin">
        <color rgb="FF000000"/>
      </bottom>
    </border>
    <border>
      <left style="thick">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right style="thick">
        <color rgb="FF000000"/>
      </right>
    </border>
    <border>
      <right style="thick">
        <color rgb="FF000000"/>
      </right>
      <bottom style="medium">
        <color rgb="FF000000"/>
      </bottom>
    </border>
    <border>
      <top style="medium">
        <color rgb="FF000000"/>
      </top>
      <bottom style="thin">
        <color rgb="FF000000"/>
      </bottom>
    </border>
    <border>
      <right style="thick">
        <color rgb="FF000000"/>
      </right>
      <top style="medium">
        <color rgb="FF000000"/>
      </top>
      <bottom style="thin">
        <color rgb="FF000000"/>
      </bottom>
    </border>
    <border>
      <right style="thick">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ck">
        <color rgb="FF000000"/>
      </bottom>
    </border>
    <border>
      <top style="thick">
        <color rgb="FF000000"/>
      </top>
      <bottom style="medium">
        <color rgb="FF000000"/>
      </bottom>
    </border>
    <border>
      <right style="thick">
        <color rgb="FF000000"/>
      </right>
      <top style="thick">
        <color rgb="FF000000"/>
      </top>
      <bottom style="medium">
        <color rgb="FF000000"/>
      </bottom>
    </border>
    <border>
      <bottom style="hair">
        <color rgb="FF000000"/>
      </bottom>
    </border>
    <border>
      <right style="thin">
        <color rgb="FF000000"/>
      </right>
      <bottom style="hair">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2" fontId="1" numFmtId="0" xfId="0" applyAlignment="1" applyFill="1" applyFont="1">
      <alignment vertical="center"/>
    </xf>
    <xf borderId="1" fillId="0" fontId="2" numFmtId="0" xfId="0" applyBorder="1" applyFont="1"/>
    <xf borderId="2" fillId="2" fontId="1" numFmtId="0" xfId="0" applyAlignment="1" applyBorder="1" applyFont="1">
      <alignment vertical="center"/>
    </xf>
    <xf borderId="3" fillId="3" fontId="3" numFmtId="0" xfId="0" applyAlignment="1" applyBorder="1" applyFill="1" applyFont="1">
      <alignment horizontal="center" readingOrder="0" shrinkToFit="0" vertical="center" wrapText="1"/>
    </xf>
    <xf borderId="4" fillId="0" fontId="2" numFmtId="0" xfId="0" applyBorder="1" applyFont="1"/>
    <xf borderId="5" fillId="0" fontId="2" numFmtId="0" xfId="0" applyBorder="1" applyFont="1"/>
    <xf borderId="6" fillId="4" fontId="4" numFmtId="0" xfId="0" applyAlignment="1" applyBorder="1" applyFill="1" applyFont="1">
      <alignment horizontal="center" readingOrder="0" shrinkToFit="0" vertical="center" wrapText="1"/>
    </xf>
    <xf borderId="6" fillId="0" fontId="2" numFmtId="0" xfId="0" applyBorder="1" applyFont="1"/>
    <xf borderId="3" fillId="3" fontId="5" numFmtId="0" xfId="0" applyAlignment="1" applyBorder="1" applyFont="1">
      <alignment horizontal="center" readingOrder="0" shrinkToFit="0" vertical="center" wrapText="1"/>
    </xf>
    <xf borderId="7" fillId="0" fontId="2" numFmtId="0" xfId="0" applyBorder="1" applyFont="1"/>
    <xf borderId="8" fillId="0" fontId="2" numFmtId="0" xfId="0" applyBorder="1" applyFont="1"/>
    <xf borderId="9" fillId="5" fontId="1" numFmtId="0" xfId="0" applyAlignment="1" applyBorder="1" applyFill="1" applyFont="1">
      <alignment horizontal="center" readingOrder="0" vertical="center"/>
    </xf>
    <xf borderId="10" fillId="0" fontId="2" numFmtId="0" xfId="0" applyBorder="1" applyFont="1"/>
    <xf borderId="11" fillId="0" fontId="2" numFmtId="0" xfId="0" applyBorder="1" applyFont="1"/>
    <xf borderId="12" fillId="2" fontId="6" numFmtId="0" xfId="0" applyAlignment="1" applyBorder="1" applyFont="1">
      <alignment horizontal="center" readingOrder="0" shrinkToFit="0" vertical="center" wrapText="1"/>
    </xf>
    <xf borderId="13" fillId="0" fontId="2" numFmtId="0" xfId="0" applyBorder="1" applyFont="1"/>
    <xf borderId="14" fillId="0" fontId="2" numFmtId="0" xfId="0" applyBorder="1" applyFont="1"/>
    <xf borderId="3" fillId="3" fontId="7" numFmtId="0" xfId="0" applyAlignment="1" applyBorder="1" applyFont="1">
      <alignment horizontal="center" readingOrder="0" shrinkToFit="0" vertical="center" wrapText="1"/>
    </xf>
    <xf borderId="3" fillId="5" fontId="8" numFmtId="0" xfId="0" applyAlignment="1" applyBorder="1" applyFont="1">
      <alignment horizontal="left" readingOrder="0" shrinkToFit="0" vertical="top" wrapText="1"/>
    </xf>
    <xf borderId="15" fillId="3" fontId="9"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16" fillId="4" fontId="4" numFmtId="0" xfId="0" applyAlignment="1" applyBorder="1" applyFont="1">
      <alignment horizontal="center" readingOrder="0" shrinkToFit="0" vertical="center" wrapText="1"/>
    </xf>
    <xf borderId="11" fillId="4" fontId="4" numFmtId="0" xfId="0" applyAlignment="1" applyBorder="1" applyFont="1">
      <alignment horizontal="center" readingOrder="0" shrinkToFit="0" vertical="center" wrapText="1"/>
    </xf>
    <xf borderId="17" fillId="0" fontId="2" numFmtId="0" xfId="0" applyBorder="1" applyFont="1"/>
    <xf borderId="18" fillId="0" fontId="2" numFmtId="0" xfId="0" applyBorder="1" applyFont="1"/>
    <xf borderId="19" fillId="0" fontId="2" numFmtId="0" xfId="0" applyBorder="1" applyFont="1"/>
    <xf borderId="11" fillId="5" fontId="1" numFmtId="0" xfId="0" applyAlignment="1" applyBorder="1" applyFont="1">
      <alignment horizontal="center" readingOrder="0" vertical="center"/>
    </xf>
    <xf borderId="8" fillId="5" fontId="10" numFmtId="0" xfId="0" applyAlignment="1" applyBorder="1" applyFont="1">
      <alignment horizontal="center" readingOrder="0" vertical="center"/>
    </xf>
    <xf borderId="16" fillId="5" fontId="1" numFmtId="0" xfId="0" applyAlignment="1" applyBorder="1" applyFont="1">
      <alignment horizontal="center" readingOrder="0" vertical="center"/>
    </xf>
    <xf borderId="10" fillId="5" fontId="1" numFmtId="0" xfId="0" applyAlignment="1" applyBorder="1" applyFont="1">
      <alignment horizontal="left" readingOrder="0" vertical="center"/>
    </xf>
    <xf borderId="10" fillId="4" fontId="11" numFmtId="0" xfId="0" applyAlignment="1" applyBorder="1" applyFont="1">
      <alignment shrinkToFit="0" wrapText="1"/>
    </xf>
    <xf borderId="9" fillId="5" fontId="1" numFmtId="0" xfId="0" applyAlignment="1" applyBorder="1" applyFont="1">
      <alignment horizontal="left" readingOrder="0" vertical="center"/>
    </xf>
    <xf borderId="10" fillId="4" fontId="12" numFmtId="0" xfId="0" applyAlignment="1" applyBorder="1" applyFont="1">
      <alignment horizontal="center" readingOrder="0" shrinkToFit="0" vertical="center" wrapText="1"/>
    </xf>
    <xf borderId="20" fillId="0" fontId="2" numFmtId="0" xfId="0" applyBorder="1" applyFont="1"/>
    <xf borderId="13" fillId="4" fontId="13" numFmtId="0" xfId="0" applyAlignment="1" applyBorder="1" applyFont="1">
      <alignment horizontal="left" readingOrder="0" shrinkToFit="0" vertical="center" wrapText="1"/>
    </xf>
    <xf borderId="12" fillId="5" fontId="1" numFmtId="0" xfId="0" applyAlignment="1" applyBorder="1" applyFont="1">
      <alignment horizontal="left" readingOrder="0" vertical="center"/>
    </xf>
    <xf borderId="21" fillId="0" fontId="2" numFmtId="0" xfId="0" applyBorder="1" applyFont="1"/>
    <xf borderId="13" fillId="4" fontId="12" numFmtId="0" xfId="0" applyAlignment="1" applyBorder="1" applyFont="1">
      <alignment horizontal="center" readingOrder="0" shrinkToFit="0" vertical="center" wrapText="1"/>
    </xf>
    <xf borderId="22" fillId="5" fontId="1" numFmtId="0" xfId="0" applyAlignment="1" applyBorder="1" applyFont="1">
      <alignment horizontal="center" readingOrder="0" vertical="center"/>
    </xf>
    <xf borderId="23" fillId="4" fontId="1" numFmtId="0" xfId="0" applyAlignment="1" applyBorder="1" applyFont="1">
      <alignment horizontal="center" readingOrder="0" vertical="center"/>
    </xf>
    <xf borderId="9" fillId="5" fontId="10" numFmtId="0" xfId="0" applyAlignment="1" applyBorder="1" applyFont="1">
      <alignment readingOrder="0"/>
    </xf>
    <xf borderId="10" fillId="4" fontId="12" numFmtId="0" xfId="0" applyAlignment="1" applyBorder="1" applyFont="1">
      <alignment horizontal="center" shrinkToFit="0" wrapText="1"/>
    </xf>
    <xf borderId="13" fillId="4" fontId="11" numFmtId="0" xfId="0" applyAlignment="1" applyBorder="1" applyFont="1">
      <alignment shrinkToFit="0" wrapText="1"/>
    </xf>
    <xf borderId="12" fillId="5" fontId="10" numFmtId="0" xfId="0" applyBorder="1" applyFont="1"/>
    <xf borderId="13" fillId="4" fontId="12" numFmtId="0" xfId="0" applyAlignment="1" applyBorder="1" applyFont="1">
      <alignment horizontal="center" shrinkToFit="0" wrapText="1"/>
    </xf>
    <xf borderId="3" fillId="2" fontId="8" numFmtId="0" xfId="0" applyAlignment="1" applyBorder="1" applyFont="1">
      <alignment horizontal="left" readingOrder="0" shrinkToFit="0" vertical="top" wrapText="1"/>
    </xf>
    <xf borderId="16" fillId="4" fontId="14" numFmtId="0" xfId="0" applyAlignment="1" applyBorder="1" applyFont="1">
      <alignment horizontal="center" readingOrder="0" shrinkToFit="0" vertical="center" wrapText="1"/>
    </xf>
    <xf borderId="11" fillId="4" fontId="14" numFmtId="0" xfId="0" applyAlignment="1" applyBorder="1" applyFont="1">
      <alignment horizontal="center" readingOrder="0" shrinkToFit="0" vertical="center" wrapText="1"/>
    </xf>
    <xf borderId="5" fillId="4" fontId="14" numFmtId="0" xfId="0" applyAlignment="1" applyBorder="1" applyFont="1">
      <alignment horizontal="center" readingOrder="0" shrinkToFit="0" vertical="center" wrapText="1"/>
    </xf>
    <xf borderId="16" fillId="5" fontId="8" numFmtId="0" xfId="0" applyAlignment="1" applyBorder="1" applyFont="1">
      <alignment horizontal="center" readingOrder="0" vertical="center"/>
    </xf>
    <xf borderId="10" fillId="5" fontId="8" numFmtId="0" xfId="0" applyAlignment="1" applyBorder="1" applyFont="1">
      <alignment horizontal="center" readingOrder="0" vertical="center"/>
    </xf>
    <xf borderId="16" fillId="6" fontId="15" numFmtId="0" xfId="0" applyAlignment="1" applyBorder="1" applyFill="1" applyFont="1">
      <alignment horizontal="center" readingOrder="0" shrinkToFit="0" vertical="center" wrapText="1"/>
    </xf>
    <xf borderId="9" fillId="5" fontId="10" numFmtId="0" xfId="0" applyBorder="1" applyFont="1"/>
    <xf borderId="17" fillId="3" fontId="8" numFmtId="0" xfId="0" applyAlignment="1" applyBorder="1" applyFont="1">
      <alignment horizontal="center" readingOrder="0" vertical="center"/>
    </xf>
    <xf borderId="12" fillId="5" fontId="10" numFmtId="0" xfId="0" applyAlignment="1" applyBorder="1" applyFont="1">
      <alignment readingOrder="0"/>
    </xf>
    <xf borderId="24" fillId="4" fontId="14" numFmtId="0" xfId="0" applyAlignment="1" applyBorder="1" applyFont="1">
      <alignment horizontal="center" readingOrder="0" shrinkToFit="0" vertical="center" wrapText="1"/>
    </xf>
    <xf borderId="25" fillId="0" fontId="2" numFmtId="0" xfId="0" applyBorder="1" applyFont="1"/>
    <xf borderId="3" fillId="5" fontId="16" numFmtId="0" xfId="0" applyAlignment="1" applyBorder="1" applyFont="1">
      <alignment horizontal="center" readingOrder="0" shrinkToFit="0" vertical="center" wrapText="1"/>
    </xf>
    <xf borderId="17" fillId="2" fontId="8" numFmtId="0" xfId="0" applyAlignment="1" applyBorder="1" applyFont="1">
      <alignment horizontal="left" readingOrder="0" shrinkToFit="0" vertical="top" wrapText="1"/>
    </xf>
    <xf borderId="0" fillId="2" fontId="8" numFmtId="0" xfId="0" applyAlignment="1" applyFont="1">
      <alignment horizontal="left" readingOrder="0" shrinkToFit="0" vertical="top" wrapText="1"/>
    </xf>
    <xf borderId="18" fillId="2" fontId="8" numFmtId="0" xfId="0" applyAlignment="1" applyBorder="1" applyFont="1">
      <alignment horizontal="left" readingOrder="0" shrinkToFit="0" vertical="top" wrapText="1"/>
    </xf>
    <xf borderId="4" fillId="2" fontId="8" numFmtId="0" xfId="0" applyAlignment="1" applyBorder="1" applyFont="1">
      <alignment horizontal="left" readingOrder="0" shrinkToFit="0" vertical="top" wrapText="1"/>
    </xf>
    <xf borderId="5" fillId="2" fontId="8" numFmtId="0" xfId="0" applyAlignment="1" applyBorder="1" applyFont="1">
      <alignment horizontal="left" readingOrder="0" shrinkToFit="0" vertical="top" wrapText="1"/>
    </xf>
    <xf borderId="9" fillId="5" fontId="16" numFmtId="0" xfId="0" applyAlignment="1" applyBorder="1" applyFont="1">
      <alignment horizontal="center" readingOrder="0" shrinkToFit="0" vertical="center" wrapText="1"/>
    </xf>
    <xf borderId="9" fillId="6" fontId="17" numFmtId="0" xfId="0" applyAlignment="1" applyBorder="1" applyFont="1">
      <alignment horizontal="center" readingOrder="0" shrinkToFit="0" vertical="center" wrapText="1"/>
    </xf>
    <xf borderId="2" fillId="0" fontId="2" numFmtId="0" xfId="0" applyBorder="1" applyFont="1"/>
    <xf borderId="24" fillId="5" fontId="1" numFmtId="0" xfId="0" applyAlignment="1" applyBorder="1" applyFont="1">
      <alignment horizontal="center" readingOrder="0" vertical="center"/>
    </xf>
    <xf borderId="0" fillId="4" fontId="1" numFmtId="0" xfId="0" applyAlignment="1" applyFont="1">
      <alignment horizontal="center" readingOrder="0" vertical="center"/>
    </xf>
    <xf borderId="26" fillId="3" fontId="9" numFmtId="0" xfId="0" applyAlignment="1" applyBorder="1" applyFont="1">
      <alignment horizontal="center" readingOrder="0" shrinkToFit="0" vertical="center" wrapText="1"/>
    </xf>
    <xf borderId="27" fillId="4" fontId="4" numFmtId="0" xfId="0" applyAlignment="1" applyBorder="1" applyFont="1">
      <alignment horizontal="center" readingOrder="0" shrinkToFit="0" vertical="center" wrapText="1"/>
    </xf>
    <xf borderId="28" fillId="4" fontId="4" numFmtId="0" xfId="0" applyAlignment="1" applyBorder="1" applyFont="1">
      <alignment horizontal="center" readingOrder="0" shrinkToFit="0" vertical="center" wrapText="1"/>
    </xf>
    <xf borderId="29" fillId="4" fontId="4" numFmtId="0" xfId="0" applyAlignment="1" applyBorder="1" applyFont="1">
      <alignment horizontal="center" readingOrder="0" shrinkToFit="0" vertical="center" wrapText="1"/>
    </xf>
    <xf borderId="27" fillId="0" fontId="2" numFmtId="0" xfId="0" applyBorder="1" applyFont="1"/>
    <xf borderId="30" fillId="3" fontId="18" numFmtId="0" xfId="0" applyAlignment="1" applyBorder="1" applyFont="1">
      <alignment horizontal="center" readingOrder="0" vertical="center"/>
    </xf>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36" fillId="3" fontId="19" numFmtId="0" xfId="0" applyAlignment="1" applyBorder="1" applyFont="1">
      <alignment horizontal="center" readingOrder="0"/>
    </xf>
    <xf borderId="23" fillId="0" fontId="2" numFmtId="0" xfId="0" applyBorder="1" applyFont="1"/>
    <xf borderId="37" fillId="0" fontId="2" numFmtId="0" xfId="0" applyBorder="1" applyFont="1"/>
    <xf borderId="38" fillId="3" fontId="19" numFmtId="0" xfId="0" applyAlignment="1" applyBorder="1" applyFont="1">
      <alignment horizontal="center" readingOrder="0"/>
    </xf>
    <xf borderId="25" fillId="4" fontId="20" numFmtId="0" xfId="0" applyAlignment="1" applyBorder="1" applyFont="1">
      <alignment horizontal="center" readingOrder="0"/>
    </xf>
    <xf borderId="7" fillId="4" fontId="20" numFmtId="0" xfId="0" applyAlignment="1" applyBorder="1" applyFont="1">
      <alignment horizontal="center" readingOrder="0"/>
    </xf>
    <xf borderId="39" fillId="4" fontId="20" numFmtId="0" xfId="0" applyAlignment="1" applyBorder="1" applyFont="1">
      <alignment horizontal="center" readingOrder="0"/>
    </xf>
    <xf borderId="16" fillId="5" fontId="1" numFmtId="0" xfId="0" applyAlignment="1" applyBorder="1" applyFont="1">
      <alignment horizontal="center" readingOrder="0"/>
    </xf>
    <xf borderId="9" fillId="5" fontId="1" numFmtId="0" xfId="0" applyAlignment="1" applyBorder="1" applyFont="1">
      <alignment horizontal="center"/>
    </xf>
    <xf borderId="40" fillId="5" fontId="1" numFmtId="0" xfId="0" applyAlignment="1" applyBorder="1" applyFont="1">
      <alignment horizontal="center" readingOrder="0"/>
    </xf>
    <xf borderId="16" fillId="5" fontId="1" numFmtId="0" xfId="0" applyAlignment="1" applyBorder="1" applyFont="1">
      <alignment horizontal="center"/>
    </xf>
    <xf borderId="16" fillId="4" fontId="20" numFmtId="0" xfId="0" applyAlignment="1" applyBorder="1" applyFont="1">
      <alignment horizontal="center" readingOrder="0"/>
    </xf>
    <xf borderId="9" fillId="4" fontId="20" numFmtId="0" xfId="0" applyAlignment="1" applyBorder="1" applyFont="1">
      <alignment horizontal="center" readingOrder="0"/>
    </xf>
    <xf borderId="40" fillId="4" fontId="20" numFmtId="0" xfId="0" applyAlignment="1" applyBorder="1" applyFont="1">
      <alignment horizontal="center" readingOrder="0"/>
    </xf>
    <xf borderId="24" fillId="5" fontId="1" numFmtId="0" xfId="0" applyAlignment="1" applyBorder="1" applyFont="1">
      <alignment horizontal="center" readingOrder="0"/>
    </xf>
    <xf borderId="41" fillId="4" fontId="19" numFmtId="0" xfId="0" applyAlignment="1" applyBorder="1" applyFont="1">
      <alignment horizontal="center" readingOrder="0" vertical="center"/>
    </xf>
    <xf borderId="41" fillId="0" fontId="1" numFmtId="0" xfId="0" applyAlignment="1" applyBorder="1" applyFont="1">
      <alignment horizontal="center" vertical="center"/>
    </xf>
    <xf borderId="10" fillId="4" fontId="20" numFmtId="0" xfId="0" applyAlignment="1" applyBorder="1" applyFont="1">
      <alignment horizontal="center" readingOrder="0"/>
    </xf>
    <xf borderId="42" fillId="0" fontId="2" numFmtId="0" xfId="0" applyBorder="1" applyFont="1"/>
    <xf borderId="10" fillId="6" fontId="1" numFmtId="0" xfId="0" applyBorder="1" applyFont="1"/>
    <xf borderId="40" fillId="6" fontId="1" numFmtId="0" xfId="0" applyBorder="1" applyFont="1"/>
    <xf borderId="16" fillId="6" fontId="1" numFmtId="0" xfId="0" applyBorder="1" applyFont="1"/>
    <xf borderId="43" fillId="2" fontId="21" numFmtId="0" xfId="0" applyBorder="1" applyFont="1"/>
    <xf borderId="23" fillId="2" fontId="21" numFmtId="0" xfId="0" applyBorder="1" applyFont="1"/>
    <xf borderId="44" fillId="2" fontId="21" numFmtId="0" xfId="0" applyBorder="1" applyFont="1"/>
    <xf borderId="0" fillId="2" fontId="21" numFmtId="0" xfId="0" applyFont="1"/>
    <xf borderId="6" fillId="2" fontId="21" numFmtId="0" xfId="0" applyBorder="1" applyFont="1"/>
    <xf borderId="43" fillId="2" fontId="21" numFmtId="0" xfId="0" applyBorder="1" applyFont="1"/>
    <xf borderId="45" fillId="3" fontId="22" numFmtId="0" xfId="0" applyAlignment="1" applyBorder="1" applyFont="1">
      <alignment horizontal="left" readingOrder="0" shrinkToFit="0" vertical="bottom" wrapText="1"/>
    </xf>
    <xf borderId="45" fillId="0" fontId="2" numFmtId="0" xfId="0" applyBorder="1" applyFont="1"/>
    <xf borderId="46" fillId="0" fontId="2" numFmtId="0" xfId="0" applyBorder="1" applyFont="1"/>
    <xf borderId="8" fillId="4" fontId="23" numFmtId="0" xfId="0" applyAlignment="1" applyBorder="1" applyFont="1">
      <alignment horizontal="center" shrinkToFit="0" vertical="bottom" wrapText="1"/>
    </xf>
    <xf borderId="6" fillId="4" fontId="23" numFmtId="0" xfId="0" applyAlignment="1" applyBorder="1" applyFont="1">
      <alignment horizontal="center" readingOrder="0" shrinkToFit="0" vertical="bottom" wrapText="1"/>
    </xf>
    <xf borderId="47" fillId="0" fontId="2" numFmtId="0" xfId="0" applyBorder="1" applyFont="1"/>
    <xf borderId="16" fillId="2" fontId="21" numFmtId="0" xfId="0" applyBorder="1" applyFont="1"/>
    <xf borderId="9" fillId="6" fontId="24" numFmtId="0" xfId="0" applyAlignment="1" applyBorder="1" applyFont="1">
      <alignment horizontal="center" readingOrder="0" shrinkToFit="0" vertical="center" wrapText="1"/>
    </xf>
    <xf borderId="8" fillId="4" fontId="23" numFmtId="0" xfId="0" applyAlignment="1" applyBorder="1" applyFont="1">
      <alignment horizontal="center" readingOrder="0" shrinkToFit="0" vertical="center" wrapText="1"/>
    </xf>
    <xf borderId="43" fillId="2" fontId="10" numFmtId="0" xfId="0" applyAlignment="1" applyBorder="1" applyFont="1">
      <alignment vertical="bottom"/>
    </xf>
    <xf borderId="0" fillId="2" fontId="10" numFmtId="0" xfId="0" applyAlignment="1" applyFont="1">
      <alignment vertical="bottom"/>
    </xf>
    <xf borderId="43" fillId="2" fontId="10" numFmtId="0" xfId="0" applyAlignment="1" applyBorder="1" applyFont="1">
      <alignment vertical="bottom"/>
    </xf>
    <xf borderId="0" fillId="2" fontId="10" numFmtId="0" xfId="0" applyAlignment="1" applyFont="1">
      <alignment vertical="bottom"/>
    </xf>
    <xf borderId="45" fillId="3" fontId="22" numFmtId="0" xfId="0" applyAlignment="1" applyBorder="1" applyFont="1">
      <alignment readingOrder="0" shrinkToFit="0" vertical="bottom" wrapText="1"/>
    </xf>
    <xf borderId="9" fillId="4" fontId="23" numFmtId="0" xfId="0" applyAlignment="1" applyBorder="1" applyFont="1">
      <alignment horizontal="center" readingOrder="0" shrinkToFit="0" vertical="bottom" wrapText="1"/>
    </xf>
    <xf borderId="16" fillId="2" fontId="10" numFmtId="0" xfId="0" applyAlignment="1" applyBorder="1" applyFont="1">
      <alignment vertical="bottom"/>
    </xf>
    <xf borderId="9" fillId="6" fontId="21" numFmtId="0" xfId="0" applyAlignment="1" applyBorder="1" applyFont="1">
      <alignment horizontal="center" shrinkToFit="0" vertical="center" wrapText="1"/>
    </xf>
    <xf borderId="7" fillId="4" fontId="23" numFmtId="0" xfId="0" applyAlignment="1" applyBorder="1" applyFont="1">
      <alignment horizontal="center" readingOrder="0" shrinkToFit="0" vertical="bottom" wrapText="1"/>
    </xf>
    <xf borderId="0" fillId="5" fontId="16" numFmtId="0" xfId="0" applyAlignment="1" applyFont="1">
      <alignment horizontal="center" readingOrder="0" shrinkToFit="0" vertical="center" wrapText="1"/>
    </xf>
    <xf borderId="48" fillId="6" fontId="24" numFmtId="0" xfId="0" applyAlignment="1" applyBorder="1" applyFont="1">
      <alignment horizontal="center" readingOrder="0" shrinkToFit="0" vertical="center" wrapText="1"/>
    </xf>
    <xf borderId="8" fillId="6" fontId="21" numFmtId="0" xfId="0" applyAlignment="1" applyBorder="1" applyFont="1">
      <alignment horizontal="center" shrinkToFit="0" vertical="center" wrapText="1"/>
    </xf>
    <xf borderId="17" fillId="6" fontId="15" numFmtId="0" xfId="0" applyAlignment="1" applyBorder="1" applyFont="1">
      <alignment horizontal="center" readingOrder="0" shrinkToFit="0" vertical="center" wrapText="1"/>
    </xf>
    <xf borderId="6" fillId="6" fontId="21" numFmtId="0" xfId="0" applyAlignment="1" applyBorder="1" applyFont="1">
      <alignment horizontal="center" shrinkToFit="0" vertical="center" wrapText="1"/>
    </xf>
    <xf borderId="6" fillId="3" fontId="22" numFmtId="0" xfId="0" applyAlignment="1" applyBorder="1" applyFont="1">
      <alignment horizontal="left" readingOrder="0" vertical="bottom"/>
    </xf>
    <xf borderId="8" fillId="4" fontId="4" numFmtId="0" xfId="0" applyAlignment="1" applyBorder="1" applyFont="1">
      <alignment horizontal="center" vertical="bottom"/>
    </xf>
    <xf borderId="8" fillId="5" fontId="16" numFmtId="0" xfId="0" applyAlignment="1" applyBorder="1" applyFont="1">
      <alignment horizontal="center" readingOrder="0" vertical="center"/>
    </xf>
    <xf borderId="6" fillId="6" fontId="21" numFmtId="0" xfId="0" applyAlignment="1" applyBorder="1" applyFont="1">
      <alignment horizontal="left" shrinkToFit="0" vertical="bottom" wrapText="1"/>
    </xf>
    <xf borderId="23" fillId="2" fontId="21" numFmtId="0" xfId="0" applyBorder="1" applyFont="1"/>
    <xf borderId="44" fillId="2" fontId="21" numFmtId="0" xfId="0" applyBorder="1" applyFont="1"/>
    <xf borderId="0" fillId="2" fontId="21" numFmtId="0" xfId="0" applyFont="1"/>
    <xf borderId="6" fillId="3" fontId="22" numFmtId="0" xfId="0" applyAlignment="1" applyBorder="1" applyFont="1">
      <alignment horizontal="left" shrinkToFit="0" vertical="bottom" wrapText="1"/>
    </xf>
    <xf borderId="8" fillId="4" fontId="4" numFmtId="0" xfId="0" applyAlignment="1" applyBorder="1" applyFont="1">
      <alignment horizontal="center" shrinkToFit="0" vertical="bottom" wrapText="1"/>
    </xf>
    <xf borderId="25" fillId="4" fontId="23" numFmtId="0" xfId="0" applyAlignment="1" applyBorder="1" applyFont="1">
      <alignment horizontal="center" readingOrder="0" shrinkToFit="0" vertical="bottom" wrapText="1"/>
    </xf>
    <xf borderId="6" fillId="6" fontId="21" numFmtId="0" xfId="0" applyAlignment="1" applyBorder="1" applyFont="1">
      <alignment horizontal="left" shrinkToFit="0" vertical="center" wrapText="1"/>
    </xf>
    <xf borderId="6" fillId="6" fontId="21" numFmtId="0" xfId="0" applyAlignment="1" applyBorder="1" applyFont="1">
      <alignment horizontal="center" shrinkToFit="0" vertical="bottom" wrapText="1"/>
    </xf>
    <xf borderId="43" fillId="2" fontId="16" numFmtId="0" xfId="0" applyBorder="1" applyFont="1"/>
    <xf borderId="0" fillId="2" fontId="16" numFmtId="0" xfId="0" applyFont="1"/>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horizontal="center" readingOrder="0"/>
    </xf>
    <xf borderId="0" fillId="0" fontId="15" numFmtId="0" xfId="0" applyAlignment="1" applyFont="1">
      <alignment readingOrder="0" shrinkToFit="0" wrapText="1"/>
    </xf>
    <xf borderId="0" fillId="0" fontId="1" numFmtId="0" xfId="0" applyAlignment="1" applyFont="1">
      <alignment shrinkToFit="0" wrapText="1"/>
    </xf>
    <xf borderId="16" fillId="0" fontId="25" numFmtId="0" xfId="0" applyAlignment="1" applyBorder="1" applyFont="1">
      <alignment horizontal="left" readingOrder="0" shrinkToFit="0" wrapText="1"/>
    </xf>
    <xf borderId="16" fillId="0" fontId="26" numFmtId="0" xfId="0" applyAlignment="1" applyBorder="1" applyFont="1">
      <alignment horizontal="left" readingOrder="0" shrinkToFit="0" wrapText="1"/>
    </xf>
    <xf borderId="16" fillId="0" fontId="27" numFmtId="0" xfId="0" applyAlignment="1" applyBorder="1" applyFont="1">
      <alignment horizontal="left" readingOrder="0" shrinkToFit="0" wrapText="1"/>
    </xf>
    <xf borderId="16" fillId="0" fontId="28" numFmtId="0" xfId="0" applyAlignment="1" applyBorder="1" applyFont="1">
      <alignment horizontal="left" readingOrder="0" shrinkToFit="0" wrapText="1"/>
    </xf>
    <xf borderId="0" fillId="0" fontId="28" numFmtId="0" xfId="0" applyAlignment="1" applyFont="1">
      <alignment horizontal="left" readingOrder="0" shrinkToFit="0" wrapText="1"/>
    </xf>
    <xf borderId="0" fillId="7" fontId="1" numFmtId="0" xfId="0" applyAlignment="1" applyFill="1" applyFont="1">
      <alignment readingOrder="0" shrinkToFit="0" vertical="center" wrapText="1"/>
    </xf>
    <xf borderId="0" fillId="7" fontId="10" numFmtId="0" xfId="0" applyAlignment="1" applyFont="1">
      <alignment shrinkToFit="0" wrapText="1"/>
    </xf>
    <xf borderId="0" fillId="8" fontId="10" numFmtId="0" xfId="0" applyAlignment="1" applyFill="1" applyFont="1">
      <alignment shrinkToFit="0" wrapText="1"/>
    </xf>
    <xf borderId="0" fillId="9" fontId="10" numFmtId="0" xfId="0" applyAlignment="1" applyFill="1" applyFont="1">
      <alignment shrinkToFit="0" wrapText="1"/>
    </xf>
    <xf borderId="0" fillId="10" fontId="1" numFmtId="0" xfId="0" applyAlignment="1" applyFill="1" applyFont="1">
      <alignment readingOrder="0" shrinkToFit="0" vertical="center" wrapText="1"/>
    </xf>
    <xf borderId="0" fillId="10" fontId="1" numFmtId="0" xfId="0" applyAlignment="1" applyFont="1">
      <alignment shrinkToFit="0" vertical="center" wrapText="1"/>
    </xf>
    <xf borderId="0" fillId="11" fontId="1" numFmtId="0" xfId="0" applyAlignment="1" applyFill="1" applyFont="1">
      <alignment readingOrder="0" shrinkToFit="0" vertical="center" wrapText="1"/>
    </xf>
    <xf borderId="0" fillId="12" fontId="1" numFmtId="0" xfId="0" applyAlignment="1" applyFill="1" applyFont="1">
      <alignment shrinkToFit="0" vertical="center" wrapText="1"/>
    </xf>
    <xf borderId="0" fillId="13" fontId="1" numFmtId="0" xfId="0" applyAlignment="1" applyFill="1" applyFont="1">
      <alignment shrinkToFit="0" vertical="center" wrapText="1"/>
    </xf>
    <xf borderId="0" fillId="14" fontId="1" numFmtId="0" xfId="0" applyAlignment="1" applyFill="1" applyFont="1">
      <alignment shrinkToFit="0" vertical="center" wrapText="1"/>
    </xf>
    <xf borderId="0" fillId="15" fontId="1" numFmtId="0" xfId="0" applyAlignment="1" applyFill="1" applyFont="1">
      <alignment shrinkToFit="0" vertical="center" wrapText="1"/>
    </xf>
    <xf borderId="0" fillId="16" fontId="1" numFmtId="0" xfId="0" applyAlignment="1" applyFill="1" applyFont="1">
      <alignment shrinkToFit="0" vertical="center" wrapText="1"/>
    </xf>
    <xf borderId="34" fillId="12" fontId="1" numFmtId="0" xfId="0" applyAlignment="1" applyBorder="1" applyFont="1">
      <alignment shrinkToFit="0" vertical="center" wrapText="1"/>
    </xf>
    <xf borderId="34" fillId="13" fontId="1" numFmtId="0" xfId="0" applyAlignment="1" applyBorder="1" applyFont="1">
      <alignment shrinkToFit="0" vertical="center" wrapText="1"/>
    </xf>
    <xf borderId="34" fillId="14" fontId="1" numFmtId="0" xfId="0" applyAlignment="1" applyBorder="1" applyFont="1">
      <alignment shrinkToFit="0" vertical="center" wrapText="1"/>
    </xf>
    <xf borderId="0" fillId="11" fontId="1" numFmtId="0" xfId="0" applyAlignment="1" applyFont="1">
      <alignment horizontal="center" readingOrder="0"/>
    </xf>
    <xf borderId="0" fillId="11" fontId="10" numFmtId="0" xfId="0" applyAlignment="1" applyFont="1">
      <alignment horizontal="center" vertical="bottom"/>
    </xf>
    <xf borderId="0" fillId="0" fontId="10" numFmtId="0" xfId="0" applyAlignment="1" applyFont="1">
      <alignment horizontal="center" vertical="bottom"/>
    </xf>
    <xf borderId="0" fillId="0" fontId="1" numFmtId="0" xfId="0" applyAlignment="1" applyFont="1">
      <alignment horizontal="center"/>
    </xf>
    <xf borderId="0" fillId="17" fontId="10" numFmtId="0" xfId="0" applyAlignment="1" applyFill="1" applyFont="1">
      <alignment horizontal="center" readingOrder="0" shrinkToFit="0" vertical="center" wrapText="1"/>
    </xf>
    <xf borderId="0" fillId="17" fontId="29" numFmtId="0" xfId="0" applyAlignment="1" applyFont="1">
      <alignment horizontal="center" shrinkToFit="0" vertical="center" wrapText="1"/>
    </xf>
    <xf borderId="0" fillId="17" fontId="30" numFmtId="0" xfId="0" applyAlignment="1" applyFont="1">
      <alignment horizontal="center" shrinkToFit="0" vertical="center" wrapText="1"/>
    </xf>
    <xf borderId="0" fillId="17" fontId="10" numFmtId="0" xfId="0" applyAlignment="1" applyFont="1">
      <alignment horizontal="center" shrinkToFit="0" vertical="center" wrapText="1"/>
    </xf>
    <xf borderId="0" fillId="17" fontId="10" numFmtId="0" xfId="0" applyAlignment="1" applyFont="1">
      <alignment horizontal="left" shrinkToFit="0" vertical="center" wrapText="1"/>
    </xf>
    <xf borderId="0" fillId="17" fontId="29" numFmtId="0" xfId="0" applyAlignment="1" applyFont="1">
      <alignment horizontal="center" shrinkToFit="0" vertical="center" wrapText="1"/>
    </xf>
    <xf borderId="0" fillId="17" fontId="10" numFmtId="0" xfId="0" applyAlignment="1" applyFont="1">
      <alignment horizontal="center" shrinkToFit="0" vertical="center" wrapText="1"/>
    </xf>
    <xf borderId="34" fillId="17" fontId="10" numFmtId="0" xfId="0" applyAlignment="1" applyBorder="1" applyFont="1">
      <alignment horizontal="center" shrinkToFit="0" vertical="center" wrapText="1"/>
    </xf>
    <xf borderId="34" fillId="17" fontId="29" numFmtId="0" xfId="0" applyAlignment="1" applyBorder="1" applyFont="1">
      <alignment horizontal="center" shrinkToFit="0" vertical="center" wrapText="1"/>
    </xf>
    <xf borderId="34" fillId="17" fontId="30" numFmtId="0" xfId="0" applyAlignment="1" applyBorder="1" applyFont="1">
      <alignment horizontal="center" shrinkToFit="0" vertical="center" wrapText="1"/>
    </xf>
    <xf borderId="34" fillId="17" fontId="10" numFmtId="0" xfId="0" applyAlignment="1" applyBorder="1" applyFont="1">
      <alignment horizontal="center" shrinkToFit="0" vertical="center" wrapText="1"/>
    </xf>
    <xf borderId="34" fillId="17" fontId="10" numFmtId="0" xfId="0" applyAlignment="1" applyBorder="1" applyFont="1">
      <alignment horizontal="left" shrinkToFit="0" vertical="center" wrapText="1"/>
    </xf>
    <xf borderId="34" fillId="17" fontId="29" numFmtId="0" xfId="0" applyAlignment="1" applyBorder="1" applyFont="1">
      <alignment horizontal="center" shrinkToFit="0" vertical="center" wrapText="1"/>
    </xf>
    <xf borderId="34" fillId="0" fontId="1" numFmtId="0" xfId="0" applyAlignment="1" applyBorder="1" applyFont="1">
      <alignment horizontal="center"/>
    </xf>
    <xf borderId="17" fillId="17" fontId="10" numFmtId="0" xfId="0" applyAlignment="1" applyBorder="1" applyFont="1">
      <alignment horizontal="center" shrinkToFit="0" vertical="center" wrapText="1"/>
    </xf>
    <xf borderId="0" fillId="17" fontId="1" numFmtId="0" xfId="0" applyAlignment="1" applyFont="1">
      <alignment horizontal="center" shrinkToFit="0" vertical="center" wrapText="1"/>
    </xf>
    <xf borderId="0" fillId="17" fontId="1" numFmtId="0" xfId="0" applyAlignment="1" applyFont="1">
      <alignment horizontal="left" shrinkToFit="0" vertical="center" wrapText="1"/>
    </xf>
    <xf borderId="0" fillId="17" fontId="1" numFmtId="164" xfId="0" applyAlignment="1" applyFont="1" applyNumberFormat="1">
      <alignment horizontal="center" shrinkToFit="0" vertical="center" wrapText="1"/>
    </xf>
    <xf borderId="0" fillId="17" fontId="1" numFmtId="0" xfId="0" applyAlignment="1" applyFont="1">
      <alignment horizontal="center" shrinkToFit="0" vertical="center" wrapText="1"/>
    </xf>
    <xf borderId="0" fillId="17" fontId="1" numFmtId="0" xfId="0" applyAlignment="1" applyFont="1">
      <alignment horizontal="center"/>
    </xf>
    <xf borderId="0" fillId="17" fontId="1" numFmtId="0" xfId="0" applyAlignment="1" applyFont="1">
      <alignment horizontal="left"/>
    </xf>
    <xf borderId="0" fillId="17" fontId="1" numFmtId="0" xfId="0" applyAlignment="1" applyFont="1">
      <alignment horizontal="center" readingOrder="0"/>
    </xf>
    <xf borderId="0" fillId="12" fontId="1" numFmtId="0" xfId="0" applyAlignment="1" applyFont="1">
      <alignment readingOrder="0" shrinkToFit="0" vertical="center" wrapText="0"/>
    </xf>
    <xf borderId="0" fillId="12" fontId="10" numFmtId="0" xfId="0" applyAlignment="1" applyFont="1">
      <alignment shrinkToFit="0" wrapText="0"/>
    </xf>
    <xf borderId="0" fillId="2" fontId="10" numFmtId="0" xfId="0" applyFont="1"/>
    <xf borderId="0" fillId="13" fontId="10" numFmtId="0" xfId="0" applyAlignment="1" applyFont="1">
      <alignment shrinkToFit="0" wrapText="0"/>
    </xf>
    <xf borderId="0" fillId="18" fontId="10" numFmtId="0" xfId="0" applyAlignment="1" applyFill="1" applyFont="1">
      <alignment shrinkToFit="0" wrapText="0"/>
    </xf>
    <xf borderId="0" fillId="19" fontId="1" numFmtId="0" xfId="0" applyAlignment="1" applyFill="1" applyFont="1">
      <alignment shrinkToFit="0" vertical="center" wrapText="0"/>
    </xf>
    <xf borderId="0" fillId="2" fontId="1" numFmtId="0" xfId="0" applyAlignment="1" applyFont="1">
      <alignment shrinkToFit="0" vertical="center" wrapText="0"/>
    </xf>
    <xf borderId="0" fillId="20" fontId="1" numFmtId="0" xfId="0" applyAlignment="1" applyFill="1" applyFont="1">
      <alignment shrinkToFit="0" vertical="center" wrapText="0"/>
    </xf>
    <xf borderId="0" fillId="21" fontId="1" numFmtId="0" xfId="0" applyAlignment="1" applyFill="1" applyFont="1">
      <alignment shrinkToFit="0" vertical="center" wrapText="0"/>
    </xf>
    <xf borderId="34" fillId="19" fontId="1" numFmtId="0" xfId="0" applyAlignment="1" applyBorder="1" applyFont="1">
      <alignment shrinkToFit="0" vertical="center" wrapText="0"/>
    </xf>
    <xf borderId="34" fillId="2" fontId="1" numFmtId="0" xfId="0" applyAlignment="1" applyBorder="1" applyFont="1">
      <alignment shrinkToFit="0" vertical="center" wrapText="0"/>
    </xf>
    <xf borderId="34" fillId="20" fontId="1" numFmtId="0" xfId="0" applyAlignment="1" applyBorder="1" applyFont="1">
      <alignment shrinkToFit="0" vertical="center" wrapText="0"/>
    </xf>
    <xf borderId="34" fillId="21" fontId="1" numFmtId="0" xfId="0" applyAlignment="1" applyBorder="1" applyFont="1">
      <alignment shrinkToFit="0" vertical="center" wrapText="0"/>
    </xf>
    <xf borderId="0" fillId="18" fontId="31" numFmtId="0" xfId="0" applyAlignment="1" applyFont="1">
      <alignment readingOrder="0" shrinkToFit="0" vertical="center" wrapText="1"/>
    </xf>
    <xf borderId="0" fillId="18" fontId="10" numFmtId="0" xfId="0" applyAlignment="1" applyFont="1">
      <alignment shrinkToFit="0" wrapText="1"/>
    </xf>
    <xf borderId="0" fillId="22" fontId="10" numFmtId="0" xfId="0" applyAlignment="1" applyFill="1" applyFont="1">
      <alignment shrinkToFit="0" wrapText="1"/>
    </xf>
    <xf borderId="0" fillId="23" fontId="10" numFmtId="0" xfId="0" applyAlignment="1" applyFill="1" applyFont="1">
      <alignment shrinkToFit="0" wrapText="1"/>
    </xf>
    <xf borderId="0" fillId="21" fontId="1" numFmtId="0" xfId="0" applyAlignment="1" applyFont="1">
      <alignment shrinkToFit="0" vertical="center" wrapText="1"/>
    </xf>
    <xf borderId="0" fillId="2" fontId="1" numFmtId="0" xfId="0" applyAlignment="1" applyFont="1">
      <alignment shrinkToFit="0" vertical="center" wrapText="1"/>
    </xf>
    <xf borderId="0" fillId="24" fontId="1" numFmtId="0" xfId="0" applyAlignment="1" applyFill="1" applyFont="1">
      <alignment shrinkToFit="0" vertical="center" wrapText="1"/>
    </xf>
    <xf borderId="0" fillId="25" fontId="1" numFmtId="0" xfId="0" applyAlignment="1" applyFill="1" applyFont="1">
      <alignment shrinkToFit="0" vertical="center" wrapText="1"/>
    </xf>
    <xf borderId="34" fillId="21" fontId="1" numFmtId="0" xfId="0" applyAlignment="1" applyBorder="1" applyFont="1">
      <alignment shrinkToFit="0" vertical="center" wrapText="1"/>
    </xf>
    <xf borderId="34" fillId="2" fontId="1" numFmtId="0" xfId="0" applyAlignment="1" applyBorder="1" applyFont="1">
      <alignment shrinkToFit="0" vertical="center" wrapText="1"/>
    </xf>
    <xf borderId="34" fillId="24" fontId="1" numFmtId="0" xfId="0" applyAlignment="1" applyBorder="1" applyFont="1">
      <alignment shrinkToFit="0" vertical="center" wrapText="1"/>
    </xf>
    <xf borderId="34" fillId="25" fontId="1" numFmtId="0" xfId="0" applyAlignment="1" applyBorder="1" applyFont="1">
      <alignment shrinkToFit="0" vertical="center" wrapText="1"/>
    </xf>
    <xf borderId="0" fillId="26" fontId="1" numFmtId="0" xfId="0" applyAlignment="1" applyFill="1" applyFont="1">
      <alignment readingOrder="0" shrinkToFit="0" vertical="center" wrapText="1"/>
    </xf>
    <xf borderId="0" fillId="26" fontId="10" numFmtId="0" xfId="0" applyAlignment="1" applyFont="1">
      <alignment shrinkToFit="0" wrapText="1"/>
    </xf>
    <xf borderId="0" fillId="0" fontId="1" numFmtId="0" xfId="0" applyAlignment="1" applyFont="1">
      <alignment shrinkToFit="0" vertical="center" wrapText="1"/>
    </xf>
    <xf borderId="0" fillId="27" fontId="1" numFmtId="0" xfId="0" applyAlignment="1" applyFill="1" applyFont="1">
      <alignment shrinkToFit="0" vertical="center" wrapText="1"/>
    </xf>
    <xf borderId="0" fillId="27" fontId="1" numFmtId="0" xfId="0" applyAlignment="1" applyFont="1">
      <alignment shrinkToFit="0" vertical="center" wrapText="1"/>
    </xf>
    <xf borderId="34" fillId="27" fontId="1" numFmtId="0" xfId="0" applyAlignment="1" applyBorder="1" applyFont="1">
      <alignment shrinkToFit="0" vertical="center" wrapText="1"/>
    </xf>
    <xf borderId="34" fillId="27" fontId="1" numFmtId="0" xfId="0" applyAlignment="1" applyBorder="1" applyFont="1">
      <alignment shrinkToFit="0" vertical="center" wrapText="1"/>
    </xf>
    <xf borderId="34" fillId="0" fontId="1" numFmtId="0" xfId="0" applyAlignment="1" applyBorder="1" applyFont="1">
      <alignment shrinkToFit="0" vertical="center" wrapText="1"/>
    </xf>
    <xf borderId="0" fillId="12" fontId="1" numFmtId="0" xfId="0" applyAlignment="1" applyFont="1">
      <alignment readingOrder="0" shrinkToFit="0" wrapText="0"/>
    </xf>
    <xf borderId="0" fillId="12" fontId="10" numFmtId="0" xfId="0" applyAlignment="1" applyFont="1">
      <alignment shrinkToFit="0" vertical="bottom" wrapText="0"/>
    </xf>
    <xf borderId="0" fillId="13" fontId="10" numFmtId="0" xfId="0" applyAlignment="1" applyFont="1">
      <alignment shrinkToFit="0" vertical="bottom" wrapText="0"/>
    </xf>
    <xf borderId="0" fillId="14" fontId="10" numFmtId="0" xfId="0" applyAlignment="1" applyFont="1">
      <alignment shrinkToFit="0" vertical="bottom" wrapText="0"/>
    </xf>
    <xf borderId="0" fillId="18" fontId="10" numFmtId="0" xfId="0" applyAlignment="1" applyFont="1">
      <alignment shrinkToFit="0" vertical="bottom" wrapText="0"/>
    </xf>
    <xf borderId="0" fillId="0" fontId="1" numFmtId="0" xfId="0" applyAlignment="1" applyFont="1">
      <alignment shrinkToFit="0" wrapText="0"/>
    </xf>
    <xf borderId="0" fillId="19" fontId="1" numFmtId="0" xfId="0" applyAlignment="1" applyFont="1">
      <alignment shrinkToFit="0" wrapText="0"/>
    </xf>
    <xf borderId="0" fillId="20" fontId="1" numFmtId="0" xfId="0" applyAlignment="1" applyFont="1">
      <alignment shrinkToFit="0" wrapText="0"/>
    </xf>
    <xf borderId="0" fillId="28" fontId="1" numFmtId="0" xfId="0" applyAlignment="1" applyFill="1" applyFont="1">
      <alignment shrinkToFit="0" wrapText="0"/>
    </xf>
    <xf borderId="0" fillId="21" fontId="1" numFmtId="0" xfId="0" applyAlignment="1" applyFont="1">
      <alignment shrinkToFit="0" wrapText="0"/>
    </xf>
    <xf borderId="34" fillId="19" fontId="1" numFmtId="0" xfId="0" applyAlignment="1" applyBorder="1" applyFont="1">
      <alignment shrinkToFit="0" wrapText="0"/>
    </xf>
    <xf borderId="34" fillId="20" fontId="1" numFmtId="0" xfId="0" applyAlignment="1" applyBorder="1" applyFont="1">
      <alignment shrinkToFit="0" wrapText="0"/>
    </xf>
    <xf borderId="34" fillId="28" fontId="1" numFmtId="0" xfId="0" applyAlignment="1" applyBorder="1" applyFont="1">
      <alignment shrinkToFit="0" wrapText="0"/>
    </xf>
    <xf borderId="34" fillId="21" fontId="1" numFmtId="0" xfId="0" applyAlignment="1" applyBorder="1" applyFont="1">
      <alignment shrinkToFit="0" wrapText="0"/>
    </xf>
    <xf borderId="0" fillId="10" fontId="20" numFmtId="0" xfId="0" applyAlignment="1" applyFont="1">
      <alignment horizontal="left" readingOrder="0" vertical="center"/>
    </xf>
    <xf borderId="0" fillId="10" fontId="32" numFmtId="0" xfId="0" applyAlignment="1" applyFont="1">
      <alignment shrinkToFit="0" wrapText="1"/>
    </xf>
    <xf borderId="0" fillId="29" fontId="1" numFmtId="0" xfId="0" applyAlignment="1" applyFill="1" applyFont="1">
      <alignment horizontal="left" vertical="center"/>
    </xf>
    <xf borderId="0" fillId="29" fontId="1" numFmtId="0" xfId="0" applyAlignment="1" applyFont="1">
      <alignment horizontal="left" shrinkToFit="0" vertical="center" wrapText="1"/>
    </xf>
    <xf borderId="34" fillId="29" fontId="1" numFmtId="0" xfId="0" applyAlignment="1" applyBorder="1" applyFont="1">
      <alignment horizontal="left" vertical="center"/>
    </xf>
    <xf borderId="34" fillId="29" fontId="1" numFmtId="0" xfId="0" applyAlignment="1" applyBorder="1" applyFont="1">
      <alignment horizontal="left" shrinkToFit="0" vertical="center" wrapText="1"/>
    </xf>
    <xf borderId="0" fillId="0" fontId="10" numFmtId="0" xfId="0" applyAlignment="1" applyFont="1">
      <alignment vertical="bottom"/>
    </xf>
    <xf borderId="0" fillId="0" fontId="1" numFmtId="0" xfId="0" applyFont="1"/>
    <xf borderId="34" fillId="0" fontId="1" numFmtId="0" xfId="0" applyBorder="1" applyFont="1"/>
    <xf borderId="16" fillId="16" fontId="1" numFmtId="0" xfId="0" applyAlignment="1" applyBorder="1" applyFont="1">
      <alignment readingOrder="0"/>
    </xf>
    <xf borderId="16" fillId="15" fontId="10" numFmtId="0" xfId="0" applyAlignment="1" applyBorder="1" applyFont="1">
      <alignment horizontal="center" vertical="bottom"/>
    </xf>
    <xf borderId="16" fillId="16" fontId="1" numFmtId="0" xfId="0" applyBorder="1" applyFont="1"/>
    <xf borderId="49" fillId="16" fontId="1" numFmtId="0" xfId="0" applyBorder="1" applyFont="1"/>
    <xf borderId="25" fillId="16" fontId="1" numFmtId="0" xfId="0" applyBorder="1" applyFont="1"/>
    <xf borderId="3" fillId="0" fontId="1" numFmtId="0" xfId="0" applyAlignment="1" applyBorder="1" applyFont="1">
      <alignment readingOrder="0"/>
    </xf>
    <xf borderId="16" fillId="30" fontId="10" numFmtId="0" xfId="0" applyAlignment="1" applyBorder="1" applyFill="1" applyFont="1">
      <alignment horizontal="center" readingOrder="0"/>
    </xf>
    <xf borderId="11" fillId="31" fontId="10" numFmtId="0" xfId="0" applyAlignment="1" applyBorder="1" applyFill="1" applyFont="1">
      <alignment horizontal="center"/>
    </xf>
    <xf borderId="11" fillId="31" fontId="10" numFmtId="0" xfId="0" applyAlignment="1" applyBorder="1" applyFont="1">
      <alignment horizontal="center" vertical="bottom"/>
    </xf>
    <xf borderId="18" fillId="0" fontId="1" numFmtId="0" xfId="0" applyAlignment="1" applyBorder="1" applyFont="1">
      <alignment readingOrder="0"/>
    </xf>
    <xf borderId="17" fillId="0" fontId="1" numFmtId="0" xfId="0" applyAlignment="1" applyBorder="1" applyFont="1">
      <alignment readingOrder="0"/>
    </xf>
    <xf borderId="25" fillId="31" fontId="10" numFmtId="0" xfId="0" applyAlignment="1" applyBorder="1" applyFont="1">
      <alignment horizontal="center"/>
    </xf>
    <xf borderId="8" fillId="16" fontId="10" numFmtId="0" xfId="0" applyAlignment="1" applyBorder="1" applyFont="1">
      <alignment horizontal="center"/>
    </xf>
    <xf borderId="8" fillId="16" fontId="10" numFmtId="0" xfId="0" applyAlignment="1" applyBorder="1" applyFont="1">
      <alignment horizontal="center" vertical="bottom"/>
    </xf>
    <xf borderId="8" fillId="32" fontId="10" numFmtId="0" xfId="0" applyAlignment="1" applyBorder="1" applyFill="1" applyFont="1">
      <alignment horizontal="center"/>
    </xf>
    <xf borderId="8" fillId="7" fontId="10" numFmtId="0" xfId="0" applyAlignment="1" applyBorder="1" applyFont="1">
      <alignment horizontal="center"/>
    </xf>
    <xf borderId="8" fillId="7" fontId="10" numFmtId="0" xfId="0" applyAlignment="1" applyBorder="1" applyFont="1">
      <alignment horizontal="center" vertical="bottom"/>
    </xf>
    <xf borderId="8" fillId="33" fontId="10" numFmtId="0" xfId="0" applyAlignment="1" applyBorder="1" applyFill="1" applyFont="1">
      <alignment horizontal="center"/>
    </xf>
    <xf borderId="25" fillId="31" fontId="10" numFmtId="0" xfId="0" applyAlignment="1" applyBorder="1" applyFont="1">
      <alignment horizontal="center" vertical="bottom"/>
    </xf>
    <xf borderId="8" fillId="32" fontId="10" numFmtId="0" xfId="0" applyAlignment="1" applyBorder="1" applyFont="1">
      <alignment horizontal="center" vertical="bottom"/>
    </xf>
    <xf borderId="8" fillId="33" fontId="10" numFmtId="0" xfId="0" applyAlignment="1" applyBorder="1" applyFont="1">
      <alignment horizontal="center" vertical="bottom"/>
    </xf>
    <xf borderId="6" fillId="0" fontId="1" numFmtId="0" xfId="0" applyAlignment="1" applyBorder="1" applyFont="1">
      <alignment readingOrder="0"/>
    </xf>
    <xf borderId="8" fillId="0" fontId="1" numFmtId="0" xfId="0" applyAlignment="1" applyBorder="1" applyFont="1">
      <alignment readingOrder="0"/>
    </xf>
    <xf borderId="9" fillId="0" fontId="1" numFmtId="0" xfId="0" applyAlignment="1" applyBorder="1" applyFont="1">
      <alignment readingOrder="0"/>
    </xf>
    <xf borderId="10" fillId="0" fontId="1" numFmtId="0" xfId="0" applyAlignment="1" applyBorder="1" applyFont="1">
      <alignment readingOrder="0"/>
    </xf>
    <xf borderId="11" fillId="0" fontId="1" numFmtId="0" xfId="0" applyBorder="1" applyFont="1"/>
    <xf borderId="7" fillId="0" fontId="1" numFmtId="0" xfId="0" applyAlignment="1" applyBorder="1" applyFont="1">
      <alignment readingOrder="0"/>
    </xf>
    <xf borderId="3" fillId="34" fontId="1" numFmtId="0" xfId="0" applyAlignment="1" applyBorder="1" applyFill="1" applyFont="1">
      <alignment readingOrder="0"/>
    </xf>
    <xf borderId="4" fillId="34" fontId="1" numFmtId="0" xfId="0" applyAlignment="1" applyBorder="1" applyFont="1">
      <alignment readingOrder="0"/>
    </xf>
    <xf borderId="5" fillId="34" fontId="1" numFmtId="0" xfId="0" applyAlignment="1" applyBorder="1" applyFont="1">
      <alignment readingOrder="0"/>
    </xf>
    <xf borderId="3" fillId="0" fontId="10" numFmtId="0" xfId="0" applyAlignment="1" applyBorder="1" applyFont="1">
      <alignment vertical="bottom"/>
    </xf>
    <xf borderId="17" fillId="29" fontId="1" numFmtId="0" xfId="0" applyAlignment="1" applyBorder="1" applyFont="1">
      <alignment readingOrder="0"/>
    </xf>
    <xf borderId="0" fillId="29" fontId="1" numFmtId="0" xfId="0" applyAlignment="1" applyFont="1">
      <alignment readingOrder="0"/>
    </xf>
    <xf borderId="18" fillId="29" fontId="1" numFmtId="0" xfId="0" applyAlignment="1" applyBorder="1" applyFont="1">
      <alignment readingOrder="0"/>
    </xf>
    <xf borderId="17" fillId="0" fontId="10" numFmtId="0" xfId="0" applyAlignment="1" applyBorder="1" applyFont="1">
      <alignment vertical="bottom"/>
    </xf>
    <xf borderId="18" fillId="0" fontId="10" numFmtId="0" xfId="0" applyAlignment="1" applyBorder="1" applyFont="1">
      <alignment horizontal="right" vertical="bottom"/>
    </xf>
    <xf borderId="7" fillId="29" fontId="1" numFmtId="0" xfId="0" applyAlignment="1" applyBorder="1" applyFont="1">
      <alignment readingOrder="0"/>
    </xf>
    <xf borderId="6" fillId="29" fontId="1" numFmtId="0" xfId="0" applyAlignment="1" applyBorder="1" applyFont="1">
      <alignment readingOrder="0"/>
    </xf>
    <xf borderId="8" fillId="29" fontId="1" numFmtId="0" xfId="0" applyAlignment="1" applyBorder="1" applyFont="1">
      <alignment readingOrder="0"/>
    </xf>
    <xf borderId="7" fillId="0" fontId="10" numFmtId="0" xfId="0" applyAlignment="1" applyBorder="1" applyFont="1">
      <alignment vertical="bottom"/>
    </xf>
    <xf borderId="8" fillId="0" fontId="10" numFmtId="0" xfId="0" applyAlignment="1" applyBorder="1" applyFont="1">
      <alignment horizontal="right" vertical="bottom"/>
    </xf>
    <xf borderId="50" fillId="3" fontId="33" numFmtId="0" xfId="0" applyAlignment="1" applyBorder="1" applyFont="1">
      <alignment horizontal="center" readingOrder="0" vertical="center"/>
    </xf>
    <xf borderId="50" fillId="0" fontId="2" numFmtId="0" xfId="0" applyBorder="1" applyFont="1"/>
    <xf borderId="51" fillId="0" fontId="2" numFmtId="0" xfId="0" applyBorder="1" applyFont="1"/>
    <xf borderId="0" fillId="6" fontId="15" numFmtId="0" xfId="0" applyAlignment="1" applyFont="1">
      <alignment horizontal="left" readingOrder="0" shrinkToFit="0" vertical="center" wrapText="1"/>
    </xf>
    <xf borderId="52" fillId="0" fontId="2" numFmtId="0" xfId="0" applyBorder="1" applyFont="1"/>
    <xf borderId="53" fillId="0" fontId="2" numFmtId="0" xfId="0" applyBorder="1" applyFont="1"/>
    <xf borderId="0" fillId="5" fontId="34" numFmtId="0" xfId="0" applyAlignment="1" applyFont="1">
      <alignment readingOrder="0"/>
    </xf>
  </cellXfs>
  <cellStyles count="1">
    <cellStyle xfId="0" name="Normal" builtinId="0"/>
  </cellStyles>
  <dxfs count="50">
    <dxf>
      <font>
        <color rgb="FF999999"/>
      </font>
      <fill>
        <patternFill patternType="solid">
          <fgColor rgb="FF666666"/>
          <bgColor rgb="FF666666"/>
        </patternFill>
      </fill>
      <border/>
    </dxf>
    <dxf>
      <font>
        <color rgb="FF666666"/>
      </font>
      <fill>
        <patternFill patternType="solid">
          <fgColor rgb="FF666666"/>
          <bgColor rgb="FF666666"/>
        </patternFill>
      </fill>
      <border/>
    </dxf>
    <dxf>
      <font>
        <color rgb="FF000000"/>
      </font>
      <fill>
        <patternFill patternType="solid">
          <fgColor rgb="FF38761D"/>
          <bgColor rgb="FF38761D"/>
        </patternFill>
      </fill>
      <border/>
    </dxf>
    <dxf>
      <font>
        <color rgb="FF000000"/>
      </font>
      <fill>
        <patternFill patternType="solid">
          <fgColor rgb="FFB6D7A8"/>
          <bgColor rgb="FFB6D7A8"/>
        </patternFill>
      </fill>
      <border/>
    </dxf>
    <dxf>
      <font>
        <color rgb="FF000000"/>
      </font>
      <fill>
        <patternFill patternType="solid">
          <fgColor rgb="FF6D9EEB"/>
          <bgColor rgb="FF6D9EEB"/>
        </patternFill>
      </fill>
      <border/>
    </dxf>
    <dxf>
      <font>
        <color rgb="FFFFFFFF"/>
      </font>
      <fill>
        <patternFill patternType="solid">
          <fgColor rgb="FFCC0000"/>
          <bgColor rgb="FFCC0000"/>
        </patternFill>
      </fill>
      <border/>
    </dxf>
    <dxf>
      <font>
        <color rgb="FFFFFFFF"/>
      </font>
      <fill>
        <patternFill patternType="solid">
          <fgColor rgb="FF660000"/>
          <bgColor rgb="FF660000"/>
        </patternFill>
      </fill>
      <border/>
    </dxf>
    <dxf>
      <font>
        <color rgb="FFFFFFFF"/>
      </font>
      <fill>
        <patternFill patternType="solid">
          <fgColor rgb="FF000000"/>
          <bgColor rgb="FF000000"/>
        </patternFill>
      </fill>
      <border/>
    </dxf>
    <dxf>
      <font>
        <b/>
        <color rgb="FF000000"/>
      </font>
      <fill>
        <patternFill patternType="solid">
          <fgColor rgb="FF34A853"/>
          <bgColor rgb="FF34A853"/>
        </patternFill>
      </fill>
      <border/>
    </dxf>
    <dxf>
      <font>
        <b/>
        <color rgb="FFFFFFFF"/>
      </font>
      <fill>
        <patternFill patternType="solid">
          <fgColor rgb="FF145E28"/>
          <bgColor rgb="FF145E28"/>
        </patternFill>
      </fill>
      <border/>
    </dxf>
    <dxf>
      <font>
        <b/>
        <color rgb="FF000000"/>
      </font>
      <fill>
        <patternFill patternType="solid">
          <fgColor rgb="FFFF9900"/>
          <bgColor rgb="FFFF9900"/>
        </patternFill>
      </fill>
      <border/>
    </dxf>
    <dxf>
      <font>
        <b/>
        <color rgb="FF000000"/>
      </font>
      <fill>
        <patternFill patternType="solid">
          <fgColor rgb="FFE06666"/>
          <bgColor rgb="FFE06666"/>
        </patternFill>
      </fill>
      <border/>
    </dxf>
    <dxf>
      <font>
        <b/>
        <color rgb="FFFFFFFF"/>
      </font>
      <fill>
        <patternFill patternType="solid">
          <fgColor rgb="FF990000"/>
          <bgColor rgb="FF990000"/>
        </patternFill>
      </fill>
      <border/>
    </dxf>
    <dxf>
      <font>
        <b/>
      </font>
      <fill>
        <patternFill patternType="solid">
          <fgColor rgb="FFCCCCCC"/>
          <bgColor rgb="FFCCCCCC"/>
        </patternFill>
      </fill>
      <border/>
    </dxf>
    <dxf>
      <font>
        <b/>
        <color rgb="FF434343"/>
      </font>
      <fill>
        <patternFill patternType="solid">
          <fgColor rgb="FFA0C888"/>
          <bgColor rgb="FFA0C888"/>
        </patternFill>
      </fill>
      <border/>
    </dxf>
    <dxf>
      <font>
        <b/>
        <color rgb="FFFFFFFF"/>
      </font>
      <fill>
        <patternFill patternType="solid">
          <fgColor rgb="FF434343"/>
          <bgColor rgb="FF434343"/>
        </patternFill>
      </fill>
      <border/>
    </dxf>
    <dxf>
      <font>
        <b/>
        <color rgb="FFFFFFFF"/>
      </font>
      <fill>
        <patternFill patternType="solid">
          <fgColor rgb="FF8E7CC3"/>
          <bgColor rgb="FF8E7CC3"/>
        </patternFill>
      </fill>
      <border/>
    </dxf>
    <dxf>
      <font>
        <b/>
        <color rgb="FF434343"/>
      </font>
      <fill>
        <patternFill patternType="solid">
          <fgColor rgb="FFFFE599"/>
          <bgColor rgb="FFFFE599"/>
        </patternFill>
      </fill>
      <border/>
    </dxf>
    <dxf>
      <font>
        <b/>
        <color rgb="FF434343"/>
      </font>
      <fill>
        <patternFill patternType="solid">
          <fgColor rgb="FFE9AAC6"/>
          <bgColor rgb="FFE9AAC6"/>
        </patternFill>
      </fill>
      <border/>
    </dxf>
    <dxf>
      <font>
        <b/>
        <color rgb="FF434343"/>
      </font>
      <fill>
        <patternFill patternType="solid">
          <fgColor rgb="FFF6B26B"/>
          <bgColor rgb="FFF6B26B"/>
        </patternFill>
      </fill>
      <border/>
    </dxf>
    <dxf>
      <font>
        <b/>
        <color rgb="FFFFFFFF"/>
      </font>
      <fill>
        <patternFill patternType="solid">
          <fgColor rgb="FFE06666"/>
          <bgColor rgb="FFE06666"/>
        </patternFill>
      </fill>
      <border/>
    </dxf>
    <dxf>
      <font>
        <b/>
        <color rgb="FF434343"/>
      </font>
      <fill>
        <patternFill patternType="solid">
          <fgColor rgb="FF88BFCB"/>
          <bgColor rgb="FF88BFCB"/>
        </patternFill>
      </fill>
      <border/>
    </dxf>
    <dxf>
      <font>
        <b/>
        <color rgb="FF434343"/>
      </font>
      <fill>
        <patternFill patternType="solid">
          <fgColor rgb="FFB4A7D6"/>
          <bgColor rgb="FFB4A7D6"/>
        </patternFill>
      </fill>
      <border/>
    </dxf>
    <dxf>
      <font>
        <b/>
        <color rgb="FFFFFFFF"/>
      </font>
      <fill>
        <patternFill patternType="solid">
          <fgColor rgb="FF6AA84F"/>
          <bgColor rgb="FF6AA84F"/>
        </patternFill>
      </fill>
      <border/>
    </dxf>
    <dxf>
      <font>
        <b/>
        <color rgb="FFFFFFFF"/>
      </font>
      <fill>
        <patternFill patternType="solid">
          <fgColor rgb="FFC8A048"/>
          <bgColor rgb="FFC8A048"/>
        </patternFill>
      </fill>
      <border/>
    </dxf>
    <dxf>
      <font>
        <b/>
        <color rgb="FF434343"/>
      </font>
      <fill>
        <patternFill patternType="solid">
          <fgColor rgb="FF99CCFF"/>
          <bgColor rgb="FF99CCFF"/>
        </patternFill>
      </fill>
      <border/>
    </dxf>
    <dxf>
      <font>
        <b/>
        <color rgb="FF434343"/>
      </font>
      <fill>
        <patternFill patternType="solid">
          <fgColor rgb="FFCCCCCC"/>
          <bgColor rgb="FFCCCCCC"/>
        </patternFill>
      </fill>
      <border/>
    </dxf>
    <dxf>
      <font>
        <b/>
        <color rgb="FFFFFFFF"/>
      </font>
      <fill>
        <patternFill patternType="solid">
          <fgColor rgb="FFA64D79"/>
          <bgColor rgb="FFA64D79"/>
        </patternFill>
      </fill>
      <border/>
    </dxf>
    <dxf>
      <font>
        <b/>
        <color rgb="FFFFFFFF"/>
      </font>
      <fill>
        <patternFill patternType="solid">
          <fgColor rgb="FFEE4FAC"/>
          <bgColor rgb="FFEE4FAC"/>
        </patternFill>
      </fill>
      <border/>
    </dxf>
    <dxf>
      <font>
        <b/>
        <color rgb="FFFFFFFF"/>
      </font>
      <fill>
        <patternFill patternType="solid">
          <fgColor rgb="FF7F6000"/>
          <bgColor rgb="FF7F6000"/>
        </patternFill>
      </fill>
      <border/>
    </dxf>
    <dxf>
      <font>
        <b/>
        <color rgb="FF434343"/>
      </font>
      <fill>
        <patternFill patternType="solid">
          <fgColor rgb="FFB8B8D0"/>
          <bgColor rgb="FFB8B8D0"/>
        </patternFill>
      </fill>
      <border/>
    </dxf>
    <dxf>
      <font>
        <b/>
        <color rgb="FFFFFFFF"/>
      </font>
      <fill>
        <patternFill patternType="solid">
          <fgColor rgb="FF1155CC"/>
          <bgColor rgb="FF1155CC"/>
        </patternFill>
      </fill>
      <border/>
    </dxf>
    <dxf>
      <font>
        <color rgb="FFF6B26B"/>
      </font>
      <fill>
        <patternFill patternType="solid">
          <fgColor rgb="FFCE2918"/>
          <bgColor rgb="FFCE2918"/>
        </patternFill>
      </fill>
      <border/>
    </dxf>
    <dxf>
      <font>
        <color rgb="FFFFFFFF"/>
      </font>
      <fill>
        <patternFill patternType="solid">
          <fgColor rgb="FF5A637B"/>
          <bgColor rgb="FF5A637B"/>
        </patternFill>
      </fill>
      <border/>
    </dxf>
    <dxf>
      <font>
        <color rgb="FFEFEFEF"/>
      </font>
      <fill>
        <patternFill patternType="solid">
          <fgColor rgb="FF969296"/>
          <bgColor rgb="FF969296"/>
        </patternFill>
      </fill>
      <border/>
    </dxf>
    <dxf>
      <font>
        <b/>
      </font>
      <fill>
        <patternFill patternType="solid">
          <fgColor rgb="FFA0C888"/>
          <bgColor rgb="FFA0C888"/>
        </patternFill>
      </fill>
      <border/>
    </dxf>
    <dxf>
      <font>
        <b/>
        <color rgb="FF000000"/>
      </font>
      <fill>
        <patternFill patternType="solid">
          <fgColor rgb="FFFFE599"/>
          <bgColor rgb="FFFFE599"/>
        </patternFill>
      </fill>
      <border/>
    </dxf>
    <dxf>
      <font>
        <b/>
        <color rgb="FF000000"/>
      </font>
      <fill>
        <patternFill patternType="solid">
          <fgColor rgb="FFE9AAC6"/>
          <bgColor rgb="FFE9AAC6"/>
        </patternFill>
      </fill>
      <border/>
    </dxf>
    <dxf>
      <font>
        <b/>
        <color rgb="FF000000"/>
      </font>
      <fill>
        <patternFill patternType="solid">
          <fgColor rgb="FFF6B26B"/>
          <bgColor rgb="FFF6B26B"/>
        </patternFill>
      </fill>
      <border/>
    </dxf>
    <dxf>
      <font>
        <b/>
        <color rgb="FF000000"/>
      </font>
      <fill>
        <patternFill patternType="solid">
          <fgColor rgb="FF88BFCB"/>
          <bgColor rgb="FF88BFCB"/>
        </patternFill>
      </fill>
      <border/>
    </dxf>
    <dxf>
      <font>
        <b/>
        <color rgb="FF000000"/>
      </font>
      <fill>
        <patternFill patternType="solid">
          <fgColor rgb="FFB4A7D6"/>
          <bgColor rgb="FFB4A7D6"/>
        </patternFill>
      </fill>
      <border/>
    </dxf>
    <dxf>
      <font>
        <b/>
        <color rgb="FF000000"/>
      </font>
      <fill>
        <patternFill patternType="solid">
          <fgColor rgb="FF99CCFF"/>
          <bgColor rgb="FF99CCFF"/>
        </patternFill>
      </fill>
      <border/>
    </dxf>
    <dxf>
      <font>
        <b/>
        <color rgb="FF000000"/>
      </font>
      <fill>
        <patternFill patternType="solid">
          <fgColor rgb="FFCCCCCC"/>
          <bgColor rgb="FFCCCCCC"/>
        </patternFill>
      </fill>
      <border/>
    </dxf>
    <dxf>
      <font>
        <b/>
        <color rgb="FF000000"/>
      </font>
      <fill>
        <patternFill patternType="solid">
          <fgColor rgb="FFB8B8D0"/>
          <bgColor rgb="FFB8B8D0"/>
        </patternFill>
      </fill>
      <border/>
    </dxf>
    <dxf>
      <font>
        <b/>
        <color rgb="FFF6B26B"/>
      </font>
      <fill>
        <patternFill patternType="solid">
          <fgColor rgb="FFCE2918"/>
          <bgColor rgb="FFCE2918"/>
        </patternFill>
      </fill>
      <border/>
    </dxf>
    <dxf>
      <font>
        <b/>
        <color rgb="FFFFFFFF"/>
      </font>
      <fill>
        <patternFill patternType="solid">
          <fgColor rgb="FF5A637B"/>
          <bgColor rgb="FF5A637B"/>
        </patternFill>
      </fill>
      <border/>
    </dxf>
    <dxf>
      <font/>
      <fill>
        <patternFill patternType="solid">
          <fgColor rgb="FFE06666"/>
          <bgColor rgb="FFE06666"/>
        </patternFill>
      </fill>
      <border/>
    </dxf>
    <dxf>
      <font/>
      <fill>
        <patternFill patternType="solid">
          <fgColor rgb="FFEFEFEF"/>
          <bgColor rgb="FFEFEFEF"/>
        </patternFill>
      </fill>
      <border/>
    </dxf>
    <dxf>
      <font/>
      <fill>
        <patternFill patternType="solid">
          <fgColor rgb="FFF6B26B"/>
          <bgColor rgb="FFF6B26B"/>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w7QFULgF_RM3p4X2jajXsPaH8imGG3koIPUvfBClMMA/edit?gid=33601565"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8.0"/>
    <col customWidth="1" min="3" max="6" width="18.88"/>
    <col customWidth="1" min="7" max="10" width="3.25"/>
    <col customWidth="1" min="11" max="11" width="2.75"/>
    <col customWidth="1" min="15" max="15" width="2.75"/>
  </cols>
  <sheetData>
    <row r="1">
      <c r="A1" s="1"/>
      <c r="B1" s="1"/>
      <c r="J1" s="2"/>
      <c r="K1" s="1"/>
      <c r="L1" s="3"/>
      <c r="O1" s="1"/>
    </row>
    <row r="2">
      <c r="B2" s="4" t="s">
        <v>0</v>
      </c>
      <c r="C2" s="5"/>
      <c r="D2" s="5"/>
      <c r="E2" s="5"/>
      <c r="F2" s="5"/>
      <c r="G2" s="6"/>
      <c r="H2" s="7" t="s">
        <v>1</v>
      </c>
      <c r="I2" s="8"/>
      <c r="J2" s="8"/>
      <c r="L2" s="9" t="s">
        <v>2</v>
      </c>
      <c r="M2" s="5"/>
      <c r="N2" s="5"/>
    </row>
    <row r="3">
      <c r="B3" s="10"/>
      <c r="C3" s="8"/>
      <c r="D3" s="8"/>
      <c r="E3" s="8"/>
      <c r="F3" s="8"/>
      <c r="G3" s="11"/>
      <c r="H3" s="12">
        <v>1.0</v>
      </c>
      <c r="I3" s="13"/>
      <c r="J3" s="14"/>
      <c r="L3" s="10"/>
      <c r="M3" s="8"/>
      <c r="N3" s="8"/>
    </row>
    <row r="4" ht="7.5" customHeight="1">
      <c r="B4" s="15"/>
      <c r="C4" s="16"/>
      <c r="D4" s="16"/>
      <c r="E4" s="16"/>
      <c r="F4" s="16"/>
      <c r="G4" s="16"/>
      <c r="H4" s="16"/>
      <c r="I4" s="16"/>
      <c r="J4" s="17"/>
      <c r="L4" s="3"/>
      <c r="M4" s="1"/>
      <c r="N4" s="1"/>
    </row>
    <row r="5">
      <c r="B5" s="18" t="s">
        <v>3</v>
      </c>
      <c r="C5" s="5"/>
      <c r="D5" s="5"/>
      <c r="E5" s="5"/>
      <c r="F5" s="5"/>
      <c r="G5" s="5"/>
      <c r="H5" s="5"/>
      <c r="I5" s="5"/>
      <c r="J5" s="6"/>
      <c r="L5" s="19" t="s">
        <v>4</v>
      </c>
      <c r="M5" s="5"/>
      <c r="N5" s="6"/>
    </row>
    <row r="6">
      <c r="B6" s="20" t="s">
        <v>5</v>
      </c>
      <c r="C6" s="21" t="s">
        <v>6</v>
      </c>
      <c r="D6" s="22" t="s">
        <v>7</v>
      </c>
      <c r="E6" s="23" t="s">
        <v>8</v>
      </c>
      <c r="F6" s="21" t="s">
        <v>9</v>
      </c>
      <c r="G6" s="13"/>
      <c r="H6" s="13"/>
      <c r="I6" s="13"/>
      <c r="J6" s="13"/>
      <c r="L6" s="24"/>
      <c r="N6" s="25"/>
    </row>
    <row r="7">
      <c r="B7" s="26"/>
      <c r="C7" s="27" t="s">
        <v>10</v>
      </c>
      <c r="D7" s="28" t="s">
        <v>11</v>
      </c>
      <c r="E7" s="29">
        <v>19.0</v>
      </c>
      <c r="F7" s="30"/>
      <c r="G7" s="13"/>
      <c r="H7" s="13"/>
      <c r="I7" s="13"/>
      <c r="J7" s="14"/>
      <c r="L7" s="24"/>
      <c r="N7" s="25"/>
    </row>
    <row r="8">
      <c r="B8" s="26"/>
      <c r="C8" s="31" t="s">
        <v>12</v>
      </c>
      <c r="D8" s="32"/>
      <c r="E8" s="14"/>
      <c r="F8" s="33" t="s">
        <v>13</v>
      </c>
      <c r="G8" s="29" t="b">
        <v>1</v>
      </c>
      <c r="H8" s="29" t="b">
        <v>0</v>
      </c>
      <c r="I8" s="29" t="b">
        <v>0</v>
      </c>
      <c r="J8" s="12" t="b">
        <v>0</v>
      </c>
      <c r="L8" s="24"/>
      <c r="N8" s="25"/>
    </row>
    <row r="9">
      <c r="B9" s="34"/>
      <c r="C9" s="35" t="s">
        <v>14</v>
      </c>
      <c r="D9" s="36" t="s">
        <v>15</v>
      </c>
      <c r="E9" s="37"/>
      <c r="F9" s="38" t="s">
        <v>16</v>
      </c>
      <c r="G9" s="39" t="b">
        <v>0</v>
      </c>
      <c r="H9" s="39" t="b">
        <v>0</v>
      </c>
      <c r="I9" s="39" t="b">
        <v>0</v>
      </c>
      <c r="J9" s="40"/>
      <c r="L9" s="24"/>
      <c r="N9" s="25"/>
    </row>
    <row r="10" ht="7.5" customHeight="1">
      <c r="B10" s="15"/>
      <c r="C10" s="16"/>
      <c r="D10" s="16"/>
      <c r="E10" s="16"/>
      <c r="F10" s="16"/>
      <c r="G10" s="16"/>
      <c r="H10" s="16"/>
      <c r="I10" s="16"/>
      <c r="J10" s="17"/>
      <c r="L10" s="24"/>
      <c r="N10" s="25"/>
    </row>
    <row r="11">
      <c r="B11" s="20" t="s">
        <v>17</v>
      </c>
      <c r="C11" s="21" t="s">
        <v>6</v>
      </c>
      <c r="D11" s="22" t="s">
        <v>7</v>
      </c>
      <c r="E11" s="23" t="s">
        <v>8</v>
      </c>
      <c r="F11" s="21" t="s">
        <v>9</v>
      </c>
      <c r="G11" s="13"/>
      <c r="H11" s="13"/>
      <c r="I11" s="13"/>
      <c r="J11" s="13"/>
      <c r="L11" s="24"/>
      <c r="N11" s="25"/>
    </row>
    <row r="12">
      <c r="B12" s="26"/>
      <c r="C12" s="27" t="s">
        <v>18</v>
      </c>
      <c r="D12" s="28"/>
      <c r="E12" s="29">
        <v>1.0</v>
      </c>
      <c r="F12" s="30"/>
      <c r="G12" s="13"/>
      <c r="H12" s="13"/>
      <c r="I12" s="13"/>
      <c r="J12" s="14"/>
      <c r="L12" s="24"/>
      <c r="N12" s="25"/>
    </row>
    <row r="13">
      <c r="B13" s="26"/>
      <c r="C13" s="31" t="s">
        <v>12</v>
      </c>
      <c r="D13" s="32"/>
      <c r="E13" s="14"/>
      <c r="F13" s="33" t="s">
        <v>13</v>
      </c>
      <c r="G13" s="29" t="b">
        <v>1</v>
      </c>
      <c r="H13" s="29" t="b">
        <v>0</v>
      </c>
      <c r="I13" s="29" t="b">
        <v>0</v>
      </c>
      <c r="J13" s="12" t="b">
        <v>0</v>
      </c>
      <c r="L13" s="24"/>
      <c r="N13" s="25"/>
    </row>
    <row r="14">
      <c r="B14" s="34"/>
      <c r="C14" s="35" t="s">
        <v>14</v>
      </c>
      <c r="D14" s="36"/>
      <c r="E14" s="37"/>
      <c r="F14" s="38" t="s">
        <v>16</v>
      </c>
      <c r="G14" s="39" t="b">
        <v>0</v>
      </c>
      <c r="H14" s="39" t="b">
        <v>0</v>
      </c>
      <c r="I14" s="39" t="b">
        <v>0</v>
      </c>
      <c r="J14" s="40"/>
      <c r="L14" s="24"/>
      <c r="N14" s="25"/>
    </row>
    <row r="15" ht="7.5" customHeight="1">
      <c r="B15" s="15"/>
      <c r="C15" s="16"/>
      <c r="D15" s="16"/>
      <c r="E15" s="16"/>
      <c r="F15" s="16"/>
      <c r="G15" s="16"/>
      <c r="H15" s="16"/>
      <c r="I15" s="16"/>
      <c r="J15" s="17"/>
      <c r="L15" s="24"/>
      <c r="N15" s="25"/>
    </row>
    <row r="16">
      <c r="B16" s="20" t="s">
        <v>19</v>
      </c>
      <c r="C16" s="21" t="s">
        <v>6</v>
      </c>
      <c r="D16" s="22" t="s">
        <v>7</v>
      </c>
      <c r="E16" s="23" t="s">
        <v>8</v>
      </c>
      <c r="F16" s="21" t="s">
        <v>9</v>
      </c>
      <c r="G16" s="13"/>
      <c r="H16" s="13"/>
      <c r="I16" s="13"/>
      <c r="J16" s="13"/>
      <c r="L16" s="10"/>
      <c r="M16" s="8"/>
      <c r="N16" s="11"/>
    </row>
    <row r="17">
      <c r="B17" s="26"/>
      <c r="C17" s="27" t="s">
        <v>20</v>
      </c>
      <c r="D17" s="28"/>
      <c r="E17" s="29">
        <v>1.0</v>
      </c>
      <c r="F17" s="30"/>
      <c r="G17" s="13"/>
      <c r="H17" s="13"/>
      <c r="I17" s="13"/>
      <c r="J17" s="14"/>
      <c r="L17" s="3"/>
    </row>
    <row r="18">
      <c r="B18" s="26"/>
      <c r="C18" s="31" t="s">
        <v>12</v>
      </c>
      <c r="D18" s="41" t="s">
        <v>21</v>
      </c>
      <c r="E18" s="14"/>
      <c r="F18" s="42" t="s">
        <v>13</v>
      </c>
      <c r="G18" s="29" t="b">
        <v>1</v>
      </c>
      <c r="H18" s="29" t="b">
        <v>0</v>
      </c>
      <c r="I18" s="29" t="b">
        <v>0</v>
      </c>
      <c r="J18" s="12" t="b">
        <v>0</v>
      </c>
      <c r="L18" s="9" t="s">
        <v>22</v>
      </c>
      <c r="M18" s="5"/>
      <c r="N18" s="5"/>
    </row>
    <row r="19">
      <c r="B19" s="34"/>
      <c r="C19" s="43" t="s">
        <v>14</v>
      </c>
      <c r="D19" s="44"/>
      <c r="E19" s="37"/>
      <c r="F19" s="45" t="s">
        <v>16</v>
      </c>
      <c r="G19" s="39" t="b">
        <v>0</v>
      </c>
      <c r="H19" s="39" t="b">
        <v>0</v>
      </c>
      <c r="I19" s="39" t="b">
        <v>0</v>
      </c>
      <c r="J19" s="40"/>
      <c r="L19" s="10"/>
      <c r="M19" s="8"/>
      <c r="N19" s="8"/>
    </row>
    <row r="20" ht="7.5" customHeight="1">
      <c r="B20" s="15"/>
      <c r="C20" s="16"/>
      <c r="D20" s="16"/>
      <c r="E20" s="16"/>
      <c r="F20" s="16"/>
      <c r="G20" s="16"/>
      <c r="H20" s="16"/>
      <c r="I20" s="16"/>
      <c r="J20" s="17"/>
      <c r="L20" s="46"/>
      <c r="M20" s="5"/>
      <c r="N20" s="6"/>
    </row>
    <row r="21">
      <c r="B21" s="20" t="s">
        <v>23</v>
      </c>
      <c r="C21" s="21" t="s">
        <v>6</v>
      </c>
      <c r="D21" s="22" t="s">
        <v>7</v>
      </c>
      <c r="E21" s="23" t="s">
        <v>8</v>
      </c>
      <c r="F21" s="21" t="s">
        <v>9</v>
      </c>
      <c r="G21" s="13"/>
      <c r="H21" s="13"/>
      <c r="I21" s="13"/>
      <c r="J21" s="13"/>
      <c r="L21" s="47" t="s">
        <v>24</v>
      </c>
      <c r="M21" s="48" t="s">
        <v>25</v>
      </c>
      <c r="N21" s="49" t="s">
        <v>26</v>
      </c>
    </row>
    <row r="22">
      <c r="B22" s="26"/>
      <c r="C22" s="27" t="s">
        <v>27</v>
      </c>
      <c r="D22" s="28"/>
      <c r="E22" s="29">
        <v>1.0</v>
      </c>
      <c r="F22" s="30"/>
      <c r="G22" s="13"/>
      <c r="H22" s="13"/>
      <c r="I22" s="13"/>
      <c r="J22" s="14"/>
      <c r="L22" s="50"/>
      <c r="M22" s="51"/>
      <c r="N22" s="52">
        <f>IFERROR(IF(L26="HP Loss",MINUS(L22,M22),MINUS(L22,MULTIPLY(L26,MINUS(M22,SUM(M26,N26))))),"--")</f>
        <v>0</v>
      </c>
    </row>
    <row r="23">
      <c r="B23" s="26"/>
      <c r="C23" s="31" t="s">
        <v>12</v>
      </c>
      <c r="D23" s="53"/>
      <c r="E23" s="14"/>
      <c r="F23" s="42" t="s">
        <v>13</v>
      </c>
      <c r="G23" s="29" t="b">
        <v>1</v>
      </c>
      <c r="H23" s="29" t="b">
        <v>0</v>
      </c>
      <c r="I23" s="29" t="b">
        <v>0</v>
      </c>
      <c r="J23" s="12" t="b">
        <v>0</v>
      </c>
      <c r="L23" s="54"/>
      <c r="N23" s="25"/>
    </row>
    <row r="24">
      <c r="B24" s="34"/>
      <c r="C24" s="43" t="s">
        <v>14</v>
      </c>
      <c r="D24" s="55" t="s">
        <v>15</v>
      </c>
      <c r="E24" s="37"/>
      <c r="F24" s="45" t="s">
        <v>16</v>
      </c>
      <c r="G24" s="39" t="b">
        <v>1</v>
      </c>
      <c r="H24" s="39" t="b">
        <v>0</v>
      </c>
      <c r="I24" s="39" t="b">
        <v>0</v>
      </c>
      <c r="J24" s="40"/>
      <c r="L24" s="56" t="s">
        <v>28</v>
      </c>
      <c r="M24" s="56" t="s">
        <v>29</v>
      </c>
      <c r="N24" s="56" t="s">
        <v>30</v>
      </c>
    </row>
    <row r="25" ht="7.5" customHeight="1">
      <c r="B25" s="15"/>
      <c r="C25" s="16"/>
      <c r="D25" s="16"/>
      <c r="E25" s="16"/>
      <c r="F25" s="16"/>
      <c r="G25" s="16"/>
      <c r="H25" s="16"/>
      <c r="I25" s="16"/>
      <c r="J25" s="17"/>
      <c r="L25" s="57"/>
      <c r="M25" s="57"/>
      <c r="N25" s="57"/>
    </row>
    <row r="26">
      <c r="B26" s="20" t="s">
        <v>31</v>
      </c>
      <c r="C26" s="21" t="s">
        <v>6</v>
      </c>
      <c r="D26" s="22" t="s">
        <v>7</v>
      </c>
      <c r="E26" s="23" t="s">
        <v>8</v>
      </c>
      <c r="F26" s="21" t="s">
        <v>9</v>
      </c>
      <c r="G26" s="13"/>
      <c r="H26" s="13"/>
      <c r="I26" s="13"/>
      <c r="J26" s="13"/>
      <c r="L26" s="58">
        <v>1.0</v>
      </c>
      <c r="M26" s="50"/>
      <c r="N26" s="50"/>
    </row>
    <row r="27">
      <c r="B27" s="26"/>
      <c r="C27" s="27" t="s">
        <v>32</v>
      </c>
      <c r="D27" s="28"/>
      <c r="E27" s="29">
        <v>3.0</v>
      </c>
      <c r="F27" s="30"/>
      <c r="G27" s="13"/>
      <c r="H27" s="13"/>
      <c r="I27" s="13"/>
      <c r="J27" s="14"/>
      <c r="L27" s="59"/>
      <c r="M27" s="60"/>
      <c r="N27" s="61"/>
    </row>
    <row r="28">
      <c r="B28" s="26"/>
      <c r="C28" s="31" t="s">
        <v>12</v>
      </c>
      <c r="D28" s="53"/>
      <c r="E28" s="14"/>
      <c r="F28" s="42" t="s">
        <v>13</v>
      </c>
      <c r="G28" s="29" t="b">
        <v>1</v>
      </c>
      <c r="H28" s="29" t="b">
        <v>0</v>
      </c>
      <c r="I28" s="29" t="b">
        <v>0</v>
      </c>
      <c r="J28" s="12" t="b">
        <v>0</v>
      </c>
      <c r="L28" s="9" t="s">
        <v>33</v>
      </c>
      <c r="M28" s="5"/>
      <c r="N28" s="5"/>
    </row>
    <row r="29">
      <c r="B29" s="34"/>
      <c r="C29" s="43" t="s">
        <v>14</v>
      </c>
      <c r="D29" s="44"/>
      <c r="E29" s="37"/>
      <c r="F29" s="45" t="s">
        <v>16</v>
      </c>
      <c r="G29" s="39" t="b">
        <v>0</v>
      </c>
      <c r="H29" s="39" t="b">
        <v>0</v>
      </c>
      <c r="I29" s="39" t="b">
        <v>0</v>
      </c>
      <c r="J29" s="40"/>
      <c r="L29" s="10"/>
      <c r="M29" s="8"/>
      <c r="N29" s="8"/>
    </row>
    <row r="30" ht="7.5" customHeight="1">
      <c r="B30" s="15"/>
      <c r="C30" s="16"/>
      <c r="D30" s="16"/>
      <c r="E30" s="16"/>
      <c r="F30" s="16"/>
      <c r="G30" s="16"/>
      <c r="H30" s="16"/>
      <c r="I30" s="16"/>
      <c r="J30" s="17"/>
      <c r="L30" s="46"/>
      <c r="M30" s="62"/>
      <c r="N30" s="63"/>
    </row>
    <row r="31">
      <c r="B31" s="20" t="s">
        <v>34</v>
      </c>
      <c r="C31" s="21" t="s">
        <v>6</v>
      </c>
      <c r="D31" s="22" t="s">
        <v>7</v>
      </c>
      <c r="E31" s="23" t="s">
        <v>8</v>
      </c>
      <c r="F31" s="21" t="s">
        <v>9</v>
      </c>
      <c r="G31" s="13"/>
      <c r="H31" s="13"/>
      <c r="I31" s="13"/>
      <c r="J31" s="13"/>
      <c r="L31" s="47" t="s">
        <v>35</v>
      </c>
      <c r="M31" s="47" t="s">
        <v>36</v>
      </c>
      <c r="N31" s="47" t="s">
        <v>37</v>
      </c>
    </row>
    <row r="32">
      <c r="B32" s="26"/>
      <c r="C32" s="27" t="s">
        <v>38</v>
      </c>
      <c r="D32" s="28"/>
      <c r="E32" s="29">
        <v>1.0</v>
      </c>
      <c r="F32" s="30"/>
      <c r="G32" s="13"/>
      <c r="H32" s="13"/>
      <c r="I32" s="13"/>
      <c r="J32" s="14"/>
      <c r="L32" s="64"/>
      <c r="M32" s="64"/>
      <c r="N32" s="64"/>
    </row>
    <row r="33">
      <c r="B33" s="26"/>
      <c r="C33" s="31" t="s">
        <v>12</v>
      </c>
      <c r="D33" s="53"/>
      <c r="E33" s="14"/>
      <c r="F33" s="42" t="s">
        <v>13</v>
      </c>
      <c r="G33" s="29" t="b">
        <v>0</v>
      </c>
      <c r="H33" s="29" t="b">
        <v>0</v>
      </c>
      <c r="I33" s="29" t="b">
        <v>0</v>
      </c>
      <c r="J33" s="12" t="b">
        <v>0</v>
      </c>
      <c r="L33" s="65" t="str">
        <f>IFERROR(
 IFS(
 IF(
  NOT(ISBLANK(N32)),
  MULTIPLY(
   HLOOKUP(L32,Calculations!$F$1:$X$20,MATCH(M32,Calculations!$F$1:$F$20),FALSE),
   HLOOKUP(L32,Calculations!$F$1:$X$20,MATCH(N32,Calculations!$F$1:$F$20),FALSE)),
  HLOOKUP(L32,Calculations!$F$1:$X$20,MATCH(M32,Calculations!$F$1:$F$20),FALSE))=0.25,
 "Double Resist! [.25x]",
 IF(
  NOT(ISBLANK(N32)),
  MULTIPLY(
   HLOOKUP(L32,Calculations!$F$1:$X$20,MATCH(M32,Calculations!$F$1:$F$20),FALSE),
   HLOOKUP(L32,Calculations!$F$1:$X$20,MATCH(N32,Calculations!$F$1:$F$20),FALSE)),
  HLOOKUP(L32,Calculations!$F$1:$X$20,MATCH(M32,Calculations!$F$1:$F$20),FALSE))=0.5,
 "Resist! [.5x]",
 IF(
  NOT(ISBLANK(N32)),
  MULTIPLY(
   HLOOKUP(L32,Calculations!$F$1:$X$20,MATCH(M32,Calculations!$F$1:$F$20),FALSE),
   HLOOKUP(L32,Calculations!$F$1:$X$20,MATCH(N32,Calculations!$F$1:$F$20),FALSE)),
  HLOOKUP(L32,Calculations!$F$1:$X$20,MATCH(M32,Calculations!$F$1:$F$20),FALSE))=1,
 "Neutral Damage [1x]",
 IF(
  NOT(ISBLANK(N32)),
  MULTIPLY(
   HLOOKUP(L32,Calculations!$F$1:$X$20,MATCH(M32,Calculations!$F$1:$F$20),FALSE),
   HLOOKUP(L32,Calculations!$F$1:$X$20,MATCH(N32,Calculations!$F$1:$F$20),FALSE)),
  HLOOKUP(L32,Calculations!$F$1:$X$20,MATCH(M32,Calculations!$F$1:$F$20),FALSE))=2,
 "Super Effective! [1.5x]",
 IF(
  NOT(ISBLANK(N32)),
  MULTIPLY(
   HLOOKUP(L32,Calculations!$F$1:$X$20,MATCH(M32,Calculations!$F$1:$F$20),FALSE),
   HLOOKUP(L32,Calculations!$F$1:$X$20,MATCH(N32,Calculations!$F$1:$F$20),FALSE)),
  HLOOKUP(L32,Calculations!$F$1:$X$20,MATCH(M32,Calculations!$F$1:$F$20),FALSE))=4,
 "Double Effectiveness! [2x]",
 IF(
  NOT(ISBLANK(N32)),
  MULTIPLY(
   HLOOKUP(L32,Calculations!$F$1:$X$20,MATCH(M32,Calculations!$F$1:$F$20),FALSE),
   HLOOKUP(L32,Calculations!$F$1:$X$20,MATCH(N32,Calculations!$F$1:$F$20),FALSE)),
  HLOOKUP(L32,Calculations!$F$1:$X$20,MATCH(M32,Calculations!$F$1:$F$20),FALSE))=0,
 "Immune! [0x]"),
"Slot some types to get some info!")</f>
        <v>Slot some types to get some info!</v>
      </c>
      <c r="M33" s="13"/>
      <c r="N33" s="14"/>
    </row>
    <row r="34">
      <c r="B34" s="34"/>
      <c r="C34" s="43" t="s">
        <v>14</v>
      </c>
      <c r="D34" s="44"/>
      <c r="E34" s="37"/>
      <c r="F34" s="45" t="s">
        <v>16</v>
      </c>
      <c r="G34" s="39" t="b">
        <v>0</v>
      </c>
      <c r="H34" s="39" t="b">
        <v>0</v>
      </c>
      <c r="I34" s="39" t="b">
        <v>0</v>
      </c>
      <c r="J34" s="40"/>
      <c r="L34" s="3"/>
    </row>
    <row r="35" ht="7.5" customHeight="1">
      <c r="B35" s="15"/>
      <c r="C35" s="16"/>
      <c r="D35" s="16"/>
      <c r="E35" s="16"/>
      <c r="F35" s="16"/>
      <c r="G35" s="16"/>
      <c r="H35" s="16"/>
      <c r="I35" s="16"/>
      <c r="J35" s="17"/>
      <c r="L35" s="66"/>
    </row>
    <row r="36">
      <c r="B36" s="20" t="s">
        <v>39</v>
      </c>
      <c r="C36" s="21" t="s">
        <v>6</v>
      </c>
      <c r="D36" s="22" t="s">
        <v>7</v>
      </c>
      <c r="E36" s="23" t="s">
        <v>8</v>
      </c>
      <c r="F36" s="21" t="s">
        <v>9</v>
      </c>
      <c r="G36" s="13"/>
      <c r="H36" s="13"/>
      <c r="I36" s="13"/>
      <c r="J36" s="13"/>
      <c r="L36" s="66"/>
    </row>
    <row r="37">
      <c r="B37" s="26"/>
      <c r="C37" s="27" t="s">
        <v>40</v>
      </c>
      <c r="D37" s="28"/>
      <c r="E37" s="29">
        <v>3.0</v>
      </c>
      <c r="F37" s="30"/>
      <c r="G37" s="13"/>
      <c r="H37" s="13"/>
      <c r="I37" s="13"/>
      <c r="J37" s="14"/>
      <c r="L37" s="66"/>
    </row>
    <row r="38">
      <c r="B38" s="26"/>
      <c r="C38" s="31" t="s">
        <v>12</v>
      </c>
      <c r="D38" s="41" t="s">
        <v>41</v>
      </c>
      <c r="E38" s="14"/>
      <c r="F38" s="42" t="s">
        <v>13</v>
      </c>
      <c r="G38" s="29" t="b">
        <v>0</v>
      </c>
      <c r="H38" s="29" t="b">
        <v>0</v>
      </c>
      <c r="I38" s="29" t="b">
        <v>0</v>
      </c>
      <c r="J38" s="12" t="b">
        <v>0</v>
      </c>
      <c r="L38" s="66"/>
    </row>
    <row r="39">
      <c r="B39" s="34"/>
      <c r="C39" s="43" t="s">
        <v>14</v>
      </c>
      <c r="D39" s="44"/>
      <c r="E39" s="37"/>
      <c r="F39" s="45" t="s">
        <v>16</v>
      </c>
      <c r="G39" s="39" t="b">
        <v>0</v>
      </c>
      <c r="H39" s="39" t="b">
        <v>0</v>
      </c>
      <c r="I39" s="39" t="b">
        <v>0</v>
      </c>
      <c r="J39" s="40"/>
      <c r="L39" s="66"/>
    </row>
    <row r="40" ht="7.5" customHeight="1">
      <c r="B40" s="15"/>
      <c r="C40" s="16"/>
      <c r="D40" s="16"/>
      <c r="E40" s="16"/>
      <c r="F40" s="16"/>
      <c r="G40" s="16"/>
      <c r="H40" s="16"/>
      <c r="I40" s="16"/>
      <c r="J40" s="17"/>
      <c r="L40" s="66"/>
    </row>
    <row r="41">
      <c r="B41" s="20" t="s">
        <v>42</v>
      </c>
      <c r="C41" s="21" t="s">
        <v>6</v>
      </c>
      <c r="D41" s="22" t="s">
        <v>7</v>
      </c>
      <c r="E41" s="23" t="s">
        <v>8</v>
      </c>
      <c r="F41" s="21" t="s">
        <v>9</v>
      </c>
      <c r="G41" s="13"/>
      <c r="H41" s="13"/>
      <c r="I41" s="13"/>
      <c r="J41" s="13"/>
      <c r="L41" s="66"/>
    </row>
    <row r="42">
      <c r="B42" s="26"/>
      <c r="C42" s="27" t="s">
        <v>43</v>
      </c>
      <c r="D42" s="28"/>
      <c r="E42" s="29">
        <v>100.0</v>
      </c>
      <c r="F42" s="30"/>
      <c r="G42" s="13"/>
      <c r="H42" s="13"/>
      <c r="I42" s="13"/>
      <c r="J42" s="14"/>
      <c r="L42" s="66"/>
    </row>
    <row r="43">
      <c r="B43" s="26"/>
      <c r="C43" s="31" t="s">
        <v>12</v>
      </c>
      <c r="D43" s="41"/>
      <c r="E43" s="14"/>
      <c r="F43" s="42" t="s">
        <v>13</v>
      </c>
      <c r="G43" s="29" t="b">
        <v>1</v>
      </c>
      <c r="H43" s="29" t="b">
        <v>0</v>
      </c>
      <c r="I43" s="29" t="b">
        <v>0</v>
      </c>
      <c r="J43" s="12" t="b">
        <v>0</v>
      </c>
      <c r="L43" s="66"/>
    </row>
    <row r="44">
      <c r="B44" s="34"/>
      <c r="C44" s="43" t="s">
        <v>14</v>
      </c>
      <c r="D44" s="44"/>
      <c r="E44" s="37"/>
      <c r="F44" s="45" t="s">
        <v>16</v>
      </c>
      <c r="G44" s="67" t="b">
        <v>1</v>
      </c>
      <c r="H44" s="67" t="b">
        <v>0</v>
      </c>
      <c r="I44" s="67" t="b">
        <v>0</v>
      </c>
      <c r="J44" s="68"/>
      <c r="L44" s="66"/>
    </row>
    <row r="45" ht="7.5" customHeight="1">
      <c r="B45" s="15"/>
      <c r="C45" s="16"/>
      <c r="D45" s="16"/>
      <c r="E45" s="16"/>
      <c r="F45" s="16"/>
      <c r="G45" s="16"/>
      <c r="H45" s="16"/>
      <c r="I45" s="16"/>
      <c r="J45" s="17"/>
      <c r="L45" s="66"/>
    </row>
    <row r="46">
      <c r="B46" s="69" t="s">
        <v>44</v>
      </c>
      <c r="C46" s="70" t="s">
        <v>6</v>
      </c>
      <c r="D46" s="71" t="s">
        <v>7</v>
      </c>
      <c r="E46" s="72" t="s">
        <v>8</v>
      </c>
      <c r="F46" s="70" t="s">
        <v>9</v>
      </c>
      <c r="G46" s="73"/>
      <c r="H46" s="73"/>
      <c r="I46" s="73"/>
      <c r="J46" s="73"/>
      <c r="L46" s="66"/>
    </row>
    <row r="47">
      <c r="B47" s="26"/>
      <c r="C47" s="27"/>
      <c r="D47" s="28"/>
      <c r="E47" s="29"/>
      <c r="F47" s="30"/>
      <c r="G47" s="13"/>
      <c r="H47" s="13"/>
      <c r="I47" s="13"/>
      <c r="J47" s="14"/>
      <c r="L47" s="66"/>
    </row>
    <row r="48">
      <c r="B48" s="26"/>
      <c r="C48" s="31" t="s">
        <v>12</v>
      </c>
      <c r="D48" s="53"/>
      <c r="E48" s="14"/>
      <c r="F48" s="42" t="s">
        <v>13</v>
      </c>
      <c r="G48" s="29" t="b">
        <v>1</v>
      </c>
      <c r="H48" s="29" t="b">
        <v>0</v>
      </c>
      <c r="I48" s="29" t="b">
        <v>0</v>
      </c>
      <c r="J48" s="12" t="b">
        <v>0</v>
      </c>
      <c r="L48" s="66"/>
    </row>
    <row r="49">
      <c r="B49" s="34"/>
      <c r="C49" s="43" t="s">
        <v>14</v>
      </c>
      <c r="D49" s="44"/>
      <c r="E49" s="37"/>
      <c r="F49" s="45" t="s">
        <v>16</v>
      </c>
      <c r="G49" s="67" t="b">
        <v>1</v>
      </c>
      <c r="H49" s="67" t="b">
        <v>0</v>
      </c>
      <c r="I49" s="67" t="b">
        <v>0</v>
      </c>
      <c r="J49" s="68"/>
      <c r="L49" s="66"/>
    </row>
    <row r="50" ht="7.5" customHeight="1">
      <c r="B50" s="15"/>
      <c r="C50" s="16"/>
      <c r="D50" s="16"/>
      <c r="E50" s="16"/>
      <c r="F50" s="16"/>
      <c r="G50" s="16"/>
      <c r="H50" s="16"/>
      <c r="I50" s="16"/>
      <c r="J50" s="17"/>
      <c r="L50" s="66"/>
    </row>
    <row r="51">
      <c r="B51" s="69" t="s">
        <v>45</v>
      </c>
      <c r="C51" s="70" t="s">
        <v>6</v>
      </c>
      <c r="D51" s="71" t="s">
        <v>7</v>
      </c>
      <c r="E51" s="72" t="s">
        <v>8</v>
      </c>
      <c r="F51" s="70" t="s">
        <v>9</v>
      </c>
      <c r="G51" s="73"/>
      <c r="H51" s="73"/>
      <c r="I51" s="73"/>
      <c r="J51" s="73"/>
      <c r="L51" s="66"/>
    </row>
    <row r="52">
      <c r="B52" s="26"/>
      <c r="C52" s="27"/>
      <c r="D52" s="28"/>
      <c r="E52" s="29"/>
      <c r="F52" s="30"/>
      <c r="G52" s="13"/>
      <c r="H52" s="13"/>
      <c r="I52" s="13"/>
      <c r="J52" s="14"/>
      <c r="L52" s="66"/>
    </row>
    <row r="53">
      <c r="B53" s="26"/>
      <c r="C53" s="31" t="s">
        <v>12</v>
      </c>
      <c r="D53" s="53"/>
      <c r="E53" s="14"/>
      <c r="F53" s="42" t="s">
        <v>13</v>
      </c>
      <c r="G53" s="29" t="b">
        <v>1</v>
      </c>
      <c r="H53" s="29" t="b">
        <v>0</v>
      </c>
      <c r="I53" s="29" t="b">
        <v>0</v>
      </c>
      <c r="J53" s="12" t="b">
        <v>0</v>
      </c>
      <c r="L53" s="66"/>
    </row>
    <row r="54">
      <c r="B54" s="34"/>
      <c r="C54" s="43" t="s">
        <v>14</v>
      </c>
      <c r="D54" s="44"/>
      <c r="E54" s="37"/>
      <c r="F54" s="45" t="s">
        <v>16</v>
      </c>
      <c r="G54" s="39" t="b">
        <v>1</v>
      </c>
      <c r="H54" s="39" t="b">
        <v>0</v>
      </c>
      <c r="I54" s="39" t="b">
        <v>0</v>
      </c>
      <c r="J54" s="40"/>
      <c r="L54" s="66"/>
    </row>
    <row r="55" ht="7.5" customHeight="1">
      <c r="B55" s="15"/>
      <c r="C55" s="16"/>
      <c r="D55" s="16"/>
      <c r="E55" s="16"/>
      <c r="F55" s="16"/>
      <c r="G55" s="16"/>
      <c r="H55" s="16"/>
      <c r="I55" s="16"/>
      <c r="J55" s="17"/>
      <c r="L55" s="3"/>
      <c r="M55" s="1"/>
      <c r="N55" s="1"/>
    </row>
  </sheetData>
  <mergeCells count="82">
    <mergeCell ref="H2:J2"/>
    <mergeCell ref="H3:J3"/>
    <mergeCell ref="B4:J4"/>
    <mergeCell ref="B5:J5"/>
    <mergeCell ref="F6:J6"/>
    <mergeCell ref="F7:J7"/>
    <mergeCell ref="B10:J10"/>
    <mergeCell ref="B11:B14"/>
    <mergeCell ref="F11:J11"/>
    <mergeCell ref="F12:J12"/>
    <mergeCell ref="D13:E13"/>
    <mergeCell ref="D14:E14"/>
    <mergeCell ref="B15:J15"/>
    <mergeCell ref="B16:B19"/>
    <mergeCell ref="F16:J16"/>
    <mergeCell ref="F17:J17"/>
    <mergeCell ref="D18:E18"/>
    <mergeCell ref="D19:E19"/>
    <mergeCell ref="L17:N17"/>
    <mergeCell ref="L18:N19"/>
    <mergeCell ref="B20:J20"/>
    <mergeCell ref="L20:N20"/>
    <mergeCell ref="L33:N33"/>
    <mergeCell ref="L34:N54"/>
    <mergeCell ref="F36:J36"/>
    <mergeCell ref="F37:J37"/>
    <mergeCell ref="D38:E38"/>
    <mergeCell ref="D39:E39"/>
    <mergeCell ref="B40:J40"/>
    <mergeCell ref="B41:B44"/>
    <mergeCell ref="F41:J41"/>
    <mergeCell ref="F42:J42"/>
    <mergeCell ref="D43:E43"/>
    <mergeCell ref="D44:E44"/>
    <mergeCell ref="B45:J45"/>
    <mergeCell ref="B46:B49"/>
    <mergeCell ref="F46:J46"/>
    <mergeCell ref="F47:J47"/>
    <mergeCell ref="D48:E48"/>
    <mergeCell ref="D49:E49"/>
    <mergeCell ref="B50:J50"/>
    <mergeCell ref="B51:B54"/>
    <mergeCell ref="F51:J51"/>
    <mergeCell ref="F52:J52"/>
    <mergeCell ref="D53:E53"/>
    <mergeCell ref="D54:E54"/>
    <mergeCell ref="A1:A55"/>
    <mergeCell ref="B1:J1"/>
    <mergeCell ref="K1:K55"/>
    <mergeCell ref="L1:N1"/>
    <mergeCell ref="O1:O55"/>
    <mergeCell ref="L2:N3"/>
    <mergeCell ref="L5:N16"/>
    <mergeCell ref="B55:J55"/>
    <mergeCell ref="B2:G3"/>
    <mergeCell ref="B6:B9"/>
    <mergeCell ref="D8:E8"/>
    <mergeCell ref="D9:E9"/>
    <mergeCell ref="B21:B24"/>
    <mergeCell ref="F21:J21"/>
    <mergeCell ref="F22:J22"/>
    <mergeCell ref="D23:E23"/>
    <mergeCell ref="D24:E24"/>
    <mergeCell ref="L23:N23"/>
    <mergeCell ref="L24:L25"/>
    <mergeCell ref="M24:M25"/>
    <mergeCell ref="N24:N25"/>
    <mergeCell ref="B25:J25"/>
    <mergeCell ref="B26:B29"/>
    <mergeCell ref="F26:J26"/>
    <mergeCell ref="F27:J27"/>
    <mergeCell ref="D28:E28"/>
    <mergeCell ref="D29:E29"/>
    <mergeCell ref="L28:N29"/>
    <mergeCell ref="B30:J30"/>
    <mergeCell ref="B31:B34"/>
    <mergeCell ref="F31:J31"/>
    <mergeCell ref="F32:J32"/>
    <mergeCell ref="D33:E33"/>
    <mergeCell ref="D34:E34"/>
    <mergeCell ref="B35:J35"/>
    <mergeCell ref="B36:B39"/>
  </mergeCells>
  <conditionalFormatting sqref="B6:J9">
    <cfRule type="expression" dxfId="0" priority="1">
      <formula>OR(AND(ISBLANK($E$7)=FALSE,$E$7=0),AND($G$8=FALSE,$H$8=FALSE,$I$8=FALSE,$J$8=FALSE))</formula>
    </cfRule>
  </conditionalFormatting>
  <conditionalFormatting sqref="B11:J14">
    <cfRule type="expression" dxfId="0" priority="2">
      <formula>OR(AND(ISBLANK($E$12)=FALSE,$E$12=0),AND($G$13=FALSE,$H$13=FALSE,$I$13=FALSE,$J$13=FALSE))</formula>
    </cfRule>
  </conditionalFormatting>
  <conditionalFormatting sqref="B16:J19">
    <cfRule type="expression" dxfId="0" priority="3">
      <formula>OR(AND(ISBLANK($E$17)=FALSE,$E$17=0),AND($G$18=FALSE,$H$18=FALSE,$I$18=FALSE,$J$18=FALSE))</formula>
    </cfRule>
  </conditionalFormatting>
  <conditionalFormatting sqref="B21:J24">
    <cfRule type="expression" dxfId="0" priority="4">
      <formula>OR(AND(ISBLANK($E$22)=FALSE,$E$22=0)=0,AND($G$23=FALSE,$H$23=FALSE,$I$23=FALSE,$J$23=FALSE))</formula>
    </cfRule>
  </conditionalFormatting>
  <conditionalFormatting sqref="B26:J29">
    <cfRule type="expression" dxfId="0" priority="5">
      <formula>OR(AND(ISBLANK($E$27)=FALSE,$E$27=0),AND($G$28=FALSE,$H$28=FALSE,$I$28=FALSE,$J$28=FALSE))</formula>
    </cfRule>
  </conditionalFormatting>
  <conditionalFormatting sqref="B31:J34">
    <cfRule type="expression" dxfId="0" priority="6">
      <formula>OR(AND(ISBLANK($E$32)=FALSE,$E$32=0),AND($G$33=FALSE,$H$33=FALSE,$I$33=FALSE,$J$33=FALSE))</formula>
    </cfRule>
  </conditionalFormatting>
  <conditionalFormatting sqref="B36:J39">
    <cfRule type="expression" dxfId="0" priority="7">
      <formula>OR(AND(ISBLANK($E$37)=FALSE,$E$37=0),AND($G$38=FALSE,$H$38=FALSE,$I$38=FALSE,$J$38=FALSE))</formula>
    </cfRule>
  </conditionalFormatting>
  <conditionalFormatting sqref="B41:J44">
    <cfRule type="expression" dxfId="0" priority="8">
      <formula>OR(AND(ISBLANK($E$42)=FALSE,$E$42=0),AND($G$43=FALSE,$H$43=FALSE,$I$43=FALSE,$J$43=FALSE))</formula>
    </cfRule>
  </conditionalFormatting>
  <conditionalFormatting sqref="B46:J49">
    <cfRule type="expression" dxfId="0" priority="9">
      <formula>OR(AND(ISBLANK($E$47)=FALSE,$E$47=0),AND($G$48=FALSE,$H$48=FALSE,$I$48=FALSE,$J$48=FALSE))</formula>
    </cfRule>
  </conditionalFormatting>
  <conditionalFormatting sqref="B51:J54">
    <cfRule type="expression" dxfId="0" priority="10">
      <formula>OR(AND(ISBLANK($E$52)=FALSE,$E$52=0),AND($G$53=FALSE,$H$53=FALSE,$I$53=FALSE,$J$53=FALSE))</formula>
    </cfRule>
  </conditionalFormatting>
  <conditionalFormatting sqref="H8:J8">
    <cfRule type="expression" dxfId="1" priority="11">
      <formula>ISERROR(SEARCH("Boss", $D$7))</formula>
    </cfRule>
  </conditionalFormatting>
  <conditionalFormatting sqref="H13:J13">
    <cfRule type="expression" dxfId="1" priority="12">
      <formula>ISERROR(SEARCH("Boss", $D$12))</formula>
    </cfRule>
  </conditionalFormatting>
  <conditionalFormatting sqref="H18:J18">
    <cfRule type="expression" dxfId="1" priority="13">
      <formula>ISERROR(SEARCH("Boss", $D$17))</formula>
    </cfRule>
  </conditionalFormatting>
  <conditionalFormatting sqref="H23:J23">
    <cfRule type="expression" dxfId="1" priority="14">
      <formula>ISERROR(SEARCH("Boss", $D$22))</formula>
    </cfRule>
  </conditionalFormatting>
  <conditionalFormatting sqref="H28:J28">
    <cfRule type="expression" dxfId="1" priority="15">
      <formula>ISERROR(SEARCH("Boss", $D$27))</formula>
    </cfRule>
  </conditionalFormatting>
  <conditionalFormatting sqref="H33:J33">
    <cfRule type="expression" dxfId="1" priority="16">
      <formula>ISERROR(SEARCH("Boss", $D$32))</formula>
    </cfRule>
  </conditionalFormatting>
  <conditionalFormatting sqref="H38:J38">
    <cfRule type="expression" dxfId="1" priority="17">
      <formula>ISERROR(SEARCH("Boss", $D$37))</formula>
    </cfRule>
  </conditionalFormatting>
  <conditionalFormatting sqref="H43:J43">
    <cfRule type="expression" dxfId="1" priority="18">
      <formula>ISERROR(SEARCH("Boss", $D$42))</formula>
    </cfRule>
  </conditionalFormatting>
  <conditionalFormatting sqref="H48:J48">
    <cfRule type="expression" dxfId="1" priority="19">
      <formula>ISERROR(SEARCH("Boss", $D$47))</formula>
    </cfRule>
  </conditionalFormatting>
  <conditionalFormatting sqref="H53:J53">
    <cfRule type="expression" dxfId="1" priority="20">
      <formula>ISERROR(SEARCH("Boss", $D$52))</formula>
    </cfRule>
  </conditionalFormatting>
  <conditionalFormatting sqref="H9:I9">
    <cfRule type="expression" dxfId="1" priority="21">
      <formula>ISERROR(SEARCH("Boss", $D$7))</formula>
    </cfRule>
  </conditionalFormatting>
  <conditionalFormatting sqref="H14:I14">
    <cfRule type="expression" dxfId="1" priority="22">
      <formula>ISERROR(SEARCH("Boss", $D$12))</formula>
    </cfRule>
  </conditionalFormatting>
  <conditionalFormatting sqref="H19:I19">
    <cfRule type="expression" dxfId="1" priority="23">
      <formula>ISERROR(SEARCH("Boss", $D$17))</formula>
    </cfRule>
  </conditionalFormatting>
  <conditionalFormatting sqref="H24:I24">
    <cfRule type="expression" dxfId="1" priority="24">
      <formula>ISERROR(SEARCH("Boss", $D$22))</formula>
    </cfRule>
  </conditionalFormatting>
  <conditionalFormatting sqref="H29:I29">
    <cfRule type="expression" dxfId="1" priority="25">
      <formula>ISERROR(SEARCH("Boss", $D$27))</formula>
    </cfRule>
  </conditionalFormatting>
  <conditionalFormatting sqref="H34:I34">
    <cfRule type="expression" dxfId="1" priority="26">
      <formula>ISERROR(SEARCH("Boss", $D$32))</formula>
    </cfRule>
  </conditionalFormatting>
  <conditionalFormatting sqref="H39:I39">
    <cfRule type="expression" dxfId="1" priority="27">
      <formula>ISERROR(SEARCH("Boss", $D$37))</formula>
    </cfRule>
  </conditionalFormatting>
  <conditionalFormatting sqref="H44:I44">
    <cfRule type="expression" dxfId="1" priority="28">
      <formula>ISERROR(SEARCH("Boss", $D$42))</formula>
    </cfRule>
  </conditionalFormatting>
  <conditionalFormatting sqref="H49:I49">
    <cfRule type="expression" dxfId="1" priority="29">
      <formula>ISERROR(SEARCH("Boss", $D$47))</formula>
    </cfRule>
  </conditionalFormatting>
  <conditionalFormatting sqref="H54:I54">
    <cfRule type="expression" dxfId="1" priority="30">
      <formula>ISERROR(SEARCH("Boss", $D$52))</formula>
    </cfRule>
  </conditionalFormatting>
  <conditionalFormatting sqref="L33:N33">
    <cfRule type="containsText" dxfId="2" priority="31" operator="containsText" text="2x">
      <formula>NOT(ISERROR(SEARCH(("2x"),(L33))))</formula>
    </cfRule>
  </conditionalFormatting>
  <conditionalFormatting sqref="L33:N33">
    <cfRule type="containsText" dxfId="3" priority="32" operator="containsText" text="1.5x">
      <formula>NOT(ISERROR(SEARCH(("1.5x"),(L33))))</formula>
    </cfRule>
  </conditionalFormatting>
  <conditionalFormatting sqref="L33:N33">
    <cfRule type="containsText" dxfId="4" priority="33" operator="containsText" text="1x">
      <formula>NOT(ISERROR(SEARCH(("1x"),(L33))))</formula>
    </cfRule>
  </conditionalFormatting>
  <conditionalFormatting sqref="L33:N33">
    <cfRule type="containsText" dxfId="5" priority="34" operator="containsText" text=".5x">
      <formula>NOT(ISERROR(SEARCH((".5x"),(L33))))</formula>
    </cfRule>
  </conditionalFormatting>
  <conditionalFormatting sqref="L33:N33">
    <cfRule type="containsText" dxfId="6" priority="35" operator="containsText" text=".25x">
      <formula>NOT(ISERROR(SEARCH((".25x"),(L33))))</formula>
    </cfRule>
  </conditionalFormatting>
  <conditionalFormatting sqref="L33:N33">
    <cfRule type="containsText" dxfId="7" priority="36" operator="containsText" text="0x">
      <formula>NOT(ISERROR(SEARCH(("0x"),(L33))))</formula>
    </cfRule>
  </conditionalFormatting>
  <dataValidations>
    <dataValidation type="list" allowBlank="1" sqref="D7 D12 D17 D22 D27 D32 D37 D42 D47 D52">
      <formula1>"Boss (Alpha),Boss (Guardian),Boss (Swarm),Pokémon,Trainer,NPC,Minion (Offensive),Minion (Defensive),Minion (Supportive)"</formula1>
    </dataValidation>
    <dataValidation type="list" allowBlank="1" sqref="L32:N32">
      <formula1>Calculations!$F$2:$F$20</formula1>
    </dataValidation>
    <dataValidation type="list" allowBlank="1" sqref="L26">
      <formula1>"0.25,0.5,1,1.5,2,HP Loss"</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 t="s">
        <v>46</v>
      </c>
      <c r="B1" s="75"/>
      <c r="C1" s="75"/>
      <c r="D1" s="75"/>
      <c r="E1" s="75"/>
      <c r="F1" s="76"/>
    </row>
    <row r="2">
      <c r="A2" s="77"/>
      <c r="B2" s="78"/>
      <c r="C2" s="78"/>
      <c r="D2" s="78"/>
      <c r="E2" s="78"/>
      <c r="F2" s="79"/>
    </row>
    <row r="3">
      <c r="A3" s="80" t="s">
        <v>47</v>
      </c>
      <c r="B3" s="81"/>
      <c r="C3" s="82"/>
      <c r="D3" s="83" t="s">
        <v>48</v>
      </c>
      <c r="E3" s="81"/>
      <c r="F3" s="82"/>
    </row>
    <row r="4">
      <c r="A4" s="84" t="s">
        <v>49</v>
      </c>
      <c r="B4" s="84" t="s">
        <v>50</v>
      </c>
      <c r="C4" s="85" t="s">
        <v>51</v>
      </c>
      <c r="D4" s="86" t="s">
        <v>49</v>
      </c>
      <c r="E4" s="84" t="s">
        <v>52</v>
      </c>
      <c r="F4" s="84" t="s">
        <v>51</v>
      </c>
    </row>
    <row r="5">
      <c r="A5" s="87">
        <v>3.0</v>
      </c>
      <c r="B5" s="87">
        <v>1.0</v>
      </c>
      <c r="C5" s="88"/>
      <c r="D5" s="89"/>
      <c r="E5" s="87"/>
      <c r="F5" s="90"/>
    </row>
    <row r="6">
      <c r="A6" s="91" t="s">
        <v>52</v>
      </c>
      <c r="B6" s="91" t="s">
        <v>53</v>
      </c>
      <c r="C6" s="92" t="s">
        <v>54</v>
      </c>
      <c r="D6" s="93" t="s">
        <v>50</v>
      </c>
      <c r="E6" s="91" t="s">
        <v>55</v>
      </c>
      <c r="F6" s="91" t="s">
        <v>54</v>
      </c>
    </row>
    <row r="7">
      <c r="A7" s="94">
        <v>3.0</v>
      </c>
      <c r="B7" s="94">
        <v>5.0</v>
      </c>
      <c r="C7" s="88"/>
      <c r="D7" s="89"/>
      <c r="E7" s="87"/>
      <c r="F7" s="90"/>
    </row>
    <row r="8">
      <c r="A8" s="95" t="s">
        <v>56</v>
      </c>
      <c r="B8" s="96" t="str">
        <f>IFS(
  F9-C9&lt;=-4, "Very Easy",
  F9-C9&lt;=-1, "Easy",
  F9-C9&lt;=1, "Balanced",
  F9-C9&lt;=4, "Hard",
  F9-C9&gt;=5, "Very Hard"
)</f>
        <v>Very Easy</v>
      </c>
      <c r="C8" s="97" t="s">
        <v>57</v>
      </c>
      <c r="D8" s="93" t="s">
        <v>58</v>
      </c>
      <c r="E8" s="91" t="s">
        <v>59</v>
      </c>
      <c r="F8" s="91" t="s">
        <v>60</v>
      </c>
    </row>
    <row r="9">
      <c r="A9" s="98"/>
      <c r="B9" s="98"/>
      <c r="C9" s="99">
        <f>A5+A7+C5-C7</f>
        <v>6</v>
      </c>
      <c r="D9" s="100">
        <f>IFS(D7&lt;=B5-4, 0.5, D7&gt;=B5+4, 2, TRUE, 1)</f>
        <v>1</v>
      </c>
      <c r="E9" s="101">
        <f>IFS(E7&lt;=B7/2, 0.5, E7&gt;=B7*2, 3, TRUE, 1)</f>
        <v>0.5</v>
      </c>
      <c r="F9" s="101">
        <f>D5+E5+F5-F7</f>
        <v>0</v>
      </c>
    </row>
  </sheetData>
  <mergeCells count="5">
    <mergeCell ref="A1:F2"/>
    <mergeCell ref="A3:C3"/>
    <mergeCell ref="D3:F3"/>
    <mergeCell ref="A8:A9"/>
    <mergeCell ref="B8:B9"/>
  </mergeCells>
  <conditionalFormatting sqref="B8:B9">
    <cfRule type="cellIs" dxfId="8" priority="1" operator="equal">
      <formula>"Very Easy"</formula>
    </cfRule>
  </conditionalFormatting>
  <conditionalFormatting sqref="B8:B9">
    <cfRule type="cellIs" dxfId="9" priority="2" operator="equal">
      <formula>"Easy"</formula>
    </cfRule>
  </conditionalFormatting>
  <conditionalFormatting sqref="B8:B9">
    <cfRule type="cellIs" dxfId="10" priority="3" operator="equal">
      <formula>"Balanced"</formula>
    </cfRule>
  </conditionalFormatting>
  <conditionalFormatting sqref="B8:B9">
    <cfRule type="cellIs" dxfId="11" priority="4" operator="equal">
      <formula>"Hard"</formula>
    </cfRule>
  </conditionalFormatting>
  <conditionalFormatting sqref="B8:B9">
    <cfRule type="cellIs" dxfId="12" priority="5" operator="equal">
      <formula>"Very Hard"</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7.25"/>
    <col customWidth="1" min="10" max="11" width="2.75"/>
  </cols>
  <sheetData>
    <row r="1">
      <c r="A1" s="102"/>
      <c r="B1" s="103"/>
      <c r="C1" s="103"/>
      <c r="D1" s="103"/>
      <c r="E1" s="103"/>
      <c r="F1" s="103"/>
      <c r="G1" s="104"/>
      <c r="H1" s="105"/>
      <c r="I1" s="105"/>
      <c r="J1" s="106"/>
      <c r="K1" s="105"/>
    </row>
    <row r="2">
      <c r="A2" s="107"/>
      <c r="B2" s="108" t="s">
        <v>61</v>
      </c>
      <c r="C2" s="109"/>
      <c r="D2" s="109"/>
      <c r="E2" s="109"/>
      <c r="F2" s="109"/>
      <c r="G2" s="109"/>
      <c r="H2" s="109"/>
      <c r="I2" s="110"/>
      <c r="J2" s="105"/>
      <c r="K2" s="105"/>
    </row>
    <row r="3">
      <c r="A3" s="107"/>
      <c r="B3" s="111" t="s">
        <v>62</v>
      </c>
      <c r="C3" s="112" t="s">
        <v>63</v>
      </c>
      <c r="D3" s="8"/>
      <c r="E3" s="8"/>
      <c r="F3" s="8"/>
      <c r="G3" s="8"/>
      <c r="H3" s="8"/>
      <c r="I3" s="113"/>
      <c r="J3" s="105"/>
      <c r="K3" s="105"/>
    </row>
    <row r="4">
      <c r="A4" s="114"/>
      <c r="B4" s="28"/>
      <c r="C4" s="115" t="str">
        <f>IFERROR(VLOOKUP($B$4,'Combatant Category Data'!A$2:B8,2,FALSE),"--")</f>
        <v>--</v>
      </c>
      <c r="D4" s="13"/>
      <c r="E4" s="13"/>
      <c r="F4" s="13"/>
      <c r="G4" s="13"/>
      <c r="H4" s="13"/>
      <c r="I4" s="14"/>
      <c r="J4" s="114"/>
      <c r="K4" s="105"/>
    </row>
    <row r="5">
      <c r="A5" s="114"/>
      <c r="B5" s="116" t="s">
        <v>64</v>
      </c>
      <c r="C5" s="115" t="str">
        <f>IF(B4="","--",IF(OR(B4="Boss (Alpha)",B4="Boss (Guardian)"),'Combatant Category Data'!C3,"N/A"))
</f>
        <v>--</v>
      </c>
      <c r="D5" s="13"/>
      <c r="E5" s="13"/>
      <c r="F5" s="13"/>
      <c r="G5" s="13"/>
      <c r="H5" s="13"/>
      <c r="I5" s="14"/>
      <c r="J5" s="114"/>
      <c r="K5" s="105"/>
    </row>
    <row r="6">
      <c r="A6" s="117"/>
      <c r="B6" s="118"/>
      <c r="C6" s="118"/>
      <c r="D6" s="118"/>
      <c r="E6" s="118"/>
      <c r="F6" s="118"/>
      <c r="G6" s="119"/>
      <c r="H6" s="118"/>
      <c r="I6" s="118"/>
      <c r="J6" s="120"/>
      <c r="K6" s="120"/>
    </row>
    <row r="7">
      <c r="A7" s="107"/>
      <c r="B7" s="108" t="s">
        <v>65</v>
      </c>
      <c r="C7" s="109"/>
      <c r="D7" s="109"/>
      <c r="E7" s="109"/>
      <c r="F7" s="109"/>
      <c r="G7" s="109"/>
      <c r="H7" s="109"/>
      <c r="I7" s="110"/>
      <c r="J7" s="105"/>
      <c r="K7" s="105"/>
    </row>
    <row r="8">
      <c r="A8" s="105"/>
      <c r="B8" s="111" t="s">
        <v>62</v>
      </c>
      <c r="C8" s="112" t="s">
        <v>66</v>
      </c>
      <c r="D8" s="8"/>
      <c r="E8" s="8"/>
      <c r="F8" s="8"/>
      <c r="G8" s="8"/>
      <c r="H8" s="8"/>
      <c r="I8" s="113"/>
      <c r="J8" s="105"/>
      <c r="K8" s="105"/>
    </row>
    <row r="9">
      <c r="A9" s="114"/>
      <c r="B9" s="28"/>
      <c r="C9" s="115" t="str">
        <f>IFERROR(VLOOKUP($B$9,'Combatant Category Data'!A$2:$B54,2,FALSE),"--")</f>
        <v>--</v>
      </c>
      <c r="D9" s="13"/>
      <c r="E9" s="13"/>
      <c r="F9" s="13"/>
      <c r="G9" s="13"/>
      <c r="H9" s="13"/>
      <c r="I9" s="14"/>
      <c r="J9" s="114"/>
      <c r="K9" s="105"/>
    </row>
    <row r="10">
      <c r="A10" s="117"/>
      <c r="B10" s="118"/>
      <c r="C10" s="118"/>
      <c r="D10" s="118"/>
      <c r="E10" s="118"/>
      <c r="F10" s="118"/>
      <c r="G10" s="119"/>
      <c r="H10" s="118"/>
      <c r="I10" s="118"/>
      <c r="J10" s="120"/>
      <c r="K10" s="120"/>
    </row>
    <row r="11">
      <c r="A11" s="107"/>
      <c r="B11" s="108" t="s">
        <v>67</v>
      </c>
      <c r="C11" s="109"/>
      <c r="D11" s="109"/>
      <c r="E11" s="109"/>
      <c r="F11" s="109"/>
      <c r="G11" s="109"/>
      <c r="H11" s="109"/>
      <c r="I11" s="110"/>
      <c r="J11" s="105"/>
      <c r="K11" s="105"/>
    </row>
    <row r="12">
      <c r="A12" s="105"/>
      <c r="B12" s="111" t="s">
        <v>62</v>
      </c>
      <c r="C12" s="112" t="s">
        <v>68</v>
      </c>
      <c r="D12" s="8"/>
      <c r="E12" s="8"/>
      <c r="F12" s="8"/>
      <c r="G12" s="8"/>
      <c r="H12" s="8"/>
      <c r="I12" s="113"/>
      <c r="J12" s="105"/>
      <c r="K12" s="105"/>
    </row>
    <row r="13">
      <c r="A13" s="114"/>
      <c r="B13" s="28"/>
      <c r="C13" s="115" t="str">
        <f>IFERROR(VLOOKUP($B$13,'Combatant Category Data'!A$2:$B54,2,FALSE),"--")</f>
        <v>--</v>
      </c>
      <c r="D13" s="13"/>
      <c r="E13" s="13"/>
      <c r="F13" s="13"/>
      <c r="G13" s="13"/>
      <c r="H13" s="13"/>
      <c r="I13" s="14"/>
      <c r="J13" s="114"/>
      <c r="K13" s="105"/>
    </row>
    <row r="14">
      <c r="A14" s="117"/>
      <c r="B14" s="118"/>
      <c r="C14" s="118"/>
      <c r="D14" s="118"/>
      <c r="E14" s="118"/>
      <c r="F14" s="118"/>
      <c r="G14" s="119"/>
      <c r="H14" s="118"/>
      <c r="I14" s="118"/>
      <c r="J14" s="120"/>
      <c r="K14" s="120"/>
    </row>
    <row r="15">
      <c r="A15" s="117"/>
      <c r="B15" s="121" t="s">
        <v>69</v>
      </c>
      <c r="C15" s="109"/>
      <c r="D15" s="109"/>
      <c r="E15" s="109"/>
      <c r="F15" s="109"/>
      <c r="G15" s="109"/>
      <c r="H15" s="109"/>
      <c r="I15" s="110"/>
      <c r="J15" s="120"/>
      <c r="K15" s="120"/>
    </row>
    <row r="16">
      <c r="A16" s="120"/>
      <c r="B16" s="111" t="s">
        <v>62</v>
      </c>
      <c r="C16" s="122" t="s">
        <v>70</v>
      </c>
      <c r="D16" s="13"/>
      <c r="E16" s="13"/>
      <c r="F16" s="14"/>
      <c r="G16" s="122" t="s">
        <v>71</v>
      </c>
      <c r="H16" s="13"/>
      <c r="I16" s="14"/>
      <c r="J16" s="120"/>
      <c r="K16" s="120"/>
    </row>
    <row r="17">
      <c r="A17" s="123"/>
      <c r="B17" s="28"/>
      <c r="C17" s="124" t="str">
        <f>IFERROR(VLOOKUP($B$17,'Combatant Category Data'!A$2:$B54,2,FALSE),"--")</f>
        <v>--</v>
      </c>
      <c r="D17" s="13"/>
      <c r="E17" s="13"/>
      <c r="F17" s="14"/>
      <c r="G17" s="124" t="str">
        <f>IFERROR(VLOOKUP($B$17,'Combatant Category Data'!A$2:$C54,3,FALSE),"--")</f>
        <v>--</v>
      </c>
      <c r="H17" s="13"/>
      <c r="I17" s="14"/>
      <c r="J17" s="123"/>
      <c r="K17" s="120"/>
    </row>
    <row r="18">
      <c r="A18" s="117"/>
      <c r="B18" s="118"/>
      <c r="C18" s="118"/>
      <c r="D18" s="118"/>
      <c r="E18" s="118"/>
      <c r="F18" s="118"/>
      <c r="G18" s="119"/>
      <c r="H18" s="118"/>
      <c r="I18" s="118"/>
      <c r="J18" s="120"/>
      <c r="K18" s="120"/>
    </row>
    <row r="19">
      <c r="A19" s="117"/>
      <c r="B19" s="121" t="s">
        <v>72</v>
      </c>
      <c r="C19" s="109"/>
      <c r="D19" s="109"/>
      <c r="E19" s="109"/>
      <c r="F19" s="109"/>
      <c r="G19" s="109"/>
      <c r="H19" s="109"/>
      <c r="I19" s="110"/>
      <c r="J19" s="120"/>
      <c r="K19" s="120"/>
    </row>
    <row r="20">
      <c r="A20" s="120"/>
      <c r="B20" s="111" t="s">
        <v>62</v>
      </c>
      <c r="C20" s="122" t="s">
        <v>73</v>
      </c>
      <c r="D20" s="13"/>
      <c r="E20" s="13"/>
      <c r="F20" s="14"/>
      <c r="G20" s="122" t="s">
        <v>74</v>
      </c>
      <c r="H20" s="13"/>
      <c r="I20" s="14"/>
      <c r="J20" s="120"/>
      <c r="K20" s="120"/>
    </row>
    <row r="21">
      <c r="A21" s="123"/>
      <c r="B21" s="28"/>
      <c r="C21" s="124" t="str">
        <f>IFERROR(VLOOKUP($B$21,'Combatant Category Data'!A$2:$B54,2,FALSE),"--")</f>
        <v>--</v>
      </c>
      <c r="D21" s="13"/>
      <c r="E21" s="13"/>
      <c r="F21" s="14"/>
      <c r="G21" s="124" t="str">
        <f>IFERROR(VLOOKUP($B$21,'Combatant Category Data'!A$2:$C54,3,FALSE),"--")</f>
        <v>--</v>
      </c>
      <c r="H21" s="13"/>
      <c r="I21" s="14"/>
      <c r="J21" s="123"/>
      <c r="K21" s="120"/>
    </row>
    <row r="22">
      <c r="A22" s="117"/>
      <c r="B22" s="118"/>
      <c r="C22" s="118"/>
      <c r="D22" s="118"/>
      <c r="E22" s="118"/>
      <c r="F22" s="118"/>
      <c r="G22" s="119"/>
      <c r="H22" s="118"/>
      <c r="I22" s="118"/>
      <c r="J22" s="120"/>
      <c r="K22" s="120"/>
    </row>
    <row r="23">
      <c r="A23" s="107"/>
      <c r="B23" s="108" t="s">
        <v>75</v>
      </c>
      <c r="C23" s="109"/>
      <c r="D23" s="109"/>
      <c r="E23" s="109"/>
      <c r="F23" s="109"/>
      <c r="G23" s="109"/>
      <c r="H23" s="109"/>
      <c r="I23" s="110"/>
      <c r="J23" s="105"/>
      <c r="K23" s="105"/>
    </row>
    <row r="24">
      <c r="A24" s="107"/>
      <c r="B24" s="111" t="s">
        <v>62</v>
      </c>
      <c r="C24" s="125" t="s">
        <v>76</v>
      </c>
      <c r="D24" s="125" t="s">
        <v>77</v>
      </c>
      <c r="E24" s="125" t="s">
        <v>78</v>
      </c>
      <c r="F24" s="125" t="s">
        <v>79</v>
      </c>
      <c r="G24" s="125" t="s">
        <v>80</v>
      </c>
      <c r="H24" s="125" t="s">
        <v>81</v>
      </c>
      <c r="I24" s="113"/>
      <c r="J24" s="105"/>
      <c r="K24" s="105"/>
    </row>
    <row r="25">
      <c r="A25" s="107"/>
      <c r="B25" s="126"/>
      <c r="C25" s="127" t="str">
        <f>IFERROR(VLOOKUP(B25,'Attack Data'!$A$2:$J54,2,FALSE),"--")</f>
        <v>--</v>
      </c>
      <c r="D25" s="127" t="str">
        <f>IFERROR(VLOOKUP(B25,'Attack Data'!$A$2:$J54,3,FALSE),"--")</f>
        <v>--</v>
      </c>
      <c r="E25" s="127" t="str">
        <f>IFERROR(VLOOKUP(B25,'Attack Data'!$A$2:$J54,4,FALSE),"--")</f>
        <v>--</v>
      </c>
      <c r="F25" s="127" t="str">
        <f>IFERROR(VLOOKUP(B25,'Attack Data'!$A$2:$J54,5,FALSE),"--")</f>
        <v>--</v>
      </c>
      <c r="G25" s="128" t="str">
        <f>IFERROR(CONCATENATE(VLOOKUP(B25,'Attack Data'!$A$2:$J54,6,FALSE)," | ",VLOOKUP(B25,'Attack Data'!$A$2:$J54,7,FALSE)),"--")</f>
        <v>--</v>
      </c>
      <c r="H25" s="129" t="str">
        <f>IFERROR(CONCATENATE(VLOOKUP(B25,'Attack Data'!$A$2:$J54,8,FALSE),CHAR(10),CHAR(10),"Rank 2 Effect:",CHAR(10),VLOOKUP(B25,'Attack Data'!$A$2:$J54,9,FALSE)),"--")</f>
        <v>--</v>
      </c>
      <c r="I25" s="25"/>
      <c r="J25" s="105"/>
      <c r="K25" s="105"/>
    </row>
    <row r="26">
      <c r="A26" s="107"/>
      <c r="B26" s="118"/>
      <c r="C26" s="118"/>
      <c r="D26" s="118"/>
      <c r="E26" s="118"/>
      <c r="F26" s="118"/>
      <c r="G26" s="119"/>
      <c r="H26" s="118"/>
      <c r="I26" s="118"/>
      <c r="J26" s="105"/>
      <c r="K26" s="105"/>
    </row>
    <row r="27">
      <c r="A27" s="107"/>
      <c r="B27" s="108" t="s">
        <v>82</v>
      </c>
      <c r="C27" s="109"/>
      <c r="D27" s="109"/>
      <c r="E27" s="109"/>
      <c r="F27" s="109"/>
      <c r="G27" s="109"/>
      <c r="H27" s="109"/>
      <c r="I27" s="110"/>
      <c r="J27" s="105"/>
      <c r="K27" s="105"/>
    </row>
    <row r="28">
      <c r="A28" s="107"/>
      <c r="B28" s="111" t="s">
        <v>62</v>
      </c>
      <c r="C28" s="112" t="s">
        <v>83</v>
      </c>
      <c r="D28" s="8"/>
      <c r="E28" s="8"/>
      <c r="F28" s="11"/>
      <c r="G28" s="112" t="s">
        <v>84</v>
      </c>
      <c r="H28" s="8"/>
      <c r="I28" s="8"/>
      <c r="J28" s="105"/>
      <c r="K28" s="105"/>
    </row>
    <row r="29">
      <c r="A29" s="107"/>
      <c r="B29" s="28"/>
      <c r="C29" s="130" t="str">
        <f>IFERROR(VLOOKUP($B$29,'Role Data'!$A$2:$C54,2,FALSE),"--")</f>
        <v>--</v>
      </c>
      <c r="D29" s="8"/>
      <c r="E29" s="8"/>
      <c r="F29" s="11"/>
      <c r="G29" s="130" t="str">
        <f>IFERROR(VLOOKUP($B$29,'Role Data'!$A$2:$C54,3,FALSE),"--")</f>
        <v>--</v>
      </c>
      <c r="H29" s="8"/>
      <c r="I29" s="11"/>
      <c r="J29" s="105"/>
      <c r="K29" s="105"/>
    </row>
    <row r="30">
      <c r="A30" s="107"/>
      <c r="B30" s="118"/>
      <c r="C30" s="118"/>
      <c r="D30" s="118"/>
      <c r="E30" s="118"/>
      <c r="F30" s="118"/>
      <c r="G30" s="119"/>
      <c r="H30" s="118"/>
      <c r="I30" s="118"/>
      <c r="J30" s="105"/>
      <c r="K30" s="105"/>
    </row>
    <row r="31">
      <c r="A31" s="107"/>
      <c r="B31" s="131" t="s">
        <v>85</v>
      </c>
      <c r="C31" s="8"/>
      <c r="D31" s="8"/>
      <c r="E31" s="8"/>
      <c r="F31" s="8"/>
      <c r="G31" s="8"/>
      <c r="H31" s="8"/>
      <c r="I31" s="113"/>
      <c r="J31" s="105"/>
      <c r="K31" s="105"/>
    </row>
    <row r="32">
      <c r="A32" s="107"/>
      <c r="B32" s="132" t="s">
        <v>62</v>
      </c>
      <c r="C32" s="112" t="s">
        <v>86</v>
      </c>
      <c r="D32" s="8"/>
      <c r="E32" s="8"/>
      <c r="F32" s="8"/>
      <c r="G32" s="8"/>
      <c r="H32" s="8"/>
      <c r="I32" s="113"/>
      <c r="J32" s="105"/>
      <c r="K32" s="105"/>
    </row>
    <row r="33">
      <c r="A33" s="107"/>
      <c r="B33" s="133" t="s">
        <v>87</v>
      </c>
      <c r="C33" s="134" t="str">
        <f>IFERROR(VLOOKUP($B$33,'Misc Data'!$C$2:$D54,2,FALSE),"--")</f>
        <v>» Whenever a Suppressed Combatant uses an EOT Attack, after Damage Calculations, they become Vulnerable until the end of the next Round. 
» Whenever a Suppressed Combatant uses a Scene or Daily Attack or Ability, after its resolution, they become Vulnerable and Weakened until the end of the next Round.
» Combatants with a Boss Template are automatically cured of the Suppressed Affliction when they end their last Turn in a Round.</v>
      </c>
      <c r="D33" s="8"/>
      <c r="E33" s="8"/>
      <c r="F33" s="8"/>
      <c r="G33" s="8"/>
      <c r="H33" s="8"/>
      <c r="I33" s="113"/>
      <c r="J33" s="105"/>
      <c r="K33" s="105"/>
    </row>
    <row r="34">
      <c r="A34" s="107"/>
      <c r="B34" s="135"/>
      <c r="C34" s="135"/>
      <c r="D34" s="135"/>
      <c r="E34" s="135"/>
      <c r="F34" s="135"/>
      <c r="G34" s="136"/>
      <c r="H34" s="137"/>
      <c r="I34" s="137"/>
      <c r="J34" s="106"/>
      <c r="K34" s="105"/>
    </row>
    <row r="35">
      <c r="A35" s="107"/>
      <c r="B35" s="138" t="s">
        <v>88</v>
      </c>
      <c r="C35" s="8"/>
      <c r="D35" s="8"/>
      <c r="E35" s="8"/>
      <c r="F35" s="8"/>
      <c r="G35" s="8"/>
      <c r="H35" s="8"/>
      <c r="I35" s="113"/>
      <c r="J35" s="105"/>
      <c r="K35" s="105"/>
    </row>
    <row r="36">
      <c r="A36" s="107"/>
      <c r="B36" s="139" t="s">
        <v>62</v>
      </c>
      <c r="C36" s="112" t="s">
        <v>86</v>
      </c>
      <c r="D36" s="8"/>
      <c r="E36" s="8"/>
      <c r="F36" s="8"/>
      <c r="G36" s="8"/>
      <c r="H36" s="8"/>
      <c r="I36" s="113"/>
      <c r="J36" s="105"/>
      <c r="K36" s="105"/>
    </row>
    <row r="37">
      <c r="A37" s="107"/>
      <c r="B37" s="133"/>
      <c r="C37" s="134" t="str">
        <f>IFERROR(VLOOKUP($B$37,'Misc Data'!$A$2:$B54,2,FALSE),"--")</f>
        <v>--</v>
      </c>
      <c r="D37" s="8"/>
      <c r="E37" s="8"/>
      <c r="F37" s="8"/>
      <c r="G37" s="8"/>
      <c r="H37" s="8"/>
      <c r="I37" s="113"/>
      <c r="J37" s="105"/>
      <c r="K37" s="105"/>
    </row>
    <row r="38">
      <c r="A38" s="107"/>
      <c r="B38" s="135"/>
      <c r="C38" s="135"/>
      <c r="D38" s="135"/>
      <c r="E38" s="135"/>
      <c r="F38" s="135"/>
      <c r="G38" s="136"/>
      <c r="H38" s="137"/>
      <c r="I38" s="137"/>
      <c r="J38" s="106"/>
      <c r="K38" s="105"/>
    </row>
    <row r="39">
      <c r="A39" s="107"/>
      <c r="B39" s="108" t="s">
        <v>89</v>
      </c>
      <c r="C39" s="109"/>
      <c r="D39" s="109"/>
      <c r="E39" s="109"/>
      <c r="F39" s="109"/>
      <c r="G39" s="109"/>
      <c r="H39" s="109"/>
      <c r="I39" s="110"/>
      <c r="J39" s="105"/>
      <c r="K39" s="105"/>
    </row>
    <row r="40">
      <c r="A40" s="107"/>
      <c r="B40" s="111" t="s">
        <v>62</v>
      </c>
      <c r="C40" s="125" t="s">
        <v>79</v>
      </c>
      <c r="D40" s="125" t="s">
        <v>90</v>
      </c>
      <c r="E40" s="140" t="s">
        <v>91</v>
      </c>
      <c r="F40" s="112" t="s">
        <v>92</v>
      </c>
      <c r="G40" s="125" t="s">
        <v>81</v>
      </c>
      <c r="H40" s="8"/>
      <c r="I40" s="113"/>
      <c r="J40" s="105"/>
      <c r="K40" s="105"/>
    </row>
    <row r="41">
      <c r="A41" s="107"/>
      <c r="B41" s="28"/>
      <c r="C41" s="128" t="str">
        <f>IFERROR(VLOOKUP($B$41,'OrderTechnique Data'!$K$2:$P54,2,FALSE),"--")</f>
        <v>--</v>
      </c>
      <c r="D41" s="128" t="str">
        <f>IFERROR(VLOOKUP($B$41,'OrderTechnique Data'!$K$2:$P54,3,FALSE),"--")</f>
        <v>--</v>
      </c>
      <c r="E41" s="128" t="str">
        <f>IFERROR(VLOOKUP($B$41,'OrderTechnique Data'!$K$2:$P54,4,FALSE),"--")</f>
        <v>--</v>
      </c>
      <c r="F41" s="128" t="str">
        <f>IFERROR(VLOOKUP($B$41,'OrderTechnique Data'!$K$2:$P54,5,FALSE),"--")</f>
        <v>--</v>
      </c>
      <c r="G41" s="141" t="str">
        <f>IFERROR(VLOOKUP($B$41,'OrderTechnique Data'!$K$2:$P54,6,FALSE),"--")</f>
        <v>--</v>
      </c>
      <c r="H41" s="8"/>
      <c r="I41" s="11"/>
      <c r="J41" s="105"/>
      <c r="K41" s="105"/>
    </row>
    <row r="42">
      <c r="A42" s="107"/>
      <c r="B42" s="118"/>
      <c r="C42" s="118"/>
      <c r="D42" s="118"/>
      <c r="E42" s="118"/>
      <c r="F42" s="118"/>
      <c r="G42" s="119"/>
      <c r="H42" s="118"/>
      <c r="I42" s="118"/>
      <c r="J42" s="105"/>
      <c r="K42" s="105"/>
    </row>
    <row r="43">
      <c r="A43" s="107"/>
      <c r="B43" s="138" t="s">
        <v>93</v>
      </c>
      <c r="C43" s="8"/>
      <c r="D43" s="8"/>
      <c r="E43" s="8"/>
      <c r="F43" s="8"/>
      <c r="G43" s="8"/>
      <c r="H43" s="8"/>
      <c r="I43" s="113"/>
      <c r="J43" s="105"/>
      <c r="K43" s="105"/>
    </row>
    <row r="44">
      <c r="A44" s="107"/>
      <c r="B44" s="139" t="s">
        <v>62</v>
      </c>
      <c r="C44" s="112" t="s">
        <v>86</v>
      </c>
      <c r="D44" s="8"/>
      <c r="E44" s="8"/>
      <c r="F44" s="8"/>
      <c r="G44" s="8"/>
      <c r="H44" s="8"/>
      <c r="I44" s="113"/>
      <c r="J44" s="105"/>
      <c r="K44" s="105"/>
    </row>
    <row r="45">
      <c r="A45" s="107"/>
      <c r="B45" s="133"/>
      <c r="C45" s="142" t="str">
        <f>IFERROR(VLOOKUP($B$45,'Misc Data'!$E$2:$F54,2,FALSE),"--")</f>
        <v>--</v>
      </c>
      <c r="D45" s="8"/>
      <c r="E45" s="8"/>
      <c r="F45" s="8"/>
      <c r="G45" s="8"/>
      <c r="H45" s="8"/>
      <c r="I45" s="113"/>
      <c r="J45" s="105"/>
      <c r="K45" s="105"/>
    </row>
    <row r="46">
      <c r="A46" s="107"/>
      <c r="B46" s="137"/>
      <c r="C46" s="137"/>
      <c r="D46" s="137"/>
      <c r="E46" s="137"/>
      <c r="F46" s="137"/>
      <c r="G46" s="102"/>
      <c r="H46" s="137"/>
      <c r="I46" s="137"/>
      <c r="J46" s="105"/>
      <c r="K46" s="105"/>
    </row>
    <row r="47">
      <c r="A47" s="143"/>
      <c r="B47" s="108" t="s">
        <v>94</v>
      </c>
      <c r="C47" s="109"/>
      <c r="D47" s="109"/>
      <c r="E47" s="109"/>
      <c r="F47" s="109"/>
      <c r="G47" s="109"/>
      <c r="H47" s="109"/>
      <c r="I47" s="110"/>
      <c r="J47" s="144"/>
      <c r="K47" s="144"/>
    </row>
    <row r="48">
      <c r="A48" s="143"/>
      <c r="B48" s="111" t="s">
        <v>62</v>
      </c>
      <c r="C48" s="112" t="s">
        <v>86</v>
      </c>
      <c r="D48" s="8"/>
      <c r="E48" s="8"/>
      <c r="F48" s="8"/>
      <c r="G48" s="8"/>
      <c r="H48" s="8"/>
      <c r="I48" s="113"/>
      <c r="J48" s="144"/>
      <c r="K48" s="144"/>
    </row>
    <row r="49">
      <c r="A49" s="143"/>
      <c r="B49" s="28"/>
      <c r="C49" s="130" t="str">
        <f>IFERROR(VLOOKUP($B$49,'Misc Data'!$G$2:$H54,2,FALSE),"--")</f>
        <v>--</v>
      </c>
      <c r="D49" s="8"/>
      <c r="E49" s="8"/>
      <c r="F49" s="8"/>
      <c r="G49" s="8"/>
      <c r="H49" s="8"/>
      <c r="I49" s="113"/>
      <c r="J49" s="144"/>
      <c r="K49" s="144"/>
    </row>
    <row r="50">
      <c r="A50" s="143"/>
      <c r="B50" s="118"/>
      <c r="C50" s="118"/>
      <c r="D50" s="118"/>
      <c r="E50" s="118"/>
      <c r="F50" s="118"/>
      <c r="G50" s="119"/>
      <c r="H50" s="118"/>
      <c r="I50" s="118"/>
      <c r="J50" s="144"/>
      <c r="K50" s="144"/>
    </row>
    <row r="51">
      <c r="A51" s="143"/>
      <c r="B51" s="108" t="s">
        <v>95</v>
      </c>
      <c r="C51" s="109"/>
      <c r="D51" s="109"/>
      <c r="E51" s="109"/>
      <c r="F51" s="109"/>
      <c r="G51" s="109"/>
      <c r="H51" s="109"/>
      <c r="I51" s="110"/>
      <c r="J51" s="144"/>
      <c r="K51" s="144"/>
    </row>
    <row r="52">
      <c r="A52" s="143"/>
      <c r="B52" s="111" t="s">
        <v>62</v>
      </c>
      <c r="C52" s="112" t="s">
        <v>86</v>
      </c>
      <c r="D52" s="8"/>
      <c r="E52" s="8"/>
      <c r="F52" s="8"/>
      <c r="G52" s="8"/>
      <c r="H52" s="8"/>
      <c r="I52" s="113"/>
      <c r="J52" s="144"/>
      <c r="K52" s="144"/>
    </row>
    <row r="53">
      <c r="A53" s="143"/>
      <c r="B53" s="28"/>
      <c r="C53" s="130" t="str">
        <f>IFERROR(VLOOKUP($B$53,'Item Data'!$M$2:$N54,2,FALSE),"--")</f>
        <v>--</v>
      </c>
      <c r="D53" s="8"/>
      <c r="E53" s="8"/>
      <c r="F53" s="8"/>
      <c r="G53" s="8"/>
      <c r="H53" s="8"/>
      <c r="I53" s="113"/>
      <c r="J53" s="144"/>
      <c r="K53" s="144"/>
    </row>
    <row r="54">
      <c r="A54" s="143"/>
      <c r="B54" s="118"/>
      <c r="C54" s="118"/>
      <c r="D54" s="118"/>
      <c r="E54" s="118"/>
      <c r="F54" s="118"/>
      <c r="G54" s="119"/>
      <c r="H54" s="118"/>
      <c r="I54" s="118"/>
      <c r="J54" s="144"/>
      <c r="K54" s="144"/>
    </row>
  </sheetData>
  <mergeCells count="46">
    <mergeCell ref="B2:I2"/>
    <mergeCell ref="C3:I3"/>
    <mergeCell ref="C4:I4"/>
    <mergeCell ref="C5:I5"/>
    <mergeCell ref="B7:I7"/>
    <mergeCell ref="C8:I8"/>
    <mergeCell ref="C9:I9"/>
    <mergeCell ref="B11:I11"/>
    <mergeCell ref="C12:I12"/>
    <mergeCell ref="C13:I13"/>
    <mergeCell ref="B15:I15"/>
    <mergeCell ref="C16:F16"/>
    <mergeCell ref="G16:I16"/>
    <mergeCell ref="G17:I17"/>
    <mergeCell ref="C17:F17"/>
    <mergeCell ref="B19:I19"/>
    <mergeCell ref="C20:F20"/>
    <mergeCell ref="G20:I20"/>
    <mergeCell ref="C21:F21"/>
    <mergeCell ref="G21:I21"/>
    <mergeCell ref="B23:I23"/>
    <mergeCell ref="H24:I24"/>
    <mergeCell ref="H25:I25"/>
    <mergeCell ref="B27:I27"/>
    <mergeCell ref="C28:F28"/>
    <mergeCell ref="G28:I28"/>
    <mergeCell ref="C29:F29"/>
    <mergeCell ref="G29:I29"/>
    <mergeCell ref="B31:I31"/>
    <mergeCell ref="C32:I32"/>
    <mergeCell ref="C33:I33"/>
    <mergeCell ref="B35:I35"/>
    <mergeCell ref="C36:I36"/>
    <mergeCell ref="C37:I37"/>
    <mergeCell ref="B39:I39"/>
    <mergeCell ref="C49:I49"/>
    <mergeCell ref="B51:I51"/>
    <mergeCell ref="C52:I52"/>
    <mergeCell ref="C53:I53"/>
    <mergeCell ref="G40:I40"/>
    <mergeCell ref="G41:I41"/>
    <mergeCell ref="B43:I43"/>
    <mergeCell ref="C44:I44"/>
    <mergeCell ref="C45:I45"/>
    <mergeCell ref="B47:I47"/>
    <mergeCell ref="C48:I48"/>
  </mergeCells>
  <conditionalFormatting sqref="C25">
    <cfRule type="cellIs" dxfId="13" priority="1" operator="equal">
      <formula>"None"</formula>
    </cfRule>
  </conditionalFormatting>
  <conditionalFormatting sqref="C25">
    <cfRule type="cellIs" dxfId="14" priority="2" operator="equal">
      <formula>"Bug"</formula>
    </cfRule>
  </conditionalFormatting>
  <conditionalFormatting sqref="C25">
    <cfRule type="cellIs" dxfId="15" priority="3" operator="equal">
      <formula>"Dark"</formula>
    </cfRule>
  </conditionalFormatting>
  <conditionalFormatting sqref="C25">
    <cfRule type="cellIs" dxfId="16" priority="4" operator="equal">
      <formula>"Dragon"</formula>
    </cfRule>
  </conditionalFormatting>
  <conditionalFormatting sqref="C25">
    <cfRule type="cellIs" dxfId="17" priority="5" operator="equal">
      <formula>"Electric"</formula>
    </cfRule>
  </conditionalFormatting>
  <conditionalFormatting sqref="C25">
    <cfRule type="cellIs" dxfId="18" priority="6" operator="equal">
      <formula>"Fairy"</formula>
    </cfRule>
  </conditionalFormatting>
  <conditionalFormatting sqref="C25">
    <cfRule type="cellIs" dxfId="19" priority="7" operator="equal">
      <formula>"Fighting"</formula>
    </cfRule>
  </conditionalFormatting>
  <conditionalFormatting sqref="C25">
    <cfRule type="cellIs" dxfId="20" priority="8" operator="equal">
      <formula>"Fire"</formula>
    </cfRule>
  </conditionalFormatting>
  <conditionalFormatting sqref="C25">
    <cfRule type="cellIs" dxfId="21" priority="9" operator="equal">
      <formula>"Flying"</formula>
    </cfRule>
  </conditionalFormatting>
  <conditionalFormatting sqref="C25">
    <cfRule type="cellIs" dxfId="22" priority="10" operator="equal">
      <formula>"Ghost"</formula>
    </cfRule>
  </conditionalFormatting>
  <conditionalFormatting sqref="C25">
    <cfRule type="cellIs" dxfId="23" priority="11" operator="equal">
      <formula>"Grass"</formula>
    </cfRule>
  </conditionalFormatting>
  <conditionalFormatting sqref="C25">
    <cfRule type="cellIs" dxfId="24" priority="12" operator="equal">
      <formula>"Ground"</formula>
    </cfRule>
  </conditionalFormatting>
  <conditionalFormatting sqref="C25">
    <cfRule type="cellIs" dxfId="25" priority="13" operator="equal">
      <formula>"Ice"</formula>
    </cfRule>
  </conditionalFormatting>
  <conditionalFormatting sqref="C25">
    <cfRule type="cellIs" dxfId="26" priority="14" operator="equal">
      <formula>"Normal"</formula>
    </cfRule>
  </conditionalFormatting>
  <conditionalFormatting sqref="C25">
    <cfRule type="cellIs" dxfId="27" priority="15" operator="equal">
      <formula>"Poison"</formula>
    </cfRule>
  </conditionalFormatting>
  <conditionalFormatting sqref="C25">
    <cfRule type="cellIs" dxfId="28" priority="16" operator="equal">
      <formula>"Psychic"</formula>
    </cfRule>
  </conditionalFormatting>
  <conditionalFormatting sqref="C25">
    <cfRule type="cellIs" dxfId="29" priority="17" operator="equal">
      <formula>"Rock"</formula>
    </cfRule>
  </conditionalFormatting>
  <conditionalFormatting sqref="C25">
    <cfRule type="cellIs" dxfId="30" priority="18" operator="equal">
      <formula>"Steel"</formula>
    </cfRule>
  </conditionalFormatting>
  <conditionalFormatting sqref="C25">
    <cfRule type="cellIs" dxfId="31" priority="19" operator="equal">
      <formula>"Water"</formula>
    </cfRule>
  </conditionalFormatting>
  <conditionalFormatting sqref="D25">
    <cfRule type="cellIs" dxfId="32" priority="20" operator="equal">
      <formula>"Physical"</formula>
    </cfRule>
  </conditionalFormatting>
  <conditionalFormatting sqref="D25">
    <cfRule type="cellIs" dxfId="33" priority="21" operator="equal">
      <formula>"Special"</formula>
    </cfRule>
  </conditionalFormatting>
  <conditionalFormatting sqref="D25">
    <cfRule type="cellIs" dxfId="34" priority="22" operator="equal">
      <formula>"Status"</formula>
    </cfRule>
  </conditionalFormatting>
  <conditionalFormatting sqref="D25">
    <cfRule type="cellIs" dxfId="34" priority="23" operator="equal">
      <formula>"Static"</formula>
    </cfRule>
  </conditionalFormatting>
  <dataValidations>
    <dataValidation type="list" allowBlank="1" sqref="B4">
      <formula1>'Combatant Category Data'!A3:A8</formula1>
    </dataValidation>
    <dataValidation type="list" allowBlank="1" sqref="B41">
      <formula1>'OrderTechnique Data'!$K$2:$K54</formula1>
    </dataValidation>
    <dataValidation type="list" allowBlank="1" sqref="B53">
      <formula1>'Item Data'!$M2:M54</formula1>
    </dataValidation>
    <dataValidation type="list" allowBlank="1" sqref="B29">
      <formula1>'Role Data'!$A$2:$A54</formula1>
    </dataValidation>
    <dataValidation type="list" allowBlank="1" sqref="B25">
      <formula1>'Attack Data'!$A$2:$A54</formula1>
    </dataValidation>
    <dataValidation type="list" allowBlank="1" sqref="B21">
      <formula1>'Combatant Category Data'!A30:A36</formula1>
    </dataValidation>
    <dataValidation type="list" allowBlank="1" sqref="B9">
      <formula1>'Combatant Category Data'!A13:A15</formula1>
    </dataValidation>
    <dataValidation type="list" allowBlank="1" sqref="B37">
      <formula1>'Misc Data'!$A$2:$A54</formula1>
    </dataValidation>
    <dataValidation type="list" allowBlank="1" sqref="B49">
      <formula1>'Misc Data'!$G$2:$G54</formula1>
    </dataValidation>
    <dataValidation type="list" allowBlank="1" sqref="B13">
      <formula1>'Combatant Category Data'!A17:A21</formula1>
    </dataValidation>
    <dataValidation type="list" allowBlank="1" sqref="B33">
      <formula1>'Misc Data'!$C$2:$C54</formula1>
    </dataValidation>
    <dataValidation type="list" allowBlank="1" sqref="B45">
      <formula1>'Misc Data'!$E$2:$E54</formula1>
    </dataValidation>
    <dataValidation type="list" allowBlank="1" sqref="B17">
      <formula1>'Combatant Category Data'!A23:A28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70.63"/>
    <col customWidth="1" min="3" max="3" width="54.13"/>
  </cols>
  <sheetData>
    <row r="1">
      <c r="B1" s="145" t="s">
        <v>96</v>
      </c>
      <c r="C1" s="145" t="s">
        <v>97</v>
      </c>
    </row>
    <row r="3">
      <c r="A3" s="145" t="s">
        <v>11</v>
      </c>
      <c r="B3" s="146" t="s">
        <v>98</v>
      </c>
      <c r="C3" s="146" t="s">
        <v>99</v>
      </c>
    </row>
    <row r="4">
      <c r="A4" s="145" t="s">
        <v>100</v>
      </c>
      <c r="B4" s="146" t="s">
        <v>101</v>
      </c>
      <c r="C4" s="146" t="s">
        <v>99</v>
      </c>
    </row>
    <row r="5">
      <c r="A5" s="145" t="s">
        <v>102</v>
      </c>
      <c r="B5" s="147" t="s">
        <v>103</v>
      </c>
      <c r="C5" s="148" t="s">
        <v>104</v>
      </c>
    </row>
    <row r="6">
      <c r="A6" s="145" t="s">
        <v>105</v>
      </c>
      <c r="B6" s="147" t="s">
        <v>106</v>
      </c>
      <c r="C6" s="148" t="s">
        <v>104</v>
      </c>
    </row>
    <row r="7">
      <c r="A7" s="145" t="s">
        <v>107</v>
      </c>
      <c r="B7" s="147" t="s">
        <v>108</v>
      </c>
      <c r="C7" s="148" t="s">
        <v>104</v>
      </c>
    </row>
    <row r="8">
      <c r="A8" s="145" t="s">
        <v>109</v>
      </c>
      <c r="B8" s="147" t="s">
        <v>110</v>
      </c>
      <c r="C8" s="148" t="s">
        <v>104</v>
      </c>
    </row>
    <row r="9">
      <c r="A9" s="145" t="s">
        <v>111</v>
      </c>
      <c r="B9" s="148" t="s">
        <v>104</v>
      </c>
      <c r="C9" s="148" t="s">
        <v>104</v>
      </c>
    </row>
    <row r="10">
      <c r="A10" s="145" t="s">
        <v>112</v>
      </c>
      <c r="B10" s="148" t="s">
        <v>104</v>
      </c>
      <c r="C10" s="148" t="s">
        <v>104</v>
      </c>
    </row>
    <row r="11">
      <c r="A11" s="145" t="s">
        <v>113</v>
      </c>
      <c r="B11" s="148" t="s">
        <v>104</v>
      </c>
      <c r="C11" s="148" t="s">
        <v>104</v>
      </c>
    </row>
    <row r="13">
      <c r="A13" s="145" t="s">
        <v>114</v>
      </c>
      <c r="B13" s="149" t="s">
        <v>115</v>
      </c>
      <c r="C13" s="147"/>
    </row>
    <row r="14">
      <c r="A14" s="145" t="s">
        <v>116</v>
      </c>
      <c r="B14" s="147" t="s">
        <v>117</v>
      </c>
    </row>
    <row r="15">
      <c r="A15" s="145" t="s">
        <v>118</v>
      </c>
      <c r="B15" s="149" t="s">
        <v>119</v>
      </c>
    </row>
    <row r="16">
      <c r="B16" s="150"/>
    </row>
    <row r="17">
      <c r="A17" s="145" t="s">
        <v>120</v>
      </c>
      <c r="B17" s="145" t="s">
        <v>121</v>
      </c>
    </row>
    <row r="18">
      <c r="A18" s="145" t="s">
        <v>122</v>
      </c>
      <c r="B18" s="145" t="s">
        <v>123</v>
      </c>
    </row>
    <row r="19">
      <c r="A19" s="145" t="s">
        <v>124</v>
      </c>
      <c r="B19" s="145" t="s">
        <v>125</v>
      </c>
    </row>
    <row r="20">
      <c r="A20" s="145" t="s">
        <v>126</v>
      </c>
      <c r="B20" s="145" t="s">
        <v>127</v>
      </c>
    </row>
    <row r="21">
      <c r="A21" s="145" t="s">
        <v>128</v>
      </c>
      <c r="B21" s="145" t="s">
        <v>129</v>
      </c>
    </row>
    <row r="23">
      <c r="A23" s="151" t="s">
        <v>130</v>
      </c>
      <c r="B23" s="152" t="s">
        <v>131</v>
      </c>
      <c r="C23" s="152" t="s">
        <v>132</v>
      </c>
    </row>
    <row r="24">
      <c r="A24" s="151" t="s">
        <v>133</v>
      </c>
      <c r="B24" s="152" t="s">
        <v>134</v>
      </c>
      <c r="C24" s="152" t="s">
        <v>135</v>
      </c>
    </row>
    <row r="25">
      <c r="A25" s="151" t="s">
        <v>136</v>
      </c>
      <c r="B25" s="152" t="s">
        <v>137</v>
      </c>
      <c r="C25" s="152" t="s">
        <v>138</v>
      </c>
    </row>
    <row r="26">
      <c r="A26" s="151" t="s">
        <v>139</v>
      </c>
      <c r="B26" s="152" t="s">
        <v>140</v>
      </c>
      <c r="C26" s="152" t="s">
        <v>141</v>
      </c>
    </row>
    <row r="27">
      <c r="A27" s="151" t="s">
        <v>142</v>
      </c>
      <c r="B27" s="152" t="s">
        <v>143</v>
      </c>
      <c r="C27" s="152" t="s">
        <v>144</v>
      </c>
    </row>
    <row r="28">
      <c r="A28" s="151" t="s">
        <v>145</v>
      </c>
      <c r="B28" s="152" t="s">
        <v>146</v>
      </c>
      <c r="C28" s="153" t="s">
        <v>147</v>
      </c>
    </row>
    <row r="30">
      <c r="A30" s="151" t="s">
        <v>148</v>
      </c>
      <c r="B30" s="154" t="s">
        <v>149</v>
      </c>
      <c r="C30" s="155" t="s">
        <v>150</v>
      </c>
    </row>
    <row r="31">
      <c r="A31" s="151" t="s">
        <v>151</v>
      </c>
      <c r="B31" s="154" t="s">
        <v>152</v>
      </c>
      <c r="C31" s="155" t="s">
        <v>153</v>
      </c>
    </row>
    <row r="32">
      <c r="A32" s="151" t="s">
        <v>154</v>
      </c>
      <c r="B32" s="154" t="s">
        <v>155</v>
      </c>
      <c r="C32" s="155" t="s">
        <v>156</v>
      </c>
    </row>
    <row r="33">
      <c r="A33" s="151" t="s">
        <v>157</v>
      </c>
      <c r="B33" s="154" t="s">
        <v>158</v>
      </c>
      <c r="C33" s="155" t="s">
        <v>159</v>
      </c>
    </row>
    <row r="34">
      <c r="A34" s="151" t="s">
        <v>160</v>
      </c>
      <c r="B34" s="154" t="s">
        <v>161</v>
      </c>
      <c r="C34" s="155" t="s">
        <v>162</v>
      </c>
    </row>
    <row r="35">
      <c r="A35" s="151" t="s">
        <v>163</v>
      </c>
      <c r="B35" s="154" t="s">
        <v>164</v>
      </c>
      <c r="C35" s="155" t="s">
        <v>165</v>
      </c>
    </row>
    <row r="36">
      <c r="A36" s="151" t="s">
        <v>166</v>
      </c>
      <c r="B36" s="154" t="s">
        <v>167</v>
      </c>
      <c r="C36" s="155" t="s">
        <v>168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14.75"/>
    <col customWidth="1" min="4" max="4" width="26.0"/>
    <col customWidth="1" min="5" max="5" width="19.0"/>
    <col customWidth="1" min="6" max="14" width="34.75"/>
  </cols>
  <sheetData>
    <row r="1">
      <c r="A1" s="156" t="s">
        <v>169</v>
      </c>
      <c r="B1" s="157" t="s">
        <v>170</v>
      </c>
      <c r="C1" s="158" t="s">
        <v>171</v>
      </c>
      <c r="D1" s="158" t="s">
        <v>172</v>
      </c>
      <c r="E1" s="159" t="s">
        <v>173</v>
      </c>
      <c r="F1" s="159" t="s">
        <v>174</v>
      </c>
      <c r="G1" s="160" t="s">
        <v>175</v>
      </c>
      <c r="H1" s="161"/>
      <c r="I1" s="160" t="s">
        <v>176</v>
      </c>
      <c r="J1" s="161"/>
      <c r="K1" s="160" t="s">
        <v>177</v>
      </c>
      <c r="L1" s="161"/>
      <c r="M1" s="162" t="s">
        <v>178</v>
      </c>
      <c r="N1" s="162" t="s">
        <v>179</v>
      </c>
    </row>
    <row r="2">
      <c r="A2" s="163" t="str">
        <f>IFERROR(__xludf.DUMMYFUNCTION("IMPORTRANGE('Homebrew Sheet'!$A$6,""'Items'!$A$2:$F$101"")"),"")</f>
        <v/>
      </c>
      <c r="B2" s="163"/>
      <c r="C2" s="164"/>
      <c r="D2" s="164"/>
      <c r="E2" s="165"/>
      <c r="F2" s="165"/>
      <c r="G2" s="166" t="str">
        <f>IFERROR(__xludf.DUMMYFUNCTION("QUERY($E$2:F1001,""select Col1,Col2 where Col2 contains 'Weapon]' or Col2 contains 'Any]'"",-1)"),"Braced Shield")</f>
        <v>Braced Shield</v>
      </c>
      <c r="H2" s="166"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I2" s="166" t="str">
        <f>IFERROR(__xludf.DUMMYFUNCTION("QUERY($E$2:F1001,""select Col1,Col2 where Col2 contains 'Armor]' or Col2 contains 'Any]'"",-1)"),"Arcane Armor ")</f>
        <v>Arcane Armor </v>
      </c>
      <c r="J2" s="166"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K2" s="166" t="str">
        <f>IFERROR(__xludf.DUMMYFUNCTION("QUERY($E$2:F1001,""select Col1,Col2 where Col2 contains '[Pokemon]'"")"),"Air Balloon")</f>
        <v>Air Balloon</v>
      </c>
      <c r="L2" s="166"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c r="M2" s="167" t="str">
        <f>IFERROR(__xludf.DUMMYFUNCTION("UNIQUE(QUERY({QUERY({$A$2:$B1001;$C$2:$D1001;$E$2:$F1001},""select Col1,Col2 where Col1 is not null"")},""select * order by Col1""))"),"(X) Shard")</f>
        <v>(X) Shard</v>
      </c>
      <c r="N2" s="167"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row>
    <row r="3">
      <c r="A3" s="163"/>
      <c r="B3" s="163"/>
      <c r="C3" s="164"/>
      <c r="D3" s="164"/>
      <c r="E3" s="165"/>
      <c r="F3" s="165"/>
      <c r="G3" s="166" t="str">
        <f>IFERROR(__xludf.DUMMYFUNCTION("""COMPUTED_VALUE"""),"Fine Weapon")</f>
        <v>Fine Weapon</v>
      </c>
      <c r="H3" s="16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3" s="166" t="str">
        <f>IFERROR(__xludf.DUMMYFUNCTION("""COMPUTED_VALUE"""),"Assault Vest")</f>
        <v>Assault Vest</v>
      </c>
      <c r="J3" s="166"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K3" s="166" t="str">
        <f>IFERROR(__xludf.DUMMYFUNCTION("""COMPUTED_VALUE"""),"Analytic Lens")</f>
        <v>Analytic Lens</v>
      </c>
      <c r="L3" s="166" t="str">
        <f>IFERROR(__xludf.DUMMYFUNCTION("""COMPUTED_VALUE"""),"While this Item is Equipped, the user has +1 to Effect Ranges. [Equipment] [Medium] [Pokemon]")</f>
        <v>While this Item is Equipped, the user has +1 to Effect Ranges. [Equipment] [Medium] [Pokemon]</v>
      </c>
      <c r="M3" s="167" t="str">
        <f>IFERROR(__xludf.DUMMYFUNCTION("""COMPUTED_VALUE"""),"Ability Capsule")</f>
        <v>Ability Capsule</v>
      </c>
      <c r="N3" s="167" t="str">
        <f>IFERROR(__xludf.DUMMYFUNCTION("""COMPUTED_VALUE"""),"When this Item is created, the GM will choose any Ability. When this Item is expended, choose a Pokemon you own. The Target may choose that Ability whenever they would be able to learn one, instead of one from their natural Ability List. [Small] [Consumab"&amp;"le]")</f>
        <v>When this Item is created, the GM will choose any Ability. When this Item is expended, choose a Pokemon you own. The Target may choose that Ability whenever they would be able to learn one, instead of one from their natural Ability List. [Small] [Consumable]</v>
      </c>
    </row>
    <row r="4">
      <c r="A4" s="163"/>
      <c r="B4" s="163"/>
      <c r="C4" s="164"/>
      <c r="D4" s="164"/>
      <c r="E4" s="165"/>
      <c r="F4" s="165"/>
      <c r="G4" s="166" t="str">
        <f>IFERROR(__xludf.DUMMYFUNCTION("""COMPUTED_VALUE"""),"Heavy Shield")</f>
        <v>Heavy Shield</v>
      </c>
      <c r="H4" s="166"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I4" s="166" t="str">
        <f>IFERROR(__xludf.DUMMYFUNCTION("""COMPUTED_VALUE"""),"Covert Cloak")</f>
        <v>Covert Cloak</v>
      </c>
      <c r="J4" s="166" t="str">
        <f>IFERROR(__xludf.DUMMYFUNCTION("""COMPUTED_VALUE"""),"While Equipped, Attacks against the user have a -2 Penalty to Effect Ranges. [Medium] [Equipment - Armor] [Pokemon]")</f>
        <v>While Equipped, Attacks against the user have a -2 Penalty to Effect Ranges. [Medium] [Equipment - Armor] [Pokemon]</v>
      </c>
      <c r="K4" s="166" t="str">
        <f>IFERROR(__xludf.DUMMYFUNCTION("""COMPUTED_VALUE"""),"Assault Vest")</f>
        <v>Assault Vest</v>
      </c>
      <c r="L4" s="166"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M4" s="167" t="str">
        <f>IFERROR(__xludf.DUMMYFUNCTION("""COMPUTED_VALUE"""),"Air Balloon")</f>
        <v>Air Balloon</v>
      </c>
      <c r="N4" s="167"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row>
    <row r="5">
      <c r="A5" s="163"/>
      <c r="B5" s="163"/>
      <c r="C5" s="164"/>
      <c r="D5" s="164"/>
      <c r="E5" s="165"/>
      <c r="F5" s="165"/>
      <c r="G5" s="166" t="str">
        <f>IFERROR(__xludf.DUMMYFUNCTION("""COMPUTED_VALUE"""),"Legendary Weapon")</f>
        <v>Legendary Weapon</v>
      </c>
      <c r="H5" s="16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5" s="166" t="str">
        <f>IFERROR(__xludf.DUMMYFUNCTION("""COMPUTED_VALUE"""),"Crude Armor")</f>
        <v>Crude Armor</v>
      </c>
      <c r="J5" s="166" t="str">
        <f>IFERROR(__xludf.DUMMYFUNCTION("""COMPUTED_VALUE"""),"While Equipped, the user has +5 Damage Reduction. [Medium] [Equipment - Armor]")</f>
        <v>While Equipped, the user has +5 Damage Reduction. [Medium] [Equipment - Armor]</v>
      </c>
      <c r="K5" s="166" t="str">
        <f>IFERROR(__xludf.DUMMYFUNCTION("""COMPUTED_VALUE"""),"Berserk Belt")</f>
        <v>Berserk Belt</v>
      </c>
      <c r="L5" s="166"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M5" s="167" t="str">
        <f>IFERROR(__xludf.DUMMYFUNCTION("""COMPUTED_VALUE"""),"Alarm Rune [Occult]")</f>
        <v>Alarm Rune [Occult]</v>
      </c>
      <c r="N5" s="167" t="str">
        <f>IFERROR(__xludf.DUMMYFUNCTION("""COMPUTED_VALUE"""),"Cost: 4 Counters
Effect: This Rune may be inscribed onto the surface of any object and be given an appropriate trigger condition, such as the inscribed book or door being opened. If the Trigger occurs, the rune lights up and you telepathically hear an ala"&amp;"rm in your head to alert you. If you are further than a Mile from your Alarm Rune, it cannot be triggered. You can only have one Alarm Rune inscribed at a time.This can only be used by a Rune Master [Small] [Consumable]
Advanced: The Rune can be triggered"&amp;" and alert you regardless of your distance from it. You can have up to 3 Alarm Runes inscribed at a time.")</f>
        <v>Cost: 4 Counters
Effect: This Rune may be inscribed onto the surface of any object and be given an appropriate trigger condition, such as the inscribed book or door being opened. If the Trigger occurs, the rune lights up and you telepathically hear an alarm in your head to alert you. If you are further than a Mile from your Alarm Rune, it cannot be triggered. You can only have one Alarm Rune inscribed at a time.This can only be used by a Rune Master [Small] [Consumable]
Advanced: The Rune can be triggered and alert you regardless of your distance from it. You can have up to 3 Alarm Runes inscribed at a time.</v>
      </c>
    </row>
    <row r="6">
      <c r="A6" s="163"/>
      <c r="B6" s="163"/>
      <c r="C6" s="164"/>
      <c r="D6" s="164"/>
      <c r="E6" s="165"/>
      <c r="F6" s="165"/>
      <c r="G6" s="166" t="str">
        <f>IFERROR(__xludf.DUMMYFUNCTION("""COMPUTED_VALUE"""),"Ranger Styler")</f>
        <v>Ranger Styler</v>
      </c>
      <c r="H6" s="166"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I6" s="166" t="str">
        <f>IFERROR(__xludf.DUMMYFUNCTION("""COMPUTED_VALUE"""),"Heavy Armor")</f>
        <v>Heavy Armor</v>
      </c>
      <c r="J6" s="166"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K6" s="166" t="str">
        <f>IFERROR(__xludf.DUMMYFUNCTION("""COMPUTED_VALUE"""),"Blessed Relic")</f>
        <v>Blessed Relic</v>
      </c>
      <c r="L6" s="166" t="str">
        <f>IFERROR(__xludf.DUMMYFUNCTION("""COMPUTED_VALUE"""),"While this Item is Equipped, the user has +2 to Save Checks. [Equipment] [Medium] [Pokemon]")</f>
        <v>While this Item is Equipped, the user has +2 to Save Checks. [Equipment] [Medium] [Pokemon]</v>
      </c>
      <c r="M6" s="167" t="str">
        <f>IFERROR(__xludf.DUMMYFUNCTION("""COMPUTED_VALUE"""),"Analytic Lens")</f>
        <v>Analytic Lens</v>
      </c>
      <c r="N6" s="167" t="str">
        <f>IFERROR(__xludf.DUMMYFUNCTION("""COMPUTED_VALUE"""),"While this Item is Equipped, the user has +1 to Effect Ranges. [Equipment] [Medium] [Pokemon]")</f>
        <v>While this Item is Equipped, the user has +1 to Effect Ranges. [Equipment] [Medium] [Pokemon]</v>
      </c>
    </row>
    <row r="7">
      <c r="A7" s="163"/>
      <c r="B7" s="163"/>
      <c r="C7" s="164"/>
      <c r="D7" s="164"/>
      <c r="E7" s="165"/>
      <c r="F7" s="165"/>
      <c r="G7" s="166" t="str">
        <f>IFERROR(__xludf.DUMMYFUNCTION("""COMPUTED_VALUE"""),"Simple Weapon")</f>
        <v>Simple Weapon</v>
      </c>
      <c r="H7" s="16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7" s="166" t="str">
        <f>IFERROR(__xludf.DUMMYFUNCTION("""COMPUTED_VALUE"""),"High Quality Heavy Armor")</f>
        <v>High Quality Heavy Armor</v>
      </c>
      <c r="J7" s="166"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K7" s="166" t="str">
        <f>IFERROR(__xludf.DUMMYFUNCTION("""COMPUTED_VALUE"""),"Cargo Bag")</f>
        <v>Cargo Bag</v>
      </c>
      <c r="L7" s="166"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c r="M7" s="167" t="str">
        <f>IFERROR(__xludf.DUMMYFUNCTION("""COMPUTED_VALUE"""),"Arcane Armor ")</f>
        <v>Arcane Armor </v>
      </c>
      <c r="N7" s="167"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row>
    <row r="8">
      <c r="A8" s="163"/>
      <c r="B8" s="163"/>
      <c r="C8" s="164"/>
      <c r="D8" s="164"/>
      <c r="E8" s="165"/>
      <c r="F8" s="165"/>
      <c r="G8" s="166" t="str">
        <f>IFERROR(__xludf.DUMMYFUNCTION("""COMPUTED_VALUE"""),"Training Weapon")</f>
        <v>Training Weapon</v>
      </c>
      <c r="H8" s="16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8" s="166" t="str">
        <f>IFERROR(__xludf.DUMMYFUNCTION("""COMPUTED_VALUE"""),"High Quality Light Armor")</f>
        <v>High Quality Light Armor</v>
      </c>
      <c r="J8" s="166"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K8" s="166" t="str">
        <f>IFERROR(__xludf.DUMMYFUNCTION("""COMPUTED_VALUE"""),"Covert Cloak")</f>
        <v>Covert Cloak</v>
      </c>
      <c r="L8" s="166" t="str">
        <f>IFERROR(__xludf.DUMMYFUNCTION("""COMPUTED_VALUE"""),"While Equipped, Attacks against the user have a -2 Penalty to Effect Ranges. [Medium] [Equipment - Armor] [Pokemon]")</f>
        <v>While Equipped, Attacks against the user have a -2 Penalty to Effect Ranges. [Medium] [Equipment - Armor] [Pokemon]</v>
      </c>
      <c r="M8" s="167" t="str">
        <f>IFERROR(__xludf.DUMMYFUNCTION("""COMPUTED_VALUE"""),"Artificing Kit")</f>
        <v>Artificing Kit</v>
      </c>
      <c r="N8" s="167" t="str">
        <f>IFERROR(__xludf.DUMMYFUNCTION("""COMPUTED_VALUE"""),"As a Downtime Action you may perform an Occult, Nature or Tech Edu Skill Check. If an area would be less likely to find shards, perform it with a Bane. if it would be more likely to find shards such as in a cave, perform it with a Boon. For each Success, "&amp;"you find a Shard Item. Whenever you gain a shard this way, roll a d6 to determine the color. 1 is Red, 2 is Orange, 3 is Yellow, 4 is Green, 5 is Blue, 6 is Violet. [Medium] ")</f>
        <v>As a Downtime Action you may perform an Occult, Nature or Tech Edu Skill Check. If an area would be less likely to find shards, perform it with a Bane. if it would be more likely to find shards such as in a cave, perform it with a Boon. For each Success, you find a Shard Item. Whenever you gain a shard this way, roll a d6 to determine the color. 1 is Red, 2 is Orange, 3 is Yellow, 4 is Green, 5 is Blue, 6 is Violet. [Medium] </v>
      </c>
    </row>
    <row r="9">
      <c r="A9" s="163"/>
      <c r="B9" s="163"/>
      <c r="C9" s="164"/>
      <c r="D9" s="164"/>
      <c r="E9" s="165"/>
      <c r="F9" s="165"/>
      <c r="G9" s="166"/>
      <c r="H9" s="166"/>
      <c r="I9" s="166" t="str">
        <f>IFERROR(__xludf.DUMMYFUNCTION("""COMPUTED_VALUE"""),"Light Armor")</f>
        <v>Light Armor</v>
      </c>
      <c r="J9" s="166"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K9" s="166" t="str">
        <f>IFERROR(__xludf.DUMMYFUNCTION("""COMPUTED_VALUE"""),"Dodge Scarf")</f>
        <v>Dodge Scarf</v>
      </c>
      <c r="L9" s="166"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M9" s="167" t="str">
        <f>IFERROR(__xludf.DUMMYFUNCTION("""COMPUTED_VALUE"""),"Artisan Kit (X)")</f>
        <v>Artisan Kit (X)</v>
      </c>
      <c r="N9" s="167" t="str">
        <f>IFERROR(__xludf.DUMMYFUNCTION("""COMPUTED_VALUE"""),"Whenever you Innovate or Research during a Downtime Phase and use an Exertion Modifier, if it’s for something that is related to (X), you reroll all dice that land on a 1. [Large]")</f>
        <v>Whenever you Innovate or Research during a Downtime Phase and use an Exertion Modifier, if it’s for something that is related to (X), you reroll all dice that land on a 1. [Large]</v>
      </c>
    </row>
    <row r="10">
      <c r="A10" s="163"/>
      <c r="B10" s="163"/>
      <c r="C10" s="164"/>
      <c r="D10" s="164"/>
      <c r="E10" s="165"/>
      <c r="F10" s="165"/>
      <c r="G10" s="166"/>
      <c r="H10" s="166"/>
      <c r="I10" s="166" t="str">
        <f>IFERROR(__xludf.DUMMYFUNCTION("""COMPUTED_VALUE"""),"Psionic Vest")</f>
        <v>Psionic Vest</v>
      </c>
      <c r="J10" s="166"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K10" s="166" t="str">
        <f>IFERROR(__xludf.DUMMYFUNCTION("""COMPUTED_VALUE"""),"Eject Module")</f>
        <v>Eject Module</v>
      </c>
      <c r="L10" s="166"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M10" s="167" t="str">
        <f>IFERROR(__xludf.DUMMYFUNCTION("""COMPUTED_VALUE"""),"Artisan Pack")</f>
        <v>Artisan Pack</v>
      </c>
      <c r="N10" s="167"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row>
    <row r="11">
      <c r="A11" s="163"/>
      <c r="B11" s="163"/>
      <c r="C11" s="164"/>
      <c r="D11" s="164"/>
      <c r="E11" s="165"/>
      <c r="F11" s="165"/>
      <c r="G11" s="166"/>
      <c r="H11" s="166"/>
      <c r="I11" s="166" t="str">
        <f>IFERROR(__xludf.DUMMYFUNCTION("""COMPUTED_VALUE"""),"Rocky Helmet")</f>
        <v>Rocky Helmet</v>
      </c>
      <c r="J11" s="166"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K11" s="166" t="str">
        <f>IFERROR(__xludf.DUMMYFUNCTION("""COMPUTED_VALUE"""),"Focus Sash")</f>
        <v>Focus Sash</v>
      </c>
      <c r="L11" s="166"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M11" s="167" t="str">
        <f>IFERROR(__xludf.DUMMYFUNCTION("""COMPUTED_VALUE"""),"Assault Vest")</f>
        <v>Assault Vest</v>
      </c>
      <c r="N11" s="167"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row>
    <row r="12">
      <c r="A12" s="163"/>
      <c r="B12" s="163"/>
      <c r="C12" s="164"/>
      <c r="D12" s="164"/>
      <c r="E12" s="165"/>
      <c r="F12" s="165"/>
      <c r="G12" s="166"/>
      <c r="H12" s="166"/>
      <c r="I12" s="166"/>
      <c r="J12" s="166"/>
      <c r="K12" s="166" t="str">
        <f>IFERROR(__xludf.DUMMYFUNCTION("""COMPUTED_VALUE"""),"Jewelry")</f>
        <v>Jewelry</v>
      </c>
      <c r="L12" s="166" t="str">
        <f>IFERROR(__xludf.DUMMYFUNCTION("""COMPUTED_VALUE"""),"This Item does nothing without being given an effect by the GM. [Small] [Equipment] [Pokemon]")</f>
        <v>This Item does nothing without being given an effect by the GM. [Small] [Equipment] [Pokemon]</v>
      </c>
      <c r="M12" s="167" t="str">
        <f>IFERROR(__xludf.DUMMYFUNCTION("""COMPUTED_VALUE"""),"Bardic Instrument")</f>
        <v>Bardic Instrument</v>
      </c>
      <c r="N12" s="167"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row>
    <row r="13">
      <c r="A13" s="163"/>
      <c r="B13" s="163"/>
      <c r="C13" s="164"/>
      <c r="D13" s="164"/>
      <c r="E13" s="165"/>
      <c r="F13" s="165"/>
      <c r="G13" s="166"/>
      <c r="H13" s="166"/>
      <c r="I13" s="166"/>
      <c r="J13" s="166"/>
      <c r="K13" s="166" t="str">
        <f>IFERROR(__xludf.DUMMYFUNCTION("""COMPUTED_VALUE"""),"Large Gadget")</f>
        <v>Large Gadget</v>
      </c>
      <c r="L13" s="166"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M13" s="167" t="str">
        <f>IFERROR(__xludf.DUMMYFUNCTION("""COMPUTED_VALUE"""),"Basic Healing Potion")</f>
        <v>Basic Healing Potion</v>
      </c>
      <c r="N13" s="167"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cu"&amp;"red of 1 Status Affliction of your choice. 
» They are revived and set to 1 Tick of Hit Points or 20 Hit Points, whichever is higher.")</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v>
      </c>
    </row>
    <row r="14">
      <c r="A14" s="163"/>
      <c r="B14" s="163"/>
      <c r="C14" s="164"/>
      <c r="D14" s="164"/>
      <c r="E14" s="165"/>
      <c r="F14" s="165"/>
      <c r="G14" s="166"/>
      <c r="H14" s="166"/>
      <c r="I14" s="166"/>
      <c r="J14" s="166"/>
      <c r="K14" s="166" t="str">
        <f>IFERROR(__xludf.DUMMYFUNCTION("""COMPUTED_VALUE"""),"Leftovers")</f>
        <v>Leftovers</v>
      </c>
      <c r="L14" s="166"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M14" s="167" t="str">
        <f>IFERROR(__xludf.DUMMYFUNCTION("""COMPUTED_VALUE"""),"Basic Healing Potion [Lethality]")</f>
        <v>Basic Healing Potion [Lethality]</v>
      </c>
      <c r="N14" s="167"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cure"&amp;"d of 1 Status Affliction of your choice.
» They are revived and set to 1 Tick of Hit Points or 20 Hit Points, whichever is higher.
» They are cured of one Wound (Max 2 per Day - Extended Action only)")</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
» They are cured of one Wound (Max 2 per Day - Extended Action only)</v>
      </c>
    </row>
    <row r="15">
      <c r="A15" s="163"/>
      <c r="B15" s="163"/>
      <c r="C15" s="164"/>
      <c r="D15" s="164"/>
      <c r="E15" s="165"/>
      <c r="F15" s="165"/>
      <c r="G15" s="166"/>
      <c r="H15" s="166"/>
      <c r="I15" s="166"/>
      <c r="J15" s="166"/>
      <c r="K15" s="166" t="str">
        <f>IFERROR(__xludf.DUMMYFUNCTION("""COMPUTED_VALUE"""),"Lucky Charm")</f>
        <v>Lucky Charm</v>
      </c>
      <c r="L15" s="166" t="str">
        <f>IFERROR(__xludf.DUMMYFUNCTION("""COMPUTED_VALUE"""),"While this Item is Equipped, the user rerolls any Accuracy Roll that was a natural 1. [Equipment] [Medium] [Pokemon]")</f>
        <v>While this Item is Equipped, the user rerolls any Accuracy Roll that was a natural 1. [Equipment] [Medium] [Pokemon]</v>
      </c>
      <c r="M15" s="167" t="str">
        <f>IFERROR(__xludf.DUMMYFUNCTION("""COMPUTED_VALUE"""),"Basic Malady Potion (Burned)")</f>
        <v>Basic Malady Potion (Burned)</v>
      </c>
      <c r="N15" s="167" t="str">
        <f>IFERROR(__xludf.DUMMYFUNCTION("""COMPUTED_VALUE"""),"The Target hit by this Item becomes Burned. [Throwable] [Small] [Consumable]")</f>
        <v>The Target hit by this Item becomes Burned. [Throwable] [Small] [Consumable]</v>
      </c>
    </row>
    <row r="16">
      <c r="A16" s="163"/>
      <c r="B16" s="163"/>
      <c r="C16" s="164"/>
      <c r="D16" s="164"/>
      <c r="E16" s="165"/>
      <c r="F16" s="165"/>
      <c r="G16" s="166"/>
      <c r="H16" s="166"/>
      <c r="I16" s="166"/>
      <c r="J16" s="166"/>
      <c r="K16" s="166" t="str">
        <f>IFERROR(__xludf.DUMMYFUNCTION("""COMPUTED_VALUE"""),"Mega Stone")</f>
        <v>Mega Stone</v>
      </c>
      <c r="L16" s="166"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c r="M16" s="167" t="str">
        <f>IFERROR(__xludf.DUMMYFUNCTION("""COMPUTED_VALUE"""),"Basic Malady Potion (Enraged)")</f>
        <v>Basic Malady Potion (Enraged)</v>
      </c>
      <c r="N16" s="167" t="str">
        <f>IFERROR(__xludf.DUMMYFUNCTION("""COMPUTED_VALUE"""),"The Target hit by this Item becomes Enraged. [Throwable] [Small] [Consumable]")</f>
        <v>The Target hit by this Item becomes Enraged. [Throwable] [Small] [Consumable]</v>
      </c>
    </row>
    <row r="17">
      <c r="A17" s="163"/>
      <c r="B17" s="163"/>
      <c r="C17" s="164"/>
      <c r="D17" s="164"/>
      <c r="E17" s="165"/>
      <c r="F17" s="165"/>
      <c r="G17" s="166"/>
      <c r="H17" s="166"/>
      <c r="I17" s="166"/>
      <c r="J17" s="166"/>
      <c r="K17" s="166" t="str">
        <f>IFERROR(__xludf.DUMMYFUNCTION("""COMPUTED_VALUE"""),"Pokemon Saddle")</f>
        <v>Pokemon Saddle</v>
      </c>
      <c r="L17" s="166"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M17" s="167" t="str">
        <f>IFERROR(__xludf.DUMMYFUNCTION("""COMPUTED_VALUE"""),"Basic Malady Potion (Entranced)")</f>
        <v>Basic Malady Potion (Entranced)</v>
      </c>
      <c r="N17" s="167" t="str">
        <f>IFERROR(__xludf.DUMMYFUNCTION("""COMPUTED_VALUE"""),"The Target hit by this Item becomes Entranced. [Throwable] [Small] [Consumable]")</f>
        <v>The Target hit by this Item becomes Entranced. [Throwable] [Small] [Consumable]</v>
      </c>
    </row>
    <row r="18">
      <c r="A18" s="163"/>
      <c r="B18" s="163"/>
      <c r="C18" s="164"/>
      <c r="D18" s="164"/>
      <c r="E18" s="165"/>
      <c r="F18" s="165"/>
      <c r="G18" s="166"/>
      <c r="H18" s="166"/>
      <c r="I18" s="166"/>
      <c r="J18" s="166"/>
      <c r="K18" s="166" t="str">
        <f>IFERROR(__xludf.DUMMYFUNCTION("""COMPUTED_VALUE"""),"Precision Lens")</f>
        <v>Precision Lens</v>
      </c>
      <c r="L18" s="166" t="str">
        <f>IFERROR(__xludf.DUMMYFUNCTION("""COMPUTED_VALUE"""),"While this Item is Equipped, the user has +2 to Accuracy. [Equipment] [Medium] [Pokemon]")</f>
        <v>While this Item is Equipped, the user has +2 to Accuracy. [Equipment] [Medium] [Pokemon]</v>
      </c>
      <c r="M18" s="167" t="str">
        <f>IFERROR(__xludf.DUMMYFUNCTION("""COMPUTED_VALUE"""),"Basic Malady Potion (Poisoned)")</f>
        <v>Basic Malady Potion (Poisoned)</v>
      </c>
      <c r="N18" s="167" t="str">
        <f>IFERROR(__xludf.DUMMYFUNCTION("""COMPUTED_VALUE"""),"The Target hit by this Item becomes Poisoned. [Throwable] [Small] [Consumable]")</f>
        <v>The Target hit by this Item becomes Poisoned. [Throwable] [Small] [Consumable]</v>
      </c>
    </row>
    <row r="19">
      <c r="A19" s="163"/>
      <c r="B19" s="163"/>
      <c r="C19" s="164"/>
      <c r="D19" s="164"/>
      <c r="E19" s="165"/>
      <c r="F19" s="165"/>
      <c r="G19" s="166"/>
      <c r="H19" s="166"/>
      <c r="I19" s="166"/>
      <c r="J19" s="166"/>
      <c r="K19" s="166" t="str">
        <f>IFERROR(__xludf.DUMMYFUNCTION("""COMPUTED_VALUE"""),"Psionic Vest")</f>
        <v>Psionic Vest</v>
      </c>
      <c r="L19" s="166"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M19" s="167" t="str">
        <f>IFERROR(__xludf.DUMMYFUNCTION("""COMPUTED_VALUE"""),"Basic Malady Potion (Suppressed)")</f>
        <v>Basic Malady Potion (Suppressed)</v>
      </c>
      <c r="N19" s="167" t="str">
        <f>IFERROR(__xludf.DUMMYFUNCTION("""COMPUTED_VALUE"""),"The Target hit by this Item becomes Suppressed. [Throwable] [Small] [Consumable]")</f>
        <v>The Target hit by this Item becomes Suppressed. [Throwable] [Small] [Consumable]</v>
      </c>
    </row>
    <row r="20">
      <c r="A20" s="163"/>
      <c r="B20" s="163"/>
      <c r="C20" s="164"/>
      <c r="D20" s="164"/>
      <c r="E20" s="165"/>
      <c r="F20" s="165"/>
      <c r="G20" s="166"/>
      <c r="H20" s="166"/>
      <c r="I20" s="166"/>
      <c r="J20" s="166"/>
      <c r="K20" s="166" t="str">
        <f>IFERROR(__xludf.DUMMYFUNCTION("""COMPUTED_VALUE"""),"Quick Boots")</f>
        <v>Quick Boots</v>
      </c>
      <c r="L20" s="166"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M20" s="167" t="str">
        <f>IFERROR(__xludf.DUMMYFUNCTION("""COMPUTED_VALUE"""),"Basic Malady Potion (Wounded)")</f>
        <v>Basic Malady Potion (Wounded)</v>
      </c>
      <c r="N20" s="167" t="str">
        <f>IFERROR(__xludf.DUMMYFUNCTION("""COMPUTED_VALUE"""),"The Target hit by this Item becomes Wounded. [Throwable] [Small] [Consumable]")</f>
        <v>The Target hit by this Item becomes Wounded. [Throwable] [Small] [Consumable]</v>
      </c>
    </row>
    <row r="21">
      <c r="A21" s="163"/>
      <c r="B21" s="163"/>
      <c r="C21" s="164"/>
      <c r="D21" s="164"/>
      <c r="E21" s="165"/>
      <c r="F21" s="165"/>
      <c r="G21" s="166"/>
      <c r="H21" s="166"/>
      <c r="I21" s="166"/>
      <c r="J21" s="166"/>
      <c r="K21" s="166" t="str">
        <f>IFERROR(__xludf.DUMMYFUNCTION("""COMPUTED_VALUE"""),"Quick Claw")</f>
        <v>Quick Claw</v>
      </c>
      <c r="L21" s="166"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M21" s="167" t="str">
        <f>IFERROR(__xludf.DUMMYFUNCTION("""COMPUTED_VALUE"""),"Basic Malady Potion (X)")</f>
        <v>Basic Malady Potion (X)</v>
      </c>
      <c r="N21" s="167" t="str">
        <f>IFERROR(__xludf.DUMMYFUNCTION("""COMPUTED_VALUE"""),"Basic Malady Potions come in different variations which are determined by the GM. The Target hit by this Item gains the corresponding Status Affliction. Basic Malady Potions can inflict the following Afflictions. Burned, Poisoned, Enraged, Entranced, Supp"&amp;"ressed, Wounded. [Throwable] [Small] [Consumable]")</f>
        <v>Basic Malady Potions come in different variations which are determined by the GM. The Target hit by this Item gains the corresponding Status Affliction. Basic Malady Potions can inflict the following Afflictions. Burned, Poisoned, Enraged, Entranced, Suppressed, Wounded. [Throwable] [Small] [Consumable]</v>
      </c>
    </row>
    <row r="22">
      <c r="A22" s="163"/>
      <c r="B22" s="163"/>
      <c r="C22" s="164"/>
      <c r="D22" s="164"/>
      <c r="E22" s="165"/>
      <c r="F22" s="165"/>
      <c r="G22" s="166"/>
      <c r="H22" s="166"/>
      <c r="I22" s="166"/>
      <c r="J22" s="166"/>
      <c r="K22" s="166" t="str">
        <f>IFERROR(__xludf.DUMMYFUNCTION("""COMPUTED_VALUE"""),"Razor Claw")</f>
        <v>Razor Claw</v>
      </c>
      <c r="L22" s="166"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M22" s="167" t="str">
        <f>IFERROR(__xludf.DUMMYFUNCTION("""COMPUTED_VALUE"""),"Basic Pokefood")</f>
        <v>Basic Pokefood</v>
      </c>
      <c r="N22" s="167" t="str">
        <f>IFERROR(__xludf.DUMMYFUNCTION("""COMPUTED_VALUE"""),"If expended with a Throw Maneuver, choose an unoccupied Space for the food to land. All Enemy Pokemon within 3m of it must pass a Focus Check with a Tough CR (3). If any fail, one of them will use their next Standard Action to move to that space and eat i"&amp;"t. If it wouldn’t make sense to logically move there (Such as being on a hazard), or the Pokemon has been tricked before in this Scene, the CR is reduced at GM Discretion. [Throwable] [Small] [Consumable]")</f>
        <v>If expended with a Throw Maneuver, choose an unoccupied Space for the food to land. All Enemy Pokemon within 3m of it must pass a Focus Check with a Tough CR (3).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row>
    <row r="23">
      <c r="A23" s="163"/>
      <c r="B23" s="163"/>
      <c r="C23" s="164"/>
      <c r="D23" s="164"/>
      <c r="E23" s="165"/>
      <c r="F23" s="165"/>
      <c r="G23" s="166"/>
      <c r="H23" s="166"/>
      <c r="I23" s="166"/>
      <c r="J23" s="166"/>
      <c r="K23" s="166" t="str">
        <f>IFERROR(__xludf.DUMMYFUNCTION("""COMPUTED_VALUE"""),"Revenge Band")</f>
        <v>Revenge Band</v>
      </c>
      <c r="L23" s="166"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M23" s="167" t="str">
        <f>IFERROR(__xludf.DUMMYFUNCTION("""COMPUTED_VALUE"""),"Basic Strength Potion (Accuracy)")</f>
        <v>Basic Strength Potion (Accuracy)</v>
      </c>
      <c r="N23" s="167" t="str">
        <f>IFERROR(__xludf.DUMMYFUNCTION("""COMPUTED_VALUE"""),"The Target gains a +2 Modifier to Accuracy for the rest of the Scene. [Throwable] [Small] [Consumable]")</f>
        <v>The Target gains a +2 Modifier to Accuracy for the rest of the Scene. [Throwable] [Small] [Consumable]</v>
      </c>
    </row>
    <row r="24">
      <c r="A24" s="163"/>
      <c r="B24" s="163"/>
      <c r="C24" s="164"/>
      <c r="D24" s="164"/>
      <c r="E24" s="165"/>
      <c r="F24" s="165"/>
      <c r="G24" s="166"/>
      <c r="H24" s="166"/>
      <c r="I24" s="166"/>
      <c r="J24" s="166"/>
      <c r="K24" s="166" t="str">
        <f>IFERROR(__xludf.DUMMYFUNCTION("""COMPUTED_VALUE"""),"Rocky Helmet")</f>
        <v>Rocky Helmet</v>
      </c>
      <c r="L24" s="166"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M24" s="167" t="str">
        <f>IFERROR(__xludf.DUMMYFUNCTION("""COMPUTED_VALUE"""),"Basic Strength Potion (Attack)")</f>
        <v>Basic Strength Potion (Attack)</v>
      </c>
      <c r="N24" s="167" t="str">
        <f>IFERROR(__xludf.DUMMYFUNCTION("""COMPUTED_VALUE"""),"The Target gains +2 CS in Attack. [Throwable] [Small] [Consumable]")</f>
        <v>The Target gains +2 CS in Attack. [Throwable] [Small] [Consumable]</v>
      </c>
    </row>
    <row r="25">
      <c r="A25" s="163"/>
      <c r="B25" s="163"/>
      <c r="C25" s="164"/>
      <c r="D25" s="164"/>
      <c r="E25" s="165"/>
      <c r="F25" s="165"/>
      <c r="G25" s="166"/>
      <c r="H25" s="166"/>
      <c r="I25" s="166"/>
      <c r="J25" s="166"/>
      <c r="K25" s="166" t="str">
        <f>IFERROR(__xludf.DUMMYFUNCTION("""COMPUTED_VALUE"""),"Scope Lens")</f>
        <v>Scope Lens</v>
      </c>
      <c r="L25" s="166" t="str">
        <f>IFERROR(__xludf.DUMMYFUNCTION("""COMPUTED_VALUE"""),"While this Item is Equipped, the user has +1 to Critical Hit Ranges. [Equipment] [Medium] [Pokemon]")</f>
        <v>While this Item is Equipped, the user has +1 to Critical Hit Ranges. [Equipment] [Medium] [Pokemon]</v>
      </c>
      <c r="M25" s="167" t="str">
        <f>IFERROR(__xludf.DUMMYFUNCTION("""COMPUTED_VALUE"""),"Basic Strength Potion (Critical Hit)")</f>
        <v>Basic Strength Potion (Critical Hit)</v>
      </c>
      <c r="N25" s="167" t="str">
        <f>IFERROR(__xludf.DUMMYFUNCTION("""COMPUTED_VALUE"""),"The Target gains a +2 Modifier to Critical Hit for the rest of the Scene. [Throwable] [Small] [Consumable]")</f>
        <v>The Target gains a +2 Modifier to Critical Hit for the rest of the Scene. [Throwable] [Small] [Consumable]</v>
      </c>
    </row>
    <row r="26">
      <c r="A26" s="163"/>
      <c r="B26" s="163"/>
      <c r="C26" s="164"/>
      <c r="D26" s="164"/>
      <c r="E26" s="165"/>
      <c r="F26" s="165"/>
      <c r="G26" s="166"/>
      <c r="H26" s="166"/>
      <c r="I26" s="166"/>
      <c r="J26" s="166"/>
      <c r="K26" s="166" t="str">
        <f>IFERROR(__xludf.DUMMYFUNCTION("""COMPUTED_VALUE"""),"Small Gadget")</f>
        <v>Small Gadget</v>
      </c>
      <c r="L26" s="166"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c r="M26" s="167" t="str">
        <f>IFERROR(__xludf.DUMMYFUNCTION("""COMPUTED_VALUE"""),"Basic Strength Potion (Special Attack)")</f>
        <v>Basic Strength Potion (Special Attack)</v>
      </c>
      <c r="N26" s="167" t="str">
        <f>IFERROR(__xludf.DUMMYFUNCTION("""COMPUTED_VALUE"""),"The Target gains +2 CS in Special Attack. [Throwable] [Small] [Consumable]")</f>
        <v>The Target gains +2 CS in Special Attack. [Throwable] [Small] [Consumable]</v>
      </c>
    </row>
    <row r="27">
      <c r="A27" s="163"/>
      <c r="B27" s="163"/>
      <c r="C27" s="164"/>
      <c r="D27" s="164"/>
      <c r="E27" s="165"/>
      <c r="F27" s="165"/>
      <c r="G27" s="166"/>
      <c r="H27" s="166"/>
      <c r="I27" s="166"/>
      <c r="J27" s="166"/>
      <c r="K27" s="166" t="str">
        <f>IFERROR(__xludf.DUMMYFUNCTION("""COMPUTED_VALUE"""),"Stat Booster (Attack)")</f>
        <v>Stat Booster (Attack)</v>
      </c>
      <c r="L27" s="166" t="str">
        <f>IFERROR(__xludf.DUMMYFUNCTION("""COMPUTED_VALUE"""),"While this Item is Equipped, the user's Default Attack CS Value is set to +1 CS. [Equipment] [Large] [Pokemon]")</f>
        <v>While this Item is Equipped, the user's Default Attack CS Value is set to +1 CS. [Equipment] [Large] [Pokemon]</v>
      </c>
      <c r="M27" s="167" t="str">
        <f>IFERROR(__xludf.DUMMYFUNCTION("""COMPUTED_VALUE"""),"Basic Strength Potion (X)")</f>
        <v>Basic Strength Potion (X)</v>
      </c>
      <c r="N27" s="167" t="str">
        <f>IFERROR(__xludf.DUMMYFUNCTION("""COMPUTED_VALUE"""),"Basic Strength Potions come in different Variations which are determined by the GM. X May be Attack, Special Attack, Critical Hit or Accuracy. If X is Attack or Special Attack, the Target gains +2 CS in that Stat. If X is Critical Hit or Accuracy, they ga"&amp;"in a +2 Modifier to that Combat Value for the rest of the Scene.  [Throwable] [Small] [Consumable]")</f>
        <v>Basic Strength Potions come in different Variations which are determined by the GM. X May be Attack, Special Attack, Critical Hit or Accuracy. If X is Attack or Special Attack, the Target gains +2 CS in that Stat. If X is Critical Hit or Accuracy, they gain a +2 Modifier to that Combat Value for the rest of the Scene.  [Throwable] [Small] [Consumable]</v>
      </c>
    </row>
    <row r="28">
      <c r="A28" s="163"/>
      <c r="B28" s="163"/>
      <c r="C28" s="164"/>
      <c r="D28" s="164"/>
      <c r="E28" s="165"/>
      <c r="F28" s="165"/>
      <c r="G28" s="166"/>
      <c r="H28" s="166"/>
      <c r="I28" s="166"/>
      <c r="J28" s="166"/>
      <c r="K28" s="166" t="str">
        <f>IFERROR(__xludf.DUMMYFUNCTION("""COMPUTED_VALUE"""),"Stat Booster (Defense)")</f>
        <v>Stat Booster (Defense)</v>
      </c>
      <c r="L28" s="166" t="str">
        <f>IFERROR(__xludf.DUMMYFUNCTION("""COMPUTED_VALUE"""),"While this Item is Equipped, the user's Default Defense CS Value is set to +1 CS. [Equipment] [Large] [Pokemon]")</f>
        <v>While this Item is Equipped, the user's Default Defense CS Value is set to +1 CS. [Equipment] [Large] [Pokemon]</v>
      </c>
      <c r="M28" s="167" t="str">
        <f>IFERROR(__xludf.DUMMYFUNCTION("""COMPUTED_VALUE"""),"Basic Vitality Potion (Defense)")</f>
        <v>Basic Vitality Potion (Defense)</v>
      </c>
      <c r="N28" s="167" t="str">
        <f>IFERROR(__xludf.DUMMYFUNCTION("""COMPUTED_VALUE"""),"The Target gains +2 CS in Defense. [Throwable] [Small] [Consumable]")</f>
        <v>The Target gains +2 CS in Defense. [Throwable] [Small] [Consumable]</v>
      </c>
    </row>
    <row r="29">
      <c r="A29" s="163"/>
      <c r="B29" s="163"/>
      <c r="C29" s="164"/>
      <c r="D29" s="164"/>
      <c r="E29" s="165"/>
      <c r="F29" s="165"/>
      <c r="G29" s="166"/>
      <c r="H29" s="166"/>
      <c r="I29" s="166"/>
      <c r="J29" s="166"/>
      <c r="K29" s="166" t="str">
        <f>IFERROR(__xludf.DUMMYFUNCTION("""COMPUTED_VALUE"""),"Stat Booster (Special Attack)")</f>
        <v>Stat Booster (Special Attack)</v>
      </c>
      <c r="L29" s="166" t="str">
        <f>IFERROR(__xludf.DUMMYFUNCTION("""COMPUTED_VALUE"""),"While this Item is Equipped, the user's Default Special Attack CS Value is set to +1 CS. [Equipment] [Large] [Pokemon]")</f>
        <v>While this Item is Equipped, the user's Default Special Attack CS Value is set to +1 CS. [Equipment] [Large] [Pokemon]</v>
      </c>
      <c r="M29" s="167" t="str">
        <f>IFERROR(__xludf.DUMMYFUNCTION("""COMPUTED_VALUE"""),"Basic Vitality Potion (Evasion)")</f>
        <v>Basic Vitality Potion (Evasion)</v>
      </c>
      <c r="N29" s="167" t="str">
        <f>IFERROR(__xludf.DUMMYFUNCTION("""COMPUTED_VALUE"""),"The Target gains a +3 Modifier to Evasion for the rest of the Scene. [Throwable] [Small] [Consumable]")</f>
        <v>The Target gains a +3 Modifier to Evasion for the rest of the Scene. [Throwable] [Small] [Consumable]</v>
      </c>
    </row>
    <row r="30">
      <c r="A30" s="163"/>
      <c r="B30" s="163"/>
      <c r="C30" s="164"/>
      <c r="D30" s="164"/>
      <c r="E30" s="165"/>
      <c r="F30" s="165"/>
      <c r="G30" s="166"/>
      <c r="H30" s="166"/>
      <c r="I30" s="166"/>
      <c r="J30" s="166"/>
      <c r="K30" s="166" t="str">
        <f>IFERROR(__xludf.DUMMYFUNCTION("""COMPUTED_VALUE"""),"Stat Booster (Special Defense)")</f>
        <v>Stat Booster (Special Defense)</v>
      </c>
      <c r="L30" s="166" t="str">
        <f>IFERROR(__xludf.DUMMYFUNCTION("""COMPUTED_VALUE"""),"While this Item is Equipped, the user's Default Special Defense CS Value is set to +1 CS. [Equipment] [Large] [Pokemon]")</f>
        <v>While this Item is Equipped, the user's Default Special Defense CS Value is set to +1 CS. [Equipment] [Large] [Pokemon]</v>
      </c>
      <c r="M30" s="167" t="str">
        <f>IFERROR(__xludf.DUMMYFUNCTION("""COMPUTED_VALUE"""),"Basic Vitality Potion (Save Checks)")</f>
        <v>Basic Vitality Potion (Save Checks)</v>
      </c>
      <c r="N30" s="167" t="str">
        <f>IFERROR(__xludf.DUMMYFUNCTION("""COMPUTED_VALUE"""),"The Target gains a +2 Modifier to Save Checks for the rest of the Scene. [Throwable] [Small] [Consumable]")</f>
        <v>The Target gains a +2 Modifier to Save Checks for the rest of the Scene. [Throwable] [Small] [Consumable]</v>
      </c>
    </row>
    <row r="31">
      <c r="A31" s="163"/>
      <c r="B31" s="163"/>
      <c r="C31" s="164"/>
      <c r="D31" s="164"/>
      <c r="E31" s="165"/>
      <c r="F31" s="165"/>
      <c r="G31" s="166"/>
      <c r="H31" s="166"/>
      <c r="I31" s="166"/>
      <c r="J31" s="166"/>
      <c r="K31" s="166" t="str">
        <f>IFERROR(__xludf.DUMMYFUNCTION("""COMPUTED_VALUE"""),"Stat Booster (Speed)")</f>
        <v>Stat Booster (Speed)</v>
      </c>
      <c r="L31" s="166" t="str">
        <f>IFERROR(__xludf.DUMMYFUNCTION("""COMPUTED_VALUE"""),"While this Item is Equipped, the user's Default Speed CS Value is set to +1 CS. [Equipment] [Large] [Pokemon]")</f>
        <v>While this Item is Equipped, the user's Default Speed CS Value is set to +1 CS. [Equipment] [Large] [Pokemon]</v>
      </c>
      <c r="M31" s="167" t="str">
        <f>IFERROR(__xludf.DUMMYFUNCTION("""COMPUTED_VALUE"""),"Basic Vitality Potion (Special Defense)")</f>
        <v>Basic Vitality Potion (Special Defense)</v>
      </c>
      <c r="N31" s="167" t="str">
        <f>IFERROR(__xludf.DUMMYFUNCTION("""COMPUTED_VALUE"""),"The Target gains +2 CS in Special Defense. [Throwable] [Small] [Consumable]")</f>
        <v>The Target gains +2 CS in Special Defense. [Throwable] [Small] [Consumable]</v>
      </c>
    </row>
    <row r="32">
      <c r="A32" s="163"/>
      <c r="B32" s="163"/>
      <c r="C32" s="164"/>
      <c r="D32" s="164"/>
      <c r="E32" s="165"/>
      <c r="F32" s="165"/>
      <c r="G32" s="166"/>
      <c r="H32" s="166"/>
      <c r="I32" s="166"/>
      <c r="J32" s="166"/>
      <c r="K32" s="166" t="str">
        <f>IFERROR(__xludf.DUMMYFUNCTION("""COMPUTED_VALUE"""),"Stat Booster (X)")</f>
        <v>Stat Booster (X)</v>
      </c>
      <c r="L32" s="166"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M32" s="167" t="str">
        <f>IFERROR(__xludf.DUMMYFUNCTION("""COMPUTED_VALUE"""),"Basic Vitality Potion (X)")</f>
        <v>Basic Vitality Potion (X)</v>
      </c>
      <c r="N32" s="167" t="str">
        <f>IFERROR(__xludf.DUMMYFUNCTION("""COMPUTED_VALUE"""),"Basic Strength Potions come in different Variations which are determined by the GM. X May be Defense, Special Defense, Evasion or Save Checks. If X is Defense or Special Defense, the Target gains +2 CS in that Stat. If X is Evasion, they gain a +3 Bonus t"&amp;"o Evasion for the rest of the Scene. If X is Save Checks, they gain a +2 Modifier to that Combat Value for the rest of the Scene.  [Throwable] [Small] [Consumable]")</f>
        <v>Basic Strength Potions come in different Variations which are determined by the GM. X May be Defense, Special Defense, Evasion or Save Checks. If X is Defense or Special Defense, the Target gains +2 CS in that Stat. If X is Evasion, they gain a +3 Bonus to Evasion for the rest of the Scene. If X is Save Checks, they gain a +2 Modifier to that Combat Value for the rest of the Scene.  [Throwable] [Small] [Consumable]</v>
      </c>
    </row>
    <row r="33">
      <c r="A33" s="163"/>
      <c r="B33" s="163"/>
      <c r="C33" s="164"/>
      <c r="D33" s="164"/>
      <c r="E33" s="165"/>
      <c r="F33" s="165"/>
      <c r="G33" s="166"/>
      <c r="H33" s="166"/>
      <c r="I33" s="166"/>
      <c r="J33" s="166"/>
      <c r="K33" s="166" t="str">
        <f>IFERROR(__xludf.DUMMYFUNCTION("""COMPUTED_VALUE"""),"Status Guard (Burned)")</f>
        <v>Status Guard (Burned)</v>
      </c>
      <c r="L33" s="166"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M33" s="167" t="str">
        <f>IFERROR(__xludf.DUMMYFUNCTION("""COMPUTED_VALUE"""),"Berserk Belt")</f>
        <v>Berserk Belt</v>
      </c>
      <c r="N33" s="167"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row>
    <row r="34">
      <c r="A34" s="163"/>
      <c r="B34" s="163"/>
      <c r="C34" s="164"/>
      <c r="D34" s="164"/>
      <c r="E34" s="165"/>
      <c r="F34" s="165"/>
      <c r="G34" s="166"/>
      <c r="H34" s="166"/>
      <c r="I34" s="166"/>
      <c r="J34" s="166"/>
      <c r="K34" s="166" t="str">
        <f>IFERROR(__xludf.DUMMYFUNCTION("""COMPUTED_VALUE"""),"Status Guard (Chilled)")</f>
        <v>Status Guard (Chilled)</v>
      </c>
      <c r="L34" s="166"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M34" s="167" t="str">
        <f>IFERROR(__xludf.DUMMYFUNCTION("""COMPUTED_VALUE"""),"Blessed Relic")</f>
        <v>Blessed Relic</v>
      </c>
      <c r="N34" s="167" t="str">
        <f>IFERROR(__xludf.DUMMYFUNCTION("""COMPUTED_VALUE"""),"While this Item is Equipped, the user has +2 to Save Checks. [Equipment] [Medium] [Pokemon]")</f>
        <v>While this Item is Equipped, the user has +2 to Save Checks. [Equipment] [Medium] [Pokemon]</v>
      </c>
    </row>
    <row r="35">
      <c r="A35" s="163"/>
      <c r="B35" s="163"/>
      <c r="C35" s="164"/>
      <c r="D35" s="164"/>
      <c r="E35" s="165"/>
      <c r="F35" s="165"/>
      <c r="G35" s="166"/>
      <c r="H35" s="166"/>
      <c r="I35" s="166"/>
      <c r="J35" s="166"/>
      <c r="K35" s="166" t="str">
        <f>IFERROR(__xludf.DUMMYFUNCTION("""COMPUTED_VALUE"""),"Status Guard (Cursed)")</f>
        <v>Status Guard (Cursed)</v>
      </c>
      <c r="L35" s="166"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M35" s="167" t="str">
        <f>IFERROR(__xludf.DUMMYFUNCTION("""COMPUTED_VALUE"""),"Blue Shard")</f>
        <v>Blue Shard</v>
      </c>
      <c r="N35" s="167"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row>
    <row r="36">
      <c r="A36" s="163"/>
      <c r="B36" s="163"/>
      <c r="C36" s="164"/>
      <c r="D36" s="164"/>
      <c r="E36" s="165"/>
      <c r="F36" s="165"/>
      <c r="G36" s="166"/>
      <c r="H36" s="166"/>
      <c r="I36" s="166"/>
      <c r="J36" s="166"/>
      <c r="K36" s="166" t="str">
        <f>IFERROR(__xludf.DUMMYFUNCTION("""COMPUTED_VALUE"""),"Status Guard (Dazed)")</f>
        <v>Status Guard (Dazed)</v>
      </c>
      <c r="L36" s="166"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M36" s="167" t="str">
        <f>IFERROR(__xludf.DUMMYFUNCTION("""COMPUTED_VALUE"""),"Bolstering Rune [Occult]")</f>
        <v>Bolstering Rune [Occult]</v>
      </c>
      <c r="N36" s="167" t="str">
        <f>IFERROR(__xludf.DUMMYFUNCTION("""COMPUTED_VALUE"""),"Cost: 1 Counter
Effect: Target an Ally within 3m and pick an effect to apply. They are cured of a Status Affliction. They gain two Ticks of Temporary Hit Points. They have a Stat at or below Default CS Value increased by +2. They have a Coat removed from "&amp;"them. This can only be used by a Rune Master [Small] [Consumable]
Advanced: You may choose to either Target all Allies within a 3x3 Zone that can be created within 5m; or pick two Effects to apply to the Target.")</f>
        <v>Cost: 1 Counter
Effect: Target an Ally within 3m and pick an effect to apply. They are cured of a Status Affliction. They gain two Ticks of Temporary Hit Points. They have a Stat at or below Default CS Value increased by +2. They have a Coat removed from them. This can only be used by a Rune Master [Small] [Consumable]
Advanced: You may choose to either Target all Allies within a 3x3 Zone that can be created within 5m; or pick two Effects to apply to the Target.</v>
      </c>
    </row>
    <row r="37">
      <c r="A37" s="163"/>
      <c r="B37" s="163"/>
      <c r="C37" s="164"/>
      <c r="D37" s="164"/>
      <c r="E37" s="165"/>
      <c r="F37" s="165"/>
      <c r="G37" s="166"/>
      <c r="H37" s="166"/>
      <c r="I37" s="166"/>
      <c r="J37" s="166"/>
      <c r="K37" s="166" t="str">
        <f>IFERROR(__xludf.DUMMYFUNCTION("""COMPUTED_VALUE"""),"Status Guard (Disabled)")</f>
        <v>Status Guard (Disabled)</v>
      </c>
      <c r="L37" s="166"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M37" s="167" t="str">
        <f>IFERROR(__xludf.DUMMYFUNCTION("""COMPUTED_VALUE"""),"Book")</f>
        <v>Book</v>
      </c>
      <c r="N37" s="167" t="str">
        <f>IFERROR(__xludf.DUMMYFUNCTION("""COMPUTED_VALUE"""),"When this Item is created, the GM will determine the effect of the book and its associated Skill that is used to read it. This Item may be studied as a Research Downtime Action with the Target Number determined by the GM. When the Downtime Project is fini"&amp;"shed, the Player will learn the contents of the book, leading to either information gained or a permanent boost to your Character, such as gaining a Specialty as if they had the Skill Specialty Talent. [Small]")</f>
        <v>When this Item is created, the GM will determine the effect of the book and its associated Skill that is used to read it. This Item may be studied as a Research Downtime Action with the Target Number determined by the GM. When the Downtime Project is finished, the Player will learn the contents of the book, leading to either information gained or a permanent boost to your Character, such as gaining a Specialty as if they had the Skill Specialty Talent. [Small]</v>
      </c>
    </row>
    <row r="38">
      <c r="A38" s="163"/>
      <c r="B38" s="163"/>
      <c r="C38" s="164"/>
      <c r="D38" s="164"/>
      <c r="E38" s="165"/>
      <c r="F38" s="165"/>
      <c r="G38" s="166"/>
      <c r="H38" s="166"/>
      <c r="I38" s="166"/>
      <c r="J38" s="166"/>
      <c r="K38" s="166" t="str">
        <f>IFERROR(__xludf.DUMMYFUNCTION("""COMPUTED_VALUE"""),"Status Guard (Drowsy)")</f>
        <v>Status Guard (Drowsy)</v>
      </c>
      <c r="L38" s="166"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M38" s="167" t="str">
        <f>IFERROR(__xludf.DUMMYFUNCTION("""COMPUTED_VALUE"""),"Braced Shield")</f>
        <v>Braced Shield</v>
      </c>
      <c r="N38" s="167"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row>
    <row r="39">
      <c r="A39" s="163"/>
      <c r="B39" s="163"/>
      <c r="C39" s="164"/>
      <c r="D39" s="164"/>
      <c r="E39" s="165"/>
      <c r="F39" s="165"/>
      <c r="G39" s="166"/>
      <c r="H39" s="166"/>
      <c r="I39" s="166"/>
      <c r="J39" s="166"/>
      <c r="K39" s="166" t="str">
        <f>IFERROR(__xludf.DUMMYFUNCTION("""COMPUTED_VALUE"""),"Status Guard (Enraged)")</f>
        <v>Status Guard (Enraged)</v>
      </c>
      <c r="L39" s="166"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M39" s="167" t="str">
        <f>IFERROR(__xludf.DUMMYFUNCTION("""COMPUTED_VALUE"""),"Burst Heart [Occult]")</f>
        <v>Burst Heart [Occult]</v>
      </c>
      <c r="N39" s="167" t="str">
        <f>IFERROR(__xludf.DUMMYFUNCTION("""COMPUTED_VALUE"""),"Effect: This is a crystalline object that can capture a Fainted or Willing Pokemon, putting them in a stasis similar to a Pokeball. The Pokemon inside cannot be released from this Item unless it is destroyed. The Pokemon inside gains the Telepath Capabili"&amp;"ty but can only communicate with their holder, and vice versa. For each Burst Heart a Trainer has in their Inventory or Equipped, their Pokemon Party size is reduced by -1. The Pokemon contained in this Item has its own Stat Sheet that must be tracked and"&amp;" they may Level Up as normal. The contained Pokemon may allow another creature to enter their Burst Heart and interact with them normally, such as Training them or teaching them Tutor Attacks. This Item cannot be Disarmed if the holder is in their associa"&amp;"ted Burst Form. [Large] [Equipment]")</f>
        <v>Effect: This is a crystalline object that can capture a Fainted or Willing Pokemon, putting them in a stasis similar to a Pokeball. The Pokemon inside cannot be released from this Item unless it is destroyed. The Pokemon inside gains the Telepath Capability but can only communicate with their holder, and vice versa. For each Burst Heart a Trainer has in their Inventory or Equipped, their Pokemon Party size is reduced by -1. The Pokemon contained in this Item has its own Stat Sheet that must be tracked and they may Level Up as normal. The contained Pokemon may allow another creature to enter their Burst Heart and interact with them normally, such as Training them or teaching them Tutor Attacks. This Item cannot be Disarmed if the holder is in their associated Burst Form. [Large] [Equipment]</v>
      </c>
    </row>
    <row r="40">
      <c r="A40" s="163"/>
      <c r="B40" s="163"/>
      <c r="C40" s="164"/>
      <c r="D40" s="164"/>
      <c r="E40" s="165"/>
      <c r="F40" s="165"/>
      <c r="G40" s="166"/>
      <c r="H40" s="166"/>
      <c r="I40" s="166"/>
      <c r="J40" s="166"/>
      <c r="K40" s="166" t="str">
        <f>IFERROR(__xludf.DUMMYFUNCTION("""COMPUTED_VALUE"""),"Status Guard (Entranced)")</f>
        <v>Status Guard (Entranced)</v>
      </c>
      <c r="L40" s="166"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M40" s="167" t="str">
        <f>IFERROR(__xludf.DUMMYFUNCTION("""COMPUTED_VALUE"""),"Caravan [Lethality]")</f>
        <v>Caravan [Lethality]</v>
      </c>
      <c r="N40" s="167" t="str">
        <f>IFERROR(__xludf.DUMMYFUNCTION("""COMPUTED_VALUE"""),"This Item may be taken on a Journey and doesn’t take up an Inventory Slot. This Item has 20 Inventory Slots that can be filled with Items. In order to take this on a Journey, a Pokemon or Trainer must be the Primary Provisioner, whereas the total Power of"&amp;" all Provisioners is 12 or higher. ")</f>
        <v>This Item may be taken on a Journey and doesn’t take up an Inventory Slot. This Item has 20 Inventory Slots that can be filled with Items. In order to take this on a Journey, a Pokemon or Trainer must be the Primary Provisioner, whereas the total Power of all Provisioners is 12 or higher. </v>
      </c>
    </row>
    <row r="41">
      <c r="A41" s="163"/>
      <c r="B41" s="163"/>
      <c r="C41" s="164"/>
      <c r="D41" s="164"/>
      <c r="E41" s="165"/>
      <c r="F41" s="165"/>
      <c r="G41" s="166"/>
      <c r="H41" s="166"/>
      <c r="I41" s="166"/>
      <c r="J41" s="166"/>
      <c r="K41" s="166" t="str">
        <f>IFERROR(__xludf.DUMMYFUNCTION("""COMPUTED_VALUE"""),"Status Guard (Paralyzed)")</f>
        <v>Status Guard (Paralyzed)</v>
      </c>
      <c r="L41" s="166"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M41" s="167" t="str">
        <f>IFERROR(__xludf.DUMMYFUNCTION("""COMPUTED_VALUE"""),"Cargo Bag")</f>
        <v>Cargo Bag</v>
      </c>
      <c r="N41" s="167"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row>
    <row r="42">
      <c r="A42" s="163"/>
      <c r="B42" s="163"/>
      <c r="C42" s="164"/>
      <c r="D42" s="164"/>
      <c r="E42" s="165"/>
      <c r="F42" s="165"/>
      <c r="G42" s="166"/>
      <c r="H42" s="166"/>
      <c r="I42" s="166"/>
      <c r="J42" s="166"/>
      <c r="K42" s="166" t="str">
        <f>IFERROR(__xludf.DUMMYFUNCTION("""COMPUTED_VALUE"""),"Status Guard (Poisoned)")</f>
        <v>Status Guard (Poisoned)</v>
      </c>
      <c r="L42" s="166"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M42" s="167" t="str">
        <f>IFERROR(__xludf.DUMMYFUNCTION("""COMPUTED_VALUE"""),"Climbing Kit")</f>
        <v>Climbing Kit</v>
      </c>
      <c r="N42" s="167" t="str">
        <f>IFERROR(__xludf.DUMMYFUNCTION("""COMPUTED_VALUE"""),"While this Item is in your Inventory, you do not need to make any Skill Checks in order to climb or scale vertical surfaces such as a slope. This may be equipped as if it were an [Equipment - Weapon] Item in order to ignore Movement Penalites from vertica"&amp;"l surfaces that would be Slow Terrain. [Medium]")</f>
        <v>While this Item is in your Inventory, you do not need to make any Skill Checks in order to climb or scale vertical surfaces such as a slope. This may be equipped as if it were an [Equipment - Weapon] Item in order to ignore Movement Penalites from vertical surfaces that would be Slow Terrain. [Medium]</v>
      </c>
    </row>
    <row r="43">
      <c r="A43" s="163"/>
      <c r="B43" s="163"/>
      <c r="C43" s="164"/>
      <c r="D43" s="164"/>
      <c r="E43" s="165"/>
      <c r="F43" s="165"/>
      <c r="G43" s="166"/>
      <c r="H43" s="166"/>
      <c r="I43" s="166"/>
      <c r="J43" s="166"/>
      <c r="K43" s="166" t="str">
        <f>IFERROR(__xludf.DUMMYFUNCTION("""COMPUTED_VALUE"""),"Status Guard (Slowed)")</f>
        <v>Status Guard (Slowed)</v>
      </c>
      <c r="L43" s="166"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M43" s="167" t="str">
        <f>IFERROR(__xludf.DUMMYFUNCTION("""COMPUTED_VALUE"""),"Companion Ball")</f>
        <v>Companion Ball</v>
      </c>
      <c r="N43" s="167" t="str">
        <f>IFERROR(__xludf.DUMMYFUNCTION("""COMPUTED_VALUE"""),"As an Extended Action, Target any Pokemon you own to become bound by the Companion Ball (Limit 1). While you have this Item in your Inventory, the Targeted Pokemon is considered to be in your Party, ignoring the Limit of 3 Pokemon in a Party. Pokemon boun"&amp;"d by this Ball cannot be used in Combat in any way. You can only have one Companion Ball in your Inventory at a time. At your GM's Discretion, this Item could provide some small benefit based on the Pokemon inside. [Medium] ")</f>
        <v>As an Extended Action, Target any Pokemon you own to become bound by the Companion Ball (Limit 1). While you have this Item in your Inventory, the Targeted Pokemon is considered to be in your Party, ignoring the Limit of 3 Pokemon in a Party. Pokemon bound by this Ball cannot be used in Combat in any way. You can only have one Companion Ball in your Inventory at a time. At your GM's Discretion, this Item could provide some small benefit based on the Pokemon inside. [Medium] </v>
      </c>
    </row>
    <row r="44">
      <c r="A44" s="163"/>
      <c r="B44" s="163"/>
      <c r="C44" s="164"/>
      <c r="D44" s="164"/>
      <c r="E44" s="165"/>
      <c r="F44" s="165"/>
      <c r="G44" s="166"/>
      <c r="H44" s="166"/>
      <c r="I44" s="166"/>
      <c r="J44" s="166"/>
      <c r="K44" s="166" t="str">
        <f>IFERROR(__xludf.DUMMYFUNCTION("""COMPUTED_VALUE"""),"Status Guard (Suppressed)")</f>
        <v>Status Guard (Suppressed)</v>
      </c>
      <c r="L44" s="166"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M44" s="167" t="str">
        <f>IFERROR(__xludf.DUMMYFUNCTION("""COMPUTED_VALUE"""),"Covert Cloak")</f>
        <v>Covert Cloak</v>
      </c>
      <c r="N44" s="167" t="str">
        <f>IFERROR(__xludf.DUMMYFUNCTION("""COMPUTED_VALUE"""),"While Equipped, Attacks against the user have a -2 Penalty to Effect Ranges. [Medium] [Equipment - Armor] [Pokemon]")</f>
        <v>While Equipped, Attacks against the user have a -2 Penalty to Effect Ranges. [Medium] [Equipment - Armor] [Pokemon]</v>
      </c>
    </row>
    <row r="45">
      <c r="A45" s="163"/>
      <c r="B45" s="163"/>
      <c r="C45" s="164"/>
      <c r="D45" s="164"/>
      <c r="E45" s="165"/>
      <c r="F45" s="165"/>
      <c r="G45" s="166"/>
      <c r="H45" s="166"/>
      <c r="I45" s="166"/>
      <c r="J45" s="166"/>
      <c r="K45" s="166" t="str">
        <f>IFERROR(__xludf.DUMMYFUNCTION("""COMPUTED_VALUE"""),"Status Guard (Wounded)")</f>
        <v>Status Guard (Wounded)</v>
      </c>
      <c r="L45" s="166"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M45" s="167" t="str">
        <f>IFERROR(__xludf.DUMMYFUNCTION("""COMPUTED_VALUE"""),"Crude Armor")</f>
        <v>Crude Armor</v>
      </c>
      <c r="N45" s="167" t="str">
        <f>IFERROR(__xludf.DUMMYFUNCTION("""COMPUTED_VALUE"""),"While Equipped, the user has +5 Damage Reduction. [Medium] [Equipment - Armor]")</f>
        <v>While Equipped, the user has +5 Damage Reduction. [Medium] [Equipment - Armor]</v>
      </c>
    </row>
    <row r="46">
      <c r="A46" s="163"/>
      <c r="B46" s="163"/>
      <c r="C46" s="164"/>
      <c r="D46" s="164"/>
      <c r="E46" s="165"/>
      <c r="F46" s="165"/>
      <c r="G46" s="166"/>
      <c r="H46" s="166"/>
      <c r="I46" s="166"/>
      <c r="J46" s="166"/>
      <c r="K46" s="166" t="str">
        <f>IFERROR(__xludf.DUMMYFUNCTION("""COMPUTED_VALUE"""),"Status Guard (X)")</f>
        <v>Status Guard (X)</v>
      </c>
      <c r="L46" s="166"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M46" s="167" t="str">
        <f>IFERROR(__xludf.DUMMYFUNCTION("""COMPUTED_VALUE"""),"Dampening Rune [Occult]")</f>
        <v>Dampening Rune [Occult]</v>
      </c>
      <c r="N46" s="167" t="str">
        <f>IFERROR(__xludf.DUMMYFUNCTION("""COMPUTED_VALUE"""),"Cost: 1 Counters
Effect: Target an Enemy within 3m and pick an effect to apply. An Enemy can only be affected by each Effect once per Scene. They have a Stat with Positive CS set to its Default Value. Their next Accuracy Roll or Save Check has a Penalty e"&amp;"qual to double your Tier Level. They have a Coat removed from them. This can only be used by a Rune Master [Small] [Consumable]
Advanced: You may choose to either Target all Enemies within a 3x3 Zone that can be created within 5m; or pick two Effects to a"&amp;"pply to the Target.")</f>
        <v>Cost: 1 Counters
Effect: Target an Enemy within 3m and pick an effect to apply. An Enemy can only be affected by each Effect once per Scene. They have a Stat with Positive CS set to its Default Value. Their next Accuracy Roll or Save Check has a Penalty equal to double your Tier Level. They have a Coat removed from them. This can only be used by a Rune Master [Small] [Consumable]
Advanced: You may choose to either Target all Enemies within a 3x3 Zone that can be created within 5m; or pick two Effects to apply to the Target.</v>
      </c>
    </row>
    <row r="47">
      <c r="A47" s="163"/>
      <c r="B47" s="163"/>
      <c r="C47" s="164"/>
      <c r="D47" s="164"/>
      <c r="E47" s="165"/>
      <c r="F47" s="165"/>
      <c r="G47" s="166"/>
      <c r="H47" s="166"/>
      <c r="I47" s="166"/>
      <c r="J47" s="166"/>
      <c r="K47" s="166" t="str">
        <f>IFERROR(__xludf.DUMMYFUNCTION("""COMPUTED_VALUE"""),"Stylish Clothes")</f>
        <v>Stylish Clothes</v>
      </c>
      <c r="L47" s="166"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M47" s="167" t="str">
        <f>IFERROR(__xludf.DUMMYFUNCTION("""COMPUTED_VALUE"""),"Destruction Rune [Occult]")</f>
        <v>Destruction Rune [Occult]</v>
      </c>
      <c r="N47" s="167" t="str">
        <f>IFERROR(__xludf.DUMMYFUNCTION("""COMPUTED_VALUE"""),"Cost: 1 or 3 Counters
Effect: When used, the user may use the Hidden Power Attack. The user may expend 3 Shards of an associated Type to select what Type Hidden Power will be instead of rolling. If the Rune was created with 3 Counters, you may choose what"&amp;" Type Hidden Power is. This can only be used by a Rune Master [Small] [Consumable]
Advanced: You may choose to either pick the Type of Hidden Power without paying the cost; or change its range to one of the following: Burst 2. 6, Ranged Blast 2. Close Bla"&amp;"st 3. Line 4")</f>
        <v>Cost: 1 or 3 Counters
Effect: When used, the user may use the Hidden Power Attack. The user may expend 3 Shards of an associated Type to select what Type Hidden Power will be instead of rolling. If the Rune was created with 3 Counters, you may choose what Type Hidden Power is. This can only be used by a Rune Master [Small] [Consumable]
Advanced: You may choose to either pick the Type of Hidden Power without paying the cost; or change its range to one of the following: Burst 2. 6, Ranged Blast 2. Close Blast 3. Line 4</v>
      </c>
    </row>
    <row r="48">
      <c r="A48" s="163"/>
      <c r="B48" s="163"/>
      <c r="C48" s="164"/>
      <c r="D48" s="164"/>
      <c r="E48" s="165"/>
      <c r="F48" s="165"/>
      <c r="G48" s="166"/>
      <c r="H48" s="166"/>
      <c r="I48" s="166"/>
      <c r="J48" s="166"/>
      <c r="K48" s="166" t="str">
        <f>IFERROR(__xludf.DUMMYFUNCTION("""COMPUTED_VALUE"""),"Terastral Crystal")</f>
        <v>Terastral Crystal</v>
      </c>
      <c r="L48" s="166"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c r="M48" s="167" t="str">
        <f>IFERROR(__xludf.DUMMYFUNCTION("""COMPUTED_VALUE"""),"Disguise")</f>
        <v>Disguise</v>
      </c>
      <c r="N48" s="167"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row>
    <row r="49">
      <c r="A49" s="163"/>
      <c r="B49" s="163"/>
      <c r="C49" s="164"/>
      <c r="D49" s="164"/>
      <c r="E49" s="165"/>
      <c r="F49" s="165"/>
      <c r="G49" s="166"/>
      <c r="H49" s="166"/>
      <c r="I49" s="166"/>
      <c r="J49" s="166"/>
      <c r="K49" s="166" t="str">
        <f>IFERROR(__xludf.DUMMYFUNCTION("""COMPUTED_VALUE"""),"Type Augmentor (Bug)")</f>
        <v>Type Augmentor (Bug)</v>
      </c>
      <c r="L49" s="166"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M49" s="167" t="str">
        <f>IFERROR(__xludf.DUMMYFUNCTION("""COMPUTED_VALUE"""),"Dodge Scarf")</f>
        <v>Dodge Scarf</v>
      </c>
      <c r="N49" s="167"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row>
    <row r="50">
      <c r="A50" s="163"/>
      <c r="B50" s="163"/>
      <c r="C50" s="164"/>
      <c r="D50" s="164"/>
      <c r="E50" s="165"/>
      <c r="F50" s="165"/>
      <c r="G50" s="166"/>
      <c r="H50" s="166"/>
      <c r="I50" s="166"/>
      <c r="J50" s="166"/>
      <c r="K50" s="166" t="str">
        <f>IFERROR(__xludf.DUMMYFUNCTION("""COMPUTED_VALUE"""),"Type Augmentor (Dark)")</f>
        <v>Type Augmentor (Dark)</v>
      </c>
      <c r="L50" s="166"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M50" s="167" t="str">
        <f>IFERROR(__xludf.DUMMYFUNCTION("""COMPUTED_VALUE"""),"Eject Module")</f>
        <v>Eject Module</v>
      </c>
      <c r="N50" s="167"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row>
    <row r="51">
      <c r="A51" s="163"/>
      <c r="B51" s="163"/>
      <c r="C51" s="164"/>
      <c r="D51" s="164"/>
      <c r="E51" s="165"/>
      <c r="F51" s="165"/>
      <c r="G51" s="166"/>
      <c r="H51" s="166"/>
      <c r="I51" s="166"/>
      <c r="J51" s="166"/>
      <c r="K51" s="166" t="str">
        <f>IFERROR(__xludf.DUMMYFUNCTION("""COMPUTED_VALUE"""),"Type Augmentor (Dragon)")</f>
        <v>Type Augmentor (Dragon)</v>
      </c>
      <c r="L51" s="166"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M51" s="167" t="str">
        <f>IFERROR(__xludf.DUMMYFUNCTION("""COMPUTED_VALUE"""),"Elemental Catalyst (Bug)")</f>
        <v>Elemental Catalyst (Bug)</v>
      </c>
      <c r="N51" s="167" t="str">
        <f>IFERROR(__xludf.DUMMYFUNCTION("""COMPUTED_VALUE"""),"When this Item is expended, Target a Willing Pokemon. The Target becomes a Bug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Bug Type Shift of the listed Type and follows the rules under that section to guide how they're altered. They may either choose to add the listed Type (If they only have one Type), or replace one of their existing types with the listed Type. [Medium] [Consumable] </v>
      </c>
    </row>
    <row r="52">
      <c r="A52" s="163"/>
      <c r="B52" s="163"/>
      <c r="C52" s="164"/>
      <c r="D52" s="164"/>
      <c r="E52" s="165"/>
      <c r="F52" s="165"/>
      <c r="G52" s="166"/>
      <c r="H52" s="166"/>
      <c r="I52" s="166"/>
      <c r="J52" s="166"/>
      <c r="K52" s="166" t="str">
        <f>IFERROR(__xludf.DUMMYFUNCTION("""COMPUTED_VALUE"""),"Type Augmentor (Electric)")</f>
        <v>Type Augmentor (Electric)</v>
      </c>
      <c r="L52" s="166"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M52" s="167" t="str">
        <f>IFERROR(__xludf.DUMMYFUNCTION("""COMPUTED_VALUE"""),"Elemental Catalyst (Dark)")</f>
        <v>Elemental Catalyst (Dark)</v>
      </c>
      <c r="N52" s="167" t="str">
        <f>IFERROR(__xludf.DUMMYFUNCTION("""COMPUTED_VALUE"""),"When this Item is expended, Target a Willing Pokemon. The Target becomes a Dark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Dark Type Shift of the listed Type and follows the rules under that section to guide how they're altered. They may either choose to add the listed Type (If they only have one Type), or replace one of their existing types with the listed Type. [Medium] [Consumable] </v>
      </c>
    </row>
    <row r="53">
      <c r="A53" s="163"/>
      <c r="B53" s="163"/>
      <c r="C53" s="164"/>
      <c r="D53" s="164"/>
      <c r="E53" s="165"/>
      <c r="F53" s="165"/>
      <c r="G53" s="166"/>
      <c r="H53" s="166"/>
      <c r="I53" s="166"/>
      <c r="J53" s="166"/>
      <c r="K53" s="166" t="str">
        <f>IFERROR(__xludf.DUMMYFUNCTION("""COMPUTED_VALUE"""),"Type Augmentor (Fairy)")</f>
        <v>Type Augmentor (Fairy)</v>
      </c>
      <c r="L53" s="166"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M53" s="167" t="str">
        <f>IFERROR(__xludf.DUMMYFUNCTION("""COMPUTED_VALUE"""),"Elemental Catalyst (Dragon)")</f>
        <v>Elemental Catalyst (Dragon)</v>
      </c>
      <c r="N53" s="167" t="str">
        <f>IFERROR(__xludf.DUMMYFUNCTION("""COMPUTED_VALUE"""),"When this Item is expended, Target a Willing Pokemon. The Target becomes a Dragon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Dragon Type Shift of the listed Type and follows the rules under that section to guide how they're altered. They may either choose to add the listed Type (If they only have one Type), or replace one of their existing types with the listed Type. [Medium] [Consumable] </v>
      </c>
    </row>
    <row r="54">
      <c r="A54" s="163"/>
      <c r="B54" s="163"/>
      <c r="C54" s="164"/>
      <c r="D54" s="164"/>
      <c r="E54" s="165"/>
      <c r="F54" s="165"/>
      <c r="G54" s="166"/>
      <c r="H54" s="166"/>
      <c r="I54" s="166"/>
      <c r="J54" s="166"/>
      <c r="K54" s="166" t="str">
        <f>IFERROR(__xludf.DUMMYFUNCTION("""COMPUTED_VALUE"""),"Type Augmentor (Fighting)")</f>
        <v>Type Augmentor (Fighting)</v>
      </c>
      <c r="L54" s="166"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M54" s="167" t="str">
        <f>IFERROR(__xludf.DUMMYFUNCTION("""COMPUTED_VALUE"""),"Elemental Catalyst (Electric)")</f>
        <v>Elemental Catalyst (Electric)</v>
      </c>
      <c r="N54" s="167" t="str">
        <f>IFERROR(__xludf.DUMMYFUNCTION("""COMPUTED_VALUE"""),"When this Item is expended, Target a Willing Pokemon. The Target becomes an Electric Type Shift of the listed Type and follows the rules under that section to guide how they're altered. They may either choose to add the listed Type (If they only have one "&amp;"Type), or replace one of their existing types with the listed Type. [Medium] [Consumable] ")</f>
        <v>When this Item is expended, Target a Willing Pokemon. The Target becomes an Electric Type Shift of the listed Type and follows the rules under that section to guide how they're altered. They may either choose to add the listed Type (If they only have one Type), or replace one of their existing types with the listed Type. [Medium] [Consumable] </v>
      </c>
    </row>
    <row r="55">
      <c r="A55" s="163"/>
      <c r="B55" s="163"/>
      <c r="C55" s="164"/>
      <c r="D55" s="164"/>
      <c r="E55" s="165"/>
      <c r="F55" s="165"/>
      <c r="G55" s="166"/>
      <c r="H55" s="166"/>
      <c r="I55" s="166"/>
      <c r="J55" s="166"/>
      <c r="K55" s="166" t="str">
        <f>IFERROR(__xludf.DUMMYFUNCTION("""COMPUTED_VALUE"""),"Type Augmentor (Fire)")</f>
        <v>Type Augmentor (Fire)</v>
      </c>
      <c r="L55" s="166"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M55" s="167" t="str">
        <f>IFERROR(__xludf.DUMMYFUNCTION("""COMPUTED_VALUE"""),"Elemental Catalyst (Fairy)")</f>
        <v>Elemental Catalyst (Fairy)</v>
      </c>
      <c r="N55" s="167" t="str">
        <f>IFERROR(__xludf.DUMMYFUNCTION("""COMPUTED_VALUE"""),"When this Item is expended, Target a Willing Pokemon. The Target becomes a Fairy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Fairy Type Shift of the listed Type and follows the rules under that section to guide how they're altered. They may either choose to add the listed Type (If they only have one Type), or replace one of their existing types with the listed Type. [Medium] [Consumable] </v>
      </c>
    </row>
    <row r="56">
      <c r="A56" s="163"/>
      <c r="B56" s="163"/>
      <c r="C56" s="164"/>
      <c r="D56" s="164"/>
      <c r="E56" s="165"/>
      <c r="F56" s="165"/>
      <c r="G56" s="166"/>
      <c r="H56" s="166"/>
      <c r="I56" s="166"/>
      <c r="J56" s="166"/>
      <c r="K56" s="166" t="str">
        <f>IFERROR(__xludf.DUMMYFUNCTION("""COMPUTED_VALUE"""),"Type Augmentor (Flying)")</f>
        <v>Type Augmentor (Flying)</v>
      </c>
      <c r="L56" s="166"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M56" s="167" t="str">
        <f>IFERROR(__xludf.DUMMYFUNCTION("""COMPUTED_VALUE"""),"Elemental Catalyst (Fighting)")</f>
        <v>Elemental Catalyst (Fighting)</v>
      </c>
      <c r="N56" s="167" t="str">
        <f>IFERROR(__xludf.DUMMYFUNCTION("""COMPUTED_VALUE"""),"When this Item is expended, Target a Willing Pokemon. The Target becomes a Fighting Type Shift of the listed Type and follows the rules under that section to guide how they're altered. They may either choose to add the listed Type (If they only have one T"&amp;"ype), or replace one of their existing types with the listed Type. [Medium] [Consumable] ")</f>
        <v>When this Item is expended, Target a Willing Pokemon. The Target becomes a Fighting Type Shift of the listed Type and follows the rules under that section to guide how they're altered. They may either choose to add the listed Type (If they only have one Type), or replace one of their existing types with the listed Type. [Medium] [Consumable] </v>
      </c>
    </row>
    <row r="57">
      <c r="A57" s="163"/>
      <c r="B57" s="163"/>
      <c r="C57" s="164"/>
      <c r="D57" s="164"/>
      <c r="E57" s="165"/>
      <c r="F57" s="165"/>
      <c r="G57" s="166"/>
      <c r="H57" s="166"/>
      <c r="I57" s="166"/>
      <c r="J57" s="166"/>
      <c r="K57" s="166" t="str">
        <f>IFERROR(__xludf.DUMMYFUNCTION("""COMPUTED_VALUE"""),"Type Augmentor (Ghost)")</f>
        <v>Type Augmentor (Ghost)</v>
      </c>
      <c r="L57" s="166"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M57" s="167" t="str">
        <f>IFERROR(__xludf.DUMMYFUNCTION("""COMPUTED_VALUE"""),"Elemental Catalyst (Fire)")</f>
        <v>Elemental Catalyst (Fire)</v>
      </c>
      <c r="N57" s="167" t="str">
        <f>IFERROR(__xludf.DUMMYFUNCTION("""COMPUTED_VALUE"""),"When this Item is expended, Target a Willing Pokemon. The Target becomes a Fire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Fire Type Shift of the listed Type and follows the rules under that section to guide how they're altered. They may either choose to add the listed Type (If they only have one Type), or replace one of their existing types with the listed Type. [Medium] [Consumable] </v>
      </c>
    </row>
    <row r="58">
      <c r="A58" s="163"/>
      <c r="B58" s="163"/>
      <c r="C58" s="164"/>
      <c r="D58" s="164"/>
      <c r="E58" s="165"/>
      <c r="F58" s="165"/>
      <c r="G58" s="166"/>
      <c r="H58" s="166"/>
      <c r="I58" s="166"/>
      <c r="J58" s="166"/>
      <c r="K58" s="166" t="str">
        <f>IFERROR(__xludf.DUMMYFUNCTION("""COMPUTED_VALUE"""),"Type Augmentor (Grass)")</f>
        <v>Type Augmentor (Grass)</v>
      </c>
      <c r="L58" s="166"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M58" s="167" t="str">
        <f>IFERROR(__xludf.DUMMYFUNCTION("""COMPUTED_VALUE"""),"Elemental Catalyst (Flying)")</f>
        <v>Elemental Catalyst (Flying)</v>
      </c>
      <c r="N58" s="167" t="str">
        <f>IFERROR(__xludf.DUMMYFUNCTION("""COMPUTED_VALUE"""),"When this Item is expended, Target a Willing Pokemon. The Target becomes a Flying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Flying Type Shift of the listed Type and follows the rules under that section to guide how they're altered. They may either choose to add the listed Type (If they only have one Type), or replace one of their existing types with the listed Type. [Medium] [Consumable] </v>
      </c>
    </row>
    <row r="59">
      <c r="A59" s="163"/>
      <c r="B59" s="163"/>
      <c r="C59" s="164"/>
      <c r="D59" s="164"/>
      <c r="E59" s="165"/>
      <c r="F59" s="165"/>
      <c r="G59" s="166"/>
      <c r="H59" s="166"/>
      <c r="I59" s="166"/>
      <c r="J59" s="166"/>
      <c r="K59" s="166" t="str">
        <f>IFERROR(__xludf.DUMMYFUNCTION("""COMPUTED_VALUE"""),"Type Augmentor (Ground)")</f>
        <v>Type Augmentor (Ground)</v>
      </c>
      <c r="L59" s="166"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M59" s="167" t="str">
        <f>IFERROR(__xludf.DUMMYFUNCTION("""COMPUTED_VALUE"""),"Elemental Catalyst (Ghost)")</f>
        <v>Elemental Catalyst (Ghost)</v>
      </c>
      <c r="N59" s="167" t="str">
        <f>IFERROR(__xludf.DUMMYFUNCTION("""COMPUTED_VALUE"""),"When this Item is expended, Target a Willing Pokemon. The Target becomes a Ghost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Ghost Type Shift of the listed Type and follows the rules under that section to guide how they're altered. They may either choose to add the listed Type (If they only have one Type), or replace one of their existing types with the listed Type. [Medium] [Consumable] </v>
      </c>
    </row>
    <row r="60">
      <c r="A60" s="163"/>
      <c r="B60" s="163"/>
      <c r="C60" s="164"/>
      <c r="D60" s="164"/>
      <c r="E60" s="165"/>
      <c r="F60" s="165"/>
      <c r="G60" s="166"/>
      <c r="H60" s="166"/>
      <c r="I60" s="166"/>
      <c r="J60" s="166"/>
      <c r="K60" s="166" t="str">
        <f>IFERROR(__xludf.DUMMYFUNCTION("""COMPUTED_VALUE"""),"Type Augmentor (Ice)")</f>
        <v>Type Augmentor (Ice)</v>
      </c>
      <c r="L60" s="166"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M60" s="167" t="str">
        <f>IFERROR(__xludf.DUMMYFUNCTION("""COMPUTED_VALUE"""),"Elemental Catalyst (Grass)")</f>
        <v>Elemental Catalyst (Grass)</v>
      </c>
      <c r="N60" s="167" t="str">
        <f>IFERROR(__xludf.DUMMYFUNCTION("""COMPUTED_VALUE"""),"When this Item is expended, Target a Willing Pokemon. The Target becomes a Grass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Grass Type Shift of the listed Type and follows the rules under that section to guide how they're altered. They may either choose to add the listed Type (If they only have one Type), or replace one of their existing types with the listed Type. [Medium] [Consumable] </v>
      </c>
    </row>
    <row r="61">
      <c r="A61" s="163"/>
      <c r="B61" s="163"/>
      <c r="C61" s="164"/>
      <c r="D61" s="164"/>
      <c r="E61" s="165"/>
      <c r="F61" s="165"/>
      <c r="G61" s="166"/>
      <c r="H61" s="166"/>
      <c r="I61" s="166"/>
      <c r="J61" s="166"/>
      <c r="K61" s="166" t="str">
        <f>IFERROR(__xludf.DUMMYFUNCTION("""COMPUTED_VALUE"""),"Type Augmentor (Normal)")</f>
        <v>Type Augmentor (Normal)</v>
      </c>
      <c r="L61" s="166"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M61" s="167" t="str">
        <f>IFERROR(__xludf.DUMMYFUNCTION("""COMPUTED_VALUE"""),"Elemental Catalyst (Ground)")</f>
        <v>Elemental Catalyst (Ground)</v>
      </c>
      <c r="N61" s="167" t="str">
        <f>IFERROR(__xludf.DUMMYFUNCTION("""COMPUTED_VALUE"""),"When this Item is expended, Target a Willing Pokemon. The Target becomes a Ground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Ground Type Shift of the listed Type and follows the rules under that section to guide how they're altered. They may either choose to add the listed Type (If they only have one Type), or replace one of their existing types with the listed Type. [Medium] [Consumable] </v>
      </c>
    </row>
    <row r="62">
      <c r="A62" s="163"/>
      <c r="B62" s="163"/>
      <c r="C62" s="164"/>
      <c r="D62" s="164"/>
      <c r="E62" s="165"/>
      <c r="F62" s="165"/>
      <c r="G62" s="166"/>
      <c r="H62" s="166"/>
      <c r="I62" s="166"/>
      <c r="J62" s="166"/>
      <c r="K62" s="166" t="str">
        <f>IFERROR(__xludf.DUMMYFUNCTION("""COMPUTED_VALUE"""),"Type Augmentor (Poison)")</f>
        <v>Type Augmentor (Poison)</v>
      </c>
      <c r="L62" s="166"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M62" s="167" t="str">
        <f>IFERROR(__xludf.DUMMYFUNCTION("""COMPUTED_VALUE"""),"Elemental Catalyst (Ice)")</f>
        <v>Elemental Catalyst (Ice)</v>
      </c>
      <c r="N62" s="167" t="str">
        <f>IFERROR(__xludf.DUMMYFUNCTION("""COMPUTED_VALUE"""),"When this Item is expended, Target a Willing Pokemon. The Target becomes an Ice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an Ice Type Shift of the listed Type and follows the rules under that section to guide how they're altered. They may either choose to add the listed Type (If they only have one Type), or replace one of their existing types with the listed Type. [Medium] [Consumable] </v>
      </c>
    </row>
    <row r="63">
      <c r="A63" s="163"/>
      <c r="B63" s="163"/>
      <c r="C63" s="164"/>
      <c r="D63" s="164"/>
      <c r="E63" s="165"/>
      <c r="F63" s="165"/>
      <c r="G63" s="166"/>
      <c r="H63" s="166"/>
      <c r="I63" s="166"/>
      <c r="J63" s="166"/>
      <c r="K63" s="166" t="str">
        <f>IFERROR(__xludf.DUMMYFUNCTION("""COMPUTED_VALUE"""),"Type Augmentor (Psychic)")</f>
        <v>Type Augmentor (Psychic)</v>
      </c>
      <c r="L63" s="166"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M63" s="167" t="str">
        <f>IFERROR(__xludf.DUMMYFUNCTION("""COMPUTED_VALUE"""),"Elemental Catalyst (Normal)")</f>
        <v>Elemental Catalyst (Normal)</v>
      </c>
      <c r="N63" s="167" t="str">
        <f>IFERROR(__xludf.DUMMYFUNCTION("""COMPUTED_VALUE"""),"When this Item is expended, Target a Willing Pokemon. The Target becomes a Normal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Normal Type Shift of the listed Type and follows the rules under that section to guide how they're altered. They may either choose to add the listed Type (If they only have one Type), or replace one of their existing types with the listed Type. [Medium] [Consumable] </v>
      </c>
    </row>
    <row r="64">
      <c r="A64" s="163"/>
      <c r="B64" s="163"/>
      <c r="C64" s="164"/>
      <c r="D64" s="164"/>
      <c r="E64" s="165"/>
      <c r="F64" s="165"/>
      <c r="G64" s="166"/>
      <c r="H64" s="166"/>
      <c r="I64" s="166"/>
      <c r="J64" s="166"/>
      <c r="K64" s="166" t="str">
        <f>IFERROR(__xludf.DUMMYFUNCTION("""COMPUTED_VALUE"""),"Type Augmentor (Rock)")</f>
        <v>Type Augmentor (Rock)</v>
      </c>
      <c r="L64" s="166"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M64" s="167" t="str">
        <f>IFERROR(__xludf.DUMMYFUNCTION("""COMPUTED_VALUE"""),"Elemental Catalyst (Poison)")</f>
        <v>Elemental Catalyst (Poison)</v>
      </c>
      <c r="N64" s="167" t="str">
        <f>IFERROR(__xludf.DUMMYFUNCTION("""COMPUTED_VALUE"""),"When this Item is expended, Target a Willing Pokemon. The Target becomes a Poison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Poison Type Shift of the listed Type and follows the rules under that section to guide how they're altered. They may either choose to add the listed Type (If they only have one Type), or replace one of their existing types with the listed Type. [Medium] [Consumable] </v>
      </c>
    </row>
    <row r="65">
      <c r="A65" s="163"/>
      <c r="B65" s="163"/>
      <c r="C65" s="164"/>
      <c r="D65" s="164"/>
      <c r="E65" s="165"/>
      <c r="F65" s="165"/>
      <c r="G65" s="166"/>
      <c r="H65" s="166"/>
      <c r="I65" s="166"/>
      <c r="J65" s="166"/>
      <c r="K65" s="166" t="str">
        <f>IFERROR(__xludf.DUMMYFUNCTION("""COMPUTED_VALUE"""),"Type Augmentor (Steel)")</f>
        <v>Type Augmentor (Steel)</v>
      </c>
      <c r="L65" s="166"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M65" s="167" t="str">
        <f>IFERROR(__xludf.DUMMYFUNCTION("""COMPUTED_VALUE"""),"Elemental Catalyst (Psychic)")</f>
        <v>Elemental Catalyst (Psychic)</v>
      </c>
      <c r="N65" s="167" t="str">
        <f>IFERROR(__xludf.DUMMYFUNCTION("""COMPUTED_VALUE"""),"When this Item is expended, Target a Willing Pokemon. The Target becomes a Psychic Type Shift of the listed Type and follows the rules under that section to guide how they're altered. They may either choose to add the listed Type (If they only have one Ty"&amp;"pe), or replace one of their existing types with the listed Type. [Medium] [Consumable] ")</f>
        <v>When this Item is expended, Target a Willing Pokemon. The Target becomes a Psychic Type Shift of the listed Type and follows the rules under that section to guide how they're altered. They may either choose to add the listed Type (If they only have one Type), or replace one of their existing types with the listed Type. [Medium] [Consumable] </v>
      </c>
    </row>
    <row r="66">
      <c r="A66" s="163"/>
      <c r="B66" s="163"/>
      <c r="C66" s="164"/>
      <c r="D66" s="164"/>
      <c r="E66" s="165"/>
      <c r="F66" s="165"/>
      <c r="G66" s="166"/>
      <c r="H66" s="166"/>
      <c r="I66" s="166"/>
      <c r="J66" s="166"/>
      <c r="K66" s="166" t="str">
        <f>IFERROR(__xludf.DUMMYFUNCTION("""COMPUTED_VALUE"""),"Type Augmentor (Water)")</f>
        <v>Type Augmentor (Water)</v>
      </c>
      <c r="L66" s="166"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M66" s="167" t="str">
        <f>IFERROR(__xludf.DUMMYFUNCTION("""COMPUTED_VALUE"""),"Elemental Catalyst (Rock)")</f>
        <v>Elemental Catalyst (Rock)</v>
      </c>
      <c r="N66" s="167" t="str">
        <f>IFERROR(__xludf.DUMMYFUNCTION("""COMPUTED_VALUE"""),"When this Item is expended, Target a Willing Pokemon. The Target becomes a Rock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Rock Type Shift of the listed Type and follows the rules under that section to guide how they're altered. They may either choose to add the listed Type (If they only have one Type), or replace one of their existing types with the listed Type. [Medium] [Consumable] </v>
      </c>
    </row>
    <row r="67">
      <c r="A67" s="163"/>
      <c r="B67" s="163"/>
      <c r="C67" s="164"/>
      <c r="D67" s="164"/>
      <c r="E67" s="165"/>
      <c r="F67" s="165"/>
      <c r="G67" s="166"/>
      <c r="H67" s="166"/>
      <c r="I67" s="166"/>
      <c r="J67" s="166"/>
      <c r="K67" s="166" t="str">
        <f>IFERROR(__xludf.DUMMYFUNCTION("""COMPUTED_VALUE"""),"Type Augmentor (X)")</f>
        <v>Type Augmentor (X)</v>
      </c>
      <c r="L67" s="166"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M67" s="167" t="str">
        <f>IFERROR(__xludf.DUMMYFUNCTION("""COMPUTED_VALUE"""),"Elemental Catalyst (Steel)")</f>
        <v>Elemental Catalyst (Steel)</v>
      </c>
      <c r="N67" s="167" t="str">
        <f>IFERROR(__xludf.DUMMYFUNCTION("""COMPUTED_VALUE"""),"When this Item is expended, Target a Willing Pokemon. The Target becomes a Steel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Steel Type Shift of the listed Type and follows the rules under that section to guide how they're altered. They may either choose to add the listed Type (If they only have one Type), or replace one of their existing types with the listed Type. [Medium] [Consumable] </v>
      </c>
    </row>
    <row r="68">
      <c r="A68" s="163"/>
      <c r="B68" s="163"/>
      <c r="C68" s="164"/>
      <c r="D68" s="164"/>
      <c r="E68" s="165"/>
      <c r="F68" s="165"/>
      <c r="G68" s="166"/>
      <c r="H68" s="166"/>
      <c r="I68" s="166"/>
      <c r="J68" s="166"/>
      <c r="K68" s="166" t="str">
        <f>IFERROR(__xludf.DUMMYFUNCTION("""COMPUTED_VALUE"""),"Type Booster (Bug)")</f>
        <v>Type Booster (Bug)</v>
      </c>
      <c r="L68" s="166"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M68" s="167" t="str">
        <f>IFERROR(__xludf.DUMMYFUNCTION("""COMPUTED_VALUE"""),"Elemental Catalyst (Water)")</f>
        <v>Elemental Catalyst (Water)</v>
      </c>
      <c r="N68" s="167" t="str">
        <f>IFERROR(__xludf.DUMMYFUNCTION("""COMPUTED_VALUE"""),"When this Item is expended, Target a Willing Pokemon. The Target becomes a Water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Water Type Shift of the listed Type and follows the rules under that section to guide how they're altered. They may either choose to add the listed Type (If they only have one Type), or replace one of their existing types with the listed Type. [Medium] [Consumable] </v>
      </c>
    </row>
    <row r="69">
      <c r="A69" s="163"/>
      <c r="B69" s="163"/>
      <c r="C69" s="164"/>
      <c r="D69" s="164"/>
      <c r="E69" s="165"/>
      <c r="F69" s="165"/>
      <c r="G69" s="166"/>
      <c r="H69" s="166"/>
      <c r="I69" s="166"/>
      <c r="J69" s="166"/>
      <c r="K69" s="166" t="str">
        <f>IFERROR(__xludf.DUMMYFUNCTION("""COMPUTED_VALUE"""),"Type Booster (Dark)")</f>
        <v>Type Booster (Dark)</v>
      </c>
      <c r="L69" s="166"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M69" s="167" t="str">
        <f>IFERROR(__xludf.DUMMYFUNCTION("""COMPUTED_VALUE"""),"Elemental Catalyst (X)")</f>
        <v>Elemental Catalyst (X)</v>
      </c>
      <c r="N69" s="167" t="str">
        <f>IFERROR(__xludf.DUMMYFUNCTION("""COMPUTED_VALUE"""),"When this Item is created, (X) is replaced with a Type of the GM’s choosing. When this Item is expended, Target a Willing Pokemon. The Target becomes a Type Shift of the listed Type and follows the rules under that section to guide how they're altered. Th"&amp;"ey may either choose to add the listed Type (If they only have one Type), or replace one of their existing types with the listed Type. [Medium] [Consumable] ")</f>
        <v>When this Item is created, (X) is replaced with a Type of the GM’s choosing. When this Item is expended, Target a Willing Pokemon. The Target becomes a Type Shift of the listed Type and follows the rules under that section to guide how they're altered. They may either choose to add the listed Type (If they only have one Type), or replace one of their existing types with the listed Type. [Medium] [Consumable] </v>
      </c>
    </row>
    <row r="70">
      <c r="A70" s="163"/>
      <c r="B70" s="163"/>
      <c r="C70" s="164"/>
      <c r="D70" s="164"/>
      <c r="E70" s="165"/>
      <c r="F70" s="165"/>
      <c r="G70" s="166"/>
      <c r="H70" s="166"/>
      <c r="I70" s="166"/>
      <c r="J70" s="166"/>
      <c r="K70" s="166" t="str">
        <f>IFERROR(__xludf.DUMMYFUNCTION("""COMPUTED_VALUE"""),"Type Booster (Dragon)")</f>
        <v>Type Booster (Dragon)</v>
      </c>
      <c r="L70" s="166"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M70" s="167" t="str">
        <f>IFERROR(__xludf.DUMMYFUNCTION("""COMPUTED_VALUE"""),"Elemental Enchantment")</f>
        <v>Elemental Enchantment</v>
      </c>
      <c r="N70" s="167" t="str">
        <f>IFERROR(__xludf.DUMMYFUNCTION("""COMPUTED_VALUE"""),"When this Item is created, choose a Type. This Item may be expended to Target an [Equipment] Item and grant it an Attack that matches the listed Type. An Item can only benefit from up to two Attack this way. While an Item with an Elemental Enchantment is "&amp;"equipped, the holder may use the chosen Attack as if it were on their Attack List. If it is Damaging, it can also be used as if it were a Weapon Attack. Depending on the Rarity of this Item, you can only grant Attacks from a specific Tier. If it is Common"&amp;", you can only choose a Tier 1 Attack. If it is Rare, you can choose Tier 1 or 2. If it's very Rare, you can choose any Tier. The GM must approve the chosen Attack, if it isn't already chosen. [Consumable]")</f>
        <v>When this Item is created, choose a Type. This Item may be expended to Target an [Equipment] Item and grant it an Attack that matches the listed Type. An Item can only benefit from up to two Attack this way. While an Item with an Elemental Enchantment is equipped, the holder may use the chosen Attack as if it were on their Attack List. If it is Damaging, it can also be used as if it were a Weapon Attack. Depending on the Rarity of this Item, you can only grant Attacks from a specific Tier. If it is Common, you can only choose a Tier 1 Attack. If it is Rare, you can choose Tier 1 or 2. If it's very Rare, you can choose any Tier. The GM must approve the chosen Attack, if it isn't already chosen. [Consumable]</v>
      </c>
    </row>
    <row r="71">
      <c r="A71" s="163"/>
      <c r="B71" s="163"/>
      <c r="C71" s="164"/>
      <c r="D71" s="164"/>
      <c r="E71" s="165"/>
      <c r="F71" s="165"/>
      <c r="G71" s="166"/>
      <c r="H71" s="166"/>
      <c r="I71" s="166"/>
      <c r="J71" s="166"/>
      <c r="K71" s="166" t="str">
        <f>IFERROR(__xludf.DUMMYFUNCTION("""COMPUTED_VALUE"""),"Type Booster (Electric)")</f>
        <v>Type Booster (Electric)</v>
      </c>
      <c r="L71" s="166"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M71" s="167" t="str">
        <f>IFERROR(__xludf.DUMMYFUNCTION("""COMPUTED_VALUE"""),"Elemental Essence")</f>
        <v>Elemental Essence</v>
      </c>
      <c r="N71" s="167" t="str">
        <f>IFERROR(__xludf.DUMMYFUNCTION("""COMPUTED_VALUE"""),"When this Item is created, choose a Type. When this Item is expended, the Trainer who expended it gains the Elemental Afffinity Talent for the chosen Type. (This Talent does not take a slot) [Small] [Consumable]")</f>
        <v>When this Item is created, choose a Type. When this Item is expended, the Trainer who expended it gains the Elemental Afffinity Talent for the chosen Type. (This Talent does not take a slot) [Small] [Consumable]</v>
      </c>
    </row>
    <row r="72">
      <c r="A72" s="163"/>
      <c r="B72" s="163"/>
      <c r="C72" s="164"/>
      <c r="D72" s="164"/>
      <c r="E72" s="165"/>
      <c r="F72" s="165"/>
      <c r="G72" s="166"/>
      <c r="H72" s="166"/>
      <c r="I72" s="166"/>
      <c r="J72" s="166"/>
      <c r="K72" s="166" t="str">
        <f>IFERROR(__xludf.DUMMYFUNCTION("""COMPUTED_VALUE"""),"Type Booster (Fairy)")</f>
        <v>Type Booster (Fairy)</v>
      </c>
      <c r="L72" s="166"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M72" s="167" t="str">
        <f>IFERROR(__xludf.DUMMYFUNCTION("""COMPUTED_VALUE"""),"Energy Booster [Lethality]")</f>
        <v>Energy Booster [Lethality]</v>
      </c>
      <c r="N72" s="167" t="str">
        <f>IFERROR(__xludf.DUMMYFUNCTION("""COMPUTED_VALUE"""),"The user gains the Hypersomnia Capability at the next Morning Time Phase, which lasts until the end of the next day, but only needs 4 Hours of Sleep to avoid gaining Fatigue for the current day. [Small] [Consumable]
")</f>
        <v>The user gains the Hypersomnia Capability at the next Morning Time Phase, which lasts until the end of the next day, but only needs 4 Hours of Sleep to avoid gaining Fatigue for the current day. [Small] [Consumable]
</v>
      </c>
    </row>
    <row r="73">
      <c r="A73" s="163"/>
      <c r="B73" s="163"/>
      <c r="C73" s="164"/>
      <c r="D73" s="164"/>
      <c r="E73" s="165"/>
      <c r="F73" s="165"/>
      <c r="G73" s="166"/>
      <c r="H73" s="166"/>
      <c r="I73" s="166"/>
      <c r="J73" s="166"/>
      <c r="K73" s="166" t="str">
        <f>IFERROR(__xludf.DUMMYFUNCTION("""COMPUTED_VALUE"""),"Type Booster (Fighting)")</f>
        <v>Type Booster (Fighting)</v>
      </c>
      <c r="L73" s="166"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M73" s="167" t="str">
        <f>IFERROR(__xludf.DUMMYFUNCTION("""COMPUTED_VALUE"""),"Evolution Stone")</f>
        <v>Evolution Stone</v>
      </c>
      <c r="N73" s="167" t="str">
        <f>IFERROR(__xludf.DUMMYFUNCTION("""COMPUTED_VALUE"""),"This Item can be expended by Targeting a Pokemon who isn't fully evolved, but is within 10 Levels of reaching one of its evolutions. The Targeted Pokemon evolves, learns a Tier 1 Tutor Attack, then this Item is expended. [Medium] [Consumable]")</f>
        <v>This Item can be expended by Targeting a Pokemon who isn't fully evolved, but is within 10 Levels of reaching one of its evolutions. The Targeted Pokemon evolves, learns a Tier 1 Tutor Attack, then this Item is expended. [Medium] [Consumable]</v>
      </c>
    </row>
    <row r="74">
      <c r="A74" s="163"/>
      <c r="B74" s="163"/>
      <c r="C74" s="164"/>
      <c r="D74" s="164"/>
      <c r="E74" s="165"/>
      <c r="F74" s="165"/>
      <c r="G74" s="166"/>
      <c r="H74" s="166"/>
      <c r="I74" s="166"/>
      <c r="J74" s="166"/>
      <c r="K74" s="166" t="str">
        <f>IFERROR(__xludf.DUMMYFUNCTION("""COMPUTED_VALUE"""),"Type Booster (Fire)")</f>
        <v>Type Booster (Fire)</v>
      </c>
      <c r="L74" s="166"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M74" s="167" t="str">
        <f>IFERROR(__xludf.DUMMYFUNCTION("""COMPUTED_VALUE"""),"Fine Weapon")</f>
        <v>Fine Weapon</v>
      </c>
      <c r="N74" s="16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75">
      <c r="A75" s="163"/>
      <c r="B75" s="163"/>
      <c r="C75" s="164"/>
      <c r="D75" s="164"/>
      <c r="E75" s="165"/>
      <c r="F75" s="165"/>
      <c r="G75" s="166"/>
      <c r="H75" s="166"/>
      <c r="I75" s="166"/>
      <c r="J75" s="166"/>
      <c r="K75" s="166" t="str">
        <f>IFERROR(__xludf.DUMMYFUNCTION("""COMPUTED_VALUE"""),"Type Booster (Flying)")</f>
        <v>Type Booster (Flying)</v>
      </c>
      <c r="L75" s="166"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M75" s="167" t="str">
        <f>IFERROR(__xludf.DUMMYFUNCTION("""COMPUTED_VALUE"""),"First Aid Kit")</f>
        <v>First Aid Kit</v>
      </c>
      <c r="N75" s="167" t="str">
        <f>IFERROR(__xludf.DUMMYFUNCTION("""COMPUTED_VALUE"""),"The user is considered to have standard medical supplies that can stabilize injuries out in the field. As an Extended Action with around 5 Minutes of time, anyone with at least Adept Medicine Edu can cure any Physical Status Affliction. While this is in y"&amp;"our Inventory, at the end of a Scene where Combat Occurred, the user and all Allies restore 3 Ticks of Hit Point. Multiple instances of the First Aid Kit or Mender Capability increase the Ticks restored by +1, instead of each seperately restoring 3. [Medi"&amp;"um] ")</f>
        <v>The user is considered to have standard medical supplies that can stabilize injuries out in the field. As an Extended Action with around 5 Minutes of time, anyone with at least Adept Medicine Edu can cure any Physical Status Affliction. While this is in your Inventory, at the end of a Scene where Combat Occurred, the user and all Allies restore 3 Ticks of Hit Point. Multiple instances of the First Aid Kit or Mender Capability increase the Ticks restored by +1, instead of each seperately restoring 3. [Medium] </v>
      </c>
    </row>
    <row r="76">
      <c r="A76" s="163"/>
      <c r="B76" s="163"/>
      <c r="C76" s="164"/>
      <c r="D76" s="164"/>
      <c r="E76" s="165"/>
      <c r="F76" s="165"/>
      <c r="G76" s="166"/>
      <c r="H76" s="166"/>
      <c r="I76" s="166"/>
      <c r="J76" s="166"/>
      <c r="K76" s="166" t="str">
        <f>IFERROR(__xludf.DUMMYFUNCTION("""COMPUTED_VALUE"""),"Type Booster (Ghost)")</f>
        <v>Type Booster (Ghost)</v>
      </c>
      <c r="L76" s="166"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M76" s="167" t="str">
        <f>IFERROR(__xludf.DUMMYFUNCTION("""COMPUTED_VALUE"""),"First Aid Kit [Lethality]")</f>
        <v>First Aid Kit [Lethality]</v>
      </c>
      <c r="N76" s="167" t="str">
        <f>IFERROR(__xludf.DUMMYFUNCTION("""COMPUTED_VALUE"""),"While this Item is in your Inventory, you can use the Downtime (Nursing) Action on another creature. As an Extended Action with around 5 Minutes of time, if you have at least Adept Medicine Edu, you can cure any Physical Affliction. At the end of a Scene "&amp;"where Combat Occured, the user and all Allies restore 2 Ticks of Hit points or 5 if there is also a Mender present. [Medium]")</f>
        <v>While this Item is in your Inventory, you can use the Downtime (Nursing) Action on another creature. As an Extended Action with around 5 Minutes of time, if you have at least Adept Medicine Edu, you can cure any Physical Affliction. At the end of a Scene where Combat Occured, the user and all Allies restore 2 Ticks of Hit points or 5 if there is also a Mender present. [Medium]</v>
      </c>
    </row>
    <row r="77">
      <c r="A77" s="163"/>
      <c r="B77" s="163"/>
      <c r="C77" s="164"/>
      <c r="D77" s="164"/>
      <c r="E77" s="165"/>
      <c r="F77" s="165"/>
      <c r="G77" s="166"/>
      <c r="H77" s="166"/>
      <c r="I77" s="166"/>
      <c r="J77" s="166"/>
      <c r="K77" s="166" t="str">
        <f>IFERROR(__xludf.DUMMYFUNCTION("""COMPUTED_VALUE"""),"Type Booster (Grass)")</f>
        <v>Type Booster (Grass)</v>
      </c>
      <c r="L77" s="166"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M77" s="167" t="str">
        <f>IFERROR(__xludf.DUMMYFUNCTION("""COMPUTED_VALUE"""),"Focus Sash")</f>
        <v>Focus Sash</v>
      </c>
      <c r="N77" s="167"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row>
    <row r="78">
      <c r="A78" s="163"/>
      <c r="B78" s="163"/>
      <c r="C78" s="164"/>
      <c r="D78" s="164"/>
      <c r="E78" s="165"/>
      <c r="F78" s="165"/>
      <c r="G78" s="166"/>
      <c r="H78" s="166"/>
      <c r="I78" s="166"/>
      <c r="J78" s="166"/>
      <c r="K78" s="166" t="str">
        <f>IFERROR(__xludf.DUMMYFUNCTION("""COMPUTED_VALUE"""),"Type Booster (Ground)")</f>
        <v>Type Booster (Ground)</v>
      </c>
      <c r="L78" s="166"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M78" s="167" t="str">
        <f>IFERROR(__xludf.DUMMYFUNCTION("""COMPUTED_VALUE"""),"Fortifying Tools [Lethality]")</f>
        <v>Fortifying Tools [Lethality]</v>
      </c>
      <c r="N78" s="167" t="str">
        <f>IFERROR(__xludf.DUMMYFUNCTION("""COMPUTED_VALUE"""),"This Item may be expended at a Campsite to increase the quality to exceedingly suitable. [Medium] ")</f>
        <v>This Item may be expended at a Campsite to increase the quality to exceedingly suitable. [Medium] </v>
      </c>
    </row>
    <row r="79">
      <c r="A79" s="163"/>
      <c r="B79" s="163"/>
      <c r="C79" s="164"/>
      <c r="D79" s="164"/>
      <c r="E79" s="165"/>
      <c r="F79" s="165"/>
      <c r="G79" s="166"/>
      <c r="H79" s="166"/>
      <c r="I79" s="166"/>
      <c r="J79" s="166"/>
      <c r="K79" s="166" t="str">
        <f>IFERROR(__xludf.DUMMYFUNCTION("""COMPUTED_VALUE"""),"Type Booster (Ice)")</f>
        <v>Type Booster (Ice)</v>
      </c>
      <c r="L79" s="166"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M79" s="167" t="str">
        <f>IFERROR(__xludf.DUMMYFUNCTION("""COMPUTED_VALUE"""),"Fossil")</f>
        <v>Fossil</v>
      </c>
      <c r="N79" s="167" t="str">
        <f>IFERROR(__xludf.DUMMYFUNCTION("""COMPUTED_VALUE"""),"When this Item is created, choose a Pokemon Species. A person that has knowledge in the field of Paleontology may study this Item as an Research Downtime Action with a Downtime Subject of Poke Edu and a Target Number of 100. Once this project is completed"&amp;", the Fossil may be restored to its former state, provided they have equipment to do so. The chosen Pokemon is hatched at Level 1 and if they aren't Rock Type already, may alter into a Rock Type Shift. [Medium] ")</f>
        <v>When this Item is created, choose a Pokemon Species. A person that has knowledge in the field of Paleontology may study this Item as an Research Downtime Action with a Downtime Subject of Poke Edu and a Target Number of 100. Once this project is completed, the Fossil may be restored to its former state, provided they have equipment to do so. The chosen Pokemon is hatched at Level 1 and if they aren't Rock Type already, may alter into a Rock Type Shift. [Medium] </v>
      </c>
    </row>
    <row r="80">
      <c r="A80" s="163"/>
      <c r="B80" s="163"/>
      <c r="C80" s="164"/>
      <c r="D80" s="164"/>
      <c r="E80" s="165"/>
      <c r="F80" s="165"/>
      <c r="G80" s="166"/>
      <c r="H80" s="166"/>
      <c r="I80" s="166"/>
      <c r="J80" s="166"/>
      <c r="K80" s="166" t="str">
        <f>IFERROR(__xludf.DUMMYFUNCTION("""COMPUTED_VALUE"""),"Type Booster (Normal)")</f>
        <v>Type Booster (Normal)</v>
      </c>
      <c r="L80" s="166"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M80" s="167" t="str">
        <f>IFERROR(__xludf.DUMMYFUNCTION("""COMPUTED_VALUE"""),"Gemstone")</f>
        <v>Gemstone</v>
      </c>
      <c r="N80" s="167" t="str">
        <f>IFERROR(__xludf.DUMMYFUNCTION("""COMPUTED_VALUE"""),"This Item has no effect unless otherwise given one. Depending on its Rarity it will be given a cost it could sell for. Common Gemstones sell for $1,000. Rare Gemstones sell for $3,000. Very Rare Gemstones sell for $5,000. [Small]")</f>
        <v>This Item has no effect unless otherwise given one. Depending on its Rarity it will be given a cost it could sell for. Common Gemstones sell for $1,000. Rare Gemstones sell for $3,000. Very Rare Gemstones sell for $5,000. [Small]</v>
      </c>
    </row>
    <row r="81">
      <c r="A81" s="163"/>
      <c r="B81" s="163"/>
      <c r="C81" s="164"/>
      <c r="D81" s="164"/>
      <c r="E81" s="165"/>
      <c r="F81" s="165"/>
      <c r="G81" s="166"/>
      <c r="H81" s="166"/>
      <c r="I81" s="166"/>
      <c r="J81" s="166"/>
      <c r="K81" s="166" t="str">
        <f>IFERROR(__xludf.DUMMYFUNCTION("""COMPUTED_VALUE"""),"Type Booster (Poison)")</f>
        <v>Type Booster (Poison)</v>
      </c>
      <c r="L81" s="166"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M81" s="167" t="str">
        <f>IFERROR(__xludf.DUMMYFUNCTION("""COMPUTED_VALUE"""),"Greater Healing Potion")</f>
        <v>Greater Healing Potion</v>
      </c>
      <c r="N81" s="167"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v>
      </c>
    </row>
    <row r="82">
      <c r="A82" s="163"/>
      <c r="B82" s="163"/>
      <c r="C82" s="164"/>
      <c r="D82" s="164"/>
      <c r="E82" s="165"/>
      <c r="F82" s="165"/>
      <c r="G82" s="166"/>
      <c r="H82" s="166"/>
      <c r="I82" s="166"/>
      <c r="J82" s="166"/>
      <c r="K82" s="166" t="str">
        <f>IFERROR(__xludf.DUMMYFUNCTION("""COMPUTED_VALUE"""),"Type Booster (Psychic)")</f>
        <v>Type Booster (Psychic)</v>
      </c>
      <c r="L82" s="166"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M82" s="167" t="str">
        <f>IFERROR(__xludf.DUMMYFUNCTION("""COMPUTED_VALUE"""),"Greater Healing Potion [Lethality]")</f>
        <v>Greater Healing Potion [Lethality]</v>
      </c>
      <c r="N82" s="167"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
» They are cured of two Wounds (Max 2 per Day - Extended Action only)")</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
» They are cured of two Wounds (Max 2 per Day - Extended Action only)</v>
      </c>
    </row>
    <row r="83">
      <c r="A83" s="163"/>
      <c r="B83" s="163"/>
      <c r="C83" s="164"/>
      <c r="D83" s="164"/>
      <c r="E83" s="165"/>
      <c r="F83" s="165"/>
      <c r="G83" s="166"/>
      <c r="H83" s="166"/>
      <c r="I83" s="166"/>
      <c r="J83" s="166"/>
      <c r="K83" s="166" t="str">
        <f>IFERROR(__xludf.DUMMYFUNCTION("""COMPUTED_VALUE"""),"Type Booster (Rock)")</f>
        <v>Type Booster (Rock)</v>
      </c>
      <c r="L83" s="166"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M83" s="167" t="str">
        <f>IFERROR(__xludf.DUMMYFUNCTION("""COMPUTED_VALUE"""),"Greater Malady Potion (Chilled)")</f>
        <v>Greater Malady Potion (Chilled)</v>
      </c>
      <c r="N83" s="167" t="str">
        <f>IFERROR(__xludf.DUMMYFUNCTION("""COMPUTED_VALUE"""),"The Target hit by this Item becomes Chilled. [Throwable] [Small] [Consumable]")</f>
        <v>The Target hit by this Item becomes Chilled. [Throwable] [Small] [Consumable]</v>
      </c>
    </row>
    <row r="84">
      <c r="A84" s="163"/>
      <c r="B84" s="163"/>
      <c r="C84" s="164"/>
      <c r="D84" s="164"/>
      <c r="E84" s="165"/>
      <c r="F84" s="165"/>
      <c r="G84" s="166"/>
      <c r="H84" s="166"/>
      <c r="I84" s="166"/>
      <c r="J84" s="166"/>
      <c r="K84" s="166" t="str">
        <f>IFERROR(__xludf.DUMMYFUNCTION("""COMPUTED_VALUE"""),"Type Booster (Steel)")</f>
        <v>Type Booster (Steel)</v>
      </c>
      <c r="L84" s="166"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M84" s="167" t="str">
        <f>IFERROR(__xludf.DUMMYFUNCTION("""COMPUTED_VALUE"""),"Greater Malady Potion (Cursed)")</f>
        <v>Greater Malady Potion (Cursed)</v>
      </c>
      <c r="N84" s="167" t="str">
        <f>IFERROR(__xludf.DUMMYFUNCTION("""COMPUTED_VALUE"""),"The Target hit by this Item becomes Cursed. [Throwable] [Small] [Consumable]")</f>
        <v>The Target hit by this Item becomes Cursed. [Throwable] [Small] [Consumable]</v>
      </c>
    </row>
    <row r="85">
      <c r="A85" s="163"/>
      <c r="B85" s="163"/>
      <c r="C85" s="164"/>
      <c r="D85" s="164"/>
      <c r="E85" s="165"/>
      <c r="F85" s="165"/>
      <c r="G85" s="166"/>
      <c r="H85" s="166"/>
      <c r="I85" s="166"/>
      <c r="J85" s="166"/>
      <c r="K85" s="166" t="str">
        <f>IFERROR(__xludf.DUMMYFUNCTION("""COMPUTED_VALUE"""),"Type Booster (Water)")</f>
        <v>Type Booster (Water)</v>
      </c>
      <c r="L85" s="166"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M85" s="167" t="str">
        <f>IFERROR(__xludf.DUMMYFUNCTION("""COMPUTED_VALUE"""),"Greater Malady Potion (Dazed)")</f>
        <v>Greater Malady Potion (Dazed)</v>
      </c>
      <c r="N85" s="167" t="str">
        <f>IFERROR(__xludf.DUMMYFUNCTION("""COMPUTED_VALUE"""),"The Target hit by this Item becomes Dazed. [Throwable] [Small] [Consumable]")</f>
        <v>The Target hit by this Item becomes Dazed. [Throwable] [Small] [Consumable]</v>
      </c>
    </row>
    <row r="86">
      <c r="A86" s="163"/>
      <c r="B86" s="163"/>
      <c r="C86" s="164"/>
      <c r="D86" s="164"/>
      <c r="E86" s="165"/>
      <c r="F86" s="165"/>
      <c r="G86" s="166"/>
      <c r="H86" s="166"/>
      <c r="I86" s="166"/>
      <c r="J86" s="166"/>
      <c r="K86" s="166" t="str">
        <f>IFERROR(__xludf.DUMMYFUNCTION("""COMPUTED_VALUE"""),"Type Booster (X)")</f>
        <v>Type Booster (X)</v>
      </c>
      <c r="L86" s="166"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M86" s="167" t="str">
        <f>IFERROR(__xludf.DUMMYFUNCTION("""COMPUTED_VALUE"""),"Greater Malady Potion (Paralyzed)")</f>
        <v>Greater Malady Potion (Paralyzed)</v>
      </c>
      <c r="N86" s="167" t="str">
        <f>IFERROR(__xludf.DUMMYFUNCTION("""COMPUTED_VALUE"""),"The Target hit by this Item becomes Paralyzed. [Throwable] [Small] [Consumable]")</f>
        <v>The Target hit by this Item becomes Paralyzed. [Throwable] [Small] [Consumable]</v>
      </c>
    </row>
    <row r="87">
      <c r="A87" s="163"/>
      <c r="B87" s="163"/>
      <c r="C87" s="164"/>
      <c r="D87" s="164"/>
      <c r="E87" s="165"/>
      <c r="F87" s="165"/>
      <c r="G87" s="166"/>
      <c r="H87" s="166"/>
      <c r="I87" s="166"/>
      <c r="J87" s="166"/>
      <c r="K87" s="166" t="str">
        <f>IFERROR(__xludf.DUMMYFUNCTION("""COMPUTED_VALUE"""),"Type Brace (Bug)")</f>
        <v>Type Brace (Bug)</v>
      </c>
      <c r="L87" s="166"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M87" s="167" t="str">
        <f>IFERROR(__xludf.DUMMYFUNCTION("""COMPUTED_VALUE"""),"Greater Malady Potion (X)")</f>
        <v>Greater Malady Potion (X)</v>
      </c>
      <c r="N87" s="167" t="str">
        <f>IFERROR(__xludf.DUMMYFUNCTION("""COMPUTED_VALUE"""),"Greater Malady Potions come in different variations which are determined by the GM. The Target hit by this Item gains the corresponding Status Affliction. Greater Malady Potions can inflict the following Afflictions. Chilled, Paralyzed, Cursed, Dazed. [Th"&amp;"rowable] [Small] [Consumable]")</f>
        <v>Greater Malady Potions come in different variations which are determined by the GM. The Target hit by this Item gains the corresponding Status Affliction. Greater Malady Potions can inflict the following Afflictions. Chilled, Paralyzed, Cursed, Dazed. [Throwable] [Small] [Consumable]</v>
      </c>
    </row>
    <row r="88">
      <c r="A88" s="163"/>
      <c r="B88" s="163"/>
      <c r="C88" s="164"/>
      <c r="D88" s="164"/>
      <c r="E88" s="165"/>
      <c r="F88" s="165"/>
      <c r="G88" s="166"/>
      <c r="H88" s="166"/>
      <c r="I88" s="166"/>
      <c r="J88" s="166"/>
      <c r="K88" s="166" t="str">
        <f>IFERROR(__xludf.DUMMYFUNCTION("""COMPUTED_VALUE"""),"Type Brace (Dark)")</f>
        <v>Type Brace (Dark)</v>
      </c>
      <c r="L88" s="166"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M88" s="167" t="str">
        <f>IFERROR(__xludf.DUMMYFUNCTION("""COMPUTED_VALUE"""),"Greater Poultice")</f>
        <v>Greater Poultice</v>
      </c>
      <c r="N88" s="167" t="str">
        <f>IFERROR(__xludf.DUMMYFUNCTION("""COMPUTED_VALUE"""),"Choose one of the following Effects to apply to an Adjacent Target. [Small] [Consumable]
» They restore 4 Ticks of Hit Points or 100 HP, whichever is higher. 
» They are cured of 2 Status Afflictions. ")</f>
        <v>Choose one of the following Effects to apply to an Adjacent Target. [Small] [Consumable]
» They restore 4 Ticks of Hit Points or 100 HP, whichever is higher. 
» They are cured of 2 Status Afflictions. </v>
      </c>
    </row>
    <row r="89">
      <c r="A89" s="163"/>
      <c r="B89" s="163"/>
      <c r="C89" s="164"/>
      <c r="D89" s="164"/>
      <c r="E89" s="165"/>
      <c r="F89" s="165"/>
      <c r="G89" s="166"/>
      <c r="H89" s="166"/>
      <c r="I89" s="166"/>
      <c r="J89" s="166"/>
      <c r="K89" s="166" t="str">
        <f>IFERROR(__xludf.DUMMYFUNCTION("""COMPUTED_VALUE"""),"Type Brace (Dragon)")</f>
        <v>Type Brace (Dragon)</v>
      </c>
      <c r="L89" s="166"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M89" s="167" t="str">
        <f>IFERROR(__xludf.DUMMYFUNCTION("""COMPUTED_VALUE"""),"Greater Strength Potion (Accuracy)")</f>
        <v>Greater Strength Potion (Accuracy)</v>
      </c>
      <c r="N89" s="167" t="str">
        <f>IFERROR(__xludf.DUMMYFUNCTION("""COMPUTED_VALUE"""),"The Target gains a +3 Modifier to Accuracy for the rest of the Scene. [Throwable] [Small] [Consumable]")</f>
        <v>The Target gains a +3 Modifier to Accuracy for the rest of the Scene. [Throwable] [Small] [Consumable]</v>
      </c>
    </row>
    <row r="90">
      <c r="A90" s="163"/>
      <c r="B90" s="163"/>
      <c r="C90" s="164"/>
      <c r="D90" s="164"/>
      <c r="E90" s="165"/>
      <c r="F90" s="165"/>
      <c r="G90" s="166"/>
      <c r="H90" s="166"/>
      <c r="I90" s="166"/>
      <c r="J90" s="166"/>
      <c r="K90" s="166" t="str">
        <f>IFERROR(__xludf.DUMMYFUNCTION("""COMPUTED_VALUE"""),"Type Brace (Electric)")</f>
        <v>Type Brace (Electric)</v>
      </c>
      <c r="L90" s="166"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M90" s="167" t="str">
        <f>IFERROR(__xludf.DUMMYFUNCTION("""COMPUTED_VALUE"""),"Greater Strength Potion (Attack)")</f>
        <v>Greater Strength Potion (Attack)</v>
      </c>
      <c r="N90" s="167" t="str">
        <f>IFERROR(__xludf.DUMMYFUNCTION("""COMPUTED_VALUE"""),"The Target gains +3 CS in Attack. [Throwable] [Small] [Consumable]")</f>
        <v>The Target gains +3 CS in Attack. [Throwable] [Small] [Consumable]</v>
      </c>
    </row>
    <row r="91">
      <c r="A91" s="163"/>
      <c r="B91" s="163"/>
      <c r="C91" s="164"/>
      <c r="D91" s="164"/>
      <c r="E91" s="165"/>
      <c r="F91" s="165"/>
      <c r="G91" s="166"/>
      <c r="H91" s="166"/>
      <c r="I91" s="166"/>
      <c r="J91" s="166"/>
      <c r="K91" s="166" t="str">
        <f>IFERROR(__xludf.DUMMYFUNCTION("""COMPUTED_VALUE"""),"Type Brace (Fairy)")</f>
        <v>Type Brace (Fairy)</v>
      </c>
      <c r="L91" s="166"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M91" s="167" t="str">
        <f>IFERROR(__xludf.DUMMYFUNCTION("""COMPUTED_VALUE"""),"Greater Strength Potion (Critical Hit)")</f>
        <v>Greater Strength Potion (Critical Hit)</v>
      </c>
      <c r="N91" s="167" t="str">
        <f>IFERROR(__xludf.DUMMYFUNCTION("""COMPUTED_VALUE"""),"The Target gains a +3 Modifier to Critical Hit for the rest of the Scene. [Throwable] [Small] [Consumable]")</f>
        <v>The Target gains a +3 Modifier to Critical Hit for the rest of the Scene. [Throwable] [Small] [Consumable]</v>
      </c>
    </row>
    <row r="92">
      <c r="A92" s="163"/>
      <c r="B92" s="163"/>
      <c r="C92" s="164"/>
      <c r="D92" s="164"/>
      <c r="E92" s="165"/>
      <c r="F92" s="165"/>
      <c r="G92" s="166"/>
      <c r="H92" s="166"/>
      <c r="I92" s="166"/>
      <c r="J92" s="166"/>
      <c r="K92" s="166" t="str">
        <f>IFERROR(__xludf.DUMMYFUNCTION("""COMPUTED_VALUE"""),"Type Brace (Fighting)")</f>
        <v>Type Brace (Fighting)</v>
      </c>
      <c r="L92" s="166"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M92" s="167" t="str">
        <f>IFERROR(__xludf.DUMMYFUNCTION("""COMPUTED_VALUE"""),"Greater Strength Potion (Special Attack)")</f>
        <v>Greater Strength Potion (Special Attack)</v>
      </c>
      <c r="N92" s="167" t="str">
        <f>IFERROR(__xludf.DUMMYFUNCTION("""COMPUTED_VALUE"""),"The Target gains +3 CS in Special Attack. [Throwable] [Small] [Consumable]")</f>
        <v>The Target gains +3 CS in Special Attack. [Throwable] [Small] [Consumable]</v>
      </c>
    </row>
    <row r="93">
      <c r="A93" s="163"/>
      <c r="B93" s="163"/>
      <c r="C93" s="164"/>
      <c r="D93" s="164"/>
      <c r="E93" s="165"/>
      <c r="F93" s="165"/>
      <c r="G93" s="166"/>
      <c r="H93" s="166"/>
      <c r="I93" s="166"/>
      <c r="J93" s="166"/>
      <c r="K93" s="166" t="str">
        <f>IFERROR(__xludf.DUMMYFUNCTION("""COMPUTED_VALUE"""),"Type Brace (Fire)")</f>
        <v>Type Brace (Fire)</v>
      </c>
      <c r="L93" s="166"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M93" s="167" t="str">
        <f>IFERROR(__xludf.DUMMYFUNCTION("""COMPUTED_VALUE"""),"Greater Strength Potion (X)")</f>
        <v>Greater Strength Potion (X)</v>
      </c>
      <c r="N93" s="167" t="str">
        <f>IFERROR(__xludf.DUMMYFUNCTION("""COMPUTED_VALUE"""),"Basic Strength Potions come in different Variations which are determined by the GM. X May be Attack, Special Attack, Critical Hit or Accuracy. If X is Attack or Special Attack, the Target gains +3 CS in that Stat. If X is Critical Hit or Accuracy, they ga"&amp;"in a +3 Modifier to that Combat Value for the rest of the Scene.  [Throwable] [Small] [Consumable]")</f>
        <v>Basic Strength Potions come in different Variations which are determined by the GM. X May be Attack, Special Attack, Critical Hit or Accuracy. If X is Attack or Special Attack, the Target gains +3 CS in that Stat. If X is Critical Hit or Accuracy, they gain a +3 Modifier to that Combat Value for the rest of the Scene.  [Throwable] [Small] [Consumable]</v>
      </c>
    </row>
    <row r="94">
      <c r="A94" s="163"/>
      <c r="B94" s="163"/>
      <c r="C94" s="164"/>
      <c r="D94" s="164"/>
      <c r="E94" s="165"/>
      <c r="F94" s="165"/>
      <c r="G94" s="166"/>
      <c r="H94" s="166"/>
      <c r="I94" s="166"/>
      <c r="J94" s="166"/>
      <c r="K94" s="166" t="str">
        <f>IFERROR(__xludf.DUMMYFUNCTION("""COMPUTED_VALUE"""),"Type Brace (Flying)")</f>
        <v>Type Brace (Flying)</v>
      </c>
      <c r="L94" s="166"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M94" s="167" t="str">
        <f>IFERROR(__xludf.DUMMYFUNCTION("""COMPUTED_VALUE"""),"Greater Vitality Potion (Defense)")</f>
        <v>Greater Vitality Potion (Defense)</v>
      </c>
      <c r="N94" s="167" t="str">
        <f>IFERROR(__xludf.DUMMYFUNCTION("""COMPUTED_VALUE"""),"The Target gains +3 CS in Defense. [Throwable] [Small] [Consumable]")</f>
        <v>The Target gains +3 CS in Defense. [Throwable] [Small] [Consumable]</v>
      </c>
    </row>
    <row r="95">
      <c r="A95" s="163"/>
      <c r="B95" s="163"/>
      <c r="C95" s="164"/>
      <c r="D95" s="164"/>
      <c r="E95" s="165"/>
      <c r="F95" s="165"/>
      <c r="G95" s="166"/>
      <c r="H95" s="166"/>
      <c r="I95" s="166"/>
      <c r="J95" s="166"/>
      <c r="K95" s="166" t="str">
        <f>IFERROR(__xludf.DUMMYFUNCTION("""COMPUTED_VALUE"""),"Type Brace (Ghost)")</f>
        <v>Type Brace (Ghost)</v>
      </c>
      <c r="L95" s="166"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M95" s="167" t="str">
        <f>IFERROR(__xludf.DUMMYFUNCTION("""COMPUTED_VALUE"""),"Greater Vitality Potion (Evasion)")</f>
        <v>Greater Vitality Potion (Evasion)</v>
      </c>
      <c r="N95" s="167" t="str">
        <f>IFERROR(__xludf.DUMMYFUNCTION("""COMPUTED_VALUE"""),"The Target gains a +6 Modifier to Evasion for the rest of the Scene. [Throwable] [Small] [Consumable]")</f>
        <v>The Target gains a +6 Modifier to Evasion for the rest of the Scene. [Throwable] [Small] [Consumable]</v>
      </c>
    </row>
    <row r="96">
      <c r="A96" s="163"/>
      <c r="B96" s="163"/>
      <c r="C96" s="164"/>
      <c r="D96" s="164"/>
      <c r="E96" s="165"/>
      <c r="F96" s="165"/>
      <c r="G96" s="166"/>
      <c r="H96" s="166"/>
      <c r="I96" s="166"/>
      <c r="J96" s="166"/>
      <c r="K96" s="166" t="str">
        <f>IFERROR(__xludf.DUMMYFUNCTION("""COMPUTED_VALUE"""),"Type Brace (Grass)")</f>
        <v>Type Brace (Grass)</v>
      </c>
      <c r="L96" s="166"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M96" s="167" t="str">
        <f>IFERROR(__xludf.DUMMYFUNCTION("""COMPUTED_VALUE"""),"Greater Vitality Potion (Save Checks)")</f>
        <v>Greater Vitality Potion (Save Checks)</v>
      </c>
      <c r="N96" s="167" t="str">
        <f>IFERROR(__xludf.DUMMYFUNCTION("""COMPUTED_VALUE"""),"The Target gains a +4 Modifier to Save Checks for the rest of the Scene. [Throwable] [Small] [Consumable]")</f>
        <v>The Target gains a +4 Modifier to Save Checks for the rest of the Scene. [Throwable] [Small] [Consumable]</v>
      </c>
    </row>
    <row r="97">
      <c r="A97" s="163"/>
      <c r="B97" s="163"/>
      <c r="C97" s="164"/>
      <c r="D97" s="164"/>
      <c r="E97" s="165"/>
      <c r="F97" s="165"/>
      <c r="G97" s="166"/>
      <c r="H97" s="166"/>
      <c r="I97" s="166"/>
      <c r="J97" s="166"/>
      <c r="K97" s="166" t="str">
        <f>IFERROR(__xludf.DUMMYFUNCTION("""COMPUTED_VALUE"""),"Type Brace (Ground)")</f>
        <v>Type Brace (Ground)</v>
      </c>
      <c r="L97" s="166"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M97" s="167" t="str">
        <f>IFERROR(__xludf.DUMMYFUNCTION("""COMPUTED_VALUE"""),"Greater Vitality Potion (Special Defense)")</f>
        <v>Greater Vitality Potion (Special Defense)</v>
      </c>
      <c r="N97" s="167" t="str">
        <f>IFERROR(__xludf.DUMMYFUNCTION("""COMPUTED_VALUE"""),"The Target gains +3 CS in Special Defense. [Throwable] [Small] [Consumable]")</f>
        <v>The Target gains +3 CS in Special Defense. [Throwable] [Small] [Consumable]</v>
      </c>
    </row>
    <row r="98">
      <c r="A98" s="163"/>
      <c r="B98" s="163"/>
      <c r="C98" s="164"/>
      <c r="D98" s="164"/>
      <c r="E98" s="165"/>
      <c r="F98" s="165"/>
      <c r="G98" s="166"/>
      <c r="H98" s="166"/>
      <c r="I98" s="166"/>
      <c r="J98" s="166"/>
      <c r="K98" s="166" t="str">
        <f>IFERROR(__xludf.DUMMYFUNCTION("""COMPUTED_VALUE"""),"Type Brace (Ice)")</f>
        <v>Type Brace (Ice)</v>
      </c>
      <c r="L98" s="166"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M98" s="167" t="str">
        <f>IFERROR(__xludf.DUMMYFUNCTION("""COMPUTED_VALUE"""),"Greater Vitality Potion (X)")</f>
        <v>Greater Vitality Potion (X)</v>
      </c>
      <c r="N98" s="167" t="str">
        <f>IFERROR(__xludf.DUMMYFUNCTION("""COMPUTED_VALUE"""),"Basic Strength Potions come in different Variations which are determined by the GM. X May be Defense, Special Defense, Evasion or Save Checks. If X is Defense or Special Defense, the Target gains +3 CS in that Stat. If X is Evasion, they gain a +6 Bonus t"&amp;"o Evasion for the rest of the Scene. If X is Save Checks, they gain a +4 Modifier to that Combat Value for the rest of the Scene.  [Throwable] [Small] [Consumable]")</f>
        <v>Basic Strength Potions come in different Variations which are determined by the GM. X May be Defense, Special Defense, Evasion or Save Checks. If X is Defense or Special Defense, the Target gains +3 CS in that Stat. If X is Evasion, they gain a +6 Bonus to Evasion for the rest of the Scene. If X is Save Checks, they gain a +4 Modifier to that Combat Value for the rest of the Scene.  [Throwable] [Small] [Consumable]</v>
      </c>
    </row>
    <row r="99">
      <c r="A99" s="163"/>
      <c r="B99" s="163"/>
      <c r="C99" s="164"/>
      <c r="D99" s="164"/>
      <c r="E99" s="165"/>
      <c r="F99" s="165"/>
      <c r="G99" s="166"/>
      <c r="H99" s="166"/>
      <c r="I99" s="166"/>
      <c r="J99" s="166"/>
      <c r="K99" s="166" t="str">
        <f>IFERROR(__xludf.DUMMYFUNCTION("""COMPUTED_VALUE"""),"Type Brace (Normal)")</f>
        <v>Type Brace (Normal)</v>
      </c>
      <c r="L99" s="166"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M99" s="167" t="str">
        <f>IFERROR(__xludf.DUMMYFUNCTION("""COMPUTED_VALUE"""),"Green Shard")</f>
        <v>Green Shard</v>
      </c>
      <c r="N99" s="167"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row>
    <row r="100">
      <c r="A100" s="163"/>
      <c r="B100" s="163"/>
      <c r="C100" s="164"/>
      <c r="D100" s="164"/>
      <c r="E100" s="165"/>
      <c r="F100" s="165"/>
      <c r="G100" s="166"/>
      <c r="H100" s="166"/>
      <c r="I100" s="166"/>
      <c r="J100" s="166"/>
      <c r="K100" s="166" t="str">
        <f>IFERROR(__xludf.DUMMYFUNCTION("""COMPUTED_VALUE"""),"Type Brace (Poison)")</f>
        <v>Type Brace (Poison)</v>
      </c>
      <c r="L100" s="166"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M100" s="167" t="str">
        <f>IFERROR(__xludf.DUMMYFUNCTION("""COMPUTED_VALUE"""),"Harnessed Attack")</f>
        <v>Harnessed Attack</v>
      </c>
      <c r="N100" s="167" t="str">
        <f>IFERROR(__xludf.DUMMYFUNCTION("""COMPUTED_VALUE"""),"When this Item is created, the GM will determine what Attack is harnessed in this Item. The holder may expend this Item as a Standard action (Or Swift if they’re using the Versatile Effect) to use the Attack as if it were on their Attack List. If the Atta"&amp;"ck is Damaging, they may also choose to treat their Offensive Stat as if it were Double their Tier Value [Medium] [Consumable]")</f>
        <v>When this Item is created, the GM will determine what Attack is harnessed in this Item. The holder may expend this Item as a Standard action (Or Swift if they’re using the Versatile Effect) to use the Attack as if it were on their Attack List. If the Attack is Damaging, they may also choose to treat their Offensive Stat as if it were Double their Tier Value [Medium] [Consumable]</v>
      </c>
    </row>
    <row r="101">
      <c r="A101" s="168"/>
      <c r="B101" s="168"/>
      <c r="C101" s="169"/>
      <c r="D101" s="169"/>
      <c r="E101" s="170"/>
      <c r="F101" s="170"/>
      <c r="G101" s="166"/>
      <c r="H101" s="166"/>
      <c r="I101" s="166"/>
      <c r="J101" s="166"/>
      <c r="K101" s="166" t="str">
        <f>IFERROR(__xludf.DUMMYFUNCTION("""COMPUTED_VALUE"""),"Type Brace (Psychic)")</f>
        <v>Type Brace (Psychic)</v>
      </c>
      <c r="L101" s="166"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M101" s="167" t="str">
        <f>IFERROR(__xludf.DUMMYFUNCTION("""COMPUTED_VALUE"""),"Hazard Bag")</f>
        <v>Hazard Bag</v>
      </c>
      <c r="N101" s="167" t="str">
        <f>IFERROR(__xludf.DUMMYFUNCTION("""COMPUTED_VALUE"""),"When this Item is created, the GM will determine what type of Hazard it is (It can contain any Attack with the Hazard Keyword). When this Item is expended, the holder may use that Attack immediately as if they knew it. [Small] [Consumable]")</f>
        <v>When this Item is created, the GM will determine what type of Hazard it is (It can contain any Attack with the Hazard Keyword). When this Item is expended, the holder may use that Attack immediately as if they knew it. [Small] [Consumable]</v>
      </c>
    </row>
    <row r="102">
      <c r="A102" s="163" t="str">
        <f>IFERROR(__xludf.DUMMYFUNCTION("IMPORTRANGE(""https://docs.google.com/spreadsheets/d/1OWqz0Kj63DvuK16jiKGSn_Hv_N2mbyV2QAdHjKdcrpw"", ""'Items'!$A$2:$F"")"),"Artisan Kit (X)")</f>
        <v>Artisan Kit (X)</v>
      </c>
      <c r="B102" s="163" t="str">
        <f>IFERROR(__xludf.DUMMYFUNCTION("""COMPUTED_VALUE"""),"Whenever you Innovate or Research during a Downtime Phase and use an Exertion Modifier, if it’s for something that is related to (X), you reroll all dice that land on a 1. [Large]")</f>
        <v>Whenever you Innovate or Research during a Downtime Phase and use an Exertion Modifier, if it’s for something that is related to (X), you reroll all dice that land on a 1. [Large]</v>
      </c>
      <c r="C102" s="164" t="str">
        <f>IFERROR(__xludf.DUMMYFUNCTION("""COMPUTED_VALUE"""),"(X) Shard")</f>
        <v>(X) Shard</v>
      </c>
      <c r="D102" s="164"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c r="E102" s="165" t="str">
        <f>IFERROR(__xludf.DUMMYFUNCTION("""COMPUTED_VALUE"""),"Air Balloon")</f>
        <v>Air Balloon</v>
      </c>
      <c r="F102" s="165"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c r="G102" s="166"/>
      <c r="H102" s="166"/>
      <c r="I102" s="166"/>
      <c r="J102" s="166"/>
      <c r="K102" s="166" t="str">
        <f>IFERROR(__xludf.DUMMYFUNCTION("""COMPUTED_VALUE"""),"Type Brace (Rock)")</f>
        <v>Type Brace (Rock)</v>
      </c>
      <c r="L102" s="166"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M102" s="167" t="str">
        <f>IFERROR(__xludf.DUMMYFUNCTION("""COMPUTED_VALUE"""),"Heavy Armor")</f>
        <v>Heavy Armor</v>
      </c>
      <c r="N102" s="167"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row>
    <row r="103">
      <c r="A103" s="163" t="str">
        <f>IFERROR(__xludf.DUMMYFUNCTION("""COMPUTED_VALUE"""),"Book")</f>
        <v>Book</v>
      </c>
      <c r="B103" s="163" t="str">
        <f>IFERROR(__xludf.DUMMYFUNCTION("""COMPUTED_VALUE"""),"When this Item is created, the GM will determine the effect of the book and its associated Skill that is used to read it. This Item may be studied as a Research Downtime Action with the Target Number determined by the GM. When the Downtime Project is fini"&amp;"shed, the Player will learn the contents of the book, leading to either information gained or a permanent boost to your Character, such as gaining a Specialty as if they had the Skill Specialty Talent. [Small]")</f>
        <v>When this Item is created, the GM will determine the effect of the book and its associated Skill that is used to read it. This Item may be studied as a Research Downtime Action with the Target Number determined by the GM. When the Downtime Project is finished, the Player will learn the contents of the book, leading to either information gained or a permanent boost to your Character, such as gaining a Specialty as if they had the Skill Specialty Talent. [Small]</v>
      </c>
      <c r="C103" s="164" t="str">
        <f>IFERROR(__xludf.DUMMYFUNCTION("""COMPUTED_VALUE"""),"Basic Healing Potion")</f>
        <v>Basic Healing Potion</v>
      </c>
      <c r="D103" s="164"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cu"&amp;"red of 1 Status Affliction of your choice. 
» They are revived and set to 1 Tick of Hit Points or 20 Hit Points, whichever is higher.")</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v>
      </c>
      <c r="E103" s="165" t="str">
        <f>IFERROR(__xludf.DUMMYFUNCTION("""COMPUTED_VALUE"""),"Analytic Lens")</f>
        <v>Analytic Lens</v>
      </c>
      <c r="F103" s="165" t="str">
        <f>IFERROR(__xludf.DUMMYFUNCTION("""COMPUTED_VALUE"""),"While this Item is Equipped, the user has +1 to Effect Ranges. [Equipment] [Medium] [Pokemon]")</f>
        <v>While this Item is Equipped, the user has +1 to Effect Ranges. [Equipment] [Medium] [Pokemon]</v>
      </c>
      <c r="G103" s="166"/>
      <c r="H103" s="166"/>
      <c r="I103" s="166"/>
      <c r="J103" s="166"/>
      <c r="K103" s="166" t="str">
        <f>IFERROR(__xludf.DUMMYFUNCTION("""COMPUTED_VALUE"""),"Type Brace (Steel)")</f>
        <v>Type Brace (Steel)</v>
      </c>
      <c r="L103" s="166"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M103" s="167" t="str">
        <f>IFERROR(__xludf.DUMMYFUNCTION("""COMPUTED_VALUE"""),"Heavy Backpack")</f>
        <v>Heavy Backpack</v>
      </c>
      <c r="N103" s="167"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row>
    <row r="104">
      <c r="A104" s="163" t="str">
        <f>IFERROR(__xludf.DUMMYFUNCTION("""COMPUTED_VALUE"""),"Climbing Kit")</f>
        <v>Climbing Kit</v>
      </c>
      <c r="B104" s="163" t="str">
        <f>IFERROR(__xludf.DUMMYFUNCTION("""COMPUTED_VALUE"""),"While this Item is in your Inventory, you do not need to make any Skill Checks in order to climb or scale vertical surfaces such as a slope. This may be equipped as if it were an [Equipment - Weapon] Item in order to ignore Movement Penalites from vertica"&amp;"l surfaces that would be Slow Terrain. [Medium]")</f>
        <v>While this Item is in your Inventory, you do not need to make any Skill Checks in order to climb or scale vertical surfaces such as a slope. This may be equipped as if it were an [Equipment - Weapon] Item in order to ignore Movement Penalites from vertical surfaces that would be Slow Terrain. [Medium]</v>
      </c>
      <c r="C104" s="164" t="str">
        <f>IFERROR(__xludf.DUMMYFUNCTION("""COMPUTED_VALUE"""),"Basic Malady Potion (Burned)")</f>
        <v>Basic Malady Potion (Burned)</v>
      </c>
      <c r="D104" s="164" t="str">
        <f>IFERROR(__xludf.DUMMYFUNCTION("""COMPUTED_VALUE"""),"The Target hit by this Item becomes Burned. [Throwable] [Small] [Consumable]")</f>
        <v>The Target hit by this Item becomes Burned. [Throwable] [Small] [Consumable]</v>
      </c>
      <c r="E104" s="165" t="str">
        <f>IFERROR(__xludf.DUMMYFUNCTION("""COMPUTED_VALUE"""),"Arcane Armor ")</f>
        <v>Arcane Armor </v>
      </c>
      <c r="F104" s="165"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G104" s="166"/>
      <c r="H104" s="166"/>
      <c r="I104" s="166"/>
      <c r="J104" s="166"/>
      <c r="K104" s="166" t="str">
        <f>IFERROR(__xludf.DUMMYFUNCTION("""COMPUTED_VALUE"""),"Type Brace (Water)")</f>
        <v>Type Brace (Water)</v>
      </c>
      <c r="L104" s="166"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M104" s="167" t="str">
        <f>IFERROR(__xludf.DUMMYFUNCTION("""COMPUTED_VALUE"""),"Heavy Shield")</f>
        <v>Heavy Shield</v>
      </c>
      <c r="N104" s="167"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row>
    <row r="105">
      <c r="A105" s="163" t="str">
        <f>IFERROR(__xludf.DUMMYFUNCTION("""COMPUTED_VALUE"""),"First Aid Kit")</f>
        <v>First Aid Kit</v>
      </c>
      <c r="B105" s="163" t="str">
        <f>IFERROR(__xludf.DUMMYFUNCTION("""COMPUTED_VALUE"""),"The user is considered to have standard medical supplies that can stabilize injuries out in the field. As an Extended Action with around 5 Minutes of time, anyone with at least Adept Medicine Edu can cure any Physical Status Affliction. While this is in y"&amp;"our Inventory, at the end of a Scene where Combat Occurred, the user and all Allies restore 3 Ticks of Hit Point. Multiple instances of the First Aid Kit or Mender Capability increase the Ticks restored by +1, instead of each seperately restoring 3. [Medi"&amp;"um] ")</f>
        <v>The user is considered to have standard medical supplies that can stabilize injuries out in the field. As an Extended Action with around 5 Minutes of time, anyone with at least Adept Medicine Edu can cure any Physical Status Affliction. While this is in your Inventory, at the end of a Scene where Combat Occurred, the user and all Allies restore 3 Ticks of Hit Point. Multiple instances of the First Aid Kit or Mender Capability increase the Ticks restored by +1, instead of each seperately restoring 3. [Medium] </v>
      </c>
      <c r="C105" s="164" t="str">
        <f>IFERROR(__xludf.DUMMYFUNCTION("""COMPUTED_VALUE"""),"Basic Malady Potion (Enraged)")</f>
        <v>Basic Malady Potion (Enraged)</v>
      </c>
      <c r="D105" s="164" t="str">
        <f>IFERROR(__xludf.DUMMYFUNCTION("""COMPUTED_VALUE"""),"The Target hit by this Item becomes Enraged. [Throwable] [Small] [Consumable]")</f>
        <v>The Target hit by this Item becomes Enraged. [Throwable] [Small] [Consumable]</v>
      </c>
      <c r="E105" s="165" t="str">
        <f>IFERROR(__xludf.DUMMYFUNCTION("""COMPUTED_VALUE"""),"Artisan Pack")</f>
        <v>Artisan Pack</v>
      </c>
      <c r="F105" s="165"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c r="G105" s="166"/>
      <c r="H105" s="166"/>
      <c r="I105" s="166"/>
      <c r="J105" s="166"/>
      <c r="K105" s="166" t="str">
        <f>IFERROR(__xludf.DUMMYFUNCTION("""COMPUTED_VALUE"""),"Type Brace (X)")</f>
        <v>Type Brace (X)</v>
      </c>
      <c r="L105" s="166"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M105" s="167" t="str">
        <f>IFERROR(__xludf.DUMMYFUNCTION("""COMPUTED_VALUE"""),"High Quality Heavy Armor")</f>
        <v>High Quality Heavy Armor</v>
      </c>
      <c r="N105" s="167"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row>
    <row r="106">
      <c r="A106" s="163" t="str">
        <f>IFERROR(__xludf.DUMMYFUNCTION("""COMPUTED_VALUE"""),"Fossil")</f>
        <v>Fossil</v>
      </c>
      <c r="B106" s="163" t="str">
        <f>IFERROR(__xludf.DUMMYFUNCTION("""COMPUTED_VALUE"""),"When this Item is created, choose a Pokemon Species. A person that has knowledge in the field of Paleontology may study this Item as an Research Downtime Action with a Downtime Subject of Poke Edu and a Target Number of 100. Once this project is completed"&amp;", the Fossil may be restored to its former state, provided they have equipment to do so. The chosen Pokemon is hatched at Level 1 and if they aren't Rock Type already, may alter into a Rock Type Shift. [Medium] ")</f>
        <v>When this Item is created, choose a Pokemon Species. A person that has knowledge in the field of Paleontology may study this Item as an Research Downtime Action with a Downtime Subject of Poke Edu and a Target Number of 100. Once this project is completed, the Fossil may be restored to its former state, provided they have equipment to do so. The chosen Pokemon is hatched at Level 1 and if they aren't Rock Type already, may alter into a Rock Type Shift. [Medium] </v>
      </c>
      <c r="C106" s="164" t="str">
        <f>IFERROR(__xludf.DUMMYFUNCTION("""COMPUTED_VALUE"""),"Basic Malady Potion (Entranced)")</f>
        <v>Basic Malady Potion (Entranced)</v>
      </c>
      <c r="D106" s="164" t="str">
        <f>IFERROR(__xludf.DUMMYFUNCTION("""COMPUTED_VALUE"""),"The Target hit by this Item becomes Entranced. [Throwable] [Small] [Consumable]")</f>
        <v>The Target hit by this Item becomes Entranced. [Throwable] [Small] [Consumable]</v>
      </c>
      <c r="E106" s="165" t="str">
        <f>IFERROR(__xludf.DUMMYFUNCTION("""COMPUTED_VALUE"""),"Assault Vest")</f>
        <v>Assault Vest</v>
      </c>
      <c r="F106" s="165"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G106" s="166"/>
      <c r="H106" s="166"/>
      <c r="I106" s="166"/>
      <c r="J106" s="166"/>
      <c r="K106" s="166" t="str">
        <f>IFERROR(__xludf.DUMMYFUNCTION("""COMPUTED_VALUE"""),"Z Crystal")</f>
        <v>Z Crystal</v>
      </c>
      <c r="L106" s="166"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c r="M106" s="167" t="str">
        <f>IFERROR(__xludf.DUMMYFUNCTION("""COMPUTED_VALUE"""),"High Quality Light Armor")</f>
        <v>High Quality Light Armor</v>
      </c>
      <c r="N106" s="167"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row>
    <row r="107">
      <c r="A107" s="163" t="str">
        <f>IFERROR(__xludf.DUMMYFUNCTION("""COMPUTED_VALUE"""),"Gemstone")</f>
        <v>Gemstone</v>
      </c>
      <c r="B107" s="163" t="str">
        <f>IFERROR(__xludf.DUMMYFUNCTION("""COMPUTED_VALUE"""),"This Item has no effect unless otherwise given one. Depending on its Rarity it will be given a cost it could sell for. Common Gemstones sell for $1,000. Rare Gemstones sell for $3,000. Very Rare Gemstones sell for $5,000. [Small]")</f>
        <v>This Item has no effect unless otherwise given one. Depending on its Rarity it will be given a cost it could sell for. Common Gemstones sell for $1,000. Rare Gemstones sell for $3,000. Very Rare Gemstones sell for $5,000. [Small]</v>
      </c>
      <c r="C107" s="164" t="str">
        <f>IFERROR(__xludf.DUMMYFUNCTION("""COMPUTED_VALUE"""),"Basic Malady Potion (Poisoned)")</f>
        <v>Basic Malady Potion (Poisoned)</v>
      </c>
      <c r="D107" s="164" t="str">
        <f>IFERROR(__xludf.DUMMYFUNCTION("""COMPUTED_VALUE"""),"The Target hit by this Item becomes Poisoned. [Throwable] [Small] [Consumable]")</f>
        <v>The Target hit by this Item becomes Poisoned. [Throwable] [Small] [Consumable]</v>
      </c>
      <c r="E107" s="165" t="str">
        <f>IFERROR(__xludf.DUMMYFUNCTION("""COMPUTED_VALUE"""),"Bardic Instrument")</f>
        <v>Bardic Instrument</v>
      </c>
      <c r="F107" s="165"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c r="G107" s="166"/>
      <c r="H107" s="166"/>
      <c r="I107" s="166"/>
      <c r="J107" s="166"/>
      <c r="K107" s="166"/>
      <c r="L107" s="166"/>
      <c r="M107" s="167" t="str">
        <f>IFERROR(__xludf.DUMMYFUNCTION("""COMPUTED_VALUE"""),"Ingredients (Basic)")</f>
        <v>Ingredients (Basic)</v>
      </c>
      <c r="N107" s="167" t="str">
        <f>IFERROR(__xludf.DUMMYFUNCTION("""COMPUTED_VALUE"""),"When created or noted down by a Player, designate what type of Items can be crafted using this item. Each 1 Ingredient can be expended to craft up to $100 worth of Items in the designated category. [Resource]")</f>
        <v>When created or noted down by a Player, designate what type of Items can be crafted using this item. Each 1 Ingredient can be expended to craft up to $100 worth of Items in the designated category. [Resource]</v>
      </c>
    </row>
    <row r="108">
      <c r="A108" s="163" t="str">
        <f>IFERROR(__xludf.DUMMYFUNCTION("""COMPUTED_VALUE"""),"Ingredients (Basic)")</f>
        <v>Ingredients (Basic)</v>
      </c>
      <c r="B108" s="163" t="str">
        <f>IFERROR(__xludf.DUMMYFUNCTION("""COMPUTED_VALUE"""),"When created or noted down by a Player, designate what type of Items can be crafted using this item. Each 1 Ingredient can be expended to craft up to $100 worth of Items in the designated category. [Resource]")</f>
        <v>When created or noted down by a Player, designate what type of Items can be crafted using this item. Each 1 Ingredient can be expended to craft up to $100 worth of Items in the designated category. [Resource]</v>
      </c>
      <c r="C108" s="164" t="str">
        <f>IFERROR(__xludf.DUMMYFUNCTION("""COMPUTED_VALUE"""),"Basic Malady Potion (Suppressed)")</f>
        <v>Basic Malady Potion (Suppressed)</v>
      </c>
      <c r="D108" s="164" t="str">
        <f>IFERROR(__xludf.DUMMYFUNCTION("""COMPUTED_VALUE"""),"The Target hit by this Item becomes Suppressed. [Throwable] [Small] [Consumable]")</f>
        <v>The Target hit by this Item becomes Suppressed. [Throwable] [Small] [Consumable]</v>
      </c>
      <c r="E108" s="165" t="str">
        <f>IFERROR(__xludf.DUMMYFUNCTION("""COMPUTED_VALUE"""),"Berserk Belt")</f>
        <v>Berserk Belt</v>
      </c>
      <c r="F108" s="165"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G108" s="166"/>
      <c r="H108" s="166"/>
      <c r="I108" s="166"/>
      <c r="J108" s="166"/>
      <c r="K108" s="166"/>
      <c r="L108" s="166"/>
      <c r="M108" s="167" t="str">
        <f>IFERROR(__xludf.DUMMYFUNCTION("""COMPUTED_VALUE"""),"Ingredients (Unique)")</f>
        <v>Ingredients (Unique)</v>
      </c>
      <c r="N108" s="167" t="str">
        <f>IFERROR(__xludf.DUMMYFUNCTION("""COMPUTED_VALUE"""),"When created or noted down by a Player, designate what type of Items can be crafted using this item. Each 1 Ingredient can be expended to craft up to $500 worth of Items in the designated category. When an Item is created entirely with this Item, its effe"&amp;"cts may be altered based on the unique properties of this Item. [Resource] ")</f>
        <v>When created or noted down by a Player, designate what type of Items can be crafted using this item. Each 1 Ingredient can be expended to craft up to $500 worth of Items in the designated category. When an Item is created entirely with this Item, its effects may be altered based on the unique properties of this Item. [Resource] </v>
      </c>
    </row>
    <row r="109">
      <c r="A109" s="163" t="str">
        <f>IFERROR(__xludf.DUMMYFUNCTION("""COMPUTED_VALUE"""),"Ingredients (Unique)")</f>
        <v>Ingredients (Unique)</v>
      </c>
      <c r="B109" s="163" t="str">
        <f>IFERROR(__xludf.DUMMYFUNCTION("""COMPUTED_VALUE"""),"When created or noted down by a Player, designate what type of Items can be crafted using this item. Each 1 Ingredient can be expended to craft up to $500 worth of Items in the designated category. When an Item is created entirely with this Item, its effe"&amp;"cts may be altered based on the unique properties of this Item. [Resource] ")</f>
        <v>When created or noted down by a Player, designate what type of Items can be crafted using this item. Each 1 Ingredient can be expended to craft up to $500 worth of Items in the designated category. When an Item is created entirely with this Item, its effects may be altered based on the unique properties of this Item. [Resource] </v>
      </c>
      <c r="C109" s="164" t="str">
        <f>IFERROR(__xludf.DUMMYFUNCTION("""COMPUTED_VALUE"""),"Basic Malady Potion (Wounded)")</f>
        <v>Basic Malady Potion (Wounded)</v>
      </c>
      <c r="D109" s="164" t="str">
        <f>IFERROR(__xludf.DUMMYFUNCTION("""COMPUTED_VALUE"""),"The Target hit by this Item becomes Wounded. [Throwable] [Small] [Consumable]")</f>
        <v>The Target hit by this Item becomes Wounded. [Throwable] [Small] [Consumable]</v>
      </c>
      <c r="E109" s="165" t="str">
        <f>IFERROR(__xludf.DUMMYFUNCTION("""COMPUTED_VALUE"""),"Blessed Relic")</f>
        <v>Blessed Relic</v>
      </c>
      <c r="F109" s="165" t="str">
        <f>IFERROR(__xludf.DUMMYFUNCTION("""COMPUTED_VALUE"""),"While this Item is Equipped, the user has +2 to Save Checks. [Equipment] [Medium] [Pokemon]")</f>
        <v>While this Item is Equipped, the user has +2 to Save Checks. [Equipment] [Medium] [Pokemon]</v>
      </c>
      <c r="G109" s="166"/>
      <c r="H109" s="166"/>
      <c r="I109" s="166"/>
      <c r="J109" s="166"/>
      <c r="K109" s="166"/>
      <c r="L109" s="166"/>
      <c r="M109" s="167" t="str">
        <f>IFERROR(__xludf.DUMMYFUNCTION("""COMPUTED_VALUE"""),"Jewelry")</f>
        <v>Jewelry</v>
      </c>
      <c r="N109" s="167" t="str">
        <f>IFERROR(__xludf.DUMMYFUNCTION("""COMPUTED_VALUE"""),"This Item does nothing without being given an effect by the GM. [Small] [Equipment] [Pokemon]")</f>
        <v>This Item does nothing without being given an effect by the GM. [Small] [Equipment] [Pokemon]</v>
      </c>
    </row>
    <row r="110">
      <c r="A110" s="163" t="str">
        <f>IFERROR(__xludf.DUMMYFUNCTION("""COMPUTED_VALUE"""),"Pokedex")</f>
        <v>Pokedex</v>
      </c>
      <c r="B110" s="163" t="str">
        <f>IFERROR(__xludf.DUMMYFUNCTION("""COMPUTED_VALUE"""),"While in your Inventory, whenever the User performs the Analyze Maneuver, they gain a Boon to any Pokemon Edu Checks they perform as a result. As an Extended Action, the User may Target a Pokemon within 10m with the Pokedex and scan them. Scanning takes a"&amp;" Minute and provides basic information about the species such as Attacks known, diet, habitat, height, ability list, etc. This Item may have additional functionality at your GM's Discretion. [Medium]")</f>
        <v>While in your Inventory, whenever the User performs the Analyze Maneuver, they gain a Boon to any Pokemon Edu Checks they perform as a result. As an Extended Action, the User may Target a Pokemon within 10m with the Pokedex and scan them. Scanning takes a Minute and provides basic information about the species such as Attacks known, diet, habitat, height, ability list, etc. This Item may have additional functionality at your GM's Discretion. [Medium]</v>
      </c>
      <c r="C110" s="164" t="str">
        <f>IFERROR(__xludf.DUMMYFUNCTION("""COMPUTED_VALUE"""),"Basic Malady Potion (X)")</f>
        <v>Basic Malady Potion (X)</v>
      </c>
      <c r="D110" s="164" t="str">
        <f>IFERROR(__xludf.DUMMYFUNCTION("""COMPUTED_VALUE"""),"Basic Malady Potions come in different variations which are determined by the GM. The Target hit by this Item gains the corresponding Status Affliction. Basic Malady Potions can inflict the following Afflictions. Burned, Poisoned, Enraged, Entranced, Supp"&amp;"ressed, Wounded. [Throwable] [Small] [Consumable]")</f>
        <v>Basic Malady Potions come in different variations which are determined by the GM. The Target hit by this Item gains the corresponding Status Affliction. Basic Malady Potions can inflict the following Afflictions. Burned, Poisoned, Enraged, Entranced, Suppressed, Wounded. [Throwable] [Small] [Consumable]</v>
      </c>
      <c r="E110" s="165" t="str">
        <f>IFERROR(__xludf.DUMMYFUNCTION("""COMPUTED_VALUE"""),"Braced Shield")</f>
        <v>Braced Shield</v>
      </c>
      <c r="F110" s="165"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G110" s="166"/>
      <c r="H110" s="166"/>
      <c r="I110" s="166"/>
      <c r="J110" s="166"/>
      <c r="K110" s="166"/>
      <c r="L110" s="166"/>
      <c r="M110" s="167" t="str">
        <f>IFERROR(__xludf.DUMMYFUNCTION("""COMPUTED_VALUE"""),"Large Gadget")</f>
        <v>Large Gadget</v>
      </c>
      <c r="N110" s="167"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row>
    <row r="111">
      <c r="A111" s="163" t="str">
        <f>IFERROR(__xludf.DUMMYFUNCTION("""COMPUTED_VALUE"""),"Pokemon Egg")</f>
        <v>Pokemon Egg</v>
      </c>
      <c r="B111" s="163" t="str">
        <f>IFERROR(__xludf.DUMMYFUNCTION("""COMPUTED_VALUE"""),"When this Item is created, choose a Pokemon Species. At the end of each Game Day (A full set of time phases) and/or as a Downtime Action, roll 2d10 and grant the Egg that many Nurture Points. If you have at least Expert Pokémon Education, instead roll 4d1"&amp;"0. When this reaches 100 Nurture Points, it hatches into a Level 5 Pokemon of that Species. [Medium] ")</f>
        <v>When this Item is created, choose a Pokemon Species. At the end of each Game Day (A full set of time phases) and/or as a Downtime Action, roll 2d10 and grant the Egg that many Nurture Points. If you have at least Expert Pokémon Education, instead roll 4d10. When this reaches 100 Nurture Points, it hatches into a Level 5 Pokemon of that Species. [Medium] </v>
      </c>
      <c r="C111" s="164" t="str">
        <f>IFERROR(__xludf.DUMMYFUNCTION("""COMPUTED_VALUE"""),"Basic Pokefood")</f>
        <v>Basic Pokefood</v>
      </c>
      <c r="D111" s="164" t="str">
        <f>IFERROR(__xludf.DUMMYFUNCTION("""COMPUTED_VALUE"""),"If expended with a Throw Maneuver, choose an unoccupied Space for the food to land. All Enemy Pokemon within 3m of it must pass a Focus Check with a Tough CR (3). If any fail, one of them will use their next Standard Action to move to that space and eat i"&amp;"t. If it wouldn’t make sense to logically move there (Such as being on a hazard), or the Pokemon has been tricked before in this Scene, the CR is reduced at GM Discretion. [Throwable] [Small] [Consumable]")</f>
        <v>If expended with a Throw Maneuver, choose an unoccupied Space for the food to land. All Enemy Pokemon within 3m of it must pass a Focus Check with a Tough CR (3).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c r="E111" s="165" t="str">
        <f>IFERROR(__xludf.DUMMYFUNCTION("""COMPUTED_VALUE"""),"Cargo Bag")</f>
        <v>Cargo Bag</v>
      </c>
      <c r="F111" s="165"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c r="G111" s="166"/>
      <c r="H111" s="166"/>
      <c r="I111" s="166"/>
      <c r="J111" s="166"/>
      <c r="K111" s="166"/>
      <c r="L111" s="166"/>
      <c r="M111" s="167" t="str">
        <f>IFERROR(__xludf.DUMMYFUNCTION("""COMPUTED_VALUE"""),"Leftovers")</f>
        <v>Leftovers</v>
      </c>
      <c r="N111" s="167"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row>
    <row r="112">
      <c r="A112" s="163" t="str">
        <f>IFERROR(__xludf.DUMMYFUNCTION("""COMPUTED_VALUE"""),"Sleeping Bag")</f>
        <v>Sleeping Bag</v>
      </c>
      <c r="B112" s="163" t="str">
        <f>IFERROR(__xludf.DUMMYFUNCTION("""COMPUTED_VALUE"""),"While you're on a Journey, you may use this Item to get a normal night’s rest. Up to 1 person may fit in one Sleeping Bag. [Medium] ")</f>
        <v>While you're on a Journey, you may use this Item to get a normal night’s rest. Up to 1 person may fit in one Sleeping Bag. [Medium] </v>
      </c>
      <c r="C112" s="164" t="str">
        <f>IFERROR(__xludf.DUMMYFUNCTION("""COMPUTED_VALUE"""),"Basic Strength Potion (Accuracy)")</f>
        <v>Basic Strength Potion (Accuracy)</v>
      </c>
      <c r="D112" s="164" t="str">
        <f>IFERROR(__xludf.DUMMYFUNCTION("""COMPUTED_VALUE"""),"The Target gains a +2 Modifier to Accuracy for the rest of the Scene. [Throwable] [Small] [Consumable]")</f>
        <v>The Target gains a +2 Modifier to Accuracy for the rest of the Scene. [Throwable] [Small] [Consumable]</v>
      </c>
      <c r="E112" s="165" t="str">
        <f>IFERROR(__xludf.DUMMYFUNCTION("""COMPUTED_VALUE"""),"Covert Cloak")</f>
        <v>Covert Cloak</v>
      </c>
      <c r="F112" s="165" t="str">
        <f>IFERROR(__xludf.DUMMYFUNCTION("""COMPUTED_VALUE"""),"While Equipped, Attacks against the user have a -2 Penalty to Effect Ranges. [Medium] [Equipment - Armor] [Pokemon]")</f>
        <v>While Equipped, Attacks against the user have a -2 Penalty to Effect Ranges. [Medium] [Equipment - Armor] [Pokemon]</v>
      </c>
      <c r="G112" s="166"/>
      <c r="H112" s="166"/>
      <c r="I112" s="166"/>
      <c r="J112" s="166"/>
      <c r="K112" s="166"/>
      <c r="L112" s="166"/>
      <c r="M112" s="167" t="str">
        <f>IFERROR(__xludf.DUMMYFUNCTION("""COMPUTED_VALUE"""),"Legendary Weapon")</f>
        <v>Legendary Weapon</v>
      </c>
      <c r="N112" s="16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13">
      <c r="A113" s="163" t="str">
        <f>IFERROR(__xludf.DUMMYFUNCTION("""COMPUTED_VALUE"""),"Tent")</f>
        <v>Tent</v>
      </c>
      <c r="B113" s="163" t="str">
        <f>IFERROR(__xludf.DUMMYFUNCTION("""COMPUTED_VALUE"""),"While you're on a Journey, you may use this Item to get a normal night’s rest. Up to 2 people may fit in one tent. [Large] ")</f>
        <v>While you're on a Journey, you may use this Item to get a normal night’s rest. Up to 2 people may fit in one tent. [Large] </v>
      </c>
      <c r="C113" s="164" t="str">
        <f>IFERROR(__xludf.DUMMYFUNCTION("""COMPUTED_VALUE"""),"Basic Strength Potion (Attack)")</f>
        <v>Basic Strength Potion (Attack)</v>
      </c>
      <c r="D113" s="164" t="str">
        <f>IFERROR(__xludf.DUMMYFUNCTION("""COMPUTED_VALUE"""),"The Target gains +2 CS in Attack. [Throwable] [Small] [Consumable]")</f>
        <v>The Target gains +2 CS in Attack. [Throwable] [Small] [Consumable]</v>
      </c>
      <c r="E113" s="165" t="str">
        <f>IFERROR(__xludf.DUMMYFUNCTION("""COMPUTED_VALUE"""),"Crude Armor")</f>
        <v>Crude Armor</v>
      </c>
      <c r="F113" s="165" t="str">
        <f>IFERROR(__xludf.DUMMYFUNCTION("""COMPUTED_VALUE"""),"While Equipped, the user has +5 Damage Reduction. [Medium] [Equipment - Armor]")</f>
        <v>While Equipped, the user has +5 Damage Reduction. [Medium] [Equipment - Armor]</v>
      </c>
      <c r="G113" s="166"/>
      <c r="H113" s="166"/>
      <c r="I113" s="166"/>
      <c r="J113" s="166"/>
      <c r="K113" s="166"/>
      <c r="L113" s="166"/>
      <c r="M113" s="167" t="str">
        <f>IFERROR(__xludf.DUMMYFUNCTION("""COMPUTED_VALUE"""),"Light Armor")</f>
        <v>Light Armor</v>
      </c>
      <c r="N113" s="167" t="str">
        <f>IFERROR(__xludf.DUMMYFUNCTION("""COMPUTED_VALUE"""),"While Equipped, the user has +10 Damage Reduction. You must be Trainer Level 5+ to equip this. [Large] [Equipment - Armor]")</f>
        <v>While Equipped, the user has +10 Damage Reduction. You must be Trainer Level 5+ to equip this. [Large] [Equipment - Armor]</v>
      </c>
    </row>
    <row r="114">
      <c r="A114" s="163" t="str">
        <f>IFERROR(__xludf.DUMMYFUNCTION("""COMPUTED_VALUE"""),"Tool Kit")</f>
        <v>Tool Kit</v>
      </c>
      <c r="B114" s="163" t="str">
        <f>IFERROR(__xludf.DUMMYFUNCTION("""COMPUTED_VALUE"""),"Upon this Item’s Creation, choose a specific type of Action. This Item has the tools required to perform that Action and when making Skill Checks involved with that Action, you have a Boon. This cannot affect Skill Checks performed as a Downtime Action. ["&amp;"Medium]")</f>
        <v>Upon this Item’s Creation, choose a specific type of Action. This Item has the tools required to perform that Action and when making Skill Checks involved with that Action, you have a Boon. This cannot affect Skill Checks performed as a Downtime Action. [Medium]</v>
      </c>
      <c r="C114" s="164" t="str">
        <f>IFERROR(__xludf.DUMMYFUNCTION("""COMPUTED_VALUE"""),"Basic Strength Potion (Critical Hit)")</f>
        <v>Basic Strength Potion (Critical Hit)</v>
      </c>
      <c r="D114" s="164" t="str">
        <f>IFERROR(__xludf.DUMMYFUNCTION("""COMPUTED_VALUE"""),"The Target gains a +2 Modifier to Critical Hit for the rest of the Scene. [Throwable] [Small] [Consumable]")</f>
        <v>The Target gains a +2 Modifier to Critical Hit for the rest of the Scene. [Throwable] [Small] [Consumable]</v>
      </c>
      <c r="E114" s="165" t="str">
        <f>IFERROR(__xludf.DUMMYFUNCTION("""COMPUTED_VALUE"""),"Disguise")</f>
        <v>Disguise</v>
      </c>
      <c r="F114" s="165"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c r="G114" s="166"/>
      <c r="H114" s="166"/>
      <c r="I114" s="166"/>
      <c r="J114" s="166"/>
      <c r="K114" s="166"/>
      <c r="L114" s="166"/>
      <c r="M114" s="167" t="str">
        <f>IFERROR(__xludf.DUMMYFUNCTION("""COMPUTED_VALUE"""),"Light Backpack")</f>
        <v>Light Backpack</v>
      </c>
      <c r="N114" s="167"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row>
    <row r="115">
      <c r="A115" s="163" t="str">
        <f>IFERROR(__xludf.DUMMYFUNCTION("""COMPUTED_VALUE"""),"Travel Set")</f>
        <v>Travel Set</v>
      </c>
      <c r="B115" s="163" t="str">
        <f>IFERROR(__xludf.DUMMYFUNCTION("""COMPUTED_VALUE"""),"Upon this Item's Creation, choose a type of Item that can be crafted. While this Item is in your Inventory, you have the tools to perform the Crafting Downtime Action while on a Journey. You need Ingredients equal to the Crafting Cost in order to create i"&amp;"t. [Medium]")</f>
        <v>Upon this Item's Creation, choose a type of Item that can be crafted. While this Item is in your Inventory, you have the tools to perform the Crafting Downtime Action while on a Journey. You need Ingredients equal to the Crafting Cost in order to create it. [Medium]</v>
      </c>
      <c r="C115" s="164" t="str">
        <f>IFERROR(__xludf.DUMMYFUNCTION("""COMPUTED_VALUE"""),"Basic Strength Potion (Special Attack)")</f>
        <v>Basic Strength Potion (Special Attack)</v>
      </c>
      <c r="D115" s="164" t="str">
        <f>IFERROR(__xludf.DUMMYFUNCTION("""COMPUTED_VALUE"""),"The Target gains +2 CS in Special Attack. [Throwable] [Small] [Consumable]")</f>
        <v>The Target gains +2 CS in Special Attack. [Throwable] [Small] [Consumable]</v>
      </c>
      <c r="E115" s="165" t="str">
        <f>IFERROR(__xludf.DUMMYFUNCTION("""COMPUTED_VALUE"""),"Dodge Scarf")</f>
        <v>Dodge Scarf</v>
      </c>
      <c r="F115" s="165"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G115" s="166"/>
      <c r="H115" s="166"/>
      <c r="I115" s="166"/>
      <c r="J115" s="166"/>
      <c r="K115" s="166"/>
      <c r="L115" s="166"/>
      <c r="M115" s="167" t="str">
        <f>IFERROR(__xludf.DUMMYFUNCTION("""COMPUTED_VALUE"""),"Lock Rune [Occult]")</f>
        <v>Lock Rune [Occult]</v>
      </c>
      <c r="N115" s="167" t="str">
        <f>IFERROR(__xludf.DUMMYFUNCTION("""COMPUTED_VALUE"""),"Cost: 4 Counters
Effect: This Rune may be inscribed onto the surface of any object that can be opened or accessed such as a door, chest or computer. It requires a CR 4 Occult Edu Check in order to bypass the Rune, otherwise they cannot interact with the i"&amp;"nscribed object. This can only be used by a Rune Master [Small] [Consumable]
Advanced: The CR becomes 6 instead. If a creature would fail this Skill Check, you are mentally made aware of the attempt.")</f>
        <v>Cost: 4 Counters
Effect: This Rune may be inscribed onto the surface of any object that can be opened or accessed such as a door, chest or computer. It requires a CR 4 Occult Edu Check in order to bypass the Rune, otherwise they cannot interact with the inscribed object. This can only be used by a Rune Master [Small] [Consumable]
Advanced: The CR becomes 6 instead. If a creature would fail this Skill Check, you are mentally made aware of the attempt.</v>
      </c>
    </row>
    <row r="116">
      <c r="A116" s="163" t="str">
        <f>IFERROR(__xludf.DUMMYFUNCTION("""COMPUTED_VALUE"""),"Companion Ball")</f>
        <v>Companion Ball</v>
      </c>
      <c r="B116" s="163" t="str">
        <f>IFERROR(__xludf.DUMMYFUNCTION("""COMPUTED_VALUE"""),"As an Extended Action, Target any Pokemon you own to become bound by the Companion Ball (Limit 1). While you have this Item in your Inventory, the Targeted Pokemon is considered to be in your Party, ignoring the Limit of 3 Pokemon in a Party. Pokemon boun"&amp;"d by this Ball cannot be used in Combat in any way. You can only have one Companion Ball in your Inventory at a time. At your GM's Discretion, this Item could provide some small benefit based on the Pokemon inside. [Medium] ")</f>
        <v>As an Extended Action, Target any Pokemon you own to become bound by the Companion Ball (Limit 1). While you have this Item in your Inventory, the Targeted Pokemon is considered to be in your Party, ignoring the Limit of 3 Pokemon in a Party. Pokemon bound by this Ball cannot be used in Combat in any way. You can only have one Companion Ball in your Inventory at a time. At your GM's Discretion, this Item could provide some small benefit based on the Pokemon inside. [Medium] </v>
      </c>
      <c r="C116" s="164" t="str">
        <f>IFERROR(__xludf.DUMMYFUNCTION("""COMPUTED_VALUE"""),"Basic Strength Potion (X)")</f>
        <v>Basic Strength Potion (X)</v>
      </c>
      <c r="D116" s="164" t="str">
        <f>IFERROR(__xludf.DUMMYFUNCTION("""COMPUTED_VALUE"""),"Basic Strength Potions come in different Variations which are determined by the GM. X May be Attack, Special Attack, Critical Hit or Accuracy. If X is Attack or Special Attack, the Target gains +2 CS in that Stat. If X is Critical Hit or Accuracy, they ga"&amp;"in a +2 Modifier to that Combat Value for the rest of the Scene.  [Throwable] [Small] [Consumable]")</f>
        <v>Basic Strength Potions come in different Variations which are determined by the GM. X May be Attack, Special Attack, Critical Hit or Accuracy. If X is Attack or Special Attack, the Target gains +2 CS in that Stat. If X is Critical Hit or Accuracy, they gain a +2 Modifier to that Combat Value for the rest of the Scene.  [Throwable] [Small] [Consumable]</v>
      </c>
      <c r="E116" s="165" t="str">
        <f>IFERROR(__xludf.DUMMYFUNCTION("""COMPUTED_VALUE"""),"Eject Module")</f>
        <v>Eject Module</v>
      </c>
      <c r="F116" s="165"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G116" s="166"/>
      <c r="H116" s="166"/>
      <c r="I116" s="166"/>
      <c r="J116" s="166"/>
      <c r="K116" s="166"/>
      <c r="L116" s="166"/>
      <c r="M116" s="167" t="str">
        <f>IFERROR(__xludf.DUMMYFUNCTION("""COMPUTED_VALUE"""),"Lucky Charm")</f>
        <v>Lucky Charm</v>
      </c>
      <c r="N116" s="167" t="str">
        <f>IFERROR(__xludf.DUMMYFUNCTION("""COMPUTED_VALUE"""),"While this Item is Equipped, the user rerolls any Accuracy Roll that was a natural 1. [Equipment] [Medium] [Pokemon]")</f>
        <v>While this Item is Equipped, the user rerolls any Accuracy Roll that was a natural 1. [Equipment] [Medium] [Pokemon]</v>
      </c>
    </row>
    <row r="117">
      <c r="A117" s="163" t="str">
        <f>IFERROR(__xludf.DUMMYFUNCTION("""COMPUTED_VALUE"""),"Map [Lethality]")</f>
        <v>Map [Lethality]</v>
      </c>
      <c r="B117" s="163" t="str">
        <f>IFERROR(__xludf.DUMMYFUNCTION("""COMPUTED_VALUE"""),"While this Item is held by the Wayfarer during a Journey, they may use Gen Edu or Perception instead of Nature Education for Navigation Checks. This is only relevant for areas that the map discloses information for. [Small]")</f>
        <v>While this Item is held by the Wayfarer during a Journey, they may use Gen Edu or Perception instead of Nature Education for Navigation Checks. This is only relevant for areas that the map discloses information for. [Small]</v>
      </c>
      <c r="C117" s="164" t="str">
        <f>IFERROR(__xludf.DUMMYFUNCTION("""COMPUTED_VALUE"""),"Basic Vitality Potion (Defense)")</f>
        <v>Basic Vitality Potion (Defense)</v>
      </c>
      <c r="D117" s="164" t="str">
        <f>IFERROR(__xludf.DUMMYFUNCTION("""COMPUTED_VALUE"""),"The Target gains +2 CS in Defense. [Throwable] [Small] [Consumable]")</f>
        <v>The Target gains +2 CS in Defense. [Throwable] [Small] [Consumable]</v>
      </c>
      <c r="E117" s="165" t="str">
        <f>IFERROR(__xludf.DUMMYFUNCTION("""COMPUTED_VALUE"""),"Fine Weapon")</f>
        <v>Fine Weapon</v>
      </c>
      <c r="F117" s="16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17" s="166"/>
      <c r="H117" s="166"/>
      <c r="I117" s="166"/>
      <c r="J117" s="166"/>
      <c r="K117" s="166"/>
      <c r="L117" s="166"/>
      <c r="M117" s="167" t="str">
        <f>IFERROR(__xludf.DUMMYFUNCTION("""COMPUTED_VALUE"""),"Luxurious Tent [Lethality]")</f>
        <v>Luxurious Tent [Lethality]</v>
      </c>
      <c r="N117" s="167" t="str">
        <f>IFERROR(__xludf.DUMMYFUNCTION("""COMPUTED_VALUE"""),"While you’re on a Journey, you may use this Item to get a normal night’s rest. Up to 4 people may fit in this tent. [Large]")</f>
        <v>While you’re on a Journey, you may use this Item to get a normal night’s rest. Up to 4 people may fit in this tent. [Large]</v>
      </c>
    </row>
    <row r="118">
      <c r="A118" s="163" t="str">
        <f>IFERROR(__xludf.DUMMYFUNCTION("""COMPUTED_VALUE"""),"Fortifying Tools [Lethality]")</f>
        <v>Fortifying Tools [Lethality]</v>
      </c>
      <c r="B118" s="163" t="str">
        <f>IFERROR(__xludf.DUMMYFUNCTION("""COMPUTED_VALUE"""),"This Item may be expended at a Campsite to increase the quality to exceedingly suitable. [Medium] ")</f>
        <v>This Item may be expended at a Campsite to increase the quality to exceedingly suitable. [Medium] </v>
      </c>
      <c r="C118" s="164" t="str">
        <f>IFERROR(__xludf.DUMMYFUNCTION("""COMPUTED_VALUE"""),"Basic Vitality Potion (Evasion)")</f>
        <v>Basic Vitality Potion (Evasion)</v>
      </c>
      <c r="D118" s="164" t="str">
        <f>IFERROR(__xludf.DUMMYFUNCTION("""COMPUTED_VALUE"""),"The Target gains a +3 Modifier to Evasion for the rest of the Scene. [Throwable] [Small] [Consumable]")</f>
        <v>The Target gains a +3 Modifier to Evasion for the rest of the Scene. [Throwable] [Small] [Consumable]</v>
      </c>
      <c r="E118" s="165" t="str">
        <f>IFERROR(__xludf.DUMMYFUNCTION("""COMPUTED_VALUE"""),"Focus Sash")</f>
        <v>Focus Sash</v>
      </c>
      <c r="F118" s="165"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G118" s="166"/>
      <c r="H118" s="166"/>
      <c r="I118" s="166"/>
      <c r="J118" s="166"/>
      <c r="K118" s="166"/>
      <c r="L118" s="166"/>
      <c r="M118" s="167" t="str">
        <f>IFERROR(__xludf.DUMMYFUNCTION("""COMPUTED_VALUE"""),"Map [Lethality]")</f>
        <v>Map [Lethality]</v>
      </c>
      <c r="N118" s="167" t="str">
        <f>IFERROR(__xludf.DUMMYFUNCTION("""COMPUTED_VALUE"""),"While this Item is held by the Wayfarer during a Journey, they may use Gen Edu or Perception instead of Nature Education for Navigation Checks. This is only relevant for areas that the map discloses information for. [Small]")</f>
        <v>While this Item is held by the Wayfarer during a Journey, they may use Gen Edu or Perception instead of Nature Education for Navigation Checks. This is only relevant for areas that the map discloses information for. [Small]</v>
      </c>
    </row>
    <row r="119">
      <c r="A119" s="163" t="str">
        <f>IFERROR(__xludf.DUMMYFUNCTION("""COMPUTED_VALUE"""),"Luxurious Tent [Lethality]")</f>
        <v>Luxurious Tent [Lethality]</v>
      </c>
      <c r="B119" s="163" t="str">
        <f>IFERROR(__xludf.DUMMYFUNCTION("""COMPUTED_VALUE"""),"While you’re on a Journey, you may use this Item to get a normal night’s rest. Up to 4 people may fit in this tent. [Large]")</f>
        <v>While you’re on a Journey, you may use this Item to get a normal night’s rest. Up to 4 people may fit in this tent. [Large]</v>
      </c>
      <c r="C119" s="164" t="str">
        <f>IFERROR(__xludf.DUMMYFUNCTION("""COMPUTED_VALUE"""),"Basic Vitality Potion (Save Checks)")</f>
        <v>Basic Vitality Potion (Save Checks)</v>
      </c>
      <c r="D119" s="164" t="str">
        <f>IFERROR(__xludf.DUMMYFUNCTION("""COMPUTED_VALUE"""),"The Target gains a +2 Modifier to Save Checks for the rest of the Scene. [Throwable] [Small] [Consumable]")</f>
        <v>The Target gains a +2 Modifier to Save Checks for the rest of the Scene. [Throwable] [Small] [Consumable]</v>
      </c>
      <c r="E119" s="165" t="str">
        <f>IFERROR(__xludf.DUMMYFUNCTION("""COMPUTED_VALUE"""),"Heavy Armor")</f>
        <v>Heavy Armor</v>
      </c>
      <c r="F119" s="165"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G119" s="166"/>
      <c r="H119" s="166"/>
      <c r="I119" s="166"/>
      <c r="J119" s="166"/>
      <c r="K119" s="166"/>
      <c r="L119" s="166"/>
      <c r="M119" s="167" t="str">
        <f>IFERROR(__xludf.DUMMYFUNCTION("""COMPUTED_VALUE"""),"Mega Stone")</f>
        <v>Mega Stone</v>
      </c>
      <c r="N119" s="167"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row>
    <row r="120">
      <c r="A120" s="163" t="str">
        <f>IFERROR(__xludf.DUMMYFUNCTION("""COMPUTED_VALUE"""),"Caravan [Lethality]")</f>
        <v>Caravan [Lethality]</v>
      </c>
      <c r="B120" s="163" t="str">
        <f>IFERROR(__xludf.DUMMYFUNCTION("""COMPUTED_VALUE"""),"This Item may be taken on a Journey and doesn’t take up an Inventory Slot. This Item has 20 Inventory Slots that can be filled with Items. In order to take this on a Journey, a Pokemon or Trainer must be the Primary Provisioner, whereas the total Power of"&amp;" all Provisioners is 12 or higher. ")</f>
        <v>This Item may be taken on a Journey and doesn’t take up an Inventory Slot. This Item has 20 Inventory Slots that can be filled with Items. In order to take this on a Journey, a Pokemon or Trainer must be the Primary Provisioner, whereas the total Power of all Provisioners is 12 or higher. </v>
      </c>
      <c r="C120" s="164" t="str">
        <f>IFERROR(__xludf.DUMMYFUNCTION("""COMPUTED_VALUE"""),"Basic Vitality Potion (Special Defense)")</f>
        <v>Basic Vitality Potion (Special Defense)</v>
      </c>
      <c r="D120" s="164" t="str">
        <f>IFERROR(__xludf.DUMMYFUNCTION("""COMPUTED_VALUE"""),"The Target gains +2 CS in Special Defense. [Throwable] [Small] [Consumable]")</f>
        <v>The Target gains +2 CS in Special Defense. [Throwable] [Small] [Consumable]</v>
      </c>
      <c r="E120" s="165" t="str">
        <f>IFERROR(__xludf.DUMMYFUNCTION("""COMPUTED_VALUE"""),"Heavy Backpack")</f>
        <v>Heavy Backpack</v>
      </c>
      <c r="F120" s="165"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c r="G120" s="166"/>
      <c r="H120" s="166"/>
      <c r="I120" s="166"/>
      <c r="J120" s="166"/>
      <c r="K120" s="166"/>
      <c r="L120" s="166"/>
      <c r="M120" s="167" t="str">
        <f>IFERROR(__xludf.DUMMYFUNCTION("""COMPUTED_VALUE"""),"Orange Shard")</f>
        <v>Orange Shard</v>
      </c>
      <c r="N120" s="167"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row>
    <row r="121">
      <c r="A121" s="163" t="str">
        <f>IFERROR(__xludf.DUMMYFUNCTION("""COMPUTED_VALUE"""),"Supply Pack [Lethality]")</f>
        <v>Supply Pack [Lethality]</v>
      </c>
      <c r="B121" s="163" t="str">
        <f>IFERROR(__xludf.DUMMYFUNCTION("""COMPUTED_VALUE"""),"Creatures may target this Item to perform a Supply Check, which involves rolling the Supply Dice. Supply Dice start as a d10. If they roll a 1, the Supply Dice is downgraded one tier (d10 to d8 to d6 to d4, then expended). [Large]")</f>
        <v>Creatures may target this Item to perform a Supply Check, which involves rolling the Supply Dice. Supply Dice start as a d10. If they roll a 1, the Supply Dice is downgraded one tier (d10 to d8 to d6 to d4, then expended). [Large]</v>
      </c>
      <c r="C121" s="164" t="str">
        <f>IFERROR(__xludf.DUMMYFUNCTION("""COMPUTED_VALUE"""),"Basic Vitality Potion (X)")</f>
        <v>Basic Vitality Potion (X)</v>
      </c>
      <c r="D121" s="164" t="str">
        <f>IFERROR(__xludf.DUMMYFUNCTION("""COMPUTED_VALUE"""),"Basic Strength Potions come in different Variations which are determined by the GM. X May be Defense, Special Defense, Evasion or Save Checks. If X is Defense or Special Defense, the Target gains +2 CS in that Stat. If X is Evasion, they gain a +3 Bonus t"&amp;"o Evasion for the rest of the Scene. If X is Save Checks, they gain a +2 Modifier to that Combat Value for the rest of the Scene.  [Throwable] [Small] [Consumable]")</f>
        <v>Basic Strength Potions come in different Variations which are determined by the GM. X May be Defense, Special Defense, Evasion or Save Checks. If X is Defense or Special Defense, the Target gains +2 CS in that Stat. If X is Evasion, they gain a +3 Bonus to Evasion for the rest of the Scene. If X is Save Checks, they gain a +2 Modifier to that Combat Value for the rest of the Scene.  [Throwable] [Small] [Consumable]</v>
      </c>
      <c r="E121" s="165" t="str">
        <f>IFERROR(__xludf.DUMMYFUNCTION("""COMPUTED_VALUE"""),"Heavy Shield")</f>
        <v>Heavy Shield</v>
      </c>
      <c r="F121" s="165"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G121" s="166"/>
      <c r="H121" s="166"/>
      <c r="I121" s="166"/>
      <c r="J121" s="166"/>
      <c r="K121" s="166"/>
      <c r="L121" s="166"/>
      <c r="M121" s="167" t="str">
        <f>IFERROR(__xludf.DUMMYFUNCTION("""COMPUTED_VALUE"""),"Pokeball")</f>
        <v>Pokeball</v>
      </c>
      <c r="N121" s="167" t="str">
        <f>IFERROR(__xludf.DUMMYFUNCTION("""COMPUTED_VALUE"""),"You may Target either a willing Wild Pokemon or an unconscious Wild Pokemon and expend this Item in order to capture them. Once captured, this becomes an Essential Item while the Pokemon is in your Party. A Trainer may by default have up to 3 Pokeballs ca"&amp;"rried as Essential Items at a time to consist of their carried Pokemon/Party. If you were to Capture Pokemon while you have a full Party, the captured Pokemon cannot leave their Pokeball until they are added to your Party. [Small] [Consumable]")</f>
        <v>You may Target either a willing Wild Pokemon or an unconscious Wild Pokemon and expend this Item in order to capture them. Once captured, this becomes an Essential Item while the Pokemon is in your Party. A Trainer may by default have up to 3 Pokeballs carried as Essential Items at a time to consist of their carried Pokemon/Party. If you were to Capture Pokemon while you have a full Party, the captured Pokemon cannot leave their Pokeball until they are added to your Party. [Small] [Consumable]</v>
      </c>
    </row>
    <row r="122">
      <c r="A122" s="163" t="str">
        <f>IFERROR(__xludf.DUMMYFUNCTION("""COMPUTED_VALUE"""),"First Aid Kit [Lethality]")</f>
        <v>First Aid Kit [Lethality]</v>
      </c>
      <c r="B122" s="163" t="str">
        <f>IFERROR(__xludf.DUMMYFUNCTION("""COMPUTED_VALUE"""),"While this Item is in your Inventory, you can use the Downtime (Nursing) Action on another creature. As an Extended Action with around 5 Minutes of time, if you have at least Adept Medicine Edu, you can cure any Physical Affliction. At the end of a Scene "&amp;"where Combat Occured, the user and all Allies restore 2 Ticks of Hit points or 5 if there is also a Mender present. [Medium]")</f>
        <v>While this Item is in your Inventory, you can use the Downtime (Nursing) Action on another creature. As an Extended Action with around 5 Minutes of time, if you have at least Adept Medicine Edu, you can cure any Physical Affliction. At the end of a Scene where Combat Occured, the user and all Allies restore 2 Ticks of Hit points or 5 if there is also a Mender present. [Medium]</v>
      </c>
      <c r="C122" s="164" t="str">
        <f>IFERROR(__xludf.DUMMYFUNCTION("""COMPUTED_VALUE"""),"Blue Shard")</f>
        <v>Blue Shard</v>
      </c>
      <c r="D122" s="164"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c r="E122" s="165" t="str">
        <f>IFERROR(__xludf.DUMMYFUNCTION("""COMPUTED_VALUE"""),"High Quality Heavy Armor")</f>
        <v>High Quality Heavy Armor</v>
      </c>
      <c r="F122" s="165"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G122" s="166"/>
      <c r="H122" s="166"/>
      <c r="I122" s="166"/>
      <c r="J122" s="166"/>
      <c r="K122" s="166"/>
      <c r="L122" s="166"/>
      <c r="M122" s="167" t="str">
        <f>IFERROR(__xludf.DUMMYFUNCTION("""COMPUTED_VALUE"""),"Pokedex")</f>
        <v>Pokedex</v>
      </c>
      <c r="N122" s="167" t="str">
        <f>IFERROR(__xludf.DUMMYFUNCTION("""COMPUTED_VALUE"""),"While in your Inventory, whenever the User performs the Analyze Maneuver, they gain a Boon to any Pokemon Edu Checks they perform as a result. As an Extended Action, the User may Target a Pokemon within 10m with the Pokedex and scan them. Scanning takes a"&amp;" Minute and provides basic information about the species such as Attacks known, diet, habitat, height, ability list, etc. This Item may have additional functionality at your GM's Discretion. [Medium]")</f>
        <v>While in your Inventory, whenever the User performs the Analyze Maneuver, they gain a Boon to any Pokemon Edu Checks they perform as a result. As an Extended Action, the User may Target a Pokemon within 10m with the Pokedex and scan them. Scanning takes a Minute and provides basic information about the species such as Attacks known, diet, habitat, height, ability list, etc. This Item may have additional functionality at your GM's Discretion. [Medium]</v>
      </c>
    </row>
    <row r="123">
      <c r="A123" s="163"/>
      <c r="B123" s="163"/>
      <c r="C123" s="164" t="str">
        <f>IFERROR(__xludf.DUMMYFUNCTION("""COMPUTED_VALUE"""),"Elemental Enchantment")</f>
        <v>Elemental Enchantment</v>
      </c>
      <c r="D123" s="164" t="str">
        <f>IFERROR(__xludf.DUMMYFUNCTION("""COMPUTED_VALUE"""),"When this Item is created, choose a Type. This Item may be expended to Target an [Equipment] Item and grant it an Attack that matches the listed Type. An Item can only benefit from up to two Attack this way. While an Item with an Elemental Enchantment is "&amp;"equipped, the holder may use the chosen Attack as if it were on their Attack List. If it is Damaging, it can also be used as if it were a Weapon Attack. Depending on the Rarity of this Item, you can only grant Attacks from a specific Tier. If it is Common"&amp;", you can only choose a Tier 1 Attack. If it is Rare, you can choose Tier 1 or 2. If it's very Rare, you can choose any Tier. The GM must approve the chosen Attack, if it isn't already chosen. [Consumable]")</f>
        <v>When this Item is created, choose a Type. This Item may be expended to Target an [Equipment] Item and grant it an Attack that matches the listed Type. An Item can only benefit from up to two Attack this way. While an Item with an Elemental Enchantment is equipped, the holder may use the chosen Attack as if it were on their Attack List. If it is Damaging, it can also be used as if it were a Weapon Attack. Depending on the Rarity of this Item, you can only grant Attacks from a specific Tier. If it is Common, you can only choose a Tier 1 Attack. If it is Rare, you can choose Tier 1 or 2. If it's very Rare, you can choose any Tier. The GM must approve the chosen Attack, if it isn't already chosen. [Consumable]</v>
      </c>
      <c r="E123" s="165" t="str">
        <f>IFERROR(__xludf.DUMMYFUNCTION("""COMPUTED_VALUE"""),"High Quality Light Armor")</f>
        <v>High Quality Light Armor</v>
      </c>
      <c r="F123" s="165"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G123" s="166"/>
      <c r="H123" s="166"/>
      <c r="I123" s="166"/>
      <c r="J123" s="166"/>
      <c r="K123" s="166"/>
      <c r="L123" s="166"/>
      <c r="M123" s="167" t="str">
        <f>IFERROR(__xludf.DUMMYFUNCTION("""COMPUTED_VALUE"""),"Pokemon Egg")</f>
        <v>Pokemon Egg</v>
      </c>
      <c r="N123" s="167" t="str">
        <f>IFERROR(__xludf.DUMMYFUNCTION("""COMPUTED_VALUE"""),"When this Item is created, choose a Pokemon Species. At the end of each Game Day (A full set of time phases) and/or as a Downtime Action, roll 2d10 and grant the Egg that many Nurture Points. If you have at least Expert Pokémon Education, instead roll 4d1"&amp;"0. When this reaches 100 Nurture Points, it hatches into a Level 5 Pokemon of that Species. [Medium] ")</f>
        <v>When this Item is created, choose a Pokemon Species. At the end of each Game Day (A full set of time phases) and/or as a Downtime Action, roll 2d10 and grant the Egg that many Nurture Points. If you have at least Expert Pokémon Education, instead roll 4d10. When this reaches 100 Nurture Points, it hatches into a Level 5 Pokemon of that Species. [Medium] </v>
      </c>
    </row>
    <row r="124">
      <c r="A124" s="163"/>
      <c r="B124" s="163"/>
      <c r="C124" s="164" t="str">
        <f>IFERROR(__xludf.DUMMYFUNCTION("""COMPUTED_VALUE"""),"Elemental Essence")</f>
        <v>Elemental Essence</v>
      </c>
      <c r="D124" s="164" t="str">
        <f>IFERROR(__xludf.DUMMYFUNCTION("""COMPUTED_VALUE"""),"When this Item is created, choose a Type. When this Item is expended, the Trainer who expended it gains the Elemental Afffinity Talent for the chosen Type. (This Talent does not take a slot) [Small] [Consumable]")</f>
        <v>When this Item is created, choose a Type. When this Item is expended, the Trainer who expended it gains the Elemental Afffinity Talent for the chosen Type. (This Talent does not take a slot) [Small] [Consumable]</v>
      </c>
      <c r="E124" s="165" t="str">
        <f>IFERROR(__xludf.DUMMYFUNCTION("""COMPUTED_VALUE"""),"Jewelry")</f>
        <v>Jewelry</v>
      </c>
      <c r="F124" s="165" t="str">
        <f>IFERROR(__xludf.DUMMYFUNCTION("""COMPUTED_VALUE"""),"This Item does nothing without being given an effect by the GM. [Small] [Equipment] [Pokemon]")</f>
        <v>This Item does nothing without being given an effect by the GM. [Small] [Equipment] [Pokemon]</v>
      </c>
      <c r="G124" s="166"/>
      <c r="H124" s="166"/>
      <c r="I124" s="166"/>
      <c r="J124" s="166"/>
      <c r="K124" s="166"/>
      <c r="L124" s="166"/>
      <c r="M124" s="167" t="str">
        <f>IFERROR(__xludf.DUMMYFUNCTION("""COMPUTED_VALUE"""),"Pokemon Saddle")</f>
        <v>Pokemon Saddle</v>
      </c>
      <c r="N124" s="167"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row>
    <row r="125">
      <c r="A125" s="163"/>
      <c r="B125" s="163"/>
      <c r="C125" s="164" t="str">
        <f>IFERROR(__xludf.DUMMYFUNCTION("""COMPUTED_VALUE"""),"Elemental Catalyst (Bug)")</f>
        <v>Elemental Catalyst (Bug)</v>
      </c>
      <c r="D125" s="164" t="str">
        <f>IFERROR(__xludf.DUMMYFUNCTION("""COMPUTED_VALUE"""),"When this Item is expended, Target a Willing Pokemon. The Target becomes a Bug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Bug Type Shift of the listed Type and follows the rules under that section to guide how they're altered. They may either choose to add the listed Type (If they only have one Type), or replace one of their existing types with the listed Type. [Medium] [Consumable] </v>
      </c>
      <c r="E125" s="165" t="str">
        <f>IFERROR(__xludf.DUMMYFUNCTION("""COMPUTED_VALUE"""),"Large Gadget")</f>
        <v>Large Gadget</v>
      </c>
      <c r="F125" s="165"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G125" s="166"/>
      <c r="H125" s="166"/>
      <c r="I125" s="166"/>
      <c r="J125" s="166"/>
      <c r="K125" s="166"/>
      <c r="L125" s="166"/>
      <c r="M125" s="167" t="str">
        <f>IFERROR(__xludf.DUMMYFUNCTION("""COMPUTED_VALUE"""),"Pokepuff")</f>
        <v>Pokepuff</v>
      </c>
      <c r="N125" s="167" t="str">
        <f>IFERROR(__xludf.DUMMYFUNCTION("""COMPUTED_VALUE"""),"When expended, choose a Pokemon. The next time they’re Socialized with as a Downtime Action, add 1d6 to the roll (This may exceed 6d6). A Pokemon cannot be under the effects of more than one Pokepuff at a time. This Item also has the effects of Basic Poke"&amp;"food.  [Consumable] [Small]")</f>
        <v>When expended, choose a Pokemon. The next time they’re Socialized with as a Downtime Action, add 1d6 to the roll (This may exceed 6d6). A Pokemon cannot be under the effects of more than one Pokepuff at a time. This Item also has the effects of Basic Pokefood.  [Consumable] [Small]</v>
      </c>
    </row>
    <row r="126">
      <c r="A126" s="163"/>
      <c r="B126" s="163"/>
      <c r="C126" s="164" t="str">
        <f>IFERROR(__xludf.DUMMYFUNCTION("""COMPUTED_VALUE"""),"Elemental Catalyst (Dark)")</f>
        <v>Elemental Catalyst (Dark)</v>
      </c>
      <c r="D126" s="164" t="str">
        <f>IFERROR(__xludf.DUMMYFUNCTION("""COMPUTED_VALUE"""),"When this Item is expended, Target a Willing Pokemon. The Target becomes a Dark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Dark Type Shift of the listed Type and follows the rules under that section to guide how they're altered. They may either choose to add the listed Type (If they only have one Type), or replace one of their existing types with the listed Type. [Medium] [Consumable] </v>
      </c>
      <c r="E126" s="165" t="str">
        <f>IFERROR(__xludf.DUMMYFUNCTION("""COMPUTED_VALUE"""),"Leftovers")</f>
        <v>Leftovers</v>
      </c>
      <c r="F126" s="165"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G126" s="166"/>
      <c r="H126" s="166"/>
      <c r="I126" s="166"/>
      <c r="J126" s="166"/>
      <c r="K126" s="166"/>
      <c r="L126" s="166"/>
      <c r="M126" s="167" t="str">
        <f>IFERROR(__xludf.DUMMYFUNCTION("""COMPUTED_VALUE"""),"Precision Lens")</f>
        <v>Precision Lens</v>
      </c>
      <c r="N126" s="167" t="str">
        <f>IFERROR(__xludf.DUMMYFUNCTION("""COMPUTED_VALUE"""),"While this Item is Equipped, the user has +2 to Accuracy. [Equipment] [Medium] [Pokemon]")</f>
        <v>While this Item is Equipped, the user has +2 to Accuracy. [Equipment] [Medium] [Pokemon]</v>
      </c>
    </row>
    <row r="127">
      <c r="A127" s="163"/>
      <c r="B127" s="163"/>
      <c r="C127" s="164" t="str">
        <f>IFERROR(__xludf.DUMMYFUNCTION("""COMPUTED_VALUE"""),"Elemental Catalyst (Dragon)")</f>
        <v>Elemental Catalyst (Dragon)</v>
      </c>
      <c r="D127" s="164" t="str">
        <f>IFERROR(__xludf.DUMMYFUNCTION("""COMPUTED_VALUE"""),"When this Item is expended, Target a Willing Pokemon. The Target becomes a Dragon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Dragon Type Shift of the listed Type and follows the rules under that section to guide how they're altered. They may either choose to add the listed Type (If they only have one Type), or replace one of their existing types with the listed Type. [Medium] [Consumable] </v>
      </c>
      <c r="E127" s="165" t="str">
        <f>IFERROR(__xludf.DUMMYFUNCTION("""COMPUTED_VALUE"""),"Legendary Weapon")</f>
        <v>Legendary Weapon</v>
      </c>
      <c r="F127" s="16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27" s="166"/>
      <c r="H127" s="166"/>
      <c r="I127" s="166"/>
      <c r="J127" s="166"/>
      <c r="K127" s="166"/>
      <c r="L127" s="166"/>
      <c r="M127" s="167" t="str">
        <f>IFERROR(__xludf.DUMMYFUNCTION("""COMPUTED_VALUE"""),"Protoball")</f>
        <v>Protoball</v>
      </c>
      <c r="N127" s="167" t="str">
        <f>IFERROR(__xludf.DUMMYFUNCTION("""COMPUTED_VALUE"""),"This Item is treated as a Pokeball for the sake of your Jailbreaker Features but cannot Capture Pokemon. This costs $100 to create. [Resource] [Consumable]")</f>
        <v>This Item is treated as a Pokeball for the sake of your Jailbreaker Features but cannot Capture Pokemon. This costs $100 to create. [Resource] [Consumable]</v>
      </c>
    </row>
    <row r="128">
      <c r="A128" s="163"/>
      <c r="B128" s="163"/>
      <c r="C128" s="164" t="str">
        <f>IFERROR(__xludf.DUMMYFUNCTION("""COMPUTED_VALUE"""),"Elemental Catalyst (Electric)")</f>
        <v>Elemental Catalyst (Electric)</v>
      </c>
      <c r="D128" s="164" t="str">
        <f>IFERROR(__xludf.DUMMYFUNCTION("""COMPUTED_VALUE"""),"When this Item is expended, Target a Willing Pokemon. The Target becomes an Electric Type Shift of the listed Type and follows the rules under that section to guide how they're altered. They may either choose to add the listed Type (If they only have one "&amp;"Type), or replace one of their existing types with the listed Type. [Medium] [Consumable] ")</f>
        <v>When this Item is expended, Target a Willing Pokemon. The Target becomes an Electric Type Shift of the listed Type and follows the rules under that section to guide how they're altered. They may either choose to add the listed Type (If they only have one Type), or replace one of their existing types with the listed Type. [Medium] [Consumable] </v>
      </c>
      <c r="E128" s="165" t="str">
        <f>IFERROR(__xludf.DUMMYFUNCTION("""COMPUTED_VALUE"""),"Light Armor")</f>
        <v>Light Armor</v>
      </c>
      <c r="F128" s="165"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G128" s="166"/>
      <c r="H128" s="166"/>
      <c r="I128" s="166"/>
      <c r="J128" s="166"/>
      <c r="K128" s="166"/>
      <c r="L128" s="166"/>
      <c r="M128" s="167" t="str">
        <f>IFERROR(__xludf.DUMMYFUNCTION("""COMPUTED_VALUE"""),"Psionic Vest")</f>
        <v>Psionic Vest</v>
      </c>
      <c r="N128" s="167"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row>
    <row r="129">
      <c r="A129" s="163"/>
      <c r="B129" s="163"/>
      <c r="C129" s="164" t="str">
        <f>IFERROR(__xludf.DUMMYFUNCTION("""COMPUTED_VALUE"""),"Elemental Catalyst (Fairy)")</f>
        <v>Elemental Catalyst (Fairy)</v>
      </c>
      <c r="D129" s="164" t="str">
        <f>IFERROR(__xludf.DUMMYFUNCTION("""COMPUTED_VALUE"""),"When this Item is expended, Target a Willing Pokemon. The Target becomes a Fairy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Fairy Type Shift of the listed Type and follows the rules under that section to guide how they're altered. They may either choose to add the listed Type (If they only have one Type), or replace one of their existing types with the listed Type. [Medium] [Consumable] </v>
      </c>
      <c r="E129" s="165" t="str">
        <f>IFERROR(__xludf.DUMMYFUNCTION("""COMPUTED_VALUE"""),"Light Backpack")</f>
        <v>Light Backpack</v>
      </c>
      <c r="F129" s="165"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c r="G129" s="166"/>
      <c r="H129" s="166"/>
      <c r="I129" s="166"/>
      <c r="J129" s="166"/>
      <c r="K129" s="166"/>
      <c r="L129" s="166"/>
      <c r="M129" s="167" t="str">
        <f>IFERROR(__xludf.DUMMYFUNCTION("""COMPUTED_VALUE"""),"Quick Boots")</f>
        <v>Quick Boots</v>
      </c>
      <c r="N129" s="167"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row>
    <row r="130">
      <c r="A130" s="163"/>
      <c r="B130" s="163"/>
      <c r="C130" s="164" t="str">
        <f>IFERROR(__xludf.DUMMYFUNCTION("""COMPUTED_VALUE"""),"Elemental Catalyst (Fighting)")</f>
        <v>Elemental Catalyst (Fighting)</v>
      </c>
      <c r="D130" s="164" t="str">
        <f>IFERROR(__xludf.DUMMYFUNCTION("""COMPUTED_VALUE"""),"When this Item is expended, Target a Willing Pokemon. The Target becomes a Fighting Type Shift of the listed Type and follows the rules under that section to guide how they're altered. They may either choose to add the listed Type (If they only have one T"&amp;"ype), or replace one of their existing types with the listed Type. [Medium] [Consumable] ")</f>
        <v>When this Item is expended, Target a Willing Pokemon. The Target becomes a Fighting Type Shift of the listed Type and follows the rules under that section to guide how they're altered. They may either choose to add the listed Type (If they only have one Type), or replace one of their existing types with the listed Type. [Medium] [Consumable] </v>
      </c>
      <c r="E130" s="165" t="str">
        <f>IFERROR(__xludf.DUMMYFUNCTION("""COMPUTED_VALUE"""),"Lucky Charm")</f>
        <v>Lucky Charm</v>
      </c>
      <c r="F130" s="165" t="str">
        <f>IFERROR(__xludf.DUMMYFUNCTION("""COMPUTED_VALUE"""),"While this Item is Equipped, the user rerolls any Accuracy Roll that was a natural 1. [Equipment] [Medium] [Pokemon]")</f>
        <v>While this Item is Equipped, the user rerolls any Accuracy Roll that was a natural 1. [Equipment] [Medium] [Pokemon]</v>
      </c>
      <c r="G130" s="166"/>
      <c r="H130" s="166"/>
      <c r="I130" s="166"/>
      <c r="J130" s="166"/>
      <c r="K130" s="166"/>
      <c r="L130" s="166"/>
      <c r="M130" s="167" t="str">
        <f>IFERROR(__xludf.DUMMYFUNCTION("""COMPUTED_VALUE"""),"Quick Claw")</f>
        <v>Quick Claw</v>
      </c>
      <c r="N130" s="167"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row>
    <row r="131">
      <c r="A131" s="163"/>
      <c r="B131" s="163"/>
      <c r="C131" s="164" t="str">
        <f>IFERROR(__xludf.DUMMYFUNCTION("""COMPUTED_VALUE"""),"Elemental Catalyst (Fire)")</f>
        <v>Elemental Catalyst (Fire)</v>
      </c>
      <c r="D131" s="164" t="str">
        <f>IFERROR(__xludf.DUMMYFUNCTION("""COMPUTED_VALUE"""),"When this Item is expended, Target a Willing Pokemon. The Target becomes a Fire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Fire Type Shift of the listed Type and follows the rules under that section to guide how they're altered. They may either choose to add the listed Type (If they only have one Type), or replace one of their existing types with the listed Type. [Medium] [Consumable] </v>
      </c>
      <c r="E131" s="165" t="str">
        <f>IFERROR(__xludf.DUMMYFUNCTION("""COMPUTED_VALUE"""),"Mega Stone")</f>
        <v>Mega Stone</v>
      </c>
      <c r="F131" s="165"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c r="G131" s="166"/>
      <c r="H131" s="166"/>
      <c r="I131" s="166"/>
      <c r="J131" s="166"/>
      <c r="K131" s="166"/>
      <c r="L131" s="166"/>
      <c r="M131" s="167" t="str">
        <f>IFERROR(__xludf.DUMMYFUNCTION("""COMPUTED_VALUE"""),"Ranger Styler")</f>
        <v>Ranger Styler</v>
      </c>
      <c r="N131" s="167"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row>
    <row r="132">
      <c r="A132" s="163"/>
      <c r="B132" s="163"/>
      <c r="C132" s="164" t="str">
        <f>IFERROR(__xludf.DUMMYFUNCTION("""COMPUTED_VALUE"""),"Elemental Catalyst (Flying)")</f>
        <v>Elemental Catalyst (Flying)</v>
      </c>
      <c r="D132" s="164" t="str">
        <f>IFERROR(__xludf.DUMMYFUNCTION("""COMPUTED_VALUE"""),"When this Item is expended, Target a Willing Pokemon. The Target becomes a Flying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Flying Type Shift of the listed Type and follows the rules under that section to guide how they're altered. They may either choose to add the listed Type (If they only have one Type), or replace one of their existing types with the listed Type. [Medium] [Consumable] </v>
      </c>
      <c r="E132" s="165" t="str">
        <f>IFERROR(__xludf.DUMMYFUNCTION("""COMPUTED_VALUE"""),"Pokemon Saddle")</f>
        <v>Pokemon Saddle</v>
      </c>
      <c r="F132" s="165"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G132" s="166"/>
      <c r="H132" s="166"/>
      <c r="I132" s="166"/>
      <c r="J132" s="166"/>
      <c r="K132" s="166"/>
      <c r="L132" s="166"/>
      <c r="M132" s="167" t="str">
        <f>IFERROR(__xludf.DUMMYFUNCTION("""COMPUTED_VALUE"""),"Rare Candy")</f>
        <v>Rare Candy</v>
      </c>
      <c r="N132" s="167" t="str">
        <f>IFERROR(__xludf.DUMMYFUNCTION("""COMPUTED_VALUE"""),"A Trainer or Pokemon may expend this Item to gain +3 SP and may gain benefits as if they were Targeted by a Training Downtime Action. [Small] [Consumable]")</f>
        <v>A Trainer or Pokemon may expend this Item to gain +3 SP and may gain benefits as if they were Targeted by a Training Downtime Action. [Small] [Consumable]</v>
      </c>
    </row>
    <row r="133">
      <c r="A133" s="163"/>
      <c r="B133" s="163"/>
      <c r="C133" s="164" t="str">
        <f>IFERROR(__xludf.DUMMYFUNCTION("""COMPUTED_VALUE"""),"Elemental Catalyst (Ghost)")</f>
        <v>Elemental Catalyst (Ghost)</v>
      </c>
      <c r="D133" s="164" t="str">
        <f>IFERROR(__xludf.DUMMYFUNCTION("""COMPUTED_VALUE"""),"When this Item is expended, Target a Willing Pokemon. The Target becomes a Ghost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Ghost Type Shift of the listed Type and follows the rules under that section to guide how they're altered. They may either choose to add the listed Type (If they only have one Type), or replace one of their existing types with the listed Type. [Medium] [Consumable] </v>
      </c>
      <c r="E133" s="165" t="str">
        <f>IFERROR(__xludf.DUMMYFUNCTION("""COMPUTED_VALUE"""),"Precision Lens")</f>
        <v>Precision Lens</v>
      </c>
      <c r="F133" s="165" t="str">
        <f>IFERROR(__xludf.DUMMYFUNCTION("""COMPUTED_VALUE"""),"While this Item is Equipped, the user has +2 to Accuracy. [Equipment] [Medium] [Pokemon]")</f>
        <v>While this Item is Equipped, the user has +2 to Accuracy. [Equipment] [Medium] [Pokemon]</v>
      </c>
      <c r="G133" s="166"/>
      <c r="H133" s="166"/>
      <c r="I133" s="166"/>
      <c r="J133" s="166"/>
      <c r="K133" s="166"/>
      <c r="L133" s="166"/>
      <c r="M133" s="167" t="str">
        <f>IFERROR(__xludf.DUMMYFUNCTION("""COMPUTED_VALUE"""),"Rations [Lethality]")</f>
        <v>Rations [Lethality]</v>
      </c>
      <c r="N133" s="167" t="str">
        <f>IFERROR(__xludf.DUMMYFUNCTION("""COMPUTED_VALUE"""),"When this Item is purchased or created, choose a Diet. Creatures that can consume resources of this diet may expend this Item to fulfill their hunger requirement without rolling a Supply Check. [Consumable] [Small]")</f>
        <v>When this Item is purchased or created, choose a Diet. Creatures that can consume resources of this diet may expend this Item to fulfill their hunger requirement without rolling a Supply Check. [Consumable] [Small]</v>
      </c>
    </row>
    <row r="134">
      <c r="A134" s="163"/>
      <c r="B134" s="163"/>
      <c r="C134" s="164" t="str">
        <f>IFERROR(__xludf.DUMMYFUNCTION("""COMPUTED_VALUE"""),"Elemental Catalyst (Grass)")</f>
        <v>Elemental Catalyst (Grass)</v>
      </c>
      <c r="D134" s="164" t="str">
        <f>IFERROR(__xludf.DUMMYFUNCTION("""COMPUTED_VALUE"""),"When this Item is expended, Target a Willing Pokemon. The Target becomes a Grass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Grass Type Shift of the listed Type and follows the rules under that section to guide how they're altered. They may either choose to add the listed Type (If they only have one Type), or replace one of their existing types with the listed Type. [Medium] [Consumable] </v>
      </c>
      <c r="E134" s="165" t="str">
        <f>IFERROR(__xludf.DUMMYFUNCTION("""COMPUTED_VALUE"""),"Psionic Vest")</f>
        <v>Psionic Vest</v>
      </c>
      <c r="F134" s="165"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G134" s="166"/>
      <c r="H134" s="166"/>
      <c r="I134" s="166"/>
      <c r="J134" s="166"/>
      <c r="K134" s="166"/>
      <c r="L134" s="166"/>
      <c r="M134" s="167" t="str">
        <f>IFERROR(__xludf.DUMMYFUNCTION("""COMPUTED_VALUE"""),"Razor Claw")</f>
        <v>Razor Claw</v>
      </c>
      <c r="N134" s="167"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row>
    <row r="135">
      <c r="A135" s="163"/>
      <c r="B135" s="163"/>
      <c r="C135" s="164" t="str">
        <f>IFERROR(__xludf.DUMMYFUNCTION("""COMPUTED_VALUE"""),"Elemental Catalyst (Ground)")</f>
        <v>Elemental Catalyst (Ground)</v>
      </c>
      <c r="D135" s="164" t="str">
        <f>IFERROR(__xludf.DUMMYFUNCTION("""COMPUTED_VALUE"""),"When this Item is expended, Target a Willing Pokemon. The Target becomes a Ground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Ground Type Shift of the listed Type and follows the rules under that section to guide how they're altered. They may either choose to add the listed Type (If they only have one Type), or replace one of their existing types with the listed Type. [Medium] [Consumable] </v>
      </c>
      <c r="E135" s="165" t="str">
        <f>IFERROR(__xludf.DUMMYFUNCTION("""COMPUTED_VALUE"""),"Quick Boots")</f>
        <v>Quick Boots</v>
      </c>
      <c r="F135" s="165"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G135" s="166"/>
      <c r="H135" s="166"/>
      <c r="I135" s="166"/>
      <c r="J135" s="166"/>
      <c r="K135" s="166"/>
      <c r="L135" s="166"/>
      <c r="M135" s="167" t="str">
        <f>IFERROR(__xludf.DUMMYFUNCTION("""COMPUTED_VALUE"""),"Red Shard")</f>
        <v>Red Shard</v>
      </c>
      <c r="N135" s="167"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row>
    <row r="136">
      <c r="A136" s="163"/>
      <c r="B136" s="163"/>
      <c r="C136" s="164" t="str">
        <f>IFERROR(__xludf.DUMMYFUNCTION("""COMPUTED_VALUE"""),"Elemental Catalyst (Ice)")</f>
        <v>Elemental Catalyst (Ice)</v>
      </c>
      <c r="D136" s="164" t="str">
        <f>IFERROR(__xludf.DUMMYFUNCTION("""COMPUTED_VALUE"""),"When this Item is expended, Target a Willing Pokemon. The Target becomes an Ice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an Ice Type Shift of the listed Type and follows the rules under that section to guide how they're altered. They may either choose to add the listed Type (If they only have one Type), or replace one of their existing types with the listed Type. [Medium] [Consumable] </v>
      </c>
      <c r="E136" s="165" t="str">
        <f>IFERROR(__xludf.DUMMYFUNCTION("""COMPUTED_VALUE"""),"Quick Claw")</f>
        <v>Quick Claw</v>
      </c>
      <c r="F136" s="165"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G136" s="166"/>
      <c r="H136" s="166"/>
      <c r="I136" s="166"/>
      <c r="J136" s="166"/>
      <c r="K136" s="166"/>
      <c r="L136" s="166"/>
      <c r="M136" s="167" t="str">
        <f>IFERROR(__xludf.DUMMYFUNCTION("""COMPUTED_VALUE"""),"Revenge Band")</f>
        <v>Revenge Band</v>
      </c>
      <c r="N136" s="167"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row>
    <row r="137">
      <c r="A137" s="163"/>
      <c r="B137" s="163"/>
      <c r="C137" s="164" t="str">
        <f>IFERROR(__xludf.DUMMYFUNCTION("""COMPUTED_VALUE"""),"Elemental Catalyst (Normal)")</f>
        <v>Elemental Catalyst (Normal)</v>
      </c>
      <c r="D137" s="164" t="str">
        <f>IFERROR(__xludf.DUMMYFUNCTION("""COMPUTED_VALUE"""),"When this Item is expended, Target a Willing Pokemon. The Target becomes a Normal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Normal Type Shift of the listed Type and follows the rules under that section to guide how they're altered. They may either choose to add the listed Type (If they only have one Type), or replace one of their existing types with the listed Type. [Medium] [Consumable] </v>
      </c>
      <c r="E137" s="165" t="str">
        <f>IFERROR(__xludf.DUMMYFUNCTION("""COMPUTED_VALUE"""),"Ranger Styler")</f>
        <v>Ranger Styler</v>
      </c>
      <c r="F137" s="165"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G137" s="166"/>
      <c r="H137" s="166"/>
      <c r="I137" s="166"/>
      <c r="J137" s="166"/>
      <c r="K137" s="166"/>
      <c r="L137" s="166"/>
      <c r="M137" s="167" t="str">
        <f>IFERROR(__xludf.DUMMYFUNCTION("""COMPUTED_VALUE"""),"Rocky Helmet")</f>
        <v>Rocky Helmet</v>
      </c>
      <c r="N137" s="167"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row>
    <row r="138">
      <c r="A138" s="163"/>
      <c r="B138" s="163"/>
      <c r="C138" s="164" t="str">
        <f>IFERROR(__xludf.DUMMYFUNCTION("""COMPUTED_VALUE"""),"Elemental Catalyst (Poison)")</f>
        <v>Elemental Catalyst (Poison)</v>
      </c>
      <c r="D138" s="164" t="str">
        <f>IFERROR(__xludf.DUMMYFUNCTION("""COMPUTED_VALUE"""),"When this Item is expended, Target a Willing Pokemon. The Target becomes a Poison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Poison Type Shift of the listed Type and follows the rules under that section to guide how they're altered. They may either choose to add the listed Type (If they only have one Type), or replace one of their existing types with the listed Type. [Medium] [Consumable] </v>
      </c>
      <c r="E138" s="165" t="str">
        <f>IFERROR(__xludf.DUMMYFUNCTION("""COMPUTED_VALUE"""),"Razor Claw")</f>
        <v>Razor Claw</v>
      </c>
      <c r="F138" s="165"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G138" s="166"/>
      <c r="H138" s="166"/>
      <c r="I138" s="166"/>
      <c r="J138" s="166"/>
      <c r="K138" s="166"/>
      <c r="L138" s="166"/>
      <c r="M138" s="167" t="str">
        <f>IFERROR(__xludf.DUMMYFUNCTION("""COMPUTED_VALUE"""),"Scope Lens")</f>
        <v>Scope Lens</v>
      </c>
      <c r="N138" s="167" t="str">
        <f>IFERROR(__xludf.DUMMYFUNCTION("""COMPUTED_VALUE"""),"While this Item is Equipped, the user has +1 to Critical Hit Ranges. [Equipment] [Medium] [Pokemon]")</f>
        <v>While this Item is Equipped, the user has +1 to Critical Hit Ranges. [Equipment] [Medium] [Pokemon]</v>
      </c>
    </row>
    <row r="139">
      <c r="A139" s="163"/>
      <c r="B139" s="163"/>
      <c r="C139" s="164" t="str">
        <f>IFERROR(__xludf.DUMMYFUNCTION("""COMPUTED_VALUE"""),"Elemental Catalyst (Psychic)")</f>
        <v>Elemental Catalyst (Psychic)</v>
      </c>
      <c r="D139" s="164" t="str">
        <f>IFERROR(__xludf.DUMMYFUNCTION("""COMPUTED_VALUE"""),"When this Item is expended, Target a Willing Pokemon. The Target becomes a Psychic Type Shift of the listed Type and follows the rules under that section to guide how they're altered. They may either choose to add the listed Type (If they only have one Ty"&amp;"pe), or replace one of their existing types with the listed Type. [Medium] [Consumable] ")</f>
        <v>When this Item is expended, Target a Willing Pokemon. The Target becomes a Psychic Type Shift of the listed Type and follows the rules under that section to guide how they're altered. They may either choose to add the listed Type (If they only have one Type), or replace one of their existing types with the listed Type. [Medium] [Consumable] </v>
      </c>
      <c r="E139" s="165" t="str">
        <f>IFERROR(__xludf.DUMMYFUNCTION("""COMPUTED_VALUE"""),"Revenge Band")</f>
        <v>Revenge Band</v>
      </c>
      <c r="F139" s="165"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G139" s="166"/>
      <c r="H139" s="166"/>
      <c r="I139" s="166"/>
      <c r="J139" s="166"/>
      <c r="K139" s="166"/>
      <c r="L139" s="166"/>
      <c r="M139" s="167" t="str">
        <f>IFERROR(__xludf.DUMMYFUNCTION("""COMPUTED_VALUE"""),"Seed Bag")</f>
        <v>Seed Bag</v>
      </c>
      <c r="N139" s="167"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row>
    <row r="140">
      <c r="A140" s="163"/>
      <c r="B140" s="163"/>
      <c r="C140" s="164" t="str">
        <f>IFERROR(__xludf.DUMMYFUNCTION("""COMPUTED_VALUE"""),"Elemental Catalyst (Rock)")</f>
        <v>Elemental Catalyst (Rock)</v>
      </c>
      <c r="D140" s="164" t="str">
        <f>IFERROR(__xludf.DUMMYFUNCTION("""COMPUTED_VALUE"""),"When this Item is expended, Target a Willing Pokemon. The Target becomes a Rock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Rock Type Shift of the listed Type and follows the rules under that section to guide how they're altered. They may either choose to add the listed Type (If they only have one Type), or replace one of their existing types with the listed Type. [Medium] [Consumable] </v>
      </c>
      <c r="E140" s="165" t="str">
        <f>IFERROR(__xludf.DUMMYFUNCTION("""COMPUTED_VALUE"""),"Rocky Helmet")</f>
        <v>Rocky Helmet</v>
      </c>
      <c r="F140" s="165"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G140" s="166"/>
      <c r="H140" s="166"/>
      <c r="I140" s="166"/>
      <c r="J140" s="166"/>
      <c r="K140" s="166"/>
      <c r="L140" s="166"/>
      <c r="M140" s="167" t="str">
        <f>IFERROR(__xludf.DUMMYFUNCTION("""COMPUTED_VALUE"""),"Sentry Rune [Occult]")</f>
        <v>Sentry Rune [Occult]</v>
      </c>
      <c r="N140" s="167" t="str">
        <f>IFERROR(__xludf.DUMMYFUNCTION("""COMPUTED_VALUE"""),"Cost: 2 Counters  
Effect: This Rune may be inscribed onto the surface of any object. After a minute of channeling, you may select a Sentry Rune and see into the surrounding area as if you were in the same area as the Rune. The only sense you experience i"&amp;"s sight, however at the cost of 1 SP each, you may experience a different sense, like hearing what is going on near the Rune. While you are channeling a Rune this way, it lights up. This can only be used by a Rune Master [Small] [Consumable]
Advanced: You"&amp;" do not need to expend SP to experience all senses through the Sentry Rune")</f>
        <v>Cost: 2 Counters  
Effect: This Rune may be inscribed onto the surface of any object. After a minute of channeling, you may select a Sentry Rune and see into the surrounding area as if you were in the same area as the Rune. The only sense you experience is sight, however at the cost of 1 SP each, you may experience a different sense, like hearing what is going on near the Rune. While you are channeling a Rune this way, it lights up. This can only be used by a Rune Master [Small] [Consumable]
Advanced: You do not need to expend SP to experience all senses through the Sentry Rune</v>
      </c>
    </row>
    <row r="141">
      <c r="A141" s="163"/>
      <c r="B141" s="163"/>
      <c r="C141" s="164" t="str">
        <f>IFERROR(__xludf.DUMMYFUNCTION("""COMPUTED_VALUE"""),"Elemental Catalyst (Steel)")</f>
        <v>Elemental Catalyst (Steel)</v>
      </c>
      <c r="D141" s="164" t="str">
        <f>IFERROR(__xludf.DUMMYFUNCTION("""COMPUTED_VALUE"""),"When this Item is expended, Target a Willing Pokemon. The Target becomes a Steel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Steel Type Shift of the listed Type and follows the rules under that section to guide how they're altered. They may either choose to add the listed Type (If they only have one Type), or replace one of their existing types with the listed Type. [Medium] [Consumable] </v>
      </c>
      <c r="E141" s="165" t="str">
        <f>IFERROR(__xludf.DUMMYFUNCTION("""COMPUTED_VALUE"""),"Scope Lens")</f>
        <v>Scope Lens</v>
      </c>
      <c r="F141" s="165" t="str">
        <f>IFERROR(__xludf.DUMMYFUNCTION("""COMPUTED_VALUE"""),"While this Item is Equipped, the user has +1 to Critical Hit Ranges. [Equipment] [Medium] [Pokemon]")</f>
        <v>While this Item is Equipped, the user has +1 to Critical Hit Ranges. [Equipment] [Medium] [Pokemon]</v>
      </c>
      <c r="G141" s="166"/>
      <c r="H141" s="166"/>
      <c r="I141" s="166"/>
      <c r="J141" s="166"/>
      <c r="K141" s="166"/>
      <c r="L141" s="166"/>
      <c r="M141" s="167" t="str">
        <f>IFERROR(__xludf.DUMMYFUNCTION("""COMPUTED_VALUE"""),"Simple Poultice")</f>
        <v>Simple Poultice</v>
      </c>
      <c r="N141" s="167" t="str">
        <f>IFERROR(__xludf.DUMMYFUNCTION("""COMPUTED_VALUE"""),"Choose one of the following Effects to apply to an Adjacent Target. [Small] [Consumable]
» They restore 2 Ticks of Hit Points or 50 HP, whichever is higher. 
» They are cured of 1 Status Affliction of your choice. ")</f>
        <v>Choose one of the following Effects to apply to an Adjacent Target. [Small] [Consumable]
» They restore 2 Ticks of Hit Points or 50 HP, whichever is higher. 
» They are cured of 1 Status Affliction of your choice. </v>
      </c>
    </row>
    <row r="142">
      <c r="A142" s="163"/>
      <c r="B142" s="163"/>
      <c r="C142" s="164" t="str">
        <f>IFERROR(__xludf.DUMMYFUNCTION("""COMPUTED_VALUE"""),"Elemental Catalyst (Water)")</f>
        <v>Elemental Catalyst (Water)</v>
      </c>
      <c r="D142" s="164" t="str">
        <f>IFERROR(__xludf.DUMMYFUNCTION("""COMPUTED_VALUE"""),"When this Item is expended, Target a Willing Pokemon. The Target becomes a Water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Water Type Shift of the listed Type and follows the rules under that section to guide how they're altered. They may either choose to add the listed Type (If they only have one Type), or replace one of their existing types with the listed Type. [Medium] [Consumable] </v>
      </c>
      <c r="E142" s="165" t="str">
        <f>IFERROR(__xludf.DUMMYFUNCTION("""COMPUTED_VALUE"""),"Seed Bag")</f>
        <v>Seed Bag</v>
      </c>
      <c r="F142" s="165"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c r="G142" s="166"/>
      <c r="H142" s="166"/>
      <c r="I142" s="166"/>
      <c r="J142" s="166"/>
      <c r="K142" s="166"/>
      <c r="L142" s="166"/>
      <c r="M142" s="167" t="str">
        <f>IFERROR(__xludf.DUMMYFUNCTION("""COMPUTED_VALUE"""),"Simple Weapon")</f>
        <v>Simple Weapon</v>
      </c>
      <c r="N142" s="16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43">
      <c r="A143" s="163"/>
      <c r="B143" s="163"/>
      <c r="C143" s="164" t="str">
        <f>IFERROR(__xludf.DUMMYFUNCTION("""COMPUTED_VALUE"""),"Elemental Catalyst (X)")</f>
        <v>Elemental Catalyst (X)</v>
      </c>
      <c r="D143" s="164" t="str">
        <f>IFERROR(__xludf.DUMMYFUNCTION("""COMPUTED_VALUE"""),"When this Item is created, (X) is replaced with a Type of the GM’s choosing. When this Item is expended, Target a Willing Pokemon. The Target becomes a Type Shift of the listed Type and follows the rules under that section to guide how they're altered. Th"&amp;"ey may either choose to add the listed Type (If they only have one Type), or replace one of their existing types with the listed Type. [Medium] [Consumable] ")</f>
        <v>When this Item is created, (X) is replaced with a Type of the GM’s choosing. When this Item is expended, Target a Willing Pokemon. The Target becomes a Type Shift of the listed Type and follows the rules under that section to guide how they're altered. They may either choose to add the listed Type (If they only have one Type), or replace one of their existing types with the listed Type. [Medium] [Consumable] </v>
      </c>
      <c r="E143" s="165" t="str">
        <f>IFERROR(__xludf.DUMMYFUNCTION("""COMPUTED_VALUE"""),"Simple Weapon")</f>
        <v>Simple Weapon</v>
      </c>
      <c r="F143" s="16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43" s="166"/>
      <c r="H143" s="166"/>
      <c r="I143" s="166"/>
      <c r="J143" s="166"/>
      <c r="K143" s="166"/>
      <c r="L143" s="166"/>
      <c r="M143" s="167" t="str">
        <f>IFERROR(__xludf.DUMMYFUNCTION("""COMPUTED_VALUE"""),"Sleeping Bag")</f>
        <v>Sleeping Bag</v>
      </c>
      <c r="N143" s="167" t="str">
        <f>IFERROR(__xludf.DUMMYFUNCTION("""COMPUTED_VALUE"""),"While you're on a Journey, you may use this Item to get a normal night’s rest. Up to 1 person may fit in one Sleeping Bag. [Medium] ")</f>
        <v>While you're on a Journey, you may use this Item to get a normal night’s rest. Up to 1 person may fit in one Sleeping Bag. [Medium] </v>
      </c>
    </row>
    <row r="144">
      <c r="A144" s="163"/>
      <c r="B144" s="163"/>
      <c r="C144" s="164" t="str">
        <f>IFERROR(__xludf.DUMMYFUNCTION("""COMPUTED_VALUE"""),"Evolution Stone")</f>
        <v>Evolution Stone</v>
      </c>
      <c r="D144" s="164" t="str">
        <f>IFERROR(__xludf.DUMMYFUNCTION("""COMPUTED_VALUE"""),"This Item can be expended by Targeting a Pokemon who isn't fully evolved, but is within 10 Levels of reaching one of its evolutions. The Targeted Pokemon evolves, learns a Tier 1 Tutor Attack, then this Item is expended. [Medium] [Consumable]")</f>
        <v>This Item can be expended by Targeting a Pokemon who isn't fully evolved, but is within 10 Levels of reaching one of its evolutions. The Targeted Pokemon evolves, learns a Tier 1 Tutor Attack, then this Item is expended. [Medium] [Consumable]</v>
      </c>
      <c r="E144" s="165" t="str">
        <f>IFERROR(__xludf.DUMMYFUNCTION("""COMPUTED_VALUE"""),"Small Gadget")</f>
        <v>Small Gadget</v>
      </c>
      <c r="F144" s="165"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c r="G144" s="166"/>
      <c r="H144" s="166"/>
      <c r="I144" s="166"/>
      <c r="J144" s="166"/>
      <c r="K144" s="166"/>
      <c r="L144" s="166"/>
      <c r="M144" s="167" t="str">
        <f>IFERROR(__xludf.DUMMYFUNCTION("""COMPUTED_VALUE"""),"Small Gadget")</f>
        <v>Small Gadget</v>
      </c>
      <c r="N144" s="167"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row>
    <row r="145">
      <c r="A145" s="163"/>
      <c r="B145" s="163"/>
      <c r="C145" s="164" t="str">
        <f>IFERROR(__xludf.DUMMYFUNCTION("""COMPUTED_VALUE"""),"Greater Healing Potion")</f>
        <v>Greater Healing Potion</v>
      </c>
      <c r="D145" s="164"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v>
      </c>
      <c r="E145" s="165" t="str">
        <f>IFERROR(__xludf.DUMMYFUNCTION("""COMPUTED_VALUE"""),"Stat Booster (Attack)")</f>
        <v>Stat Booster (Attack)</v>
      </c>
      <c r="F145" s="165" t="str">
        <f>IFERROR(__xludf.DUMMYFUNCTION("""COMPUTED_VALUE"""),"While this Item is Equipped, the user's Default Attack CS Value is set to +1 CS. [Equipment] [Large] [Pokemon]")</f>
        <v>While this Item is Equipped, the user's Default Attack CS Value is set to +1 CS. [Equipment] [Large] [Pokemon]</v>
      </c>
      <c r="G145" s="166"/>
      <c r="H145" s="166"/>
      <c r="I145" s="166"/>
      <c r="J145" s="166"/>
      <c r="K145" s="166"/>
      <c r="L145" s="166"/>
      <c r="M145" s="167" t="str">
        <f>IFERROR(__xludf.DUMMYFUNCTION("""COMPUTED_VALUE"""),"Stat Booster (Attack)")</f>
        <v>Stat Booster (Attack)</v>
      </c>
      <c r="N145" s="167" t="str">
        <f>IFERROR(__xludf.DUMMYFUNCTION("""COMPUTED_VALUE"""),"While this Item is Equipped, the user's Default Attack CS Value is set to +1 CS. [Equipment] [Large] [Pokemon]")</f>
        <v>While this Item is Equipped, the user's Default Attack CS Value is set to +1 CS. [Equipment] [Large] [Pokemon]</v>
      </c>
    </row>
    <row r="146">
      <c r="A146" s="163"/>
      <c r="B146" s="163"/>
      <c r="C146" s="164" t="str">
        <f>IFERROR(__xludf.DUMMYFUNCTION("""COMPUTED_VALUE"""),"Greater Malady Potion (Chilled)")</f>
        <v>Greater Malady Potion (Chilled)</v>
      </c>
      <c r="D146" s="164" t="str">
        <f>IFERROR(__xludf.DUMMYFUNCTION("""COMPUTED_VALUE"""),"The Target hit by this Item becomes Chilled. [Throwable] [Small] [Consumable]")</f>
        <v>The Target hit by this Item becomes Chilled. [Throwable] [Small] [Consumable]</v>
      </c>
      <c r="E146" s="165" t="str">
        <f>IFERROR(__xludf.DUMMYFUNCTION("""COMPUTED_VALUE"""),"Stat Booster (Defense)")</f>
        <v>Stat Booster (Defense)</v>
      </c>
      <c r="F146" s="165" t="str">
        <f>IFERROR(__xludf.DUMMYFUNCTION("""COMPUTED_VALUE"""),"While this Item is Equipped, the user's Default Defense CS Value is set to +1 CS. [Equipment] [Large] [Pokemon]")</f>
        <v>While this Item is Equipped, the user's Default Defense CS Value is set to +1 CS. [Equipment] [Large] [Pokemon]</v>
      </c>
      <c r="G146" s="166"/>
      <c r="H146" s="166"/>
      <c r="I146" s="166"/>
      <c r="J146" s="166"/>
      <c r="K146" s="166"/>
      <c r="L146" s="166"/>
      <c r="M146" s="167" t="str">
        <f>IFERROR(__xludf.DUMMYFUNCTION("""COMPUTED_VALUE"""),"Stat Booster (Defense)")</f>
        <v>Stat Booster (Defense)</v>
      </c>
      <c r="N146" s="167" t="str">
        <f>IFERROR(__xludf.DUMMYFUNCTION("""COMPUTED_VALUE"""),"While this Item is Equipped, the user's Default Defense CS Value is set to +1 CS. [Equipment] [Large] [Pokemon]")</f>
        <v>While this Item is Equipped, the user's Default Defense CS Value is set to +1 CS. [Equipment] [Large] [Pokemon]</v>
      </c>
    </row>
    <row r="147">
      <c r="A147" s="163"/>
      <c r="B147" s="163"/>
      <c r="C147" s="164" t="str">
        <f>IFERROR(__xludf.DUMMYFUNCTION("""COMPUTED_VALUE"""),"Greater Malady Potion (Cursed)")</f>
        <v>Greater Malady Potion (Cursed)</v>
      </c>
      <c r="D147" s="164" t="str">
        <f>IFERROR(__xludf.DUMMYFUNCTION("""COMPUTED_VALUE"""),"The Target hit by this Item becomes Cursed. [Throwable] [Small] [Consumable]")</f>
        <v>The Target hit by this Item becomes Cursed. [Throwable] [Small] [Consumable]</v>
      </c>
      <c r="E147" s="165" t="str">
        <f>IFERROR(__xludf.DUMMYFUNCTION("""COMPUTED_VALUE"""),"Stat Booster (Special Attack)")</f>
        <v>Stat Booster (Special Attack)</v>
      </c>
      <c r="F147" s="165" t="str">
        <f>IFERROR(__xludf.DUMMYFUNCTION("""COMPUTED_VALUE"""),"While this Item is Equipped, the user's Default Special Attack CS Value is set to +1 CS. [Equipment] [Large] [Pokemon]")</f>
        <v>While this Item is Equipped, the user's Default Special Attack CS Value is set to +1 CS. [Equipment] [Large] [Pokemon]</v>
      </c>
      <c r="G147" s="166"/>
      <c r="H147" s="166"/>
      <c r="I147" s="166"/>
      <c r="J147" s="166"/>
      <c r="K147" s="166"/>
      <c r="L147" s="166"/>
      <c r="M147" s="167" t="str">
        <f>IFERROR(__xludf.DUMMYFUNCTION("""COMPUTED_VALUE"""),"Stat Booster (Special Attack)")</f>
        <v>Stat Booster (Special Attack)</v>
      </c>
      <c r="N147" s="167" t="str">
        <f>IFERROR(__xludf.DUMMYFUNCTION("""COMPUTED_VALUE"""),"While this Item is Equipped, the user's Default Special Attack CS Value is set to +1 CS. [Equipment] [Large] [Pokemon]")</f>
        <v>While this Item is Equipped, the user's Default Special Attack CS Value is set to +1 CS. [Equipment] [Large] [Pokemon]</v>
      </c>
    </row>
    <row r="148">
      <c r="A148" s="163"/>
      <c r="B148" s="163"/>
      <c r="C148" s="164" t="str">
        <f>IFERROR(__xludf.DUMMYFUNCTION("""COMPUTED_VALUE"""),"Greater Malady Potion (Dazed)")</f>
        <v>Greater Malady Potion (Dazed)</v>
      </c>
      <c r="D148" s="164" t="str">
        <f>IFERROR(__xludf.DUMMYFUNCTION("""COMPUTED_VALUE"""),"The Target hit by this Item becomes Dazed. [Throwable] [Small] [Consumable]")</f>
        <v>The Target hit by this Item becomes Dazed. [Throwable] [Small] [Consumable]</v>
      </c>
      <c r="E148" s="165" t="str">
        <f>IFERROR(__xludf.DUMMYFUNCTION("""COMPUTED_VALUE"""),"Stat Booster (Special Defense)")</f>
        <v>Stat Booster (Special Defense)</v>
      </c>
      <c r="F148" s="165" t="str">
        <f>IFERROR(__xludf.DUMMYFUNCTION("""COMPUTED_VALUE"""),"While this Item is Equipped, the user's Default Special Defense CS Value is set to +1 CS. [Equipment] [Large] [Pokemon]")</f>
        <v>While this Item is Equipped, the user's Default Special Defense CS Value is set to +1 CS. [Equipment] [Large] [Pokemon]</v>
      </c>
      <c r="G148" s="166"/>
      <c r="H148" s="166"/>
      <c r="I148" s="166"/>
      <c r="J148" s="166"/>
      <c r="K148" s="166"/>
      <c r="L148" s="166"/>
      <c r="M148" s="167" t="str">
        <f>IFERROR(__xludf.DUMMYFUNCTION("""COMPUTED_VALUE"""),"Stat Booster (Special Defense)")</f>
        <v>Stat Booster (Special Defense)</v>
      </c>
      <c r="N148" s="167" t="str">
        <f>IFERROR(__xludf.DUMMYFUNCTION("""COMPUTED_VALUE"""),"While this Item is Equipped, the user's Default Special Defense CS Value is set to +1 CS. [Equipment] [Large] [Pokemon]")</f>
        <v>While this Item is Equipped, the user's Default Special Defense CS Value is set to +1 CS. [Equipment] [Large] [Pokemon]</v>
      </c>
    </row>
    <row r="149">
      <c r="A149" s="163"/>
      <c r="B149" s="163"/>
      <c r="C149" s="164" t="str">
        <f>IFERROR(__xludf.DUMMYFUNCTION("""COMPUTED_VALUE"""),"Greater Malady Potion (Paralyzed)")</f>
        <v>Greater Malady Potion (Paralyzed)</v>
      </c>
      <c r="D149" s="164" t="str">
        <f>IFERROR(__xludf.DUMMYFUNCTION("""COMPUTED_VALUE"""),"The Target hit by this Item becomes Paralyzed. [Throwable] [Small] [Consumable]")</f>
        <v>The Target hit by this Item becomes Paralyzed. [Throwable] [Small] [Consumable]</v>
      </c>
      <c r="E149" s="165" t="str">
        <f>IFERROR(__xludf.DUMMYFUNCTION("""COMPUTED_VALUE"""),"Stat Booster (Speed)")</f>
        <v>Stat Booster (Speed)</v>
      </c>
      <c r="F149" s="165" t="str">
        <f>IFERROR(__xludf.DUMMYFUNCTION("""COMPUTED_VALUE"""),"While this Item is Equipped, the user's Default Speed CS Value is set to +1 CS. [Equipment] [Large] [Pokemon]")</f>
        <v>While this Item is Equipped, the user's Default Speed CS Value is set to +1 CS. [Equipment] [Large] [Pokemon]</v>
      </c>
      <c r="G149" s="166"/>
      <c r="H149" s="166"/>
      <c r="I149" s="166"/>
      <c r="J149" s="166"/>
      <c r="K149" s="166"/>
      <c r="L149" s="166"/>
      <c r="M149" s="167" t="str">
        <f>IFERROR(__xludf.DUMMYFUNCTION("""COMPUTED_VALUE"""),"Stat Booster (Speed)")</f>
        <v>Stat Booster (Speed)</v>
      </c>
      <c r="N149" s="167" t="str">
        <f>IFERROR(__xludf.DUMMYFUNCTION("""COMPUTED_VALUE"""),"While this Item is Equipped, the user's Default Speed CS Value is set to +1 CS. [Equipment] [Large] [Pokemon]")</f>
        <v>While this Item is Equipped, the user's Default Speed CS Value is set to +1 CS. [Equipment] [Large] [Pokemon]</v>
      </c>
    </row>
    <row r="150">
      <c r="A150" s="163"/>
      <c r="B150" s="163"/>
      <c r="C150" s="164" t="str">
        <f>IFERROR(__xludf.DUMMYFUNCTION("""COMPUTED_VALUE"""),"Greater Malady Potion (X)")</f>
        <v>Greater Malady Potion (X)</v>
      </c>
      <c r="D150" s="164" t="str">
        <f>IFERROR(__xludf.DUMMYFUNCTION("""COMPUTED_VALUE"""),"Greater Malady Potions come in different variations which are determined by the GM. The Target hit by this Item gains the corresponding Status Affliction. Greater Malady Potions can inflict the following Afflictions. Chilled, Paralyzed, Cursed, Dazed. [Th"&amp;"rowable] [Small] [Consumable]")</f>
        <v>Greater Malady Potions come in different variations which are determined by the GM. The Target hit by this Item gains the corresponding Status Affliction. Greater Malady Potions can inflict the following Afflictions. Chilled, Paralyzed, Cursed, Dazed. [Throwable] [Small] [Consumable]</v>
      </c>
      <c r="E150" s="165" t="str">
        <f>IFERROR(__xludf.DUMMYFUNCTION("""COMPUTED_VALUE"""),"Stat Booster (X)")</f>
        <v>Stat Booster (X)</v>
      </c>
      <c r="F150" s="165"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G150" s="166"/>
      <c r="H150" s="166"/>
      <c r="I150" s="166"/>
      <c r="J150" s="166"/>
      <c r="K150" s="166"/>
      <c r="L150" s="166"/>
      <c r="M150" s="167" t="str">
        <f>IFERROR(__xludf.DUMMYFUNCTION("""COMPUTED_VALUE"""),"Stat Booster (X)")</f>
        <v>Stat Booster (X)</v>
      </c>
      <c r="N150" s="167"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row>
    <row r="151">
      <c r="A151" s="163"/>
      <c r="B151" s="163"/>
      <c r="C151" s="164" t="str">
        <f>IFERROR(__xludf.DUMMYFUNCTION("""COMPUTED_VALUE"""),"Greater Poultice")</f>
        <v>Greater Poultice</v>
      </c>
      <c r="D151" s="164" t="str">
        <f>IFERROR(__xludf.DUMMYFUNCTION("""COMPUTED_VALUE"""),"Choose one of the following Effects to apply to an Adjacent Target. [Small] [Consumable]
» They restore 4 Ticks of Hit Points or 100 HP, whichever is higher. 
» They are cured of 2 Status Afflictions. ")</f>
        <v>Choose one of the following Effects to apply to an Adjacent Target. [Small] [Consumable]
» They restore 4 Ticks of Hit Points or 100 HP, whichever is higher. 
» They are cured of 2 Status Afflictions. </v>
      </c>
      <c r="E151" s="165" t="str">
        <f>IFERROR(__xludf.DUMMYFUNCTION("""COMPUTED_VALUE"""),"Status Guard (Burned)")</f>
        <v>Status Guard (Burned)</v>
      </c>
      <c r="F151" s="165"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G151" s="166"/>
      <c r="H151" s="166"/>
      <c r="I151" s="166"/>
      <c r="J151" s="166"/>
      <c r="K151" s="166"/>
      <c r="L151" s="166"/>
      <c r="M151" s="167" t="str">
        <f>IFERROR(__xludf.DUMMYFUNCTION("""COMPUTED_VALUE"""),"Status Guard (Burned)")</f>
        <v>Status Guard (Burned)</v>
      </c>
      <c r="N151" s="167"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row>
    <row r="152">
      <c r="A152" s="163"/>
      <c r="B152" s="163"/>
      <c r="C152" s="164" t="str">
        <f>IFERROR(__xludf.DUMMYFUNCTION("""COMPUTED_VALUE"""),"Greater Strength Potion (Accuracy)")</f>
        <v>Greater Strength Potion (Accuracy)</v>
      </c>
      <c r="D152" s="164" t="str">
        <f>IFERROR(__xludf.DUMMYFUNCTION("""COMPUTED_VALUE"""),"The Target gains a +3 Modifier to Accuracy for the rest of the Scene. [Throwable] [Small] [Consumable]")</f>
        <v>The Target gains a +3 Modifier to Accuracy for the rest of the Scene. [Throwable] [Small] [Consumable]</v>
      </c>
      <c r="E152" s="165" t="str">
        <f>IFERROR(__xludf.DUMMYFUNCTION("""COMPUTED_VALUE"""),"Status Guard (Chilled)")</f>
        <v>Status Guard (Chilled)</v>
      </c>
      <c r="F152" s="165"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G152" s="166"/>
      <c r="H152" s="166"/>
      <c r="I152" s="166"/>
      <c r="J152" s="166"/>
      <c r="K152" s="166"/>
      <c r="L152" s="166"/>
      <c r="M152" s="167" t="str">
        <f>IFERROR(__xludf.DUMMYFUNCTION("""COMPUTED_VALUE"""),"Status Guard (Chilled)")</f>
        <v>Status Guard (Chilled)</v>
      </c>
      <c r="N152" s="167"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row>
    <row r="153">
      <c r="A153" s="163"/>
      <c r="B153" s="163"/>
      <c r="C153" s="164" t="str">
        <f>IFERROR(__xludf.DUMMYFUNCTION("""COMPUTED_VALUE"""),"Greater Strength Potion (Attack)")</f>
        <v>Greater Strength Potion (Attack)</v>
      </c>
      <c r="D153" s="164" t="str">
        <f>IFERROR(__xludf.DUMMYFUNCTION("""COMPUTED_VALUE"""),"The Target gains +3 CS in Attack. [Throwable] [Small] [Consumable]")</f>
        <v>The Target gains +3 CS in Attack. [Throwable] [Small] [Consumable]</v>
      </c>
      <c r="E153" s="165" t="str">
        <f>IFERROR(__xludf.DUMMYFUNCTION("""COMPUTED_VALUE"""),"Status Guard (Cursed)")</f>
        <v>Status Guard (Cursed)</v>
      </c>
      <c r="F153" s="165"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G153" s="166"/>
      <c r="H153" s="166"/>
      <c r="I153" s="166"/>
      <c r="J153" s="166"/>
      <c r="K153" s="166"/>
      <c r="L153" s="166"/>
      <c r="M153" s="167" t="str">
        <f>IFERROR(__xludf.DUMMYFUNCTION("""COMPUTED_VALUE"""),"Status Guard (Cursed)")</f>
        <v>Status Guard (Cursed)</v>
      </c>
      <c r="N153" s="167"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row>
    <row r="154">
      <c r="A154" s="163"/>
      <c r="B154" s="163"/>
      <c r="C154" s="164" t="str">
        <f>IFERROR(__xludf.DUMMYFUNCTION("""COMPUTED_VALUE"""),"Greater Strength Potion (Critical Hit)")</f>
        <v>Greater Strength Potion (Critical Hit)</v>
      </c>
      <c r="D154" s="164" t="str">
        <f>IFERROR(__xludf.DUMMYFUNCTION("""COMPUTED_VALUE"""),"The Target gains a +3 Modifier to Critical Hit for the rest of the Scene. [Throwable] [Small] [Consumable]")</f>
        <v>The Target gains a +3 Modifier to Critical Hit for the rest of the Scene. [Throwable] [Small] [Consumable]</v>
      </c>
      <c r="E154" s="165" t="str">
        <f>IFERROR(__xludf.DUMMYFUNCTION("""COMPUTED_VALUE"""),"Status Guard (Dazed)")</f>
        <v>Status Guard (Dazed)</v>
      </c>
      <c r="F154" s="165"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G154" s="166"/>
      <c r="H154" s="166"/>
      <c r="I154" s="166"/>
      <c r="J154" s="166"/>
      <c r="K154" s="166"/>
      <c r="L154" s="166"/>
      <c r="M154" s="167" t="str">
        <f>IFERROR(__xludf.DUMMYFUNCTION("""COMPUTED_VALUE"""),"Status Guard (Dazed)")</f>
        <v>Status Guard (Dazed)</v>
      </c>
      <c r="N154" s="167"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row>
    <row r="155">
      <c r="A155" s="163"/>
      <c r="B155" s="163"/>
      <c r="C155" s="164" t="str">
        <f>IFERROR(__xludf.DUMMYFUNCTION("""COMPUTED_VALUE"""),"Greater Strength Potion (Special Attack)")</f>
        <v>Greater Strength Potion (Special Attack)</v>
      </c>
      <c r="D155" s="164" t="str">
        <f>IFERROR(__xludf.DUMMYFUNCTION("""COMPUTED_VALUE"""),"The Target gains +3 CS in Special Attack. [Throwable] [Small] [Consumable]")</f>
        <v>The Target gains +3 CS in Special Attack. [Throwable] [Small] [Consumable]</v>
      </c>
      <c r="E155" s="165" t="str">
        <f>IFERROR(__xludf.DUMMYFUNCTION("""COMPUTED_VALUE"""),"Status Guard (Disabled)")</f>
        <v>Status Guard (Disabled)</v>
      </c>
      <c r="F155" s="165"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G155" s="166"/>
      <c r="H155" s="166"/>
      <c r="I155" s="166"/>
      <c r="J155" s="166"/>
      <c r="K155" s="166"/>
      <c r="L155" s="166"/>
      <c r="M155" s="167" t="str">
        <f>IFERROR(__xludf.DUMMYFUNCTION("""COMPUTED_VALUE"""),"Status Guard (Disabled)")</f>
        <v>Status Guard (Disabled)</v>
      </c>
      <c r="N155" s="167"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row>
    <row r="156">
      <c r="A156" s="163"/>
      <c r="B156" s="163"/>
      <c r="C156" s="164" t="str">
        <f>IFERROR(__xludf.DUMMYFUNCTION("""COMPUTED_VALUE"""),"Greater Strength Potion (X)")</f>
        <v>Greater Strength Potion (X)</v>
      </c>
      <c r="D156" s="164" t="str">
        <f>IFERROR(__xludf.DUMMYFUNCTION("""COMPUTED_VALUE"""),"Basic Strength Potions come in different Variations which are determined by the GM. X May be Attack, Special Attack, Critical Hit or Accuracy. If X is Attack or Special Attack, the Target gains +3 CS in that Stat. If X is Critical Hit or Accuracy, they ga"&amp;"in a +3 Modifier to that Combat Value for the rest of the Scene.  [Throwable] [Small] [Consumable]")</f>
        <v>Basic Strength Potions come in different Variations which are determined by the GM. X May be Attack, Special Attack, Critical Hit or Accuracy. If X is Attack or Special Attack, the Target gains +3 CS in that Stat. If X is Critical Hit or Accuracy, they gain a +3 Modifier to that Combat Value for the rest of the Scene.  [Throwable] [Small] [Consumable]</v>
      </c>
      <c r="E156" s="165" t="str">
        <f>IFERROR(__xludf.DUMMYFUNCTION("""COMPUTED_VALUE"""),"Status Guard (Drowsy)")</f>
        <v>Status Guard (Drowsy)</v>
      </c>
      <c r="F156" s="165"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G156" s="166"/>
      <c r="H156" s="166"/>
      <c r="I156" s="166"/>
      <c r="J156" s="166"/>
      <c r="K156" s="166"/>
      <c r="L156" s="166"/>
      <c r="M156" s="167" t="str">
        <f>IFERROR(__xludf.DUMMYFUNCTION("""COMPUTED_VALUE"""),"Status Guard (Drowsy)")</f>
        <v>Status Guard (Drowsy)</v>
      </c>
      <c r="N156" s="167"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row>
    <row r="157">
      <c r="A157" s="163"/>
      <c r="B157" s="163"/>
      <c r="C157" s="164" t="str">
        <f>IFERROR(__xludf.DUMMYFUNCTION("""COMPUTED_VALUE"""),"Greater Vitality Potion (Defense)")</f>
        <v>Greater Vitality Potion (Defense)</v>
      </c>
      <c r="D157" s="164" t="str">
        <f>IFERROR(__xludf.DUMMYFUNCTION("""COMPUTED_VALUE"""),"The Target gains +3 CS in Defense. [Throwable] [Small] [Consumable]")</f>
        <v>The Target gains +3 CS in Defense. [Throwable] [Small] [Consumable]</v>
      </c>
      <c r="E157" s="165" t="str">
        <f>IFERROR(__xludf.DUMMYFUNCTION("""COMPUTED_VALUE"""),"Status Guard (Enraged)")</f>
        <v>Status Guard (Enraged)</v>
      </c>
      <c r="F157" s="165"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G157" s="166"/>
      <c r="H157" s="166"/>
      <c r="I157" s="166"/>
      <c r="J157" s="166"/>
      <c r="K157" s="166"/>
      <c r="L157" s="166"/>
      <c r="M157" s="167" t="str">
        <f>IFERROR(__xludf.DUMMYFUNCTION("""COMPUTED_VALUE"""),"Status Guard (Enraged)")</f>
        <v>Status Guard (Enraged)</v>
      </c>
      <c r="N157" s="167"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row>
    <row r="158">
      <c r="A158" s="163"/>
      <c r="B158" s="163"/>
      <c r="C158" s="164" t="str">
        <f>IFERROR(__xludf.DUMMYFUNCTION("""COMPUTED_VALUE"""),"Greater Vitality Potion (Evasion)")</f>
        <v>Greater Vitality Potion (Evasion)</v>
      </c>
      <c r="D158" s="164" t="str">
        <f>IFERROR(__xludf.DUMMYFUNCTION("""COMPUTED_VALUE"""),"The Target gains a +6 Modifier to Evasion for the rest of the Scene. [Throwable] [Small] [Consumable]")</f>
        <v>The Target gains a +6 Modifier to Evasion for the rest of the Scene. [Throwable] [Small] [Consumable]</v>
      </c>
      <c r="E158" s="165" t="str">
        <f>IFERROR(__xludf.DUMMYFUNCTION("""COMPUTED_VALUE"""),"Status Guard (Entranced)")</f>
        <v>Status Guard (Entranced)</v>
      </c>
      <c r="F158" s="165"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G158" s="166"/>
      <c r="H158" s="166"/>
      <c r="I158" s="166"/>
      <c r="J158" s="166"/>
      <c r="K158" s="166"/>
      <c r="L158" s="166"/>
      <c r="M158" s="167" t="str">
        <f>IFERROR(__xludf.DUMMYFUNCTION("""COMPUTED_VALUE"""),"Status Guard (Entranced)")</f>
        <v>Status Guard (Entranced)</v>
      </c>
      <c r="N158" s="167"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row>
    <row r="159">
      <c r="A159" s="163"/>
      <c r="B159" s="163"/>
      <c r="C159" s="164" t="str">
        <f>IFERROR(__xludf.DUMMYFUNCTION("""COMPUTED_VALUE"""),"Greater Vitality Potion (Save Checks)")</f>
        <v>Greater Vitality Potion (Save Checks)</v>
      </c>
      <c r="D159" s="164" t="str">
        <f>IFERROR(__xludf.DUMMYFUNCTION("""COMPUTED_VALUE"""),"The Target gains a +4 Modifier to Save Checks for the rest of the Scene. [Throwable] [Small] [Consumable]")</f>
        <v>The Target gains a +4 Modifier to Save Checks for the rest of the Scene. [Throwable] [Small] [Consumable]</v>
      </c>
      <c r="E159" s="165" t="str">
        <f>IFERROR(__xludf.DUMMYFUNCTION("""COMPUTED_VALUE"""),"Status Guard (Paralyzed)")</f>
        <v>Status Guard (Paralyzed)</v>
      </c>
      <c r="F159" s="165"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G159" s="166"/>
      <c r="H159" s="166"/>
      <c r="I159" s="166"/>
      <c r="J159" s="166"/>
      <c r="K159" s="166"/>
      <c r="L159" s="166"/>
      <c r="M159" s="167" t="str">
        <f>IFERROR(__xludf.DUMMYFUNCTION("""COMPUTED_VALUE"""),"Status Guard (Paralyzed)")</f>
        <v>Status Guard (Paralyzed)</v>
      </c>
      <c r="N159" s="167"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row>
    <row r="160">
      <c r="A160" s="163"/>
      <c r="B160" s="163"/>
      <c r="C160" s="164" t="str">
        <f>IFERROR(__xludf.DUMMYFUNCTION("""COMPUTED_VALUE"""),"Greater Vitality Potion (Special Defense)")</f>
        <v>Greater Vitality Potion (Special Defense)</v>
      </c>
      <c r="D160" s="164" t="str">
        <f>IFERROR(__xludf.DUMMYFUNCTION("""COMPUTED_VALUE"""),"The Target gains +3 CS in Special Defense. [Throwable] [Small] [Consumable]")</f>
        <v>The Target gains +3 CS in Special Defense. [Throwable] [Small] [Consumable]</v>
      </c>
      <c r="E160" s="165" t="str">
        <f>IFERROR(__xludf.DUMMYFUNCTION("""COMPUTED_VALUE"""),"Status Guard (Poisoned)")</f>
        <v>Status Guard (Poisoned)</v>
      </c>
      <c r="F160" s="165"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G160" s="166"/>
      <c r="H160" s="166"/>
      <c r="I160" s="166"/>
      <c r="J160" s="166"/>
      <c r="K160" s="166"/>
      <c r="L160" s="166"/>
      <c r="M160" s="167" t="str">
        <f>IFERROR(__xludf.DUMMYFUNCTION("""COMPUTED_VALUE"""),"Status Guard (Poisoned)")</f>
        <v>Status Guard (Poisoned)</v>
      </c>
      <c r="N160" s="167"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row>
    <row r="161">
      <c r="A161" s="163"/>
      <c r="B161" s="163"/>
      <c r="C161" s="164" t="str">
        <f>IFERROR(__xludf.DUMMYFUNCTION("""COMPUTED_VALUE"""),"Greater Vitality Potion (X)")</f>
        <v>Greater Vitality Potion (X)</v>
      </c>
      <c r="D161" s="164" t="str">
        <f>IFERROR(__xludf.DUMMYFUNCTION("""COMPUTED_VALUE"""),"Basic Strength Potions come in different Variations which are determined by the GM. X May be Defense, Special Defense, Evasion or Save Checks. If X is Defense or Special Defense, the Target gains +3 CS in that Stat. If X is Evasion, they gain a +6 Bonus t"&amp;"o Evasion for the rest of the Scene. If X is Save Checks, they gain a +4 Modifier to that Combat Value for the rest of the Scene.  [Throwable] [Small] [Consumable]")</f>
        <v>Basic Strength Potions come in different Variations which are determined by the GM. X May be Defense, Special Defense, Evasion or Save Checks. If X is Defense or Special Defense, the Target gains +3 CS in that Stat. If X is Evasion, they gain a +6 Bonus to Evasion for the rest of the Scene. If X is Save Checks, they gain a +4 Modifier to that Combat Value for the rest of the Scene.  [Throwable] [Small] [Consumable]</v>
      </c>
      <c r="E161" s="165" t="str">
        <f>IFERROR(__xludf.DUMMYFUNCTION("""COMPUTED_VALUE"""),"Status Guard (Slowed)")</f>
        <v>Status Guard (Slowed)</v>
      </c>
      <c r="F161" s="165"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G161" s="166"/>
      <c r="H161" s="166"/>
      <c r="I161" s="166"/>
      <c r="J161" s="166"/>
      <c r="K161" s="166"/>
      <c r="L161" s="166"/>
      <c r="M161" s="167" t="str">
        <f>IFERROR(__xludf.DUMMYFUNCTION("""COMPUTED_VALUE"""),"Status Guard (Slowed)")</f>
        <v>Status Guard (Slowed)</v>
      </c>
      <c r="N161" s="167"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row>
    <row r="162">
      <c r="A162" s="163"/>
      <c r="B162" s="163"/>
      <c r="C162" s="164" t="str">
        <f>IFERROR(__xludf.DUMMYFUNCTION("""COMPUTED_VALUE"""),"Green Shard")</f>
        <v>Green Shard</v>
      </c>
      <c r="D162" s="164"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c r="E162" s="165" t="str">
        <f>IFERROR(__xludf.DUMMYFUNCTION("""COMPUTED_VALUE"""),"Status Guard (Suppressed)")</f>
        <v>Status Guard (Suppressed)</v>
      </c>
      <c r="F162" s="165"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G162" s="166"/>
      <c r="H162" s="166"/>
      <c r="I162" s="166"/>
      <c r="J162" s="166"/>
      <c r="K162" s="166"/>
      <c r="L162" s="166"/>
      <c r="M162" s="167" t="str">
        <f>IFERROR(__xludf.DUMMYFUNCTION("""COMPUTED_VALUE"""),"Status Guard (Suppressed)")</f>
        <v>Status Guard (Suppressed)</v>
      </c>
      <c r="N162" s="167"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row>
    <row r="163">
      <c r="A163" s="163"/>
      <c r="B163" s="163"/>
      <c r="C163" s="164" t="str">
        <f>IFERROR(__xludf.DUMMYFUNCTION("""COMPUTED_VALUE"""),"Harnessed Attack")</f>
        <v>Harnessed Attack</v>
      </c>
      <c r="D163" s="164" t="str">
        <f>IFERROR(__xludf.DUMMYFUNCTION("""COMPUTED_VALUE"""),"When this Item is created, the GM will determine what Attack is harnessed in this Item. The holder may expend this Item as a Standard action (Or Swift if they’re using the Versatile Effect) to use the Attack as if it were on their Attack List. If the Atta"&amp;"ck is Damaging, they may also choose to treat their Offensive Stat as if it were Double their Tier Value [Medium] [Consumable]")</f>
        <v>When this Item is created, the GM will determine what Attack is harnessed in this Item. The holder may expend this Item as a Standard action (Or Swift if they’re using the Versatile Effect) to use the Attack as if it were on their Attack List. If the Attack is Damaging, they may also choose to treat their Offensive Stat as if it were Double their Tier Value [Medium] [Consumable]</v>
      </c>
      <c r="E163" s="165"/>
      <c r="F163" s="165"/>
      <c r="G163" s="166"/>
      <c r="H163" s="166"/>
      <c r="I163" s="166"/>
      <c r="J163" s="166"/>
      <c r="K163" s="166"/>
      <c r="L163" s="166"/>
      <c r="M163" s="167" t="str">
        <f>IFERROR(__xludf.DUMMYFUNCTION("""COMPUTED_VALUE"""),"Status Guard (Wounded)")</f>
        <v>Status Guard (Wounded)</v>
      </c>
      <c r="N163" s="167"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row>
    <row r="164">
      <c r="A164" s="163"/>
      <c r="B164" s="163"/>
      <c r="C164" s="164" t="str">
        <f>IFERROR(__xludf.DUMMYFUNCTION("""COMPUTED_VALUE"""),"Hazard Bag")</f>
        <v>Hazard Bag</v>
      </c>
      <c r="D164" s="164" t="str">
        <f>IFERROR(__xludf.DUMMYFUNCTION("""COMPUTED_VALUE"""),"When this Item is created, the GM will determine what type of Hazard it is (It can contain any Attack with the Hazard Keyword). When this Item is expended, the holder may use that Attack immediately as if they knew it. [Small] [Consumable]")</f>
        <v>When this Item is created, the GM will determine what type of Hazard it is (It can contain any Attack with the Hazard Keyword). When this Item is expended, the holder may use that Attack immediately as if they knew it. [Small] [Consumable]</v>
      </c>
      <c r="E164" s="165" t="str">
        <f>IFERROR(__xludf.DUMMYFUNCTION("""COMPUTED_VALUE"""),"Status Guard (Wounded)")</f>
        <v>Status Guard (Wounded)</v>
      </c>
      <c r="F164" s="165"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G164" s="166"/>
      <c r="H164" s="166"/>
      <c r="I164" s="166"/>
      <c r="J164" s="166"/>
      <c r="K164" s="166"/>
      <c r="L164" s="166"/>
      <c r="M164" s="167" t="str">
        <f>IFERROR(__xludf.DUMMYFUNCTION("""COMPUTED_VALUE"""),"Status Guard (X)")</f>
        <v>Status Guard (X)</v>
      </c>
      <c r="N164" s="167"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row>
    <row r="165">
      <c r="A165" s="163"/>
      <c r="B165" s="163"/>
      <c r="C165" s="164" t="str">
        <f>IFERROR(__xludf.DUMMYFUNCTION("""COMPUTED_VALUE"""),"Orange Shard")</f>
        <v>Orange Shard</v>
      </c>
      <c r="D165" s="164"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c r="E165" s="165" t="str">
        <f>IFERROR(__xludf.DUMMYFUNCTION("""COMPUTED_VALUE"""),"Status Guard (X)")</f>
        <v>Status Guard (X)</v>
      </c>
      <c r="F165" s="165"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G165" s="166"/>
      <c r="H165" s="166"/>
      <c r="I165" s="166"/>
      <c r="J165" s="166"/>
      <c r="K165" s="166"/>
      <c r="L165" s="166"/>
      <c r="M165" s="167" t="str">
        <f>IFERROR(__xludf.DUMMYFUNCTION("""COMPUTED_VALUE"""),"Stylish Clothes")</f>
        <v>Stylish Clothes</v>
      </c>
      <c r="N165" s="167"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row>
    <row r="166">
      <c r="A166" s="163"/>
      <c r="B166" s="163"/>
      <c r="C166" s="164" t="str">
        <f>IFERROR(__xludf.DUMMYFUNCTION("""COMPUTED_VALUE"""),"Pokeball")</f>
        <v>Pokeball</v>
      </c>
      <c r="D166" s="164" t="str">
        <f>IFERROR(__xludf.DUMMYFUNCTION("""COMPUTED_VALUE"""),"You may Target either a willing Wild Pokemon or an unconscious Wild Pokemon and expend this Item in order to capture them. Once captured, this becomes an Essential Item while the Pokemon is in your Party. A Trainer may by default have up to 3 Pokeballs ca"&amp;"rried as Essential Items at a time to consist of their carried Pokemon/Party. If you were to Capture Pokemon while you have a full Party, the captured Pokemon cannot leave their Pokeball until they are added to your Party. [Small] [Consumable]")</f>
        <v>You may Target either a willing Wild Pokemon or an unconscious Wild Pokemon and expend this Item in order to capture them. Once captured, this becomes an Essential Item while the Pokemon is in your Party. A Trainer may by default have up to 3 Pokeballs carried as Essential Items at a time to consist of their carried Pokemon/Party. If you were to Capture Pokemon while you have a full Party, the captured Pokemon cannot leave their Pokeball until they are added to your Party. [Small] [Consumable]</v>
      </c>
      <c r="E166" s="165" t="str">
        <f>IFERROR(__xludf.DUMMYFUNCTION("""COMPUTED_VALUE"""),"Stylish Clothes")</f>
        <v>Stylish Clothes</v>
      </c>
      <c r="F166" s="165"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G166" s="166"/>
      <c r="H166" s="166"/>
      <c r="I166" s="166"/>
      <c r="J166" s="166"/>
      <c r="K166" s="166"/>
      <c r="L166" s="166"/>
      <c r="M166" s="167" t="str">
        <f>IFERROR(__xludf.DUMMYFUNCTION("""COMPUTED_VALUE"""),"Supply Pack [Lethality]")</f>
        <v>Supply Pack [Lethality]</v>
      </c>
      <c r="N166" s="167" t="str">
        <f>IFERROR(__xludf.DUMMYFUNCTION("""COMPUTED_VALUE"""),"Creatures may target this Item to perform a Supply Check, which involves rolling the Supply Dice. Supply Dice start as a d10. If they roll a 1, the Supply Dice is downgraded one tier (d10 to d8 to d6 to d4, then expended). [Large]")</f>
        <v>Creatures may target this Item to perform a Supply Check, which involves rolling the Supply Dice. Supply Dice start as a d10. If they roll a 1, the Supply Dice is downgraded one tier (d10 to d8 to d6 to d4, then expended). [Large]</v>
      </c>
    </row>
    <row r="167">
      <c r="A167" s="163"/>
      <c r="B167" s="163"/>
      <c r="C167" s="164" t="str">
        <f>IFERROR(__xludf.DUMMYFUNCTION("""COMPUTED_VALUE"""),"Pokepuff")</f>
        <v>Pokepuff</v>
      </c>
      <c r="D167" s="164" t="str">
        <f>IFERROR(__xludf.DUMMYFUNCTION("""COMPUTED_VALUE"""),"When expended, choose a Pokemon. The next time they’re Socialized with as a Downtime Action, add 1d6 to the roll (This may exceed 6d6). A Pokemon cannot be under the effects of more than one Pokepuff at a time. This Item also has the effects of Basic Poke"&amp;"food.  [Consumable] [Small]")</f>
        <v>When expended, choose a Pokemon. The next time they’re Socialized with as a Downtime Action, add 1d6 to the roll (This may exceed 6d6). A Pokemon cannot be under the effects of more than one Pokepuff at a time. This Item also has the effects of Basic Pokefood.  [Consumable] [Small]</v>
      </c>
      <c r="E167" s="165" t="str">
        <f>IFERROR(__xludf.DUMMYFUNCTION("""COMPUTED_VALUE"""),"Survival Clothes")</f>
        <v>Survival Clothes</v>
      </c>
      <c r="F167" s="165"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c r="G167" s="166"/>
      <c r="H167" s="166"/>
      <c r="I167" s="166"/>
      <c r="J167" s="166"/>
      <c r="K167" s="166"/>
      <c r="L167" s="166"/>
      <c r="M167" s="167" t="str">
        <f>IFERROR(__xludf.DUMMYFUNCTION("""COMPUTED_VALUE"""),"Survival Clothes")</f>
        <v>Survival Clothes</v>
      </c>
      <c r="N167" s="167"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row>
    <row r="168">
      <c r="A168" s="163"/>
      <c r="B168" s="163"/>
      <c r="C168" s="164" t="str">
        <f>IFERROR(__xludf.DUMMYFUNCTION("""COMPUTED_VALUE"""),"Protoball")</f>
        <v>Protoball</v>
      </c>
      <c r="D168" s="164" t="str">
        <f>IFERROR(__xludf.DUMMYFUNCTION("""COMPUTED_VALUE"""),"This Item is treated as a Pokeball for the sake of your Jailbreaker Features but cannot Capture Pokemon. This costs $100 to create. [Resource] [Consumable]")</f>
        <v>This Item is treated as a Pokeball for the sake of your Jailbreaker Features but cannot Capture Pokemon. This costs $100 to create. [Resource] [Consumable]</v>
      </c>
      <c r="E168" s="165" t="str">
        <f>IFERROR(__xludf.DUMMYFUNCTION("""COMPUTED_VALUE"""),"Terastral Crystal")</f>
        <v>Terastral Crystal</v>
      </c>
      <c r="F168" s="165"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c r="G168" s="166"/>
      <c r="H168" s="166"/>
      <c r="I168" s="166"/>
      <c r="J168" s="166"/>
      <c r="K168" s="166"/>
      <c r="L168" s="166"/>
      <c r="M168" s="167" t="str">
        <f>IFERROR(__xludf.DUMMYFUNCTION("""COMPUTED_VALUE"""),"Survival Gear [Lethality]")</f>
        <v>Survival Gear [Lethality]</v>
      </c>
      <c r="N168" s="167"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row>
    <row r="169">
      <c r="A169" s="163"/>
      <c r="B169" s="163"/>
      <c r="C169" s="164" t="str">
        <f>IFERROR(__xludf.DUMMYFUNCTION("""COMPUTED_VALUE"""),"Rare Candy")</f>
        <v>Rare Candy</v>
      </c>
      <c r="D169" s="164" t="str">
        <f>IFERROR(__xludf.DUMMYFUNCTION("""COMPUTED_VALUE"""),"A Trainer or Pokemon may expend this Item to gain +3 SP and may gain benefits as if they were Targeted by a Training Downtime Action. [Small] [Consumable]")</f>
        <v>A Trainer or Pokemon may expend this Item to gain +3 SP and may gain benefits as if they were Targeted by a Training Downtime Action. [Small] [Consumable]</v>
      </c>
      <c r="E169" s="165" t="str">
        <f>IFERROR(__xludf.DUMMYFUNCTION("""COMPUTED_VALUE"""),"Training Weapon")</f>
        <v>Training Weapon</v>
      </c>
      <c r="F169" s="16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69" s="166"/>
      <c r="H169" s="166"/>
      <c r="I169" s="166"/>
      <c r="J169" s="166"/>
      <c r="K169" s="166"/>
      <c r="L169" s="166"/>
      <c r="M169" s="167" t="str">
        <f>IFERROR(__xludf.DUMMYFUNCTION("""COMPUTED_VALUE"""),"Tent")</f>
        <v>Tent</v>
      </c>
      <c r="N169" s="167" t="str">
        <f>IFERROR(__xludf.DUMMYFUNCTION("""COMPUTED_VALUE"""),"While you're on a Journey, you may use this Item to get a normal night’s rest. Up to 2 people may fit in one tent. [Large] ")</f>
        <v>While you're on a Journey, you may use this Item to get a normal night’s rest. Up to 2 people may fit in one tent. [Large] </v>
      </c>
    </row>
    <row r="170">
      <c r="A170" s="163"/>
      <c r="B170" s="163"/>
      <c r="C170" s="164" t="str">
        <f>IFERROR(__xludf.DUMMYFUNCTION("""COMPUTED_VALUE"""),"Red Shard")</f>
        <v>Red Shard</v>
      </c>
      <c r="D170" s="164"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c r="E170" s="165" t="str">
        <f>IFERROR(__xludf.DUMMYFUNCTION("""COMPUTED_VALUE"""),"Type Augmentor (Bug)")</f>
        <v>Type Augmentor (Bug)</v>
      </c>
      <c r="F170" s="165"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G170" s="166"/>
      <c r="H170" s="166"/>
      <c r="I170" s="166"/>
      <c r="J170" s="166"/>
      <c r="K170" s="166"/>
      <c r="L170" s="166"/>
      <c r="M170" s="167" t="str">
        <f>IFERROR(__xludf.DUMMYFUNCTION("""COMPUTED_VALUE"""),"Terastral Crystal")</f>
        <v>Terastral Crystal</v>
      </c>
      <c r="N170" s="167"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row>
    <row r="171">
      <c r="A171" s="163"/>
      <c r="B171" s="163"/>
      <c r="C171" s="164" t="str">
        <f>IFERROR(__xludf.DUMMYFUNCTION("""COMPUTED_VALUE"""),"Simple Poultice")</f>
        <v>Simple Poultice</v>
      </c>
      <c r="D171" s="164" t="str">
        <f>IFERROR(__xludf.DUMMYFUNCTION("""COMPUTED_VALUE"""),"Choose one of the following Effects to apply to an Adjacent Target. [Small] [Consumable]
» They restore 2 Ticks of Hit Points or 50 HP, whichever is higher. 
» They are cured of 1 Status Affliction of your choice. ")</f>
        <v>Choose one of the following Effects to apply to an Adjacent Target. [Small] [Consumable]
» They restore 2 Ticks of Hit Points or 50 HP, whichever is higher. 
» They are cured of 1 Status Affliction of your choice. </v>
      </c>
      <c r="E171" s="165" t="str">
        <f>IFERROR(__xludf.DUMMYFUNCTION("""COMPUTED_VALUE"""),"Type Augmentor (Dark)")</f>
        <v>Type Augmentor (Dark)</v>
      </c>
      <c r="F171" s="165"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G171" s="166"/>
      <c r="H171" s="166"/>
      <c r="I171" s="166"/>
      <c r="J171" s="166"/>
      <c r="K171" s="166"/>
      <c r="L171" s="166"/>
      <c r="M171" s="167" t="str">
        <f>IFERROR(__xludf.DUMMYFUNCTION("""COMPUTED_VALUE"""),"Tool Kit")</f>
        <v>Tool Kit</v>
      </c>
      <c r="N171" s="167" t="str">
        <f>IFERROR(__xludf.DUMMYFUNCTION("""COMPUTED_VALUE"""),"Upon this Item’s Creation, choose a specific type of Action. This Item has the tools required to perform that Action and when making Skill Checks involved with that Action, you have a Boon. This cannot affect Skill Checks performed as a Downtime Action. ["&amp;"Medium]")</f>
        <v>Upon this Item’s Creation, choose a specific type of Action. This Item has the tools required to perform that Action and when making Skill Checks involved with that Action, you have a Boon. This cannot affect Skill Checks performed as a Downtime Action. [Medium]</v>
      </c>
    </row>
    <row r="172">
      <c r="A172" s="163"/>
      <c r="B172" s="163"/>
      <c r="C172" s="164" t="str">
        <f>IFERROR(__xludf.DUMMYFUNCTION("""COMPUTED_VALUE"""),"Trap Set")</f>
        <v>Trap Set</v>
      </c>
      <c r="D172" s="164" t="str">
        <f>IFERROR(__xludf.DUMMYFUNCTION("""COMPUTED_VALUE"""),"When this Item is created, designate a Target that it is designed to Trap and the Effects upon the Trap Triggering. This Item may be expended as a Downtime Action to set the Trap. A Luck Roll may be used to determine the success rate of the Trap or it may"&amp;" be an opposed Check of the Target to detect the Trap when relevant. [Medium] [Consumable]")</f>
        <v>When this Item is created, designate a Target that it is designed to Trap and the Effects upon the Trap Triggering. This Item may be expended as a Downtime Action to set the Trap. A Luck Roll may be used to determine the success rate of the Trap or it may be an opposed Check of the Target to detect the Trap when relevant. [Medium] [Consumable]</v>
      </c>
      <c r="E172" s="165" t="str">
        <f>IFERROR(__xludf.DUMMYFUNCTION("""COMPUTED_VALUE"""),"Type Augmentor (Dragon)")</f>
        <v>Type Augmentor (Dragon)</v>
      </c>
      <c r="F172" s="165"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G172" s="166"/>
      <c r="H172" s="166"/>
      <c r="I172" s="166"/>
      <c r="J172" s="166"/>
      <c r="K172" s="166"/>
      <c r="L172" s="166"/>
      <c r="M172" s="167" t="str">
        <f>IFERROR(__xludf.DUMMYFUNCTION("""COMPUTED_VALUE"""),"Training Weapon")</f>
        <v>Training Weapon</v>
      </c>
      <c r="N172" s="16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73">
      <c r="A173" s="163"/>
      <c r="B173" s="163"/>
      <c r="C173" s="164" t="str">
        <f>IFERROR(__xludf.DUMMYFUNCTION("""COMPUTED_VALUE"""),"Tutor Record (Bug)")</f>
        <v>Tutor Record (Bug)</v>
      </c>
      <c r="D173" s="164" t="str">
        <f>IFERROR(__xludf.DUMMYFUNCTION("""COMPUTED_VALUE"""),"When this Item is expended, the Targeted Pokemon may learn a Bug Type Tutor Attack from their List. The Targeted Pokemon must comply with Tutor Rules in order to learn an Attack this way. [Medium] [Consumable]")</f>
        <v>When this Item is expended, the Targeted Pokemon may learn a Bug Type Tutor Attack from their List. The Targeted Pokemon must comply with Tutor Rules in order to learn an Attack this way. [Medium] [Consumable]</v>
      </c>
      <c r="E173" s="165" t="str">
        <f>IFERROR(__xludf.DUMMYFUNCTION("""COMPUTED_VALUE"""),"Type Augmentor (Electric)")</f>
        <v>Type Augmentor (Electric)</v>
      </c>
      <c r="F173" s="165"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G173" s="166"/>
      <c r="H173" s="166"/>
      <c r="I173" s="166"/>
      <c r="J173" s="166"/>
      <c r="K173" s="166"/>
      <c r="L173" s="166"/>
      <c r="M173" s="167" t="str">
        <f>IFERROR(__xludf.DUMMYFUNCTION("""COMPUTED_VALUE"""),"Transfer Rune [Occult]")</f>
        <v>Transfer Rune [Occult]</v>
      </c>
      <c r="N173" s="167" t="str">
        <f>IFERROR(__xludf.DUMMYFUNCTION("""COMPUTED_VALUE"""),"Cost: 6 Counters
Effect: Choose a Pokemon and one of their Capabilities. The creature that expends this Item gains that Capability until the end of the day. The chosen Pokemon cannot use that Capability until the recipient loses it. This can only be used "&amp;"by a Rune Master [Small] [Consumable]
Advanced: The chosen Pokemon keeps the chosen Capability. When this item is expended, you may instead have up to 3 creatures gain the Capability.")</f>
        <v>Cost: 6 Counters
Effect: Choose a Pokemon and one of their Capabilities. The creature that expends this Item gains that Capability until the end of the day. The chosen Pokemon cannot use that Capability until the recipient loses it. This can only be used by a Rune Master [Small] [Consumable]
Advanced: The chosen Pokemon keeps the chosen Capability. When this item is expended, you may instead have up to 3 creatures gain the Capability.</v>
      </c>
    </row>
    <row r="174">
      <c r="A174" s="163"/>
      <c r="B174" s="163"/>
      <c r="C174" s="164" t="str">
        <f>IFERROR(__xludf.DUMMYFUNCTION("""COMPUTED_VALUE"""),"Tutor Record (Dark)")</f>
        <v>Tutor Record (Dark)</v>
      </c>
      <c r="D174" s="164" t="str">
        <f>IFERROR(__xludf.DUMMYFUNCTION("""COMPUTED_VALUE"""),"When this Item is expended, the Targeted Pokemon may learn a Dark Type Tutor Attack from their List. The Targeted Pokemon must comply with Tutor Rules in order to learn an Attack this way. [Medium] [Consumable]")</f>
        <v>When this Item is expended, the Targeted Pokemon may learn a Dark Type Tutor Attack from their List. The Targeted Pokemon must comply with Tutor Rules in order to learn an Attack this way. [Medium] [Consumable]</v>
      </c>
      <c r="E174" s="165" t="str">
        <f>IFERROR(__xludf.DUMMYFUNCTION("""COMPUTED_VALUE"""),"Type Augmentor (Fairy)")</f>
        <v>Type Augmentor (Fairy)</v>
      </c>
      <c r="F174" s="165"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G174" s="166"/>
      <c r="H174" s="166"/>
      <c r="I174" s="166"/>
      <c r="J174" s="166"/>
      <c r="K174" s="166"/>
      <c r="L174" s="166"/>
      <c r="M174" s="167" t="str">
        <f>IFERROR(__xludf.DUMMYFUNCTION("""COMPUTED_VALUE"""),"Trap Set")</f>
        <v>Trap Set</v>
      </c>
      <c r="N174" s="167" t="str">
        <f>IFERROR(__xludf.DUMMYFUNCTION("""COMPUTED_VALUE"""),"When this Item is created, designate a Target that it is designed to Trap and the Effects upon the Trap Triggering. This Item may be expended as a Downtime Action to set the Trap. A Luck Roll may be used to determine the success rate of the Trap or it may"&amp;" be an opposed Check of the Target to detect the Trap when relevant. [Medium] [Consumable]")</f>
        <v>When this Item is created, designate a Target that it is designed to Trap and the Effects upon the Trap Triggering. This Item may be expended as a Downtime Action to set the Trap. A Luck Roll may be used to determine the success rate of the Trap or it may be an opposed Check of the Target to detect the Trap when relevant. [Medium] [Consumable]</v>
      </c>
    </row>
    <row r="175">
      <c r="A175" s="163"/>
      <c r="B175" s="163"/>
      <c r="C175" s="164" t="str">
        <f>IFERROR(__xludf.DUMMYFUNCTION("""COMPUTED_VALUE"""),"Tutor Record (Dragon)")</f>
        <v>Tutor Record (Dragon)</v>
      </c>
      <c r="D175" s="164" t="str">
        <f>IFERROR(__xludf.DUMMYFUNCTION("""COMPUTED_VALUE"""),"When this Item is expended, the Targeted Pokemon may learn a Dragon Type Tutor Attack from their List. The Targeted Pokemon must comply with Tutor Rules in order to learn an Attack this way. [Medium] [Consumable]")</f>
        <v>When this Item is expended, the Targeted Pokemon may learn a Dragon Type Tutor Attack from their List. The Targeted Pokemon must comply with Tutor Rules in order to learn an Attack this way. [Medium] [Consumable]</v>
      </c>
      <c r="E175" s="165" t="str">
        <f>IFERROR(__xludf.DUMMYFUNCTION("""COMPUTED_VALUE"""),"Type Augmentor (Fighting)")</f>
        <v>Type Augmentor (Fighting)</v>
      </c>
      <c r="F175" s="165"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G175" s="166"/>
      <c r="H175" s="166"/>
      <c r="I175" s="166"/>
      <c r="J175" s="166"/>
      <c r="K175" s="166"/>
      <c r="L175" s="166"/>
      <c r="M175" s="167" t="str">
        <f>IFERROR(__xludf.DUMMYFUNCTION("""COMPUTED_VALUE"""),"Travel Set")</f>
        <v>Travel Set</v>
      </c>
      <c r="N175" s="167" t="str">
        <f>IFERROR(__xludf.DUMMYFUNCTION("""COMPUTED_VALUE"""),"Upon this Item's Creation, choose a type of Item that can be crafted. While this Item is in your Inventory, you have the tools to perform the Crafting Downtime Action while on a Journey. You need Ingredients equal to the Crafting Cost in order to create i"&amp;"t. [Medium]")</f>
        <v>Upon this Item's Creation, choose a type of Item that can be crafted. While this Item is in your Inventory, you have the tools to perform the Crafting Downtime Action while on a Journey. You need Ingredients equal to the Crafting Cost in order to create it. [Medium]</v>
      </c>
    </row>
    <row r="176">
      <c r="A176" s="163"/>
      <c r="B176" s="163"/>
      <c r="C176" s="164" t="str">
        <f>IFERROR(__xludf.DUMMYFUNCTION("""COMPUTED_VALUE"""),"Tutor Record (Electric)")</f>
        <v>Tutor Record (Electric)</v>
      </c>
      <c r="D176" s="164" t="str">
        <f>IFERROR(__xludf.DUMMYFUNCTION("""COMPUTED_VALUE"""),"When this Item is expended, the Targeted Pokemon may learn an Electric Type Tutor Attack from their List. The Targeted Pokemon must comply with Tutor Rules in order to learn an Attack this way. [Medium] [Consumable]")</f>
        <v>When this Item is expended, the Targeted Pokemon may learn an Electric Type Tutor Attack from their List. The Targeted Pokemon must comply with Tutor Rules in order to learn an Attack this way. [Medium] [Consumable]</v>
      </c>
      <c r="E176" s="165" t="str">
        <f>IFERROR(__xludf.DUMMYFUNCTION("""COMPUTED_VALUE"""),"Type Augmentor (Fire)")</f>
        <v>Type Augmentor (Fire)</v>
      </c>
      <c r="F176" s="165"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G176" s="166"/>
      <c r="H176" s="166"/>
      <c r="I176" s="166"/>
      <c r="J176" s="166"/>
      <c r="K176" s="166"/>
      <c r="L176" s="166"/>
      <c r="M176" s="167" t="str">
        <f>IFERROR(__xludf.DUMMYFUNCTION("""COMPUTED_VALUE"""),"Tutor Record (Bug)")</f>
        <v>Tutor Record (Bug)</v>
      </c>
      <c r="N176" s="167" t="str">
        <f>IFERROR(__xludf.DUMMYFUNCTION("""COMPUTED_VALUE"""),"When this Item is expended, the Targeted Pokemon may learn a Bug Type Tutor Attack from their List. The Targeted Pokemon must comply with Tutor Rules in order to learn an Attack this way. [Medium] [Consumable]")</f>
        <v>When this Item is expended, the Targeted Pokemon may learn a Bug Type Tutor Attack from their List. The Targeted Pokemon must comply with Tutor Rules in order to learn an Attack this way. [Medium] [Consumable]</v>
      </c>
    </row>
    <row r="177">
      <c r="A177" s="163"/>
      <c r="B177" s="163"/>
      <c r="C177" s="164" t="str">
        <f>IFERROR(__xludf.DUMMYFUNCTION("""COMPUTED_VALUE"""),"Tutor Record (Fairy)")</f>
        <v>Tutor Record (Fairy)</v>
      </c>
      <c r="D177" s="164" t="str">
        <f>IFERROR(__xludf.DUMMYFUNCTION("""COMPUTED_VALUE"""),"When this Item is expended, the Targeted Pokemon may learn a Fairy Type Tutor Attack from their List. The Targeted Pokemon must comply with Tutor Rules in order to learn an Attack this way. [Medium] [Consumable]")</f>
        <v>When this Item is expended, the Targeted Pokemon may learn a Fairy Type Tutor Attack from their List. The Targeted Pokemon must comply with Tutor Rules in order to learn an Attack this way. [Medium] [Consumable]</v>
      </c>
      <c r="E177" s="165" t="str">
        <f>IFERROR(__xludf.DUMMYFUNCTION("""COMPUTED_VALUE"""),"Type Augmentor (Flying)")</f>
        <v>Type Augmentor (Flying)</v>
      </c>
      <c r="F177" s="165"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G177" s="166"/>
      <c r="H177" s="166"/>
      <c r="I177" s="166"/>
      <c r="J177" s="166"/>
      <c r="K177" s="166"/>
      <c r="L177" s="166"/>
      <c r="M177" s="167" t="str">
        <f>IFERROR(__xludf.DUMMYFUNCTION("""COMPUTED_VALUE"""),"Tutor Record (Dark)")</f>
        <v>Tutor Record (Dark)</v>
      </c>
      <c r="N177" s="167" t="str">
        <f>IFERROR(__xludf.DUMMYFUNCTION("""COMPUTED_VALUE"""),"When this Item is expended, the Targeted Pokemon may learn a Dark Type Tutor Attack from their List. The Targeted Pokemon must comply with Tutor Rules in order to learn an Attack this way. [Medium] [Consumable]")</f>
        <v>When this Item is expended, the Targeted Pokemon may learn a Dark Type Tutor Attack from their List. The Targeted Pokemon must comply with Tutor Rules in order to learn an Attack this way. [Medium] [Consumable]</v>
      </c>
    </row>
    <row r="178">
      <c r="A178" s="163"/>
      <c r="B178" s="163"/>
      <c r="C178" s="164" t="str">
        <f>IFERROR(__xludf.DUMMYFUNCTION("""COMPUTED_VALUE"""),"Tutor Record (Fighting)")</f>
        <v>Tutor Record (Fighting)</v>
      </c>
      <c r="D178" s="164" t="str">
        <f>IFERROR(__xludf.DUMMYFUNCTION("""COMPUTED_VALUE"""),"When this Item is expended, the Targeted Pokemon may learn a Fighting Type Tutor Attack from their List. The Targeted Pokemon must comply with Tutor Rules in order to learn an Attack this way. [Medium] [Consumable]")</f>
        <v>When this Item is expended, the Targeted Pokemon may learn a Fighting Type Tutor Attack from their List. The Targeted Pokemon must comply with Tutor Rules in order to learn an Attack this way. [Medium] [Consumable]</v>
      </c>
      <c r="E178" s="165" t="str">
        <f>IFERROR(__xludf.DUMMYFUNCTION("""COMPUTED_VALUE"""),"Type Augmentor (Ghost)")</f>
        <v>Type Augmentor (Ghost)</v>
      </c>
      <c r="F178" s="165"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G178" s="166"/>
      <c r="H178" s="166"/>
      <c r="I178" s="166"/>
      <c r="J178" s="166"/>
      <c r="K178" s="166"/>
      <c r="L178" s="166"/>
      <c r="M178" s="167" t="str">
        <f>IFERROR(__xludf.DUMMYFUNCTION("""COMPUTED_VALUE"""),"Tutor Record (Dragon)")</f>
        <v>Tutor Record (Dragon)</v>
      </c>
      <c r="N178" s="167" t="str">
        <f>IFERROR(__xludf.DUMMYFUNCTION("""COMPUTED_VALUE"""),"When this Item is expended, the Targeted Pokemon may learn a Dragon Type Tutor Attack from their List. The Targeted Pokemon must comply with Tutor Rules in order to learn an Attack this way. [Medium] [Consumable]")</f>
        <v>When this Item is expended, the Targeted Pokemon may learn a Dragon Type Tutor Attack from their List. The Targeted Pokemon must comply with Tutor Rules in order to learn an Attack this way. [Medium] [Consumable]</v>
      </c>
    </row>
    <row r="179">
      <c r="A179" s="163"/>
      <c r="B179" s="163"/>
      <c r="C179" s="164" t="str">
        <f>IFERROR(__xludf.DUMMYFUNCTION("""COMPUTED_VALUE"""),"Tutor Record (Fire)")</f>
        <v>Tutor Record (Fire)</v>
      </c>
      <c r="D179" s="164" t="str">
        <f>IFERROR(__xludf.DUMMYFUNCTION("""COMPUTED_VALUE"""),"When this Item is expended, the Targeted Pokemon may learn a Fire Type Tutor Attack from their List. The Targeted Pokemon must comply with Tutor Rules in order to learn an Attack this way. [Medium] [Consumable]")</f>
        <v>When this Item is expended, the Targeted Pokemon may learn a Fire Type Tutor Attack from their List. The Targeted Pokemon must comply with Tutor Rules in order to learn an Attack this way. [Medium] [Consumable]</v>
      </c>
      <c r="E179" s="165" t="str">
        <f>IFERROR(__xludf.DUMMYFUNCTION("""COMPUTED_VALUE"""),"Type Augmentor (Grass)")</f>
        <v>Type Augmentor (Grass)</v>
      </c>
      <c r="F179" s="165"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G179" s="166"/>
      <c r="H179" s="166"/>
      <c r="I179" s="166"/>
      <c r="J179" s="166"/>
      <c r="K179" s="166"/>
      <c r="L179" s="166"/>
      <c r="M179" s="167" t="str">
        <f>IFERROR(__xludf.DUMMYFUNCTION("""COMPUTED_VALUE"""),"Tutor Record (Electric)")</f>
        <v>Tutor Record (Electric)</v>
      </c>
      <c r="N179" s="167" t="str">
        <f>IFERROR(__xludf.DUMMYFUNCTION("""COMPUTED_VALUE"""),"When this Item is expended, the Targeted Pokemon may learn an Electric Type Tutor Attack from their List. The Targeted Pokemon must comply with Tutor Rules in order to learn an Attack this way. [Medium] [Consumable]")</f>
        <v>When this Item is expended, the Targeted Pokemon may learn an Electric Type Tutor Attack from their List. The Targeted Pokemon must comply with Tutor Rules in order to learn an Attack this way. [Medium] [Consumable]</v>
      </c>
    </row>
    <row r="180">
      <c r="A180" s="163"/>
      <c r="B180" s="163"/>
      <c r="C180" s="164" t="str">
        <f>IFERROR(__xludf.DUMMYFUNCTION("""COMPUTED_VALUE"""),"Tutor Record (Flying)")</f>
        <v>Tutor Record (Flying)</v>
      </c>
      <c r="D180" s="164" t="str">
        <f>IFERROR(__xludf.DUMMYFUNCTION("""COMPUTED_VALUE"""),"When this Item is expended, the Targeted Pokemon may learn a Flying Type Tutor Attack from their List. The Targeted Pokemon must comply with Tutor Rules in order to learn an Attack this way. [Medium] [Consumable]")</f>
        <v>When this Item is expended, the Targeted Pokemon may learn a Flying Type Tutor Attack from their List. The Targeted Pokemon must comply with Tutor Rules in order to learn an Attack this way. [Medium] [Consumable]</v>
      </c>
      <c r="E180" s="165" t="str">
        <f>IFERROR(__xludf.DUMMYFUNCTION("""COMPUTED_VALUE"""),"Type Augmentor (Ground)")</f>
        <v>Type Augmentor (Ground)</v>
      </c>
      <c r="F180" s="165"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G180" s="166"/>
      <c r="H180" s="166"/>
      <c r="I180" s="166"/>
      <c r="J180" s="166"/>
      <c r="K180" s="166"/>
      <c r="L180" s="166"/>
      <c r="M180" s="167" t="str">
        <f>IFERROR(__xludf.DUMMYFUNCTION("""COMPUTED_VALUE"""),"Tutor Record (Fairy)")</f>
        <v>Tutor Record (Fairy)</v>
      </c>
      <c r="N180" s="167" t="str">
        <f>IFERROR(__xludf.DUMMYFUNCTION("""COMPUTED_VALUE"""),"When this Item is expended, the Targeted Pokemon may learn a Fairy Type Tutor Attack from their List. The Targeted Pokemon must comply with Tutor Rules in order to learn an Attack this way. [Medium] [Consumable]")</f>
        <v>When this Item is expended, the Targeted Pokemon may learn a Fairy Type Tutor Attack from their List. The Targeted Pokemon must comply with Tutor Rules in order to learn an Attack this way. [Medium] [Consumable]</v>
      </c>
    </row>
    <row r="181">
      <c r="A181" s="163"/>
      <c r="B181" s="163"/>
      <c r="C181" s="164" t="str">
        <f>IFERROR(__xludf.DUMMYFUNCTION("""COMPUTED_VALUE"""),"Tutor Record (Ghost)")</f>
        <v>Tutor Record (Ghost)</v>
      </c>
      <c r="D181" s="164" t="str">
        <f>IFERROR(__xludf.DUMMYFUNCTION("""COMPUTED_VALUE"""),"When this Item is expended, the Targeted Pokemon may learn a Ghost Type Tutor Attack from their List. The Targeted Pokemon must comply with Tutor Rules in order to learn an Attack this way. [Medium] [Consumable]")</f>
        <v>When this Item is expended, the Targeted Pokemon may learn a Ghost Type Tutor Attack from their List. The Targeted Pokemon must comply with Tutor Rules in order to learn an Attack this way. [Medium] [Consumable]</v>
      </c>
      <c r="E181" s="165" t="str">
        <f>IFERROR(__xludf.DUMMYFUNCTION("""COMPUTED_VALUE"""),"Type Augmentor (Ice)")</f>
        <v>Type Augmentor (Ice)</v>
      </c>
      <c r="F181" s="165"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G181" s="166"/>
      <c r="H181" s="166"/>
      <c r="I181" s="166"/>
      <c r="J181" s="166"/>
      <c r="K181" s="166"/>
      <c r="L181" s="166"/>
      <c r="M181" s="167" t="str">
        <f>IFERROR(__xludf.DUMMYFUNCTION("""COMPUTED_VALUE"""),"Tutor Record (Fighting)")</f>
        <v>Tutor Record (Fighting)</v>
      </c>
      <c r="N181" s="167" t="str">
        <f>IFERROR(__xludf.DUMMYFUNCTION("""COMPUTED_VALUE"""),"When this Item is expended, the Targeted Pokemon may learn a Fighting Type Tutor Attack from their List. The Targeted Pokemon must comply with Tutor Rules in order to learn an Attack this way. [Medium] [Consumable]")</f>
        <v>When this Item is expended, the Targeted Pokemon may learn a Fighting Type Tutor Attack from their List. The Targeted Pokemon must comply with Tutor Rules in order to learn an Attack this way. [Medium] [Consumable]</v>
      </c>
    </row>
    <row r="182">
      <c r="A182" s="163"/>
      <c r="B182" s="163"/>
      <c r="C182" s="164" t="str">
        <f>IFERROR(__xludf.DUMMYFUNCTION("""COMPUTED_VALUE"""),"Tutor Record (Grass)")</f>
        <v>Tutor Record (Grass)</v>
      </c>
      <c r="D182" s="164" t="str">
        <f>IFERROR(__xludf.DUMMYFUNCTION("""COMPUTED_VALUE"""),"When this Item is expended, the Targeted Pokemon may learn a Grass Type Tutor Attack from their List. The Targeted Pokemon must comply with Tutor Rules in order to learn an Attack this way. [Medium] [Consumable]")</f>
        <v>When this Item is expended, the Targeted Pokemon may learn a Grass Type Tutor Attack from their List. The Targeted Pokemon must comply with Tutor Rules in order to learn an Attack this way. [Medium] [Consumable]</v>
      </c>
      <c r="E182" s="165" t="str">
        <f>IFERROR(__xludf.DUMMYFUNCTION("""COMPUTED_VALUE"""),"Type Augmentor (Normal)")</f>
        <v>Type Augmentor (Normal)</v>
      </c>
      <c r="F182" s="165"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G182" s="166"/>
      <c r="H182" s="166"/>
      <c r="I182" s="166"/>
      <c r="J182" s="166"/>
      <c r="K182" s="166"/>
      <c r="L182" s="166"/>
      <c r="M182" s="167" t="str">
        <f>IFERROR(__xludf.DUMMYFUNCTION("""COMPUTED_VALUE"""),"Tutor Record (Fire)")</f>
        <v>Tutor Record (Fire)</v>
      </c>
      <c r="N182" s="167" t="str">
        <f>IFERROR(__xludf.DUMMYFUNCTION("""COMPUTED_VALUE"""),"When this Item is expended, the Targeted Pokemon may learn a Fire Type Tutor Attack from their List. The Targeted Pokemon must comply with Tutor Rules in order to learn an Attack this way. [Medium] [Consumable]")</f>
        <v>When this Item is expended, the Targeted Pokemon may learn a Fire Type Tutor Attack from their List. The Targeted Pokemon must comply with Tutor Rules in order to learn an Attack this way. [Medium] [Consumable]</v>
      </c>
    </row>
    <row r="183">
      <c r="A183" s="163"/>
      <c r="B183" s="163"/>
      <c r="C183" s="164" t="str">
        <f>IFERROR(__xludf.DUMMYFUNCTION("""COMPUTED_VALUE"""),"Tutor Record (Ground)")</f>
        <v>Tutor Record (Ground)</v>
      </c>
      <c r="D183" s="164" t="str">
        <f>IFERROR(__xludf.DUMMYFUNCTION("""COMPUTED_VALUE"""),"When this Item is expended, the Targeted Pokemon may learn a Ground Type Tutor Attack from their List. The Targeted Pokemon must comply with Tutor Rules in order to learn an Attack this way. [Medium] [Consumable]")</f>
        <v>When this Item is expended, the Targeted Pokemon may learn a Ground Type Tutor Attack from their List. The Targeted Pokemon must comply with Tutor Rules in order to learn an Attack this way. [Medium] [Consumable]</v>
      </c>
      <c r="E183" s="165" t="str">
        <f>IFERROR(__xludf.DUMMYFUNCTION("""COMPUTED_VALUE"""),"Type Augmentor (Poison)")</f>
        <v>Type Augmentor (Poison)</v>
      </c>
      <c r="F183" s="165"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G183" s="166"/>
      <c r="H183" s="166"/>
      <c r="I183" s="166"/>
      <c r="J183" s="166"/>
      <c r="K183" s="166"/>
      <c r="L183" s="166"/>
      <c r="M183" s="167" t="str">
        <f>IFERROR(__xludf.DUMMYFUNCTION("""COMPUTED_VALUE"""),"Tutor Record (Flying)")</f>
        <v>Tutor Record (Flying)</v>
      </c>
      <c r="N183" s="167" t="str">
        <f>IFERROR(__xludf.DUMMYFUNCTION("""COMPUTED_VALUE"""),"When this Item is expended, the Targeted Pokemon may learn a Flying Type Tutor Attack from their List. The Targeted Pokemon must comply with Tutor Rules in order to learn an Attack this way. [Medium] [Consumable]")</f>
        <v>When this Item is expended, the Targeted Pokemon may learn a Flying Type Tutor Attack from their List. The Targeted Pokemon must comply with Tutor Rules in order to learn an Attack this way. [Medium] [Consumable]</v>
      </c>
    </row>
    <row r="184">
      <c r="A184" s="163"/>
      <c r="B184" s="163"/>
      <c r="C184" s="164" t="str">
        <f>IFERROR(__xludf.DUMMYFUNCTION("""COMPUTED_VALUE"""),"Tutor Record (Ice)")</f>
        <v>Tutor Record (Ice)</v>
      </c>
      <c r="D184" s="164" t="str">
        <f>IFERROR(__xludf.DUMMYFUNCTION("""COMPUTED_VALUE"""),"When this Item is expended, the Targeted Pokemon may learn an Ice Type Tutor Attack from their List. The Targeted Pokemon must comply with Tutor Rules in order to learn an Attack this way. [Medium] [Consumable]")</f>
        <v>When this Item is expended, the Targeted Pokemon may learn an Ice Type Tutor Attack from their List. The Targeted Pokemon must comply with Tutor Rules in order to learn an Attack this way. [Medium] [Consumable]</v>
      </c>
      <c r="E184" s="165" t="str">
        <f>IFERROR(__xludf.DUMMYFUNCTION("""COMPUTED_VALUE"""),"Type Augmentor (Psychic)")</f>
        <v>Type Augmentor (Psychic)</v>
      </c>
      <c r="F184" s="165"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G184" s="166"/>
      <c r="H184" s="166"/>
      <c r="I184" s="166"/>
      <c r="J184" s="166"/>
      <c r="K184" s="166"/>
      <c r="L184" s="166"/>
      <c r="M184" s="167" t="str">
        <f>IFERROR(__xludf.DUMMYFUNCTION("""COMPUTED_VALUE"""),"Tutor Record (Ghost)")</f>
        <v>Tutor Record (Ghost)</v>
      </c>
      <c r="N184" s="167" t="str">
        <f>IFERROR(__xludf.DUMMYFUNCTION("""COMPUTED_VALUE"""),"When this Item is expended, the Targeted Pokemon may learn a Ghost Type Tutor Attack from their List. The Targeted Pokemon must comply with Tutor Rules in order to learn an Attack this way. [Medium] [Consumable]")</f>
        <v>When this Item is expended, the Targeted Pokemon may learn a Ghost Type Tutor Attack from their List. The Targeted Pokemon must comply with Tutor Rules in order to learn an Attack this way. [Medium] [Consumable]</v>
      </c>
    </row>
    <row r="185">
      <c r="A185" s="163"/>
      <c r="B185" s="163"/>
      <c r="C185" s="164" t="str">
        <f>IFERROR(__xludf.DUMMYFUNCTION("""COMPUTED_VALUE"""),"Tutor Record (Normal)")</f>
        <v>Tutor Record (Normal)</v>
      </c>
      <c r="D185" s="164" t="str">
        <f>IFERROR(__xludf.DUMMYFUNCTION("""COMPUTED_VALUE"""),"When this Item is expended, the Targeted Pokemon may learn a Normal Type Tutor Attack from their List. The Targeted Pokemon must comply with Tutor Rules in order to learn an Attack this way. [Medium] [Consumable]")</f>
        <v>When this Item is expended, the Targeted Pokemon may learn a Normal Type Tutor Attack from their List. The Targeted Pokemon must comply with Tutor Rules in order to learn an Attack this way. [Medium] [Consumable]</v>
      </c>
      <c r="E185" s="165" t="str">
        <f>IFERROR(__xludf.DUMMYFUNCTION("""COMPUTED_VALUE"""),"Type Augmentor (Rock)")</f>
        <v>Type Augmentor (Rock)</v>
      </c>
      <c r="F185" s="165"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G185" s="166"/>
      <c r="H185" s="166"/>
      <c r="I185" s="166"/>
      <c r="J185" s="166"/>
      <c r="K185" s="166"/>
      <c r="L185" s="166"/>
      <c r="M185" s="167" t="str">
        <f>IFERROR(__xludf.DUMMYFUNCTION("""COMPUTED_VALUE"""),"Tutor Record (Grass)")</f>
        <v>Tutor Record (Grass)</v>
      </c>
      <c r="N185" s="167" t="str">
        <f>IFERROR(__xludf.DUMMYFUNCTION("""COMPUTED_VALUE"""),"When this Item is expended, the Targeted Pokemon may learn a Grass Type Tutor Attack from their List. The Targeted Pokemon must comply with Tutor Rules in order to learn an Attack this way. [Medium] [Consumable]")</f>
        <v>When this Item is expended, the Targeted Pokemon may learn a Grass Type Tutor Attack from their List. The Targeted Pokemon must comply with Tutor Rules in order to learn an Attack this way. [Medium] [Consumable]</v>
      </c>
    </row>
    <row r="186">
      <c r="A186" s="163"/>
      <c r="B186" s="163"/>
      <c r="C186" s="164" t="str">
        <f>IFERROR(__xludf.DUMMYFUNCTION("""COMPUTED_VALUE"""),"Tutor Record (Poison)")</f>
        <v>Tutor Record (Poison)</v>
      </c>
      <c r="D186" s="164" t="str">
        <f>IFERROR(__xludf.DUMMYFUNCTION("""COMPUTED_VALUE"""),"When this Item is expended, the Targeted Pokemon may learn a Poison Type Tutor Attack from their List. The Targeted Pokemon must comply with Tutor Rules in order to learn an Attack this way. [Medium] [Consumable]")</f>
        <v>When this Item is expended, the Targeted Pokemon may learn a Poison Type Tutor Attack from their List. The Targeted Pokemon must comply with Tutor Rules in order to learn an Attack this way. [Medium] [Consumable]</v>
      </c>
      <c r="E186" s="165" t="str">
        <f>IFERROR(__xludf.DUMMYFUNCTION("""COMPUTED_VALUE"""),"Type Augmentor (Steel)")</f>
        <v>Type Augmentor (Steel)</v>
      </c>
      <c r="F186" s="165"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G186" s="166"/>
      <c r="H186" s="166"/>
      <c r="I186" s="166"/>
      <c r="J186" s="166"/>
      <c r="K186" s="166"/>
      <c r="L186" s="166"/>
      <c r="M186" s="167" t="str">
        <f>IFERROR(__xludf.DUMMYFUNCTION("""COMPUTED_VALUE"""),"Tutor Record (Ground)")</f>
        <v>Tutor Record (Ground)</v>
      </c>
      <c r="N186" s="167" t="str">
        <f>IFERROR(__xludf.DUMMYFUNCTION("""COMPUTED_VALUE"""),"When this Item is expended, the Targeted Pokemon may learn a Ground Type Tutor Attack from their List. The Targeted Pokemon must comply with Tutor Rules in order to learn an Attack this way. [Medium] [Consumable]")</f>
        <v>When this Item is expended, the Targeted Pokemon may learn a Ground Type Tutor Attack from their List. The Targeted Pokemon must comply with Tutor Rules in order to learn an Attack this way. [Medium] [Consumable]</v>
      </c>
    </row>
    <row r="187">
      <c r="A187" s="163"/>
      <c r="B187" s="163"/>
      <c r="C187" s="164" t="str">
        <f>IFERROR(__xludf.DUMMYFUNCTION("""COMPUTED_VALUE"""),"Tutor Record (Psychic)")</f>
        <v>Tutor Record (Psychic)</v>
      </c>
      <c r="D187" s="164" t="str">
        <f>IFERROR(__xludf.DUMMYFUNCTION("""COMPUTED_VALUE"""),"When this Item is expended, the Targeted Pokemon may learn a Psychic Type Tutor Attack from their List. The Targeted Pokemon must comply with Tutor Rules in order to learn an Attack this way. [Medium] [Consumable]")</f>
        <v>When this Item is expended, the Targeted Pokemon may learn a Psychic Type Tutor Attack from their List. The Targeted Pokemon must comply with Tutor Rules in order to learn an Attack this way. [Medium] [Consumable]</v>
      </c>
      <c r="E187" s="165" t="str">
        <f>IFERROR(__xludf.DUMMYFUNCTION("""COMPUTED_VALUE"""),"Type Augmentor (Water)")</f>
        <v>Type Augmentor (Water)</v>
      </c>
      <c r="F187" s="165"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G187" s="166"/>
      <c r="H187" s="166"/>
      <c r="I187" s="166"/>
      <c r="J187" s="166"/>
      <c r="K187" s="166"/>
      <c r="L187" s="166"/>
      <c r="M187" s="167" t="str">
        <f>IFERROR(__xludf.DUMMYFUNCTION("""COMPUTED_VALUE"""),"Tutor Record (Ice)")</f>
        <v>Tutor Record (Ice)</v>
      </c>
      <c r="N187" s="167" t="str">
        <f>IFERROR(__xludf.DUMMYFUNCTION("""COMPUTED_VALUE"""),"When this Item is expended, the Targeted Pokemon may learn an Ice Type Tutor Attack from their List. The Targeted Pokemon must comply with Tutor Rules in order to learn an Attack this way. [Medium] [Consumable]")</f>
        <v>When this Item is expended, the Targeted Pokemon may learn an Ice Type Tutor Attack from their List. The Targeted Pokemon must comply with Tutor Rules in order to learn an Attack this way. [Medium] [Consumable]</v>
      </c>
    </row>
    <row r="188">
      <c r="A188" s="163"/>
      <c r="B188" s="163"/>
      <c r="C188" s="164" t="str">
        <f>IFERROR(__xludf.DUMMYFUNCTION("""COMPUTED_VALUE"""),"Tutor Record (Rock)")</f>
        <v>Tutor Record (Rock)</v>
      </c>
      <c r="D188" s="164" t="str">
        <f>IFERROR(__xludf.DUMMYFUNCTION("""COMPUTED_VALUE"""),"When this Item is expended, the Targeted Pokemon may learn a Rock Type Tutor Attack from their List. The Targeted Pokemon must comply with Tutor Rules in order to learn an Attack this way. [Medium] [Consumable]")</f>
        <v>When this Item is expended, the Targeted Pokemon may learn a Rock Type Tutor Attack from their List. The Targeted Pokemon must comply with Tutor Rules in order to learn an Attack this way. [Medium] [Consumable]</v>
      </c>
      <c r="E188" s="165" t="str">
        <f>IFERROR(__xludf.DUMMYFUNCTION("""COMPUTED_VALUE"""),"Type Augmentor (X)")</f>
        <v>Type Augmentor (X)</v>
      </c>
      <c r="F188" s="165"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G188" s="166"/>
      <c r="H188" s="166"/>
      <c r="I188" s="166"/>
      <c r="J188" s="166"/>
      <c r="K188" s="166"/>
      <c r="L188" s="166"/>
      <c r="M188" s="167" t="str">
        <f>IFERROR(__xludf.DUMMYFUNCTION("""COMPUTED_VALUE"""),"Tutor Record (Normal)")</f>
        <v>Tutor Record (Normal)</v>
      </c>
      <c r="N188" s="167" t="str">
        <f>IFERROR(__xludf.DUMMYFUNCTION("""COMPUTED_VALUE"""),"When this Item is expended, the Targeted Pokemon may learn a Normal Type Tutor Attack from their List. The Targeted Pokemon must comply with Tutor Rules in order to learn an Attack this way. [Medium] [Consumable]")</f>
        <v>When this Item is expended, the Targeted Pokemon may learn a Normal Type Tutor Attack from their List. The Targeted Pokemon must comply with Tutor Rules in order to learn an Attack this way. [Medium] [Consumable]</v>
      </c>
    </row>
    <row r="189">
      <c r="A189" s="163"/>
      <c r="B189" s="163"/>
      <c r="C189" s="164" t="str">
        <f>IFERROR(__xludf.DUMMYFUNCTION("""COMPUTED_VALUE"""),"Tutor Record (Steel)")</f>
        <v>Tutor Record (Steel)</v>
      </c>
      <c r="D189" s="164" t="str">
        <f>IFERROR(__xludf.DUMMYFUNCTION("""COMPUTED_VALUE"""),"When this Item is expended, the Targeted Pokemon may learn a Steel Type Tutor Attack from their List. The Targeted Pokemon must comply with Tutor Rules in order to learn an Attack this way. [Medium] [Consumable]")</f>
        <v>When this Item is expended, the Targeted Pokemon may learn a Steel Type Tutor Attack from their List. The Targeted Pokemon must comply with Tutor Rules in order to learn an Attack this way. [Medium] [Consumable]</v>
      </c>
      <c r="E189" s="165" t="str">
        <f>IFERROR(__xludf.DUMMYFUNCTION("""COMPUTED_VALUE"""),"Type Booster (Bug)")</f>
        <v>Type Booster (Bug)</v>
      </c>
      <c r="F189" s="165"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G189" s="166"/>
      <c r="H189" s="166"/>
      <c r="I189" s="166"/>
      <c r="J189" s="166"/>
      <c r="K189" s="166"/>
      <c r="L189" s="166"/>
      <c r="M189" s="167" t="str">
        <f>IFERROR(__xludf.DUMMYFUNCTION("""COMPUTED_VALUE"""),"Tutor Record (Poison)")</f>
        <v>Tutor Record (Poison)</v>
      </c>
      <c r="N189" s="167" t="str">
        <f>IFERROR(__xludf.DUMMYFUNCTION("""COMPUTED_VALUE"""),"When this Item is expended, the Targeted Pokemon may learn a Poison Type Tutor Attack from their List. The Targeted Pokemon must comply with Tutor Rules in order to learn an Attack this way. [Medium] [Consumable]")</f>
        <v>When this Item is expended, the Targeted Pokemon may learn a Poison Type Tutor Attack from their List. The Targeted Pokemon must comply with Tutor Rules in order to learn an Attack this way. [Medium] [Consumable]</v>
      </c>
    </row>
    <row r="190">
      <c r="A190" s="163"/>
      <c r="B190" s="163"/>
      <c r="C190" s="164" t="str">
        <f>IFERROR(__xludf.DUMMYFUNCTION("""COMPUTED_VALUE"""),"Tutor Record (Tier 1)")</f>
        <v>Tutor Record (Tier 1)</v>
      </c>
      <c r="D190" s="164" t="str">
        <f>IFERROR(__xludf.DUMMYFUNCTION("""COMPUTED_VALUE"""),"When this Item is expended, the Targeted Pokemon may learn a Tier 1 Tutor Attack from their List. The Targeted Pokemon must comply with Tutor Rules in order to learn an Attack this way. [Medium] [Consumable]")</f>
        <v>When this Item is expended, the Targeted Pokemon may learn a Tier 1 Tutor Attack from their List. The Targeted Pokemon must comply with Tutor Rules in order to learn an Attack this way. [Medium] [Consumable]</v>
      </c>
      <c r="E190" s="165" t="str">
        <f>IFERROR(__xludf.DUMMYFUNCTION("""COMPUTED_VALUE"""),"Type Booster (Dark)")</f>
        <v>Type Booster (Dark)</v>
      </c>
      <c r="F190" s="165"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G190" s="166"/>
      <c r="H190" s="166"/>
      <c r="I190" s="166"/>
      <c r="J190" s="166"/>
      <c r="K190" s="166"/>
      <c r="L190" s="166"/>
      <c r="M190" s="167" t="str">
        <f>IFERROR(__xludf.DUMMYFUNCTION("""COMPUTED_VALUE"""),"Tutor Record (Psychic)")</f>
        <v>Tutor Record (Psychic)</v>
      </c>
      <c r="N190" s="167" t="str">
        <f>IFERROR(__xludf.DUMMYFUNCTION("""COMPUTED_VALUE"""),"When this Item is expended, the Targeted Pokemon may learn a Psychic Type Tutor Attack from their List. The Targeted Pokemon must comply with Tutor Rules in order to learn an Attack this way. [Medium] [Consumable]")</f>
        <v>When this Item is expended, the Targeted Pokemon may learn a Psychic Type Tutor Attack from their List. The Targeted Pokemon must comply with Tutor Rules in order to learn an Attack this way. [Medium] [Consumable]</v>
      </c>
    </row>
    <row r="191">
      <c r="A191" s="163"/>
      <c r="B191" s="163"/>
      <c r="C191" s="164" t="str">
        <f>IFERROR(__xludf.DUMMYFUNCTION("""COMPUTED_VALUE"""),"Tutor Record (Tier 2)")</f>
        <v>Tutor Record (Tier 2)</v>
      </c>
      <c r="D191" s="164" t="str">
        <f>IFERROR(__xludf.DUMMYFUNCTION("""COMPUTED_VALUE"""),"When this Item is expended, the Targeted Pokemon may learn a Tier 1 or 2 Tutor Attack from their List. The Targeted Pokemon must comply with Tutor Rules in order to learn an Attack this way. [Medium] [Consumable]")</f>
        <v>When this Item is expended, the Targeted Pokemon may learn a Tier 1 or 2 Tutor Attack from their List. The Targeted Pokemon must comply with Tutor Rules in order to learn an Attack this way. [Medium] [Consumable]</v>
      </c>
      <c r="E191" s="165" t="str">
        <f>IFERROR(__xludf.DUMMYFUNCTION("""COMPUTED_VALUE"""),"Type Booster (Dragon)")</f>
        <v>Type Booster (Dragon)</v>
      </c>
      <c r="F191" s="165"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G191" s="166"/>
      <c r="H191" s="166"/>
      <c r="I191" s="166"/>
      <c r="J191" s="166"/>
      <c r="K191" s="166"/>
      <c r="L191" s="166"/>
      <c r="M191" s="167" t="str">
        <f>IFERROR(__xludf.DUMMYFUNCTION("""COMPUTED_VALUE"""),"Tutor Record (Rock)")</f>
        <v>Tutor Record (Rock)</v>
      </c>
      <c r="N191" s="167" t="str">
        <f>IFERROR(__xludf.DUMMYFUNCTION("""COMPUTED_VALUE"""),"When this Item is expended, the Targeted Pokemon may learn a Rock Type Tutor Attack from their List. The Targeted Pokemon must comply with Tutor Rules in order to learn an Attack this way. [Medium] [Consumable]")</f>
        <v>When this Item is expended, the Targeted Pokemon may learn a Rock Type Tutor Attack from their List. The Targeted Pokemon must comply with Tutor Rules in order to learn an Attack this way. [Medium] [Consumable]</v>
      </c>
    </row>
    <row r="192">
      <c r="A192" s="163"/>
      <c r="B192" s="163"/>
      <c r="C192" s="164" t="str">
        <f>IFERROR(__xludf.DUMMYFUNCTION("""COMPUTED_VALUE"""),"Tutor Record (Tier 3)")</f>
        <v>Tutor Record (Tier 3)</v>
      </c>
      <c r="D192" s="164" t="str">
        <f>IFERROR(__xludf.DUMMYFUNCTION("""COMPUTED_VALUE"""),"When this Item is expended, the Targeted Pokemon may learn any Tutor Attack from their List. The Targeted Pokemon must comply with Tutor Rules in order to learn an Attack this way. [Medium] [Consumable]")</f>
        <v>When this Item is expended, the Targeted Pokemon may learn any Tutor Attack from their List. The Targeted Pokemon must comply with Tutor Rules in order to learn an Attack this way. [Medium] [Consumable]</v>
      </c>
      <c r="E192" s="165" t="str">
        <f>IFERROR(__xludf.DUMMYFUNCTION("""COMPUTED_VALUE"""),"Type Booster (Electric)")</f>
        <v>Type Booster (Electric)</v>
      </c>
      <c r="F192" s="165"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G192" s="166"/>
      <c r="H192" s="166"/>
      <c r="I192" s="166"/>
      <c r="J192" s="166"/>
      <c r="K192" s="166"/>
      <c r="L192" s="166"/>
      <c r="M192" s="167" t="str">
        <f>IFERROR(__xludf.DUMMYFUNCTION("""COMPUTED_VALUE"""),"Tutor Record (Steel)")</f>
        <v>Tutor Record (Steel)</v>
      </c>
      <c r="N192" s="167" t="str">
        <f>IFERROR(__xludf.DUMMYFUNCTION("""COMPUTED_VALUE"""),"When this Item is expended, the Targeted Pokemon may learn a Steel Type Tutor Attack from their List. The Targeted Pokemon must comply with Tutor Rules in order to learn an Attack this way. [Medium] [Consumable]")</f>
        <v>When this Item is expended, the Targeted Pokemon may learn a Steel Type Tutor Attack from their List. The Targeted Pokemon must comply with Tutor Rules in order to learn an Attack this way. [Medium] [Consumable]</v>
      </c>
    </row>
    <row r="193">
      <c r="A193" s="163"/>
      <c r="B193" s="163"/>
      <c r="C193" s="164" t="str">
        <f>IFERROR(__xludf.DUMMYFUNCTION("""COMPUTED_VALUE"""),"Tutor Record (Water)")</f>
        <v>Tutor Record (Water)</v>
      </c>
      <c r="D193" s="164" t="str">
        <f>IFERROR(__xludf.DUMMYFUNCTION("""COMPUTED_VALUE"""),"When this Item is expended, the Targeted Pokemon may learn a Water Type Tutor Attack from their List. The Targeted Pokemon must comply with Tutor Rules in order to learn an Attack this way. [Medium] [Consumable]")</f>
        <v>When this Item is expended, the Targeted Pokemon may learn a Water Type Tutor Attack from their List. The Targeted Pokemon must comply with Tutor Rules in order to learn an Attack this way. [Medium] [Consumable]</v>
      </c>
      <c r="E193" s="165" t="str">
        <f>IFERROR(__xludf.DUMMYFUNCTION("""COMPUTED_VALUE"""),"Type Booster (Fairy)")</f>
        <v>Type Booster (Fairy)</v>
      </c>
      <c r="F193" s="165"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G193" s="166"/>
      <c r="H193" s="166"/>
      <c r="I193" s="166"/>
      <c r="J193" s="166"/>
      <c r="K193" s="166"/>
      <c r="L193" s="166"/>
      <c r="M193" s="167" t="str">
        <f>IFERROR(__xludf.DUMMYFUNCTION("""COMPUTED_VALUE"""),"Tutor Record (Tier 1)")</f>
        <v>Tutor Record (Tier 1)</v>
      </c>
      <c r="N193" s="167" t="str">
        <f>IFERROR(__xludf.DUMMYFUNCTION("""COMPUTED_VALUE"""),"When this Item is expended, the Targeted Pokemon may learn a Tier 1 Tutor Attack from their List. The Targeted Pokemon must comply with Tutor Rules in order to learn an Attack this way. [Medium] [Consumable]")</f>
        <v>When this Item is expended, the Targeted Pokemon may learn a Tier 1 Tutor Attack from their List. The Targeted Pokemon must comply with Tutor Rules in order to learn an Attack this way. [Medium] [Consumable]</v>
      </c>
    </row>
    <row r="194">
      <c r="A194" s="163"/>
      <c r="B194" s="163"/>
      <c r="C194" s="164" t="str">
        <f>IFERROR(__xludf.DUMMYFUNCTION("""COMPUTED_VALUE"""),"Tutor Record (X)")</f>
        <v>Tutor Record (X)</v>
      </c>
      <c r="D194" s="164" t="str">
        <f>IFERROR(__xludf.DUMMYFUNCTION("""COMPUTED_VALUE"""),"When this Item is created, the GM will fill in either a Tier or Type for (X). When this Item is expended, the Targeted Pokemon may learn a Tutor Attack from their List that corresponds to the Value for (X). The Targeted Pokemon must comply with Tutor Rule"&amp;"s in order to learn an Attack this way. [Medium] [Consumable]")</f>
        <v>When this Item is created, the GM will fill in either a Tier or Type for (X). When this Item is expended, the Targeted Pokemon may learn a Tutor Attack from their List that corresponds to the Value for (X). The Targeted Pokemon must comply with Tutor Rules in order to learn an Attack this way. [Medium] [Consumable]</v>
      </c>
      <c r="E194" s="165" t="str">
        <f>IFERROR(__xludf.DUMMYFUNCTION("""COMPUTED_VALUE"""),"Type Booster (Fighting)")</f>
        <v>Type Booster (Fighting)</v>
      </c>
      <c r="F194" s="165"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G194" s="166"/>
      <c r="H194" s="166"/>
      <c r="I194" s="166"/>
      <c r="J194" s="166"/>
      <c r="K194" s="166"/>
      <c r="L194" s="166"/>
      <c r="M194" s="167" t="str">
        <f>IFERROR(__xludf.DUMMYFUNCTION("""COMPUTED_VALUE"""),"Tutor Record (Tier 2)")</f>
        <v>Tutor Record (Tier 2)</v>
      </c>
      <c r="N194" s="167" t="str">
        <f>IFERROR(__xludf.DUMMYFUNCTION("""COMPUTED_VALUE"""),"When this Item is expended, the Targeted Pokemon may learn a Tier 1 or 2 Tutor Attack from their List. The Targeted Pokemon must comply with Tutor Rules in order to learn an Attack this way. [Medium] [Consumable]")</f>
        <v>When this Item is expended, the Targeted Pokemon may learn a Tier 1 or 2 Tutor Attack from their List. The Targeted Pokemon must comply with Tutor Rules in order to learn an Attack this way. [Medium] [Consumable]</v>
      </c>
    </row>
    <row r="195">
      <c r="A195" s="163"/>
      <c r="B195" s="163"/>
      <c r="C195" s="164" t="str">
        <f>IFERROR(__xludf.DUMMYFUNCTION("""COMPUTED_VALUE"""),"Typed Pokefood")</f>
        <v>Typed Pokefood</v>
      </c>
      <c r="D195" s="164" t="str">
        <f>IFERROR(__xludf.DUMMYFUNCTION("""COMPUTED_VALUE"""),"Upon this item’s creation, choose a Type. If expended with a Throw Maneuver, choose an unoccupied Space for the food to land. All Enemy Pokemon within 3m of it must pass a Focus Check with a Tough CR (3). Pokemon that match the chosen type have a Bane to "&amp;"this Check. If any fail, one of them will use their next Standard Action to move to that space and eat it. If it wouldn’t make sense to logically move there (Such as being on a hazard), or the Pokemon has been tricked before in this Scene, the CR is reduc"&amp;"ed at GM Discretion. [Throwable] [Small] [Consumable]")</f>
        <v>Upon this item’s creation, choose a Type. If expended with a Throw Maneuver, choose an unoccupied Space for the food to land. All Enemy Pokemon within 3m of it must pass a Focus Check with a Tough CR (3). Pokemon that match the chosen type have a Bane to this Check.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c r="E195" s="165" t="str">
        <f>IFERROR(__xludf.DUMMYFUNCTION("""COMPUTED_VALUE"""),"Type Booster (Fire)")</f>
        <v>Type Booster (Fire)</v>
      </c>
      <c r="F195" s="165"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G195" s="166"/>
      <c r="H195" s="166"/>
      <c r="I195" s="166"/>
      <c r="J195" s="166"/>
      <c r="K195" s="166"/>
      <c r="L195" s="166"/>
      <c r="M195" s="167" t="str">
        <f>IFERROR(__xludf.DUMMYFUNCTION("""COMPUTED_VALUE"""),"Tutor Record (Tier 3)")</f>
        <v>Tutor Record (Tier 3)</v>
      </c>
      <c r="N195" s="167" t="str">
        <f>IFERROR(__xludf.DUMMYFUNCTION("""COMPUTED_VALUE"""),"When this Item is expended, the Targeted Pokemon may learn any Tutor Attack from their List. The Targeted Pokemon must comply with Tutor Rules in order to learn an Attack this way. [Medium] [Consumable]")</f>
        <v>When this Item is expended, the Targeted Pokemon may learn any Tutor Attack from their List. The Targeted Pokemon must comply with Tutor Rules in order to learn an Attack this way. [Medium] [Consumable]</v>
      </c>
    </row>
    <row r="196">
      <c r="A196" s="163"/>
      <c r="B196" s="163"/>
      <c r="C196" s="164" t="str">
        <f>IFERROR(__xludf.DUMMYFUNCTION("""COMPUTED_VALUE"""),"Violet Shard")</f>
        <v>Violet Shard</v>
      </c>
      <c r="D196" s="164"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c r="E196" s="165" t="str">
        <f>IFERROR(__xludf.DUMMYFUNCTION("""COMPUTED_VALUE"""),"Type Booster (Flying)")</f>
        <v>Type Booster (Flying)</v>
      </c>
      <c r="F196" s="165"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G196" s="166"/>
      <c r="H196" s="166"/>
      <c r="I196" s="166"/>
      <c r="J196" s="166"/>
      <c r="K196" s="166"/>
      <c r="L196" s="166"/>
      <c r="M196" s="167" t="str">
        <f>IFERROR(__xludf.DUMMYFUNCTION("""COMPUTED_VALUE"""),"Tutor Record (Water)")</f>
        <v>Tutor Record (Water)</v>
      </c>
      <c r="N196" s="167" t="str">
        <f>IFERROR(__xludf.DUMMYFUNCTION("""COMPUTED_VALUE"""),"When this Item is expended, the Targeted Pokemon may learn a Water Type Tutor Attack from their List. The Targeted Pokemon must comply with Tutor Rules in order to learn an Attack this way. [Medium] [Consumable]")</f>
        <v>When this Item is expended, the Targeted Pokemon may learn a Water Type Tutor Attack from their List. The Targeted Pokemon must comply with Tutor Rules in order to learn an Attack this way. [Medium] [Consumable]</v>
      </c>
    </row>
    <row r="197">
      <c r="A197" s="163"/>
      <c r="B197" s="163"/>
      <c r="C197" s="164" t="str">
        <f>IFERROR(__xludf.DUMMYFUNCTION("""COMPUTED_VALUE"""),"Yellow Shard")</f>
        <v>Yellow Shard</v>
      </c>
      <c r="D197" s="164"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c r="E197" s="165" t="str">
        <f>IFERROR(__xludf.DUMMYFUNCTION("""COMPUTED_VALUE"""),"Type Booster (Ghost)")</f>
        <v>Type Booster (Ghost)</v>
      </c>
      <c r="F197" s="165"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G197" s="166"/>
      <c r="H197" s="166"/>
      <c r="I197" s="166"/>
      <c r="J197" s="166"/>
      <c r="K197" s="166"/>
      <c r="L197" s="166"/>
      <c r="M197" s="167" t="str">
        <f>IFERROR(__xludf.DUMMYFUNCTION("""COMPUTED_VALUE"""),"Tutor Record (X)")</f>
        <v>Tutor Record (X)</v>
      </c>
      <c r="N197" s="167" t="str">
        <f>IFERROR(__xludf.DUMMYFUNCTION("""COMPUTED_VALUE"""),"When this Item is created, the GM will fill in either a Tier or Type for (X). When this Item is expended, the Targeted Pokemon may learn a Tutor Attack from their List that corresponds to the Value for (X). The Targeted Pokemon must comply with Tutor Rule"&amp;"s in order to learn an Attack this way. [Medium] [Consumable]")</f>
        <v>When this Item is created, the GM will fill in either a Tier or Type for (X). When this Item is expended, the Targeted Pokemon may learn a Tutor Attack from their List that corresponds to the Value for (X). The Targeted Pokemon must comply with Tutor Rules in order to learn an Attack this way. [Medium] [Consumable]</v>
      </c>
    </row>
    <row r="198">
      <c r="A198" s="163"/>
      <c r="B198" s="163"/>
      <c r="C198" s="164" t="str">
        <f>IFERROR(__xludf.DUMMYFUNCTION("""COMPUTED_VALUE"""),"Ability Capsule")</f>
        <v>Ability Capsule</v>
      </c>
      <c r="D198" s="164" t="str">
        <f>IFERROR(__xludf.DUMMYFUNCTION("""COMPUTED_VALUE"""),"When this Item is created, the GM will choose any Ability. When this Item is expended, choose a Pokemon you own. The Target may choose that Ability whenever they would be able to learn one, instead of one from their natural Ability List. [Small] [Consumab"&amp;"le]")</f>
        <v>When this Item is created, the GM will choose any Ability. When this Item is expended, choose a Pokemon you own. The Target may choose that Ability whenever they would be able to learn one, instead of one from their natural Ability List. [Small] [Consumable]</v>
      </c>
      <c r="E198" s="165" t="str">
        <f>IFERROR(__xludf.DUMMYFUNCTION("""COMPUTED_VALUE"""),"Type Booster (Grass)")</f>
        <v>Type Booster (Grass)</v>
      </c>
      <c r="F198" s="165"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G198" s="166"/>
      <c r="H198" s="166"/>
      <c r="I198" s="166"/>
      <c r="J198" s="166"/>
      <c r="K198" s="166"/>
      <c r="L198" s="166"/>
      <c r="M198" s="167" t="str">
        <f>IFERROR(__xludf.DUMMYFUNCTION("""COMPUTED_VALUE"""),"Type Augmentor (Bug)")</f>
        <v>Type Augmentor (Bug)</v>
      </c>
      <c r="N198" s="167"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row>
    <row r="199">
      <c r="A199" s="163"/>
      <c r="B199" s="163"/>
      <c r="C199" s="164" t="str">
        <f>IFERROR(__xludf.DUMMYFUNCTION("""COMPUTED_VALUE"""),"Artificing Kit")</f>
        <v>Artificing Kit</v>
      </c>
      <c r="D199" s="164" t="str">
        <f>IFERROR(__xludf.DUMMYFUNCTION("""COMPUTED_VALUE"""),"As a Downtime Action you may perform an Occult, Nature or Tech Edu Skill Check. If an area would be less likely to find shards, perform it with a Bane. if it would be more likely to find shards such as in a cave, perform it with a Boon. For each Success, "&amp;"you find a Shard Item. Whenever you gain a shard this way, roll a d6 to determine the color. 1 is Red, 2 is Orange, 3 is Yellow, 4 is Green, 5 is Blue, 6 is Violet. [Medium] ")</f>
        <v>As a Downtime Action you may perform an Occult, Nature or Tech Edu Skill Check. If an area would be less likely to find shards, perform it with a Bane. if it would be more likely to find shards such as in a cave, perform it with a Boon. For each Success, you find a Shard Item. Whenever you gain a shard this way, roll a d6 to determine the color. 1 is Red, 2 is Orange, 3 is Yellow, 4 is Green, 5 is Blue, 6 is Violet. [Medium] </v>
      </c>
      <c r="E199" s="165" t="str">
        <f>IFERROR(__xludf.DUMMYFUNCTION("""COMPUTED_VALUE"""),"Type Booster (Ground)")</f>
        <v>Type Booster (Ground)</v>
      </c>
      <c r="F199" s="165"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G199" s="166"/>
      <c r="H199" s="166"/>
      <c r="I199" s="166"/>
      <c r="J199" s="166"/>
      <c r="K199" s="166"/>
      <c r="L199" s="166"/>
      <c r="M199" s="167" t="str">
        <f>IFERROR(__xludf.DUMMYFUNCTION("""COMPUTED_VALUE"""),"Type Augmentor (Dark)")</f>
        <v>Type Augmentor (Dark)</v>
      </c>
      <c r="N199" s="167"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row>
    <row r="200">
      <c r="A200" s="163"/>
      <c r="B200" s="163"/>
      <c r="C200" s="164" t="str">
        <f>IFERROR(__xludf.DUMMYFUNCTION("""COMPUTED_VALUE"""),"Alarm Rune [Occult]")</f>
        <v>Alarm Rune [Occult]</v>
      </c>
      <c r="D200" s="164" t="str">
        <f>IFERROR(__xludf.DUMMYFUNCTION("""COMPUTED_VALUE"""),"Cost: 4 Counters
Effect: This Rune may be inscribed onto the surface of any object and be given an appropriate trigger condition, such as the inscribed book or door being opened. If the Trigger occurs, the rune lights up and you telepathically hear an ala"&amp;"rm in your head to alert you. If you are further than a Mile from your Alarm Rune, it cannot be triggered. You can only have one Alarm Rune inscribed at a time.This can only be used by a Rune Master [Small] [Consumable]
Advanced: The Rune can be triggered"&amp;" and alert you regardless of your distance from it. You can have up to 3 Alarm Runes inscribed at a time.")</f>
        <v>Cost: 4 Counters
Effect: This Rune may be inscribed onto the surface of any object and be given an appropriate trigger condition, such as the inscribed book or door being opened. If the Trigger occurs, the rune lights up and you telepathically hear an alarm in your head to alert you. If you are further than a Mile from your Alarm Rune, it cannot be triggered. You can only have one Alarm Rune inscribed at a time.This can only be used by a Rune Master [Small] [Consumable]
Advanced: The Rune can be triggered and alert you regardless of your distance from it. You can have up to 3 Alarm Runes inscribed at a time.</v>
      </c>
      <c r="E200" s="165" t="str">
        <f>IFERROR(__xludf.DUMMYFUNCTION("""COMPUTED_VALUE"""),"Type Booster (Ice)")</f>
        <v>Type Booster (Ice)</v>
      </c>
      <c r="F200" s="165"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G200" s="166"/>
      <c r="H200" s="166"/>
      <c r="I200" s="166"/>
      <c r="J200" s="166"/>
      <c r="K200" s="166"/>
      <c r="L200" s="166"/>
      <c r="M200" s="167" t="str">
        <f>IFERROR(__xludf.DUMMYFUNCTION("""COMPUTED_VALUE"""),"Type Augmentor (Dragon)")</f>
        <v>Type Augmentor (Dragon)</v>
      </c>
      <c r="N200" s="167"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row>
    <row r="201">
      <c r="A201" s="163"/>
      <c r="B201" s="163"/>
      <c r="C201" s="164" t="str">
        <f>IFERROR(__xludf.DUMMYFUNCTION("""COMPUTED_VALUE"""),"Lock Rune [Occult]")</f>
        <v>Lock Rune [Occult]</v>
      </c>
      <c r="D201" s="164" t="str">
        <f>IFERROR(__xludf.DUMMYFUNCTION("""COMPUTED_VALUE"""),"Cost: 4 Counters
Effect: This Rune may be inscribed onto the surface of any object that can be opened or accessed such as a door, chest or computer. It requires a CR 4 Occult Edu Check in order to bypass the Rune, otherwise they cannot interact with the i"&amp;"nscribed object. This can only be used by a Rune Master [Small] [Consumable]
Advanced: The CR becomes 6 instead. If a creature would fail this Skill Check, you are mentally made aware of the attempt.")</f>
        <v>Cost: 4 Counters
Effect: This Rune may be inscribed onto the surface of any object that can be opened or accessed such as a door, chest or computer. It requires a CR 4 Occult Edu Check in order to bypass the Rune, otherwise they cannot interact with the inscribed object. This can only be used by a Rune Master [Small] [Consumable]
Advanced: The CR becomes 6 instead. If a creature would fail this Skill Check, you are mentally made aware of the attempt.</v>
      </c>
      <c r="E201" s="165" t="str">
        <f>IFERROR(__xludf.DUMMYFUNCTION("""COMPUTED_VALUE"""),"Type Booster (Normal)")</f>
        <v>Type Booster (Normal)</v>
      </c>
      <c r="F201" s="165"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G201" s="166"/>
      <c r="H201" s="166"/>
      <c r="I201" s="166"/>
      <c r="J201" s="166"/>
      <c r="K201" s="166"/>
      <c r="L201" s="166"/>
      <c r="M201" s="167" t="str">
        <f>IFERROR(__xludf.DUMMYFUNCTION("""COMPUTED_VALUE"""),"Type Augmentor (Electric)")</f>
        <v>Type Augmentor (Electric)</v>
      </c>
      <c r="N201" s="167"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row>
    <row r="202">
      <c r="A202" s="163"/>
      <c r="B202" s="163"/>
      <c r="C202" s="164" t="str">
        <f>IFERROR(__xludf.DUMMYFUNCTION("""COMPUTED_VALUE"""),"Sentry Rune [Occult]")</f>
        <v>Sentry Rune [Occult]</v>
      </c>
      <c r="D202" s="164" t="str">
        <f>IFERROR(__xludf.DUMMYFUNCTION("""COMPUTED_VALUE"""),"Cost: 2 Counters  
Effect: This Rune may be inscribed onto the surface of any object. After a minute of channeling, you may select a Sentry Rune and see into the surrounding area as if you were in the same area as the Rune. The only sense you experience i"&amp;"s sight, however at the cost of 1 SP each, you may experience a different sense, like hearing what is going on near the Rune. While you are channeling a Rune this way, it lights up. This can only be used by a Rune Master [Small] [Consumable]
Advanced: You"&amp;" do not need to expend SP to experience all senses through the Sentry Rune")</f>
        <v>Cost: 2 Counters  
Effect: This Rune may be inscribed onto the surface of any object. After a minute of channeling, you may select a Sentry Rune and see into the surrounding area as if you were in the same area as the Rune. The only sense you experience is sight, however at the cost of 1 SP each, you may experience a different sense, like hearing what is going on near the Rune. While you are channeling a Rune this way, it lights up. This can only be used by a Rune Master [Small] [Consumable]
Advanced: You do not need to expend SP to experience all senses through the Sentry Rune</v>
      </c>
      <c r="E202" s="165" t="str">
        <f>IFERROR(__xludf.DUMMYFUNCTION("""COMPUTED_VALUE"""),"Type Booster (Poison)")</f>
        <v>Type Booster (Poison)</v>
      </c>
      <c r="F202" s="165"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G202" s="166"/>
      <c r="H202" s="166"/>
      <c r="I202" s="166"/>
      <c r="J202" s="166"/>
      <c r="K202" s="166"/>
      <c r="L202" s="166"/>
      <c r="M202" s="167" t="str">
        <f>IFERROR(__xludf.DUMMYFUNCTION("""COMPUTED_VALUE"""),"Type Augmentor (Fairy)")</f>
        <v>Type Augmentor (Fairy)</v>
      </c>
      <c r="N202" s="167"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row>
    <row r="203">
      <c r="A203" s="163"/>
      <c r="B203" s="163"/>
      <c r="C203" s="164" t="str">
        <f>IFERROR(__xludf.DUMMYFUNCTION("""COMPUTED_VALUE"""),"Transfer Rune [Occult]")</f>
        <v>Transfer Rune [Occult]</v>
      </c>
      <c r="D203" s="164" t="str">
        <f>IFERROR(__xludf.DUMMYFUNCTION("""COMPUTED_VALUE"""),"Cost: 6 Counters
Effect: Choose a Pokemon and one of their Capabilities. The creature that expends this Item gains that Capability until the end of the day. The chosen Pokemon cannot use that Capability until the recipient loses it. This can only be used "&amp;"by a Rune Master [Small] [Consumable]
Advanced: The chosen Pokemon keeps the chosen Capability. When this item is expended, you may instead have up to 3 creatures gain the Capability.")</f>
        <v>Cost: 6 Counters
Effect: Choose a Pokemon and one of their Capabilities. The creature that expends this Item gains that Capability until the end of the day. The chosen Pokemon cannot use that Capability until the recipient loses it. This can only be used by a Rune Master [Small] [Consumable]
Advanced: The chosen Pokemon keeps the chosen Capability. When this item is expended, you may instead have up to 3 creatures gain the Capability.</v>
      </c>
      <c r="E203" s="165" t="str">
        <f>IFERROR(__xludf.DUMMYFUNCTION("""COMPUTED_VALUE"""),"Type Booster (Psychic)")</f>
        <v>Type Booster (Psychic)</v>
      </c>
      <c r="F203" s="165"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G203" s="166"/>
      <c r="H203" s="166"/>
      <c r="I203" s="166"/>
      <c r="J203" s="166"/>
      <c r="K203" s="166"/>
      <c r="L203" s="166"/>
      <c r="M203" s="167" t="str">
        <f>IFERROR(__xludf.DUMMYFUNCTION("""COMPUTED_VALUE"""),"Type Augmentor (Fighting)")</f>
        <v>Type Augmentor (Fighting)</v>
      </c>
      <c r="N203" s="167"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row>
    <row r="204">
      <c r="A204" s="163"/>
      <c r="B204" s="163"/>
      <c r="C204" s="164" t="str">
        <f>IFERROR(__xludf.DUMMYFUNCTION("""COMPUTED_VALUE"""),"Bolstering Rune [Occult]")</f>
        <v>Bolstering Rune [Occult]</v>
      </c>
      <c r="D204" s="164" t="str">
        <f>IFERROR(__xludf.DUMMYFUNCTION("""COMPUTED_VALUE"""),"Cost: 1 Counter
Effect: Target an Ally within 3m and pick an effect to apply. They are cured of a Status Affliction. They gain two Ticks of Temporary Hit Points. They have a Stat at or below Default CS Value increased by +2. They have a Coat removed from "&amp;"them. This can only be used by a Rune Master [Small] [Consumable]
Advanced: You may choose to either Target all Allies within a 3x3 Zone that can be created within 5m; or pick two Effects to apply to the Target.")</f>
        <v>Cost: 1 Counter
Effect: Target an Ally within 3m and pick an effect to apply. They are cured of a Status Affliction. They gain two Ticks of Temporary Hit Points. They have a Stat at or below Default CS Value increased by +2. They have a Coat removed from them. This can only be used by a Rune Master [Small] [Consumable]
Advanced: You may choose to either Target all Allies within a 3x3 Zone that can be created within 5m; or pick two Effects to apply to the Target.</v>
      </c>
      <c r="E204" s="165" t="str">
        <f>IFERROR(__xludf.DUMMYFUNCTION("""COMPUTED_VALUE"""),"Type Booster (Rock)")</f>
        <v>Type Booster (Rock)</v>
      </c>
      <c r="F204" s="165"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G204" s="166"/>
      <c r="H204" s="166"/>
      <c r="I204" s="166"/>
      <c r="J204" s="166"/>
      <c r="K204" s="166"/>
      <c r="L204" s="166"/>
      <c r="M204" s="167" t="str">
        <f>IFERROR(__xludf.DUMMYFUNCTION("""COMPUTED_VALUE"""),"Type Augmentor (Fire)")</f>
        <v>Type Augmentor (Fire)</v>
      </c>
      <c r="N204" s="167"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row>
    <row r="205">
      <c r="A205" s="163"/>
      <c r="B205" s="163"/>
      <c r="C205" s="164" t="str">
        <f>IFERROR(__xludf.DUMMYFUNCTION("""COMPUTED_VALUE"""),"Dampening Rune [Occult]")</f>
        <v>Dampening Rune [Occult]</v>
      </c>
      <c r="D205" s="164" t="str">
        <f>IFERROR(__xludf.DUMMYFUNCTION("""COMPUTED_VALUE"""),"Cost: 1 Counters
Effect: Target an Enemy within 3m and pick an effect to apply. An Enemy can only be affected by each Effect once per Scene. They have a Stat with Positive CS set to its Default Value. Their next Accuracy Roll or Save Check has a Penalty e"&amp;"qual to double your Tier Level. They have a Coat removed from them. This can only be used by a Rune Master [Small] [Consumable]
Advanced: You may choose to either Target all Enemies within a 3x3 Zone that can be created within 5m; or pick two Effects to a"&amp;"pply to the Target.")</f>
        <v>Cost: 1 Counters
Effect: Target an Enemy within 3m and pick an effect to apply. An Enemy can only be affected by each Effect once per Scene. They have a Stat with Positive CS set to its Default Value. Their next Accuracy Roll or Save Check has a Penalty equal to double your Tier Level. They have a Coat removed from them. This can only be used by a Rune Master [Small] [Consumable]
Advanced: You may choose to either Target all Enemies within a 3x3 Zone that can be created within 5m; or pick two Effects to apply to the Target.</v>
      </c>
      <c r="E205" s="165" t="str">
        <f>IFERROR(__xludf.DUMMYFUNCTION("""COMPUTED_VALUE"""),"Type Booster (Steel)")</f>
        <v>Type Booster (Steel)</v>
      </c>
      <c r="F205" s="165"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G205" s="166"/>
      <c r="H205" s="166"/>
      <c r="I205" s="166"/>
      <c r="J205" s="166"/>
      <c r="K205" s="166"/>
      <c r="L205" s="166"/>
      <c r="M205" s="167" t="str">
        <f>IFERROR(__xludf.DUMMYFUNCTION("""COMPUTED_VALUE"""),"Type Augmentor (Flying)")</f>
        <v>Type Augmentor (Flying)</v>
      </c>
      <c r="N205" s="167"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row>
    <row r="206">
      <c r="A206" s="163"/>
      <c r="B206" s="163"/>
      <c r="C206" s="164" t="str">
        <f>IFERROR(__xludf.DUMMYFUNCTION("""COMPUTED_VALUE"""),"Destruction Rune [Occult]")</f>
        <v>Destruction Rune [Occult]</v>
      </c>
      <c r="D206" s="164" t="str">
        <f>IFERROR(__xludf.DUMMYFUNCTION("""COMPUTED_VALUE"""),"Cost: 1 or 3 Counters
Effect: When used, the user may use the Hidden Power Attack. The user may expend 3 Shards of an associated Type to select what Type Hidden Power will be instead of rolling. If the Rune was created with 3 Counters, you may choose what"&amp;" Type Hidden Power is. This can only be used by a Rune Master [Small] [Consumable]
Advanced: You may choose to either pick the Type of Hidden Power without paying the cost; or change its range to one of the following: Burst 2. 6, Ranged Blast 2. Close Bla"&amp;"st 3. Line 4")</f>
        <v>Cost: 1 or 3 Counters
Effect: When used, the user may use the Hidden Power Attack. The user may expend 3 Shards of an associated Type to select what Type Hidden Power will be instead of rolling. If the Rune was created with 3 Counters, you may choose what Type Hidden Power is. This can only be used by a Rune Master [Small] [Consumable]
Advanced: You may choose to either pick the Type of Hidden Power without paying the cost; or change its range to one of the following: Burst 2. 6, Ranged Blast 2. Close Blast 3. Line 4</v>
      </c>
      <c r="E206" s="165" t="str">
        <f>IFERROR(__xludf.DUMMYFUNCTION("""COMPUTED_VALUE"""),"Type Booster (Water)")</f>
        <v>Type Booster (Water)</v>
      </c>
      <c r="F206" s="165"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G206" s="166"/>
      <c r="H206" s="166"/>
      <c r="I206" s="166"/>
      <c r="J206" s="166"/>
      <c r="K206" s="166"/>
      <c r="L206" s="166"/>
      <c r="M206" s="167" t="str">
        <f>IFERROR(__xludf.DUMMYFUNCTION("""COMPUTED_VALUE"""),"Type Augmentor (Ghost)")</f>
        <v>Type Augmentor (Ghost)</v>
      </c>
      <c r="N206" s="167"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row>
    <row r="207">
      <c r="A207" s="163"/>
      <c r="B207" s="163"/>
      <c r="C207" s="164" t="str">
        <f>IFERROR(__xludf.DUMMYFUNCTION("""COMPUTED_VALUE"""),"Warding Rune [Occult]")</f>
        <v>Warding Rune [Occult]</v>
      </c>
      <c r="D207" s="164" t="str">
        <f>IFERROR(__xludf.DUMMYFUNCTION("""COMPUTED_VALUE"""),"Cost: 2 Counters
Effect: This Item may be used as a Reaction when you or an Ally within 3m would be hit with a Damaging Attack. They gain Damage Reduction against it equal to your Tier Value. If you expend a Standard Action as well, they resist it by an a"&amp;"dditional damage step. This can only be used by a Rune Master [Small] [Consumable]
Advanced: This may instead be used as a Free Action and both effects apply.")</f>
        <v>Cost: 2 Counters
Effect: This Item may be used as a Reaction when you or an Ally within 3m would be hit with a Damaging Attack. They gain Damage Reduction against it equal to your Tier Value. If you expend a Standard Action as well, they resist it by an additional damage step. This can only be used by a Rune Master [Small] [Consumable]
Advanced: This may instead be used as a Free Action and both effects apply.</v>
      </c>
      <c r="E207" s="165" t="str">
        <f>IFERROR(__xludf.DUMMYFUNCTION("""COMPUTED_VALUE"""),"Type Booster (X)")</f>
        <v>Type Booster (X)</v>
      </c>
      <c r="F207" s="165"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G207" s="166"/>
      <c r="H207" s="166"/>
      <c r="I207" s="166"/>
      <c r="J207" s="166"/>
      <c r="K207" s="166"/>
      <c r="L207" s="166"/>
      <c r="M207" s="167" t="str">
        <f>IFERROR(__xludf.DUMMYFUNCTION("""COMPUTED_VALUE"""),"Type Augmentor (Grass)")</f>
        <v>Type Augmentor (Grass)</v>
      </c>
      <c r="N207" s="167"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row>
    <row r="208">
      <c r="A208" s="163"/>
      <c r="B208" s="163"/>
      <c r="C208" s="164" t="str">
        <f>IFERROR(__xludf.DUMMYFUNCTION("""COMPUTED_VALUE"""),"Burst Heart [Occult]")</f>
        <v>Burst Heart [Occult]</v>
      </c>
      <c r="D208" s="164" t="str">
        <f>IFERROR(__xludf.DUMMYFUNCTION("""COMPUTED_VALUE"""),"Effect: This is a crystalline object that can capture a Fainted or Willing Pokemon, putting them in a stasis similar to a Pokeball. The Pokemon inside cannot be released from this Item unless it is destroyed. The Pokemon inside gains the Telepath Capabili"&amp;"ty but can only communicate with their holder, and vice versa. For each Burst Heart a Trainer has in their Inventory or Equipped, their Pokemon Party size is reduced by -1. The Pokemon contained in this Item has its own Stat Sheet that must be tracked and"&amp;" they may Level Up as normal. The contained Pokemon may allow another creature to enter their Burst Heart and interact with them normally, such as Training them or teaching them Tutor Attacks. This Item cannot be Disarmed if the holder is in their associa"&amp;"ted Burst Form. [Large] [Equipment]")</f>
        <v>Effect: This is a crystalline object that can capture a Fainted or Willing Pokemon, putting them in a stasis similar to a Pokeball. The Pokemon inside cannot be released from this Item unless it is destroyed. The Pokemon inside gains the Telepath Capability but can only communicate with their holder, and vice versa. For each Burst Heart a Trainer has in their Inventory or Equipped, their Pokemon Party size is reduced by -1. The Pokemon contained in this Item has its own Stat Sheet that must be tracked and they may Level Up as normal. The contained Pokemon may allow another creature to enter their Burst Heart and interact with them normally, such as Training them or teaching them Tutor Attacks. This Item cannot be Disarmed if the holder is in their associated Burst Form. [Large] [Equipment]</v>
      </c>
      <c r="E208" s="165" t="str">
        <f>IFERROR(__xludf.DUMMYFUNCTION("""COMPUTED_VALUE"""),"Type Brace (Bug)")</f>
        <v>Type Brace (Bug)</v>
      </c>
      <c r="F208" s="165"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G208" s="166"/>
      <c r="H208" s="166"/>
      <c r="I208" s="166"/>
      <c r="J208" s="166"/>
      <c r="K208" s="166"/>
      <c r="L208" s="166"/>
      <c r="M208" s="167" t="str">
        <f>IFERROR(__xludf.DUMMYFUNCTION("""COMPUTED_VALUE"""),"Type Augmentor (Ground)")</f>
        <v>Type Augmentor (Ground)</v>
      </c>
      <c r="N208" s="167"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row>
    <row r="209">
      <c r="A209" s="163"/>
      <c r="B209" s="163"/>
      <c r="C209" s="164" t="str">
        <f>IFERROR(__xludf.DUMMYFUNCTION("""COMPUTED_VALUE"""),"Rations [Lethality]")</f>
        <v>Rations [Lethality]</v>
      </c>
      <c r="D209" s="164" t="str">
        <f>IFERROR(__xludf.DUMMYFUNCTION("""COMPUTED_VALUE"""),"When this Item is purchased or created, choose a Diet. Creatures that can consume resources of this diet may expend this Item to fulfill their hunger requirement without rolling a Supply Check. [Consumable] [Small]")</f>
        <v>When this Item is purchased or created, choose a Diet. Creatures that can consume resources of this diet may expend this Item to fulfill their hunger requirement without rolling a Supply Check. [Consumable] [Small]</v>
      </c>
      <c r="E209" s="165" t="str">
        <f>IFERROR(__xludf.DUMMYFUNCTION("""COMPUTED_VALUE"""),"Type Brace (Dark)")</f>
        <v>Type Brace (Dark)</v>
      </c>
      <c r="F209" s="165"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G209" s="166"/>
      <c r="H209" s="166"/>
      <c r="I209" s="166"/>
      <c r="J209" s="166"/>
      <c r="K209" s="166"/>
      <c r="L209" s="166"/>
      <c r="M209" s="167" t="str">
        <f>IFERROR(__xludf.DUMMYFUNCTION("""COMPUTED_VALUE"""),"Type Augmentor (Ice)")</f>
        <v>Type Augmentor (Ice)</v>
      </c>
      <c r="N209" s="167"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row>
    <row r="210">
      <c r="A210" s="163"/>
      <c r="B210" s="163"/>
      <c r="C210" s="164" t="str">
        <f>IFERROR(__xludf.DUMMYFUNCTION("""COMPUTED_VALUE"""),"Energy Booster [Lethality]")</f>
        <v>Energy Booster [Lethality]</v>
      </c>
      <c r="D210" s="164" t="str">
        <f>IFERROR(__xludf.DUMMYFUNCTION("""COMPUTED_VALUE"""),"The user gains the Hypersomnia Capability at the next Morning Time Phase, which lasts until the end of the next day, but only needs 4 Hours of Sleep to avoid gaining Fatigue for the current day. [Small] [Consumable]
")</f>
        <v>The user gains the Hypersomnia Capability at the next Morning Time Phase, which lasts until the end of the next day, but only needs 4 Hours of Sleep to avoid gaining Fatigue for the current day. [Small] [Consumable]
</v>
      </c>
      <c r="E210" s="165" t="str">
        <f>IFERROR(__xludf.DUMMYFUNCTION("""COMPUTED_VALUE"""),"Type Brace (Dragon)")</f>
        <v>Type Brace (Dragon)</v>
      </c>
      <c r="F210" s="165"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G210" s="166"/>
      <c r="H210" s="166"/>
      <c r="I210" s="166"/>
      <c r="J210" s="166"/>
      <c r="K210" s="166"/>
      <c r="L210" s="166"/>
      <c r="M210" s="167" t="str">
        <f>IFERROR(__xludf.DUMMYFUNCTION("""COMPUTED_VALUE"""),"Type Augmentor (Normal)")</f>
        <v>Type Augmentor (Normal)</v>
      </c>
      <c r="N210" s="167"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row>
    <row r="211">
      <c r="A211" s="163"/>
      <c r="B211" s="163"/>
      <c r="C211" s="164" t="str">
        <f>IFERROR(__xludf.DUMMYFUNCTION("""COMPUTED_VALUE"""),"Basic Healing Potion [Lethality]")</f>
        <v>Basic Healing Potion [Lethality]</v>
      </c>
      <c r="D211" s="164"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cure"&amp;"d of 1 Status Affliction of your choice.
» They are revived and set to 1 Tick of Hit Points or 20 Hit Points, whichever is higher.
» They are cured of one Wound (Max 2 per Day - Extended Action only)")</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
» They are cured of one Wound (Max 2 per Day - Extended Action only)</v>
      </c>
      <c r="E211" s="165" t="str">
        <f>IFERROR(__xludf.DUMMYFUNCTION("""COMPUTED_VALUE"""),"Type Brace (Electric)")</f>
        <v>Type Brace (Electric)</v>
      </c>
      <c r="F211" s="165"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G211" s="166"/>
      <c r="H211" s="166"/>
      <c r="I211" s="166"/>
      <c r="J211" s="166"/>
      <c r="K211" s="166"/>
      <c r="L211" s="166"/>
      <c r="M211" s="167" t="str">
        <f>IFERROR(__xludf.DUMMYFUNCTION("""COMPUTED_VALUE"""),"Type Augmentor (Poison)")</f>
        <v>Type Augmentor (Poison)</v>
      </c>
      <c r="N211" s="167"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row>
    <row r="212">
      <c r="A212" s="163"/>
      <c r="B212" s="163"/>
      <c r="C212" s="164" t="str">
        <f>IFERROR(__xludf.DUMMYFUNCTION("""COMPUTED_VALUE"""),"Greater Healing Potion [Lethality]")</f>
        <v>Greater Healing Potion [Lethality]</v>
      </c>
      <c r="D212" s="164"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
» They are cured of two Wounds (Max 2 per Day - Extended Action only)")</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
» They are cured of two Wounds (Max 2 per Day - Extended Action only)</v>
      </c>
      <c r="E212" s="165" t="str">
        <f>IFERROR(__xludf.DUMMYFUNCTION("""COMPUTED_VALUE"""),"Type Brace (Fairy)")</f>
        <v>Type Brace (Fairy)</v>
      </c>
      <c r="F212" s="165"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G212" s="166"/>
      <c r="H212" s="166"/>
      <c r="I212" s="166"/>
      <c r="J212" s="166"/>
      <c r="K212" s="166"/>
      <c r="L212" s="166"/>
      <c r="M212" s="167" t="str">
        <f>IFERROR(__xludf.DUMMYFUNCTION("""COMPUTED_VALUE"""),"Type Augmentor (Psychic)")</f>
        <v>Type Augmentor (Psychic)</v>
      </c>
      <c r="N212" s="167"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row>
    <row r="213">
      <c r="A213" s="163"/>
      <c r="B213" s="163"/>
      <c r="C213" s="164"/>
      <c r="D213" s="164"/>
      <c r="E213" s="165" t="str">
        <f>IFERROR(__xludf.DUMMYFUNCTION("""COMPUTED_VALUE"""),"Type Brace (Fighting)")</f>
        <v>Type Brace (Fighting)</v>
      </c>
      <c r="F213" s="165"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G213" s="166"/>
      <c r="H213" s="166"/>
      <c r="I213" s="166"/>
      <c r="J213" s="166"/>
      <c r="K213" s="166"/>
      <c r="L213" s="166"/>
      <c r="M213" s="167" t="str">
        <f>IFERROR(__xludf.DUMMYFUNCTION("""COMPUTED_VALUE"""),"Type Augmentor (Rock)")</f>
        <v>Type Augmentor (Rock)</v>
      </c>
      <c r="N213" s="167"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row>
    <row r="214">
      <c r="A214" s="163"/>
      <c r="B214" s="163"/>
      <c r="C214" s="164"/>
      <c r="D214" s="164"/>
      <c r="E214" s="165" t="str">
        <f>IFERROR(__xludf.DUMMYFUNCTION("""COMPUTED_VALUE"""),"Type Brace (Fire)")</f>
        <v>Type Brace (Fire)</v>
      </c>
      <c r="F214" s="165"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G214" s="166"/>
      <c r="H214" s="166"/>
      <c r="I214" s="166"/>
      <c r="J214" s="166"/>
      <c r="K214" s="166"/>
      <c r="L214" s="166"/>
      <c r="M214" s="167" t="str">
        <f>IFERROR(__xludf.DUMMYFUNCTION("""COMPUTED_VALUE"""),"Type Augmentor (Steel)")</f>
        <v>Type Augmentor (Steel)</v>
      </c>
      <c r="N214" s="167"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row>
    <row r="215">
      <c r="A215" s="163"/>
      <c r="B215" s="163"/>
      <c r="C215" s="164"/>
      <c r="D215" s="164"/>
      <c r="E215" s="165" t="str">
        <f>IFERROR(__xludf.DUMMYFUNCTION("""COMPUTED_VALUE"""),"Type Brace (Flying)")</f>
        <v>Type Brace (Flying)</v>
      </c>
      <c r="F215" s="165"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G215" s="166"/>
      <c r="H215" s="166"/>
      <c r="I215" s="166"/>
      <c r="J215" s="166"/>
      <c r="K215" s="166"/>
      <c r="L215" s="166"/>
      <c r="M215" s="167" t="str">
        <f>IFERROR(__xludf.DUMMYFUNCTION("""COMPUTED_VALUE"""),"Type Augmentor (Water)")</f>
        <v>Type Augmentor (Water)</v>
      </c>
      <c r="N215" s="167"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row>
    <row r="216">
      <c r="A216" s="163"/>
      <c r="B216" s="163"/>
      <c r="C216" s="164"/>
      <c r="D216" s="164"/>
      <c r="E216" s="165" t="str">
        <f>IFERROR(__xludf.DUMMYFUNCTION("""COMPUTED_VALUE"""),"Type Brace (Ghost)")</f>
        <v>Type Brace (Ghost)</v>
      </c>
      <c r="F216" s="165"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G216" s="166"/>
      <c r="H216" s="166"/>
      <c r="I216" s="166"/>
      <c r="J216" s="166"/>
      <c r="K216" s="166"/>
      <c r="L216" s="166"/>
      <c r="M216" s="167" t="str">
        <f>IFERROR(__xludf.DUMMYFUNCTION("""COMPUTED_VALUE"""),"Type Augmentor (X)")</f>
        <v>Type Augmentor (X)</v>
      </c>
      <c r="N216" s="167"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row>
    <row r="217">
      <c r="A217" s="163"/>
      <c r="B217" s="163"/>
      <c r="C217" s="164"/>
      <c r="D217" s="164"/>
      <c r="E217" s="165" t="str">
        <f>IFERROR(__xludf.DUMMYFUNCTION("""COMPUTED_VALUE"""),"Type Brace (Grass)")</f>
        <v>Type Brace (Grass)</v>
      </c>
      <c r="F217" s="165"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G217" s="166"/>
      <c r="H217" s="166"/>
      <c r="I217" s="166"/>
      <c r="J217" s="166"/>
      <c r="K217" s="166"/>
      <c r="L217" s="166"/>
      <c r="M217" s="167" t="str">
        <f>IFERROR(__xludf.DUMMYFUNCTION("""COMPUTED_VALUE"""),"Type Booster (Bug)")</f>
        <v>Type Booster (Bug)</v>
      </c>
      <c r="N217" s="167"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row>
    <row r="218">
      <c r="A218" s="163"/>
      <c r="B218" s="163"/>
      <c r="C218" s="164"/>
      <c r="D218" s="164"/>
      <c r="E218" s="165" t="str">
        <f>IFERROR(__xludf.DUMMYFUNCTION("""COMPUTED_VALUE"""),"Type Brace (Ground)")</f>
        <v>Type Brace (Ground)</v>
      </c>
      <c r="F218" s="165"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G218" s="166"/>
      <c r="H218" s="166"/>
      <c r="I218" s="166"/>
      <c r="J218" s="166"/>
      <c r="K218" s="166"/>
      <c r="L218" s="166"/>
      <c r="M218" s="167" t="str">
        <f>IFERROR(__xludf.DUMMYFUNCTION("""COMPUTED_VALUE"""),"Type Booster (Dark)")</f>
        <v>Type Booster (Dark)</v>
      </c>
      <c r="N218" s="167"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row>
    <row r="219">
      <c r="A219" s="163"/>
      <c r="B219" s="163"/>
      <c r="C219" s="164"/>
      <c r="D219" s="164"/>
      <c r="E219" s="165" t="str">
        <f>IFERROR(__xludf.DUMMYFUNCTION("""COMPUTED_VALUE"""),"Type Brace (Ice)")</f>
        <v>Type Brace (Ice)</v>
      </c>
      <c r="F219" s="165"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G219" s="166"/>
      <c r="H219" s="166"/>
      <c r="I219" s="166"/>
      <c r="J219" s="166"/>
      <c r="K219" s="166"/>
      <c r="L219" s="166"/>
      <c r="M219" s="167" t="str">
        <f>IFERROR(__xludf.DUMMYFUNCTION("""COMPUTED_VALUE"""),"Type Booster (Dragon)")</f>
        <v>Type Booster (Dragon)</v>
      </c>
      <c r="N219" s="167"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row>
    <row r="220">
      <c r="A220" s="163"/>
      <c r="B220" s="163"/>
      <c r="C220" s="164"/>
      <c r="D220" s="164"/>
      <c r="E220" s="165" t="str">
        <f>IFERROR(__xludf.DUMMYFUNCTION("""COMPUTED_VALUE"""),"Type Brace (Normal)")</f>
        <v>Type Brace (Normal)</v>
      </c>
      <c r="F220" s="165"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G220" s="166"/>
      <c r="H220" s="166"/>
      <c r="I220" s="166"/>
      <c r="J220" s="166"/>
      <c r="K220" s="166"/>
      <c r="L220" s="166"/>
      <c r="M220" s="167" t="str">
        <f>IFERROR(__xludf.DUMMYFUNCTION("""COMPUTED_VALUE"""),"Type Booster (Electric)")</f>
        <v>Type Booster (Electric)</v>
      </c>
      <c r="N220" s="167"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row>
    <row r="221">
      <c r="A221" s="163"/>
      <c r="B221" s="163"/>
      <c r="C221" s="164"/>
      <c r="D221" s="164"/>
      <c r="E221" s="165" t="str">
        <f>IFERROR(__xludf.DUMMYFUNCTION("""COMPUTED_VALUE"""),"Type Brace (Poison)")</f>
        <v>Type Brace (Poison)</v>
      </c>
      <c r="F221" s="165"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G221" s="166"/>
      <c r="H221" s="166"/>
      <c r="I221" s="166"/>
      <c r="J221" s="166"/>
      <c r="K221" s="166"/>
      <c r="L221" s="166"/>
      <c r="M221" s="167" t="str">
        <f>IFERROR(__xludf.DUMMYFUNCTION("""COMPUTED_VALUE"""),"Type Booster (Fairy)")</f>
        <v>Type Booster (Fairy)</v>
      </c>
      <c r="N221" s="167"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row>
    <row r="222">
      <c r="A222" s="163"/>
      <c r="B222" s="163"/>
      <c r="C222" s="164"/>
      <c r="D222" s="164"/>
      <c r="E222" s="165" t="str">
        <f>IFERROR(__xludf.DUMMYFUNCTION("""COMPUTED_VALUE"""),"Type Brace (Psychic)")</f>
        <v>Type Brace (Psychic)</v>
      </c>
      <c r="F222" s="165"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G222" s="166"/>
      <c r="H222" s="166"/>
      <c r="I222" s="166"/>
      <c r="J222" s="166"/>
      <c r="K222" s="166"/>
      <c r="L222" s="166"/>
      <c r="M222" s="167" t="str">
        <f>IFERROR(__xludf.DUMMYFUNCTION("""COMPUTED_VALUE"""),"Type Booster (Fighting)")</f>
        <v>Type Booster (Fighting)</v>
      </c>
      <c r="N222" s="167"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row>
    <row r="223">
      <c r="A223" s="163"/>
      <c r="B223" s="163"/>
      <c r="C223" s="164"/>
      <c r="D223" s="164"/>
      <c r="E223" s="165" t="str">
        <f>IFERROR(__xludf.DUMMYFUNCTION("""COMPUTED_VALUE"""),"Type Brace (Rock)")</f>
        <v>Type Brace (Rock)</v>
      </c>
      <c r="F223" s="165"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G223" s="166"/>
      <c r="H223" s="166"/>
      <c r="I223" s="166"/>
      <c r="J223" s="166"/>
      <c r="K223" s="166"/>
      <c r="L223" s="166"/>
      <c r="M223" s="167" t="str">
        <f>IFERROR(__xludf.DUMMYFUNCTION("""COMPUTED_VALUE"""),"Type Booster (Fire)")</f>
        <v>Type Booster (Fire)</v>
      </c>
      <c r="N223" s="167"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row>
    <row r="224">
      <c r="A224" s="163"/>
      <c r="B224" s="163"/>
      <c r="C224" s="164"/>
      <c r="D224" s="164"/>
      <c r="E224" s="165" t="str">
        <f>IFERROR(__xludf.DUMMYFUNCTION("""COMPUTED_VALUE"""),"Type Brace (Steel)")</f>
        <v>Type Brace (Steel)</v>
      </c>
      <c r="F224" s="165"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G224" s="166"/>
      <c r="H224" s="166"/>
      <c r="I224" s="166"/>
      <c r="J224" s="166"/>
      <c r="K224" s="166"/>
      <c r="L224" s="166"/>
      <c r="M224" s="167" t="str">
        <f>IFERROR(__xludf.DUMMYFUNCTION("""COMPUTED_VALUE"""),"Type Booster (Flying)")</f>
        <v>Type Booster (Flying)</v>
      </c>
      <c r="N224" s="167"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row>
    <row r="225">
      <c r="A225" s="163"/>
      <c r="B225" s="163"/>
      <c r="C225" s="164"/>
      <c r="D225" s="164"/>
      <c r="E225" s="165" t="str">
        <f>IFERROR(__xludf.DUMMYFUNCTION("""COMPUTED_VALUE"""),"Type Brace (Water)")</f>
        <v>Type Brace (Water)</v>
      </c>
      <c r="F225" s="165"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G225" s="166"/>
      <c r="H225" s="166"/>
      <c r="I225" s="166"/>
      <c r="J225" s="166"/>
      <c r="K225" s="166"/>
      <c r="L225" s="166"/>
      <c r="M225" s="167" t="str">
        <f>IFERROR(__xludf.DUMMYFUNCTION("""COMPUTED_VALUE"""),"Type Booster (Ghost)")</f>
        <v>Type Booster (Ghost)</v>
      </c>
      <c r="N225" s="167"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row>
    <row r="226">
      <c r="A226" s="163"/>
      <c r="B226" s="163"/>
      <c r="C226" s="164"/>
      <c r="D226" s="164"/>
      <c r="E226" s="165" t="str">
        <f>IFERROR(__xludf.DUMMYFUNCTION("""COMPUTED_VALUE"""),"Type Brace (X)")</f>
        <v>Type Brace (X)</v>
      </c>
      <c r="F226" s="165"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G226" s="166"/>
      <c r="H226" s="166"/>
      <c r="I226" s="166"/>
      <c r="J226" s="166"/>
      <c r="K226" s="166"/>
      <c r="L226" s="166"/>
      <c r="M226" s="167" t="str">
        <f>IFERROR(__xludf.DUMMYFUNCTION("""COMPUTED_VALUE"""),"Type Booster (Grass)")</f>
        <v>Type Booster (Grass)</v>
      </c>
      <c r="N226" s="167"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row>
    <row r="227">
      <c r="A227" s="163"/>
      <c r="B227" s="163"/>
      <c r="C227" s="164"/>
      <c r="D227" s="164"/>
      <c r="E227" s="165" t="str">
        <f>IFERROR(__xludf.DUMMYFUNCTION("""COMPUTED_VALUE"""),"Z Crystal")</f>
        <v>Z Crystal</v>
      </c>
      <c r="F227" s="165"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c r="G227" s="166"/>
      <c r="H227" s="166"/>
      <c r="I227" s="166"/>
      <c r="J227" s="166"/>
      <c r="K227" s="166"/>
      <c r="L227" s="166"/>
      <c r="M227" s="167" t="str">
        <f>IFERROR(__xludf.DUMMYFUNCTION("""COMPUTED_VALUE"""),"Type Booster (Ground)")</f>
        <v>Type Booster (Ground)</v>
      </c>
      <c r="N227" s="167"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row>
    <row r="228">
      <c r="A228" s="163"/>
      <c r="B228" s="163"/>
      <c r="C228" s="164"/>
      <c r="D228" s="164"/>
      <c r="E228" s="165" t="str">
        <f>IFERROR(__xludf.DUMMYFUNCTION("""COMPUTED_VALUE"""),"Survival Gear [Lethality]")</f>
        <v>Survival Gear [Lethality]</v>
      </c>
      <c r="F228" s="165"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c r="G228" s="166"/>
      <c r="H228" s="166"/>
      <c r="I228" s="166"/>
      <c r="J228" s="166"/>
      <c r="K228" s="166"/>
      <c r="L228" s="166"/>
      <c r="M228" s="167" t="str">
        <f>IFERROR(__xludf.DUMMYFUNCTION("""COMPUTED_VALUE"""),"Type Booster (Ice)")</f>
        <v>Type Booster (Ice)</v>
      </c>
      <c r="N228" s="167"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row>
    <row r="229">
      <c r="A229" s="163"/>
      <c r="B229" s="163"/>
      <c r="C229" s="164"/>
      <c r="D229" s="164"/>
      <c r="E229" s="165"/>
      <c r="F229" s="165"/>
      <c r="G229" s="166"/>
      <c r="H229" s="166"/>
      <c r="I229" s="166"/>
      <c r="J229" s="166"/>
      <c r="K229" s="166"/>
      <c r="L229" s="166"/>
      <c r="M229" s="167" t="str">
        <f>IFERROR(__xludf.DUMMYFUNCTION("""COMPUTED_VALUE"""),"Type Booster (Normal)")</f>
        <v>Type Booster (Normal)</v>
      </c>
      <c r="N229" s="167"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row>
    <row r="230">
      <c r="A230" s="163"/>
      <c r="B230" s="163"/>
      <c r="C230" s="164"/>
      <c r="D230" s="164"/>
      <c r="E230" s="165"/>
      <c r="F230" s="165"/>
      <c r="G230" s="166"/>
      <c r="H230" s="166"/>
      <c r="I230" s="166"/>
      <c r="J230" s="166"/>
      <c r="K230" s="166"/>
      <c r="L230" s="166"/>
      <c r="M230" s="167" t="str">
        <f>IFERROR(__xludf.DUMMYFUNCTION("""COMPUTED_VALUE"""),"Type Booster (Poison)")</f>
        <v>Type Booster (Poison)</v>
      </c>
      <c r="N230" s="167"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row>
    <row r="231">
      <c r="A231" s="163"/>
      <c r="B231" s="163"/>
      <c r="C231" s="164"/>
      <c r="D231" s="164"/>
      <c r="E231" s="165"/>
      <c r="F231" s="165"/>
      <c r="G231" s="166"/>
      <c r="H231" s="166"/>
      <c r="I231" s="166"/>
      <c r="J231" s="166"/>
      <c r="K231" s="166"/>
      <c r="L231" s="166"/>
      <c r="M231" s="167" t="str">
        <f>IFERROR(__xludf.DUMMYFUNCTION("""COMPUTED_VALUE"""),"Type Booster (Psychic)")</f>
        <v>Type Booster (Psychic)</v>
      </c>
      <c r="N231" s="167"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row>
    <row r="232">
      <c r="A232" s="163"/>
      <c r="B232" s="163"/>
      <c r="C232" s="164"/>
      <c r="D232" s="164"/>
      <c r="E232" s="165"/>
      <c r="F232" s="165"/>
      <c r="G232" s="166"/>
      <c r="H232" s="166"/>
      <c r="I232" s="166"/>
      <c r="J232" s="166"/>
      <c r="K232" s="166"/>
      <c r="L232" s="166"/>
      <c r="M232" s="167" t="str">
        <f>IFERROR(__xludf.DUMMYFUNCTION("""COMPUTED_VALUE"""),"Type Booster (Rock)")</f>
        <v>Type Booster (Rock)</v>
      </c>
      <c r="N232" s="167"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row>
    <row r="233">
      <c r="A233" s="163"/>
      <c r="B233" s="163"/>
      <c r="C233" s="164"/>
      <c r="D233" s="164"/>
      <c r="E233" s="165"/>
      <c r="F233" s="165"/>
      <c r="G233" s="166"/>
      <c r="H233" s="166"/>
      <c r="I233" s="166"/>
      <c r="J233" s="166"/>
      <c r="K233" s="166"/>
      <c r="L233" s="166"/>
      <c r="M233" s="167" t="str">
        <f>IFERROR(__xludf.DUMMYFUNCTION("""COMPUTED_VALUE"""),"Type Booster (Steel)")</f>
        <v>Type Booster (Steel)</v>
      </c>
      <c r="N233" s="167"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row>
    <row r="234">
      <c r="A234" s="163"/>
      <c r="B234" s="163"/>
      <c r="C234" s="164"/>
      <c r="D234" s="164"/>
      <c r="E234" s="165"/>
      <c r="F234" s="165"/>
      <c r="G234" s="166"/>
      <c r="H234" s="166"/>
      <c r="I234" s="166"/>
      <c r="J234" s="166"/>
      <c r="K234" s="166"/>
      <c r="L234" s="166"/>
      <c r="M234" s="167" t="str">
        <f>IFERROR(__xludf.DUMMYFUNCTION("""COMPUTED_VALUE"""),"Type Booster (Water)")</f>
        <v>Type Booster (Water)</v>
      </c>
      <c r="N234" s="167"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row>
    <row r="235">
      <c r="A235" s="163"/>
      <c r="B235" s="163"/>
      <c r="C235" s="164"/>
      <c r="D235" s="164"/>
      <c r="E235" s="165"/>
      <c r="F235" s="165"/>
      <c r="G235" s="166"/>
      <c r="H235" s="166"/>
      <c r="I235" s="166"/>
      <c r="J235" s="166"/>
      <c r="K235" s="166"/>
      <c r="L235" s="166"/>
      <c r="M235" s="167" t="str">
        <f>IFERROR(__xludf.DUMMYFUNCTION("""COMPUTED_VALUE"""),"Type Booster (X)")</f>
        <v>Type Booster (X)</v>
      </c>
      <c r="N235" s="167"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row>
    <row r="236">
      <c r="A236" s="163"/>
      <c r="B236" s="163"/>
      <c r="C236" s="164"/>
      <c r="D236" s="164"/>
      <c r="E236" s="165"/>
      <c r="F236" s="165"/>
      <c r="G236" s="166"/>
      <c r="H236" s="166"/>
      <c r="I236" s="166"/>
      <c r="J236" s="166"/>
      <c r="K236" s="166"/>
      <c r="L236" s="166"/>
      <c r="M236" s="167" t="str">
        <f>IFERROR(__xludf.DUMMYFUNCTION("""COMPUTED_VALUE"""),"Type Brace (Bug)")</f>
        <v>Type Brace (Bug)</v>
      </c>
      <c r="N236" s="167"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row>
    <row r="237">
      <c r="A237" s="163"/>
      <c r="B237" s="163"/>
      <c r="C237" s="164"/>
      <c r="D237" s="164"/>
      <c r="E237" s="165"/>
      <c r="F237" s="165"/>
      <c r="G237" s="166"/>
      <c r="H237" s="166"/>
      <c r="I237" s="166"/>
      <c r="J237" s="166"/>
      <c r="K237" s="166"/>
      <c r="L237" s="166"/>
      <c r="M237" s="167" t="str">
        <f>IFERROR(__xludf.DUMMYFUNCTION("""COMPUTED_VALUE"""),"Type Brace (Dark)")</f>
        <v>Type Brace (Dark)</v>
      </c>
      <c r="N237" s="167"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row>
    <row r="238">
      <c r="A238" s="163"/>
      <c r="B238" s="163"/>
      <c r="C238" s="164"/>
      <c r="D238" s="164"/>
      <c r="E238" s="165"/>
      <c r="F238" s="165"/>
      <c r="G238" s="166"/>
      <c r="H238" s="166"/>
      <c r="I238" s="166"/>
      <c r="J238" s="166"/>
      <c r="K238" s="166"/>
      <c r="L238" s="166"/>
      <c r="M238" s="167" t="str">
        <f>IFERROR(__xludf.DUMMYFUNCTION("""COMPUTED_VALUE"""),"Type Brace (Dragon)")</f>
        <v>Type Brace (Dragon)</v>
      </c>
      <c r="N238" s="167"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row>
    <row r="239">
      <c r="A239" s="163"/>
      <c r="B239" s="163"/>
      <c r="C239" s="164"/>
      <c r="D239" s="164"/>
      <c r="E239" s="165"/>
      <c r="F239" s="165"/>
      <c r="G239" s="166"/>
      <c r="H239" s="166"/>
      <c r="I239" s="166"/>
      <c r="J239" s="166"/>
      <c r="K239" s="166"/>
      <c r="L239" s="166"/>
      <c r="M239" s="167" t="str">
        <f>IFERROR(__xludf.DUMMYFUNCTION("""COMPUTED_VALUE"""),"Type Brace (Electric)")</f>
        <v>Type Brace (Electric)</v>
      </c>
      <c r="N239" s="167"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row>
    <row r="240">
      <c r="A240" s="163"/>
      <c r="B240" s="163"/>
      <c r="C240" s="164"/>
      <c r="D240" s="164"/>
      <c r="E240" s="165"/>
      <c r="F240" s="165"/>
      <c r="G240" s="166"/>
      <c r="H240" s="166"/>
      <c r="I240" s="166"/>
      <c r="J240" s="166"/>
      <c r="K240" s="166"/>
      <c r="L240" s="166"/>
      <c r="M240" s="167" t="str">
        <f>IFERROR(__xludf.DUMMYFUNCTION("""COMPUTED_VALUE"""),"Type Brace (Fairy)")</f>
        <v>Type Brace (Fairy)</v>
      </c>
      <c r="N240" s="167"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row>
    <row r="241">
      <c r="A241" s="163"/>
      <c r="B241" s="163"/>
      <c r="C241" s="164"/>
      <c r="D241" s="164"/>
      <c r="E241" s="165"/>
      <c r="F241" s="165"/>
      <c r="G241" s="166"/>
      <c r="H241" s="166"/>
      <c r="I241" s="166"/>
      <c r="J241" s="166"/>
      <c r="K241" s="166"/>
      <c r="L241" s="166"/>
      <c r="M241" s="167" t="str">
        <f>IFERROR(__xludf.DUMMYFUNCTION("""COMPUTED_VALUE"""),"Type Brace (Fighting)")</f>
        <v>Type Brace (Fighting)</v>
      </c>
      <c r="N241" s="167"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row>
    <row r="242">
      <c r="A242" s="163"/>
      <c r="B242" s="163"/>
      <c r="C242" s="164"/>
      <c r="D242" s="164"/>
      <c r="E242" s="165"/>
      <c r="F242" s="165"/>
      <c r="G242" s="166"/>
      <c r="H242" s="166"/>
      <c r="I242" s="166"/>
      <c r="J242" s="166"/>
      <c r="K242" s="166"/>
      <c r="L242" s="166"/>
      <c r="M242" s="167" t="str">
        <f>IFERROR(__xludf.DUMMYFUNCTION("""COMPUTED_VALUE"""),"Type Brace (Fire)")</f>
        <v>Type Brace (Fire)</v>
      </c>
      <c r="N242" s="167"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row>
    <row r="243">
      <c r="A243" s="163"/>
      <c r="B243" s="163"/>
      <c r="C243" s="164"/>
      <c r="D243" s="164"/>
      <c r="E243" s="165"/>
      <c r="F243" s="165"/>
      <c r="G243" s="166"/>
      <c r="H243" s="166"/>
      <c r="I243" s="166"/>
      <c r="J243" s="166"/>
      <c r="K243" s="166"/>
      <c r="L243" s="166"/>
      <c r="M243" s="167" t="str">
        <f>IFERROR(__xludf.DUMMYFUNCTION("""COMPUTED_VALUE"""),"Type Brace (Flying)")</f>
        <v>Type Brace (Flying)</v>
      </c>
      <c r="N243" s="167"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row>
    <row r="244">
      <c r="A244" s="163"/>
      <c r="B244" s="163"/>
      <c r="C244" s="164"/>
      <c r="D244" s="164"/>
      <c r="E244" s="165"/>
      <c r="F244" s="165"/>
      <c r="G244" s="166"/>
      <c r="H244" s="166"/>
      <c r="I244" s="166"/>
      <c r="J244" s="166"/>
      <c r="K244" s="166"/>
      <c r="L244" s="166"/>
      <c r="M244" s="167" t="str">
        <f>IFERROR(__xludf.DUMMYFUNCTION("""COMPUTED_VALUE"""),"Type Brace (Ghost)")</f>
        <v>Type Brace (Ghost)</v>
      </c>
      <c r="N244" s="167"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row>
    <row r="245">
      <c r="A245" s="163"/>
      <c r="B245" s="163"/>
      <c r="C245" s="164"/>
      <c r="D245" s="164"/>
      <c r="E245" s="165"/>
      <c r="F245" s="165"/>
      <c r="G245" s="166"/>
      <c r="H245" s="166"/>
      <c r="I245" s="166"/>
      <c r="J245" s="166"/>
      <c r="K245" s="166"/>
      <c r="L245" s="166"/>
      <c r="M245" s="167" t="str">
        <f>IFERROR(__xludf.DUMMYFUNCTION("""COMPUTED_VALUE"""),"Type Brace (Grass)")</f>
        <v>Type Brace (Grass)</v>
      </c>
      <c r="N245" s="167"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row>
    <row r="246">
      <c r="A246" s="163"/>
      <c r="B246" s="163"/>
      <c r="C246" s="164"/>
      <c r="D246" s="164"/>
      <c r="E246" s="165"/>
      <c r="F246" s="165"/>
      <c r="G246" s="166"/>
      <c r="H246" s="166"/>
      <c r="I246" s="166"/>
      <c r="J246" s="166"/>
      <c r="K246" s="166"/>
      <c r="L246" s="166"/>
      <c r="M246" s="167" t="str">
        <f>IFERROR(__xludf.DUMMYFUNCTION("""COMPUTED_VALUE"""),"Type Brace (Ground)")</f>
        <v>Type Brace (Ground)</v>
      </c>
      <c r="N246" s="167"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row>
    <row r="247">
      <c r="A247" s="163"/>
      <c r="B247" s="163"/>
      <c r="C247" s="164"/>
      <c r="D247" s="164"/>
      <c r="E247" s="165"/>
      <c r="F247" s="165"/>
      <c r="G247" s="166"/>
      <c r="H247" s="166"/>
      <c r="I247" s="166"/>
      <c r="J247" s="166"/>
      <c r="K247" s="166"/>
      <c r="L247" s="166"/>
      <c r="M247" s="167" t="str">
        <f>IFERROR(__xludf.DUMMYFUNCTION("""COMPUTED_VALUE"""),"Type Brace (Ice)")</f>
        <v>Type Brace (Ice)</v>
      </c>
      <c r="N247" s="167"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row>
    <row r="248">
      <c r="A248" s="163"/>
      <c r="B248" s="163"/>
      <c r="C248" s="164"/>
      <c r="D248" s="164"/>
      <c r="E248" s="165"/>
      <c r="F248" s="165"/>
      <c r="G248" s="166"/>
      <c r="H248" s="166"/>
      <c r="I248" s="166"/>
      <c r="J248" s="166"/>
      <c r="K248" s="166"/>
      <c r="L248" s="166"/>
      <c r="M248" s="167" t="str">
        <f>IFERROR(__xludf.DUMMYFUNCTION("""COMPUTED_VALUE"""),"Type Brace (Normal)")</f>
        <v>Type Brace (Normal)</v>
      </c>
      <c r="N248" s="167"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row>
    <row r="249">
      <c r="A249" s="163"/>
      <c r="B249" s="163"/>
      <c r="C249" s="164"/>
      <c r="D249" s="164"/>
      <c r="E249" s="165"/>
      <c r="F249" s="165"/>
      <c r="G249" s="166"/>
      <c r="H249" s="166"/>
      <c r="I249" s="166"/>
      <c r="J249" s="166"/>
      <c r="K249" s="166"/>
      <c r="L249" s="166"/>
      <c r="M249" s="167" t="str">
        <f>IFERROR(__xludf.DUMMYFUNCTION("""COMPUTED_VALUE"""),"Type Brace (Poison)")</f>
        <v>Type Brace (Poison)</v>
      </c>
      <c r="N249" s="167"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row>
    <row r="250">
      <c r="A250" s="163"/>
      <c r="B250" s="163"/>
      <c r="C250" s="164"/>
      <c r="D250" s="164"/>
      <c r="E250" s="165"/>
      <c r="F250" s="165"/>
      <c r="G250" s="166"/>
      <c r="H250" s="166"/>
      <c r="I250" s="166"/>
      <c r="J250" s="166"/>
      <c r="K250" s="166"/>
      <c r="L250" s="166"/>
      <c r="M250" s="167" t="str">
        <f>IFERROR(__xludf.DUMMYFUNCTION("""COMPUTED_VALUE"""),"Type Brace (Psychic)")</f>
        <v>Type Brace (Psychic)</v>
      </c>
      <c r="N250" s="167"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row>
    <row r="251">
      <c r="A251" s="163"/>
      <c r="B251" s="163"/>
      <c r="C251" s="164"/>
      <c r="D251" s="164"/>
      <c r="E251" s="165"/>
      <c r="F251" s="165"/>
      <c r="G251" s="166"/>
      <c r="H251" s="166"/>
      <c r="I251" s="166"/>
      <c r="J251" s="166"/>
      <c r="K251" s="166"/>
      <c r="L251" s="166"/>
      <c r="M251" s="167" t="str">
        <f>IFERROR(__xludf.DUMMYFUNCTION("""COMPUTED_VALUE"""),"Type Brace (Rock)")</f>
        <v>Type Brace (Rock)</v>
      </c>
      <c r="N251" s="167"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row>
    <row r="252">
      <c r="A252" s="163"/>
      <c r="B252" s="163"/>
      <c r="C252" s="164"/>
      <c r="D252" s="164"/>
      <c r="E252" s="165"/>
      <c r="F252" s="165"/>
      <c r="G252" s="166"/>
      <c r="H252" s="166"/>
      <c r="I252" s="166"/>
      <c r="J252" s="166"/>
      <c r="K252" s="166"/>
      <c r="L252" s="166"/>
      <c r="M252" s="167" t="str">
        <f>IFERROR(__xludf.DUMMYFUNCTION("""COMPUTED_VALUE"""),"Type Brace (Steel)")</f>
        <v>Type Brace (Steel)</v>
      </c>
      <c r="N252" s="167"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row>
    <row r="253">
      <c r="A253" s="163"/>
      <c r="B253" s="163"/>
      <c r="C253" s="164"/>
      <c r="D253" s="164"/>
      <c r="E253" s="165"/>
      <c r="F253" s="165"/>
      <c r="G253" s="166"/>
      <c r="H253" s="166"/>
      <c r="I253" s="166"/>
      <c r="J253" s="166"/>
      <c r="K253" s="166"/>
      <c r="L253" s="166"/>
      <c r="M253" s="167" t="str">
        <f>IFERROR(__xludf.DUMMYFUNCTION("""COMPUTED_VALUE"""),"Type Brace (Water)")</f>
        <v>Type Brace (Water)</v>
      </c>
      <c r="N253" s="167"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row>
    <row r="254">
      <c r="A254" s="163"/>
      <c r="B254" s="163"/>
      <c r="C254" s="164"/>
      <c r="D254" s="164"/>
      <c r="E254" s="165"/>
      <c r="F254" s="165"/>
      <c r="G254" s="166"/>
      <c r="H254" s="166"/>
      <c r="I254" s="166"/>
      <c r="J254" s="166"/>
      <c r="K254" s="166"/>
      <c r="L254" s="166"/>
      <c r="M254" s="167" t="str">
        <f>IFERROR(__xludf.DUMMYFUNCTION("""COMPUTED_VALUE"""),"Type Brace (X)")</f>
        <v>Type Brace (X)</v>
      </c>
      <c r="N254" s="167"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row>
    <row r="255">
      <c r="A255" s="163"/>
      <c r="B255" s="163"/>
      <c r="C255" s="164"/>
      <c r="D255" s="164"/>
      <c r="E255" s="165"/>
      <c r="F255" s="165"/>
      <c r="G255" s="166"/>
      <c r="H255" s="166"/>
      <c r="I255" s="166"/>
      <c r="J255" s="166"/>
      <c r="K255" s="166"/>
      <c r="L255" s="166"/>
      <c r="M255" s="167" t="str">
        <f>IFERROR(__xludf.DUMMYFUNCTION("""COMPUTED_VALUE"""),"Typed Pokefood")</f>
        <v>Typed Pokefood</v>
      </c>
      <c r="N255" s="167" t="str">
        <f>IFERROR(__xludf.DUMMYFUNCTION("""COMPUTED_VALUE"""),"Upon this item’s creation, choose a Type. If expended with a Throw Maneuver, choose an unoccupied Space for the food to land. All Enemy Pokemon within 3m of it must pass a Focus Check with a Tough CR (3). Pokemon that match the chosen type have a Bane to "&amp;"this Check. If any fail, one of them will use their next Standard Action to move to that space and eat it. If it wouldn’t make sense to logically move there (Such as being on a hazard), or the Pokemon has been tricked before in this Scene, the CR is reduc"&amp;"ed at GM Discretion. [Throwable] [Small] [Consumable]")</f>
        <v>Upon this item’s creation, choose a Type. If expended with a Throw Maneuver, choose an unoccupied Space for the food to land. All Enemy Pokemon within 3m of it must pass a Focus Check with a Tough CR (3). Pokemon that match the chosen type have a Bane to this Check.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row>
    <row r="256">
      <c r="A256" s="163"/>
      <c r="B256" s="163"/>
      <c r="C256" s="164"/>
      <c r="D256" s="164"/>
      <c r="E256" s="165"/>
      <c r="F256" s="165"/>
      <c r="G256" s="166"/>
      <c r="H256" s="166"/>
      <c r="I256" s="166"/>
      <c r="J256" s="166"/>
      <c r="K256" s="166"/>
      <c r="L256" s="166"/>
      <c r="M256" s="167" t="str">
        <f>IFERROR(__xludf.DUMMYFUNCTION("""COMPUTED_VALUE"""),"Violet Shard")</f>
        <v>Violet Shard</v>
      </c>
      <c r="N256" s="167"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row>
    <row r="257">
      <c r="A257" s="163"/>
      <c r="B257" s="163"/>
      <c r="C257" s="164"/>
      <c r="D257" s="164"/>
      <c r="E257" s="165"/>
      <c r="F257" s="165"/>
      <c r="G257" s="166"/>
      <c r="H257" s="166"/>
      <c r="I257" s="166"/>
      <c r="J257" s="166"/>
      <c r="K257" s="166"/>
      <c r="L257" s="166"/>
      <c r="M257" s="167" t="str">
        <f>IFERROR(__xludf.DUMMYFUNCTION("""COMPUTED_VALUE"""),"Warding Rune [Occult]")</f>
        <v>Warding Rune [Occult]</v>
      </c>
      <c r="N257" s="167" t="str">
        <f>IFERROR(__xludf.DUMMYFUNCTION("""COMPUTED_VALUE"""),"Cost: 2 Counters
Effect: This Item may be used as a Reaction when you or an Ally within 3m would be hit with a Damaging Attack. They gain Damage Reduction against it equal to your Tier Value. If you expend a Standard Action as well, they resist it by an a"&amp;"dditional damage step. This can only be used by a Rune Master [Small] [Consumable]
Advanced: This may instead be used as a Free Action and both effects apply.")</f>
        <v>Cost: 2 Counters
Effect: This Item may be used as a Reaction when you or an Ally within 3m would be hit with a Damaging Attack. They gain Damage Reduction against it equal to your Tier Value. If you expend a Standard Action as well, they resist it by an additional damage step. This can only be used by a Rune Master [Small] [Consumable]
Advanced: This may instead be used as a Free Action and both effects apply.</v>
      </c>
    </row>
    <row r="258">
      <c r="A258" s="163"/>
      <c r="B258" s="163"/>
      <c r="C258" s="164"/>
      <c r="D258" s="164"/>
      <c r="E258" s="165"/>
      <c r="F258" s="165"/>
      <c r="G258" s="166"/>
      <c r="H258" s="166"/>
      <c r="I258" s="166"/>
      <c r="J258" s="166"/>
      <c r="K258" s="166"/>
      <c r="L258" s="166"/>
      <c r="M258" s="167" t="str">
        <f>IFERROR(__xludf.DUMMYFUNCTION("""COMPUTED_VALUE"""),"Yellow Shard")</f>
        <v>Yellow Shard</v>
      </c>
      <c r="N258" s="167"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row>
    <row r="259">
      <c r="A259" s="163"/>
      <c r="B259" s="163"/>
      <c r="C259" s="164"/>
      <c r="D259" s="164"/>
      <c r="E259" s="165"/>
      <c r="F259" s="165"/>
      <c r="G259" s="166"/>
      <c r="H259" s="166"/>
      <c r="I259" s="166"/>
      <c r="J259" s="166"/>
      <c r="K259" s="166"/>
      <c r="L259" s="166"/>
      <c r="M259" s="167" t="str">
        <f>IFERROR(__xludf.DUMMYFUNCTION("""COMPUTED_VALUE"""),"Z Crystal")</f>
        <v>Z Crystal</v>
      </c>
      <c r="N259" s="167"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row>
    <row r="260">
      <c r="A260" s="163"/>
      <c r="B260" s="163"/>
      <c r="C260" s="164"/>
      <c r="D260" s="164"/>
      <c r="E260" s="165"/>
      <c r="F260" s="165"/>
      <c r="G260" s="166"/>
      <c r="H260" s="166"/>
      <c r="I260" s="166"/>
      <c r="J260" s="166"/>
      <c r="K260" s="166"/>
      <c r="L260" s="166"/>
      <c r="M260" s="167"/>
      <c r="N260" s="167"/>
    </row>
    <row r="261">
      <c r="A261" s="163"/>
      <c r="B261" s="163"/>
      <c r="C261" s="164"/>
      <c r="D261" s="164"/>
      <c r="E261" s="165"/>
      <c r="F261" s="165"/>
      <c r="G261" s="166"/>
      <c r="H261" s="166"/>
      <c r="I261" s="166"/>
      <c r="J261" s="166"/>
      <c r="K261" s="166"/>
      <c r="L261" s="166"/>
      <c r="M261" s="167"/>
      <c r="N261" s="167"/>
    </row>
    <row r="262">
      <c r="A262" s="163"/>
      <c r="B262" s="163"/>
      <c r="C262" s="164"/>
      <c r="D262" s="164"/>
      <c r="E262" s="165"/>
      <c r="F262" s="165"/>
      <c r="G262" s="166"/>
      <c r="H262" s="166"/>
      <c r="I262" s="166"/>
      <c r="J262" s="166"/>
      <c r="K262" s="166"/>
      <c r="L262" s="166"/>
      <c r="M262" s="167"/>
      <c r="N262" s="167"/>
    </row>
    <row r="263">
      <c r="A263" s="163"/>
      <c r="B263" s="163"/>
      <c r="C263" s="164"/>
      <c r="D263" s="164"/>
      <c r="E263" s="165"/>
      <c r="F263" s="165"/>
      <c r="G263" s="166"/>
      <c r="H263" s="166"/>
      <c r="I263" s="166"/>
      <c r="J263" s="166"/>
      <c r="K263" s="166"/>
      <c r="L263" s="166"/>
      <c r="M263" s="167"/>
      <c r="N263" s="167"/>
    </row>
    <row r="264">
      <c r="A264" s="163"/>
      <c r="B264" s="163"/>
      <c r="C264" s="164"/>
      <c r="D264" s="164"/>
      <c r="E264" s="165"/>
      <c r="F264" s="165"/>
      <c r="G264" s="166"/>
      <c r="H264" s="166"/>
      <c r="I264" s="166"/>
      <c r="J264" s="166"/>
      <c r="K264" s="166"/>
      <c r="L264" s="166"/>
      <c r="M264" s="167"/>
      <c r="N264" s="167"/>
    </row>
    <row r="265">
      <c r="A265" s="163"/>
      <c r="B265" s="163"/>
      <c r="C265" s="164"/>
      <c r="D265" s="164"/>
      <c r="E265" s="165"/>
      <c r="F265" s="165"/>
      <c r="G265" s="166"/>
      <c r="H265" s="166"/>
      <c r="I265" s="166"/>
      <c r="J265" s="166"/>
      <c r="K265" s="166"/>
      <c r="L265" s="166"/>
      <c r="M265" s="167"/>
      <c r="N265" s="167"/>
    </row>
    <row r="266">
      <c r="A266" s="163"/>
      <c r="B266" s="163"/>
      <c r="C266" s="164"/>
      <c r="D266" s="164"/>
      <c r="E266" s="165"/>
      <c r="F266" s="165"/>
      <c r="G266" s="166"/>
      <c r="H266" s="166"/>
      <c r="I266" s="166"/>
      <c r="J266" s="166"/>
      <c r="K266" s="166"/>
      <c r="L266" s="166"/>
      <c r="M266" s="167"/>
      <c r="N266" s="167"/>
    </row>
    <row r="267">
      <c r="A267" s="163"/>
      <c r="B267" s="163"/>
      <c r="C267" s="164"/>
      <c r="D267" s="164"/>
      <c r="E267" s="165"/>
      <c r="F267" s="165"/>
      <c r="G267" s="166"/>
      <c r="H267" s="166"/>
      <c r="I267" s="166"/>
      <c r="J267" s="166"/>
      <c r="K267" s="166"/>
      <c r="L267" s="166"/>
      <c r="M267" s="167"/>
      <c r="N267" s="167"/>
    </row>
    <row r="268">
      <c r="A268" s="163"/>
      <c r="B268" s="163"/>
      <c r="C268" s="164"/>
      <c r="D268" s="164"/>
      <c r="E268" s="165"/>
      <c r="F268" s="165"/>
      <c r="G268" s="166"/>
      <c r="H268" s="166"/>
      <c r="I268" s="166"/>
      <c r="J268" s="166"/>
      <c r="K268" s="166"/>
      <c r="L268" s="166"/>
      <c r="M268" s="167"/>
      <c r="N268" s="167"/>
    </row>
    <row r="269">
      <c r="A269" s="163"/>
      <c r="B269" s="163"/>
      <c r="C269" s="164"/>
      <c r="D269" s="164"/>
      <c r="E269" s="165"/>
      <c r="F269" s="165"/>
      <c r="G269" s="166"/>
      <c r="H269" s="166"/>
      <c r="I269" s="166"/>
      <c r="J269" s="166"/>
      <c r="K269" s="166"/>
      <c r="L269" s="166"/>
      <c r="M269" s="167"/>
      <c r="N269" s="167"/>
    </row>
    <row r="270">
      <c r="A270" s="163"/>
      <c r="B270" s="163"/>
      <c r="C270" s="164"/>
      <c r="D270" s="164"/>
      <c r="E270" s="165"/>
      <c r="F270" s="165"/>
      <c r="G270" s="166"/>
      <c r="H270" s="166"/>
      <c r="I270" s="166"/>
      <c r="J270" s="166"/>
      <c r="K270" s="166"/>
      <c r="L270" s="166"/>
      <c r="M270" s="167"/>
      <c r="N270" s="167"/>
    </row>
    <row r="271">
      <c r="A271" s="163"/>
      <c r="B271" s="163"/>
      <c r="C271" s="164"/>
      <c r="D271" s="164"/>
      <c r="E271" s="165"/>
      <c r="F271" s="165"/>
      <c r="G271" s="166"/>
      <c r="H271" s="166"/>
      <c r="I271" s="166"/>
      <c r="J271" s="166"/>
      <c r="K271" s="166"/>
      <c r="L271" s="166"/>
      <c r="M271" s="167"/>
      <c r="N271" s="167"/>
    </row>
    <row r="272">
      <c r="A272" s="163"/>
      <c r="B272" s="163"/>
      <c r="C272" s="164"/>
      <c r="D272" s="164"/>
      <c r="E272" s="165"/>
      <c r="F272" s="165"/>
      <c r="G272" s="166"/>
      <c r="H272" s="166"/>
      <c r="I272" s="166"/>
      <c r="J272" s="166"/>
      <c r="K272" s="166"/>
      <c r="L272" s="166"/>
      <c r="M272" s="167"/>
      <c r="N272" s="167"/>
    </row>
    <row r="273">
      <c r="A273" s="163"/>
      <c r="B273" s="163"/>
      <c r="C273" s="164"/>
      <c r="D273" s="164"/>
      <c r="E273" s="165"/>
      <c r="F273" s="165"/>
      <c r="G273" s="166"/>
      <c r="H273" s="166"/>
      <c r="I273" s="166"/>
      <c r="J273" s="166"/>
      <c r="K273" s="166"/>
      <c r="L273" s="166"/>
      <c r="M273" s="167"/>
      <c r="N273" s="167"/>
    </row>
    <row r="274">
      <c r="A274" s="163"/>
      <c r="B274" s="163"/>
      <c r="C274" s="164"/>
      <c r="D274" s="164"/>
      <c r="E274" s="165"/>
      <c r="F274" s="165"/>
      <c r="G274" s="166"/>
      <c r="H274" s="166"/>
      <c r="I274" s="166"/>
      <c r="J274" s="166"/>
      <c r="K274" s="166"/>
      <c r="L274" s="166"/>
      <c r="M274" s="167"/>
      <c r="N274" s="167"/>
    </row>
    <row r="275">
      <c r="A275" s="163"/>
      <c r="B275" s="163"/>
      <c r="C275" s="164"/>
      <c r="D275" s="164"/>
      <c r="E275" s="165"/>
      <c r="F275" s="165"/>
      <c r="G275" s="166"/>
      <c r="H275" s="166"/>
      <c r="I275" s="166"/>
      <c r="J275" s="166"/>
      <c r="K275" s="166"/>
      <c r="L275" s="166"/>
      <c r="M275" s="167"/>
      <c r="N275" s="167"/>
    </row>
    <row r="276">
      <c r="A276" s="163"/>
      <c r="B276" s="163"/>
      <c r="C276" s="164"/>
      <c r="D276" s="164"/>
      <c r="E276" s="165"/>
      <c r="F276" s="165"/>
      <c r="G276" s="166"/>
      <c r="H276" s="166"/>
      <c r="I276" s="166"/>
      <c r="J276" s="166"/>
      <c r="K276" s="166"/>
      <c r="L276" s="166"/>
      <c r="M276" s="167"/>
      <c r="N276" s="167"/>
    </row>
    <row r="277">
      <c r="A277" s="163"/>
      <c r="B277" s="163"/>
      <c r="C277" s="164"/>
      <c r="D277" s="164"/>
      <c r="E277" s="165"/>
      <c r="F277" s="165"/>
      <c r="G277" s="166"/>
      <c r="H277" s="166"/>
      <c r="I277" s="166"/>
      <c r="J277" s="166"/>
      <c r="K277" s="166"/>
      <c r="L277" s="166"/>
      <c r="M277" s="167"/>
      <c r="N277" s="167"/>
    </row>
    <row r="278">
      <c r="A278" s="163"/>
      <c r="B278" s="163"/>
      <c r="C278" s="164"/>
      <c r="D278" s="164"/>
      <c r="E278" s="165"/>
      <c r="F278" s="165"/>
      <c r="G278" s="166"/>
      <c r="H278" s="166"/>
      <c r="I278" s="166"/>
      <c r="J278" s="166"/>
      <c r="K278" s="166"/>
      <c r="L278" s="166"/>
      <c r="M278" s="167"/>
      <c r="N278" s="167"/>
    </row>
    <row r="279">
      <c r="A279" s="163"/>
      <c r="B279" s="163"/>
      <c r="C279" s="164"/>
      <c r="D279" s="164"/>
      <c r="E279" s="165"/>
      <c r="F279" s="165"/>
      <c r="G279" s="166"/>
      <c r="H279" s="166"/>
      <c r="I279" s="166"/>
      <c r="J279" s="166"/>
      <c r="K279" s="166"/>
      <c r="L279" s="166"/>
      <c r="M279" s="167"/>
      <c r="N279" s="167"/>
    </row>
    <row r="280">
      <c r="A280" s="163"/>
      <c r="B280" s="163"/>
      <c r="C280" s="164"/>
      <c r="D280" s="164"/>
      <c r="E280" s="165"/>
      <c r="F280" s="165"/>
      <c r="G280" s="166"/>
      <c r="H280" s="166"/>
      <c r="I280" s="166"/>
      <c r="J280" s="166"/>
      <c r="K280" s="166"/>
      <c r="L280" s="166"/>
      <c r="M280" s="167"/>
      <c r="N280" s="167"/>
    </row>
    <row r="281">
      <c r="A281" s="163"/>
      <c r="B281" s="163"/>
      <c r="C281" s="164"/>
      <c r="D281" s="164"/>
      <c r="E281" s="165"/>
      <c r="F281" s="165"/>
      <c r="G281" s="166"/>
      <c r="H281" s="166"/>
      <c r="I281" s="166"/>
      <c r="J281" s="166"/>
      <c r="K281" s="166"/>
      <c r="L281" s="166"/>
      <c r="M281" s="167"/>
      <c r="N281" s="167"/>
    </row>
    <row r="282">
      <c r="A282" s="163"/>
      <c r="B282" s="163"/>
      <c r="C282" s="164"/>
      <c r="D282" s="164"/>
      <c r="E282" s="165"/>
      <c r="F282" s="165"/>
      <c r="G282" s="166"/>
      <c r="H282" s="166"/>
      <c r="I282" s="166"/>
      <c r="J282" s="166"/>
      <c r="K282" s="166"/>
      <c r="L282" s="166"/>
      <c r="M282" s="167"/>
      <c r="N282" s="167"/>
    </row>
    <row r="283">
      <c r="A283" s="163"/>
      <c r="B283" s="163"/>
      <c r="C283" s="164"/>
      <c r="D283" s="164"/>
      <c r="E283" s="165"/>
      <c r="F283" s="165"/>
      <c r="G283" s="166"/>
      <c r="H283" s="166"/>
      <c r="I283" s="166"/>
      <c r="J283" s="166"/>
      <c r="K283" s="166"/>
      <c r="L283" s="166"/>
      <c r="M283" s="167"/>
      <c r="N283" s="167"/>
    </row>
    <row r="284">
      <c r="A284" s="163"/>
      <c r="B284" s="163"/>
      <c r="C284" s="164"/>
      <c r="D284" s="164"/>
      <c r="E284" s="165"/>
      <c r="F284" s="165"/>
      <c r="G284" s="166"/>
      <c r="H284" s="166"/>
      <c r="I284" s="166"/>
      <c r="J284" s="166"/>
      <c r="K284" s="166"/>
      <c r="L284" s="166"/>
      <c r="M284" s="167"/>
      <c r="N284" s="167"/>
    </row>
    <row r="285">
      <c r="A285" s="163"/>
      <c r="B285" s="163"/>
      <c r="C285" s="164"/>
      <c r="D285" s="164"/>
      <c r="E285" s="165"/>
      <c r="F285" s="165"/>
      <c r="G285" s="166"/>
      <c r="H285" s="166"/>
      <c r="I285" s="166"/>
      <c r="J285" s="166"/>
      <c r="K285" s="166"/>
      <c r="L285" s="166"/>
      <c r="M285" s="167"/>
      <c r="N285" s="167"/>
    </row>
    <row r="286">
      <c r="A286" s="163"/>
      <c r="B286" s="163"/>
      <c r="C286" s="164"/>
      <c r="D286" s="164"/>
      <c r="E286" s="165"/>
      <c r="F286" s="165"/>
      <c r="G286" s="166"/>
      <c r="H286" s="166"/>
      <c r="I286" s="166"/>
      <c r="J286" s="166"/>
      <c r="K286" s="166"/>
      <c r="L286" s="166"/>
      <c r="M286" s="167"/>
      <c r="N286" s="167"/>
    </row>
    <row r="287">
      <c r="A287" s="163"/>
      <c r="B287" s="163"/>
      <c r="C287" s="164"/>
      <c r="D287" s="164"/>
      <c r="E287" s="165"/>
      <c r="F287" s="165"/>
      <c r="G287" s="166"/>
      <c r="H287" s="166"/>
      <c r="I287" s="166"/>
      <c r="J287" s="166"/>
      <c r="K287" s="166"/>
      <c r="L287" s="166"/>
      <c r="M287" s="167"/>
      <c r="N287" s="167"/>
    </row>
    <row r="288">
      <c r="A288" s="163"/>
      <c r="B288" s="163"/>
      <c r="C288" s="164"/>
      <c r="D288" s="164"/>
      <c r="E288" s="165"/>
      <c r="F288" s="165"/>
      <c r="G288" s="166"/>
      <c r="H288" s="166"/>
      <c r="I288" s="166"/>
      <c r="J288" s="166"/>
      <c r="K288" s="166"/>
      <c r="L288" s="166"/>
      <c r="M288" s="167"/>
      <c r="N288" s="167"/>
    </row>
    <row r="289">
      <c r="A289" s="163"/>
      <c r="B289" s="163"/>
      <c r="C289" s="164"/>
      <c r="D289" s="164"/>
      <c r="E289" s="165"/>
      <c r="F289" s="165"/>
      <c r="G289" s="166"/>
      <c r="H289" s="166"/>
      <c r="I289" s="166"/>
      <c r="J289" s="166"/>
      <c r="K289" s="166"/>
      <c r="L289" s="166"/>
      <c r="M289" s="167"/>
      <c r="N289" s="167"/>
    </row>
    <row r="290">
      <c r="A290" s="163"/>
      <c r="B290" s="163"/>
      <c r="C290" s="164"/>
      <c r="D290" s="164"/>
      <c r="E290" s="165"/>
      <c r="F290" s="165"/>
      <c r="G290" s="166"/>
      <c r="H290" s="166"/>
      <c r="I290" s="166"/>
      <c r="J290" s="166"/>
      <c r="K290" s="166"/>
      <c r="L290" s="166"/>
      <c r="M290" s="167"/>
      <c r="N290" s="167"/>
    </row>
    <row r="291">
      <c r="A291" s="163"/>
      <c r="B291" s="163"/>
      <c r="C291" s="164"/>
      <c r="D291" s="164"/>
      <c r="E291" s="165"/>
      <c r="F291" s="165"/>
      <c r="G291" s="166"/>
      <c r="H291" s="166"/>
      <c r="I291" s="166"/>
      <c r="J291" s="166"/>
      <c r="K291" s="166"/>
      <c r="L291" s="166"/>
      <c r="M291" s="167"/>
      <c r="N291" s="167"/>
    </row>
    <row r="292">
      <c r="A292" s="163"/>
      <c r="B292" s="163"/>
      <c r="C292" s="164"/>
      <c r="D292" s="164"/>
      <c r="E292" s="165"/>
      <c r="F292" s="165"/>
      <c r="G292" s="166"/>
      <c r="H292" s="166"/>
      <c r="I292" s="166"/>
      <c r="J292" s="166"/>
      <c r="K292" s="166"/>
      <c r="L292" s="166"/>
      <c r="M292" s="167"/>
      <c r="N292" s="167"/>
    </row>
    <row r="293">
      <c r="A293" s="163"/>
      <c r="B293" s="163"/>
      <c r="C293" s="164"/>
      <c r="D293" s="164"/>
      <c r="E293" s="165"/>
      <c r="F293" s="165"/>
      <c r="G293" s="166"/>
      <c r="H293" s="166"/>
      <c r="I293" s="166"/>
      <c r="J293" s="166"/>
      <c r="K293" s="166"/>
      <c r="L293" s="166"/>
      <c r="M293" s="167"/>
      <c r="N293" s="167"/>
    </row>
    <row r="294">
      <c r="A294" s="163"/>
      <c r="B294" s="163"/>
      <c r="C294" s="164"/>
      <c r="D294" s="164"/>
      <c r="E294" s="165"/>
      <c r="F294" s="165"/>
      <c r="G294" s="166"/>
      <c r="H294" s="166"/>
      <c r="I294" s="166"/>
      <c r="J294" s="166"/>
      <c r="K294" s="166"/>
      <c r="L294" s="166"/>
      <c r="M294" s="167"/>
      <c r="N294" s="167"/>
    </row>
    <row r="295">
      <c r="A295" s="163"/>
      <c r="B295" s="163"/>
      <c r="C295" s="164"/>
      <c r="D295" s="164"/>
      <c r="E295" s="165"/>
      <c r="F295" s="165"/>
      <c r="G295" s="166"/>
      <c r="H295" s="166"/>
      <c r="I295" s="166"/>
      <c r="J295" s="166"/>
      <c r="K295" s="166"/>
      <c r="L295" s="166"/>
      <c r="M295" s="167"/>
      <c r="N295" s="167"/>
    </row>
    <row r="296">
      <c r="A296" s="163"/>
      <c r="B296" s="163"/>
      <c r="C296" s="164"/>
      <c r="D296" s="164"/>
      <c r="E296" s="165"/>
      <c r="F296" s="165"/>
      <c r="G296" s="166"/>
      <c r="H296" s="166"/>
      <c r="I296" s="166"/>
      <c r="J296" s="166"/>
      <c r="K296" s="166"/>
      <c r="L296" s="166"/>
      <c r="M296" s="167"/>
      <c r="N296" s="167"/>
    </row>
    <row r="297">
      <c r="A297" s="163"/>
      <c r="B297" s="163"/>
      <c r="C297" s="164"/>
      <c r="D297" s="164"/>
      <c r="E297" s="165"/>
      <c r="F297" s="165"/>
      <c r="G297" s="166"/>
      <c r="H297" s="166"/>
      <c r="I297" s="166"/>
      <c r="J297" s="166"/>
      <c r="K297" s="166"/>
      <c r="L297" s="166"/>
      <c r="M297" s="167"/>
      <c r="N297" s="167"/>
    </row>
    <row r="298">
      <c r="A298" s="163"/>
      <c r="B298" s="163"/>
      <c r="C298" s="164"/>
      <c r="D298" s="164"/>
      <c r="E298" s="165"/>
      <c r="F298" s="165"/>
      <c r="G298" s="166"/>
      <c r="H298" s="166"/>
      <c r="I298" s="166"/>
      <c r="J298" s="166"/>
      <c r="K298" s="166"/>
      <c r="L298" s="166"/>
      <c r="M298" s="167"/>
      <c r="N298" s="167"/>
    </row>
    <row r="299">
      <c r="A299" s="163"/>
      <c r="B299" s="163"/>
      <c r="C299" s="164"/>
      <c r="D299" s="164"/>
      <c r="E299" s="165"/>
      <c r="F299" s="165"/>
      <c r="G299" s="166"/>
      <c r="H299" s="166"/>
      <c r="I299" s="166"/>
      <c r="J299" s="166"/>
      <c r="K299" s="166"/>
      <c r="L299" s="166"/>
      <c r="M299" s="167"/>
      <c r="N299" s="167"/>
    </row>
    <row r="300">
      <c r="A300" s="163"/>
      <c r="B300" s="163"/>
      <c r="C300" s="164"/>
      <c r="D300" s="164"/>
      <c r="E300" s="165"/>
      <c r="F300" s="165"/>
      <c r="G300" s="166"/>
      <c r="H300" s="166"/>
      <c r="I300" s="166"/>
      <c r="J300" s="166"/>
      <c r="K300" s="166"/>
      <c r="L300" s="166"/>
      <c r="M300" s="167"/>
      <c r="N300" s="167"/>
    </row>
    <row r="301">
      <c r="A301" s="163"/>
      <c r="B301" s="163"/>
      <c r="C301" s="164"/>
      <c r="D301" s="164"/>
      <c r="E301" s="165"/>
      <c r="F301" s="165"/>
      <c r="G301" s="166"/>
      <c r="H301" s="166"/>
      <c r="I301" s="166"/>
      <c r="J301" s="166"/>
      <c r="K301" s="166"/>
      <c r="L301" s="166"/>
      <c r="M301" s="167"/>
      <c r="N301" s="167"/>
    </row>
    <row r="302">
      <c r="A302" s="163"/>
      <c r="B302" s="163"/>
      <c r="C302" s="164"/>
      <c r="D302" s="164"/>
      <c r="E302" s="165"/>
      <c r="F302" s="165"/>
      <c r="G302" s="166"/>
      <c r="H302" s="166"/>
      <c r="I302" s="166"/>
      <c r="J302" s="166"/>
      <c r="K302" s="166"/>
      <c r="L302" s="166"/>
      <c r="M302" s="167"/>
      <c r="N302" s="167"/>
    </row>
    <row r="303">
      <c r="A303" s="163"/>
      <c r="B303" s="163"/>
      <c r="C303" s="164"/>
      <c r="D303" s="164"/>
      <c r="E303" s="165"/>
      <c r="F303" s="165"/>
      <c r="G303" s="166"/>
      <c r="H303" s="166"/>
      <c r="I303" s="166"/>
      <c r="J303" s="166"/>
      <c r="K303" s="166"/>
      <c r="L303" s="166"/>
      <c r="M303" s="167"/>
      <c r="N303" s="167"/>
    </row>
    <row r="304">
      <c r="A304" s="163"/>
      <c r="B304" s="163"/>
      <c r="C304" s="164"/>
      <c r="D304" s="164"/>
      <c r="E304" s="165"/>
      <c r="F304" s="165"/>
      <c r="G304" s="166"/>
      <c r="H304" s="166"/>
      <c r="I304" s="166"/>
      <c r="J304" s="166"/>
      <c r="K304" s="166"/>
      <c r="L304" s="166"/>
      <c r="M304" s="167"/>
      <c r="N304" s="167"/>
    </row>
    <row r="305">
      <c r="A305" s="163"/>
      <c r="B305" s="163"/>
      <c r="C305" s="164"/>
      <c r="D305" s="164"/>
      <c r="E305" s="165"/>
      <c r="F305" s="165"/>
      <c r="G305" s="166"/>
      <c r="H305" s="166"/>
      <c r="I305" s="166"/>
      <c r="J305" s="166"/>
      <c r="K305" s="166"/>
      <c r="L305" s="166"/>
      <c r="M305" s="167"/>
      <c r="N305" s="167"/>
    </row>
    <row r="306">
      <c r="A306" s="163"/>
      <c r="B306" s="163"/>
      <c r="C306" s="164"/>
      <c r="D306" s="164"/>
      <c r="E306" s="165"/>
      <c r="F306" s="165"/>
      <c r="G306" s="166"/>
      <c r="H306" s="166"/>
      <c r="I306" s="166"/>
      <c r="J306" s="166"/>
      <c r="K306" s="166"/>
      <c r="L306" s="166"/>
      <c r="M306" s="167"/>
      <c r="N306" s="167"/>
    </row>
    <row r="307">
      <c r="A307" s="163"/>
      <c r="B307" s="163"/>
      <c r="C307" s="164"/>
      <c r="D307" s="164"/>
      <c r="E307" s="165"/>
      <c r="F307" s="165"/>
      <c r="G307" s="166"/>
      <c r="H307" s="166"/>
      <c r="I307" s="166"/>
      <c r="J307" s="166"/>
      <c r="K307" s="166"/>
      <c r="L307" s="166"/>
      <c r="M307" s="167"/>
      <c r="N307" s="167"/>
    </row>
    <row r="308">
      <c r="A308" s="163"/>
      <c r="B308" s="163"/>
      <c r="C308" s="164"/>
      <c r="D308" s="164"/>
      <c r="E308" s="165"/>
      <c r="F308" s="165"/>
      <c r="G308" s="166"/>
      <c r="H308" s="166"/>
      <c r="I308" s="166"/>
      <c r="J308" s="166"/>
      <c r="K308" s="166"/>
      <c r="L308" s="166"/>
      <c r="M308" s="167"/>
      <c r="N308" s="167"/>
    </row>
    <row r="309">
      <c r="A309" s="163"/>
      <c r="B309" s="163"/>
      <c r="C309" s="164"/>
      <c r="D309" s="164"/>
      <c r="E309" s="165"/>
      <c r="F309" s="165"/>
      <c r="G309" s="166"/>
      <c r="H309" s="166"/>
      <c r="I309" s="166"/>
      <c r="J309" s="166"/>
      <c r="K309" s="166"/>
      <c r="L309" s="166"/>
      <c r="M309" s="167"/>
      <c r="N309" s="167"/>
    </row>
    <row r="310">
      <c r="A310" s="163"/>
      <c r="B310" s="163"/>
      <c r="C310" s="164"/>
      <c r="D310" s="164"/>
      <c r="E310" s="165"/>
      <c r="F310" s="165"/>
      <c r="G310" s="166"/>
      <c r="H310" s="166"/>
      <c r="I310" s="166"/>
      <c r="J310" s="166"/>
      <c r="K310" s="166"/>
      <c r="L310" s="166"/>
      <c r="M310" s="167"/>
      <c r="N310" s="167"/>
    </row>
    <row r="311">
      <c r="A311" s="163"/>
      <c r="B311" s="163"/>
      <c r="C311" s="164"/>
      <c r="D311" s="164"/>
      <c r="E311" s="165"/>
      <c r="F311" s="165"/>
      <c r="G311" s="166"/>
      <c r="H311" s="166"/>
      <c r="I311" s="166"/>
      <c r="J311" s="166"/>
      <c r="K311" s="166"/>
      <c r="L311" s="166"/>
      <c r="M311" s="167"/>
      <c r="N311" s="167"/>
    </row>
    <row r="312">
      <c r="A312" s="163"/>
      <c r="B312" s="163"/>
      <c r="C312" s="164"/>
      <c r="D312" s="164"/>
      <c r="E312" s="165"/>
      <c r="F312" s="165"/>
      <c r="G312" s="166"/>
      <c r="H312" s="166"/>
      <c r="I312" s="166"/>
      <c r="J312" s="166"/>
      <c r="K312" s="166"/>
      <c r="L312" s="166"/>
      <c r="M312" s="167"/>
      <c r="N312" s="167"/>
    </row>
    <row r="313">
      <c r="A313" s="163"/>
      <c r="B313" s="163"/>
      <c r="C313" s="164"/>
      <c r="D313" s="164"/>
      <c r="E313" s="165"/>
      <c r="F313" s="165"/>
      <c r="G313" s="166"/>
      <c r="H313" s="166"/>
      <c r="I313" s="166"/>
      <c r="J313" s="166"/>
      <c r="K313" s="166"/>
      <c r="L313" s="166"/>
      <c r="M313" s="167"/>
      <c r="N313" s="167"/>
    </row>
    <row r="314">
      <c r="A314" s="163"/>
      <c r="B314" s="163"/>
      <c r="C314" s="164"/>
      <c r="D314" s="164"/>
      <c r="E314" s="165"/>
      <c r="F314" s="165"/>
      <c r="G314" s="166"/>
      <c r="H314" s="166"/>
      <c r="I314" s="166"/>
      <c r="J314" s="166"/>
      <c r="K314" s="166"/>
      <c r="L314" s="166"/>
      <c r="M314" s="167"/>
      <c r="N314" s="167"/>
    </row>
    <row r="315">
      <c r="A315" s="163"/>
      <c r="B315" s="163"/>
      <c r="C315" s="164"/>
      <c r="D315" s="164"/>
      <c r="E315" s="165"/>
      <c r="F315" s="165"/>
      <c r="G315" s="166"/>
      <c r="H315" s="166"/>
      <c r="I315" s="166"/>
      <c r="J315" s="166"/>
      <c r="K315" s="166"/>
      <c r="L315" s="166"/>
      <c r="M315" s="167"/>
      <c r="N315" s="167"/>
    </row>
    <row r="316">
      <c r="A316" s="163"/>
      <c r="B316" s="163"/>
      <c r="C316" s="164"/>
      <c r="D316" s="164"/>
      <c r="E316" s="165"/>
      <c r="F316" s="165"/>
      <c r="G316" s="166"/>
      <c r="H316" s="166"/>
      <c r="I316" s="166"/>
      <c r="J316" s="166"/>
      <c r="K316" s="166"/>
      <c r="L316" s="166"/>
      <c r="M316" s="167"/>
      <c r="N316" s="167"/>
    </row>
    <row r="317">
      <c r="A317" s="163"/>
      <c r="B317" s="163"/>
      <c r="C317" s="164"/>
      <c r="D317" s="164"/>
      <c r="E317" s="165"/>
      <c r="F317" s="165"/>
      <c r="G317" s="166"/>
      <c r="H317" s="166"/>
      <c r="I317" s="166"/>
      <c r="J317" s="166"/>
      <c r="K317" s="166"/>
      <c r="L317" s="166"/>
      <c r="M317" s="167"/>
      <c r="N317" s="167"/>
    </row>
    <row r="318">
      <c r="A318" s="163"/>
      <c r="B318" s="163"/>
      <c r="C318" s="164"/>
      <c r="D318" s="164"/>
      <c r="E318" s="165"/>
      <c r="F318" s="165"/>
      <c r="G318" s="166"/>
      <c r="H318" s="166"/>
      <c r="I318" s="166"/>
      <c r="J318" s="166"/>
      <c r="K318" s="166"/>
      <c r="L318" s="166"/>
      <c r="M318" s="167"/>
      <c r="N318" s="167"/>
    </row>
    <row r="319">
      <c r="A319" s="163"/>
      <c r="B319" s="163"/>
      <c r="C319" s="164"/>
      <c r="D319" s="164"/>
      <c r="E319" s="165"/>
      <c r="F319" s="165"/>
      <c r="G319" s="166"/>
      <c r="H319" s="166"/>
      <c r="I319" s="166"/>
      <c r="J319" s="166"/>
      <c r="K319" s="166"/>
      <c r="L319" s="166"/>
      <c r="M319" s="167"/>
      <c r="N319" s="167"/>
    </row>
    <row r="320">
      <c r="A320" s="163"/>
      <c r="B320" s="163"/>
      <c r="C320" s="164"/>
      <c r="D320" s="164"/>
      <c r="E320" s="165"/>
      <c r="F320" s="165"/>
      <c r="G320" s="166"/>
      <c r="H320" s="166"/>
      <c r="I320" s="166"/>
      <c r="J320" s="166"/>
      <c r="K320" s="166"/>
      <c r="L320" s="166"/>
      <c r="M320" s="167"/>
      <c r="N320" s="167"/>
    </row>
    <row r="321">
      <c r="A321" s="163"/>
      <c r="B321" s="163"/>
      <c r="C321" s="164"/>
      <c r="D321" s="164"/>
      <c r="E321" s="165"/>
      <c r="F321" s="165"/>
      <c r="G321" s="166"/>
      <c r="H321" s="166"/>
      <c r="I321" s="166"/>
      <c r="J321" s="166"/>
      <c r="K321" s="166"/>
      <c r="L321" s="166"/>
      <c r="M321" s="167"/>
      <c r="N321" s="167"/>
    </row>
    <row r="322">
      <c r="A322" s="163"/>
      <c r="B322" s="163"/>
      <c r="C322" s="164"/>
      <c r="D322" s="164"/>
      <c r="E322" s="165"/>
      <c r="F322" s="165"/>
      <c r="G322" s="166"/>
      <c r="H322" s="166"/>
      <c r="I322" s="166"/>
      <c r="J322" s="166"/>
      <c r="K322" s="166"/>
      <c r="L322" s="166"/>
      <c r="M322" s="167"/>
      <c r="N322" s="167"/>
    </row>
    <row r="323">
      <c r="A323" s="163"/>
      <c r="B323" s="163"/>
      <c r="C323" s="164"/>
      <c r="D323" s="164"/>
      <c r="E323" s="165"/>
      <c r="F323" s="165"/>
      <c r="G323" s="166"/>
      <c r="H323" s="166"/>
      <c r="I323" s="166"/>
      <c r="J323" s="166"/>
      <c r="K323" s="166"/>
      <c r="L323" s="166"/>
      <c r="M323" s="167"/>
      <c r="N323" s="167"/>
    </row>
    <row r="324">
      <c r="A324" s="163"/>
      <c r="B324" s="163"/>
      <c r="C324" s="164"/>
      <c r="D324" s="164"/>
      <c r="E324" s="165"/>
      <c r="F324" s="165"/>
      <c r="G324" s="166"/>
      <c r="H324" s="166"/>
      <c r="I324" s="166"/>
      <c r="J324" s="166"/>
      <c r="K324" s="166"/>
      <c r="L324" s="166"/>
      <c r="M324" s="167"/>
      <c r="N324" s="167"/>
    </row>
    <row r="325">
      <c r="A325" s="163"/>
      <c r="B325" s="163"/>
      <c r="C325" s="164"/>
      <c r="D325" s="164"/>
      <c r="E325" s="165"/>
      <c r="F325" s="165"/>
      <c r="G325" s="166"/>
      <c r="H325" s="166"/>
      <c r="I325" s="166"/>
      <c r="J325" s="166"/>
      <c r="K325" s="166"/>
      <c r="L325" s="166"/>
      <c r="M325" s="167"/>
      <c r="N325" s="167"/>
    </row>
    <row r="326">
      <c r="A326" s="163"/>
      <c r="B326" s="163"/>
      <c r="C326" s="164"/>
      <c r="D326" s="164"/>
      <c r="E326" s="165"/>
      <c r="F326" s="165"/>
      <c r="G326" s="166"/>
      <c r="H326" s="166"/>
      <c r="I326" s="166"/>
      <c r="J326" s="166"/>
      <c r="K326" s="166"/>
      <c r="L326" s="166"/>
      <c r="M326" s="167"/>
      <c r="N326" s="167"/>
    </row>
    <row r="327">
      <c r="A327" s="163"/>
      <c r="B327" s="163"/>
      <c r="C327" s="164"/>
      <c r="D327" s="164"/>
      <c r="E327" s="165"/>
      <c r="F327" s="165"/>
      <c r="G327" s="166"/>
      <c r="H327" s="166"/>
      <c r="I327" s="166"/>
      <c r="J327" s="166"/>
      <c r="K327" s="166"/>
      <c r="L327" s="166"/>
      <c r="M327" s="167"/>
      <c r="N327" s="167"/>
    </row>
    <row r="328">
      <c r="A328" s="163"/>
      <c r="B328" s="163"/>
      <c r="C328" s="164"/>
      <c r="D328" s="164"/>
      <c r="E328" s="165"/>
      <c r="F328" s="165"/>
      <c r="G328" s="166"/>
      <c r="H328" s="166"/>
      <c r="I328" s="166"/>
      <c r="J328" s="166"/>
      <c r="K328" s="166"/>
      <c r="L328" s="166"/>
      <c r="M328" s="167"/>
      <c r="N328" s="167"/>
    </row>
    <row r="329">
      <c r="A329" s="163"/>
      <c r="B329" s="163"/>
      <c r="C329" s="164"/>
      <c r="D329" s="164"/>
      <c r="E329" s="165"/>
      <c r="F329" s="165"/>
      <c r="G329" s="166"/>
      <c r="H329" s="166"/>
      <c r="I329" s="166"/>
      <c r="J329" s="166"/>
      <c r="K329" s="166"/>
      <c r="L329" s="166"/>
      <c r="M329" s="167"/>
      <c r="N329" s="167"/>
    </row>
    <row r="330">
      <c r="A330" s="163"/>
      <c r="B330" s="163"/>
      <c r="C330" s="164"/>
      <c r="D330" s="164"/>
      <c r="E330" s="165"/>
      <c r="F330" s="165"/>
      <c r="G330" s="166"/>
      <c r="H330" s="166"/>
      <c r="I330" s="166"/>
      <c r="J330" s="166"/>
      <c r="K330" s="166"/>
      <c r="L330" s="166"/>
      <c r="M330" s="167"/>
      <c r="N330" s="167"/>
    </row>
    <row r="331">
      <c r="A331" s="163"/>
      <c r="B331" s="163"/>
      <c r="C331" s="164"/>
      <c r="D331" s="164"/>
      <c r="E331" s="165"/>
      <c r="F331" s="165"/>
      <c r="G331" s="166"/>
      <c r="H331" s="166"/>
      <c r="I331" s="166"/>
      <c r="J331" s="166"/>
      <c r="K331" s="166"/>
      <c r="L331" s="166"/>
      <c r="M331" s="167"/>
      <c r="N331" s="167"/>
    </row>
    <row r="332">
      <c r="A332" s="163"/>
      <c r="B332" s="163"/>
      <c r="C332" s="164"/>
      <c r="D332" s="164"/>
      <c r="E332" s="165"/>
      <c r="F332" s="165"/>
      <c r="G332" s="166"/>
      <c r="H332" s="166"/>
      <c r="I332" s="166"/>
      <c r="J332" s="166"/>
      <c r="K332" s="166"/>
      <c r="L332" s="166"/>
      <c r="M332" s="167"/>
      <c r="N332" s="167"/>
    </row>
    <row r="333">
      <c r="A333" s="163"/>
      <c r="B333" s="163"/>
      <c r="C333" s="164"/>
      <c r="D333" s="164"/>
      <c r="E333" s="165"/>
      <c r="F333" s="165"/>
      <c r="G333" s="166"/>
      <c r="H333" s="166"/>
      <c r="I333" s="166"/>
      <c r="J333" s="166"/>
      <c r="K333" s="166"/>
      <c r="L333" s="166"/>
      <c r="M333" s="167"/>
      <c r="N333" s="167"/>
    </row>
    <row r="334">
      <c r="A334" s="163"/>
      <c r="B334" s="163"/>
      <c r="C334" s="164"/>
      <c r="D334" s="164"/>
      <c r="E334" s="165"/>
      <c r="F334" s="165"/>
      <c r="G334" s="166"/>
      <c r="H334" s="166"/>
      <c r="I334" s="166"/>
      <c r="J334" s="166"/>
      <c r="K334" s="166"/>
      <c r="L334" s="166"/>
      <c r="M334" s="167"/>
      <c r="N334" s="167"/>
    </row>
    <row r="335">
      <c r="A335" s="163"/>
      <c r="B335" s="163"/>
      <c r="C335" s="164"/>
      <c r="D335" s="164"/>
      <c r="E335" s="165"/>
      <c r="F335" s="165"/>
      <c r="G335" s="166"/>
      <c r="H335" s="166"/>
      <c r="I335" s="166"/>
      <c r="J335" s="166"/>
      <c r="K335" s="166"/>
      <c r="L335" s="166"/>
      <c r="M335" s="167"/>
      <c r="N335" s="167"/>
    </row>
    <row r="336">
      <c r="A336" s="163"/>
      <c r="B336" s="163"/>
      <c r="C336" s="164"/>
      <c r="D336" s="164"/>
      <c r="E336" s="165"/>
      <c r="F336" s="165"/>
      <c r="G336" s="166"/>
      <c r="H336" s="166"/>
      <c r="I336" s="166"/>
      <c r="J336" s="166"/>
      <c r="K336" s="166"/>
      <c r="L336" s="166"/>
      <c r="M336" s="167"/>
      <c r="N336" s="167"/>
    </row>
    <row r="337">
      <c r="A337" s="163"/>
      <c r="B337" s="163"/>
      <c r="C337" s="164"/>
      <c r="D337" s="164"/>
      <c r="E337" s="165"/>
      <c r="F337" s="165"/>
      <c r="G337" s="166"/>
      <c r="H337" s="166"/>
      <c r="I337" s="166"/>
      <c r="J337" s="166"/>
      <c r="K337" s="166"/>
      <c r="L337" s="166"/>
      <c r="M337" s="167"/>
      <c r="N337" s="167"/>
    </row>
    <row r="338">
      <c r="A338" s="163"/>
      <c r="B338" s="163"/>
      <c r="C338" s="164"/>
      <c r="D338" s="164"/>
      <c r="E338" s="165"/>
      <c r="F338" s="165"/>
      <c r="G338" s="166"/>
      <c r="H338" s="166"/>
      <c r="I338" s="166"/>
      <c r="J338" s="166"/>
      <c r="K338" s="166"/>
      <c r="L338" s="166"/>
      <c r="M338" s="167"/>
      <c r="N338" s="167"/>
    </row>
    <row r="339">
      <c r="A339" s="163"/>
      <c r="B339" s="163"/>
      <c r="C339" s="164"/>
      <c r="D339" s="164"/>
      <c r="E339" s="165"/>
      <c r="F339" s="165"/>
      <c r="G339" s="166"/>
      <c r="H339" s="166"/>
      <c r="I339" s="166"/>
      <c r="J339" s="166"/>
      <c r="K339" s="166"/>
      <c r="L339" s="166"/>
      <c r="M339" s="167"/>
      <c r="N339" s="167"/>
    </row>
    <row r="340">
      <c r="A340" s="163"/>
      <c r="B340" s="163"/>
      <c r="C340" s="164"/>
      <c r="D340" s="164"/>
      <c r="E340" s="165"/>
      <c r="F340" s="165"/>
      <c r="G340" s="166"/>
      <c r="H340" s="166"/>
      <c r="I340" s="166"/>
      <c r="J340" s="166"/>
      <c r="K340" s="166"/>
      <c r="L340" s="166"/>
      <c r="M340" s="167"/>
      <c r="N340" s="167"/>
    </row>
    <row r="341">
      <c r="A341" s="163"/>
      <c r="B341" s="163"/>
      <c r="C341" s="164"/>
      <c r="D341" s="164"/>
      <c r="E341" s="165"/>
      <c r="F341" s="165"/>
      <c r="G341" s="166"/>
      <c r="H341" s="166"/>
      <c r="I341" s="166"/>
      <c r="J341" s="166"/>
      <c r="K341" s="166"/>
      <c r="L341" s="166"/>
      <c r="M341" s="167"/>
      <c r="N341" s="167"/>
    </row>
    <row r="342">
      <c r="A342" s="163"/>
      <c r="B342" s="163"/>
      <c r="C342" s="164"/>
      <c r="D342" s="164"/>
      <c r="E342" s="165"/>
      <c r="F342" s="165"/>
      <c r="G342" s="166"/>
      <c r="H342" s="166"/>
      <c r="I342" s="166"/>
      <c r="J342" s="166"/>
      <c r="K342" s="166"/>
      <c r="L342" s="166"/>
      <c r="M342" s="167"/>
      <c r="N342" s="167"/>
    </row>
    <row r="343">
      <c r="A343" s="163"/>
      <c r="B343" s="163"/>
      <c r="C343" s="164"/>
      <c r="D343" s="164"/>
      <c r="E343" s="165"/>
      <c r="F343" s="165"/>
      <c r="G343" s="166"/>
      <c r="H343" s="166"/>
      <c r="I343" s="166"/>
      <c r="J343" s="166"/>
      <c r="K343" s="166"/>
      <c r="L343" s="166"/>
      <c r="M343" s="167"/>
      <c r="N343" s="167"/>
    </row>
    <row r="344">
      <c r="A344" s="163"/>
      <c r="B344" s="163"/>
      <c r="C344" s="164"/>
      <c r="D344" s="164"/>
      <c r="E344" s="165"/>
      <c r="F344" s="165"/>
      <c r="G344" s="166"/>
      <c r="H344" s="166"/>
      <c r="I344" s="166"/>
      <c r="J344" s="166"/>
      <c r="K344" s="166"/>
      <c r="L344" s="166"/>
      <c r="M344" s="167"/>
      <c r="N344" s="167"/>
    </row>
    <row r="345">
      <c r="A345" s="163"/>
      <c r="B345" s="163"/>
      <c r="C345" s="164"/>
      <c r="D345" s="164"/>
      <c r="E345" s="165"/>
      <c r="F345" s="165"/>
      <c r="G345" s="166"/>
      <c r="H345" s="166"/>
      <c r="I345" s="166"/>
      <c r="J345" s="166"/>
      <c r="K345" s="166"/>
      <c r="L345" s="166"/>
      <c r="M345" s="167"/>
      <c r="N345" s="167"/>
    </row>
    <row r="346">
      <c r="A346" s="163"/>
      <c r="B346" s="163"/>
      <c r="C346" s="164"/>
      <c r="D346" s="164"/>
      <c r="E346" s="165"/>
      <c r="F346" s="165"/>
      <c r="G346" s="166"/>
      <c r="H346" s="166"/>
      <c r="I346" s="166"/>
      <c r="J346" s="166"/>
      <c r="K346" s="166"/>
      <c r="L346" s="166"/>
      <c r="M346" s="167"/>
      <c r="N346" s="167"/>
    </row>
    <row r="347">
      <c r="A347" s="163"/>
      <c r="B347" s="163"/>
      <c r="C347" s="164"/>
      <c r="D347" s="164"/>
      <c r="E347" s="165"/>
      <c r="F347" s="165"/>
      <c r="G347" s="166"/>
      <c r="H347" s="166"/>
      <c r="I347" s="166"/>
      <c r="J347" s="166"/>
      <c r="K347" s="166"/>
      <c r="L347" s="166"/>
      <c r="M347" s="167"/>
      <c r="N347" s="167"/>
    </row>
    <row r="348">
      <c r="A348" s="163"/>
      <c r="B348" s="163"/>
      <c r="C348" s="164"/>
      <c r="D348" s="164"/>
      <c r="E348" s="165"/>
      <c r="F348" s="165"/>
      <c r="G348" s="166"/>
      <c r="H348" s="166"/>
      <c r="I348" s="166"/>
      <c r="J348" s="166"/>
      <c r="K348" s="166"/>
      <c r="L348" s="166"/>
      <c r="M348" s="167"/>
      <c r="N348" s="167"/>
    </row>
    <row r="349">
      <c r="A349" s="163"/>
      <c r="B349" s="163"/>
      <c r="C349" s="164"/>
      <c r="D349" s="164"/>
      <c r="E349" s="165"/>
      <c r="F349" s="165"/>
      <c r="G349" s="166"/>
      <c r="H349" s="166"/>
      <c r="I349" s="166"/>
      <c r="J349" s="166"/>
      <c r="K349" s="166"/>
      <c r="L349" s="166"/>
      <c r="M349" s="167"/>
      <c r="N349" s="167"/>
    </row>
    <row r="350">
      <c r="A350" s="163"/>
      <c r="B350" s="163"/>
      <c r="C350" s="164"/>
      <c r="D350" s="164"/>
      <c r="E350" s="165"/>
      <c r="F350" s="165"/>
      <c r="G350" s="166"/>
      <c r="H350" s="166"/>
      <c r="I350" s="166"/>
      <c r="J350" s="166"/>
      <c r="K350" s="166"/>
      <c r="L350" s="166"/>
      <c r="M350" s="167"/>
      <c r="N350" s="167"/>
    </row>
    <row r="351">
      <c r="A351" s="163"/>
      <c r="B351" s="163"/>
      <c r="C351" s="164"/>
      <c r="D351" s="164"/>
      <c r="E351" s="165"/>
      <c r="F351" s="165"/>
      <c r="G351" s="166"/>
      <c r="H351" s="166"/>
      <c r="I351" s="166"/>
      <c r="J351" s="166"/>
      <c r="K351" s="166"/>
      <c r="L351" s="166"/>
      <c r="M351" s="167"/>
      <c r="N351" s="167"/>
    </row>
    <row r="352">
      <c r="A352" s="163"/>
      <c r="B352" s="163"/>
      <c r="C352" s="164"/>
      <c r="D352" s="164"/>
      <c r="E352" s="165"/>
      <c r="F352" s="165"/>
      <c r="G352" s="166"/>
      <c r="H352" s="166"/>
      <c r="I352" s="166"/>
      <c r="J352" s="166"/>
      <c r="K352" s="166"/>
      <c r="L352" s="166"/>
      <c r="M352" s="167"/>
      <c r="N352" s="167"/>
    </row>
    <row r="353">
      <c r="A353" s="163"/>
      <c r="B353" s="163"/>
      <c r="C353" s="164"/>
      <c r="D353" s="164"/>
      <c r="E353" s="165"/>
      <c r="F353" s="165"/>
      <c r="G353" s="166"/>
      <c r="H353" s="166"/>
      <c r="I353" s="166"/>
      <c r="J353" s="166"/>
      <c r="K353" s="166"/>
      <c r="L353" s="166"/>
      <c r="M353" s="167"/>
      <c r="N353" s="167"/>
    </row>
    <row r="354">
      <c r="A354" s="163"/>
      <c r="B354" s="163"/>
      <c r="C354" s="164"/>
      <c r="D354" s="164"/>
      <c r="E354" s="165"/>
      <c r="F354" s="165"/>
      <c r="G354" s="166"/>
      <c r="H354" s="166"/>
      <c r="I354" s="166"/>
      <c r="J354" s="166"/>
      <c r="K354" s="166"/>
      <c r="L354" s="166"/>
      <c r="M354" s="167"/>
      <c r="N354" s="167"/>
    </row>
    <row r="355">
      <c r="A355" s="163"/>
      <c r="B355" s="163"/>
      <c r="C355" s="164"/>
      <c r="D355" s="164"/>
      <c r="E355" s="165"/>
      <c r="F355" s="165"/>
      <c r="G355" s="166"/>
      <c r="H355" s="166"/>
      <c r="I355" s="166"/>
      <c r="J355" s="166"/>
      <c r="K355" s="166"/>
      <c r="L355" s="166"/>
      <c r="M355" s="167"/>
      <c r="N355" s="167"/>
    </row>
    <row r="356">
      <c r="A356" s="163"/>
      <c r="B356" s="163"/>
      <c r="C356" s="164"/>
      <c r="D356" s="164"/>
      <c r="E356" s="165"/>
      <c r="F356" s="165"/>
      <c r="G356" s="166"/>
      <c r="H356" s="166"/>
      <c r="I356" s="166"/>
      <c r="J356" s="166"/>
      <c r="K356" s="166"/>
      <c r="L356" s="166"/>
      <c r="M356" s="167"/>
      <c r="N356" s="167"/>
    </row>
    <row r="357">
      <c r="A357" s="163"/>
      <c r="B357" s="163"/>
      <c r="C357" s="164"/>
      <c r="D357" s="164"/>
      <c r="E357" s="165"/>
      <c r="F357" s="165"/>
      <c r="G357" s="166"/>
      <c r="H357" s="166"/>
      <c r="I357" s="166"/>
      <c r="J357" s="166"/>
      <c r="K357" s="166"/>
      <c r="L357" s="166"/>
      <c r="M357" s="167"/>
      <c r="N357" s="167"/>
    </row>
    <row r="358">
      <c r="A358" s="163"/>
      <c r="B358" s="163"/>
      <c r="C358" s="164"/>
      <c r="D358" s="164"/>
      <c r="E358" s="165"/>
      <c r="F358" s="165"/>
      <c r="G358" s="166"/>
      <c r="H358" s="166"/>
      <c r="I358" s="166"/>
      <c r="J358" s="166"/>
      <c r="K358" s="166"/>
      <c r="L358" s="166"/>
      <c r="M358" s="167"/>
      <c r="N358" s="167"/>
    </row>
    <row r="359">
      <c r="A359" s="163"/>
      <c r="B359" s="163"/>
      <c r="C359" s="164"/>
      <c r="D359" s="164"/>
      <c r="E359" s="165"/>
      <c r="F359" s="165"/>
      <c r="G359" s="166"/>
      <c r="H359" s="166"/>
      <c r="I359" s="166"/>
      <c r="J359" s="166"/>
      <c r="K359" s="166"/>
      <c r="L359" s="166"/>
      <c r="M359" s="167"/>
      <c r="N359" s="167"/>
    </row>
    <row r="360">
      <c r="A360" s="163"/>
      <c r="B360" s="163"/>
      <c r="C360" s="164"/>
      <c r="D360" s="164"/>
      <c r="E360" s="165"/>
      <c r="F360" s="165"/>
      <c r="G360" s="166"/>
      <c r="H360" s="166"/>
      <c r="I360" s="166"/>
      <c r="J360" s="166"/>
      <c r="K360" s="166"/>
      <c r="L360" s="166"/>
      <c r="M360" s="167"/>
      <c r="N360" s="167"/>
    </row>
    <row r="361">
      <c r="A361" s="163"/>
      <c r="B361" s="163"/>
      <c r="C361" s="164"/>
      <c r="D361" s="164"/>
      <c r="E361" s="165"/>
      <c r="F361" s="165"/>
      <c r="G361" s="166"/>
      <c r="H361" s="166"/>
      <c r="I361" s="166"/>
      <c r="J361" s="166"/>
      <c r="K361" s="166"/>
      <c r="L361" s="166"/>
      <c r="M361" s="167"/>
      <c r="N361" s="167"/>
    </row>
    <row r="362">
      <c r="A362" s="163"/>
      <c r="B362" s="163"/>
      <c r="C362" s="164"/>
      <c r="D362" s="164"/>
      <c r="E362" s="165"/>
      <c r="F362" s="165"/>
      <c r="G362" s="166"/>
      <c r="H362" s="166"/>
      <c r="I362" s="166"/>
      <c r="J362" s="166"/>
      <c r="K362" s="166"/>
      <c r="L362" s="166"/>
      <c r="M362" s="167"/>
      <c r="N362" s="167"/>
    </row>
    <row r="363">
      <c r="A363" s="163"/>
      <c r="B363" s="163"/>
      <c r="C363" s="164"/>
      <c r="D363" s="164"/>
      <c r="E363" s="165"/>
      <c r="F363" s="165"/>
      <c r="G363" s="166"/>
      <c r="H363" s="166"/>
      <c r="I363" s="166"/>
      <c r="J363" s="166"/>
      <c r="K363" s="166"/>
      <c r="L363" s="166"/>
      <c r="M363" s="167"/>
      <c r="N363" s="167"/>
    </row>
    <row r="364">
      <c r="A364" s="163"/>
      <c r="B364" s="163"/>
      <c r="C364" s="164"/>
      <c r="D364" s="164"/>
      <c r="E364" s="165"/>
      <c r="F364" s="165"/>
      <c r="G364" s="166"/>
      <c r="H364" s="166"/>
      <c r="I364" s="166"/>
      <c r="J364" s="166"/>
      <c r="K364" s="166"/>
      <c r="L364" s="166"/>
      <c r="M364" s="167"/>
      <c r="N364" s="167"/>
    </row>
    <row r="365">
      <c r="A365" s="163"/>
      <c r="B365" s="163"/>
      <c r="C365" s="164"/>
      <c r="D365" s="164"/>
      <c r="E365" s="165"/>
      <c r="F365" s="165"/>
      <c r="G365" s="166"/>
      <c r="H365" s="166"/>
      <c r="I365" s="166"/>
      <c r="J365" s="166"/>
      <c r="K365" s="166"/>
      <c r="L365" s="166"/>
      <c r="M365" s="167"/>
      <c r="N365" s="167"/>
    </row>
    <row r="366">
      <c r="A366" s="163"/>
      <c r="B366" s="163"/>
      <c r="C366" s="164"/>
      <c r="D366" s="164"/>
      <c r="E366" s="165"/>
      <c r="F366" s="165"/>
      <c r="G366" s="166"/>
      <c r="H366" s="166"/>
      <c r="I366" s="166"/>
      <c r="J366" s="166"/>
      <c r="K366" s="166"/>
      <c r="L366" s="166"/>
      <c r="M366" s="167"/>
      <c r="N366" s="167"/>
    </row>
    <row r="367">
      <c r="A367" s="163"/>
      <c r="B367" s="163"/>
      <c r="C367" s="164"/>
      <c r="D367" s="164"/>
      <c r="E367" s="165"/>
      <c r="F367" s="165"/>
      <c r="G367" s="166"/>
      <c r="H367" s="166"/>
      <c r="I367" s="166"/>
      <c r="J367" s="166"/>
      <c r="K367" s="166"/>
      <c r="L367" s="166"/>
      <c r="M367" s="167"/>
      <c r="N367" s="167"/>
    </row>
    <row r="368">
      <c r="A368" s="163"/>
      <c r="B368" s="163"/>
      <c r="C368" s="164"/>
      <c r="D368" s="164"/>
      <c r="E368" s="165"/>
      <c r="F368" s="165"/>
      <c r="G368" s="166"/>
      <c r="H368" s="166"/>
      <c r="I368" s="166"/>
      <c r="J368" s="166"/>
      <c r="K368" s="166"/>
      <c r="L368" s="166"/>
      <c r="M368" s="167"/>
      <c r="N368" s="167"/>
    </row>
    <row r="369">
      <c r="A369" s="163"/>
      <c r="B369" s="163"/>
      <c r="C369" s="164"/>
      <c r="D369" s="164"/>
      <c r="E369" s="165"/>
      <c r="F369" s="165"/>
      <c r="G369" s="166"/>
      <c r="H369" s="166"/>
      <c r="I369" s="166"/>
      <c r="J369" s="166"/>
      <c r="K369" s="166"/>
      <c r="L369" s="166"/>
      <c r="M369" s="167"/>
      <c r="N369" s="167"/>
    </row>
    <row r="370">
      <c r="A370" s="163"/>
      <c r="B370" s="163"/>
      <c r="C370" s="164"/>
      <c r="D370" s="164"/>
      <c r="E370" s="165"/>
      <c r="F370" s="165"/>
      <c r="G370" s="166"/>
      <c r="H370" s="166"/>
      <c r="I370" s="166"/>
      <c r="J370" s="166"/>
      <c r="K370" s="166"/>
      <c r="L370" s="166"/>
      <c r="M370" s="167"/>
      <c r="N370" s="167"/>
    </row>
    <row r="371">
      <c r="A371" s="163"/>
      <c r="B371" s="163"/>
      <c r="C371" s="164"/>
      <c r="D371" s="164"/>
      <c r="E371" s="165"/>
      <c r="F371" s="165"/>
      <c r="G371" s="166"/>
      <c r="H371" s="166"/>
      <c r="I371" s="166"/>
      <c r="J371" s="166"/>
      <c r="K371" s="166"/>
      <c r="L371" s="166"/>
      <c r="M371" s="167"/>
      <c r="N371" s="167"/>
    </row>
    <row r="372">
      <c r="A372" s="163"/>
      <c r="B372" s="163"/>
      <c r="C372" s="164"/>
      <c r="D372" s="164"/>
      <c r="E372" s="165"/>
      <c r="F372" s="165"/>
      <c r="G372" s="166"/>
      <c r="H372" s="166"/>
      <c r="I372" s="166"/>
      <c r="J372" s="166"/>
      <c r="K372" s="166"/>
      <c r="L372" s="166"/>
      <c r="M372" s="167"/>
      <c r="N372" s="167"/>
    </row>
    <row r="373">
      <c r="A373" s="163"/>
      <c r="B373" s="163"/>
      <c r="C373" s="164"/>
      <c r="D373" s="164"/>
      <c r="E373" s="165"/>
      <c r="F373" s="165"/>
      <c r="G373" s="166"/>
      <c r="H373" s="166"/>
      <c r="I373" s="166"/>
      <c r="J373" s="166"/>
      <c r="K373" s="166"/>
      <c r="L373" s="166"/>
      <c r="M373" s="167"/>
      <c r="N373" s="167"/>
    </row>
    <row r="374">
      <c r="A374" s="163"/>
      <c r="B374" s="163"/>
      <c r="C374" s="164"/>
      <c r="D374" s="164"/>
      <c r="E374" s="165"/>
      <c r="F374" s="165"/>
      <c r="G374" s="166"/>
      <c r="H374" s="166"/>
      <c r="I374" s="166"/>
      <c r="J374" s="166"/>
      <c r="K374" s="166"/>
      <c r="L374" s="166"/>
      <c r="M374" s="167"/>
      <c r="N374" s="167"/>
    </row>
    <row r="375">
      <c r="A375" s="163"/>
      <c r="B375" s="163"/>
      <c r="C375" s="164"/>
      <c r="D375" s="164"/>
      <c r="E375" s="165"/>
      <c r="F375" s="165"/>
      <c r="G375" s="166"/>
      <c r="H375" s="166"/>
      <c r="I375" s="166"/>
      <c r="J375" s="166"/>
      <c r="K375" s="166"/>
      <c r="L375" s="166"/>
      <c r="M375" s="167"/>
      <c r="N375" s="167"/>
    </row>
    <row r="376">
      <c r="A376" s="163"/>
      <c r="B376" s="163"/>
      <c r="C376" s="164"/>
      <c r="D376" s="164"/>
      <c r="E376" s="165"/>
      <c r="F376" s="165"/>
      <c r="G376" s="166"/>
      <c r="H376" s="166"/>
      <c r="I376" s="166"/>
      <c r="J376" s="166"/>
      <c r="K376" s="166"/>
      <c r="L376" s="166"/>
      <c r="M376" s="167"/>
      <c r="N376" s="167"/>
    </row>
    <row r="377">
      <c r="A377" s="163"/>
      <c r="B377" s="163"/>
      <c r="C377" s="164"/>
      <c r="D377" s="164"/>
      <c r="E377" s="165"/>
      <c r="F377" s="165"/>
      <c r="G377" s="166"/>
      <c r="H377" s="166"/>
      <c r="I377" s="166"/>
      <c r="J377" s="166"/>
      <c r="K377" s="166"/>
      <c r="L377" s="166"/>
      <c r="M377" s="167"/>
      <c r="N377" s="167"/>
    </row>
    <row r="378">
      <c r="A378" s="163"/>
      <c r="B378" s="163"/>
      <c r="C378" s="164"/>
      <c r="D378" s="164"/>
      <c r="E378" s="165"/>
      <c r="F378" s="165"/>
      <c r="G378" s="166"/>
      <c r="H378" s="166"/>
      <c r="I378" s="166"/>
      <c r="J378" s="166"/>
      <c r="K378" s="166"/>
      <c r="L378" s="166"/>
      <c r="M378" s="167"/>
      <c r="N378" s="167"/>
    </row>
    <row r="379">
      <c r="A379" s="163"/>
      <c r="B379" s="163"/>
      <c r="C379" s="164"/>
      <c r="D379" s="164"/>
      <c r="E379" s="165"/>
      <c r="F379" s="165"/>
      <c r="G379" s="166"/>
      <c r="H379" s="166"/>
      <c r="I379" s="166"/>
      <c r="J379" s="166"/>
      <c r="K379" s="166"/>
      <c r="L379" s="166"/>
      <c r="M379" s="167"/>
      <c r="N379" s="167"/>
    </row>
    <row r="380">
      <c r="A380" s="163"/>
      <c r="B380" s="163"/>
      <c r="C380" s="164"/>
      <c r="D380" s="164"/>
      <c r="E380" s="165"/>
      <c r="F380" s="165"/>
      <c r="G380" s="166"/>
      <c r="H380" s="166"/>
      <c r="I380" s="166"/>
      <c r="J380" s="166"/>
      <c r="K380" s="166"/>
      <c r="L380" s="166"/>
      <c r="M380" s="167"/>
      <c r="N380" s="167"/>
    </row>
    <row r="381">
      <c r="A381" s="163"/>
      <c r="B381" s="163"/>
      <c r="C381" s="164"/>
      <c r="D381" s="164"/>
      <c r="E381" s="165"/>
      <c r="F381" s="165"/>
      <c r="G381" s="166"/>
      <c r="H381" s="166"/>
      <c r="I381" s="166"/>
      <c r="J381" s="166"/>
      <c r="K381" s="166"/>
      <c r="L381" s="166"/>
      <c r="M381" s="167"/>
      <c r="N381" s="167"/>
    </row>
    <row r="382">
      <c r="A382" s="163"/>
      <c r="B382" s="163"/>
      <c r="C382" s="164"/>
      <c r="D382" s="164"/>
      <c r="E382" s="165"/>
      <c r="F382" s="165"/>
      <c r="G382" s="166"/>
      <c r="H382" s="166"/>
      <c r="I382" s="166"/>
      <c r="J382" s="166"/>
      <c r="K382" s="166"/>
      <c r="L382" s="166"/>
      <c r="M382" s="167"/>
      <c r="N382" s="167"/>
    </row>
    <row r="383">
      <c r="A383" s="163"/>
      <c r="B383" s="163"/>
      <c r="C383" s="164"/>
      <c r="D383" s="164"/>
      <c r="E383" s="165"/>
      <c r="F383" s="165"/>
      <c r="G383" s="166"/>
      <c r="H383" s="166"/>
      <c r="I383" s="166"/>
      <c r="J383" s="166"/>
      <c r="K383" s="166"/>
      <c r="L383" s="166"/>
      <c r="M383" s="167"/>
      <c r="N383" s="167"/>
    </row>
    <row r="384">
      <c r="A384" s="163"/>
      <c r="B384" s="163"/>
      <c r="C384" s="164"/>
      <c r="D384" s="164"/>
      <c r="E384" s="165"/>
      <c r="F384" s="165"/>
      <c r="G384" s="166"/>
      <c r="H384" s="166"/>
      <c r="I384" s="166"/>
      <c r="J384" s="166"/>
      <c r="K384" s="166"/>
      <c r="L384" s="166"/>
      <c r="M384" s="167"/>
      <c r="N384" s="167"/>
    </row>
    <row r="385">
      <c r="A385" s="163"/>
      <c r="B385" s="163"/>
      <c r="C385" s="164"/>
      <c r="D385" s="164"/>
      <c r="E385" s="165"/>
      <c r="F385" s="165"/>
      <c r="G385" s="166"/>
      <c r="H385" s="166"/>
      <c r="I385" s="166"/>
      <c r="J385" s="166"/>
      <c r="K385" s="166"/>
      <c r="L385" s="166"/>
      <c r="M385" s="167"/>
      <c r="N385" s="167"/>
    </row>
    <row r="386">
      <c r="A386" s="163"/>
      <c r="B386" s="163"/>
      <c r="C386" s="164"/>
      <c r="D386" s="164"/>
      <c r="E386" s="165"/>
      <c r="F386" s="165"/>
      <c r="G386" s="166"/>
      <c r="H386" s="166"/>
      <c r="I386" s="166"/>
      <c r="J386" s="166"/>
      <c r="K386" s="166"/>
      <c r="L386" s="166"/>
      <c r="M386" s="167"/>
      <c r="N386" s="167"/>
    </row>
    <row r="387">
      <c r="A387" s="163"/>
      <c r="B387" s="163"/>
      <c r="C387" s="164"/>
      <c r="D387" s="164"/>
      <c r="E387" s="165"/>
      <c r="F387" s="165"/>
      <c r="G387" s="166"/>
      <c r="H387" s="166"/>
      <c r="I387" s="166"/>
      <c r="J387" s="166"/>
      <c r="K387" s="166"/>
      <c r="L387" s="166"/>
      <c r="M387" s="167"/>
      <c r="N387" s="167"/>
    </row>
    <row r="388">
      <c r="A388" s="163"/>
      <c r="B388" s="163"/>
      <c r="C388" s="164"/>
      <c r="D388" s="164"/>
      <c r="E388" s="165"/>
      <c r="F388" s="165"/>
      <c r="G388" s="166"/>
      <c r="H388" s="166"/>
      <c r="I388" s="166"/>
      <c r="J388" s="166"/>
      <c r="K388" s="166"/>
      <c r="L388" s="166"/>
      <c r="M388" s="167"/>
      <c r="N388" s="167"/>
    </row>
    <row r="389">
      <c r="A389" s="163"/>
      <c r="B389" s="163"/>
      <c r="C389" s="164"/>
      <c r="D389" s="164"/>
      <c r="E389" s="165"/>
      <c r="F389" s="165"/>
      <c r="G389" s="166"/>
      <c r="H389" s="166"/>
      <c r="I389" s="166"/>
      <c r="J389" s="166"/>
      <c r="K389" s="166"/>
      <c r="L389" s="166"/>
      <c r="M389" s="167"/>
      <c r="N389" s="167"/>
    </row>
    <row r="390">
      <c r="A390" s="163"/>
      <c r="B390" s="163"/>
      <c r="C390" s="164"/>
      <c r="D390" s="164"/>
      <c r="E390" s="165"/>
      <c r="F390" s="165"/>
      <c r="G390" s="166"/>
      <c r="H390" s="166"/>
      <c r="I390" s="166"/>
      <c r="J390" s="166"/>
      <c r="K390" s="166"/>
      <c r="L390" s="166"/>
      <c r="M390" s="167"/>
      <c r="N390" s="167"/>
    </row>
    <row r="391">
      <c r="A391" s="163"/>
      <c r="B391" s="163"/>
      <c r="C391" s="164"/>
      <c r="D391" s="164"/>
      <c r="E391" s="165"/>
      <c r="F391" s="165"/>
      <c r="G391" s="166"/>
      <c r="H391" s="166"/>
      <c r="I391" s="166"/>
      <c r="J391" s="166"/>
      <c r="K391" s="166"/>
      <c r="L391" s="166"/>
      <c r="M391" s="167"/>
      <c r="N391" s="167"/>
    </row>
    <row r="392">
      <c r="A392" s="163"/>
      <c r="B392" s="163"/>
      <c r="C392" s="164"/>
      <c r="D392" s="164"/>
      <c r="E392" s="165"/>
      <c r="F392" s="165"/>
      <c r="G392" s="166"/>
      <c r="H392" s="166"/>
      <c r="I392" s="166"/>
      <c r="J392" s="166"/>
      <c r="K392" s="166"/>
      <c r="L392" s="166"/>
      <c r="M392" s="167"/>
      <c r="N392" s="167"/>
    </row>
    <row r="393">
      <c r="A393" s="163"/>
      <c r="B393" s="163"/>
      <c r="C393" s="164"/>
      <c r="D393" s="164"/>
      <c r="E393" s="165"/>
      <c r="F393" s="165"/>
      <c r="G393" s="166"/>
      <c r="H393" s="166"/>
      <c r="I393" s="166"/>
      <c r="J393" s="166"/>
      <c r="K393" s="166"/>
      <c r="L393" s="166"/>
      <c r="M393" s="167"/>
      <c r="N393" s="167"/>
    </row>
    <row r="394">
      <c r="A394" s="163"/>
      <c r="B394" s="163"/>
      <c r="C394" s="164"/>
      <c r="D394" s="164"/>
      <c r="E394" s="165"/>
      <c r="F394" s="165"/>
      <c r="G394" s="166"/>
      <c r="H394" s="166"/>
      <c r="I394" s="166"/>
      <c r="J394" s="166"/>
      <c r="K394" s="166"/>
      <c r="L394" s="166"/>
      <c r="M394" s="167"/>
      <c r="N394" s="167"/>
    </row>
    <row r="395">
      <c r="A395" s="163"/>
      <c r="B395" s="163"/>
      <c r="C395" s="164"/>
      <c r="D395" s="164"/>
      <c r="E395" s="165"/>
      <c r="F395" s="165"/>
      <c r="G395" s="166"/>
      <c r="H395" s="166"/>
      <c r="I395" s="166"/>
      <c r="J395" s="166"/>
      <c r="K395" s="166"/>
      <c r="L395" s="166"/>
      <c r="M395" s="167"/>
      <c r="N395" s="167"/>
    </row>
    <row r="396">
      <c r="A396" s="163"/>
      <c r="B396" s="163"/>
      <c r="C396" s="164"/>
      <c r="D396" s="164"/>
      <c r="E396" s="165"/>
      <c r="F396" s="165"/>
      <c r="G396" s="166"/>
      <c r="H396" s="166"/>
      <c r="I396" s="166"/>
      <c r="J396" s="166"/>
      <c r="K396" s="166"/>
      <c r="L396" s="166"/>
      <c r="M396" s="167"/>
      <c r="N396" s="167"/>
    </row>
    <row r="397">
      <c r="A397" s="163"/>
      <c r="B397" s="163"/>
      <c r="C397" s="164"/>
      <c r="D397" s="164"/>
      <c r="E397" s="165"/>
      <c r="F397" s="165"/>
      <c r="G397" s="166"/>
      <c r="H397" s="166"/>
      <c r="I397" s="166"/>
      <c r="J397" s="166"/>
      <c r="K397" s="166"/>
      <c r="L397" s="166"/>
      <c r="M397" s="167"/>
      <c r="N397" s="167"/>
    </row>
    <row r="398">
      <c r="A398" s="163"/>
      <c r="B398" s="163"/>
      <c r="C398" s="164"/>
      <c r="D398" s="164"/>
      <c r="E398" s="165"/>
      <c r="F398" s="165"/>
      <c r="G398" s="166"/>
      <c r="H398" s="166"/>
      <c r="I398" s="166"/>
      <c r="J398" s="166"/>
      <c r="K398" s="166"/>
      <c r="L398" s="166"/>
      <c r="M398" s="167"/>
      <c r="N398" s="167"/>
    </row>
    <row r="399">
      <c r="A399" s="163"/>
      <c r="B399" s="163"/>
      <c r="C399" s="164"/>
      <c r="D399" s="164"/>
      <c r="E399" s="165"/>
      <c r="F399" s="165"/>
      <c r="G399" s="166"/>
      <c r="H399" s="166"/>
      <c r="I399" s="166"/>
      <c r="J399" s="166"/>
      <c r="K399" s="166"/>
      <c r="L399" s="166"/>
      <c r="M399" s="167"/>
      <c r="N399" s="167"/>
    </row>
    <row r="400">
      <c r="A400" s="163"/>
      <c r="B400" s="163"/>
      <c r="C400" s="164"/>
      <c r="D400" s="164"/>
      <c r="E400" s="165"/>
      <c r="F400" s="165"/>
      <c r="G400" s="166"/>
      <c r="H400" s="166"/>
      <c r="I400" s="166"/>
      <c r="J400" s="166"/>
      <c r="K400" s="166"/>
      <c r="L400" s="166"/>
      <c r="M400" s="167"/>
      <c r="N400" s="167"/>
    </row>
    <row r="401">
      <c r="A401" s="163"/>
      <c r="B401" s="163"/>
      <c r="C401" s="164"/>
      <c r="D401" s="164"/>
      <c r="E401" s="165"/>
      <c r="F401" s="165"/>
      <c r="G401" s="166"/>
      <c r="H401" s="166"/>
      <c r="I401" s="166"/>
      <c r="J401" s="166"/>
      <c r="K401" s="166"/>
      <c r="L401" s="166"/>
      <c r="M401" s="167"/>
      <c r="N401" s="167"/>
    </row>
    <row r="402">
      <c r="A402" s="163"/>
      <c r="B402" s="163"/>
      <c r="C402" s="164"/>
      <c r="D402" s="164"/>
      <c r="E402" s="165"/>
      <c r="F402" s="165"/>
      <c r="G402" s="166"/>
      <c r="H402" s="166"/>
      <c r="I402" s="166"/>
      <c r="J402" s="166"/>
      <c r="K402" s="166"/>
      <c r="L402" s="166"/>
      <c r="M402" s="167"/>
      <c r="N402" s="167"/>
    </row>
    <row r="403">
      <c r="A403" s="163"/>
      <c r="B403" s="163"/>
      <c r="C403" s="164"/>
      <c r="D403" s="164"/>
      <c r="E403" s="165"/>
      <c r="F403" s="165"/>
      <c r="G403" s="166"/>
      <c r="H403" s="166"/>
      <c r="I403" s="166"/>
      <c r="J403" s="166"/>
      <c r="K403" s="166"/>
      <c r="L403" s="166"/>
      <c r="M403" s="167"/>
      <c r="N403" s="167"/>
    </row>
    <row r="404">
      <c r="A404" s="163"/>
      <c r="B404" s="163"/>
      <c r="C404" s="164"/>
      <c r="D404" s="164"/>
      <c r="E404" s="165"/>
      <c r="F404" s="165"/>
      <c r="G404" s="166"/>
      <c r="H404" s="166"/>
      <c r="I404" s="166"/>
      <c r="J404" s="166"/>
      <c r="K404" s="166"/>
      <c r="L404" s="166"/>
      <c r="M404" s="167"/>
      <c r="N404" s="167"/>
    </row>
    <row r="405">
      <c r="A405" s="163"/>
      <c r="B405" s="163"/>
      <c r="C405" s="164"/>
      <c r="D405" s="164"/>
      <c r="E405" s="165"/>
      <c r="F405" s="165"/>
      <c r="G405" s="166"/>
      <c r="H405" s="166"/>
      <c r="I405" s="166"/>
      <c r="J405" s="166"/>
      <c r="K405" s="166"/>
      <c r="L405" s="166"/>
      <c r="M405" s="167"/>
      <c r="N405" s="167"/>
    </row>
    <row r="406">
      <c r="A406" s="163"/>
      <c r="B406" s="163"/>
      <c r="C406" s="164"/>
      <c r="D406" s="164"/>
      <c r="E406" s="165"/>
      <c r="F406" s="165"/>
      <c r="G406" s="166"/>
      <c r="H406" s="166"/>
      <c r="I406" s="166"/>
      <c r="J406" s="166"/>
      <c r="K406" s="166"/>
      <c r="L406" s="166"/>
      <c r="M406" s="167"/>
      <c r="N406" s="167"/>
    </row>
    <row r="407">
      <c r="A407" s="163"/>
      <c r="B407" s="163"/>
      <c r="C407" s="164"/>
      <c r="D407" s="164"/>
      <c r="E407" s="165"/>
      <c r="F407" s="165"/>
      <c r="G407" s="166"/>
      <c r="H407" s="166"/>
      <c r="I407" s="166"/>
      <c r="J407" s="166"/>
      <c r="K407" s="166"/>
      <c r="L407" s="166"/>
      <c r="M407" s="167"/>
      <c r="N407" s="167"/>
    </row>
    <row r="408">
      <c r="A408" s="163"/>
      <c r="B408" s="163"/>
      <c r="C408" s="164"/>
      <c r="D408" s="164"/>
      <c r="E408" s="165"/>
      <c r="F408" s="165"/>
      <c r="G408" s="166"/>
      <c r="H408" s="166"/>
      <c r="I408" s="166"/>
      <c r="J408" s="166"/>
      <c r="K408" s="166"/>
      <c r="L408" s="166"/>
      <c r="M408" s="167"/>
      <c r="N408" s="167"/>
    </row>
    <row r="409">
      <c r="A409" s="163"/>
      <c r="B409" s="163"/>
      <c r="C409" s="164"/>
      <c r="D409" s="164"/>
      <c r="E409" s="165"/>
      <c r="F409" s="165"/>
      <c r="G409" s="166"/>
      <c r="H409" s="166"/>
      <c r="I409" s="166"/>
      <c r="J409" s="166"/>
      <c r="K409" s="166"/>
      <c r="L409" s="166"/>
      <c r="M409" s="167"/>
      <c r="N409" s="167"/>
    </row>
    <row r="410">
      <c r="A410" s="163"/>
      <c r="B410" s="163"/>
      <c r="C410" s="164"/>
      <c r="D410" s="164"/>
      <c r="E410" s="165"/>
      <c r="F410" s="165"/>
      <c r="G410" s="166"/>
      <c r="H410" s="166"/>
      <c r="I410" s="166"/>
      <c r="J410" s="166"/>
      <c r="K410" s="166"/>
      <c r="L410" s="166"/>
      <c r="M410" s="167"/>
      <c r="N410" s="167"/>
    </row>
    <row r="411">
      <c r="A411" s="163"/>
      <c r="B411" s="163"/>
      <c r="C411" s="164"/>
      <c r="D411" s="164"/>
      <c r="E411" s="165"/>
      <c r="F411" s="165"/>
      <c r="G411" s="166"/>
      <c r="H411" s="166"/>
      <c r="I411" s="166"/>
      <c r="J411" s="166"/>
      <c r="K411" s="166"/>
      <c r="L411" s="166"/>
      <c r="M411" s="167"/>
      <c r="N411" s="167"/>
    </row>
    <row r="412">
      <c r="A412" s="163"/>
      <c r="B412" s="163"/>
      <c r="C412" s="164"/>
      <c r="D412" s="164"/>
      <c r="E412" s="165"/>
      <c r="F412" s="165"/>
      <c r="G412" s="166"/>
      <c r="H412" s="166"/>
      <c r="I412" s="166"/>
      <c r="J412" s="166"/>
      <c r="K412" s="166"/>
      <c r="L412" s="166"/>
      <c r="M412" s="167"/>
      <c r="N412" s="167"/>
    </row>
    <row r="413">
      <c r="A413" s="163"/>
      <c r="B413" s="163"/>
      <c r="C413" s="164"/>
      <c r="D413" s="164"/>
      <c r="E413" s="165"/>
      <c r="F413" s="165"/>
      <c r="G413" s="166"/>
      <c r="H413" s="166"/>
      <c r="I413" s="166"/>
      <c r="J413" s="166"/>
      <c r="K413" s="166"/>
      <c r="L413" s="166"/>
      <c r="M413" s="167"/>
      <c r="N413" s="167"/>
    </row>
    <row r="414">
      <c r="A414" s="163"/>
      <c r="B414" s="163"/>
      <c r="C414" s="164"/>
      <c r="D414" s="164"/>
      <c r="E414" s="165"/>
      <c r="F414" s="165"/>
      <c r="G414" s="166"/>
      <c r="H414" s="166"/>
      <c r="I414" s="166"/>
      <c r="J414" s="166"/>
      <c r="K414" s="166"/>
      <c r="L414" s="166"/>
      <c r="M414" s="167"/>
      <c r="N414" s="167"/>
    </row>
    <row r="415">
      <c r="A415" s="163"/>
      <c r="B415" s="163"/>
      <c r="C415" s="164"/>
      <c r="D415" s="164"/>
      <c r="E415" s="165"/>
      <c r="F415" s="165"/>
      <c r="G415" s="166"/>
      <c r="H415" s="166"/>
      <c r="I415" s="166"/>
      <c r="J415" s="166"/>
      <c r="K415" s="166"/>
      <c r="L415" s="166"/>
      <c r="M415" s="167"/>
      <c r="N415" s="167"/>
    </row>
    <row r="416">
      <c r="A416" s="163"/>
      <c r="B416" s="163"/>
      <c r="C416" s="164"/>
      <c r="D416" s="164"/>
      <c r="E416" s="165"/>
      <c r="F416" s="165"/>
      <c r="G416" s="166"/>
      <c r="H416" s="166"/>
      <c r="I416" s="166"/>
      <c r="J416" s="166"/>
      <c r="K416" s="166"/>
      <c r="L416" s="166"/>
      <c r="M416" s="167"/>
      <c r="N416" s="167"/>
    </row>
    <row r="417">
      <c r="A417" s="163"/>
      <c r="B417" s="163"/>
      <c r="C417" s="164"/>
      <c r="D417" s="164"/>
      <c r="E417" s="165"/>
      <c r="F417" s="165"/>
      <c r="G417" s="166"/>
      <c r="H417" s="166"/>
      <c r="I417" s="166"/>
      <c r="J417" s="166"/>
      <c r="K417" s="166"/>
      <c r="L417" s="166"/>
      <c r="M417" s="167"/>
      <c r="N417" s="167"/>
    </row>
    <row r="418">
      <c r="A418" s="163"/>
      <c r="B418" s="163"/>
      <c r="C418" s="164"/>
      <c r="D418" s="164"/>
      <c r="E418" s="165"/>
      <c r="F418" s="165"/>
      <c r="G418" s="166"/>
      <c r="H418" s="166"/>
      <c r="I418" s="166"/>
      <c r="J418" s="166"/>
      <c r="K418" s="166"/>
      <c r="L418" s="166"/>
      <c r="M418" s="167"/>
      <c r="N418" s="167"/>
    </row>
    <row r="419">
      <c r="A419" s="163"/>
      <c r="B419" s="163"/>
      <c r="C419" s="164"/>
      <c r="D419" s="164"/>
      <c r="E419" s="165"/>
      <c r="F419" s="165"/>
      <c r="G419" s="166"/>
      <c r="H419" s="166"/>
      <c r="I419" s="166"/>
      <c r="J419" s="166"/>
      <c r="K419" s="166"/>
      <c r="L419" s="166"/>
      <c r="M419" s="167"/>
      <c r="N419" s="167"/>
    </row>
    <row r="420">
      <c r="A420" s="163"/>
      <c r="B420" s="163"/>
      <c r="C420" s="164"/>
      <c r="D420" s="164"/>
      <c r="E420" s="165"/>
      <c r="F420" s="165"/>
      <c r="G420" s="166"/>
      <c r="H420" s="166"/>
      <c r="I420" s="166"/>
      <c r="J420" s="166"/>
      <c r="K420" s="166"/>
      <c r="L420" s="166"/>
      <c r="M420" s="167"/>
      <c r="N420" s="167"/>
    </row>
    <row r="421">
      <c r="A421" s="163"/>
      <c r="B421" s="163"/>
      <c r="C421" s="164"/>
      <c r="D421" s="164"/>
      <c r="E421" s="165"/>
      <c r="F421" s="165"/>
      <c r="G421" s="166"/>
      <c r="H421" s="166"/>
      <c r="I421" s="166"/>
      <c r="J421" s="166"/>
      <c r="K421" s="166"/>
      <c r="L421" s="166"/>
      <c r="M421" s="167"/>
      <c r="N421" s="167"/>
    </row>
    <row r="422">
      <c r="A422" s="163"/>
      <c r="B422" s="163"/>
      <c r="C422" s="164"/>
      <c r="D422" s="164"/>
      <c r="E422" s="165"/>
      <c r="F422" s="165"/>
      <c r="G422" s="166"/>
      <c r="H422" s="166"/>
      <c r="I422" s="166"/>
      <c r="J422" s="166"/>
      <c r="K422" s="166"/>
      <c r="L422" s="166"/>
      <c r="M422" s="167"/>
      <c r="N422" s="167"/>
    </row>
    <row r="423">
      <c r="A423" s="163"/>
      <c r="B423" s="163"/>
      <c r="C423" s="164"/>
      <c r="D423" s="164"/>
      <c r="E423" s="165"/>
      <c r="F423" s="165"/>
      <c r="G423" s="166"/>
      <c r="H423" s="166"/>
      <c r="I423" s="166"/>
      <c r="J423" s="166"/>
      <c r="K423" s="166"/>
      <c r="L423" s="166"/>
      <c r="M423" s="167"/>
      <c r="N423" s="167"/>
    </row>
    <row r="424">
      <c r="A424" s="163"/>
      <c r="B424" s="163"/>
      <c r="C424" s="164"/>
      <c r="D424" s="164"/>
      <c r="E424" s="165"/>
      <c r="F424" s="165"/>
      <c r="G424" s="166"/>
      <c r="H424" s="166"/>
      <c r="I424" s="166"/>
      <c r="J424" s="166"/>
      <c r="K424" s="166"/>
      <c r="L424" s="166"/>
      <c r="M424" s="167"/>
      <c r="N424" s="167"/>
    </row>
    <row r="425">
      <c r="A425" s="163"/>
      <c r="B425" s="163"/>
      <c r="C425" s="164"/>
      <c r="D425" s="164"/>
      <c r="E425" s="165"/>
      <c r="F425" s="165"/>
      <c r="G425" s="166"/>
      <c r="H425" s="166"/>
      <c r="I425" s="166"/>
      <c r="J425" s="166"/>
      <c r="K425" s="166"/>
      <c r="L425" s="166"/>
      <c r="M425" s="167"/>
      <c r="N425" s="167"/>
    </row>
    <row r="426">
      <c r="A426" s="163"/>
      <c r="B426" s="163"/>
      <c r="C426" s="164"/>
      <c r="D426" s="164"/>
      <c r="E426" s="165"/>
      <c r="F426" s="165"/>
      <c r="G426" s="166"/>
      <c r="H426" s="166"/>
      <c r="I426" s="166"/>
      <c r="J426" s="166"/>
      <c r="K426" s="166"/>
      <c r="L426" s="166"/>
      <c r="M426" s="167"/>
      <c r="N426" s="167"/>
    </row>
    <row r="427">
      <c r="A427" s="163"/>
      <c r="B427" s="163"/>
      <c r="C427" s="164"/>
      <c r="D427" s="164"/>
      <c r="E427" s="165"/>
      <c r="F427" s="165"/>
      <c r="G427" s="166"/>
      <c r="H427" s="166"/>
      <c r="I427" s="166"/>
      <c r="J427" s="166"/>
      <c r="K427" s="166"/>
      <c r="L427" s="166"/>
      <c r="M427" s="167"/>
      <c r="N427" s="167"/>
    </row>
    <row r="428">
      <c r="A428" s="163"/>
      <c r="B428" s="163"/>
      <c r="C428" s="164"/>
      <c r="D428" s="164"/>
      <c r="E428" s="165"/>
      <c r="F428" s="165"/>
      <c r="G428" s="166"/>
      <c r="H428" s="166"/>
      <c r="I428" s="166"/>
      <c r="J428" s="166"/>
      <c r="K428" s="166"/>
      <c r="L428" s="166"/>
      <c r="M428" s="167"/>
      <c r="N428" s="167"/>
    </row>
    <row r="429">
      <c r="A429" s="163"/>
      <c r="B429" s="163"/>
      <c r="C429" s="164"/>
      <c r="D429" s="164"/>
      <c r="E429" s="165"/>
      <c r="F429" s="165"/>
      <c r="G429" s="166"/>
      <c r="H429" s="166"/>
      <c r="I429" s="166"/>
      <c r="J429" s="166"/>
      <c r="K429" s="166"/>
      <c r="L429" s="166"/>
      <c r="M429" s="167"/>
      <c r="N429" s="167"/>
    </row>
    <row r="430">
      <c r="A430" s="163"/>
      <c r="B430" s="163"/>
      <c r="C430" s="164"/>
      <c r="D430" s="164"/>
      <c r="E430" s="165"/>
      <c r="F430" s="165"/>
      <c r="G430" s="166"/>
      <c r="H430" s="166"/>
      <c r="I430" s="166"/>
      <c r="J430" s="166"/>
      <c r="K430" s="166"/>
      <c r="L430" s="166"/>
      <c r="M430" s="167"/>
      <c r="N430" s="167"/>
    </row>
    <row r="431">
      <c r="A431" s="163"/>
      <c r="B431" s="163"/>
      <c r="C431" s="164"/>
      <c r="D431" s="164"/>
      <c r="E431" s="165"/>
      <c r="F431" s="165"/>
      <c r="G431" s="166"/>
      <c r="H431" s="166"/>
      <c r="I431" s="166"/>
      <c r="J431" s="166"/>
      <c r="K431" s="166"/>
      <c r="L431" s="166"/>
      <c r="M431" s="167"/>
      <c r="N431" s="167"/>
    </row>
    <row r="432">
      <c r="A432" s="163"/>
      <c r="B432" s="163"/>
      <c r="C432" s="164"/>
      <c r="D432" s="164"/>
      <c r="E432" s="165"/>
      <c r="F432" s="165"/>
      <c r="G432" s="166"/>
      <c r="H432" s="166"/>
      <c r="I432" s="166"/>
      <c r="J432" s="166"/>
      <c r="K432" s="166"/>
      <c r="L432" s="166"/>
      <c r="M432" s="167"/>
      <c r="N432" s="167"/>
    </row>
    <row r="433">
      <c r="A433" s="163"/>
      <c r="B433" s="163"/>
      <c r="C433" s="164"/>
      <c r="D433" s="164"/>
      <c r="E433" s="165"/>
      <c r="F433" s="165"/>
      <c r="G433" s="166"/>
      <c r="H433" s="166"/>
      <c r="I433" s="166"/>
      <c r="J433" s="166"/>
      <c r="K433" s="166"/>
      <c r="L433" s="166"/>
      <c r="M433" s="167"/>
      <c r="N433" s="167"/>
    </row>
    <row r="434">
      <c r="A434" s="163"/>
      <c r="B434" s="163"/>
      <c r="C434" s="164"/>
      <c r="D434" s="164"/>
      <c r="E434" s="165"/>
      <c r="F434" s="165"/>
      <c r="G434" s="166"/>
      <c r="H434" s="166"/>
      <c r="I434" s="166"/>
      <c r="J434" s="166"/>
      <c r="K434" s="166"/>
      <c r="L434" s="166"/>
      <c r="M434" s="167"/>
      <c r="N434" s="167"/>
    </row>
    <row r="435">
      <c r="A435" s="163"/>
      <c r="B435" s="163"/>
      <c r="C435" s="164"/>
      <c r="D435" s="164"/>
      <c r="E435" s="165"/>
      <c r="F435" s="165"/>
      <c r="G435" s="166"/>
      <c r="H435" s="166"/>
      <c r="I435" s="166"/>
      <c r="J435" s="166"/>
      <c r="K435" s="166"/>
      <c r="L435" s="166"/>
      <c r="M435" s="167"/>
      <c r="N435" s="167"/>
    </row>
    <row r="436">
      <c r="A436" s="163"/>
      <c r="B436" s="163"/>
      <c r="C436" s="164"/>
      <c r="D436" s="164"/>
      <c r="E436" s="165"/>
      <c r="F436" s="165"/>
      <c r="G436" s="166"/>
      <c r="H436" s="166"/>
      <c r="I436" s="166"/>
      <c r="J436" s="166"/>
      <c r="K436" s="166"/>
      <c r="L436" s="166"/>
      <c r="M436" s="167"/>
      <c r="N436" s="167"/>
    </row>
    <row r="437">
      <c r="A437" s="163"/>
      <c r="B437" s="163"/>
      <c r="C437" s="164"/>
      <c r="D437" s="164"/>
      <c r="E437" s="165"/>
      <c r="F437" s="165"/>
      <c r="G437" s="166"/>
      <c r="H437" s="166"/>
      <c r="I437" s="166"/>
      <c r="J437" s="166"/>
      <c r="K437" s="166"/>
      <c r="L437" s="166"/>
      <c r="M437" s="167"/>
      <c r="N437" s="167"/>
    </row>
    <row r="438">
      <c r="A438" s="163"/>
      <c r="B438" s="163"/>
      <c r="C438" s="164"/>
      <c r="D438" s="164"/>
      <c r="E438" s="165"/>
      <c r="F438" s="165"/>
      <c r="G438" s="166"/>
      <c r="H438" s="166"/>
      <c r="I438" s="166"/>
      <c r="J438" s="166"/>
      <c r="K438" s="166"/>
      <c r="L438" s="166"/>
      <c r="M438" s="167"/>
      <c r="N438" s="167"/>
    </row>
    <row r="439">
      <c r="A439" s="163"/>
      <c r="B439" s="163"/>
      <c r="C439" s="164"/>
      <c r="D439" s="164"/>
      <c r="E439" s="165"/>
      <c r="F439" s="165"/>
      <c r="G439" s="166"/>
      <c r="H439" s="166"/>
      <c r="I439" s="166"/>
      <c r="J439" s="166"/>
      <c r="K439" s="166"/>
      <c r="L439" s="166"/>
      <c r="M439" s="167"/>
      <c r="N439" s="167"/>
    </row>
    <row r="440">
      <c r="A440" s="163"/>
      <c r="B440" s="163"/>
      <c r="C440" s="164"/>
      <c r="D440" s="164"/>
      <c r="E440" s="165"/>
      <c r="F440" s="165"/>
      <c r="G440" s="166"/>
      <c r="H440" s="166"/>
      <c r="I440" s="166"/>
      <c r="J440" s="166"/>
      <c r="K440" s="166"/>
      <c r="L440" s="166"/>
      <c r="M440" s="167"/>
      <c r="N440" s="167"/>
    </row>
    <row r="441">
      <c r="A441" s="163"/>
      <c r="B441" s="163"/>
      <c r="C441" s="164"/>
      <c r="D441" s="164"/>
      <c r="E441" s="165"/>
      <c r="F441" s="165"/>
      <c r="G441" s="166"/>
      <c r="H441" s="166"/>
      <c r="I441" s="166"/>
      <c r="J441" s="166"/>
      <c r="K441" s="166"/>
      <c r="L441" s="166"/>
      <c r="M441" s="167"/>
      <c r="N441" s="167"/>
    </row>
    <row r="442">
      <c r="A442" s="163"/>
      <c r="B442" s="163"/>
      <c r="C442" s="164"/>
      <c r="D442" s="164"/>
      <c r="E442" s="165"/>
      <c r="F442" s="165"/>
      <c r="G442" s="166"/>
      <c r="H442" s="166"/>
      <c r="I442" s="166"/>
      <c r="J442" s="166"/>
      <c r="K442" s="166"/>
      <c r="L442" s="166"/>
      <c r="M442" s="167"/>
      <c r="N442" s="167"/>
    </row>
    <row r="443">
      <c r="A443" s="163"/>
      <c r="B443" s="163"/>
      <c r="C443" s="164"/>
      <c r="D443" s="164"/>
      <c r="E443" s="165"/>
      <c r="F443" s="165"/>
      <c r="G443" s="166"/>
      <c r="H443" s="166"/>
      <c r="I443" s="166"/>
      <c r="J443" s="166"/>
      <c r="K443" s="166"/>
      <c r="L443" s="166"/>
      <c r="M443" s="167"/>
      <c r="N443" s="167"/>
    </row>
    <row r="444">
      <c r="A444" s="163"/>
      <c r="B444" s="163"/>
      <c r="C444" s="164"/>
      <c r="D444" s="164"/>
      <c r="E444" s="165"/>
      <c r="F444" s="165"/>
      <c r="G444" s="166"/>
      <c r="H444" s="166"/>
      <c r="I444" s="166"/>
      <c r="J444" s="166"/>
      <c r="K444" s="166"/>
      <c r="L444" s="166"/>
      <c r="M444" s="167"/>
      <c r="N444" s="167"/>
    </row>
    <row r="445">
      <c r="A445" s="163"/>
      <c r="B445" s="163"/>
      <c r="C445" s="164"/>
      <c r="D445" s="164"/>
      <c r="E445" s="165"/>
      <c r="F445" s="165"/>
      <c r="G445" s="166"/>
      <c r="H445" s="166"/>
      <c r="I445" s="166"/>
      <c r="J445" s="166"/>
      <c r="K445" s="166"/>
      <c r="L445" s="166"/>
      <c r="M445" s="167"/>
      <c r="N445" s="167"/>
    </row>
    <row r="446">
      <c r="A446" s="163"/>
      <c r="B446" s="163"/>
      <c r="C446" s="164"/>
      <c r="D446" s="164"/>
      <c r="E446" s="165"/>
      <c r="F446" s="165"/>
      <c r="G446" s="166"/>
      <c r="H446" s="166"/>
      <c r="I446" s="166"/>
      <c r="J446" s="166"/>
      <c r="K446" s="166"/>
      <c r="L446" s="166"/>
      <c r="M446" s="167"/>
      <c r="N446" s="167"/>
    </row>
    <row r="447">
      <c r="A447" s="163"/>
      <c r="B447" s="163"/>
      <c r="C447" s="164"/>
      <c r="D447" s="164"/>
      <c r="E447" s="165"/>
      <c r="F447" s="165"/>
      <c r="G447" s="166"/>
      <c r="H447" s="166"/>
      <c r="I447" s="166"/>
      <c r="J447" s="166"/>
      <c r="K447" s="166"/>
      <c r="L447" s="166"/>
      <c r="M447" s="167"/>
      <c r="N447" s="167"/>
    </row>
    <row r="448">
      <c r="A448" s="163"/>
      <c r="B448" s="163"/>
      <c r="C448" s="164"/>
      <c r="D448" s="164"/>
      <c r="E448" s="165"/>
      <c r="F448" s="165"/>
      <c r="G448" s="166"/>
      <c r="H448" s="166"/>
      <c r="I448" s="166"/>
      <c r="J448" s="166"/>
      <c r="K448" s="166"/>
      <c r="L448" s="166"/>
      <c r="M448" s="167"/>
      <c r="N448" s="167"/>
    </row>
    <row r="449">
      <c r="A449" s="163"/>
      <c r="B449" s="163"/>
      <c r="C449" s="164"/>
      <c r="D449" s="164"/>
      <c r="E449" s="165"/>
      <c r="F449" s="165"/>
      <c r="G449" s="166"/>
      <c r="H449" s="166"/>
      <c r="I449" s="166"/>
      <c r="J449" s="166"/>
      <c r="K449" s="166"/>
      <c r="L449" s="166"/>
      <c r="M449" s="167"/>
      <c r="N449" s="167"/>
    </row>
    <row r="450">
      <c r="A450" s="163"/>
      <c r="B450" s="163"/>
      <c r="C450" s="164"/>
      <c r="D450" s="164"/>
      <c r="E450" s="165"/>
      <c r="F450" s="165"/>
      <c r="G450" s="166"/>
      <c r="H450" s="166"/>
      <c r="I450" s="166"/>
      <c r="J450" s="166"/>
      <c r="K450" s="166"/>
      <c r="L450" s="166"/>
      <c r="M450" s="167"/>
      <c r="N450" s="167"/>
    </row>
    <row r="451">
      <c r="A451" s="163"/>
      <c r="B451" s="163"/>
      <c r="C451" s="164"/>
      <c r="D451" s="164"/>
      <c r="E451" s="165"/>
      <c r="F451" s="165"/>
      <c r="G451" s="166"/>
      <c r="H451" s="166"/>
      <c r="I451" s="166"/>
      <c r="J451" s="166"/>
      <c r="K451" s="166"/>
      <c r="L451" s="166"/>
      <c r="M451" s="167"/>
      <c r="N451" s="167"/>
    </row>
    <row r="452">
      <c r="A452" s="163"/>
      <c r="B452" s="163"/>
      <c r="C452" s="164"/>
      <c r="D452" s="164"/>
      <c r="E452" s="165"/>
      <c r="F452" s="165"/>
      <c r="G452" s="166"/>
      <c r="H452" s="166"/>
      <c r="I452" s="166"/>
      <c r="J452" s="166"/>
      <c r="K452" s="166"/>
      <c r="L452" s="166"/>
      <c r="M452" s="167"/>
      <c r="N452" s="167"/>
    </row>
    <row r="453">
      <c r="A453" s="163"/>
      <c r="B453" s="163"/>
      <c r="C453" s="164"/>
      <c r="D453" s="164"/>
      <c r="E453" s="165"/>
      <c r="F453" s="165"/>
      <c r="G453" s="166"/>
      <c r="H453" s="166"/>
      <c r="I453" s="166"/>
      <c r="J453" s="166"/>
      <c r="K453" s="166"/>
      <c r="L453" s="166"/>
      <c r="M453" s="167"/>
      <c r="N453" s="167"/>
    </row>
    <row r="454">
      <c r="A454" s="163"/>
      <c r="B454" s="163"/>
      <c r="C454" s="164"/>
      <c r="D454" s="164"/>
      <c r="E454" s="165"/>
      <c r="F454" s="165"/>
      <c r="G454" s="166"/>
      <c r="H454" s="166"/>
      <c r="I454" s="166"/>
      <c r="J454" s="166"/>
      <c r="K454" s="166"/>
      <c r="L454" s="166"/>
      <c r="M454" s="167"/>
      <c r="N454" s="167"/>
    </row>
    <row r="455">
      <c r="A455" s="163"/>
      <c r="B455" s="163"/>
      <c r="C455" s="164"/>
      <c r="D455" s="164"/>
      <c r="E455" s="165"/>
      <c r="F455" s="165"/>
      <c r="G455" s="166"/>
      <c r="H455" s="166"/>
      <c r="I455" s="166"/>
      <c r="J455" s="166"/>
      <c r="K455" s="166"/>
      <c r="L455" s="166"/>
      <c r="M455" s="167"/>
      <c r="N455" s="167"/>
    </row>
    <row r="456">
      <c r="A456" s="163"/>
      <c r="B456" s="163"/>
      <c r="C456" s="164"/>
      <c r="D456" s="164"/>
      <c r="E456" s="165"/>
      <c r="F456" s="165"/>
      <c r="G456" s="166"/>
      <c r="H456" s="166"/>
      <c r="I456" s="166"/>
      <c r="J456" s="166"/>
      <c r="K456" s="166"/>
      <c r="L456" s="166"/>
      <c r="M456" s="167"/>
      <c r="N456" s="167"/>
    </row>
    <row r="457">
      <c r="A457" s="163"/>
      <c r="B457" s="163"/>
      <c r="C457" s="164"/>
      <c r="D457" s="164"/>
      <c r="E457" s="165"/>
      <c r="F457" s="165"/>
      <c r="G457" s="166"/>
      <c r="H457" s="166"/>
      <c r="I457" s="166"/>
      <c r="J457" s="166"/>
      <c r="K457" s="166"/>
      <c r="L457" s="166"/>
      <c r="M457" s="167"/>
      <c r="N457" s="167"/>
    </row>
    <row r="458">
      <c r="A458" s="163"/>
      <c r="B458" s="163"/>
      <c r="C458" s="164"/>
      <c r="D458" s="164"/>
      <c r="E458" s="165"/>
      <c r="F458" s="165"/>
      <c r="G458" s="166"/>
      <c r="H458" s="166"/>
      <c r="I458" s="166"/>
      <c r="J458" s="166"/>
      <c r="K458" s="166"/>
      <c r="L458" s="166"/>
      <c r="M458" s="167"/>
      <c r="N458" s="167"/>
    </row>
    <row r="459">
      <c r="A459" s="163"/>
      <c r="B459" s="163"/>
      <c r="C459" s="164"/>
      <c r="D459" s="164"/>
      <c r="E459" s="165"/>
      <c r="F459" s="165"/>
      <c r="G459" s="166"/>
      <c r="H459" s="166"/>
      <c r="I459" s="166"/>
      <c r="J459" s="166"/>
      <c r="K459" s="166"/>
      <c r="L459" s="166"/>
      <c r="M459" s="167"/>
      <c r="N459" s="167"/>
    </row>
    <row r="460">
      <c r="A460" s="163"/>
      <c r="B460" s="163"/>
      <c r="C460" s="164"/>
      <c r="D460" s="164"/>
      <c r="E460" s="165"/>
      <c r="F460" s="165"/>
      <c r="G460" s="166"/>
      <c r="H460" s="166"/>
      <c r="I460" s="166"/>
      <c r="J460" s="166"/>
      <c r="K460" s="166"/>
      <c r="L460" s="166"/>
      <c r="M460" s="167"/>
      <c r="N460" s="167"/>
    </row>
    <row r="461">
      <c r="A461" s="163"/>
      <c r="B461" s="163"/>
      <c r="C461" s="164"/>
      <c r="D461" s="164"/>
      <c r="E461" s="165"/>
      <c r="F461" s="165"/>
      <c r="G461" s="166"/>
      <c r="H461" s="166"/>
      <c r="I461" s="166"/>
      <c r="J461" s="166"/>
      <c r="K461" s="166"/>
      <c r="L461" s="166"/>
      <c r="M461" s="167"/>
      <c r="N461" s="167"/>
    </row>
    <row r="462">
      <c r="A462" s="163"/>
      <c r="B462" s="163"/>
      <c r="C462" s="164"/>
      <c r="D462" s="164"/>
      <c r="E462" s="165"/>
      <c r="F462" s="165"/>
      <c r="G462" s="166"/>
      <c r="H462" s="166"/>
      <c r="I462" s="166"/>
      <c r="J462" s="166"/>
      <c r="K462" s="166"/>
      <c r="L462" s="166"/>
      <c r="M462" s="167"/>
      <c r="N462" s="167"/>
    </row>
    <row r="463">
      <c r="A463" s="163"/>
      <c r="B463" s="163"/>
      <c r="C463" s="164"/>
      <c r="D463" s="164"/>
      <c r="E463" s="165"/>
      <c r="F463" s="165"/>
      <c r="G463" s="166"/>
      <c r="H463" s="166"/>
      <c r="I463" s="166"/>
      <c r="J463" s="166"/>
      <c r="K463" s="166"/>
      <c r="L463" s="166"/>
      <c r="M463" s="167"/>
      <c r="N463" s="167"/>
    </row>
    <row r="464">
      <c r="A464" s="163"/>
      <c r="B464" s="163"/>
      <c r="C464" s="164"/>
      <c r="D464" s="164"/>
      <c r="E464" s="165"/>
      <c r="F464" s="165"/>
      <c r="G464" s="166"/>
      <c r="H464" s="166"/>
      <c r="I464" s="166"/>
      <c r="J464" s="166"/>
      <c r="K464" s="166"/>
      <c r="L464" s="166"/>
      <c r="M464" s="167"/>
      <c r="N464" s="167"/>
    </row>
    <row r="465">
      <c r="A465" s="163"/>
      <c r="B465" s="163"/>
      <c r="C465" s="164"/>
      <c r="D465" s="164"/>
      <c r="E465" s="165"/>
      <c r="F465" s="165"/>
      <c r="G465" s="166"/>
      <c r="H465" s="166"/>
      <c r="I465" s="166"/>
      <c r="J465" s="166"/>
      <c r="K465" s="166"/>
      <c r="L465" s="166"/>
      <c r="M465" s="167"/>
      <c r="N465" s="167"/>
    </row>
    <row r="466">
      <c r="A466" s="163"/>
      <c r="B466" s="163"/>
      <c r="C466" s="164"/>
      <c r="D466" s="164"/>
      <c r="E466" s="165"/>
      <c r="F466" s="165"/>
      <c r="G466" s="166"/>
      <c r="H466" s="166"/>
      <c r="I466" s="166"/>
      <c r="J466" s="166"/>
      <c r="K466" s="166"/>
      <c r="L466" s="166"/>
      <c r="M466" s="167"/>
      <c r="N466" s="167"/>
    </row>
    <row r="467">
      <c r="A467" s="163"/>
      <c r="B467" s="163"/>
      <c r="C467" s="164"/>
      <c r="D467" s="164"/>
      <c r="E467" s="165"/>
      <c r="F467" s="165"/>
      <c r="G467" s="166"/>
      <c r="H467" s="166"/>
      <c r="I467" s="166"/>
      <c r="J467" s="166"/>
      <c r="K467" s="166"/>
      <c r="L467" s="166"/>
      <c r="M467" s="167"/>
      <c r="N467" s="167"/>
    </row>
    <row r="468">
      <c r="A468" s="163"/>
      <c r="B468" s="163"/>
      <c r="C468" s="164"/>
      <c r="D468" s="164"/>
      <c r="E468" s="165"/>
      <c r="F468" s="165"/>
      <c r="G468" s="166"/>
      <c r="H468" s="166"/>
      <c r="I468" s="166"/>
      <c r="J468" s="166"/>
      <c r="K468" s="166"/>
      <c r="L468" s="166"/>
      <c r="M468" s="167"/>
      <c r="N468" s="167"/>
    </row>
    <row r="469">
      <c r="A469" s="163"/>
      <c r="B469" s="163"/>
      <c r="C469" s="164"/>
      <c r="D469" s="164"/>
      <c r="E469" s="165"/>
      <c r="F469" s="165"/>
      <c r="G469" s="166"/>
      <c r="H469" s="166"/>
      <c r="I469" s="166"/>
      <c r="J469" s="166"/>
      <c r="K469" s="166"/>
      <c r="L469" s="166"/>
      <c r="M469" s="167"/>
      <c r="N469" s="167"/>
    </row>
    <row r="470">
      <c r="A470" s="163"/>
      <c r="B470" s="163"/>
      <c r="C470" s="164"/>
      <c r="D470" s="164"/>
      <c r="E470" s="165"/>
      <c r="F470" s="165"/>
      <c r="G470" s="166"/>
      <c r="H470" s="166"/>
      <c r="I470" s="166"/>
      <c r="J470" s="166"/>
      <c r="K470" s="166"/>
      <c r="L470" s="166"/>
      <c r="M470" s="167"/>
      <c r="N470" s="167"/>
    </row>
    <row r="471">
      <c r="A471" s="163"/>
      <c r="B471" s="163"/>
      <c r="C471" s="164"/>
      <c r="D471" s="164"/>
      <c r="E471" s="165"/>
      <c r="F471" s="165"/>
      <c r="G471" s="166"/>
      <c r="H471" s="166"/>
      <c r="I471" s="166"/>
      <c r="J471" s="166"/>
      <c r="K471" s="166"/>
      <c r="L471" s="166"/>
      <c r="M471" s="167"/>
      <c r="N471" s="167"/>
    </row>
    <row r="472">
      <c r="A472" s="163"/>
      <c r="B472" s="163"/>
      <c r="C472" s="164"/>
      <c r="D472" s="164"/>
      <c r="E472" s="165"/>
      <c r="F472" s="165"/>
      <c r="G472" s="166"/>
      <c r="H472" s="166"/>
      <c r="I472" s="166"/>
      <c r="J472" s="166"/>
      <c r="K472" s="166"/>
      <c r="L472" s="166"/>
      <c r="M472" s="167"/>
      <c r="N472" s="167"/>
    </row>
    <row r="473">
      <c r="A473" s="163"/>
      <c r="B473" s="163"/>
      <c r="C473" s="164"/>
      <c r="D473" s="164"/>
      <c r="E473" s="165"/>
      <c r="F473" s="165"/>
      <c r="G473" s="166"/>
      <c r="H473" s="166"/>
      <c r="I473" s="166"/>
      <c r="J473" s="166"/>
      <c r="K473" s="166"/>
      <c r="L473" s="166"/>
      <c r="M473" s="167"/>
      <c r="N473" s="167"/>
    </row>
    <row r="474">
      <c r="A474" s="163"/>
      <c r="B474" s="163"/>
      <c r="C474" s="164"/>
      <c r="D474" s="164"/>
      <c r="E474" s="165"/>
      <c r="F474" s="165"/>
      <c r="G474" s="166"/>
      <c r="H474" s="166"/>
      <c r="I474" s="166"/>
      <c r="J474" s="166"/>
      <c r="K474" s="166"/>
      <c r="L474" s="166"/>
      <c r="M474" s="167"/>
      <c r="N474" s="167"/>
    </row>
    <row r="475">
      <c r="A475" s="163"/>
      <c r="B475" s="163"/>
      <c r="C475" s="164"/>
      <c r="D475" s="164"/>
      <c r="E475" s="165"/>
      <c r="F475" s="165"/>
      <c r="G475" s="166"/>
      <c r="H475" s="166"/>
      <c r="I475" s="166"/>
      <c r="J475" s="166"/>
      <c r="K475" s="166"/>
      <c r="L475" s="166"/>
      <c r="M475" s="167"/>
      <c r="N475" s="167"/>
    </row>
    <row r="476">
      <c r="A476" s="163"/>
      <c r="B476" s="163"/>
      <c r="C476" s="164"/>
      <c r="D476" s="164"/>
      <c r="E476" s="165"/>
      <c r="F476" s="165"/>
      <c r="G476" s="166"/>
      <c r="H476" s="166"/>
      <c r="I476" s="166"/>
      <c r="J476" s="166"/>
      <c r="K476" s="166"/>
      <c r="L476" s="166"/>
      <c r="M476" s="167"/>
      <c r="N476" s="167"/>
    </row>
    <row r="477">
      <c r="A477" s="163"/>
      <c r="B477" s="163"/>
      <c r="C477" s="164"/>
      <c r="D477" s="164"/>
      <c r="E477" s="165"/>
      <c r="F477" s="165"/>
      <c r="G477" s="166"/>
      <c r="H477" s="166"/>
      <c r="I477" s="166"/>
      <c r="J477" s="166"/>
      <c r="K477" s="166"/>
      <c r="L477" s="166"/>
      <c r="M477" s="167"/>
      <c r="N477" s="167"/>
    </row>
    <row r="478">
      <c r="A478" s="163"/>
      <c r="B478" s="163"/>
      <c r="C478" s="164"/>
      <c r="D478" s="164"/>
      <c r="E478" s="165"/>
      <c r="F478" s="165"/>
      <c r="G478" s="166"/>
      <c r="H478" s="166"/>
      <c r="I478" s="166"/>
      <c r="J478" s="166"/>
      <c r="K478" s="166"/>
      <c r="L478" s="166"/>
      <c r="M478" s="167"/>
      <c r="N478" s="167"/>
    </row>
    <row r="479">
      <c r="A479" s="163"/>
      <c r="B479" s="163"/>
      <c r="C479" s="164"/>
      <c r="D479" s="164"/>
      <c r="E479" s="165"/>
      <c r="F479" s="165"/>
      <c r="G479" s="166"/>
      <c r="H479" s="166"/>
      <c r="I479" s="166"/>
      <c r="J479" s="166"/>
      <c r="K479" s="166"/>
      <c r="L479" s="166"/>
      <c r="M479" s="167"/>
      <c r="N479" s="167"/>
    </row>
    <row r="480">
      <c r="A480" s="163"/>
      <c r="B480" s="163"/>
      <c r="C480" s="164"/>
      <c r="D480" s="164"/>
      <c r="E480" s="165"/>
      <c r="F480" s="165"/>
      <c r="G480" s="166"/>
      <c r="H480" s="166"/>
      <c r="I480" s="166"/>
      <c r="J480" s="166"/>
      <c r="K480" s="166"/>
      <c r="L480" s="166"/>
      <c r="M480" s="167"/>
      <c r="N480" s="167"/>
    </row>
    <row r="481">
      <c r="A481" s="163"/>
      <c r="B481" s="163"/>
      <c r="C481" s="164"/>
      <c r="D481" s="164"/>
      <c r="E481" s="165"/>
      <c r="F481" s="165"/>
      <c r="G481" s="166"/>
      <c r="H481" s="166"/>
      <c r="I481" s="166"/>
      <c r="J481" s="166"/>
      <c r="K481" s="166"/>
      <c r="L481" s="166"/>
      <c r="M481" s="167"/>
      <c r="N481" s="167"/>
    </row>
    <row r="482">
      <c r="A482" s="163"/>
      <c r="B482" s="163"/>
      <c r="C482" s="164"/>
      <c r="D482" s="164"/>
      <c r="E482" s="165"/>
      <c r="F482" s="165"/>
      <c r="G482" s="166"/>
      <c r="H482" s="166"/>
      <c r="I482" s="166"/>
      <c r="J482" s="166"/>
      <c r="K482" s="166"/>
      <c r="L482" s="166"/>
      <c r="M482" s="167"/>
      <c r="N482" s="167"/>
    </row>
    <row r="483">
      <c r="A483" s="163"/>
      <c r="B483" s="163"/>
      <c r="C483" s="164"/>
      <c r="D483" s="164"/>
      <c r="E483" s="165"/>
      <c r="F483" s="165"/>
      <c r="G483" s="166"/>
      <c r="H483" s="166"/>
      <c r="I483" s="166"/>
      <c r="J483" s="166"/>
      <c r="K483" s="166"/>
      <c r="L483" s="166"/>
      <c r="M483" s="167"/>
      <c r="N483" s="167"/>
    </row>
    <row r="484">
      <c r="A484" s="163"/>
      <c r="B484" s="163"/>
      <c r="C484" s="164"/>
      <c r="D484" s="164"/>
      <c r="E484" s="165"/>
      <c r="F484" s="165"/>
      <c r="G484" s="166"/>
      <c r="H484" s="166"/>
      <c r="I484" s="166"/>
      <c r="J484" s="166"/>
      <c r="K484" s="166"/>
      <c r="L484" s="166"/>
      <c r="M484" s="167"/>
      <c r="N484" s="167"/>
    </row>
    <row r="485">
      <c r="A485" s="163"/>
      <c r="B485" s="163"/>
      <c r="C485" s="164"/>
      <c r="D485" s="164"/>
      <c r="E485" s="165"/>
      <c r="F485" s="165"/>
      <c r="G485" s="166"/>
      <c r="H485" s="166"/>
      <c r="I485" s="166"/>
      <c r="J485" s="166"/>
      <c r="K485" s="166"/>
      <c r="L485" s="166"/>
      <c r="M485" s="167"/>
      <c r="N485" s="167"/>
    </row>
    <row r="486">
      <c r="A486" s="163"/>
      <c r="B486" s="163"/>
      <c r="C486" s="164"/>
      <c r="D486" s="164"/>
      <c r="E486" s="165"/>
      <c r="F486" s="165"/>
      <c r="G486" s="166"/>
      <c r="H486" s="166"/>
      <c r="I486" s="166"/>
      <c r="J486" s="166"/>
      <c r="K486" s="166"/>
      <c r="L486" s="166"/>
      <c r="M486" s="167"/>
      <c r="N486" s="167"/>
    </row>
    <row r="487">
      <c r="A487" s="163"/>
      <c r="B487" s="163"/>
      <c r="C487" s="164"/>
      <c r="D487" s="164"/>
      <c r="E487" s="165"/>
      <c r="F487" s="165"/>
      <c r="G487" s="166"/>
      <c r="H487" s="166"/>
      <c r="I487" s="166"/>
      <c r="J487" s="166"/>
      <c r="K487" s="166"/>
      <c r="L487" s="166"/>
      <c r="M487" s="167"/>
      <c r="N487" s="167"/>
    </row>
    <row r="488">
      <c r="A488" s="163"/>
      <c r="B488" s="163"/>
      <c r="C488" s="164"/>
      <c r="D488" s="164"/>
      <c r="E488" s="165"/>
      <c r="F488" s="165"/>
      <c r="G488" s="166"/>
      <c r="H488" s="166"/>
      <c r="I488" s="166"/>
      <c r="J488" s="166"/>
      <c r="K488" s="166"/>
      <c r="L488" s="166"/>
      <c r="M488" s="167"/>
      <c r="N488" s="167"/>
    </row>
    <row r="489">
      <c r="A489" s="163"/>
      <c r="B489" s="163"/>
      <c r="C489" s="164"/>
      <c r="D489" s="164"/>
      <c r="E489" s="165"/>
      <c r="F489" s="165"/>
      <c r="G489" s="166"/>
      <c r="H489" s="166"/>
      <c r="I489" s="166"/>
      <c r="J489" s="166"/>
      <c r="K489" s="166"/>
      <c r="L489" s="166"/>
      <c r="M489" s="167"/>
      <c r="N489" s="167"/>
    </row>
    <row r="490">
      <c r="A490" s="163"/>
      <c r="B490" s="163"/>
      <c r="C490" s="164"/>
      <c r="D490" s="164"/>
      <c r="E490" s="165"/>
      <c r="F490" s="165"/>
      <c r="G490" s="166"/>
      <c r="H490" s="166"/>
      <c r="I490" s="166"/>
      <c r="J490" s="166"/>
      <c r="K490" s="166"/>
      <c r="L490" s="166"/>
      <c r="M490" s="167"/>
      <c r="N490" s="167"/>
    </row>
    <row r="491">
      <c r="A491" s="163"/>
      <c r="B491" s="163"/>
      <c r="C491" s="164"/>
      <c r="D491" s="164"/>
      <c r="E491" s="165"/>
      <c r="F491" s="165"/>
      <c r="G491" s="166"/>
      <c r="H491" s="166"/>
      <c r="I491" s="166"/>
      <c r="J491" s="166"/>
      <c r="K491" s="166"/>
      <c r="L491" s="166"/>
      <c r="M491" s="167"/>
      <c r="N491" s="167"/>
    </row>
    <row r="492">
      <c r="A492" s="163"/>
      <c r="B492" s="163"/>
      <c r="C492" s="164"/>
      <c r="D492" s="164"/>
      <c r="E492" s="165"/>
      <c r="F492" s="165"/>
      <c r="G492" s="166"/>
      <c r="H492" s="166"/>
      <c r="I492" s="166"/>
      <c r="J492" s="166"/>
      <c r="K492" s="166"/>
      <c r="L492" s="166"/>
      <c r="M492" s="167"/>
      <c r="N492" s="167"/>
    </row>
    <row r="493">
      <c r="A493" s="163"/>
      <c r="B493" s="163"/>
      <c r="C493" s="164"/>
      <c r="D493" s="164"/>
      <c r="E493" s="165"/>
      <c r="F493" s="165"/>
      <c r="G493" s="166"/>
      <c r="H493" s="166"/>
      <c r="I493" s="166"/>
      <c r="J493" s="166"/>
      <c r="K493" s="166"/>
      <c r="L493" s="166"/>
      <c r="M493" s="167"/>
      <c r="N493" s="167"/>
    </row>
    <row r="494">
      <c r="A494" s="163"/>
      <c r="B494" s="163"/>
      <c r="C494" s="164"/>
      <c r="D494" s="164"/>
      <c r="E494" s="165"/>
      <c r="F494" s="165"/>
      <c r="G494" s="166"/>
      <c r="H494" s="166"/>
      <c r="I494" s="166"/>
      <c r="J494" s="166"/>
      <c r="K494" s="166"/>
      <c r="L494" s="166"/>
      <c r="M494" s="167"/>
      <c r="N494" s="167"/>
    </row>
    <row r="495">
      <c r="A495" s="163"/>
      <c r="B495" s="163"/>
      <c r="C495" s="164"/>
      <c r="D495" s="164"/>
      <c r="E495" s="165"/>
      <c r="F495" s="165"/>
      <c r="G495" s="166"/>
      <c r="H495" s="166"/>
      <c r="I495" s="166"/>
      <c r="J495" s="166"/>
      <c r="K495" s="166"/>
      <c r="L495" s="166"/>
      <c r="M495" s="167"/>
      <c r="N495" s="167"/>
    </row>
    <row r="496">
      <c r="A496" s="163"/>
      <c r="B496" s="163"/>
      <c r="C496" s="164"/>
      <c r="D496" s="164"/>
      <c r="E496" s="165"/>
      <c r="F496" s="165"/>
      <c r="G496" s="166"/>
      <c r="H496" s="166"/>
      <c r="I496" s="166"/>
      <c r="J496" s="166"/>
      <c r="K496" s="166"/>
      <c r="L496" s="166"/>
      <c r="M496" s="167"/>
      <c r="N496" s="167"/>
    </row>
    <row r="497">
      <c r="A497" s="163"/>
      <c r="B497" s="163"/>
      <c r="C497" s="164"/>
      <c r="D497" s="164"/>
      <c r="E497" s="165"/>
      <c r="F497" s="165"/>
      <c r="G497" s="166"/>
      <c r="H497" s="166"/>
      <c r="I497" s="166"/>
      <c r="J497" s="166"/>
      <c r="K497" s="166"/>
      <c r="L497" s="166"/>
      <c r="M497" s="167"/>
      <c r="N497" s="167"/>
    </row>
    <row r="498">
      <c r="A498" s="163"/>
      <c r="B498" s="163"/>
      <c r="C498" s="164"/>
      <c r="D498" s="164"/>
      <c r="E498" s="165"/>
      <c r="F498" s="165"/>
      <c r="G498" s="166"/>
      <c r="H498" s="166"/>
      <c r="I498" s="166"/>
      <c r="J498" s="166"/>
      <c r="K498" s="166"/>
      <c r="L498" s="166"/>
      <c r="M498" s="167"/>
      <c r="N498" s="167"/>
    </row>
    <row r="499">
      <c r="A499" s="163"/>
      <c r="B499" s="163"/>
      <c r="C499" s="164"/>
      <c r="D499" s="164"/>
      <c r="E499" s="165"/>
      <c r="F499" s="165"/>
      <c r="G499" s="166"/>
      <c r="H499" s="166"/>
      <c r="I499" s="166"/>
      <c r="J499" s="166"/>
      <c r="K499" s="166"/>
      <c r="L499" s="166"/>
      <c r="M499" s="167"/>
      <c r="N499" s="167"/>
    </row>
    <row r="500">
      <c r="A500" s="163"/>
      <c r="B500" s="163"/>
      <c r="C500" s="164"/>
      <c r="D500" s="164"/>
      <c r="E500" s="165"/>
      <c r="F500" s="165"/>
      <c r="G500" s="166"/>
      <c r="H500" s="166"/>
      <c r="I500" s="166"/>
      <c r="J500" s="166"/>
      <c r="K500" s="166"/>
      <c r="L500" s="166"/>
      <c r="M500" s="167"/>
      <c r="N500" s="167"/>
    </row>
    <row r="501">
      <c r="A501" s="163"/>
      <c r="B501" s="163"/>
      <c r="C501" s="164"/>
      <c r="D501" s="164"/>
      <c r="E501" s="165"/>
      <c r="F501" s="165"/>
      <c r="G501" s="166"/>
      <c r="H501" s="166"/>
      <c r="I501" s="166"/>
      <c r="J501" s="166"/>
      <c r="K501" s="166"/>
      <c r="L501" s="166"/>
      <c r="M501" s="167"/>
      <c r="N501" s="167"/>
    </row>
    <row r="502">
      <c r="A502" s="163"/>
      <c r="B502" s="163"/>
      <c r="C502" s="164"/>
      <c r="D502" s="164"/>
      <c r="E502" s="165"/>
      <c r="F502" s="165"/>
      <c r="G502" s="166"/>
      <c r="H502" s="166"/>
      <c r="I502" s="166"/>
      <c r="J502" s="166"/>
      <c r="K502" s="166"/>
      <c r="L502" s="166"/>
      <c r="M502" s="167"/>
      <c r="N502" s="167"/>
    </row>
    <row r="503">
      <c r="A503" s="163"/>
      <c r="B503" s="163"/>
      <c r="C503" s="164"/>
      <c r="D503" s="164"/>
      <c r="E503" s="165"/>
      <c r="F503" s="165"/>
      <c r="G503" s="166"/>
      <c r="H503" s="166"/>
      <c r="I503" s="166"/>
      <c r="J503" s="166"/>
      <c r="K503" s="166"/>
      <c r="L503" s="166"/>
      <c r="M503" s="167"/>
      <c r="N503" s="167"/>
    </row>
    <row r="504">
      <c r="A504" s="163"/>
      <c r="B504" s="163"/>
      <c r="C504" s="164"/>
      <c r="D504" s="164"/>
      <c r="E504" s="165"/>
      <c r="F504" s="165"/>
      <c r="G504" s="166"/>
      <c r="H504" s="166"/>
      <c r="I504" s="166"/>
      <c r="J504" s="166"/>
      <c r="K504" s="166"/>
      <c r="L504" s="166"/>
      <c r="M504" s="167"/>
      <c r="N504" s="167"/>
    </row>
    <row r="505">
      <c r="A505" s="163"/>
      <c r="B505" s="163"/>
      <c r="C505" s="164"/>
      <c r="D505" s="164"/>
      <c r="E505" s="165"/>
      <c r="F505" s="165"/>
      <c r="G505" s="166"/>
      <c r="H505" s="166"/>
      <c r="I505" s="166"/>
      <c r="J505" s="166"/>
      <c r="K505" s="166"/>
      <c r="L505" s="166"/>
      <c r="M505" s="167"/>
      <c r="N505" s="167"/>
    </row>
    <row r="506">
      <c r="A506" s="163"/>
      <c r="B506" s="163"/>
      <c r="C506" s="164"/>
      <c r="D506" s="164"/>
      <c r="E506" s="165"/>
      <c r="F506" s="165"/>
      <c r="G506" s="166"/>
      <c r="H506" s="166"/>
      <c r="I506" s="166"/>
      <c r="J506" s="166"/>
      <c r="K506" s="166"/>
      <c r="L506" s="166"/>
      <c r="M506" s="167"/>
      <c r="N506" s="167"/>
    </row>
    <row r="507">
      <c r="A507" s="163"/>
      <c r="B507" s="163"/>
      <c r="C507" s="164"/>
      <c r="D507" s="164"/>
      <c r="E507" s="165"/>
      <c r="F507" s="165"/>
      <c r="G507" s="166"/>
      <c r="H507" s="166"/>
      <c r="I507" s="166"/>
      <c r="J507" s="166"/>
      <c r="K507" s="166"/>
      <c r="L507" s="166"/>
      <c r="M507" s="167"/>
      <c r="N507" s="167"/>
    </row>
    <row r="508">
      <c r="A508" s="163"/>
      <c r="B508" s="163"/>
      <c r="C508" s="164"/>
      <c r="D508" s="164"/>
      <c r="E508" s="165"/>
      <c r="F508" s="165"/>
      <c r="G508" s="166"/>
      <c r="H508" s="166"/>
      <c r="I508" s="166"/>
      <c r="J508" s="166"/>
      <c r="K508" s="166"/>
      <c r="L508" s="166"/>
      <c r="M508" s="167"/>
      <c r="N508" s="167"/>
    </row>
    <row r="509">
      <c r="A509" s="163"/>
      <c r="B509" s="163"/>
      <c r="C509" s="164"/>
      <c r="D509" s="164"/>
      <c r="E509" s="165"/>
      <c r="F509" s="165"/>
      <c r="G509" s="166"/>
      <c r="H509" s="166"/>
      <c r="I509" s="166"/>
      <c r="J509" s="166"/>
      <c r="K509" s="166"/>
      <c r="L509" s="166"/>
      <c r="M509" s="167"/>
      <c r="N509" s="167"/>
    </row>
    <row r="510">
      <c r="A510" s="163"/>
      <c r="B510" s="163"/>
      <c r="C510" s="164"/>
      <c r="D510" s="164"/>
      <c r="E510" s="165"/>
      <c r="F510" s="165"/>
      <c r="G510" s="166"/>
      <c r="H510" s="166"/>
      <c r="I510" s="166"/>
      <c r="J510" s="166"/>
      <c r="K510" s="166"/>
      <c r="L510" s="166"/>
      <c r="M510" s="167"/>
      <c r="N510" s="167"/>
    </row>
    <row r="511">
      <c r="A511" s="163"/>
      <c r="B511" s="163"/>
      <c r="C511" s="164"/>
      <c r="D511" s="164"/>
      <c r="E511" s="165"/>
      <c r="F511" s="165"/>
      <c r="G511" s="166"/>
      <c r="H511" s="166"/>
      <c r="I511" s="166"/>
      <c r="J511" s="166"/>
      <c r="K511" s="166"/>
      <c r="L511" s="166"/>
      <c r="M511" s="167"/>
      <c r="N511" s="167"/>
    </row>
    <row r="512">
      <c r="A512" s="163"/>
      <c r="B512" s="163"/>
      <c r="C512" s="164"/>
      <c r="D512" s="164"/>
      <c r="E512" s="165"/>
      <c r="F512" s="165"/>
      <c r="G512" s="166"/>
      <c r="H512" s="166"/>
      <c r="I512" s="166"/>
      <c r="J512" s="166"/>
      <c r="K512" s="166"/>
      <c r="L512" s="166"/>
      <c r="M512" s="167"/>
      <c r="N512" s="167"/>
    </row>
    <row r="513">
      <c r="A513" s="163"/>
      <c r="B513" s="163"/>
      <c r="C513" s="164"/>
      <c r="D513" s="164"/>
      <c r="E513" s="165"/>
      <c r="F513" s="165"/>
      <c r="G513" s="166"/>
      <c r="H513" s="166"/>
      <c r="I513" s="166"/>
      <c r="J513" s="166"/>
      <c r="K513" s="166"/>
      <c r="L513" s="166"/>
      <c r="M513" s="167"/>
      <c r="N513" s="167"/>
    </row>
    <row r="514">
      <c r="A514" s="163"/>
      <c r="B514" s="163"/>
      <c r="C514" s="164"/>
      <c r="D514" s="164"/>
      <c r="E514" s="165"/>
      <c r="F514" s="165"/>
      <c r="G514" s="166"/>
      <c r="H514" s="166"/>
      <c r="I514" s="166"/>
      <c r="J514" s="166"/>
      <c r="K514" s="166"/>
      <c r="L514" s="166"/>
      <c r="M514" s="167"/>
      <c r="N514" s="167"/>
    </row>
    <row r="515">
      <c r="A515" s="163"/>
      <c r="B515" s="163"/>
      <c r="C515" s="164"/>
      <c r="D515" s="164"/>
      <c r="E515" s="165"/>
      <c r="F515" s="165"/>
      <c r="G515" s="166"/>
      <c r="H515" s="166"/>
      <c r="I515" s="166"/>
      <c r="J515" s="166"/>
      <c r="K515" s="166"/>
      <c r="L515" s="166"/>
      <c r="M515" s="167"/>
      <c r="N515" s="167"/>
    </row>
    <row r="516">
      <c r="A516" s="163"/>
      <c r="B516" s="163"/>
      <c r="C516" s="164"/>
      <c r="D516" s="164"/>
      <c r="E516" s="165"/>
      <c r="F516" s="165"/>
      <c r="G516" s="166"/>
      <c r="H516" s="166"/>
      <c r="I516" s="166"/>
      <c r="J516" s="166"/>
      <c r="K516" s="166"/>
      <c r="L516" s="166"/>
      <c r="M516" s="167"/>
      <c r="N516" s="167"/>
    </row>
    <row r="517">
      <c r="A517" s="163"/>
      <c r="B517" s="163"/>
      <c r="C517" s="164"/>
      <c r="D517" s="164"/>
      <c r="E517" s="165"/>
      <c r="F517" s="165"/>
      <c r="G517" s="166"/>
      <c r="H517" s="166"/>
      <c r="I517" s="166"/>
      <c r="J517" s="166"/>
      <c r="K517" s="166"/>
      <c r="L517" s="166"/>
      <c r="M517" s="167"/>
      <c r="N517" s="167"/>
    </row>
    <row r="518">
      <c r="A518" s="163"/>
      <c r="B518" s="163"/>
      <c r="C518" s="164"/>
      <c r="D518" s="164"/>
      <c r="E518" s="165"/>
      <c r="F518" s="165"/>
      <c r="G518" s="166"/>
      <c r="H518" s="166"/>
      <c r="I518" s="166"/>
      <c r="J518" s="166"/>
      <c r="K518" s="166"/>
      <c r="L518" s="166"/>
      <c r="M518" s="167"/>
      <c r="N518" s="167"/>
    </row>
    <row r="519">
      <c r="A519" s="163"/>
      <c r="B519" s="163"/>
      <c r="C519" s="164"/>
      <c r="D519" s="164"/>
      <c r="E519" s="165"/>
      <c r="F519" s="165"/>
      <c r="G519" s="166"/>
      <c r="H519" s="166"/>
      <c r="I519" s="166"/>
      <c r="J519" s="166"/>
      <c r="K519" s="166"/>
      <c r="L519" s="166"/>
      <c r="M519" s="167"/>
      <c r="N519" s="167"/>
    </row>
    <row r="520">
      <c r="A520" s="163"/>
      <c r="B520" s="163"/>
      <c r="C520" s="164"/>
      <c r="D520" s="164"/>
      <c r="E520" s="165"/>
      <c r="F520" s="165"/>
      <c r="G520" s="166"/>
      <c r="H520" s="166"/>
      <c r="I520" s="166"/>
      <c r="J520" s="166"/>
      <c r="K520" s="166"/>
      <c r="L520" s="166"/>
      <c r="M520" s="167"/>
      <c r="N520" s="167"/>
    </row>
    <row r="521">
      <c r="A521" s="163"/>
      <c r="B521" s="163"/>
      <c r="C521" s="164"/>
      <c r="D521" s="164"/>
      <c r="E521" s="165"/>
      <c r="F521" s="165"/>
      <c r="G521" s="166"/>
      <c r="H521" s="166"/>
      <c r="I521" s="166"/>
      <c r="J521" s="166"/>
      <c r="K521" s="166"/>
      <c r="L521" s="166"/>
      <c r="M521" s="167"/>
      <c r="N521" s="167"/>
    </row>
    <row r="522">
      <c r="A522" s="163"/>
      <c r="B522" s="163"/>
      <c r="C522" s="164"/>
      <c r="D522" s="164"/>
      <c r="E522" s="165"/>
      <c r="F522" s="165"/>
      <c r="G522" s="166"/>
      <c r="H522" s="166"/>
      <c r="I522" s="166"/>
      <c r="J522" s="166"/>
      <c r="K522" s="166"/>
      <c r="L522" s="166"/>
      <c r="M522" s="167"/>
      <c r="N522" s="167"/>
    </row>
    <row r="523">
      <c r="A523" s="163"/>
      <c r="B523" s="163"/>
      <c r="C523" s="164"/>
      <c r="D523" s="164"/>
      <c r="E523" s="165"/>
      <c r="F523" s="165"/>
      <c r="G523" s="166"/>
      <c r="H523" s="166"/>
      <c r="I523" s="166"/>
      <c r="J523" s="166"/>
      <c r="K523" s="166"/>
      <c r="L523" s="166"/>
      <c r="M523" s="167"/>
      <c r="N523" s="167"/>
    </row>
    <row r="524">
      <c r="A524" s="163"/>
      <c r="B524" s="163"/>
      <c r="C524" s="164"/>
      <c r="D524" s="164"/>
      <c r="E524" s="165"/>
      <c r="F524" s="165"/>
      <c r="G524" s="166"/>
      <c r="H524" s="166"/>
      <c r="I524" s="166"/>
      <c r="J524" s="166"/>
      <c r="K524" s="166"/>
      <c r="L524" s="166"/>
      <c r="M524" s="167"/>
      <c r="N524" s="167"/>
    </row>
    <row r="525">
      <c r="A525" s="163"/>
      <c r="B525" s="163"/>
      <c r="C525" s="164"/>
      <c r="D525" s="164"/>
      <c r="E525" s="165"/>
      <c r="F525" s="165"/>
      <c r="G525" s="166"/>
      <c r="H525" s="166"/>
      <c r="I525" s="166"/>
      <c r="J525" s="166"/>
      <c r="K525" s="166"/>
      <c r="L525" s="166"/>
      <c r="M525" s="167"/>
      <c r="N525" s="167"/>
    </row>
    <row r="526">
      <c r="A526" s="163"/>
      <c r="B526" s="163"/>
      <c r="C526" s="164"/>
      <c r="D526" s="164"/>
      <c r="E526" s="165"/>
      <c r="F526" s="165"/>
      <c r="G526" s="166"/>
      <c r="H526" s="166"/>
      <c r="I526" s="166"/>
      <c r="J526" s="166"/>
      <c r="K526" s="166"/>
      <c r="L526" s="166"/>
      <c r="M526" s="167"/>
      <c r="N526" s="167"/>
    </row>
    <row r="527">
      <c r="A527" s="163"/>
      <c r="B527" s="163"/>
      <c r="C527" s="164"/>
      <c r="D527" s="164"/>
      <c r="E527" s="165"/>
      <c r="F527" s="165"/>
      <c r="G527" s="166"/>
      <c r="H527" s="166"/>
      <c r="I527" s="166"/>
      <c r="J527" s="166"/>
      <c r="K527" s="166"/>
      <c r="L527" s="166"/>
      <c r="M527" s="167"/>
      <c r="N527" s="167"/>
    </row>
    <row r="528">
      <c r="A528" s="163"/>
      <c r="B528" s="163"/>
      <c r="C528" s="164"/>
      <c r="D528" s="164"/>
      <c r="E528" s="165"/>
      <c r="F528" s="165"/>
      <c r="G528" s="166"/>
      <c r="H528" s="166"/>
      <c r="I528" s="166"/>
      <c r="J528" s="166"/>
      <c r="K528" s="166"/>
      <c r="L528" s="166"/>
      <c r="M528" s="167"/>
      <c r="N528" s="167"/>
    </row>
    <row r="529">
      <c r="A529" s="163"/>
      <c r="B529" s="163"/>
      <c r="C529" s="164"/>
      <c r="D529" s="164"/>
      <c r="E529" s="165"/>
      <c r="F529" s="165"/>
      <c r="G529" s="166"/>
      <c r="H529" s="166"/>
      <c r="I529" s="166"/>
      <c r="J529" s="166"/>
      <c r="K529" s="166"/>
      <c r="L529" s="166"/>
      <c r="M529" s="167"/>
      <c r="N529" s="167"/>
    </row>
    <row r="530">
      <c r="A530" s="163"/>
      <c r="B530" s="163"/>
      <c r="C530" s="164"/>
      <c r="D530" s="164"/>
      <c r="E530" s="165"/>
      <c r="F530" s="165"/>
      <c r="G530" s="166"/>
      <c r="H530" s="166"/>
      <c r="I530" s="166"/>
      <c r="J530" s="166"/>
      <c r="K530" s="166"/>
      <c r="L530" s="166"/>
      <c r="M530" s="167"/>
      <c r="N530" s="167"/>
    </row>
    <row r="531">
      <c r="A531" s="163"/>
      <c r="B531" s="163"/>
      <c r="C531" s="164"/>
      <c r="D531" s="164"/>
      <c r="E531" s="165"/>
      <c r="F531" s="165"/>
      <c r="G531" s="166"/>
      <c r="H531" s="166"/>
      <c r="I531" s="166"/>
      <c r="J531" s="166"/>
      <c r="K531" s="166"/>
      <c r="L531" s="166"/>
      <c r="M531" s="167"/>
      <c r="N531" s="167"/>
    </row>
    <row r="532">
      <c r="A532" s="163"/>
      <c r="B532" s="163"/>
      <c r="C532" s="164"/>
      <c r="D532" s="164"/>
      <c r="E532" s="165"/>
      <c r="F532" s="165"/>
      <c r="G532" s="166"/>
      <c r="H532" s="166"/>
      <c r="I532" s="166"/>
      <c r="J532" s="166"/>
      <c r="K532" s="166"/>
      <c r="L532" s="166"/>
      <c r="M532" s="167"/>
      <c r="N532" s="167"/>
    </row>
    <row r="533">
      <c r="A533" s="163"/>
      <c r="B533" s="163"/>
      <c r="C533" s="164"/>
      <c r="D533" s="164"/>
      <c r="E533" s="165"/>
      <c r="F533" s="165"/>
      <c r="G533" s="166"/>
      <c r="H533" s="166"/>
      <c r="I533" s="166"/>
      <c r="J533" s="166"/>
      <c r="K533" s="166"/>
      <c r="L533" s="166"/>
      <c r="M533" s="167"/>
      <c r="N533" s="167"/>
    </row>
    <row r="534">
      <c r="A534" s="163"/>
      <c r="B534" s="163"/>
      <c r="C534" s="164"/>
      <c r="D534" s="164"/>
      <c r="E534" s="165"/>
      <c r="F534" s="165"/>
      <c r="G534" s="166"/>
      <c r="H534" s="166"/>
      <c r="I534" s="166"/>
      <c r="J534" s="166"/>
      <c r="K534" s="166"/>
      <c r="L534" s="166"/>
      <c r="M534" s="167"/>
      <c r="N534" s="167"/>
    </row>
    <row r="535">
      <c r="A535" s="163"/>
      <c r="B535" s="163"/>
      <c r="C535" s="164"/>
      <c r="D535" s="164"/>
      <c r="E535" s="165"/>
      <c r="F535" s="165"/>
      <c r="G535" s="166"/>
      <c r="H535" s="166"/>
      <c r="I535" s="166"/>
      <c r="J535" s="166"/>
      <c r="K535" s="166"/>
      <c r="L535" s="166"/>
      <c r="M535" s="167"/>
      <c r="N535" s="167"/>
    </row>
    <row r="536">
      <c r="A536" s="163"/>
      <c r="B536" s="163"/>
      <c r="C536" s="164"/>
      <c r="D536" s="164"/>
      <c r="E536" s="165"/>
      <c r="F536" s="165"/>
      <c r="G536" s="166"/>
      <c r="H536" s="166"/>
      <c r="I536" s="166"/>
      <c r="J536" s="166"/>
      <c r="K536" s="166"/>
      <c r="L536" s="166"/>
      <c r="M536" s="167"/>
      <c r="N536" s="167"/>
    </row>
    <row r="537">
      <c r="A537" s="163"/>
      <c r="B537" s="163"/>
      <c r="C537" s="164"/>
      <c r="D537" s="164"/>
      <c r="E537" s="165"/>
      <c r="F537" s="165"/>
      <c r="G537" s="166"/>
      <c r="H537" s="166"/>
      <c r="I537" s="166"/>
      <c r="J537" s="166"/>
      <c r="K537" s="166"/>
      <c r="L537" s="166"/>
      <c r="M537" s="167"/>
      <c r="N537" s="167"/>
    </row>
    <row r="538">
      <c r="A538" s="163"/>
      <c r="B538" s="163"/>
      <c r="C538" s="164"/>
      <c r="D538" s="164"/>
      <c r="E538" s="165"/>
      <c r="F538" s="165"/>
      <c r="G538" s="166"/>
      <c r="H538" s="166"/>
      <c r="I538" s="166"/>
      <c r="J538" s="166"/>
      <c r="K538" s="166"/>
      <c r="L538" s="166"/>
      <c r="M538" s="167"/>
      <c r="N538" s="167"/>
    </row>
    <row r="539">
      <c r="A539" s="163"/>
      <c r="B539" s="163"/>
      <c r="C539" s="164"/>
      <c r="D539" s="164"/>
      <c r="E539" s="165"/>
      <c r="F539" s="165"/>
      <c r="G539" s="166"/>
      <c r="H539" s="166"/>
      <c r="I539" s="166"/>
      <c r="J539" s="166"/>
      <c r="K539" s="166"/>
      <c r="L539" s="166"/>
      <c r="M539" s="167"/>
      <c r="N539" s="167"/>
    </row>
    <row r="540">
      <c r="A540" s="163"/>
      <c r="B540" s="163"/>
      <c r="C540" s="164"/>
      <c r="D540" s="164"/>
      <c r="E540" s="165"/>
      <c r="F540" s="165"/>
      <c r="G540" s="166"/>
      <c r="H540" s="166"/>
      <c r="I540" s="166"/>
      <c r="J540" s="166"/>
      <c r="K540" s="166"/>
      <c r="L540" s="166"/>
      <c r="M540" s="167"/>
      <c r="N540" s="167"/>
    </row>
    <row r="541">
      <c r="A541" s="163"/>
      <c r="B541" s="163"/>
      <c r="C541" s="164"/>
      <c r="D541" s="164"/>
      <c r="E541" s="165"/>
      <c r="F541" s="165"/>
      <c r="G541" s="166"/>
      <c r="H541" s="166"/>
      <c r="I541" s="166"/>
      <c r="J541" s="166"/>
      <c r="K541" s="166"/>
      <c r="L541" s="166"/>
      <c r="M541" s="167"/>
      <c r="N541" s="167"/>
    </row>
    <row r="542">
      <c r="A542" s="163"/>
      <c r="B542" s="163"/>
      <c r="C542" s="164"/>
      <c r="D542" s="164"/>
      <c r="E542" s="165"/>
      <c r="F542" s="165"/>
      <c r="G542" s="166"/>
      <c r="H542" s="166"/>
      <c r="I542" s="166"/>
      <c r="J542" s="166"/>
      <c r="K542" s="166"/>
      <c r="L542" s="166"/>
      <c r="M542" s="167"/>
      <c r="N542" s="167"/>
    </row>
    <row r="543">
      <c r="A543" s="163"/>
      <c r="B543" s="163"/>
      <c r="C543" s="164"/>
      <c r="D543" s="164"/>
      <c r="E543" s="165"/>
      <c r="F543" s="165"/>
      <c r="G543" s="166"/>
      <c r="H543" s="166"/>
      <c r="I543" s="166"/>
      <c r="J543" s="166"/>
      <c r="K543" s="166"/>
      <c r="L543" s="166"/>
      <c r="M543" s="167"/>
      <c r="N543" s="167"/>
    </row>
    <row r="544">
      <c r="A544" s="163"/>
      <c r="B544" s="163"/>
      <c r="C544" s="164"/>
      <c r="D544" s="164"/>
      <c r="E544" s="165"/>
      <c r="F544" s="165"/>
      <c r="G544" s="166"/>
      <c r="H544" s="166"/>
      <c r="I544" s="166"/>
      <c r="J544" s="166"/>
      <c r="K544" s="166"/>
      <c r="L544" s="166"/>
      <c r="M544" s="167"/>
      <c r="N544" s="167"/>
    </row>
    <row r="545">
      <c r="A545" s="163"/>
      <c r="B545" s="163"/>
      <c r="C545" s="164"/>
      <c r="D545" s="164"/>
      <c r="E545" s="165"/>
      <c r="F545" s="165"/>
      <c r="G545" s="166"/>
      <c r="H545" s="166"/>
      <c r="I545" s="166"/>
      <c r="J545" s="166"/>
      <c r="K545" s="166"/>
      <c r="L545" s="166"/>
      <c r="M545" s="167"/>
      <c r="N545" s="167"/>
    </row>
    <row r="546">
      <c r="A546" s="163"/>
      <c r="B546" s="163"/>
      <c r="C546" s="164"/>
      <c r="D546" s="164"/>
      <c r="E546" s="165"/>
      <c r="F546" s="165"/>
      <c r="G546" s="166"/>
      <c r="H546" s="166"/>
      <c r="I546" s="166"/>
      <c r="J546" s="166"/>
      <c r="K546" s="166"/>
      <c r="L546" s="166"/>
      <c r="M546" s="167"/>
      <c r="N546" s="167"/>
    </row>
    <row r="547">
      <c r="A547" s="163"/>
      <c r="B547" s="163"/>
      <c r="C547" s="164"/>
      <c r="D547" s="164"/>
      <c r="E547" s="165"/>
      <c r="F547" s="165"/>
      <c r="G547" s="166"/>
      <c r="H547" s="166"/>
      <c r="I547" s="166"/>
      <c r="J547" s="166"/>
      <c r="K547" s="166"/>
      <c r="L547" s="166"/>
      <c r="M547" s="167"/>
      <c r="N547" s="167"/>
    </row>
    <row r="548">
      <c r="A548" s="163"/>
      <c r="B548" s="163"/>
      <c r="C548" s="164"/>
      <c r="D548" s="164"/>
      <c r="E548" s="165"/>
      <c r="F548" s="165"/>
      <c r="G548" s="166"/>
      <c r="H548" s="166"/>
      <c r="I548" s="166"/>
      <c r="J548" s="166"/>
      <c r="K548" s="166"/>
      <c r="L548" s="166"/>
      <c r="M548" s="167"/>
      <c r="N548" s="167"/>
    </row>
    <row r="549">
      <c r="A549" s="163"/>
      <c r="B549" s="163"/>
      <c r="C549" s="164"/>
      <c r="D549" s="164"/>
      <c r="E549" s="165"/>
      <c r="F549" s="165"/>
      <c r="G549" s="166"/>
      <c r="H549" s="166"/>
      <c r="I549" s="166"/>
      <c r="J549" s="166"/>
      <c r="K549" s="166"/>
      <c r="L549" s="166"/>
      <c r="M549" s="167"/>
      <c r="N549" s="167"/>
    </row>
    <row r="550">
      <c r="A550" s="163"/>
      <c r="B550" s="163"/>
      <c r="C550" s="164"/>
      <c r="D550" s="164"/>
      <c r="E550" s="165"/>
      <c r="F550" s="165"/>
      <c r="G550" s="166"/>
      <c r="H550" s="166"/>
      <c r="I550" s="166"/>
      <c r="J550" s="166"/>
      <c r="K550" s="166"/>
      <c r="L550" s="166"/>
      <c r="M550" s="167"/>
      <c r="N550" s="167"/>
    </row>
    <row r="551">
      <c r="A551" s="163"/>
      <c r="B551" s="163"/>
      <c r="C551" s="164"/>
      <c r="D551" s="164"/>
      <c r="E551" s="165"/>
      <c r="F551" s="165"/>
      <c r="G551" s="166"/>
      <c r="H551" s="166"/>
      <c r="I551" s="166"/>
      <c r="J551" s="166"/>
      <c r="K551" s="166"/>
      <c r="L551" s="166"/>
      <c r="M551" s="167"/>
      <c r="N551" s="167"/>
    </row>
    <row r="552">
      <c r="A552" s="163"/>
      <c r="B552" s="163"/>
      <c r="C552" s="164"/>
      <c r="D552" s="164"/>
      <c r="E552" s="165"/>
      <c r="F552" s="165"/>
      <c r="G552" s="166"/>
      <c r="H552" s="166"/>
      <c r="I552" s="166"/>
      <c r="J552" s="166"/>
      <c r="K552" s="166"/>
      <c r="L552" s="166"/>
      <c r="M552" s="167"/>
      <c r="N552" s="167"/>
    </row>
    <row r="553">
      <c r="A553" s="163"/>
      <c r="B553" s="163"/>
      <c r="C553" s="164"/>
      <c r="D553" s="164"/>
      <c r="E553" s="165"/>
      <c r="F553" s="165"/>
      <c r="G553" s="166"/>
      <c r="H553" s="166"/>
      <c r="I553" s="166"/>
      <c r="J553" s="166"/>
      <c r="K553" s="166"/>
      <c r="L553" s="166"/>
      <c r="M553" s="167"/>
      <c r="N553" s="167"/>
    </row>
    <row r="554">
      <c r="A554" s="163"/>
      <c r="B554" s="163"/>
      <c r="C554" s="164"/>
      <c r="D554" s="164"/>
      <c r="E554" s="165"/>
      <c r="F554" s="165"/>
      <c r="G554" s="166"/>
      <c r="H554" s="166"/>
      <c r="I554" s="166"/>
      <c r="J554" s="166"/>
      <c r="K554" s="166"/>
      <c r="L554" s="166"/>
      <c r="M554" s="167"/>
      <c r="N554" s="167"/>
    </row>
    <row r="555">
      <c r="A555" s="163"/>
      <c r="B555" s="163"/>
      <c r="C555" s="164"/>
      <c r="D555" s="164"/>
      <c r="E555" s="165"/>
      <c r="F555" s="165"/>
      <c r="G555" s="166"/>
      <c r="H555" s="166"/>
      <c r="I555" s="166"/>
      <c r="J555" s="166"/>
      <c r="K555" s="166"/>
      <c r="L555" s="166"/>
      <c r="M555" s="167"/>
      <c r="N555" s="167"/>
    </row>
    <row r="556">
      <c r="A556" s="163"/>
      <c r="B556" s="163"/>
      <c r="C556" s="164"/>
      <c r="D556" s="164"/>
      <c r="E556" s="165"/>
      <c r="F556" s="165"/>
      <c r="G556" s="166"/>
      <c r="H556" s="166"/>
      <c r="I556" s="166"/>
      <c r="J556" s="166"/>
      <c r="K556" s="166"/>
      <c r="L556" s="166"/>
      <c r="M556" s="167"/>
      <c r="N556" s="167"/>
    </row>
    <row r="557">
      <c r="A557" s="163"/>
      <c r="B557" s="163"/>
      <c r="C557" s="164"/>
      <c r="D557" s="164"/>
      <c r="E557" s="165"/>
      <c r="F557" s="165"/>
      <c r="G557" s="166"/>
      <c r="H557" s="166"/>
      <c r="I557" s="166"/>
      <c r="J557" s="166"/>
      <c r="K557" s="166"/>
      <c r="L557" s="166"/>
      <c r="M557" s="167"/>
      <c r="N557" s="167"/>
    </row>
    <row r="558">
      <c r="A558" s="163"/>
      <c r="B558" s="163"/>
      <c r="C558" s="164"/>
      <c r="D558" s="164"/>
      <c r="E558" s="165"/>
      <c r="F558" s="165"/>
      <c r="G558" s="166"/>
      <c r="H558" s="166"/>
      <c r="I558" s="166"/>
      <c r="J558" s="166"/>
      <c r="K558" s="166"/>
      <c r="L558" s="166"/>
      <c r="M558" s="167"/>
      <c r="N558" s="167"/>
    </row>
    <row r="559">
      <c r="A559" s="163"/>
      <c r="B559" s="163"/>
      <c r="C559" s="164"/>
      <c r="D559" s="164"/>
      <c r="E559" s="165"/>
      <c r="F559" s="165"/>
      <c r="G559" s="166"/>
      <c r="H559" s="166"/>
      <c r="I559" s="166"/>
      <c r="J559" s="166"/>
      <c r="K559" s="166"/>
      <c r="L559" s="166"/>
      <c r="M559" s="167"/>
      <c r="N559" s="167"/>
    </row>
    <row r="560">
      <c r="A560" s="163"/>
      <c r="B560" s="163"/>
      <c r="C560" s="164"/>
      <c r="D560" s="164"/>
      <c r="E560" s="165"/>
      <c r="F560" s="165"/>
      <c r="G560" s="166"/>
      <c r="H560" s="166"/>
      <c r="I560" s="166"/>
      <c r="J560" s="166"/>
      <c r="K560" s="166"/>
      <c r="L560" s="166"/>
      <c r="M560" s="167"/>
      <c r="N560" s="167"/>
    </row>
    <row r="561">
      <c r="A561" s="163"/>
      <c r="B561" s="163"/>
      <c r="C561" s="164"/>
      <c r="D561" s="164"/>
      <c r="E561" s="165"/>
      <c r="F561" s="165"/>
      <c r="G561" s="166"/>
      <c r="H561" s="166"/>
      <c r="I561" s="166"/>
      <c r="J561" s="166"/>
      <c r="K561" s="166"/>
      <c r="L561" s="166"/>
      <c r="M561" s="167"/>
      <c r="N561" s="167"/>
    </row>
    <row r="562">
      <c r="A562" s="163"/>
      <c r="B562" s="163"/>
      <c r="C562" s="164"/>
      <c r="D562" s="164"/>
      <c r="E562" s="165"/>
      <c r="F562" s="165"/>
      <c r="G562" s="166"/>
      <c r="H562" s="166"/>
      <c r="I562" s="166"/>
      <c r="J562" s="166"/>
      <c r="K562" s="166"/>
      <c r="L562" s="166"/>
      <c r="M562" s="167"/>
      <c r="N562" s="167"/>
    </row>
    <row r="563">
      <c r="A563" s="163"/>
      <c r="B563" s="163"/>
      <c r="C563" s="164"/>
      <c r="D563" s="164"/>
      <c r="E563" s="165"/>
      <c r="F563" s="165"/>
      <c r="G563" s="166"/>
      <c r="H563" s="166"/>
      <c r="I563" s="166"/>
      <c r="J563" s="166"/>
      <c r="K563" s="166"/>
      <c r="L563" s="166"/>
      <c r="M563" s="167"/>
      <c r="N563" s="167"/>
    </row>
    <row r="564">
      <c r="A564" s="163"/>
      <c r="B564" s="163"/>
      <c r="C564" s="164"/>
      <c r="D564" s="164"/>
      <c r="E564" s="165"/>
      <c r="F564" s="165"/>
      <c r="G564" s="166"/>
      <c r="H564" s="166"/>
      <c r="I564" s="166"/>
      <c r="J564" s="166"/>
      <c r="K564" s="166"/>
      <c r="L564" s="166"/>
      <c r="M564" s="167"/>
      <c r="N564" s="167"/>
    </row>
    <row r="565">
      <c r="A565" s="163"/>
      <c r="B565" s="163"/>
      <c r="C565" s="164"/>
      <c r="D565" s="164"/>
      <c r="E565" s="165"/>
      <c r="F565" s="165"/>
      <c r="G565" s="166"/>
      <c r="H565" s="166"/>
      <c r="I565" s="166"/>
      <c r="J565" s="166"/>
      <c r="K565" s="166"/>
      <c r="L565" s="166"/>
      <c r="M565" s="167"/>
      <c r="N565" s="167"/>
    </row>
    <row r="566">
      <c r="A566" s="163"/>
      <c r="B566" s="163"/>
      <c r="C566" s="164"/>
      <c r="D566" s="164"/>
      <c r="E566" s="165"/>
      <c r="F566" s="165"/>
      <c r="G566" s="166"/>
      <c r="H566" s="166"/>
      <c r="I566" s="166"/>
      <c r="J566" s="166"/>
      <c r="K566" s="166"/>
      <c r="L566" s="166"/>
      <c r="M566" s="167"/>
      <c r="N566" s="167"/>
    </row>
    <row r="567">
      <c r="A567" s="163"/>
      <c r="B567" s="163"/>
      <c r="C567" s="164"/>
      <c r="D567" s="164"/>
      <c r="E567" s="165"/>
      <c r="F567" s="165"/>
      <c r="G567" s="166"/>
      <c r="H567" s="166"/>
      <c r="I567" s="166"/>
      <c r="J567" s="166"/>
      <c r="K567" s="166"/>
      <c r="L567" s="166"/>
      <c r="M567" s="167"/>
      <c r="N567" s="167"/>
    </row>
    <row r="568">
      <c r="A568" s="163"/>
      <c r="B568" s="163"/>
      <c r="C568" s="164"/>
      <c r="D568" s="164"/>
      <c r="E568" s="165"/>
      <c r="F568" s="165"/>
      <c r="G568" s="166"/>
      <c r="H568" s="166"/>
      <c r="I568" s="166"/>
      <c r="J568" s="166"/>
      <c r="K568" s="166"/>
      <c r="L568" s="166"/>
      <c r="M568" s="167"/>
      <c r="N568" s="167"/>
    </row>
    <row r="569">
      <c r="A569" s="163"/>
      <c r="B569" s="163"/>
      <c r="C569" s="164"/>
      <c r="D569" s="164"/>
      <c r="E569" s="165"/>
      <c r="F569" s="165"/>
      <c r="G569" s="166"/>
      <c r="H569" s="166"/>
      <c r="I569" s="166"/>
      <c r="J569" s="166"/>
      <c r="K569" s="166"/>
      <c r="L569" s="166"/>
      <c r="M569" s="167"/>
      <c r="N569" s="167"/>
    </row>
    <row r="570">
      <c r="A570" s="163"/>
      <c r="B570" s="163"/>
      <c r="C570" s="164"/>
      <c r="D570" s="164"/>
      <c r="E570" s="165"/>
      <c r="F570" s="165"/>
      <c r="G570" s="166"/>
      <c r="H570" s="166"/>
      <c r="I570" s="166"/>
      <c r="J570" s="166"/>
      <c r="K570" s="166"/>
      <c r="L570" s="166"/>
      <c r="M570" s="167"/>
      <c r="N570" s="167"/>
    </row>
    <row r="571">
      <c r="A571" s="163"/>
      <c r="B571" s="163"/>
      <c r="C571" s="164"/>
      <c r="D571" s="164"/>
      <c r="E571" s="165"/>
      <c r="F571" s="165"/>
      <c r="G571" s="166"/>
      <c r="H571" s="166"/>
      <c r="I571" s="166"/>
      <c r="J571" s="166"/>
      <c r="K571" s="166"/>
      <c r="L571" s="166"/>
      <c r="M571" s="167"/>
      <c r="N571" s="167"/>
    </row>
    <row r="572">
      <c r="A572" s="163"/>
      <c r="B572" s="163"/>
      <c r="C572" s="164"/>
      <c r="D572" s="164"/>
      <c r="E572" s="165"/>
      <c r="F572" s="165"/>
      <c r="G572" s="166"/>
      <c r="H572" s="166"/>
      <c r="I572" s="166"/>
      <c r="J572" s="166"/>
      <c r="K572" s="166"/>
      <c r="L572" s="166"/>
      <c r="M572" s="167"/>
      <c r="N572" s="167"/>
    </row>
    <row r="573">
      <c r="A573" s="163"/>
      <c r="B573" s="163"/>
      <c r="C573" s="164"/>
      <c r="D573" s="164"/>
      <c r="E573" s="165"/>
      <c r="F573" s="165"/>
      <c r="G573" s="166"/>
      <c r="H573" s="166"/>
      <c r="I573" s="166"/>
      <c r="J573" s="166"/>
      <c r="K573" s="166"/>
      <c r="L573" s="166"/>
      <c r="M573" s="167"/>
      <c r="N573" s="167"/>
    </row>
    <row r="574">
      <c r="A574" s="163"/>
      <c r="B574" s="163"/>
      <c r="C574" s="164"/>
      <c r="D574" s="164"/>
      <c r="E574" s="165"/>
      <c r="F574" s="165"/>
      <c r="G574" s="166"/>
      <c r="H574" s="166"/>
      <c r="I574" s="166"/>
      <c r="J574" s="166"/>
      <c r="K574" s="166"/>
      <c r="L574" s="166"/>
      <c r="M574" s="167"/>
      <c r="N574" s="167"/>
    </row>
    <row r="575">
      <c r="A575" s="163"/>
      <c r="B575" s="163"/>
      <c r="C575" s="164"/>
      <c r="D575" s="164"/>
      <c r="E575" s="165"/>
      <c r="F575" s="165"/>
      <c r="G575" s="166"/>
      <c r="H575" s="166"/>
      <c r="I575" s="166"/>
      <c r="J575" s="166"/>
      <c r="K575" s="166"/>
      <c r="L575" s="166"/>
      <c r="M575" s="167"/>
      <c r="N575" s="167"/>
    </row>
    <row r="576">
      <c r="A576" s="163"/>
      <c r="B576" s="163"/>
      <c r="C576" s="164"/>
      <c r="D576" s="164"/>
      <c r="E576" s="165"/>
      <c r="F576" s="165"/>
      <c r="G576" s="166"/>
      <c r="H576" s="166"/>
      <c r="I576" s="166"/>
      <c r="J576" s="166"/>
      <c r="K576" s="166"/>
      <c r="L576" s="166"/>
      <c r="M576" s="167"/>
      <c r="N576" s="167"/>
    </row>
    <row r="577">
      <c r="A577" s="163"/>
      <c r="B577" s="163"/>
      <c r="C577" s="164"/>
      <c r="D577" s="164"/>
      <c r="E577" s="165"/>
      <c r="F577" s="165"/>
      <c r="G577" s="166"/>
      <c r="H577" s="166"/>
      <c r="I577" s="166"/>
      <c r="J577" s="166"/>
      <c r="K577" s="166"/>
      <c r="L577" s="166"/>
      <c r="M577" s="167"/>
      <c r="N577" s="167"/>
    </row>
    <row r="578">
      <c r="A578" s="163"/>
      <c r="B578" s="163"/>
      <c r="C578" s="164"/>
      <c r="D578" s="164"/>
      <c r="E578" s="165"/>
      <c r="F578" s="165"/>
      <c r="G578" s="166"/>
      <c r="H578" s="166"/>
      <c r="I578" s="166"/>
      <c r="J578" s="166"/>
      <c r="K578" s="166"/>
      <c r="L578" s="166"/>
      <c r="M578" s="167"/>
      <c r="N578" s="167"/>
    </row>
    <row r="579">
      <c r="A579" s="163"/>
      <c r="B579" s="163"/>
      <c r="C579" s="164"/>
      <c r="D579" s="164"/>
      <c r="E579" s="165"/>
      <c r="F579" s="165"/>
      <c r="G579" s="166"/>
      <c r="H579" s="166"/>
      <c r="I579" s="166"/>
      <c r="J579" s="166"/>
      <c r="K579" s="166"/>
      <c r="L579" s="166"/>
      <c r="M579" s="167"/>
      <c r="N579" s="167"/>
    </row>
    <row r="580">
      <c r="A580" s="163"/>
      <c r="B580" s="163"/>
      <c r="C580" s="164"/>
      <c r="D580" s="164"/>
      <c r="E580" s="165"/>
      <c r="F580" s="165"/>
      <c r="G580" s="166"/>
      <c r="H580" s="166"/>
      <c r="I580" s="166"/>
      <c r="J580" s="166"/>
      <c r="K580" s="166"/>
      <c r="L580" s="166"/>
      <c r="M580" s="167"/>
      <c r="N580" s="167"/>
    </row>
    <row r="581">
      <c r="A581" s="163"/>
      <c r="B581" s="163"/>
      <c r="C581" s="164"/>
      <c r="D581" s="164"/>
      <c r="E581" s="165"/>
      <c r="F581" s="165"/>
      <c r="G581" s="166"/>
      <c r="H581" s="166"/>
      <c r="I581" s="166"/>
      <c r="J581" s="166"/>
      <c r="K581" s="166"/>
      <c r="L581" s="166"/>
      <c r="M581" s="167"/>
      <c r="N581" s="167"/>
    </row>
    <row r="582">
      <c r="A582" s="163"/>
      <c r="B582" s="163"/>
      <c r="C582" s="164"/>
      <c r="D582" s="164"/>
      <c r="E582" s="165"/>
      <c r="F582" s="165"/>
      <c r="G582" s="166"/>
      <c r="H582" s="166"/>
      <c r="I582" s="166"/>
      <c r="J582" s="166"/>
      <c r="K582" s="166"/>
      <c r="L582" s="166"/>
      <c r="M582" s="167"/>
      <c r="N582" s="167"/>
    </row>
    <row r="583">
      <c r="A583" s="163"/>
      <c r="B583" s="163"/>
      <c r="C583" s="164"/>
      <c r="D583" s="164"/>
      <c r="E583" s="165"/>
      <c r="F583" s="165"/>
      <c r="G583" s="166"/>
      <c r="H583" s="166"/>
      <c r="I583" s="166"/>
      <c r="J583" s="166"/>
      <c r="K583" s="166"/>
      <c r="L583" s="166"/>
      <c r="M583" s="167"/>
      <c r="N583" s="167"/>
    </row>
    <row r="584">
      <c r="A584" s="163"/>
      <c r="B584" s="163"/>
      <c r="C584" s="164"/>
      <c r="D584" s="164"/>
      <c r="E584" s="165"/>
      <c r="F584" s="165"/>
      <c r="G584" s="166"/>
      <c r="H584" s="166"/>
      <c r="I584" s="166"/>
      <c r="J584" s="166"/>
      <c r="K584" s="166"/>
      <c r="L584" s="166"/>
      <c r="M584" s="167"/>
      <c r="N584" s="167"/>
    </row>
    <row r="585">
      <c r="A585" s="163"/>
      <c r="B585" s="163"/>
      <c r="C585" s="164"/>
      <c r="D585" s="164"/>
      <c r="E585" s="165"/>
      <c r="F585" s="165"/>
      <c r="G585" s="166"/>
      <c r="H585" s="166"/>
      <c r="I585" s="166"/>
      <c r="J585" s="166"/>
      <c r="K585" s="166"/>
      <c r="L585" s="166"/>
      <c r="M585" s="167"/>
      <c r="N585" s="167"/>
    </row>
    <row r="586">
      <c r="A586" s="163"/>
      <c r="B586" s="163"/>
      <c r="C586" s="164"/>
      <c r="D586" s="164"/>
      <c r="E586" s="165"/>
      <c r="F586" s="165"/>
      <c r="G586" s="166"/>
      <c r="H586" s="166"/>
      <c r="I586" s="166"/>
      <c r="J586" s="166"/>
      <c r="K586" s="166"/>
      <c r="L586" s="166"/>
      <c r="M586" s="167"/>
      <c r="N586" s="167"/>
    </row>
    <row r="587">
      <c r="A587" s="163"/>
      <c r="B587" s="163"/>
      <c r="C587" s="164"/>
      <c r="D587" s="164"/>
      <c r="E587" s="165"/>
      <c r="F587" s="165"/>
      <c r="G587" s="166"/>
      <c r="H587" s="166"/>
      <c r="I587" s="166"/>
      <c r="J587" s="166"/>
      <c r="K587" s="166"/>
      <c r="L587" s="166"/>
      <c r="M587" s="167"/>
      <c r="N587" s="167"/>
    </row>
    <row r="588">
      <c r="A588" s="163"/>
      <c r="B588" s="163"/>
      <c r="C588" s="164"/>
      <c r="D588" s="164"/>
      <c r="E588" s="165"/>
      <c r="F588" s="165"/>
      <c r="G588" s="166"/>
      <c r="H588" s="166"/>
      <c r="I588" s="166"/>
      <c r="J588" s="166"/>
      <c r="K588" s="166"/>
      <c r="L588" s="166"/>
      <c r="M588" s="167"/>
      <c r="N588" s="167"/>
    </row>
    <row r="589">
      <c r="A589" s="163"/>
      <c r="B589" s="163"/>
      <c r="C589" s="164"/>
      <c r="D589" s="164"/>
      <c r="E589" s="165"/>
      <c r="F589" s="165"/>
      <c r="G589" s="166"/>
      <c r="H589" s="166"/>
      <c r="I589" s="166"/>
      <c r="J589" s="166"/>
      <c r="K589" s="166"/>
      <c r="L589" s="166"/>
      <c r="M589" s="167"/>
      <c r="N589" s="167"/>
    </row>
    <row r="590">
      <c r="A590" s="163"/>
      <c r="B590" s="163"/>
      <c r="C590" s="164"/>
      <c r="D590" s="164"/>
      <c r="E590" s="165"/>
      <c r="F590" s="165"/>
      <c r="G590" s="166"/>
      <c r="H590" s="166"/>
      <c r="I590" s="166"/>
      <c r="J590" s="166"/>
      <c r="K590" s="166"/>
      <c r="L590" s="166"/>
      <c r="M590" s="167"/>
      <c r="N590" s="167"/>
    </row>
    <row r="591">
      <c r="A591" s="163"/>
      <c r="B591" s="163"/>
      <c r="C591" s="164"/>
      <c r="D591" s="164"/>
      <c r="E591" s="165"/>
      <c r="F591" s="165"/>
      <c r="G591" s="166"/>
      <c r="H591" s="166"/>
      <c r="I591" s="166"/>
      <c r="J591" s="166"/>
      <c r="K591" s="166"/>
      <c r="L591" s="166"/>
      <c r="M591" s="167"/>
      <c r="N591" s="167"/>
    </row>
    <row r="592">
      <c r="A592" s="163"/>
      <c r="B592" s="163"/>
      <c r="C592" s="164"/>
      <c r="D592" s="164"/>
      <c r="E592" s="165"/>
      <c r="F592" s="165"/>
      <c r="G592" s="166"/>
      <c r="H592" s="166"/>
      <c r="I592" s="166"/>
      <c r="J592" s="166"/>
      <c r="K592" s="166"/>
      <c r="L592" s="166"/>
      <c r="M592" s="167"/>
      <c r="N592" s="167"/>
    </row>
    <row r="593">
      <c r="A593" s="163"/>
      <c r="B593" s="163"/>
      <c r="C593" s="164"/>
      <c r="D593" s="164"/>
      <c r="E593" s="165"/>
      <c r="F593" s="165"/>
      <c r="G593" s="166"/>
      <c r="H593" s="166"/>
      <c r="I593" s="166"/>
      <c r="J593" s="166"/>
      <c r="K593" s="166"/>
      <c r="L593" s="166"/>
      <c r="M593" s="167"/>
      <c r="N593" s="167"/>
    </row>
    <row r="594">
      <c r="A594" s="163"/>
      <c r="B594" s="163"/>
      <c r="C594" s="164"/>
      <c r="D594" s="164"/>
      <c r="E594" s="165"/>
      <c r="F594" s="165"/>
      <c r="G594" s="166"/>
      <c r="H594" s="166"/>
      <c r="I594" s="166"/>
      <c r="J594" s="166"/>
      <c r="K594" s="166"/>
      <c r="L594" s="166"/>
      <c r="M594" s="167"/>
      <c r="N594" s="167"/>
    </row>
    <row r="595">
      <c r="A595" s="163"/>
      <c r="B595" s="163"/>
      <c r="C595" s="164"/>
      <c r="D595" s="164"/>
      <c r="E595" s="165"/>
      <c r="F595" s="165"/>
      <c r="G595" s="166"/>
      <c r="H595" s="166"/>
      <c r="I595" s="166"/>
      <c r="J595" s="166"/>
      <c r="K595" s="166"/>
      <c r="L595" s="166"/>
      <c r="M595" s="167"/>
      <c r="N595" s="167"/>
    </row>
    <row r="596">
      <c r="A596" s="163"/>
      <c r="B596" s="163"/>
      <c r="C596" s="164"/>
      <c r="D596" s="164"/>
      <c r="E596" s="165"/>
      <c r="F596" s="165"/>
      <c r="G596" s="166"/>
      <c r="H596" s="166"/>
      <c r="I596" s="166"/>
      <c r="J596" s="166"/>
      <c r="K596" s="166"/>
      <c r="L596" s="166"/>
      <c r="M596" s="167"/>
      <c r="N596" s="167"/>
    </row>
    <row r="597">
      <c r="A597" s="163"/>
      <c r="B597" s="163"/>
      <c r="C597" s="164"/>
      <c r="D597" s="164"/>
      <c r="E597" s="165"/>
      <c r="F597" s="165"/>
      <c r="G597" s="166"/>
      <c r="H597" s="166"/>
      <c r="I597" s="166"/>
      <c r="J597" s="166"/>
      <c r="K597" s="166"/>
      <c r="L597" s="166"/>
      <c r="M597" s="167"/>
      <c r="N597" s="167"/>
    </row>
    <row r="598">
      <c r="A598" s="163"/>
      <c r="B598" s="163"/>
      <c r="C598" s="164"/>
      <c r="D598" s="164"/>
      <c r="E598" s="165"/>
      <c r="F598" s="165"/>
      <c r="G598" s="166"/>
      <c r="H598" s="166"/>
      <c r="I598" s="166"/>
      <c r="J598" s="166"/>
      <c r="K598" s="166"/>
      <c r="L598" s="166"/>
      <c r="M598" s="167"/>
      <c r="N598" s="167"/>
    </row>
    <row r="599">
      <c r="A599" s="163"/>
      <c r="B599" s="163"/>
      <c r="C599" s="164"/>
      <c r="D599" s="164"/>
      <c r="E599" s="165"/>
      <c r="F599" s="165"/>
      <c r="G599" s="166"/>
      <c r="H599" s="166"/>
      <c r="I599" s="166"/>
      <c r="J599" s="166"/>
      <c r="K599" s="166"/>
      <c r="L599" s="166"/>
      <c r="M599" s="167"/>
      <c r="N599" s="167"/>
    </row>
    <row r="600">
      <c r="A600" s="163"/>
      <c r="B600" s="163"/>
      <c r="C600" s="164"/>
      <c r="D600" s="164"/>
      <c r="E600" s="165"/>
      <c r="F600" s="165"/>
      <c r="G600" s="166"/>
      <c r="H600" s="166"/>
      <c r="I600" s="166"/>
      <c r="J600" s="166"/>
      <c r="K600" s="166"/>
      <c r="L600" s="166"/>
      <c r="M600" s="167"/>
      <c r="N600" s="167"/>
    </row>
    <row r="601">
      <c r="A601" s="163"/>
      <c r="B601" s="163"/>
      <c r="C601" s="164"/>
      <c r="D601" s="164"/>
      <c r="E601" s="165"/>
      <c r="F601" s="165"/>
      <c r="G601" s="166"/>
      <c r="H601" s="166"/>
      <c r="I601" s="166"/>
      <c r="J601" s="166"/>
      <c r="K601" s="166"/>
      <c r="L601" s="166"/>
      <c r="M601" s="167"/>
      <c r="N601" s="167"/>
    </row>
    <row r="602">
      <c r="A602" s="163"/>
      <c r="B602" s="163"/>
      <c r="C602" s="164"/>
      <c r="D602" s="164"/>
      <c r="E602" s="165"/>
      <c r="F602" s="165"/>
      <c r="G602" s="166"/>
      <c r="H602" s="166"/>
      <c r="I602" s="166"/>
      <c r="J602" s="166"/>
      <c r="K602" s="166"/>
      <c r="L602" s="166"/>
      <c r="M602" s="167"/>
      <c r="N602" s="167"/>
    </row>
    <row r="603">
      <c r="A603" s="163"/>
      <c r="B603" s="163"/>
      <c r="C603" s="164"/>
      <c r="D603" s="164"/>
      <c r="E603" s="165"/>
      <c r="F603" s="165"/>
      <c r="G603" s="166"/>
      <c r="H603" s="166"/>
      <c r="I603" s="166"/>
      <c r="J603" s="166"/>
      <c r="K603" s="166"/>
      <c r="L603" s="166"/>
      <c r="M603" s="167"/>
      <c r="N603" s="167"/>
    </row>
    <row r="604">
      <c r="A604" s="163"/>
      <c r="B604" s="163"/>
      <c r="C604" s="164"/>
      <c r="D604" s="164"/>
      <c r="E604" s="165"/>
      <c r="F604" s="165"/>
      <c r="G604" s="166"/>
      <c r="H604" s="166"/>
      <c r="I604" s="166"/>
      <c r="J604" s="166"/>
      <c r="K604" s="166"/>
      <c r="L604" s="166"/>
      <c r="M604" s="167"/>
      <c r="N604" s="167"/>
    </row>
    <row r="605">
      <c r="A605" s="163"/>
      <c r="B605" s="163"/>
      <c r="C605" s="164"/>
      <c r="D605" s="164"/>
      <c r="E605" s="165"/>
      <c r="F605" s="165"/>
      <c r="G605" s="166"/>
      <c r="H605" s="166"/>
      <c r="I605" s="166"/>
      <c r="J605" s="166"/>
      <c r="K605" s="166"/>
      <c r="L605" s="166"/>
      <c r="M605" s="167"/>
      <c r="N605" s="167"/>
    </row>
    <row r="606">
      <c r="A606" s="163"/>
      <c r="B606" s="163"/>
      <c r="C606" s="164"/>
      <c r="D606" s="164"/>
      <c r="E606" s="165"/>
      <c r="F606" s="165"/>
      <c r="G606" s="166"/>
      <c r="H606" s="166"/>
      <c r="I606" s="166"/>
      <c r="J606" s="166"/>
      <c r="K606" s="166"/>
      <c r="L606" s="166"/>
      <c r="M606" s="167"/>
      <c r="N606" s="167"/>
    </row>
    <row r="607">
      <c r="A607" s="163"/>
      <c r="B607" s="163"/>
      <c r="C607" s="164"/>
      <c r="D607" s="164"/>
      <c r="E607" s="165"/>
      <c r="F607" s="165"/>
      <c r="G607" s="166"/>
      <c r="H607" s="166"/>
      <c r="I607" s="166"/>
      <c r="J607" s="166"/>
      <c r="K607" s="166"/>
      <c r="L607" s="166"/>
      <c r="M607" s="167"/>
      <c r="N607" s="167"/>
    </row>
    <row r="608">
      <c r="A608" s="163"/>
      <c r="B608" s="163"/>
      <c r="C608" s="164"/>
      <c r="D608" s="164"/>
      <c r="E608" s="165"/>
      <c r="F608" s="165"/>
      <c r="G608" s="166"/>
      <c r="H608" s="166"/>
      <c r="I608" s="166"/>
      <c r="J608" s="166"/>
      <c r="K608" s="166"/>
      <c r="L608" s="166"/>
      <c r="M608" s="167"/>
      <c r="N608" s="167"/>
    </row>
    <row r="609">
      <c r="A609" s="163"/>
      <c r="B609" s="163"/>
      <c r="C609" s="164"/>
      <c r="D609" s="164"/>
      <c r="E609" s="165"/>
      <c r="F609" s="165"/>
      <c r="G609" s="166"/>
      <c r="H609" s="166"/>
      <c r="I609" s="166"/>
      <c r="J609" s="166"/>
      <c r="K609" s="166"/>
      <c r="L609" s="166"/>
      <c r="M609" s="167"/>
      <c r="N609" s="167"/>
    </row>
    <row r="610">
      <c r="A610" s="163"/>
      <c r="B610" s="163"/>
      <c r="C610" s="164"/>
      <c r="D610" s="164"/>
      <c r="E610" s="165"/>
      <c r="F610" s="165"/>
      <c r="G610" s="166"/>
      <c r="H610" s="166"/>
      <c r="I610" s="166"/>
      <c r="J610" s="166"/>
      <c r="K610" s="166"/>
      <c r="L610" s="166"/>
      <c r="M610" s="167"/>
      <c r="N610" s="167"/>
    </row>
    <row r="611">
      <c r="A611" s="163"/>
      <c r="B611" s="163"/>
      <c r="C611" s="164"/>
      <c r="D611" s="164"/>
      <c r="E611" s="165"/>
      <c r="F611" s="165"/>
      <c r="G611" s="166"/>
      <c r="H611" s="166"/>
      <c r="I611" s="166"/>
      <c r="J611" s="166"/>
      <c r="K611" s="166"/>
      <c r="L611" s="166"/>
      <c r="M611" s="167"/>
      <c r="N611" s="167"/>
    </row>
    <row r="612">
      <c r="A612" s="163"/>
      <c r="B612" s="163"/>
      <c r="C612" s="164"/>
      <c r="D612" s="164"/>
      <c r="E612" s="165"/>
      <c r="F612" s="165"/>
      <c r="G612" s="166"/>
      <c r="H612" s="166"/>
      <c r="I612" s="166"/>
      <c r="J612" s="166"/>
      <c r="K612" s="166"/>
      <c r="L612" s="166"/>
      <c r="M612" s="167"/>
      <c r="N612" s="167"/>
    </row>
    <row r="613">
      <c r="A613" s="163"/>
      <c r="B613" s="163"/>
      <c r="C613" s="164"/>
      <c r="D613" s="164"/>
      <c r="E613" s="165"/>
      <c r="F613" s="165"/>
      <c r="G613" s="166"/>
      <c r="H613" s="166"/>
      <c r="I613" s="166"/>
      <c r="J613" s="166"/>
      <c r="K613" s="166"/>
      <c r="L613" s="166"/>
      <c r="M613" s="167"/>
      <c r="N613" s="167"/>
    </row>
    <row r="614">
      <c r="A614" s="163"/>
      <c r="B614" s="163"/>
      <c r="C614" s="164"/>
      <c r="D614" s="164"/>
      <c r="E614" s="165"/>
      <c r="F614" s="165"/>
      <c r="G614" s="166"/>
      <c r="H614" s="166"/>
      <c r="I614" s="166"/>
      <c r="J614" s="166"/>
      <c r="K614" s="166"/>
      <c r="L614" s="166"/>
      <c r="M614" s="167"/>
      <c r="N614" s="167"/>
    </row>
    <row r="615">
      <c r="A615" s="163"/>
      <c r="B615" s="163"/>
      <c r="C615" s="164"/>
      <c r="D615" s="164"/>
      <c r="E615" s="165"/>
      <c r="F615" s="165"/>
      <c r="G615" s="166"/>
      <c r="H615" s="166"/>
      <c r="I615" s="166"/>
      <c r="J615" s="166"/>
      <c r="K615" s="166"/>
      <c r="L615" s="166"/>
      <c r="M615" s="167"/>
      <c r="N615" s="167"/>
    </row>
    <row r="616">
      <c r="A616" s="163"/>
      <c r="B616" s="163"/>
      <c r="C616" s="164"/>
      <c r="D616" s="164"/>
      <c r="E616" s="165"/>
      <c r="F616" s="165"/>
      <c r="G616" s="166"/>
      <c r="H616" s="166"/>
      <c r="I616" s="166"/>
      <c r="J616" s="166"/>
      <c r="K616" s="166"/>
      <c r="L616" s="166"/>
      <c r="M616" s="167"/>
      <c r="N616" s="167"/>
    </row>
    <row r="617">
      <c r="A617" s="163"/>
      <c r="B617" s="163"/>
      <c r="C617" s="164"/>
      <c r="D617" s="164"/>
      <c r="E617" s="165"/>
      <c r="F617" s="165"/>
      <c r="G617" s="166"/>
      <c r="H617" s="166"/>
      <c r="I617" s="166"/>
      <c r="J617" s="166"/>
      <c r="K617" s="166"/>
      <c r="L617" s="166"/>
      <c r="M617" s="167"/>
      <c r="N617" s="167"/>
    </row>
    <row r="618">
      <c r="A618" s="163"/>
      <c r="B618" s="163"/>
      <c r="C618" s="164"/>
      <c r="D618" s="164"/>
      <c r="E618" s="165"/>
      <c r="F618" s="165"/>
      <c r="G618" s="166"/>
      <c r="H618" s="166"/>
      <c r="I618" s="166"/>
      <c r="J618" s="166"/>
      <c r="K618" s="166"/>
      <c r="L618" s="166"/>
      <c r="M618" s="167"/>
      <c r="N618" s="167"/>
    </row>
    <row r="619">
      <c r="A619" s="163"/>
      <c r="B619" s="163"/>
      <c r="C619" s="164"/>
      <c r="D619" s="164"/>
      <c r="E619" s="165"/>
      <c r="F619" s="165"/>
      <c r="G619" s="166"/>
      <c r="H619" s="166"/>
      <c r="I619" s="166"/>
      <c r="J619" s="166"/>
      <c r="K619" s="166"/>
      <c r="L619" s="166"/>
      <c r="M619" s="167"/>
      <c r="N619" s="167"/>
    </row>
    <row r="620">
      <c r="A620" s="163"/>
      <c r="B620" s="163"/>
      <c r="C620" s="164"/>
      <c r="D620" s="164"/>
      <c r="E620" s="165"/>
      <c r="F620" s="165"/>
      <c r="G620" s="166"/>
      <c r="H620" s="166"/>
      <c r="I620" s="166"/>
      <c r="J620" s="166"/>
      <c r="K620" s="166"/>
      <c r="L620" s="166"/>
      <c r="M620" s="167"/>
      <c r="N620" s="167"/>
    </row>
    <row r="621">
      <c r="A621" s="163"/>
      <c r="B621" s="163"/>
      <c r="C621" s="164"/>
      <c r="D621" s="164"/>
      <c r="E621" s="165"/>
      <c r="F621" s="165"/>
      <c r="G621" s="166"/>
      <c r="H621" s="166"/>
      <c r="I621" s="166"/>
      <c r="J621" s="166"/>
      <c r="K621" s="166"/>
      <c r="L621" s="166"/>
      <c r="M621" s="167"/>
      <c r="N621" s="167"/>
    </row>
    <row r="622">
      <c r="A622" s="163"/>
      <c r="B622" s="163"/>
      <c r="C622" s="164"/>
      <c r="D622" s="164"/>
      <c r="E622" s="165"/>
      <c r="F622" s="165"/>
      <c r="G622" s="166"/>
      <c r="H622" s="166"/>
      <c r="I622" s="166"/>
      <c r="J622" s="166"/>
      <c r="K622" s="166"/>
      <c r="L622" s="166"/>
      <c r="M622" s="167"/>
      <c r="N622" s="167"/>
    </row>
    <row r="623">
      <c r="A623" s="163"/>
      <c r="B623" s="163"/>
      <c r="C623" s="164"/>
      <c r="D623" s="164"/>
      <c r="E623" s="165"/>
      <c r="F623" s="165"/>
      <c r="G623" s="166"/>
      <c r="H623" s="166"/>
      <c r="I623" s="166"/>
      <c r="J623" s="166"/>
      <c r="K623" s="166"/>
      <c r="L623" s="166"/>
      <c r="M623" s="167"/>
      <c r="N623" s="167"/>
    </row>
    <row r="624">
      <c r="A624" s="163"/>
      <c r="B624" s="163"/>
      <c r="C624" s="164"/>
      <c r="D624" s="164"/>
      <c r="E624" s="165"/>
      <c r="F624" s="165"/>
      <c r="G624" s="166"/>
      <c r="H624" s="166"/>
      <c r="I624" s="166"/>
      <c r="J624" s="166"/>
      <c r="K624" s="166"/>
      <c r="L624" s="166"/>
      <c r="M624" s="167"/>
      <c r="N624" s="167"/>
    </row>
    <row r="625">
      <c r="A625" s="163"/>
      <c r="B625" s="163"/>
      <c r="C625" s="164"/>
      <c r="D625" s="164"/>
      <c r="E625" s="165"/>
      <c r="F625" s="165"/>
      <c r="G625" s="166"/>
      <c r="H625" s="166"/>
      <c r="I625" s="166"/>
      <c r="J625" s="166"/>
      <c r="K625" s="166"/>
      <c r="L625" s="166"/>
      <c r="M625" s="167"/>
      <c r="N625" s="167"/>
    </row>
    <row r="626">
      <c r="A626" s="163"/>
      <c r="B626" s="163"/>
      <c r="C626" s="164"/>
      <c r="D626" s="164"/>
      <c r="E626" s="165"/>
      <c r="F626" s="165"/>
      <c r="G626" s="166"/>
      <c r="H626" s="166"/>
      <c r="I626" s="166"/>
      <c r="J626" s="166"/>
      <c r="K626" s="166"/>
      <c r="L626" s="166"/>
      <c r="M626" s="167"/>
      <c r="N626" s="167"/>
    </row>
    <row r="627">
      <c r="A627" s="163"/>
      <c r="B627" s="163"/>
      <c r="C627" s="164"/>
      <c r="D627" s="164"/>
      <c r="E627" s="165"/>
      <c r="F627" s="165"/>
      <c r="G627" s="166"/>
      <c r="H627" s="166"/>
      <c r="I627" s="166"/>
      <c r="J627" s="166"/>
      <c r="K627" s="166"/>
      <c r="L627" s="166"/>
      <c r="M627" s="167"/>
      <c r="N627" s="167"/>
    </row>
    <row r="628">
      <c r="A628" s="163"/>
      <c r="B628" s="163"/>
      <c r="C628" s="164"/>
      <c r="D628" s="164"/>
      <c r="E628" s="165"/>
      <c r="F628" s="165"/>
      <c r="G628" s="166"/>
      <c r="H628" s="166"/>
      <c r="I628" s="166"/>
      <c r="J628" s="166"/>
      <c r="K628" s="166"/>
      <c r="L628" s="166"/>
      <c r="M628" s="167"/>
      <c r="N628" s="167"/>
    </row>
    <row r="629">
      <c r="A629" s="163"/>
      <c r="B629" s="163"/>
      <c r="C629" s="164"/>
      <c r="D629" s="164"/>
      <c r="E629" s="165"/>
      <c r="F629" s="165"/>
      <c r="G629" s="166"/>
      <c r="H629" s="166"/>
      <c r="I629" s="166"/>
      <c r="J629" s="166"/>
      <c r="K629" s="166"/>
      <c r="L629" s="166"/>
      <c r="M629" s="167"/>
      <c r="N629" s="167"/>
    </row>
    <row r="630">
      <c r="A630" s="163"/>
      <c r="B630" s="163"/>
      <c r="C630" s="164"/>
      <c r="D630" s="164"/>
      <c r="E630" s="165"/>
      <c r="F630" s="165"/>
      <c r="G630" s="166"/>
      <c r="H630" s="166"/>
      <c r="I630" s="166"/>
      <c r="J630" s="166"/>
      <c r="K630" s="166"/>
      <c r="L630" s="166"/>
      <c r="M630" s="167"/>
      <c r="N630" s="167"/>
    </row>
    <row r="631">
      <c r="A631" s="163"/>
      <c r="B631" s="163"/>
      <c r="C631" s="164"/>
      <c r="D631" s="164"/>
      <c r="E631" s="165"/>
      <c r="F631" s="165"/>
      <c r="G631" s="166"/>
      <c r="H631" s="166"/>
      <c r="I631" s="166"/>
      <c r="J631" s="166"/>
      <c r="K631" s="166"/>
      <c r="L631" s="166"/>
      <c r="M631" s="167"/>
      <c r="N631" s="167"/>
    </row>
    <row r="632">
      <c r="A632" s="163"/>
      <c r="B632" s="163"/>
      <c r="C632" s="164"/>
      <c r="D632" s="164"/>
      <c r="E632" s="165"/>
      <c r="F632" s="165"/>
      <c r="G632" s="166"/>
      <c r="H632" s="166"/>
      <c r="I632" s="166"/>
      <c r="J632" s="166"/>
      <c r="K632" s="166"/>
      <c r="L632" s="166"/>
      <c r="M632" s="167"/>
      <c r="N632" s="167"/>
    </row>
    <row r="633">
      <c r="A633" s="163"/>
      <c r="B633" s="163"/>
      <c r="C633" s="164"/>
      <c r="D633" s="164"/>
      <c r="E633" s="165"/>
      <c r="F633" s="165"/>
      <c r="G633" s="166"/>
      <c r="H633" s="166"/>
      <c r="I633" s="166"/>
      <c r="J633" s="166"/>
      <c r="K633" s="166"/>
      <c r="L633" s="166"/>
      <c r="M633" s="167"/>
      <c r="N633" s="167"/>
    </row>
    <row r="634">
      <c r="A634" s="163"/>
      <c r="B634" s="163"/>
      <c r="C634" s="164"/>
      <c r="D634" s="164"/>
      <c r="E634" s="165"/>
      <c r="F634" s="165"/>
      <c r="G634" s="166"/>
      <c r="H634" s="166"/>
      <c r="I634" s="166"/>
      <c r="J634" s="166"/>
      <c r="K634" s="166"/>
      <c r="L634" s="166"/>
      <c r="M634" s="167"/>
      <c r="N634" s="167"/>
    </row>
    <row r="635">
      <c r="A635" s="163"/>
      <c r="B635" s="163"/>
      <c r="C635" s="164"/>
      <c r="D635" s="164"/>
      <c r="E635" s="165"/>
      <c r="F635" s="165"/>
      <c r="G635" s="166"/>
      <c r="H635" s="166"/>
      <c r="I635" s="166"/>
      <c r="J635" s="166"/>
      <c r="K635" s="166"/>
      <c r="L635" s="166"/>
      <c r="M635" s="167"/>
      <c r="N635" s="167"/>
    </row>
    <row r="636">
      <c r="A636" s="163"/>
      <c r="B636" s="163"/>
      <c r="C636" s="164"/>
      <c r="D636" s="164"/>
      <c r="E636" s="165"/>
      <c r="F636" s="165"/>
      <c r="G636" s="166"/>
      <c r="H636" s="166"/>
      <c r="I636" s="166"/>
      <c r="J636" s="166"/>
      <c r="K636" s="166"/>
      <c r="L636" s="166"/>
      <c r="M636" s="167"/>
      <c r="N636" s="167"/>
    </row>
    <row r="637">
      <c r="A637" s="163"/>
      <c r="B637" s="163"/>
      <c r="C637" s="164"/>
      <c r="D637" s="164"/>
      <c r="E637" s="165"/>
      <c r="F637" s="165"/>
      <c r="G637" s="166"/>
      <c r="H637" s="166"/>
      <c r="I637" s="166"/>
      <c r="J637" s="166"/>
      <c r="K637" s="166"/>
      <c r="L637" s="166"/>
      <c r="M637" s="167"/>
      <c r="N637" s="167"/>
    </row>
    <row r="638">
      <c r="A638" s="163"/>
      <c r="B638" s="163"/>
      <c r="C638" s="164"/>
      <c r="D638" s="164"/>
      <c r="E638" s="165"/>
      <c r="F638" s="165"/>
      <c r="G638" s="166"/>
      <c r="H638" s="166"/>
      <c r="I638" s="166"/>
      <c r="J638" s="166"/>
      <c r="K638" s="166"/>
      <c r="L638" s="166"/>
      <c r="M638" s="167"/>
      <c r="N638" s="167"/>
    </row>
    <row r="639">
      <c r="A639" s="163"/>
      <c r="B639" s="163"/>
      <c r="C639" s="164"/>
      <c r="D639" s="164"/>
      <c r="E639" s="165"/>
      <c r="F639" s="165"/>
      <c r="G639" s="166"/>
      <c r="H639" s="166"/>
      <c r="I639" s="166"/>
      <c r="J639" s="166"/>
      <c r="K639" s="166"/>
      <c r="L639" s="166"/>
      <c r="M639" s="167"/>
      <c r="N639" s="167"/>
    </row>
    <row r="640">
      <c r="A640" s="163"/>
      <c r="B640" s="163"/>
      <c r="C640" s="164"/>
      <c r="D640" s="164"/>
      <c r="E640" s="165"/>
      <c r="F640" s="165"/>
      <c r="G640" s="166"/>
      <c r="H640" s="166"/>
      <c r="I640" s="166"/>
      <c r="J640" s="166"/>
      <c r="K640" s="166"/>
      <c r="L640" s="166"/>
      <c r="M640" s="167"/>
      <c r="N640" s="167"/>
    </row>
    <row r="641">
      <c r="A641" s="163"/>
      <c r="B641" s="163"/>
      <c r="C641" s="164"/>
      <c r="D641" s="164"/>
      <c r="E641" s="165"/>
      <c r="F641" s="165"/>
      <c r="G641" s="166"/>
      <c r="H641" s="166"/>
      <c r="I641" s="166"/>
      <c r="J641" s="166"/>
      <c r="K641" s="166"/>
      <c r="L641" s="166"/>
      <c r="M641" s="167"/>
      <c r="N641" s="167"/>
    </row>
    <row r="642">
      <c r="A642" s="163"/>
      <c r="B642" s="163"/>
      <c r="C642" s="164"/>
      <c r="D642" s="164"/>
      <c r="E642" s="165"/>
      <c r="F642" s="165"/>
      <c r="G642" s="166"/>
      <c r="H642" s="166"/>
      <c r="I642" s="166"/>
      <c r="J642" s="166"/>
      <c r="K642" s="166"/>
      <c r="L642" s="166"/>
      <c r="M642" s="167"/>
      <c r="N642" s="167"/>
    </row>
    <row r="643">
      <c r="A643" s="163"/>
      <c r="B643" s="163"/>
      <c r="C643" s="164"/>
      <c r="D643" s="164"/>
      <c r="E643" s="165"/>
      <c r="F643" s="165"/>
      <c r="G643" s="166"/>
      <c r="H643" s="166"/>
      <c r="I643" s="166"/>
      <c r="J643" s="166"/>
      <c r="K643" s="166"/>
      <c r="L643" s="166"/>
      <c r="M643" s="167"/>
      <c r="N643" s="167"/>
    </row>
    <row r="644">
      <c r="A644" s="163"/>
      <c r="B644" s="163"/>
      <c r="C644" s="164"/>
      <c r="D644" s="164"/>
      <c r="E644" s="165"/>
      <c r="F644" s="165"/>
      <c r="G644" s="166"/>
      <c r="H644" s="166"/>
      <c r="I644" s="166"/>
      <c r="J644" s="166"/>
      <c r="K644" s="166"/>
      <c r="L644" s="166"/>
      <c r="M644" s="167"/>
      <c r="N644" s="167"/>
    </row>
    <row r="645">
      <c r="A645" s="163"/>
      <c r="B645" s="163"/>
      <c r="C645" s="164"/>
      <c r="D645" s="164"/>
      <c r="E645" s="165"/>
      <c r="F645" s="165"/>
      <c r="G645" s="166"/>
      <c r="H645" s="166"/>
      <c r="I645" s="166"/>
      <c r="J645" s="166"/>
      <c r="K645" s="166"/>
      <c r="L645" s="166"/>
      <c r="M645" s="167"/>
      <c r="N645" s="167"/>
    </row>
    <row r="646">
      <c r="A646" s="163"/>
      <c r="B646" s="163"/>
      <c r="C646" s="164"/>
      <c r="D646" s="164"/>
      <c r="E646" s="165"/>
      <c r="F646" s="165"/>
      <c r="G646" s="166"/>
      <c r="H646" s="166"/>
      <c r="I646" s="166"/>
      <c r="J646" s="166"/>
      <c r="K646" s="166"/>
      <c r="L646" s="166"/>
      <c r="M646" s="167"/>
      <c r="N646" s="167"/>
    </row>
    <row r="647">
      <c r="A647" s="163"/>
      <c r="B647" s="163"/>
      <c r="C647" s="164"/>
      <c r="D647" s="164"/>
      <c r="E647" s="165"/>
      <c r="F647" s="165"/>
      <c r="G647" s="166"/>
      <c r="H647" s="166"/>
      <c r="I647" s="166"/>
      <c r="J647" s="166"/>
      <c r="K647" s="166"/>
      <c r="L647" s="166"/>
      <c r="M647" s="167"/>
      <c r="N647" s="167"/>
    </row>
    <row r="648">
      <c r="A648" s="163"/>
      <c r="B648" s="163"/>
      <c r="C648" s="164"/>
      <c r="D648" s="164"/>
      <c r="E648" s="165"/>
      <c r="F648" s="165"/>
      <c r="G648" s="166"/>
      <c r="H648" s="166"/>
      <c r="I648" s="166"/>
      <c r="J648" s="166"/>
      <c r="K648" s="166"/>
      <c r="L648" s="166"/>
      <c r="M648" s="167"/>
      <c r="N648" s="167"/>
    </row>
    <row r="649">
      <c r="A649" s="163"/>
      <c r="B649" s="163"/>
      <c r="C649" s="164"/>
      <c r="D649" s="164"/>
      <c r="E649" s="165"/>
      <c r="F649" s="165"/>
      <c r="G649" s="166"/>
      <c r="H649" s="166"/>
      <c r="I649" s="166"/>
      <c r="J649" s="166"/>
      <c r="K649" s="166"/>
      <c r="L649" s="166"/>
      <c r="M649" s="167"/>
      <c r="N649" s="167"/>
    </row>
    <row r="650">
      <c r="A650" s="163"/>
      <c r="B650" s="163"/>
      <c r="C650" s="164"/>
      <c r="D650" s="164"/>
      <c r="E650" s="165"/>
      <c r="F650" s="165"/>
      <c r="G650" s="166"/>
      <c r="H650" s="166"/>
      <c r="I650" s="166"/>
      <c r="J650" s="166"/>
      <c r="K650" s="166"/>
      <c r="L650" s="166"/>
      <c r="M650" s="167"/>
      <c r="N650" s="167"/>
    </row>
    <row r="651">
      <c r="A651" s="163"/>
      <c r="B651" s="163"/>
      <c r="C651" s="164"/>
      <c r="D651" s="164"/>
      <c r="E651" s="165"/>
      <c r="F651" s="165"/>
      <c r="G651" s="166"/>
      <c r="H651" s="166"/>
      <c r="I651" s="166"/>
      <c r="J651" s="166"/>
      <c r="K651" s="166"/>
      <c r="L651" s="166"/>
      <c r="M651" s="167"/>
      <c r="N651" s="167"/>
    </row>
    <row r="652">
      <c r="A652" s="163"/>
      <c r="B652" s="163"/>
      <c r="C652" s="164"/>
      <c r="D652" s="164"/>
      <c r="E652" s="165"/>
      <c r="F652" s="165"/>
      <c r="G652" s="166"/>
      <c r="H652" s="166"/>
      <c r="I652" s="166"/>
      <c r="J652" s="166"/>
      <c r="K652" s="166"/>
      <c r="L652" s="166"/>
      <c r="M652" s="167"/>
      <c r="N652" s="167"/>
    </row>
    <row r="653">
      <c r="A653" s="163"/>
      <c r="B653" s="163"/>
      <c r="C653" s="164"/>
      <c r="D653" s="164"/>
      <c r="E653" s="165"/>
      <c r="F653" s="165"/>
      <c r="G653" s="166"/>
      <c r="H653" s="166"/>
      <c r="I653" s="166"/>
      <c r="J653" s="166"/>
      <c r="K653" s="166"/>
      <c r="L653" s="166"/>
      <c r="M653" s="167"/>
      <c r="N653" s="167"/>
    </row>
    <row r="654">
      <c r="A654" s="163"/>
      <c r="B654" s="163"/>
      <c r="C654" s="164"/>
      <c r="D654" s="164"/>
      <c r="E654" s="165"/>
      <c r="F654" s="165"/>
      <c r="G654" s="166"/>
      <c r="H654" s="166"/>
      <c r="I654" s="166"/>
      <c r="J654" s="166"/>
      <c r="K654" s="166"/>
      <c r="L654" s="166"/>
      <c r="M654" s="167"/>
      <c r="N654" s="167"/>
    </row>
    <row r="655">
      <c r="A655" s="163"/>
      <c r="B655" s="163"/>
      <c r="C655" s="164"/>
      <c r="D655" s="164"/>
      <c r="E655" s="165"/>
      <c r="F655" s="165"/>
      <c r="G655" s="166"/>
      <c r="H655" s="166"/>
      <c r="I655" s="166"/>
      <c r="J655" s="166"/>
      <c r="K655" s="166"/>
      <c r="L655" s="166"/>
      <c r="M655" s="167"/>
      <c r="N655" s="167"/>
    </row>
    <row r="656">
      <c r="A656" s="163"/>
      <c r="B656" s="163"/>
      <c r="C656" s="164"/>
      <c r="D656" s="164"/>
      <c r="E656" s="165"/>
      <c r="F656" s="165"/>
      <c r="G656" s="166"/>
      <c r="H656" s="166"/>
      <c r="I656" s="166"/>
      <c r="J656" s="166"/>
      <c r="K656" s="166"/>
      <c r="L656" s="166"/>
      <c r="M656" s="167"/>
      <c r="N656" s="167"/>
    </row>
    <row r="657">
      <c r="A657" s="163"/>
      <c r="B657" s="163"/>
      <c r="C657" s="164"/>
      <c r="D657" s="164"/>
      <c r="E657" s="165"/>
      <c r="F657" s="165"/>
      <c r="G657" s="166"/>
      <c r="H657" s="166"/>
      <c r="I657" s="166"/>
      <c r="J657" s="166"/>
      <c r="K657" s="166"/>
      <c r="L657" s="166"/>
      <c r="M657" s="167"/>
      <c r="N657" s="167"/>
    </row>
    <row r="658">
      <c r="A658" s="163"/>
      <c r="B658" s="163"/>
      <c r="C658" s="164"/>
      <c r="D658" s="164"/>
      <c r="E658" s="165"/>
      <c r="F658" s="165"/>
      <c r="G658" s="166"/>
      <c r="H658" s="166"/>
      <c r="I658" s="166"/>
      <c r="J658" s="166"/>
      <c r="K658" s="166"/>
      <c r="L658" s="166"/>
      <c r="M658" s="167"/>
      <c r="N658" s="167"/>
    </row>
    <row r="659">
      <c r="A659" s="163"/>
      <c r="B659" s="163"/>
      <c r="C659" s="164"/>
      <c r="D659" s="164"/>
      <c r="E659" s="165"/>
      <c r="F659" s="165"/>
      <c r="G659" s="166"/>
      <c r="H659" s="166"/>
      <c r="I659" s="166"/>
      <c r="J659" s="166"/>
      <c r="K659" s="166"/>
      <c r="L659" s="166"/>
      <c r="M659" s="167"/>
      <c r="N659" s="167"/>
    </row>
    <row r="660">
      <c r="A660" s="163"/>
      <c r="B660" s="163"/>
      <c r="C660" s="164"/>
      <c r="D660" s="164"/>
      <c r="E660" s="165"/>
      <c r="F660" s="165"/>
      <c r="G660" s="166"/>
      <c r="H660" s="166"/>
      <c r="I660" s="166"/>
      <c r="J660" s="166"/>
      <c r="K660" s="166"/>
      <c r="L660" s="166"/>
      <c r="M660" s="167"/>
      <c r="N660" s="167"/>
    </row>
    <row r="661">
      <c r="A661" s="163"/>
      <c r="B661" s="163"/>
      <c r="C661" s="164"/>
      <c r="D661" s="164"/>
      <c r="E661" s="165"/>
      <c r="F661" s="165"/>
      <c r="G661" s="166"/>
      <c r="H661" s="166"/>
      <c r="I661" s="166"/>
      <c r="J661" s="166"/>
      <c r="K661" s="166"/>
      <c r="L661" s="166"/>
      <c r="M661" s="167"/>
      <c r="N661" s="167"/>
    </row>
    <row r="662">
      <c r="A662" s="163"/>
      <c r="B662" s="163"/>
      <c r="C662" s="164"/>
      <c r="D662" s="164"/>
      <c r="E662" s="165"/>
      <c r="F662" s="165"/>
      <c r="G662" s="166"/>
      <c r="H662" s="166"/>
      <c r="I662" s="166"/>
      <c r="J662" s="166"/>
      <c r="K662" s="166"/>
      <c r="L662" s="166"/>
      <c r="M662" s="167"/>
      <c r="N662" s="167"/>
    </row>
    <row r="663">
      <c r="A663" s="163"/>
      <c r="B663" s="163"/>
      <c r="C663" s="164"/>
      <c r="D663" s="164"/>
      <c r="E663" s="165"/>
      <c r="F663" s="165"/>
      <c r="G663" s="166"/>
      <c r="H663" s="166"/>
      <c r="I663" s="166"/>
      <c r="J663" s="166"/>
      <c r="K663" s="166"/>
      <c r="L663" s="166"/>
      <c r="M663" s="167"/>
      <c r="N663" s="167"/>
    </row>
    <row r="664">
      <c r="A664" s="163"/>
      <c r="B664" s="163"/>
      <c r="C664" s="164"/>
      <c r="D664" s="164"/>
      <c r="E664" s="165"/>
      <c r="F664" s="165"/>
      <c r="G664" s="166"/>
      <c r="H664" s="166"/>
      <c r="I664" s="166"/>
      <c r="J664" s="166"/>
      <c r="K664" s="166"/>
      <c r="L664" s="166"/>
      <c r="M664" s="167"/>
      <c r="N664" s="167"/>
    </row>
    <row r="665">
      <c r="A665" s="163"/>
      <c r="B665" s="163"/>
      <c r="C665" s="164"/>
      <c r="D665" s="164"/>
      <c r="E665" s="165"/>
      <c r="F665" s="165"/>
      <c r="G665" s="166"/>
      <c r="H665" s="166"/>
      <c r="I665" s="166"/>
      <c r="J665" s="166"/>
      <c r="K665" s="166"/>
      <c r="L665" s="166"/>
      <c r="M665" s="167"/>
      <c r="N665" s="167"/>
    </row>
    <row r="666">
      <c r="A666" s="163"/>
      <c r="B666" s="163"/>
      <c r="C666" s="164"/>
      <c r="D666" s="164"/>
      <c r="E666" s="165"/>
      <c r="F666" s="165"/>
      <c r="G666" s="166"/>
      <c r="H666" s="166"/>
      <c r="I666" s="166"/>
      <c r="J666" s="166"/>
      <c r="K666" s="166"/>
      <c r="L666" s="166"/>
      <c r="M666" s="167"/>
      <c r="N666" s="167"/>
    </row>
    <row r="667">
      <c r="A667" s="163"/>
      <c r="B667" s="163"/>
      <c r="C667" s="164"/>
      <c r="D667" s="164"/>
      <c r="E667" s="165"/>
      <c r="F667" s="165"/>
      <c r="G667" s="166"/>
      <c r="H667" s="166"/>
      <c r="I667" s="166"/>
      <c r="J667" s="166"/>
      <c r="K667" s="166"/>
      <c r="L667" s="166"/>
      <c r="M667" s="167"/>
      <c r="N667" s="167"/>
    </row>
    <row r="668">
      <c r="A668" s="163"/>
      <c r="B668" s="163"/>
      <c r="C668" s="164"/>
      <c r="D668" s="164"/>
      <c r="E668" s="165"/>
      <c r="F668" s="165"/>
      <c r="G668" s="166"/>
      <c r="H668" s="166"/>
      <c r="I668" s="166"/>
      <c r="J668" s="166"/>
      <c r="K668" s="166"/>
      <c r="L668" s="166"/>
      <c r="M668" s="167"/>
      <c r="N668" s="167"/>
    </row>
    <row r="669">
      <c r="A669" s="163"/>
      <c r="B669" s="163"/>
      <c r="C669" s="164"/>
      <c r="D669" s="164"/>
      <c r="E669" s="165"/>
      <c r="F669" s="165"/>
      <c r="G669" s="166"/>
      <c r="H669" s="166"/>
      <c r="I669" s="166"/>
      <c r="J669" s="166"/>
      <c r="K669" s="166"/>
      <c r="L669" s="166"/>
      <c r="M669" s="167"/>
      <c r="N669" s="167"/>
    </row>
    <row r="670">
      <c r="A670" s="163"/>
      <c r="B670" s="163"/>
      <c r="C670" s="164"/>
      <c r="D670" s="164"/>
      <c r="E670" s="165"/>
      <c r="F670" s="165"/>
      <c r="G670" s="166"/>
      <c r="H670" s="166"/>
      <c r="I670" s="166"/>
      <c r="J670" s="166"/>
      <c r="K670" s="166"/>
      <c r="L670" s="166"/>
      <c r="M670" s="167"/>
      <c r="N670" s="167"/>
    </row>
    <row r="671">
      <c r="A671" s="163"/>
      <c r="B671" s="163"/>
      <c r="C671" s="164"/>
      <c r="D671" s="164"/>
      <c r="E671" s="165"/>
      <c r="F671" s="165"/>
      <c r="G671" s="166"/>
      <c r="H671" s="166"/>
      <c r="I671" s="166"/>
      <c r="J671" s="166"/>
      <c r="K671" s="166"/>
      <c r="L671" s="166"/>
      <c r="M671" s="167"/>
      <c r="N671" s="167"/>
    </row>
    <row r="672">
      <c r="A672" s="163"/>
      <c r="B672" s="163"/>
      <c r="C672" s="164"/>
      <c r="D672" s="164"/>
      <c r="E672" s="165"/>
      <c r="F672" s="165"/>
      <c r="G672" s="166"/>
      <c r="H672" s="166"/>
      <c r="I672" s="166"/>
      <c r="J672" s="166"/>
      <c r="K672" s="166"/>
      <c r="L672" s="166"/>
      <c r="M672" s="167"/>
      <c r="N672" s="167"/>
    </row>
    <row r="673">
      <c r="A673" s="163"/>
      <c r="B673" s="163"/>
      <c r="C673" s="164"/>
      <c r="D673" s="164"/>
      <c r="E673" s="165"/>
      <c r="F673" s="165"/>
      <c r="G673" s="166"/>
      <c r="H673" s="166"/>
      <c r="I673" s="166"/>
      <c r="J673" s="166"/>
      <c r="K673" s="166"/>
      <c r="L673" s="166"/>
      <c r="M673" s="167"/>
      <c r="N673" s="167"/>
    </row>
    <row r="674">
      <c r="A674" s="163"/>
      <c r="B674" s="163"/>
      <c r="C674" s="164"/>
      <c r="D674" s="164"/>
      <c r="E674" s="165"/>
      <c r="F674" s="165"/>
      <c r="G674" s="166"/>
      <c r="H674" s="166"/>
      <c r="I674" s="166"/>
      <c r="J674" s="166"/>
      <c r="K674" s="166"/>
      <c r="L674" s="166"/>
      <c r="M674" s="167"/>
      <c r="N674" s="167"/>
    </row>
    <row r="675">
      <c r="A675" s="163"/>
      <c r="B675" s="163"/>
      <c r="C675" s="164"/>
      <c r="D675" s="164"/>
      <c r="E675" s="165"/>
      <c r="F675" s="165"/>
      <c r="G675" s="166"/>
      <c r="H675" s="166"/>
      <c r="I675" s="166"/>
      <c r="J675" s="166"/>
      <c r="K675" s="166"/>
      <c r="L675" s="166"/>
      <c r="M675" s="167"/>
      <c r="N675" s="167"/>
    </row>
    <row r="676">
      <c r="A676" s="163"/>
      <c r="B676" s="163"/>
      <c r="C676" s="164"/>
      <c r="D676" s="164"/>
      <c r="E676" s="165"/>
      <c r="F676" s="165"/>
      <c r="G676" s="166"/>
      <c r="H676" s="166"/>
      <c r="I676" s="166"/>
      <c r="J676" s="166"/>
      <c r="K676" s="166"/>
      <c r="L676" s="166"/>
      <c r="M676" s="167"/>
      <c r="N676" s="167"/>
    </row>
    <row r="677">
      <c r="A677" s="163"/>
      <c r="B677" s="163"/>
      <c r="C677" s="164"/>
      <c r="D677" s="164"/>
      <c r="E677" s="165"/>
      <c r="F677" s="165"/>
      <c r="G677" s="166"/>
      <c r="H677" s="166"/>
      <c r="I677" s="166"/>
      <c r="J677" s="166"/>
      <c r="K677" s="166"/>
      <c r="L677" s="166"/>
      <c r="M677" s="167"/>
      <c r="N677" s="167"/>
    </row>
    <row r="678">
      <c r="A678" s="163"/>
      <c r="B678" s="163"/>
      <c r="C678" s="164"/>
      <c r="D678" s="164"/>
      <c r="E678" s="165"/>
      <c r="F678" s="165"/>
      <c r="G678" s="166"/>
      <c r="H678" s="166"/>
      <c r="I678" s="166"/>
      <c r="J678" s="166"/>
      <c r="K678" s="166"/>
      <c r="L678" s="166"/>
      <c r="M678" s="167"/>
      <c r="N678" s="167"/>
    </row>
    <row r="679">
      <c r="A679" s="163"/>
      <c r="B679" s="163"/>
      <c r="C679" s="164"/>
      <c r="D679" s="164"/>
      <c r="E679" s="165"/>
      <c r="F679" s="165"/>
      <c r="G679" s="166"/>
      <c r="H679" s="166"/>
      <c r="I679" s="166"/>
      <c r="J679" s="166"/>
      <c r="K679" s="166"/>
      <c r="L679" s="166"/>
      <c r="M679" s="167"/>
      <c r="N679" s="167"/>
    </row>
    <row r="680">
      <c r="A680" s="163"/>
      <c r="B680" s="163"/>
      <c r="C680" s="164"/>
      <c r="D680" s="164"/>
      <c r="E680" s="165"/>
      <c r="F680" s="165"/>
      <c r="G680" s="166"/>
      <c r="H680" s="166"/>
      <c r="I680" s="166"/>
      <c r="J680" s="166"/>
      <c r="K680" s="166"/>
      <c r="L680" s="166"/>
      <c r="M680" s="167"/>
      <c r="N680" s="167"/>
    </row>
    <row r="681">
      <c r="A681" s="163"/>
      <c r="B681" s="163"/>
      <c r="C681" s="164"/>
      <c r="D681" s="164"/>
      <c r="E681" s="165"/>
      <c r="F681" s="165"/>
      <c r="G681" s="166"/>
      <c r="H681" s="166"/>
      <c r="I681" s="166"/>
      <c r="J681" s="166"/>
      <c r="K681" s="166"/>
      <c r="L681" s="166"/>
      <c r="M681" s="167"/>
      <c r="N681" s="167"/>
    </row>
    <row r="682">
      <c r="A682" s="163"/>
      <c r="B682" s="163"/>
      <c r="C682" s="164"/>
      <c r="D682" s="164"/>
      <c r="E682" s="165"/>
      <c r="F682" s="165"/>
      <c r="G682" s="166"/>
      <c r="H682" s="166"/>
      <c r="I682" s="166"/>
      <c r="J682" s="166"/>
      <c r="K682" s="166"/>
      <c r="L682" s="166"/>
      <c r="M682" s="167"/>
      <c r="N682" s="167"/>
    </row>
    <row r="683">
      <c r="A683" s="163"/>
      <c r="B683" s="163"/>
      <c r="C683" s="164"/>
      <c r="D683" s="164"/>
      <c r="E683" s="165"/>
      <c r="F683" s="165"/>
      <c r="G683" s="166"/>
      <c r="H683" s="166"/>
      <c r="I683" s="166"/>
      <c r="J683" s="166"/>
      <c r="K683" s="166"/>
      <c r="L683" s="166"/>
      <c r="M683" s="167"/>
      <c r="N683" s="167"/>
    </row>
    <row r="684">
      <c r="A684" s="163"/>
      <c r="B684" s="163"/>
      <c r="C684" s="164"/>
      <c r="D684" s="164"/>
      <c r="E684" s="165"/>
      <c r="F684" s="165"/>
      <c r="G684" s="166"/>
      <c r="H684" s="166"/>
      <c r="I684" s="166"/>
      <c r="J684" s="166"/>
      <c r="K684" s="166"/>
      <c r="L684" s="166"/>
      <c r="M684" s="167"/>
      <c r="N684" s="167"/>
    </row>
    <row r="685">
      <c r="A685" s="163"/>
      <c r="B685" s="163"/>
      <c r="C685" s="164"/>
      <c r="D685" s="164"/>
      <c r="E685" s="165"/>
      <c r="F685" s="165"/>
      <c r="G685" s="166"/>
      <c r="H685" s="166"/>
      <c r="I685" s="166"/>
      <c r="J685" s="166"/>
      <c r="K685" s="166"/>
      <c r="L685" s="166"/>
      <c r="M685" s="167"/>
      <c r="N685" s="167"/>
    </row>
    <row r="686">
      <c r="A686" s="163"/>
      <c r="B686" s="163"/>
      <c r="C686" s="164"/>
      <c r="D686" s="164"/>
      <c r="E686" s="165"/>
      <c r="F686" s="165"/>
      <c r="G686" s="166"/>
      <c r="H686" s="166"/>
      <c r="I686" s="166"/>
      <c r="J686" s="166"/>
      <c r="K686" s="166"/>
      <c r="L686" s="166"/>
      <c r="M686" s="167"/>
      <c r="N686" s="167"/>
    </row>
    <row r="687">
      <c r="A687" s="163"/>
      <c r="B687" s="163"/>
      <c r="C687" s="164"/>
      <c r="D687" s="164"/>
      <c r="E687" s="165"/>
      <c r="F687" s="165"/>
      <c r="G687" s="166"/>
      <c r="H687" s="166"/>
      <c r="I687" s="166"/>
      <c r="J687" s="166"/>
      <c r="K687" s="166"/>
      <c r="L687" s="166"/>
      <c r="M687" s="167"/>
      <c r="N687" s="167"/>
    </row>
    <row r="688">
      <c r="A688" s="163"/>
      <c r="B688" s="163"/>
      <c r="C688" s="164"/>
      <c r="D688" s="164"/>
      <c r="E688" s="165"/>
      <c r="F688" s="165"/>
      <c r="G688" s="166"/>
      <c r="H688" s="166"/>
      <c r="I688" s="166"/>
      <c r="J688" s="166"/>
      <c r="K688" s="166"/>
      <c r="L688" s="166"/>
      <c r="M688" s="167"/>
      <c r="N688" s="167"/>
    </row>
    <row r="689">
      <c r="A689" s="163"/>
      <c r="B689" s="163"/>
      <c r="C689" s="164"/>
      <c r="D689" s="164"/>
      <c r="E689" s="165"/>
      <c r="F689" s="165"/>
      <c r="G689" s="166"/>
      <c r="H689" s="166"/>
      <c r="I689" s="166"/>
      <c r="J689" s="166"/>
      <c r="K689" s="166"/>
      <c r="L689" s="166"/>
      <c r="M689" s="167"/>
      <c r="N689" s="167"/>
    </row>
    <row r="690">
      <c r="A690" s="163"/>
      <c r="B690" s="163"/>
      <c r="C690" s="164"/>
      <c r="D690" s="164"/>
      <c r="E690" s="165"/>
      <c r="F690" s="165"/>
      <c r="G690" s="166"/>
      <c r="H690" s="166"/>
      <c r="I690" s="166"/>
      <c r="J690" s="166"/>
      <c r="K690" s="166"/>
      <c r="L690" s="166"/>
      <c r="M690" s="167"/>
      <c r="N690" s="167"/>
    </row>
    <row r="691">
      <c r="A691" s="163"/>
      <c r="B691" s="163"/>
      <c r="C691" s="164"/>
      <c r="D691" s="164"/>
      <c r="E691" s="165"/>
      <c r="F691" s="165"/>
      <c r="G691" s="166"/>
      <c r="H691" s="166"/>
      <c r="I691" s="166"/>
      <c r="J691" s="166"/>
      <c r="K691" s="166"/>
      <c r="L691" s="166"/>
      <c r="M691" s="167"/>
      <c r="N691" s="167"/>
    </row>
    <row r="692">
      <c r="A692" s="163"/>
      <c r="B692" s="163"/>
      <c r="C692" s="164"/>
      <c r="D692" s="164"/>
      <c r="E692" s="165"/>
      <c r="F692" s="165"/>
      <c r="G692" s="166"/>
      <c r="H692" s="166"/>
      <c r="I692" s="166"/>
      <c r="J692" s="166"/>
      <c r="K692" s="166"/>
      <c r="L692" s="166"/>
      <c r="M692" s="167"/>
      <c r="N692" s="167"/>
    </row>
    <row r="693">
      <c r="A693" s="163"/>
      <c r="B693" s="163"/>
      <c r="C693" s="164"/>
      <c r="D693" s="164"/>
      <c r="E693" s="165"/>
      <c r="F693" s="165"/>
      <c r="G693" s="166"/>
      <c r="H693" s="166"/>
      <c r="I693" s="166"/>
      <c r="J693" s="166"/>
      <c r="K693" s="166"/>
      <c r="L693" s="166"/>
      <c r="M693" s="167"/>
      <c r="N693" s="167"/>
    </row>
    <row r="694">
      <c r="A694" s="163"/>
      <c r="B694" s="163"/>
      <c r="C694" s="164"/>
      <c r="D694" s="164"/>
      <c r="E694" s="165"/>
      <c r="F694" s="165"/>
      <c r="G694" s="166"/>
      <c r="H694" s="166"/>
      <c r="I694" s="166"/>
      <c r="J694" s="166"/>
      <c r="K694" s="166"/>
      <c r="L694" s="166"/>
      <c r="M694" s="167"/>
      <c r="N694" s="167"/>
    </row>
    <row r="695">
      <c r="A695" s="163"/>
      <c r="B695" s="163"/>
      <c r="C695" s="164"/>
      <c r="D695" s="164"/>
      <c r="E695" s="165"/>
      <c r="F695" s="165"/>
      <c r="G695" s="166"/>
      <c r="H695" s="166"/>
      <c r="I695" s="166"/>
      <c r="J695" s="166"/>
      <c r="K695" s="166"/>
      <c r="L695" s="166"/>
      <c r="M695" s="167"/>
      <c r="N695" s="167"/>
    </row>
    <row r="696">
      <c r="A696" s="163"/>
      <c r="B696" s="163"/>
      <c r="C696" s="164"/>
      <c r="D696" s="164"/>
      <c r="E696" s="165"/>
      <c r="F696" s="165"/>
      <c r="G696" s="166"/>
      <c r="H696" s="166"/>
      <c r="I696" s="166"/>
      <c r="J696" s="166"/>
      <c r="K696" s="166"/>
      <c r="L696" s="166"/>
      <c r="M696" s="167"/>
      <c r="N696" s="167"/>
    </row>
    <row r="697">
      <c r="A697" s="163"/>
      <c r="B697" s="163"/>
      <c r="C697" s="164"/>
      <c r="D697" s="164"/>
      <c r="E697" s="165"/>
      <c r="F697" s="165"/>
      <c r="G697" s="166"/>
      <c r="H697" s="166"/>
      <c r="I697" s="166"/>
      <c r="J697" s="166"/>
      <c r="K697" s="166"/>
      <c r="L697" s="166"/>
      <c r="M697" s="167"/>
      <c r="N697" s="167"/>
    </row>
    <row r="698">
      <c r="A698" s="163"/>
      <c r="B698" s="163"/>
      <c r="C698" s="164"/>
      <c r="D698" s="164"/>
      <c r="E698" s="165"/>
      <c r="F698" s="165"/>
      <c r="G698" s="166"/>
      <c r="H698" s="166"/>
      <c r="I698" s="166"/>
      <c r="J698" s="166"/>
      <c r="K698" s="166"/>
      <c r="L698" s="166"/>
      <c r="M698" s="167"/>
      <c r="N698" s="167"/>
    </row>
    <row r="699">
      <c r="A699" s="163"/>
      <c r="B699" s="163"/>
      <c r="C699" s="164"/>
      <c r="D699" s="164"/>
      <c r="E699" s="165"/>
      <c r="F699" s="165"/>
      <c r="G699" s="166"/>
      <c r="H699" s="166"/>
      <c r="I699" s="166"/>
      <c r="J699" s="166"/>
      <c r="K699" s="166"/>
      <c r="L699" s="166"/>
      <c r="M699" s="167"/>
      <c r="N699" s="167"/>
    </row>
    <row r="700">
      <c r="A700" s="163"/>
      <c r="B700" s="163"/>
      <c r="C700" s="164"/>
      <c r="D700" s="164"/>
      <c r="E700" s="165"/>
      <c r="F700" s="165"/>
      <c r="G700" s="166"/>
      <c r="H700" s="166"/>
      <c r="I700" s="166"/>
      <c r="J700" s="166"/>
      <c r="K700" s="166"/>
      <c r="L700" s="166"/>
      <c r="M700" s="167"/>
      <c r="N700" s="167"/>
    </row>
    <row r="701">
      <c r="A701" s="163"/>
      <c r="B701" s="163"/>
      <c r="C701" s="164"/>
      <c r="D701" s="164"/>
      <c r="E701" s="165"/>
      <c r="F701" s="165"/>
      <c r="G701" s="166"/>
      <c r="H701" s="166"/>
      <c r="I701" s="166"/>
      <c r="J701" s="166"/>
      <c r="K701" s="166"/>
      <c r="L701" s="166"/>
      <c r="M701" s="167"/>
      <c r="N701" s="167"/>
    </row>
    <row r="702">
      <c r="A702" s="163"/>
      <c r="B702" s="163"/>
      <c r="C702" s="164"/>
      <c r="D702" s="164"/>
      <c r="E702" s="165"/>
      <c r="F702" s="165"/>
      <c r="G702" s="166"/>
      <c r="H702" s="166"/>
      <c r="I702" s="166"/>
      <c r="J702" s="166"/>
      <c r="K702" s="166"/>
      <c r="L702" s="166"/>
      <c r="M702" s="167"/>
      <c r="N702" s="167"/>
    </row>
    <row r="703">
      <c r="A703" s="163"/>
      <c r="B703" s="163"/>
      <c r="C703" s="164"/>
      <c r="D703" s="164"/>
      <c r="E703" s="165"/>
      <c r="F703" s="165"/>
      <c r="G703" s="166"/>
      <c r="H703" s="166"/>
      <c r="I703" s="166"/>
      <c r="J703" s="166"/>
      <c r="K703" s="166"/>
      <c r="L703" s="166"/>
      <c r="M703" s="167"/>
      <c r="N703" s="167"/>
    </row>
    <row r="704">
      <c r="A704" s="163"/>
      <c r="B704" s="163"/>
      <c r="C704" s="164"/>
      <c r="D704" s="164"/>
      <c r="E704" s="165"/>
      <c r="F704" s="165"/>
      <c r="G704" s="166"/>
      <c r="H704" s="166"/>
      <c r="I704" s="166"/>
      <c r="J704" s="166"/>
      <c r="K704" s="166"/>
      <c r="L704" s="166"/>
      <c r="M704" s="167"/>
      <c r="N704" s="167"/>
    </row>
    <row r="705">
      <c r="A705" s="163"/>
      <c r="B705" s="163"/>
      <c r="C705" s="164"/>
      <c r="D705" s="164"/>
      <c r="E705" s="165"/>
      <c r="F705" s="165"/>
      <c r="G705" s="166"/>
      <c r="H705" s="166"/>
      <c r="I705" s="166"/>
      <c r="J705" s="166"/>
      <c r="K705" s="166"/>
      <c r="L705" s="166"/>
      <c r="M705" s="167"/>
      <c r="N705" s="167"/>
    </row>
    <row r="706">
      <c r="A706" s="163"/>
      <c r="B706" s="163"/>
      <c r="C706" s="164"/>
      <c r="D706" s="164"/>
      <c r="E706" s="165"/>
      <c r="F706" s="165"/>
      <c r="G706" s="166"/>
      <c r="H706" s="166"/>
      <c r="I706" s="166"/>
      <c r="J706" s="166"/>
      <c r="K706" s="166"/>
      <c r="L706" s="166"/>
      <c r="M706" s="167"/>
      <c r="N706" s="167"/>
    </row>
    <row r="707">
      <c r="A707" s="163"/>
      <c r="B707" s="163"/>
      <c r="C707" s="164"/>
      <c r="D707" s="164"/>
      <c r="E707" s="165"/>
      <c r="F707" s="165"/>
      <c r="G707" s="166"/>
      <c r="H707" s="166"/>
      <c r="I707" s="166"/>
      <c r="J707" s="166"/>
      <c r="K707" s="166"/>
      <c r="L707" s="166"/>
      <c r="M707" s="167"/>
      <c r="N707" s="167"/>
    </row>
    <row r="708">
      <c r="A708" s="163"/>
      <c r="B708" s="163"/>
      <c r="C708" s="164"/>
      <c r="D708" s="164"/>
      <c r="E708" s="165"/>
      <c r="F708" s="165"/>
      <c r="G708" s="166"/>
      <c r="H708" s="166"/>
      <c r="I708" s="166"/>
      <c r="J708" s="166"/>
      <c r="K708" s="166"/>
      <c r="L708" s="166"/>
      <c r="M708" s="167"/>
      <c r="N708" s="167"/>
    </row>
    <row r="709">
      <c r="A709" s="163"/>
      <c r="B709" s="163"/>
      <c r="C709" s="164"/>
      <c r="D709" s="164"/>
      <c r="E709" s="165"/>
      <c r="F709" s="165"/>
      <c r="G709" s="166"/>
      <c r="H709" s="166"/>
      <c r="I709" s="166"/>
      <c r="J709" s="166"/>
      <c r="K709" s="166"/>
      <c r="L709" s="166"/>
      <c r="M709" s="167"/>
      <c r="N709" s="167"/>
    </row>
    <row r="710">
      <c r="A710" s="163"/>
      <c r="B710" s="163"/>
      <c r="C710" s="164"/>
      <c r="D710" s="164"/>
      <c r="E710" s="165"/>
      <c r="F710" s="165"/>
      <c r="G710" s="166"/>
      <c r="H710" s="166"/>
      <c r="I710" s="166"/>
      <c r="J710" s="166"/>
      <c r="K710" s="166"/>
      <c r="L710" s="166"/>
      <c r="M710" s="167"/>
      <c r="N710" s="167"/>
    </row>
    <row r="711">
      <c r="A711" s="163"/>
      <c r="B711" s="163"/>
      <c r="C711" s="164"/>
      <c r="D711" s="164"/>
      <c r="E711" s="165"/>
      <c r="F711" s="165"/>
      <c r="G711" s="166"/>
      <c r="H711" s="166"/>
      <c r="I711" s="166"/>
      <c r="J711" s="166"/>
      <c r="K711" s="166"/>
      <c r="L711" s="166"/>
      <c r="M711" s="167"/>
      <c r="N711" s="167"/>
    </row>
    <row r="712">
      <c r="A712" s="163"/>
      <c r="B712" s="163"/>
      <c r="C712" s="164"/>
      <c r="D712" s="164"/>
      <c r="E712" s="165"/>
      <c r="F712" s="165"/>
      <c r="G712" s="166"/>
      <c r="H712" s="166"/>
      <c r="I712" s="166"/>
      <c r="J712" s="166"/>
      <c r="K712" s="166"/>
      <c r="L712" s="166"/>
      <c r="M712" s="167"/>
      <c r="N712" s="167"/>
    </row>
    <row r="713">
      <c r="A713" s="163"/>
      <c r="B713" s="163"/>
      <c r="C713" s="164"/>
      <c r="D713" s="164"/>
      <c r="E713" s="165"/>
      <c r="F713" s="165"/>
      <c r="G713" s="166"/>
      <c r="H713" s="166"/>
      <c r="I713" s="166"/>
      <c r="J713" s="166"/>
      <c r="K713" s="166"/>
      <c r="L713" s="166"/>
      <c r="M713" s="167"/>
      <c r="N713" s="167"/>
    </row>
    <row r="714">
      <c r="A714" s="163"/>
      <c r="B714" s="163"/>
      <c r="C714" s="164"/>
      <c r="D714" s="164"/>
      <c r="E714" s="165"/>
      <c r="F714" s="165"/>
      <c r="G714" s="166"/>
      <c r="H714" s="166"/>
      <c r="I714" s="166"/>
      <c r="J714" s="166"/>
      <c r="K714" s="166"/>
      <c r="L714" s="166"/>
      <c r="M714" s="167"/>
      <c r="N714" s="167"/>
    </row>
    <row r="715">
      <c r="A715" s="163"/>
      <c r="B715" s="163"/>
      <c r="C715" s="164"/>
      <c r="D715" s="164"/>
      <c r="E715" s="165"/>
      <c r="F715" s="165"/>
      <c r="G715" s="166"/>
      <c r="H715" s="166"/>
      <c r="I715" s="166"/>
      <c r="J715" s="166"/>
      <c r="K715" s="166"/>
      <c r="L715" s="166"/>
      <c r="M715" s="167"/>
      <c r="N715" s="167"/>
    </row>
    <row r="716">
      <c r="A716" s="163"/>
      <c r="B716" s="163"/>
      <c r="C716" s="164"/>
      <c r="D716" s="164"/>
      <c r="E716" s="165"/>
      <c r="F716" s="165"/>
      <c r="G716" s="166"/>
      <c r="H716" s="166"/>
      <c r="I716" s="166"/>
      <c r="J716" s="166"/>
      <c r="K716" s="166"/>
      <c r="L716" s="166"/>
      <c r="M716" s="167"/>
      <c r="N716" s="167"/>
    </row>
    <row r="717">
      <c r="A717" s="163"/>
      <c r="B717" s="163"/>
      <c r="C717" s="164"/>
      <c r="D717" s="164"/>
      <c r="E717" s="165"/>
      <c r="F717" s="165"/>
      <c r="G717" s="166"/>
      <c r="H717" s="166"/>
      <c r="I717" s="166"/>
      <c r="J717" s="166"/>
      <c r="K717" s="166"/>
      <c r="L717" s="166"/>
      <c r="M717" s="167"/>
      <c r="N717" s="167"/>
    </row>
    <row r="718">
      <c r="A718" s="163"/>
      <c r="B718" s="163"/>
      <c r="C718" s="164"/>
      <c r="D718" s="164"/>
      <c r="E718" s="165"/>
      <c r="F718" s="165"/>
      <c r="G718" s="166"/>
      <c r="H718" s="166"/>
      <c r="I718" s="166"/>
      <c r="J718" s="166"/>
      <c r="K718" s="166"/>
      <c r="L718" s="166"/>
      <c r="M718" s="167"/>
      <c r="N718" s="167"/>
    </row>
    <row r="719">
      <c r="A719" s="163"/>
      <c r="B719" s="163"/>
      <c r="C719" s="164"/>
      <c r="D719" s="164"/>
      <c r="E719" s="165"/>
      <c r="F719" s="165"/>
      <c r="G719" s="166"/>
      <c r="H719" s="166"/>
      <c r="I719" s="166"/>
      <c r="J719" s="166"/>
      <c r="K719" s="166"/>
      <c r="L719" s="166"/>
      <c r="M719" s="167"/>
      <c r="N719" s="167"/>
    </row>
    <row r="720">
      <c r="A720" s="163"/>
      <c r="B720" s="163"/>
      <c r="C720" s="164"/>
      <c r="D720" s="164"/>
      <c r="E720" s="165"/>
      <c r="F720" s="165"/>
      <c r="G720" s="166"/>
      <c r="H720" s="166"/>
      <c r="I720" s="166"/>
      <c r="J720" s="166"/>
      <c r="K720" s="166"/>
      <c r="L720" s="166"/>
      <c r="M720" s="167"/>
      <c r="N720" s="167"/>
    </row>
    <row r="721">
      <c r="A721" s="163"/>
      <c r="B721" s="163"/>
      <c r="C721" s="164"/>
      <c r="D721" s="164"/>
      <c r="E721" s="165"/>
      <c r="F721" s="165"/>
      <c r="G721" s="166"/>
      <c r="H721" s="166"/>
      <c r="I721" s="166"/>
      <c r="J721" s="166"/>
      <c r="K721" s="166"/>
      <c r="L721" s="166"/>
      <c r="M721" s="167"/>
      <c r="N721" s="167"/>
    </row>
    <row r="722">
      <c r="A722" s="163"/>
      <c r="B722" s="163"/>
      <c r="C722" s="164"/>
      <c r="D722" s="164"/>
      <c r="E722" s="165"/>
      <c r="F722" s="165"/>
      <c r="G722" s="166"/>
      <c r="H722" s="166"/>
      <c r="I722" s="166"/>
      <c r="J722" s="166"/>
      <c r="K722" s="166"/>
      <c r="L722" s="166"/>
      <c r="M722" s="167"/>
      <c r="N722" s="167"/>
    </row>
    <row r="723">
      <c r="A723" s="163"/>
      <c r="B723" s="163"/>
      <c r="C723" s="164"/>
      <c r="D723" s="164"/>
      <c r="E723" s="165"/>
      <c r="F723" s="165"/>
      <c r="G723" s="166"/>
      <c r="H723" s="166"/>
      <c r="I723" s="166"/>
      <c r="J723" s="166"/>
      <c r="K723" s="166"/>
      <c r="L723" s="166"/>
      <c r="M723" s="167"/>
      <c r="N723" s="167"/>
    </row>
    <row r="724">
      <c r="A724" s="163"/>
      <c r="B724" s="163"/>
      <c r="C724" s="164"/>
      <c r="D724" s="164"/>
      <c r="E724" s="165"/>
      <c r="F724" s="165"/>
      <c r="G724" s="166"/>
      <c r="H724" s="166"/>
      <c r="I724" s="166"/>
      <c r="J724" s="166"/>
      <c r="K724" s="166"/>
      <c r="L724" s="166"/>
      <c r="M724" s="167"/>
      <c r="N724" s="167"/>
    </row>
    <row r="725">
      <c r="A725" s="163"/>
      <c r="B725" s="163"/>
      <c r="C725" s="164"/>
      <c r="D725" s="164"/>
      <c r="E725" s="165"/>
      <c r="F725" s="165"/>
      <c r="G725" s="166"/>
      <c r="H725" s="166"/>
      <c r="I725" s="166"/>
      <c r="J725" s="166"/>
      <c r="K725" s="166"/>
      <c r="L725" s="166"/>
      <c r="M725" s="167"/>
      <c r="N725" s="167"/>
    </row>
    <row r="726">
      <c r="A726" s="163"/>
      <c r="B726" s="163"/>
      <c r="C726" s="164"/>
      <c r="D726" s="164"/>
      <c r="E726" s="165"/>
      <c r="F726" s="165"/>
      <c r="G726" s="166"/>
      <c r="H726" s="166"/>
      <c r="I726" s="166"/>
      <c r="J726" s="166"/>
      <c r="K726" s="166"/>
      <c r="L726" s="166"/>
      <c r="M726" s="167"/>
      <c r="N726" s="167"/>
    </row>
    <row r="727">
      <c r="A727" s="163"/>
      <c r="B727" s="163"/>
      <c r="C727" s="164"/>
      <c r="D727" s="164"/>
      <c r="E727" s="165"/>
      <c r="F727" s="165"/>
      <c r="G727" s="166"/>
      <c r="H727" s="166"/>
      <c r="I727" s="166"/>
      <c r="J727" s="166"/>
      <c r="K727" s="166"/>
      <c r="L727" s="166"/>
      <c r="M727" s="167"/>
      <c r="N727" s="167"/>
    </row>
    <row r="728">
      <c r="A728" s="163"/>
      <c r="B728" s="163"/>
      <c r="C728" s="164"/>
      <c r="D728" s="164"/>
      <c r="E728" s="165"/>
      <c r="F728" s="165"/>
      <c r="G728" s="166"/>
      <c r="H728" s="166"/>
      <c r="I728" s="166"/>
      <c r="J728" s="166"/>
      <c r="K728" s="166"/>
      <c r="L728" s="166"/>
      <c r="M728" s="167"/>
      <c r="N728" s="167"/>
    </row>
    <row r="729">
      <c r="A729" s="163"/>
      <c r="B729" s="163"/>
      <c r="C729" s="164"/>
      <c r="D729" s="164"/>
      <c r="E729" s="165"/>
      <c r="F729" s="165"/>
      <c r="G729" s="166"/>
      <c r="H729" s="166"/>
      <c r="I729" s="166"/>
      <c r="J729" s="166"/>
      <c r="K729" s="166"/>
      <c r="L729" s="166"/>
      <c r="M729" s="167"/>
      <c r="N729" s="167"/>
    </row>
    <row r="730">
      <c r="A730" s="163"/>
      <c r="B730" s="163"/>
      <c r="C730" s="164"/>
      <c r="D730" s="164"/>
      <c r="E730" s="165"/>
      <c r="F730" s="165"/>
      <c r="G730" s="166"/>
      <c r="H730" s="166"/>
      <c r="I730" s="166"/>
      <c r="J730" s="166"/>
      <c r="K730" s="166"/>
      <c r="L730" s="166"/>
      <c r="M730" s="167"/>
      <c r="N730" s="167"/>
    </row>
    <row r="731">
      <c r="A731" s="163"/>
      <c r="B731" s="163"/>
      <c r="C731" s="164"/>
      <c r="D731" s="164"/>
      <c r="E731" s="165"/>
      <c r="F731" s="165"/>
      <c r="G731" s="166"/>
      <c r="H731" s="166"/>
      <c r="I731" s="166"/>
      <c r="J731" s="166"/>
      <c r="K731" s="166"/>
      <c r="L731" s="166"/>
      <c r="M731" s="167"/>
      <c r="N731" s="167"/>
    </row>
    <row r="732">
      <c r="A732" s="163"/>
      <c r="B732" s="163"/>
      <c r="C732" s="164"/>
      <c r="D732" s="164"/>
      <c r="E732" s="165"/>
      <c r="F732" s="165"/>
      <c r="G732" s="166"/>
      <c r="H732" s="166"/>
      <c r="I732" s="166"/>
      <c r="J732" s="166"/>
      <c r="K732" s="166"/>
      <c r="L732" s="166"/>
      <c r="M732" s="167"/>
      <c r="N732" s="167"/>
    </row>
    <row r="733">
      <c r="A733" s="163"/>
      <c r="B733" s="163"/>
      <c r="C733" s="164"/>
      <c r="D733" s="164"/>
      <c r="E733" s="165"/>
      <c r="F733" s="165"/>
      <c r="G733" s="166"/>
      <c r="H733" s="166"/>
      <c r="I733" s="166"/>
      <c r="J733" s="166"/>
      <c r="K733" s="166"/>
      <c r="L733" s="166"/>
      <c r="M733" s="167"/>
      <c r="N733" s="167"/>
    </row>
    <row r="734">
      <c r="A734" s="163"/>
      <c r="B734" s="163"/>
      <c r="C734" s="164"/>
      <c r="D734" s="164"/>
      <c r="E734" s="165"/>
      <c r="F734" s="165"/>
      <c r="G734" s="166"/>
      <c r="H734" s="166"/>
      <c r="I734" s="166"/>
      <c r="J734" s="166"/>
      <c r="K734" s="166"/>
      <c r="L734" s="166"/>
      <c r="M734" s="167"/>
      <c r="N734" s="167"/>
    </row>
    <row r="735">
      <c r="A735" s="163"/>
      <c r="B735" s="163"/>
      <c r="C735" s="164"/>
      <c r="D735" s="164"/>
      <c r="E735" s="165"/>
      <c r="F735" s="165"/>
      <c r="G735" s="166"/>
      <c r="H735" s="166"/>
      <c r="I735" s="166"/>
      <c r="J735" s="166"/>
      <c r="K735" s="166"/>
      <c r="L735" s="166"/>
      <c r="M735" s="167"/>
      <c r="N735" s="167"/>
    </row>
    <row r="736">
      <c r="A736" s="163"/>
      <c r="B736" s="163"/>
      <c r="C736" s="164"/>
      <c r="D736" s="164"/>
      <c r="E736" s="165"/>
      <c r="F736" s="165"/>
      <c r="G736" s="166"/>
      <c r="H736" s="166"/>
      <c r="I736" s="166"/>
      <c r="J736" s="166"/>
      <c r="K736" s="166"/>
      <c r="L736" s="166"/>
      <c r="M736" s="167"/>
      <c r="N736" s="167"/>
    </row>
    <row r="737">
      <c r="A737" s="163"/>
      <c r="B737" s="163"/>
      <c r="C737" s="164"/>
      <c r="D737" s="164"/>
      <c r="E737" s="165"/>
      <c r="F737" s="165"/>
      <c r="G737" s="166"/>
      <c r="H737" s="166"/>
      <c r="I737" s="166"/>
      <c r="J737" s="166"/>
      <c r="K737" s="166"/>
      <c r="L737" s="166"/>
      <c r="M737" s="167"/>
      <c r="N737" s="167"/>
    </row>
    <row r="738">
      <c r="A738" s="163"/>
      <c r="B738" s="163"/>
      <c r="C738" s="164"/>
      <c r="D738" s="164"/>
      <c r="E738" s="165"/>
      <c r="F738" s="165"/>
      <c r="G738" s="166"/>
      <c r="H738" s="166"/>
      <c r="I738" s="166"/>
      <c r="J738" s="166"/>
      <c r="K738" s="166"/>
      <c r="L738" s="166"/>
      <c r="M738" s="167"/>
      <c r="N738" s="167"/>
    </row>
    <row r="739">
      <c r="A739" s="163"/>
      <c r="B739" s="163"/>
      <c r="C739" s="164"/>
      <c r="D739" s="164"/>
      <c r="E739" s="165"/>
      <c r="F739" s="165"/>
      <c r="G739" s="166"/>
      <c r="H739" s="166"/>
      <c r="I739" s="166"/>
      <c r="J739" s="166"/>
      <c r="K739" s="166"/>
      <c r="L739" s="166"/>
      <c r="M739" s="167"/>
      <c r="N739" s="167"/>
    </row>
    <row r="740">
      <c r="A740" s="163"/>
      <c r="B740" s="163"/>
      <c r="C740" s="164"/>
      <c r="D740" s="164"/>
      <c r="E740" s="165"/>
      <c r="F740" s="165"/>
      <c r="G740" s="166"/>
      <c r="H740" s="166"/>
      <c r="I740" s="166"/>
      <c r="J740" s="166"/>
      <c r="K740" s="166"/>
      <c r="L740" s="166"/>
      <c r="M740" s="167"/>
      <c r="N740" s="167"/>
    </row>
    <row r="741">
      <c r="A741" s="163"/>
      <c r="B741" s="163"/>
      <c r="C741" s="164"/>
      <c r="D741" s="164"/>
      <c r="E741" s="165"/>
      <c r="F741" s="165"/>
      <c r="G741" s="166"/>
      <c r="H741" s="166"/>
      <c r="I741" s="166"/>
      <c r="J741" s="166"/>
      <c r="K741" s="166"/>
      <c r="L741" s="166"/>
      <c r="M741" s="167"/>
      <c r="N741" s="167"/>
    </row>
    <row r="742">
      <c r="A742" s="163"/>
      <c r="B742" s="163"/>
      <c r="C742" s="164"/>
      <c r="D742" s="164"/>
      <c r="E742" s="165"/>
      <c r="F742" s="165"/>
      <c r="G742" s="166"/>
      <c r="H742" s="166"/>
      <c r="I742" s="166"/>
      <c r="J742" s="166"/>
      <c r="K742" s="166"/>
      <c r="L742" s="166"/>
      <c r="M742" s="167"/>
      <c r="N742" s="167"/>
    </row>
    <row r="743">
      <c r="A743" s="163"/>
      <c r="B743" s="163"/>
      <c r="C743" s="164"/>
      <c r="D743" s="164"/>
      <c r="E743" s="165"/>
      <c r="F743" s="165"/>
      <c r="G743" s="166"/>
      <c r="H743" s="166"/>
      <c r="I743" s="166"/>
      <c r="J743" s="166"/>
      <c r="K743" s="166"/>
      <c r="L743" s="166"/>
      <c r="M743" s="167"/>
      <c r="N743" s="167"/>
    </row>
    <row r="744">
      <c r="A744" s="163"/>
      <c r="B744" s="163"/>
      <c r="C744" s="164"/>
      <c r="D744" s="164"/>
      <c r="E744" s="165"/>
      <c r="F744" s="165"/>
      <c r="G744" s="166"/>
      <c r="H744" s="166"/>
      <c r="I744" s="166"/>
      <c r="J744" s="166"/>
      <c r="K744" s="166"/>
      <c r="L744" s="166"/>
      <c r="M744" s="167"/>
      <c r="N744" s="167"/>
    </row>
    <row r="745">
      <c r="A745" s="163"/>
      <c r="B745" s="163"/>
      <c r="C745" s="164"/>
      <c r="D745" s="164"/>
      <c r="E745" s="165"/>
      <c r="F745" s="165"/>
      <c r="G745" s="166"/>
      <c r="H745" s="166"/>
      <c r="I745" s="166"/>
      <c r="J745" s="166"/>
      <c r="K745" s="166"/>
      <c r="L745" s="166"/>
      <c r="M745" s="167"/>
      <c r="N745" s="167"/>
    </row>
    <row r="746">
      <c r="A746" s="163"/>
      <c r="B746" s="163"/>
      <c r="C746" s="164"/>
      <c r="D746" s="164"/>
      <c r="E746" s="165"/>
      <c r="F746" s="165"/>
      <c r="G746" s="166"/>
      <c r="H746" s="166"/>
      <c r="I746" s="166"/>
      <c r="J746" s="166"/>
      <c r="K746" s="166"/>
      <c r="L746" s="166"/>
      <c r="M746" s="167"/>
      <c r="N746" s="167"/>
    </row>
    <row r="747">
      <c r="A747" s="163"/>
      <c r="B747" s="163"/>
      <c r="C747" s="164"/>
      <c r="D747" s="164"/>
      <c r="E747" s="165"/>
      <c r="F747" s="165"/>
      <c r="G747" s="166"/>
      <c r="H747" s="166"/>
      <c r="I747" s="166"/>
      <c r="J747" s="166"/>
      <c r="K747" s="166"/>
      <c r="L747" s="166"/>
      <c r="M747" s="167"/>
      <c r="N747" s="167"/>
    </row>
    <row r="748">
      <c r="A748" s="163"/>
      <c r="B748" s="163"/>
      <c r="C748" s="164"/>
      <c r="D748" s="164"/>
      <c r="E748" s="165"/>
      <c r="F748" s="165"/>
      <c r="G748" s="166"/>
      <c r="H748" s="166"/>
      <c r="I748" s="166"/>
      <c r="J748" s="166"/>
      <c r="K748" s="166"/>
      <c r="L748" s="166"/>
      <c r="M748" s="167"/>
      <c r="N748" s="167"/>
    </row>
    <row r="749">
      <c r="A749" s="163"/>
      <c r="B749" s="163"/>
      <c r="C749" s="164"/>
      <c r="D749" s="164"/>
      <c r="E749" s="165"/>
      <c r="F749" s="165"/>
      <c r="G749" s="166"/>
      <c r="H749" s="166"/>
      <c r="I749" s="166"/>
      <c r="J749" s="166"/>
      <c r="K749" s="166"/>
      <c r="L749" s="166"/>
      <c r="M749" s="167"/>
      <c r="N749" s="167"/>
    </row>
    <row r="750">
      <c r="A750" s="163"/>
      <c r="B750" s="163"/>
      <c r="C750" s="164"/>
      <c r="D750" s="164"/>
      <c r="E750" s="165"/>
      <c r="F750" s="165"/>
      <c r="G750" s="166"/>
      <c r="H750" s="166"/>
      <c r="I750" s="166"/>
      <c r="J750" s="166"/>
      <c r="K750" s="166"/>
      <c r="L750" s="166"/>
      <c r="M750" s="167"/>
      <c r="N750" s="167"/>
    </row>
    <row r="751">
      <c r="A751" s="163"/>
      <c r="B751" s="163"/>
      <c r="C751" s="164"/>
      <c r="D751" s="164"/>
      <c r="E751" s="165"/>
      <c r="F751" s="165"/>
      <c r="G751" s="166"/>
      <c r="H751" s="166"/>
      <c r="I751" s="166"/>
      <c r="J751" s="166"/>
      <c r="K751" s="166"/>
      <c r="L751" s="166"/>
      <c r="M751" s="167"/>
      <c r="N751" s="167"/>
    </row>
    <row r="752">
      <c r="A752" s="163"/>
      <c r="B752" s="163"/>
      <c r="C752" s="164"/>
      <c r="D752" s="164"/>
      <c r="E752" s="165"/>
      <c r="F752" s="165"/>
      <c r="G752" s="166"/>
      <c r="H752" s="166"/>
      <c r="I752" s="166"/>
      <c r="J752" s="166"/>
      <c r="K752" s="166"/>
      <c r="L752" s="166"/>
      <c r="M752" s="167"/>
      <c r="N752" s="167"/>
    </row>
    <row r="753">
      <c r="A753" s="163"/>
      <c r="B753" s="163"/>
      <c r="C753" s="164"/>
      <c r="D753" s="164"/>
      <c r="E753" s="165"/>
      <c r="F753" s="165"/>
      <c r="G753" s="166"/>
      <c r="H753" s="166"/>
      <c r="I753" s="166"/>
      <c r="J753" s="166"/>
      <c r="K753" s="166"/>
      <c r="L753" s="166"/>
      <c r="M753" s="167"/>
      <c r="N753" s="167"/>
    </row>
    <row r="754">
      <c r="A754" s="163"/>
      <c r="B754" s="163"/>
      <c r="C754" s="164"/>
      <c r="D754" s="164"/>
      <c r="E754" s="165"/>
      <c r="F754" s="165"/>
      <c r="G754" s="166"/>
      <c r="H754" s="166"/>
      <c r="I754" s="166"/>
      <c r="J754" s="166"/>
      <c r="K754" s="166"/>
      <c r="L754" s="166"/>
      <c r="M754" s="167"/>
      <c r="N754" s="167"/>
    </row>
    <row r="755">
      <c r="A755" s="163"/>
      <c r="B755" s="163"/>
      <c r="C755" s="164"/>
      <c r="D755" s="164"/>
      <c r="E755" s="165"/>
      <c r="F755" s="165"/>
      <c r="G755" s="166"/>
      <c r="H755" s="166"/>
      <c r="I755" s="166"/>
      <c r="J755" s="166"/>
      <c r="K755" s="166"/>
      <c r="L755" s="166"/>
      <c r="M755" s="167"/>
      <c r="N755" s="167"/>
    </row>
    <row r="756">
      <c r="A756" s="163"/>
      <c r="B756" s="163"/>
      <c r="C756" s="164"/>
      <c r="D756" s="164"/>
      <c r="E756" s="165"/>
      <c r="F756" s="165"/>
      <c r="G756" s="166"/>
      <c r="H756" s="166"/>
      <c r="I756" s="166"/>
      <c r="J756" s="166"/>
      <c r="K756" s="166"/>
      <c r="L756" s="166"/>
      <c r="M756" s="167"/>
      <c r="N756" s="167"/>
    </row>
    <row r="757">
      <c r="A757" s="163"/>
      <c r="B757" s="163"/>
      <c r="C757" s="164"/>
      <c r="D757" s="164"/>
      <c r="E757" s="165"/>
      <c r="F757" s="165"/>
      <c r="G757" s="166"/>
      <c r="H757" s="166"/>
      <c r="I757" s="166"/>
      <c r="J757" s="166"/>
      <c r="K757" s="166"/>
      <c r="L757" s="166"/>
      <c r="M757" s="167"/>
      <c r="N757" s="167"/>
    </row>
    <row r="758">
      <c r="A758" s="163"/>
      <c r="B758" s="163"/>
      <c r="C758" s="164"/>
      <c r="D758" s="164"/>
      <c r="E758" s="165"/>
      <c r="F758" s="165"/>
      <c r="G758" s="166"/>
      <c r="H758" s="166"/>
      <c r="I758" s="166"/>
      <c r="J758" s="166"/>
      <c r="K758" s="166"/>
      <c r="L758" s="166"/>
      <c r="M758" s="167"/>
      <c r="N758" s="167"/>
    </row>
    <row r="759">
      <c r="A759" s="163"/>
      <c r="B759" s="163"/>
      <c r="C759" s="164"/>
      <c r="D759" s="164"/>
      <c r="E759" s="165"/>
      <c r="F759" s="165"/>
      <c r="G759" s="166"/>
      <c r="H759" s="166"/>
      <c r="I759" s="166"/>
      <c r="J759" s="166"/>
      <c r="K759" s="166"/>
      <c r="L759" s="166"/>
      <c r="M759" s="167"/>
      <c r="N759" s="167"/>
    </row>
    <row r="760">
      <c r="A760" s="163"/>
      <c r="B760" s="163"/>
      <c r="C760" s="164"/>
      <c r="D760" s="164"/>
      <c r="E760" s="165"/>
      <c r="F760" s="165"/>
      <c r="G760" s="166"/>
      <c r="H760" s="166"/>
      <c r="I760" s="166"/>
      <c r="J760" s="166"/>
      <c r="K760" s="166"/>
      <c r="L760" s="166"/>
      <c r="M760" s="167"/>
      <c r="N760" s="167"/>
    </row>
    <row r="761">
      <c r="A761" s="163"/>
      <c r="B761" s="163"/>
      <c r="C761" s="164"/>
      <c r="D761" s="164"/>
      <c r="E761" s="165"/>
      <c r="F761" s="165"/>
      <c r="G761" s="166"/>
      <c r="H761" s="166"/>
      <c r="I761" s="166"/>
      <c r="J761" s="166"/>
      <c r="K761" s="166"/>
      <c r="L761" s="166"/>
      <c r="M761" s="167"/>
      <c r="N761" s="167"/>
    </row>
    <row r="762">
      <c r="A762" s="163"/>
      <c r="B762" s="163"/>
      <c r="C762" s="164"/>
      <c r="D762" s="164"/>
      <c r="E762" s="165"/>
      <c r="F762" s="165"/>
      <c r="G762" s="166"/>
      <c r="H762" s="166"/>
      <c r="I762" s="166"/>
      <c r="J762" s="166"/>
      <c r="K762" s="166"/>
      <c r="L762" s="166"/>
      <c r="M762" s="167"/>
      <c r="N762" s="167"/>
    </row>
    <row r="763">
      <c r="A763" s="163"/>
      <c r="B763" s="163"/>
      <c r="C763" s="164"/>
      <c r="D763" s="164"/>
      <c r="E763" s="165"/>
      <c r="F763" s="165"/>
      <c r="G763" s="166"/>
      <c r="H763" s="166"/>
      <c r="I763" s="166"/>
      <c r="J763" s="166"/>
      <c r="K763" s="166"/>
      <c r="L763" s="166"/>
      <c r="M763" s="167"/>
      <c r="N763" s="167"/>
    </row>
    <row r="764">
      <c r="A764" s="163"/>
      <c r="B764" s="163"/>
      <c r="C764" s="164"/>
      <c r="D764" s="164"/>
      <c r="E764" s="165"/>
      <c r="F764" s="165"/>
      <c r="G764" s="166"/>
      <c r="H764" s="166"/>
      <c r="I764" s="166"/>
      <c r="J764" s="166"/>
      <c r="K764" s="166"/>
      <c r="L764" s="166"/>
      <c r="M764" s="167"/>
      <c r="N764" s="167"/>
    </row>
    <row r="765">
      <c r="A765" s="163"/>
      <c r="B765" s="163"/>
      <c r="C765" s="164"/>
      <c r="D765" s="164"/>
      <c r="E765" s="165"/>
      <c r="F765" s="165"/>
      <c r="G765" s="166"/>
      <c r="H765" s="166"/>
      <c r="I765" s="166"/>
      <c r="J765" s="166"/>
      <c r="K765" s="166"/>
      <c r="L765" s="166"/>
      <c r="M765" s="167"/>
      <c r="N765" s="167"/>
    </row>
    <row r="766">
      <c r="A766" s="163"/>
      <c r="B766" s="163"/>
      <c r="C766" s="164"/>
      <c r="D766" s="164"/>
      <c r="E766" s="165"/>
      <c r="F766" s="165"/>
      <c r="G766" s="166"/>
      <c r="H766" s="166"/>
      <c r="I766" s="166"/>
      <c r="J766" s="166"/>
      <c r="K766" s="166"/>
      <c r="L766" s="166"/>
      <c r="M766" s="167"/>
      <c r="N766" s="167"/>
    </row>
    <row r="767">
      <c r="A767" s="163"/>
      <c r="B767" s="163"/>
      <c r="C767" s="164"/>
      <c r="D767" s="164"/>
      <c r="E767" s="165"/>
      <c r="F767" s="165"/>
      <c r="G767" s="166"/>
      <c r="H767" s="166"/>
      <c r="I767" s="166"/>
      <c r="J767" s="166"/>
      <c r="K767" s="166"/>
      <c r="L767" s="166"/>
      <c r="M767" s="167"/>
      <c r="N767" s="167"/>
    </row>
    <row r="768">
      <c r="A768" s="163"/>
      <c r="B768" s="163"/>
      <c r="C768" s="164"/>
      <c r="D768" s="164"/>
      <c r="E768" s="165"/>
      <c r="F768" s="165"/>
      <c r="G768" s="166"/>
      <c r="H768" s="166"/>
      <c r="I768" s="166"/>
      <c r="J768" s="166"/>
      <c r="K768" s="166"/>
      <c r="L768" s="166"/>
      <c r="M768" s="167"/>
      <c r="N768" s="167"/>
    </row>
    <row r="769">
      <c r="A769" s="163"/>
      <c r="B769" s="163"/>
      <c r="C769" s="164"/>
      <c r="D769" s="164"/>
      <c r="E769" s="165"/>
      <c r="F769" s="165"/>
      <c r="G769" s="166"/>
      <c r="H769" s="166"/>
      <c r="I769" s="166"/>
      <c r="J769" s="166"/>
      <c r="K769" s="166"/>
      <c r="L769" s="166"/>
      <c r="M769" s="167"/>
      <c r="N769" s="167"/>
    </row>
    <row r="770">
      <c r="A770" s="163"/>
      <c r="B770" s="163"/>
      <c r="C770" s="164"/>
      <c r="D770" s="164"/>
      <c r="E770" s="165"/>
      <c r="F770" s="165"/>
      <c r="G770" s="166"/>
      <c r="H770" s="166"/>
      <c r="I770" s="166"/>
      <c r="J770" s="166"/>
      <c r="K770" s="166"/>
      <c r="L770" s="166"/>
      <c r="M770" s="167"/>
      <c r="N770" s="167"/>
    </row>
    <row r="771">
      <c r="A771" s="163"/>
      <c r="B771" s="163"/>
      <c r="C771" s="164"/>
      <c r="D771" s="164"/>
      <c r="E771" s="165"/>
      <c r="F771" s="165"/>
      <c r="G771" s="166"/>
      <c r="H771" s="166"/>
      <c r="I771" s="166"/>
      <c r="J771" s="166"/>
      <c r="K771" s="166"/>
      <c r="L771" s="166"/>
      <c r="M771" s="167"/>
      <c r="N771" s="167"/>
    </row>
    <row r="772">
      <c r="A772" s="163"/>
      <c r="B772" s="163"/>
      <c r="C772" s="164"/>
      <c r="D772" s="164"/>
      <c r="E772" s="165"/>
      <c r="F772" s="165"/>
      <c r="G772" s="166"/>
      <c r="H772" s="166"/>
      <c r="I772" s="166"/>
      <c r="J772" s="166"/>
      <c r="K772" s="166"/>
      <c r="L772" s="166"/>
      <c r="M772" s="167"/>
      <c r="N772" s="167"/>
    </row>
    <row r="773">
      <c r="A773" s="163"/>
      <c r="B773" s="163"/>
      <c r="C773" s="164"/>
      <c r="D773" s="164"/>
      <c r="E773" s="165"/>
      <c r="F773" s="165"/>
      <c r="G773" s="166"/>
      <c r="H773" s="166"/>
      <c r="I773" s="166"/>
      <c r="J773" s="166"/>
      <c r="K773" s="166"/>
      <c r="L773" s="166"/>
      <c r="M773" s="167"/>
      <c r="N773" s="167"/>
    </row>
    <row r="774">
      <c r="A774" s="163"/>
      <c r="B774" s="163"/>
      <c r="C774" s="164"/>
      <c r="D774" s="164"/>
      <c r="E774" s="165"/>
      <c r="F774" s="165"/>
      <c r="G774" s="166"/>
      <c r="H774" s="166"/>
      <c r="I774" s="166"/>
      <c r="J774" s="166"/>
      <c r="K774" s="166"/>
      <c r="L774" s="166"/>
      <c r="M774" s="167"/>
      <c r="N774" s="167"/>
    </row>
    <row r="775">
      <c r="A775" s="163"/>
      <c r="B775" s="163"/>
      <c r="C775" s="164"/>
      <c r="D775" s="164"/>
      <c r="E775" s="165"/>
      <c r="F775" s="165"/>
      <c r="G775" s="166"/>
      <c r="H775" s="166"/>
      <c r="I775" s="166"/>
      <c r="J775" s="166"/>
      <c r="K775" s="166"/>
      <c r="L775" s="166"/>
      <c r="M775" s="167"/>
      <c r="N775" s="167"/>
    </row>
    <row r="776">
      <c r="A776" s="163"/>
      <c r="B776" s="163"/>
      <c r="C776" s="164"/>
      <c r="D776" s="164"/>
      <c r="E776" s="165"/>
      <c r="F776" s="165"/>
      <c r="G776" s="166"/>
      <c r="H776" s="166"/>
      <c r="I776" s="166"/>
      <c r="J776" s="166"/>
      <c r="K776" s="166"/>
      <c r="L776" s="166"/>
      <c r="M776" s="167"/>
      <c r="N776" s="167"/>
    </row>
    <row r="777">
      <c r="A777" s="163"/>
      <c r="B777" s="163"/>
      <c r="C777" s="164"/>
      <c r="D777" s="164"/>
      <c r="E777" s="165"/>
      <c r="F777" s="165"/>
      <c r="G777" s="166"/>
      <c r="H777" s="166"/>
      <c r="I777" s="166"/>
      <c r="J777" s="166"/>
      <c r="K777" s="166"/>
      <c r="L777" s="166"/>
      <c r="M777" s="167"/>
      <c r="N777" s="167"/>
    </row>
    <row r="778">
      <c r="A778" s="163"/>
      <c r="B778" s="163"/>
      <c r="C778" s="164"/>
      <c r="D778" s="164"/>
      <c r="E778" s="165"/>
      <c r="F778" s="165"/>
      <c r="G778" s="166"/>
      <c r="H778" s="166"/>
      <c r="I778" s="166"/>
      <c r="J778" s="166"/>
      <c r="K778" s="166"/>
      <c r="L778" s="166"/>
      <c r="M778" s="167"/>
      <c r="N778" s="167"/>
    </row>
    <row r="779">
      <c r="A779" s="163"/>
      <c r="B779" s="163"/>
      <c r="C779" s="164"/>
      <c r="D779" s="164"/>
      <c r="E779" s="165"/>
      <c r="F779" s="165"/>
      <c r="G779" s="166"/>
      <c r="H779" s="166"/>
      <c r="I779" s="166"/>
      <c r="J779" s="166"/>
      <c r="K779" s="166"/>
      <c r="L779" s="166"/>
      <c r="M779" s="167"/>
      <c r="N779" s="167"/>
    </row>
    <row r="780">
      <c r="A780" s="163"/>
      <c r="B780" s="163"/>
      <c r="C780" s="164"/>
      <c r="D780" s="164"/>
      <c r="E780" s="165"/>
      <c r="F780" s="165"/>
      <c r="G780" s="166"/>
      <c r="H780" s="166"/>
      <c r="I780" s="166"/>
      <c r="J780" s="166"/>
      <c r="K780" s="166"/>
      <c r="L780" s="166"/>
      <c r="M780" s="167"/>
      <c r="N780" s="167"/>
    </row>
    <row r="781">
      <c r="A781" s="163"/>
      <c r="B781" s="163"/>
      <c r="C781" s="164"/>
      <c r="D781" s="164"/>
      <c r="E781" s="165"/>
      <c r="F781" s="165"/>
      <c r="G781" s="166"/>
      <c r="H781" s="166"/>
      <c r="I781" s="166"/>
      <c r="J781" s="166"/>
      <c r="K781" s="166"/>
      <c r="L781" s="166"/>
      <c r="M781" s="167"/>
      <c r="N781" s="167"/>
    </row>
    <row r="782">
      <c r="A782" s="163"/>
      <c r="B782" s="163"/>
      <c r="C782" s="164"/>
      <c r="D782" s="164"/>
      <c r="E782" s="165"/>
      <c r="F782" s="165"/>
      <c r="G782" s="166"/>
      <c r="H782" s="166"/>
      <c r="I782" s="166"/>
      <c r="J782" s="166"/>
      <c r="K782" s="166"/>
      <c r="L782" s="166"/>
      <c r="M782" s="167"/>
      <c r="N782" s="167"/>
    </row>
    <row r="783">
      <c r="A783" s="163"/>
      <c r="B783" s="163"/>
      <c r="C783" s="164"/>
      <c r="D783" s="164"/>
      <c r="E783" s="165"/>
      <c r="F783" s="165"/>
      <c r="G783" s="166"/>
      <c r="H783" s="166"/>
      <c r="I783" s="166"/>
      <c r="J783" s="166"/>
      <c r="K783" s="166"/>
      <c r="L783" s="166"/>
      <c r="M783" s="167"/>
      <c r="N783" s="167"/>
    </row>
    <row r="784">
      <c r="A784" s="163"/>
      <c r="B784" s="163"/>
      <c r="C784" s="164"/>
      <c r="D784" s="164"/>
      <c r="E784" s="165"/>
      <c r="F784" s="165"/>
      <c r="G784" s="166"/>
      <c r="H784" s="166"/>
      <c r="I784" s="166"/>
      <c r="J784" s="166"/>
      <c r="K784" s="166"/>
      <c r="L784" s="166"/>
      <c r="M784" s="167"/>
      <c r="N784" s="167"/>
    </row>
    <row r="785">
      <c r="A785" s="163"/>
      <c r="B785" s="163"/>
      <c r="C785" s="164"/>
      <c r="D785" s="164"/>
      <c r="E785" s="165"/>
      <c r="F785" s="165"/>
      <c r="G785" s="166"/>
      <c r="H785" s="166"/>
      <c r="I785" s="166"/>
      <c r="J785" s="166"/>
      <c r="K785" s="166"/>
      <c r="L785" s="166"/>
      <c r="M785" s="167"/>
      <c r="N785" s="167"/>
    </row>
    <row r="786">
      <c r="A786" s="163"/>
      <c r="B786" s="163"/>
      <c r="C786" s="164"/>
      <c r="D786" s="164"/>
      <c r="E786" s="165"/>
      <c r="F786" s="165"/>
      <c r="G786" s="166"/>
      <c r="H786" s="166"/>
      <c r="I786" s="166"/>
      <c r="J786" s="166"/>
      <c r="K786" s="166"/>
      <c r="L786" s="166"/>
      <c r="M786" s="167"/>
      <c r="N786" s="167"/>
    </row>
    <row r="787">
      <c r="A787" s="163"/>
      <c r="B787" s="163"/>
      <c r="C787" s="164"/>
      <c r="D787" s="164"/>
      <c r="E787" s="165"/>
      <c r="F787" s="165"/>
      <c r="G787" s="166"/>
      <c r="H787" s="166"/>
      <c r="I787" s="166"/>
      <c r="J787" s="166"/>
      <c r="K787" s="166"/>
      <c r="L787" s="166"/>
      <c r="M787" s="167"/>
      <c r="N787" s="167"/>
    </row>
    <row r="788">
      <c r="A788" s="163"/>
      <c r="B788" s="163"/>
      <c r="C788" s="164"/>
      <c r="D788" s="164"/>
      <c r="E788" s="165"/>
      <c r="F788" s="165"/>
      <c r="G788" s="166"/>
      <c r="H788" s="166"/>
      <c r="I788" s="166"/>
      <c r="J788" s="166"/>
      <c r="K788" s="166"/>
      <c r="L788" s="166"/>
      <c r="M788" s="167"/>
      <c r="N788" s="167"/>
    </row>
    <row r="789">
      <c r="A789" s="163"/>
      <c r="B789" s="163"/>
      <c r="C789" s="164"/>
      <c r="D789" s="164"/>
      <c r="E789" s="165"/>
      <c r="F789" s="165"/>
      <c r="G789" s="166"/>
      <c r="H789" s="166"/>
      <c r="I789" s="166"/>
      <c r="J789" s="166"/>
      <c r="K789" s="166"/>
      <c r="L789" s="166"/>
      <c r="M789" s="167"/>
      <c r="N789" s="167"/>
    </row>
    <row r="790">
      <c r="A790" s="163"/>
      <c r="B790" s="163"/>
      <c r="C790" s="164"/>
      <c r="D790" s="164"/>
      <c r="E790" s="165"/>
      <c r="F790" s="165"/>
      <c r="G790" s="166"/>
      <c r="H790" s="166"/>
      <c r="I790" s="166"/>
      <c r="J790" s="166"/>
      <c r="K790" s="166"/>
      <c r="L790" s="166"/>
      <c r="M790" s="167"/>
      <c r="N790" s="167"/>
    </row>
    <row r="791">
      <c r="A791" s="163"/>
      <c r="B791" s="163"/>
      <c r="C791" s="164"/>
      <c r="D791" s="164"/>
      <c r="E791" s="165"/>
      <c r="F791" s="165"/>
      <c r="G791" s="166"/>
      <c r="H791" s="166"/>
      <c r="I791" s="166"/>
      <c r="J791" s="166"/>
      <c r="K791" s="166"/>
      <c r="L791" s="166"/>
      <c r="M791" s="167"/>
      <c r="N791" s="167"/>
    </row>
    <row r="792">
      <c r="A792" s="163"/>
      <c r="B792" s="163"/>
      <c r="C792" s="164"/>
      <c r="D792" s="164"/>
      <c r="E792" s="165"/>
      <c r="F792" s="165"/>
      <c r="G792" s="166"/>
      <c r="H792" s="166"/>
      <c r="I792" s="166"/>
      <c r="J792" s="166"/>
      <c r="K792" s="166"/>
      <c r="L792" s="166"/>
      <c r="M792" s="167"/>
      <c r="N792" s="167"/>
    </row>
    <row r="793">
      <c r="A793" s="163"/>
      <c r="B793" s="163"/>
      <c r="C793" s="164"/>
      <c r="D793" s="164"/>
      <c r="E793" s="165"/>
      <c r="F793" s="165"/>
      <c r="G793" s="166"/>
      <c r="H793" s="166"/>
      <c r="I793" s="166"/>
      <c r="J793" s="166"/>
      <c r="K793" s="166"/>
      <c r="L793" s="166"/>
      <c r="M793" s="167"/>
      <c r="N793" s="167"/>
    </row>
    <row r="794">
      <c r="A794" s="163"/>
      <c r="B794" s="163"/>
      <c r="C794" s="164"/>
      <c r="D794" s="164"/>
      <c r="E794" s="165"/>
      <c r="F794" s="165"/>
      <c r="G794" s="166"/>
      <c r="H794" s="166"/>
      <c r="I794" s="166"/>
      <c r="J794" s="166"/>
      <c r="K794" s="166"/>
      <c r="L794" s="166"/>
      <c r="M794" s="167"/>
      <c r="N794" s="167"/>
    </row>
    <row r="795">
      <c r="A795" s="163"/>
      <c r="B795" s="163"/>
      <c r="C795" s="164"/>
      <c r="D795" s="164"/>
      <c r="E795" s="165"/>
      <c r="F795" s="165"/>
      <c r="G795" s="166"/>
      <c r="H795" s="166"/>
      <c r="I795" s="166"/>
      <c r="J795" s="166"/>
      <c r="K795" s="166"/>
      <c r="L795" s="166"/>
      <c r="M795" s="167"/>
      <c r="N795" s="167"/>
    </row>
    <row r="796">
      <c r="A796" s="163"/>
      <c r="B796" s="163"/>
      <c r="C796" s="164"/>
      <c r="D796" s="164"/>
      <c r="E796" s="165"/>
      <c r="F796" s="165"/>
      <c r="G796" s="166"/>
      <c r="H796" s="166"/>
      <c r="I796" s="166"/>
      <c r="J796" s="166"/>
      <c r="K796" s="166"/>
      <c r="L796" s="166"/>
      <c r="M796" s="167"/>
      <c r="N796" s="167"/>
    </row>
    <row r="797">
      <c r="A797" s="163"/>
      <c r="B797" s="163"/>
      <c r="C797" s="164"/>
      <c r="D797" s="164"/>
      <c r="E797" s="165"/>
      <c r="F797" s="165"/>
      <c r="G797" s="166"/>
      <c r="H797" s="166"/>
      <c r="I797" s="166"/>
      <c r="J797" s="166"/>
      <c r="K797" s="166"/>
      <c r="L797" s="166"/>
      <c r="M797" s="167"/>
      <c r="N797" s="167"/>
    </row>
    <row r="798">
      <c r="A798" s="163"/>
      <c r="B798" s="163"/>
      <c r="C798" s="164"/>
      <c r="D798" s="164"/>
      <c r="E798" s="165"/>
      <c r="F798" s="165"/>
      <c r="G798" s="166"/>
      <c r="H798" s="166"/>
      <c r="I798" s="166"/>
      <c r="J798" s="166"/>
      <c r="K798" s="166"/>
      <c r="L798" s="166"/>
      <c r="M798" s="167"/>
      <c r="N798" s="167"/>
    </row>
    <row r="799">
      <c r="A799" s="163"/>
      <c r="B799" s="163"/>
      <c r="C799" s="164"/>
      <c r="D799" s="164"/>
      <c r="E799" s="165"/>
      <c r="F799" s="165"/>
      <c r="G799" s="166"/>
      <c r="H799" s="166"/>
      <c r="I799" s="166"/>
      <c r="J799" s="166"/>
      <c r="K799" s="166"/>
      <c r="L799" s="166"/>
      <c r="M799" s="167"/>
      <c r="N799" s="167"/>
    </row>
    <row r="800">
      <c r="A800" s="163"/>
      <c r="B800" s="163"/>
      <c r="C800" s="164"/>
      <c r="D800" s="164"/>
      <c r="E800" s="165"/>
      <c r="F800" s="165"/>
      <c r="G800" s="166"/>
      <c r="H800" s="166"/>
      <c r="I800" s="166"/>
      <c r="J800" s="166"/>
      <c r="K800" s="166"/>
      <c r="L800" s="166"/>
      <c r="M800" s="167"/>
      <c r="N800" s="167"/>
    </row>
    <row r="801">
      <c r="A801" s="163"/>
      <c r="B801" s="163"/>
      <c r="C801" s="164"/>
      <c r="D801" s="164"/>
      <c r="E801" s="165"/>
      <c r="F801" s="165"/>
      <c r="G801" s="166"/>
      <c r="H801" s="166"/>
      <c r="I801" s="166"/>
      <c r="J801" s="166"/>
      <c r="K801" s="166"/>
      <c r="L801" s="166"/>
      <c r="M801" s="167"/>
      <c r="N801" s="167"/>
    </row>
    <row r="802">
      <c r="A802" s="163"/>
      <c r="B802" s="163"/>
      <c r="C802" s="164"/>
      <c r="D802" s="164"/>
      <c r="E802" s="165"/>
      <c r="F802" s="165"/>
      <c r="G802" s="166"/>
      <c r="H802" s="166"/>
      <c r="I802" s="166"/>
      <c r="J802" s="166"/>
      <c r="K802" s="166"/>
      <c r="L802" s="166"/>
      <c r="M802" s="167"/>
      <c r="N802" s="167"/>
    </row>
    <row r="803">
      <c r="A803" s="163"/>
      <c r="B803" s="163"/>
      <c r="C803" s="164"/>
      <c r="D803" s="164"/>
      <c r="E803" s="165"/>
      <c r="F803" s="165"/>
      <c r="G803" s="166"/>
      <c r="H803" s="166"/>
      <c r="I803" s="166"/>
      <c r="J803" s="166"/>
      <c r="K803" s="166"/>
      <c r="L803" s="166"/>
      <c r="M803" s="167"/>
      <c r="N803" s="167"/>
    </row>
    <row r="804">
      <c r="A804" s="163"/>
      <c r="B804" s="163"/>
      <c r="C804" s="164"/>
      <c r="D804" s="164"/>
      <c r="E804" s="165"/>
      <c r="F804" s="165"/>
      <c r="G804" s="166"/>
      <c r="H804" s="166"/>
      <c r="I804" s="166"/>
      <c r="J804" s="166"/>
      <c r="K804" s="166"/>
      <c r="L804" s="166"/>
      <c r="M804" s="167"/>
      <c r="N804" s="167"/>
    </row>
    <row r="805">
      <c r="A805" s="163"/>
      <c r="B805" s="163"/>
      <c r="C805" s="164"/>
      <c r="D805" s="164"/>
      <c r="E805" s="165"/>
      <c r="F805" s="165"/>
      <c r="G805" s="166"/>
      <c r="H805" s="166"/>
      <c r="I805" s="166"/>
      <c r="J805" s="166"/>
      <c r="K805" s="166"/>
      <c r="L805" s="166"/>
      <c r="M805" s="167"/>
      <c r="N805" s="167"/>
    </row>
    <row r="806">
      <c r="A806" s="163"/>
      <c r="B806" s="163"/>
      <c r="C806" s="164"/>
      <c r="D806" s="164"/>
      <c r="E806" s="165"/>
      <c r="F806" s="165"/>
      <c r="G806" s="166"/>
      <c r="H806" s="166"/>
      <c r="I806" s="166"/>
      <c r="J806" s="166"/>
      <c r="K806" s="166"/>
      <c r="L806" s="166"/>
      <c r="M806" s="167"/>
      <c r="N806" s="167"/>
    </row>
    <row r="807">
      <c r="A807" s="163"/>
      <c r="B807" s="163"/>
      <c r="C807" s="164"/>
      <c r="D807" s="164"/>
      <c r="E807" s="165"/>
      <c r="F807" s="165"/>
      <c r="G807" s="166"/>
      <c r="H807" s="166"/>
      <c r="I807" s="166"/>
      <c r="J807" s="166"/>
      <c r="K807" s="166"/>
      <c r="L807" s="166"/>
      <c r="M807" s="167"/>
      <c r="N807" s="167"/>
    </row>
    <row r="808">
      <c r="A808" s="163"/>
      <c r="B808" s="163"/>
      <c r="C808" s="164"/>
      <c r="D808" s="164"/>
      <c r="E808" s="165"/>
      <c r="F808" s="165"/>
      <c r="G808" s="166"/>
      <c r="H808" s="166"/>
      <c r="I808" s="166"/>
      <c r="J808" s="166"/>
      <c r="K808" s="166"/>
      <c r="L808" s="166"/>
      <c r="M808" s="167"/>
      <c r="N808" s="167"/>
    </row>
    <row r="809">
      <c r="A809" s="163"/>
      <c r="B809" s="163"/>
      <c r="C809" s="164"/>
      <c r="D809" s="164"/>
      <c r="E809" s="165"/>
      <c r="F809" s="165"/>
      <c r="G809" s="166"/>
      <c r="H809" s="166"/>
      <c r="I809" s="166"/>
      <c r="J809" s="166"/>
      <c r="K809" s="166"/>
      <c r="L809" s="166"/>
      <c r="M809" s="167"/>
      <c r="N809" s="167"/>
    </row>
    <row r="810">
      <c r="A810" s="163"/>
      <c r="B810" s="163"/>
      <c r="C810" s="164"/>
      <c r="D810" s="164"/>
      <c r="E810" s="165"/>
      <c r="F810" s="165"/>
      <c r="G810" s="166"/>
      <c r="H810" s="166"/>
      <c r="I810" s="166"/>
      <c r="J810" s="166"/>
      <c r="K810" s="166"/>
      <c r="L810" s="166"/>
      <c r="M810" s="167"/>
      <c r="N810" s="167"/>
    </row>
    <row r="811">
      <c r="A811" s="163"/>
      <c r="B811" s="163"/>
      <c r="C811" s="164"/>
      <c r="D811" s="164"/>
      <c r="E811" s="165"/>
      <c r="F811" s="165"/>
      <c r="G811" s="166"/>
      <c r="H811" s="166"/>
      <c r="I811" s="166"/>
      <c r="J811" s="166"/>
      <c r="K811" s="166"/>
      <c r="L811" s="166"/>
      <c r="M811" s="167"/>
      <c r="N811" s="167"/>
    </row>
    <row r="812">
      <c r="A812" s="163"/>
      <c r="B812" s="163"/>
      <c r="C812" s="164"/>
      <c r="D812" s="164"/>
      <c r="E812" s="165"/>
      <c r="F812" s="165"/>
      <c r="G812" s="166"/>
      <c r="H812" s="166"/>
      <c r="I812" s="166"/>
      <c r="J812" s="166"/>
      <c r="K812" s="166"/>
      <c r="L812" s="166"/>
      <c r="M812" s="167"/>
      <c r="N812" s="167"/>
    </row>
    <row r="813">
      <c r="A813" s="163"/>
      <c r="B813" s="163"/>
      <c r="C813" s="164"/>
      <c r="D813" s="164"/>
      <c r="E813" s="165"/>
      <c r="F813" s="165"/>
      <c r="G813" s="166"/>
      <c r="H813" s="166"/>
      <c r="I813" s="166"/>
      <c r="J813" s="166"/>
      <c r="K813" s="166"/>
      <c r="L813" s="166"/>
      <c r="M813" s="167"/>
      <c r="N813" s="167"/>
    </row>
    <row r="814">
      <c r="A814" s="163"/>
      <c r="B814" s="163"/>
      <c r="C814" s="164"/>
      <c r="D814" s="164"/>
      <c r="E814" s="165"/>
      <c r="F814" s="165"/>
      <c r="G814" s="166"/>
      <c r="H814" s="166"/>
      <c r="I814" s="166"/>
      <c r="J814" s="166"/>
      <c r="K814" s="166"/>
      <c r="L814" s="166"/>
      <c r="M814" s="167"/>
      <c r="N814" s="167"/>
    </row>
    <row r="815">
      <c r="A815" s="163"/>
      <c r="B815" s="163"/>
      <c r="C815" s="164"/>
      <c r="D815" s="164"/>
      <c r="E815" s="165"/>
      <c r="F815" s="165"/>
      <c r="G815" s="166"/>
      <c r="H815" s="166"/>
      <c r="I815" s="166"/>
      <c r="J815" s="166"/>
      <c r="K815" s="166"/>
      <c r="L815" s="166"/>
      <c r="M815" s="167"/>
      <c r="N815" s="167"/>
    </row>
    <row r="816">
      <c r="A816" s="163"/>
      <c r="B816" s="163"/>
      <c r="C816" s="164"/>
      <c r="D816" s="164"/>
      <c r="E816" s="165"/>
      <c r="F816" s="165"/>
      <c r="G816" s="166"/>
      <c r="H816" s="166"/>
      <c r="I816" s="166"/>
      <c r="J816" s="166"/>
      <c r="K816" s="166"/>
      <c r="L816" s="166"/>
      <c r="M816" s="167"/>
      <c r="N816" s="167"/>
    </row>
    <row r="817">
      <c r="A817" s="163"/>
      <c r="B817" s="163"/>
      <c r="C817" s="164"/>
      <c r="D817" s="164"/>
      <c r="E817" s="165"/>
      <c r="F817" s="165"/>
      <c r="G817" s="166"/>
      <c r="H817" s="166"/>
      <c r="I817" s="166"/>
      <c r="J817" s="166"/>
      <c r="K817" s="166"/>
      <c r="L817" s="166"/>
      <c r="M817" s="167"/>
      <c r="N817" s="167"/>
    </row>
    <row r="818">
      <c r="A818" s="163"/>
      <c r="B818" s="163"/>
      <c r="C818" s="164"/>
      <c r="D818" s="164"/>
      <c r="E818" s="165"/>
      <c r="F818" s="165"/>
      <c r="G818" s="166"/>
      <c r="H818" s="166"/>
      <c r="I818" s="166"/>
      <c r="J818" s="166"/>
      <c r="K818" s="166"/>
      <c r="L818" s="166"/>
      <c r="M818" s="167"/>
      <c r="N818" s="167"/>
    </row>
    <row r="819">
      <c r="A819" s="163"/>
      <c r="B819" s="163"/>
      <c r="C819" s="164"/>
      <c r="D819" s="164"/>
      <c r="E819" s="165"/>
      <c r="F819" s="165"/>
      <c r="G819" s="166"/>
      <c r="H819" s="166"/>
      <c r="I819" s="166"/>
      <c r="J819" s="166"/>
      <c r="K819" s="166"/>
      <c r="L819" s="166"/>
      <c r="M819" s="167"/>
      <c r="N819" s="167"/>
    </row>
    <row r="820">
      <c r="A820" s="163"/>
      <c r="B820" s="163"/>
      <c r="C820" s="164"/>
      <c r="D820" s="164"/>
      <c r="E820" s="165"/>
      <c r="F820" s="165"/>
      <c r="G820" s="166"/>
      <c r="H820" s="166"/>
      <c r="I820" s="166"/>
      <c r="J820" s="166"/>
      <c r="K820" s="166"/>
      <c r="L820" s="166"/>
      <c r="M820" s="167"/>
      <c r="N820" s="167"/>
    </row>
    <row r="821">
      <c r="A821" s="163"/>
      <c r="B821" s="163"/>
      <c r="C821" s="164"/>
      <c r="D821" s="164"/>
      <c r="E821" s="165"/>
      <c r="F821" s="165"/>
      <c r="G821" s="166"/>
      <c r="H821" s="166"/>
      <c r="I821" s="166"/>
      <c r="J821" s="166"/>
      <c r="K821" s="166"/>
      <c r="L821" s="166"/>
      <c r="M821" s="167"/>
      <c r="N821" s="167"/>
    </row>
    <row r="822">
      <c r="A822" s="163"/>
      <c r="B822" s="163"/>
      <c r="C822" s="164"/>
      <c r="D822" s="164"/>
      <c r="E822" s="165"/>
      <c r="F822" s="165"/>
      <c r="G822" s="166"/>
      <c r="H822" s="166"/>
      <c r="I822" s="166"/>
      <c r="J822" s="166"/>
      <c r="K822" s="166"/>
      <c r="L822" s="166"/>
      <c r="M822" s="167"/>
      <c r="N822" s="167"/>
    </row>
    <row r="823">
      <c r="A823" s="163"/>
      <c r="B823" s="163"/>
      <c r="C823" s="164"/>
      <c r="D823" s="164"/>
      <c r="E823" s="165"/>
      <c r="F823" s="165"/>
      <c r="G823" s="166"/>
      <c r="H823" s="166"/>
      <c r="I823" s="166"/>
      <c r="J823" s="166"/>
      <c r="K823" s="166"/>
      <c r="L823" s="166"/>
      <c r="M823" s="167"/>
      <c r="N823" s="167"/>
    </row>
    <row r="824">
      <c r="A824" s="163"/>
      <c r="B824" s="163"/>
      <c r="C824" s="164"/>
      <c r="D824" s="164"/>
      <c r="E824" s="165"/>
      <c r="F824" s="165"/>
      <c r="G824" s="166"/>
      <c r="H824" s="166"/>
      <c r="I824" s="166"/>
      <c r="J824" s="166"/>
      <c r="K824" s="166"/>
      <c r="L824" s="166"/>
      <c r="M824" s="167"/>
      <c r="N824" s="167"/>
    </row>
    <row r="825">
      <c r="A825" s="163"/>
      <c r="B825" s="163"/>
      <c r="C825" s="164"/>
      <c r="D825" s="164"/>
      <c r="E825" s="165"/>
      <c r="F825" s="165"/>
      <c r="G825" s="166"/>
      <c r="H825" s="166"/>
      <c r="I825" s="166"/>
      <c r="J825" s="166"/>
      <c r="K825" s="166"/>
      <c r="L825" s="166"/>
      <c r="M825" s="167"/>
      <c r="N825" s="167"/>
    </row>
    <row r="826">
      <c r="A826" s="163"/>
      <c r="B826" s="163"/>
      <c r="C826" s="164"/>
      <c r="D826" s="164"/>
      <c r="E826" s="165"/>
      <c r="F826" s="165"/>
      <c r="G826" s="166"/>
      <c r="H826" s="166"/>
      <c r="I826" s="166"/>
      <c r="J826" s="166"/>
      <c r="K826" s="166"/>
      <c r="L826" s="166"/>
      <c r="M826" s="167"/>
      <c r="N826" s="167"/>
    </row>
    <row r="827">
      <c r="A827" s="163"/>
      <c r="B827" s="163"/>
      <c r="C827" s="164"/>
      <c r="D827" s="164"/>
      <c r="E827" s="165"/>
      <c r="F827" s="165"/>
      <c r="G827" s="166"/>
      <c r="H827" s="166"/>
      <c r="I827" s="166"/>
      <c r="J827" s="166"/>
      <c r="K827" s="166"/>
      <c r="L827" s="166"/>
      <c r="M827" s="167"/>
      <c r="N827" s="167"/>
    </row>
    <row r="828">
      <c r="A828" s="163"/>
      <c r="B828" s="163"/>
      <c r="C828" s="164"/>
      <c r="D828" s="164"/>
      <c r="E828" s="165"/>
      <c r="F828" s="165"/>
      <c r="G828" s="166"/>
      <c r="H828" s="166"/>
      <c r="I828" s="166"/>
      <c r="J828" s="166"/>
      <c r="K828" s="166"/>
      <c r="L828" s="166"/>
      <c r="M828" s="167"/>
      <c r="N828" s="167"/>
    </row>
    <row r="829">
      <c r="A829" s="163"/>
      <c r="B829" s="163"/>
      <c r="C829" s="164"/>
      <c r="D829" s="164"/>
      <c r="E829" s="165"/>
      <c r="F829" s="165"/>
      <c r="G829" s="166"/>
      <c r="H829" s="166"/>
      <c r="I829" s="166"/>
      <c r="J829" s="166"/>
      <c r="K829" s="166"/>
      <c r="L829" s="166"/>
      <c r="M829" s="167"/>
      <c r="N829" s="167"/>
    </row>
    <row r="830">
      <c r="A830" s="163"/>
      <c r="B830" s="163"/>
      <c r="C830" s="164"/>
      <c r="D830" s="164"/>
      <c r="E830" s="165"/>
      <c r="F830" s="165"/>
      <c r="G830" s="166"/>
      <c r="H830" s="166"/>
      <c r="I830" s="166"/>
      <c r="J830" s="166"/>
      <c r="K830" s="166"/>
      <c r="L830" s="166"/>
      <c r="M830" s="167"/>
      <c r="N830" s="167"/>
    </row>
    <row r="831">
      <c r="A831" s="163"/>
      <c r="B831" s="163"/>
      <c r="C831" s="164"/>
      <c r="D831" s="164"/>
      <c r="E831" s="165"/>
      <c r="F831" s="165"/>
      <c r="G831" s="166"/>
      <c r="H831" s="166"/>
      <c r="I831" s="166"/>
      <c r="J831" s="166"/>
      <c r="K831" s="166"/>
      <c r="L831" s="166"/>
      <c r="M831" s="167"/>
      <c r="N831" s="167"/>
    </row>
    <row r="832">
      <c r="A832" s="163"/>
      <c r="B832" s="163"/>
      <c r="C832" s="164"/>
      <c r="D832" s="164"/>
      <c r="E832" s="165"/>
      <c r="F832" s="165"/>
      <c r="G832" s="166"/>
      <c r="H832" s="166"/>
      <c r="I832" s="166"/>
      <c r="J832" s="166"/>
      <c r="K832" s="166"/>
      <c r="L832" s="166"/>
      <c r="M832" s="167"/>
      <c r="N832" s="167"/>
    </row>
    <row r="833">
      <c r="A833" s="163"/>
      <c r="B833" s="163"/>
      <c r="C833" s="164"/>
      <c r="D833" s="164"/>
      <c r="E833" s="165"/>
      <c r="F833" s="165"/>
      <c r="G833" s="166"/>
      <c r="H833" s="166"/>
      <c r="I833" s="166"/>
      <c r="J833" s="166"/>
      <c r="K833" s="166"/>
      <c r="L833" s="166"/>
      <c r="M833" s="167"/>
      <c r="N833" s="167"/>
    </row>
    <row r="834">
      <c r="A834" s="163"/>
      <c r="B834" s="163"/>
      <c r="C834" s="164"/>
      <c r="D834" s="164"/>
      <c r="E834" s="165"/>
      <c r="F834" s="165"/>
      <c r="G834" s="166"/>
      <c r="H834" s="166"/>
      <c r="I834" s="166"/>
      <c r="J834" s="166"/>
      <c r="K834" s="166"/>
      <c r="L834" s="166"/>
      <c r="M834" s="167"/>
      <c r="N834" s="167"/>
    </row>
    <row r="835">
      <c r="A835" s="163"/>
      <c r="B835" s="163"/>
      <c r="C835" s="164"/>
      <c r="D835" s="164"/>
      <c r="E835" s="165"/>
      <c r="F835" s="165"/>
      <c r="G835" s="166"/>
      <c r="H835" s="166"/>
      <c r="I835" s="166"/>
      <c r="J835" s="166"/>
      <c r="K835" s="166"/>
      <c r="L835" s="166"/>
      <c r="M835" s="167"/>
      <c r="N835" s="167"/>
    </row>
    <row r="836">
      <c r="A836" s="163"/>
      <c r="B836" s="163"/>
      <c r="C836" s="164"/>
      <c r="D836" s="164"/>
      <c r="E836" s="165"/>
      <c r="F836" s="165"/>
      <c r="G836" s="166"/>
      <c r="H836" s="166"/>
      <c r="I836" s="166"/>
      <c r="J836" s="166"/>
      <c r="K836" s="166"/>
      <c r="L836" s="166"/>
      <c r="M836" s="167"/>
      <c r="N836" s="167"/>
    </row>
    <row r="837">
      <c r="A837" s="163"/>
      <c r="B837" s="163"/>
      <c r="C837" s="164"/>
      <c r="D837" s="164"/>
      <c r="E837" s="165"/>
      <c r="F837" s="165"/>
      <c r="G837" s="166"/>
      <c r="H837" s="166"/>
      <c r="I837" s="166"/>
      <c r="J837" s="166"/>
      <c r="K837" s="166"/>
      <c r="L837" s="166"/>
      <c r="M837" s="167"/>
      <c r="N837" s="167"/>
    </row>
    <row r="838">
      <c r="A838" s="163"/>
      <c r="B838" s="163"/>
      <c r="C838" s="164"/>
      <c r="D838" s="164"/>
      <c r="E838" s="165"/>
      <c r="F838" s="165"/>
      <c r="G838" s="166"/>
      <c r="H838" s="166"/>
      <c r="I838" s="166"/>
      <c r="J838" s="166"/>
      <c r="K838" s="166"/>
      <c r="L838" s="166"/>
      <c r="M838" s="167"/>
      <c r="N838" s="167"/>
    </row>
    <row r="839">
      <c r="A839" s="163"/>
      <c r="B839" s="163"/>
      <c r="C839" s="164"/>
      <c r="D839" s="164"/>
      <c r="E839" s="165"/>
      <c r="F839" s="165"/>
      <c r="G839" s="166"/>
      <c r="H839" s="166"/>
      <c r="I839" s="166"/>
      <c r="J839" s="166"/>
      <c r="K839" s="166"/>
      <c r="L839" s="166"/>
      <c r="M839" s="167"/>
      <c r="N839" s="167"/>
    </row>
    <row r="840">
      <c r="A840" s="163"/>
      <c r="B840" s="163"/>
      <c r="C840" s="164"/>
      <c r="D840" s="164"/>
      <c r="E840" s="165"/>
      <c r="F840" s="165"/>
      <c r="G840" s="166"/>
      <c r="H840" s="166"/>
      <c r="I840" s="166"/>
      <c r="J840" s="166"/>
      <c r="K840" s="166"/>
      <c r="L840" s="166"/>
      <c r="M840" s="167"/>
      <c r="N840" s="167"/>
    </row>
    <row r="841">
      <c r="A841" s="163"/>
      <c r="B841" s="163"/>
      <c r="C841" s="164"/>
      <c r="D841" s="164"/>
      <c r="E841" s="165"/>
      <c r="F841" s="165"/>
      <c r="G841" s="166"/>
      <c r="H841" s="166"/>
      <c r="I841" s="166"/>
      <c r="J841" s="166"/>
      <c r="K841" s="166"/>
      <c r="L841" s="166"/>
      <c r="M841" s="167"/>
      <c r="N841" s="167"/>
    </row>
    <row r="842">
      <c r="A842" s="163"/>
      <c r="B842" s="163"/>
      <c r="C842" s="164"/>
      <c r="D842" s="164"/>
      <c r="E842" s="165"/>
      <c r="F842" s="165"/>
      <c r="G842" s="166"/>
      <c r="H842" s="166"/>
      <c r="I842" s="166"/>
      <c r="J842" s="166"/>
      <c r="K842" s="166"/>
      <c r="L842" s="166"/>
      <c r="M842" s="167"/>
      <c r="N842" s="167"/>
    </row>
    <row r="843">
      <c r="A843" s="163"/>
      <c r="B843" s="163"/>
      <c r="C843" s="164"/>
      <c r="D843" s="164"/>
      <c r="E843" s="165"/>
      <c r="F843" s="165"/>
      <c r="G843" s="166"/>
      <c r="H843" s="166"/>
      <c r="I843" s="166"/>
      <c r="J843" s="166"/>
      <c r="K843" s="166"/>
      <c r="L843" s="166"/>
      <c r="M843" s="167"/>
      <c r="N843" s="167"/>
    </row>
    <row r="844">
      <c r="A844" s="163"/>
      <c r="B844" s="163"/>
      <c r="C844" s="164"/>
      <c r="D844" s="164"/>
      <c r="E844" s="165"/>
      <c r="F844" s="165"/>
      <c r="G844" s="166"/>
      <c r="H844" s="166"/>
      <c r="I844" s="166"/>
      <c r="J844" s="166"/>
      <c r="K844" s="166"/>
      <c r="L844" s="166"/>
      <c r="M844" s="167"/>
      <c r="N844" s="167"/>
    </row>
    <row r="845">
      <c r="A845" s="163"/>
      <c r="B845" s="163"/>
      <c r="C845" s="164"/>
      <c r="D845" s="164"/>
      <c r="E845" s="165"/>
      <c r="F845" s="165"/>
      <c r="G845" s="166"/>
      <c r="H845" s="166"/>
      <c r="I845" s="166"/>
      <c r="J845" s="166"/>
      <c r="K845" s="166"/>
      <c r="L845" s="166"/>
      <c r="M845" s="167"/>
      <c r="N845" s="167"/>
    </row>
    <row r="846">
      <c r="A846" s="163"/>
      <c r="B846" s="163"/>
      <c r="C846" s="164"/>
      <c r="D846" s="164"/>
      <c r="E846" s="165"/>
      <c r="F846" s="165"/>
      <c r="G846" s="166"/>
      <c r="H846" s="166"/>
      <c r="I846" s="166"/>
      <c r="J846" s="166"/>
      <c r="K846" s="166"/>
      <c r="L846" s="166"/>
      <c r="M846" s="167"/>
      <c r="N846" s="167"/>
    </row>
    <row r="847">
      <c r="A847" s="163"/>
      <c r="B847" s="163"/>
      <c r="C847" s="164"/>
      <c r="D847" s="164"/>
      <c r="E847" s="165"/>
      <c r="F847" s="165"/>
      <c r="G847" s="166"/>
      <c r="H847" s="166"/>
      <c r="I847" s="166"/>
      <c r="J847" s="166"/>
      <c r="K847" s="166"/>
      <c r="L847" s="166"/>
      <c r="M847" s="167"/>
      <c r="N847" s="167"/>
    </row>
    <row r="848">
      <c r="A848" s="163"/>
      <c r="B848" s="163"/>
      <c r="C848" s="164"/>
      <c r="D848" s="164"/>
      <c r="E848" s="165"/>
      <c r="F848" s="165"/>
      <c r="G848" s="166"/>
      <c r="H848" s="166"/>
      <c r="I848" s="166"/>
      <c r="J848" s="166"/>
      <c r="K848" s="166"/>
      <c r="L848" s="166"/>
      <c r="M848" s="167"/>
      <c r="N848" s="167"/>
    </row>
    <row r="849">
      <c r="A849" s="163"/>
      <c r="B849" s="163"/>
      <c r="C849" s="164"/>
      <c r="D849" s="164"/>
      <c r="E849" s="165"/>
      <c r="F849" s="165"/>
      <c r="G849" s="166"/>
      <c r="H849" s="166"/>
      <c r="I849" s="166"/>
      <c r="J849" s="166"/>
      <c r="K849" s="166"/>
      <c r="L849" s="166"/>
      <c r="M849" s="167"/>
      <c r="N849" s="167"/>
    </row>
    <row r="850">
      <c r="A850" s="163"/>
      <c r="B850" s="163"/>
      <c r="C850" s="164"/>
      <c r="D850" s="164"/>
      <c r="E850" s="165"/>
      <c r="F850" s="165"/>
      <c r="G850" s="166"/>
      <c r="H850" s="166"/>
      <c r="I850" s="166"/>
      <c r="J850" s="166"/>
      <c r="K850" s="166"/>
      <c r="L850" s="166"/>
      <c r="M850" s="167"/>
      <c r="N850" s="167"/>
    </row>
    <row r="851">
      <c r="A851" s="163"/>
      <c r="B851" s="163"/>
      <c r="C851" s="164"/>
      <c r="D851" s="164"/>
      <c r="E851" s="165"/>
      <c r="F851" s="165"/>
      <c r="G851" s="166"/>
      <c r="H851" s="166"/>
      <c r="I851" s="166"/>
      <c r="J851" s="166"/>
      <c r="K851" s="166"/>
      <c r="L851" s="166"/>
      <c r="M851" s="167"/>
      <c r="N851" s="167"/>
    </row>
    <row r="852">
      <c r="A852" s="163"/>
      <c r="B852" s="163"/>
      <c r="C852" s="164"/>
      <c r="D852" s="164"/>
      <c r="E852" s="165"/>
      <c r="F852" s="165"/>
      <c r="G852" s="166"/>
      <c r="H852" s="166"/>
      <c r="I852" s="166"/>
      <c r="J852" s="166"/>
      <c r="K852" s="166"/>
      <c r="L852" s="166"/>
      <c r="M852" s="167"/>
      <c r="N852" s="167"/>
    </row>
    <row r="853">
      <c r="A853" s="163"/>
      <c r="B853" s="163"/>
      <c r="C853" s="164"/>
      <c r="D853" s="164"/>
      <c r="E853" s="165"/>
      <c r="F853" s="165"/>
      <c r="G853" s="166"/>
      <c r="H853" s="166"/>
      <c r="I853" s="166"/>
      <c r="J853" s="166"/>
      <c r="K853" s="166"/>
      <c r="L853" s="166"/>
      <c r="M853" s="167"/>
      <c r="N853" s="167"/>
    </row>
    <row r="854">
      <c r="A854" s="163"/>
      <c r="B854" s="163"/>
      <c r="C854" s="164"/>
      <c r="D854" s="164"/>
      <c r="E854" s="165"/>
      <c r="F854" s="165"/>
      <c r="G854" s="166"/>
      <c r="H854" s="166"/>
      <c r="I854" s="166"/>
      <c r="J854" s="166"/>
      <c r="K854" s="166"/>
      <c r="L854" s="166"/>
      <c r="M854" s="167"/>
      <c r="N854" s="167"/>
    </row>
    <row r="855">
      <c r="A855" s="163"/>
      <c r="B855" s="163"/>
      <c r="C855" s="164"/>
      <c r="D855" s="164"/>
      <c r="E855" s="165"/>
      <c r="F855" s="165"/>
      <c r="G855" s="166"/>
      <c r="H855" s="166"/>
      <c r="I855" s="166"/>
      <c r="J855" s="166"/>
      <c r="K855" s="166"/>
      <c r="L855" s="166"/>
      <c r="M855" s="167"/>
      <c r="N855" s="167"/>
    </row>
    <row r="856">
      <c r="A856" s="163"/>
      <c r="B856" s="163"/>
      <c r="C856" s="164"/>
      <c r="D856" s="164"/>
      <c r="E856" s="165"/>
      <c r="F856" s="165"/>
      <c r="G856" s="166"/>
      <c r="H856" s="166"/>
      <c r="I856" s="166"/>
      <c r="J856" s="166"/>
      <c r="K856" s="166"/>
      <c r="L856" s="166"/>
      <c r="M856" s="167"/>
      <c r="N856" s="167"/>
    </row>
    <row r="857">
      <c r="A857" s="163"/>
      <c r="B857" s="163"/>
      <c r="C857" s="164"/>
      <c r="D857" s="164"/>
      <c r="E857" s="165"/>
      <c r="F857" s="165"/>
      <c r="G857" s="166"/>
      <c r="H857" s="166"/>
      <c r="I857" s="166"/>
      <c r="J857" s="166"/>
      <c r="K857" s="166"/>
      <c r="L857" s="166"/>
      <c r="M857" s="167"/>
      <c r="N857" s="167"/>
    </row>
    <row r="858">
      <c r="A858" s="163"/>
      <c r="B858" s="163"/>
      <c r="C858" s="164"/>
      <c r="D858" s="164"/>
      <c r="E858" s="165"/>
      <c r="F858" s="165"/>
      <c r="G858" s="166"/>
      <c r="H858" s="166"/>
      <c r="I858" s="166"/>
      <c r="J858" s="166"/>
      <c r="K858" s="166"/>
      <c r="L858" s="166"/>
      <c r="M858" s="167"/>
      <c r="N858" s="167"/>
    </row>
    <row r="859">
      <c r="A859" s="163"/>
      <c r="B859" s="163"/>
      <c r="C859" s="164"/>
      <c r="D859" s="164"/>
      <c r="E859" s="165"/>
      <c r="F859" s="165"/>
      <c r="G859" s="166"/>
      <c r="H859" s="166"/>
      <c r="I859" s="166"/>
      <c r="J859" s="166"/>
      <c r="K859" s="166"/>
      <c r="L859" s="166"/>
      <c r="M859" s="167"/>
      <c r="N859" s="167"/>
    </row>
    <row r="860">
      <c r="A860" s="163"/>
      <c r="B860" s="163"/>
      <c r="C860" s="164"/>
      <c r="D860" s="164"/>
      <c r="E860" s="165"/>
      <c r="F860" s="165"/>
      <c r="G860" s="166"/>
      <c r="H860" s="166"/>
      <c r="I860" s="166"/>
      <c r="J860" s="166"/>
      <c r="K860" s="166"/>
      <c r="L860" s="166"/>
      <c r="M860" s="167"/>
      <c r="N860" s="167"/>
    </row>
    <row r="861">
      <c r="A861" s="163"/>
      <c r="B861" s="163"/>
      <c r="C861" s="164"/>
      <c r="D861" s="164"/>
      <c r="E861" s="165"/>
      <c r="F861" s="165"/>
      <c r="G861" s="166"/>
      <c r="H861" s="166"/>
      <c r="I861" s="166"/>
      <c r="J861" s="166"/>
      <c r="K861" s="166"/>
      <c r="L861" s="166"/>
      <c r="M861" s="167"/>
      <c r="N861" s="167"/>
    </row>
    <row r="862">
      <c r="A862" s="163"/>
      <c r="B862" s="163"/>
      <c r="C862" s="164"/>
      <c r="D862" s="164"/>
      <c r="E862" s="165"/>
      <c r="F862" s="165"/>
      <c r="G862" s="166"/>
      <c r="H862" s="166"/>
      <c r="I862" s="166"/>
      <c r="J862" s="166"/>
      <c r="K862" s="166"/>
      <c r="L862" s="166"/>
      <c r="M862" s="167"/>
      <c r="N862" s="167"/>
    </row>
    <row r="863">
      <c r="A863" s="163"/>
      <c r="B863" s="163"/>
      <c r="C863" s="164"/>
      <c r="D863" s="164"/>
      <c r="E863" s="165"/>
      <c r="F863" s="165"/>
      <c r="G863" s="166"/>
      <c r="H863" s="166"/>
      <c r="I863" s="166"/>
      <c r="J863" s="166"/>
      <c r="K863" s="166"/>
      <c r="L863" s="166"/>
      <c r="M863" s="167"/>
      <c r="N863" s="167"/>
    </row>
    <row r="864">
      <c r="A864" s="163"/>
      <c r="B864" s="163"/>
      <c r="C864" s="164"/>
      <c r="D864" s="164"/>
      <c r="E864" s="165"/>
      <c r="F864" s="165"/>
      <c r="G864" s="166"/>
      <c r="H864" s="166"/>
      <c r="I864" s="166"/>
      <c r="J864" s="166"/>
      <c r="K864" s="166"/>
      <c r="L864" s="166"/>
      <c r="M864" s="167"/>
      <c r="N864" s="167"/>
    </row>
    <row r="865">
      <c r="A865" s="163"/>
      <c r="B865" s="163"/>
      <c r="C865" s="164"/>
      <c r="D865" s="164"/>
      <c r="E865" s="165"/>
      <c r="F865" s="165"/>
      <c r="G865" s="166"/>
      <c r="H865" s="166"/>
      <c r="I865" s="166"/>
      <c r="J865" s="166"/>
      <c r="K865" s="166"/>
      <c r="L865" s="166"/>
      <c r="M865" s="167"/>
      <c r="N865" s="167"/>
    </row>
    <row r="866">
      <c r="A866" s="163"/>
      <c r="B866" s="163"/>
      <c r="C866" s="164"/>
      <c r="D866" s="164"/>
      <c r="E866" s="165"/>
      <c r="F866" s="165"/>
      <c r="G866" s="166"/>
      <c r="H866" s="166"/>
      <c r="I866" s="166"/>
      <c r="J866" s="166"/>
      <c r="K866" s="166"/>
      <c r="L866" s="166"/>
      <c r="M866" s="167"/>
      <c r="N866" s="167"/>
    </row>
    <row r="867">
      <c r="A867" s="163"/>
      <c r="B867" s="163"/>
      <c r="C867" s="164"/>
      <c r="D867" s="164"/>
      <c r="E867" s="165"/>
      <c r="F867" s="165"/>
      <c r="G867" s="166"/>
      <c r="H867" s="166"/>
      <c r="I867" s="166"/>
      <c r="J867" s="166"/>
      <c r="K867" s="166"/>
      <c r="L867" s="166"/>
      <c r="M867" s="167"/>
      <c r="N867" s="167"/>
    </row>
    <row r="868">
      <c r="A868" s="163"/>
      <c r="B868" s="163"/>
      <c r="C868" s="164"/>
      <c r="D868" s="164"/>
      <c r="E868" s="165"/>
      <c r="F868" s="165"/>
      <c r="G868" s="166"/>
      <c r="H868" s="166"/>
      <c r="I868" s="166"/>
      <c r="J868" s="166"/>
      <c r="K868" s="166"/>
      <c r="L868" s="166"/>
      <c r="M868" s="167"/>
      <c r="N868" s="167"/>
    </row>
    <row r="869">
      <c r="A869" s="163"/>
      <c r="B869" s="163"/>
      <c r="C869" s="164"/>
      <c r="D869" s="164"/>
      <c r="E869" s="165"/>
      <c r="F869" s="165"/>
      <c r="G869" s="166"/>
      <c r="H869" s="166"/>
      <c r="I869" s="166"/>
      <c r="J869" s="166"/>
      <c r="K869" s="166"/>
      <c r="L869" s="166"/>
      <c r="M869" s="167"/>
      <c r="N869" s="167"/>
    </row>
    <row r="870">
      <c r="A870" s="163"/>
      <c r="B870" s="163"/>
      <c r="C870" s="164"/>
      <c r="D870" s="164"/>
      <c r="E870" s="165"/>
      <c r="F870" s="165"/>
      <c r="G870" s="166"/>
      <c r="H870" s="166"/>
      <c r="I870" s="166"/>
      <c r="J870" s="166"/>
      <c r="K870" s="166"/>
      <c r="L870" s="166"/>
      <c r="M870" s="167"/>
      <c r="N870" s="167"/>
    </row>
    <row r="871">
      <c r="A871" s="163"/>
      <c r="B871" s="163"/>
      <c r="C871" s="164"/>
      <c r="D871" s="164"/>
      <c r="E871" s="165"/>
      <c r="F871" s="165"/>
      <c r="G871" s="166"/>
      <c r="H871" s="166"/>
      <c r="I871" s="166"/>
      <c r="J871" s="166"/>
      <c r="K871" s="166"/>
      <c r="L871" s="166"/>
      <c r="M871" s="167"/>
      <c r="N871" s="167"/>
    </row>
    <row r="872">
      <c r="A872" s="163"/>
      <c r="B872" s="163"/>
      <c r="C872" s="164"/>
      <c r="D872" s="164"/>
      <c r="E872" s="165"/>
      <c r="F872" s="165"/>
      <c r="G872" s="166"/>
      <c r="H872" s="166"/>
      <c r="I872" s="166"/>
      <c r="J872" s="166"/>
      <c r="K872" s="166"/>
      <c r="L872" s="166"/>
      <c r="M872" s="167"/>
      <c r="N872" s="167"/>
    </row>
    <row r="873">
      <c r="A873" s="163"/>
      <c r="B873" s="163"/>
      <c r="C873" s="164"/>
      <c r="D873" s="164"/>
      <c r="E873" s="165"/>
      <c r="F873" s="165"/>
      <c r="G873" s="166"/>
      <c r="H873" s="166"/>
      <c r="I873" s="166"/>
      <c r="J873" s="166"/>
      <c r="K873" s="166"/>
      <c r="L873" s="166"/>
      <c r="M873" s="167"/>
      <c r="N873" s="167"/>
    </row>
    <row r="874">
      <c r="A874" s="163"/>
      <c r="B874" s="163"/>
      <c r="C874" s="164"/>
      <c r="D874" s="164"/>
      <c r="E874" s="165"/>
      <c r="F874" s="165"/>
      <c r="G874" s="166"/>
      <c r="H874" s="166"/>
      <c r="I874" s="166"/>
      <c r="J874" s="166"/>
      <c r="K874" s="166"/>
      <c r="L874" s="166"/>
      <c r="M874" s="167"/>
      <c r="N874" s="167"/>
    </row>
    <row r="875">
      <c r="A875" s="163"/>
      <c r="B875" s="163"/>
      <c r="C875" s="164"/>
      <c r="D875" s="164"/>
      <c r="E875" s="165"/>
      <c r="F875" s="165"/>
      <c r="G875" s="166"/>
      <c r="H875" s="166"/>
      <c r="I875" s="166"/>
      <c r="J875" s="166"/>
      <c r="K875" s="166"/>
      <c r="L875" s="166"/>
      <c r="M875" s="167"/>
      <c r="N875" s="167"/>
    </row>
    <row r="876">
      <c r="A876" s="163"/>
      <c r="B876" s="163"/>
      <c r="C876" s="164"/>
      <c r="D876" s="164"/>
      <c r="E876" s="165"/>
      <c r="F876" s="165"/>
      <c r="G876" s="166"/>
      <c r="H876" s="166"/>
      <c r="I876" s="166"/>
      <c r="J876" s="166"/>
      <c r="K876" s="166"/>
      <c r="L876" s="166"/>
      <c r="M876" s="167"/>
      <c r="N876" s="167"/>
    </row>
    <row r="877">
      <c r="A877" s="163"/>
      <c r="B877" s="163"/>
      <c r="C877" s="164"/>
      <c r="D877" s="164"/>
      <c r="E877" s="165"/>
      <c r="F877" s="165"/>
      <c r="G877" s="166"/>
      <c r="H877" s="166"/>
      <c r="I877" s="166"/>
      <c r="J877" s="166"/>
      <c r="K877" s="166"/>
      <c r="L877" s="166"/>
      <c r="M877" s="167"/>
      <c r="N877" s="167"/>
    </row>
    <row r="878">
      <c r="A878" s="163"/>
      <c r="B878" s="163"/>
      <c r="C878" s="164"/>
      <c r="D878" s="164"/>
      <c r="E878" s="165"/>
      <c r="F878" s="165"/>
      <c r="G878" s="166"/>
      <c r="H878" s="166"/>
      <c r="I878" s="166"/>
      <c r="J878" s="166"/>
      <c r="K878" s="166"/>
      <c r="L878" s="166"/>
      <c r="M878" s="167"/>
      <c r="N878" s="167"/>
    </row>
    <row r="879">
      <c r="A879" s="163"/>
      <c r="B879" s="163"/>
      <c r="C879" s="164"/>
      <c r="D879" s="164"/>
      <c r="E879" s="165"/>
      <c r="F879" s="165"/>
      <c r="G879" s="166"/>
      <c r="H879" s="166"/>
      <c r="I879" s="166"/>
      <c r="J879" s="166"/>
      <c r="K879" s="166"/>
      <c r="L879" s="166"/>
      <c r="M879" s="167"/>
      <c r="N879" s="167"/>
    </row>
    <row r="880">
      <c r="A880" s="163"/>
      <c r="B880" s="163"/>
      <c r="C880" s="164"/>
      <c r="D880" s="164"/>
      <c r="E880" s="165"/>
      <c r="F880" s="165"/>
      <c r="G880" s="166"/>
      <c r="H880" s="166"/>
      <c r="I880" s="166"/>
      <c r="J880" s="166"/>
      <c r="K880" s="166"/>
      <c r="L880" s="166"/>
      <c r="M880" s="167"/>
      <c r="N880" s="167"/>
    </row>
    <row r="881">
      <c r="A881" s="163"/>
      <c r="B881" s="163"/>
      <c r="C881" s="164"/>
      <c r="D881" s="164"/>
      <c r="E881" s="165"/>
      <c r="F881" s="165"/>
      <c r="G881" s="166"/>
      <c r="H881" s="166"/>
      <c r="I881" s="166"/>
      <c r="J881" s="166"/>
      <c r="K881" s="166"/>
      <c r="L881" s="166"/>
      <c r="M881" s="167"/>
      <c r="N881" s="167"/>
    </row>
    <row r="882">
      <c r="A882" s="163"/>
      <c r="B882" s="163"/>
      <c r="C882" s="164"/>
      <c r="D882" s="164"/>
      <c r="E882" s="165"/>
      <c r="F882" s="165"/>
      <c r="G882" s="166"/>
      <c r="H882" s="166"/>
      <c r="I882" s="166"/>
      <c r="J882" s="166"/>
      <c r="K882" s="166"/>
      <c r="L882" s="166"/>
      <c r="M882" s="167"/>
      <c r="N882" s="167"/>
    </row>
    <row r="883">
      <c r="A883" s="163"/>
      <c r="B883" s="163"/>
      <c r="C883" s="164"/>
      <c r="D883" s="164"/>
      <c r="E883" s="165"/>
      <c r="F883" s="165"/>
      <c r="G883" s="166"/>
      <c r="H883" s="166"/>
      <c r="I883" s="166"/>
      <c r="J883" s="166"/>
      <c r="K883" s="166"/>
      <c r="L883" s="166"/>
      <c r="M883" s="167"/>
      <c r="N883" s="167"/>
    </row>
    <row r="884">
      <c r="A884" s="163"/>
      <c r="B884" s="163"/>
      <c r="C884" s="164"/>
      <c r="D884" s="164"/>
      <c r="E884" s="165"/>
      <c r="F884" s="165"/>
      <c r="G884" s="166"/>
      <c r="H884" s="166"/>
      <c r="I884" s="166"/>
      <c r="J884" s="166"/>
      <c r="K884" s="166"/>
      <c r="L884" s="166"/>
      <c r="M884" s="167"/>
      <c r="N884" s="167"/>
    </row>
    <row r="885">
      <c r="A885" s="163"/>
      <c r="B885" s="163"/>
      <c r="C885" s="164"/>
      <c r="D885" s="164"/>
      <c r="E885" s="165"/>
      <c r="F885" s="165"/>
      <c r="G885" s="166"/>
      <c r="H885" s="166"/>
      <c r="I885" s="166"/>
      <c r="J885" s="166"/>
      <c r="K885" s="166"/>
      <c r="L885" s="166"/>
      <c r="M885" s="167"/>
      <c r="N885" s="167"/>
    </row>
    <row r="886">
      <c r="A886" s="163"/>
      <c r="B886" s="163"/>
      <c r="C886" s="164"/>
      <c r="D886" s="164"/>
      <c r="E886" s="165"/>
      <c r="F886" s="165"/>
      <c r="G886" s="166"/>
      <c r="H886" s="166"/>
      <c r="I886" s="166"/>
      <c r="J886" s="166"/>
      <c r="K886" s="166"/>
      <c r="L886" s="166"/>
      <c r="M886" s="167"/>
      <c r="N886" s="167"/>
    </row>
    <row r="887">
      <c r="A887" s="163"/>
      <c r="B887" s="163"/>
      <c r="C887" s="164"/>
      <c r="D887" s="164"/>
      <c r="E887" s="165"/>
      <c r="F887" s="165"/>
      <c r="G887" s="166"/>
      <c r="H887" s="166"/>
      <c r="I887" s="166"/>
      <c r="J887" s="166"/>
      <c r="K887" s="166"/>
      <c r="L887" s="166"/>
      <c r="M887" s="167"/>
      <c r="N887" s="167"/>
    </row>
    <row r="888">
      <c r="A888" s="163"/>
      <c r="B888" s="163"/>
      <c r="C888" s="164"/>
      <c r="D888" s="164"/>
      <c r="E888" s="165"/>
      <c r="F888" s="165"/>
      <c r="G888" s="166"/>
      <c r="H888" s="166"/>
      <c r="I888" s="166"/>
      <c r="J888" s="166"/>
      <c r="K888" s="166"/>
      <c r="L888" s="166"/>
      <c r="M888" s="167"/>
      <c r="N888" s="167"/>
    </row>
    <row r="889">
      <c r="A889" s="163"/>
      <c r="B889" s="163"/>
      <c r="C889" s="164"/>
      <c r="D889" s="164"/>
      <c r="E889" s="165"/>
      <c r="F889" s="165"/>
      <c r="G889" s="166"/>
      <c r="H889" s="166"/>
      <c r="I889" s="166"/>
      <c r="J889" s="166"/>
      <c r="K889" s="166"/>
      <c r="L889" s="166"/>
      <c r="M889" s="167"/>
      <c r="N889" s="167"/>
    </row>
    <row r="890">
      <c r="A890" s="163"/>
      <c r="B890" s="163"/>
      <c r="C890" s="164"/>
      <c r="D890" s="164"/>
      <c r="E890" s="165"/>
      <c r="F890" s="165"/>
      <c r="G890" s="166"/>
      <c r="H890" s="166"/>
      <c r="I890" s="166"/>
      <c r="J890" s="166"/>
      <c r="K890" s="166"/>
      <c r="L890" s="166"/>
      <c r="M890" s="167"/>
      <c r="N890" s="167"/>
    </row>
    <row r="891">
      <c r="A891" s="163"/>
      <c r="B891" s="163"/>
      <c r="C891" s="164"/>
      <c r="D891" s="164"/>
      <c r="E891" s="165"/>
      <c r="F891" s="165"/>
      <c r="G891" s="166"/>
      <c r="H891" s="166"/>
      <c r="I891" s="166"/>
      <c r="J891" s="166"/>
      <c r="K891" s="166"/>
      <c r="L891" s="166"/>
      <c r="M891" s="167"/>
      <c r="N891" s="167"/>
    </row>
    <row r="892">
      <c r="A892" s="163"/>
      <c r="B892" s="163"/>
      <c r="C892" s="164"/>
      <c r="D892" s="164"/>
      <c r="E892" s="165"/>
      <c r="F892" s="165"/>
      <c r="G892" s="166"/>
      <c r="H892" s="166"/>
      <c r="I892" s="166"/>
      <c r="J892" s="166"/>
      <c r="K892" s="166"/>
      <c r="L892" s="166"/>
      <c r="M892" s="167"/>
      <c r="N892" s="167"/>
    </row>
    <row r="893">
      <c r="A893" s="163"/>
      <c r="B893" s="163"/>
      <c r="C893" s="164"/>
      <c r="D893" s="164"/>
      <c r="E893" s="165"/>
      <c r="F893" s="165"/>
      <c r="G893" s="166"/>
      <c r="H893" s="166"/>
      <c r="I893" s="166"/>
      <c r="J893" s="166"/>
      <c r="K893" s="166"/>
      <c r="L893" s="166"/>
      <c r="M893" s="167"/>
      <c r="N893" s="167"/>
    </row>
    <row r="894">
      <c r="A894" s="163"/>
      <c r="B894" s="163"/>
      <c r="C894" s="164"/>
      <c r="D894" s="164"/>
      <c r="E894" s="165"/>
      <c r="F894" s="165"/>
      <c r="G894" s="166"/>
      <c r="H894" s="166"/>
      <c r="I894" s="166"/>
      <c r="J894" s="166"/>
      <c r="K894" s="166"/>
      <c r="L894" s="166"/>
      <c r="M894" s="167"/>
      <c r="N894" s="167"/>
    </row>
    <row r="895">
      <c r="A895" s="163"/>
      <c r="B895" s="163"/>
      <c r="C895" s="164"/>
      <c r="D895" s="164"/>
      <c r="E895" s="165"/>
      <c r="F895" s="165"/>
      <c r="G895" s="166"/>
      <c r="H895" s="166"/>
      <c r="I895" s="166"/>
      <c r="J895" s="166"/>
      <c r="K895" s="166"/>
      <c r="L895" s="166"/>
      <c r="M895" s="167"/>
      <c r="N895" s="167"/>
    </row>
    <row r="896">
      <c r="A896" s="163"/>
      <c r="B896" s="163"/>
      <c r="C896" s="164"/>
      <c r="D896" s="164"/>
      <c r="E896" s="165"/>
      <c r="F896" s="165"/>
      <c r="G896" s="166"/>
      <c r="H896" s="166"/>
      <c r="I896" s="166"/>
      <c r="J896" s="166"/>
      <c r="K896" s="166"/>
      <c r="L896" s="166"/>
      <c r="M896" s="167"/>
      <c r="N896" s="167"/>
    </row>
    <row r="897">
      <c r="A897" s="163"/>
      <c r="B897" s="163"/>
      <c r="C897" s="164"/>
      <c r="D897" s="164"/>
      <c r="E897" s="165"/>
      <c r="F897" s="165"/>
      <c r="G897" s="166"/>
      <c r="H897" s="166"/>
      <c r="I897" s="166"/>
      <c r="J897" s="166"/>
      <c r="K897" s="166"/>
      <c r="L897" s="166"/>
      <c r="M897" s="167"/>
      <c r="N897" s="167"/>
    </row>
    <row r="898">
      <c r="A898" s="163"/>
      <c r="B898" s="163"/>
      <c r="C898" s="164"/>
      <c r="D898" s="164"/>
      <c r="E898" s="165"/>
      <c r="F898" s="165"/>
      <c r="G898" s="166"/>
      <c r="H898" s="166"/>
      <c r="I898" s="166"/>
      <c r="J898" s="166"/>
      <c r="K898" s="166"/>
      <c r="L898" s="166"/>
      <c r="M898" s="167"/>
      <c r="N898" s="167"/>
    </row>
    <row r="899">
      <c r="A899" s="163"/>
      <c r="B899" s="163"/>
      <c r="C899" s="164"/>
      <c r="D899" s="164"/>
      <c r="E899" s="165"/>
      <c r="F899" s="165"/>
      <c r="G899" s="166"/>
      <c r="H899" s="166"/>
      <c r="I899" s="166"/>
      <c r="J899" s="166"/>
      <c r="K899" s="166"/>
      <c r="L899" s="166"/>
      <c r="M899" s="167"/>
      <c r="N899" s="167"/>
    </row>
    <row r="900">
      <c r="A900" s="163"/>
      <c r="B900" s="163"/>
      <c r="C900" s="164"/>
      <c r="D900" s="164"/>
      <c r="E900" s="165"/>
      <c r="F900" s="165"/>
      <c r="G900" s="166"/>
      <c r="H900" s="166"/>
      <c r="I900" s="166"/>
      <c r="J900" s="166"/>
      <c r="K900" s="166"/>
      <c r="L900" s="166"/>
      <c r="M900" s="167"/>
      <c r="N900" s="167"/>
    </row>
    <row r="901">
      <c r="A901" s="163"/>
      <c r="B901" s="163"/>
      <c r="C901" s="164"/>
      <c r="D901" s="164"/>
      <c r="E901" s="165"/>
      <c r="F901" s="165"/>
      <c r="G901" s="166"/>
      <c r="H901" s="166"/>
      <c r="I901" s="166"/>
      <c r="J901" s="166"/>
      <c r="K901" s="166"/>
      <c r="L901" s="166"/>
      <c r="M901" s="167"/>
      <c r="N901" s="167"/>
    </row>
    <row r="902">
      <c r="A902" s="163"/>
      <c r="B902" s="163"/>
      <c r="C902" s="164"/>
      <c r="D902" s="164"/>
      <c r="E902" s="165"/>
      <c r="F902" s="165"/>
      <c r="G902" s="166"/>
      <c r="H902" s="166"/>
      <c r="I902" s="166"/>
      <c r="J902" s="166"/>
      <c r="K902" s="166"/>
      <c r="L902" s="166"/>
      <c r="M902" s="167"/>
      <c r="N902" s="167"/>
    </row>
    <row r="903">
      <c r="A903" s="163"/>
      <c r="B903" s="163"/>
      <c r="C903" s="164"/>
      <c r="D903" s="164"/>
      <c r="E903" s="165"/>
      <c r="F903" s="165"/>
      <c r="G903" s="166"/>
      <c r="H903" s="166"/>
      <c r="I903" s="166"/>
      <c r="J903" s="166"/>
      <c r="K903" s="166"/>
      <c r="L903" s="166"/>
      <c r="M903" s="167"/>
      <c r="N903" s="167"/>
    </row>
    <row r="904">
      <c r="A904" s="163"/>
      <c r="B904" s="163"/>
      <c r="C904" s="164"/>
      <c r="D904" s="164"/>
      <c r="E904" s="165"/>
      <c r="F904" s="165"/>
      <c r="G904" s="166"/>
      <c r="H904" s="166"/>
      <c r="I904" s="166"/>
      <c r="J904" s="166"/>
      <c r="K904" s="166"/>
      <c r="L904" s="166"/>
      <c r="M904" s="167"/>
      <c r="N904" s="167"/>
    </row>
    <row r="905">
      <c r="A905" s="163"/>
      <c r="B905" s="163"/>
      <c r="C905" s="164"/>
      <c r="D905" s="164"/>
      <c r="E905" s="165"/>
      <c r="F905" s="165"/>
      <c r="G905" s="166"/>
      <c r="H905" s="166"/>
      <c r="I905" s="166"/>
      <c r="J905" s="166"/>
      <c r="K905" s="166"/>
      <c r="L905" s="166"/>
      <c r="M905" s="167"/>
      <c r="N905" s="167"/>
    </row>
    <row r="906">
      <c r="A906" s="163"/>
      <c r="B906" s="163"/>
      <c r="C906" s="164"/>
      <c r="D906" s="164"/>
      <c r="E906" s="165"/>
      <c r="F906" s="165"/>
      <c r="G906" s="166"/>
      <c r="H906" s="166"/>
      <c r="I906" s="166"/>
      <c r="J906" s="166"/>
      <c r="K906" s="166"/>
      <c r="L906" s="166"/>
      <c r="M906" s="167"/>
      <c r="N906" s="167"/>
    </row>
    <row r="907">
      <c r="A907" s="163"/>
      <c r="B907" s="163"/>
      <c r="C907" s="164"/>
      <c r="D907" s="164"/>
      <c r="E907" s="165"/>
      <c r="F907" s="165"/>
      <c r="G907" s="166"/>
      <c r="H907" s="166"/>
      <c r="I907" s="166"/>
      <c r="J907" s="166"/>
      <c r="K907" s="166"/>
      <c r="L907" s="166"/>
      <c r="M907" s="167"/>
      <c r="N907" s="167"/>
    </row>
    <row r="908">
      <c r="A908" s="163"/>
      <c r="B908" s="163"/>
      <c r="C908" s="164"/>
      <c r="D908" s="164"/>
      <c r="E908" s="165"/>
      <c r="F908" s="165"/>
      <c r="G908" s="166"/>
      <c r="H908" s="166"/>
      <c r="I908" s="166"/>
      <c r="J908" s="166"/>
      <c r="K908" s="166"/>
      <c r="L908" s="166"/>
      <c r="M908" s="167"/>
      <c r="N908" s="167"/>
    </row>
    <row r="909">
      <c r="A909" s="163"/>
      <c r="B909" s="163"/>
      <c r="C909" s="164"/>
      <c r="D909" s="164"/>
      <c r="E909" s="165"/>
      <c r="F909" s="165"/>
      <c r="G909" s="166"/>
      <c r="H909" s="166"/>
      <c r="I909" s="166"/>
      <c r="J909" s="166"/>
      <c r="K909" s="166"/>
      <c r="L909" s="166"/>
      <c r="M909" s="167"/>
      <c r="N909" s="167"/>
    </row>
    <row r="910">
      <c r="A910" s="163"/>
      <c r="B910" s="163"/>
      <c r="C910" s="164"/>
      <c r="D910" s="164"/>
      <c r="E910" s="165"/>
      <c r="F910" s="165"/>
      <c r="G910" s="166"/>
      <c r="H910" s="166"/>
      <c r="I910" s="166"/>
      <c r="J910" s="166"/>
      <c r="K910" s="166"/>
      <c r="L910" s="166"/>
      <c r="M910" s="167"/>
      <c r="N910" s="167"/>
    </row>
    <row r="911">
      <c r="A911" s="163"/>
      <c r="B911" s="163"/>
      <c r="C911" s="164"/>
      <c r="D911" s="164"/>
      <c r="E911" s="165"/>
      <c r="F911" s="165"/>
      <c r="G911" s="166"/>
      <c r="H911" s="166"/>
      <c r="I911" s="166"/>
      <c r="J911" s="166"/>
      <c r="K911" s="166"/>
      <c r="L911" s="166"/>
      <c r="M911" s="167"/>
      <c r="N911" s="167"/>
    </row>
    <row r="912">
      <c r="A912" s="163"/>
      <c r="B912" s="163"/>
      <c r="C912" s="164"/>
      <c r="D912" s="164"/>
      <c r="E912" s="165"/>
      <c r="F912" s="165"/>
      <c r="G912" s="166"/>
      <c r="H912" s="166"/>
      <c r="I912" s="166"/>
      <c r="J912" s="166"/>
      <c r="K912" s="166"/>
      <c r="L912" s="166"/>
      <c r="M912" s="167"/>
      <c r="N912" s="167"/>
    </row>
    <row r="913">
      <c r="A913" s="163"/>
      <c r="B913" s="163"/>
      <c r="C913" s="164"/>
      <c r="D913" s="164"/>
      <c r="E913" s="165"/>
      <c r="F913" s="165"/>
      <c r="G913" s="166"/>
      <c r="H913" s="166"/>
      <c r="I913" s="166"/>
      <c r="J913" s="166"/>
      <c r="K913" s="166"/>
      <c r="L913" s="166"/>
      <c r="M913" s="167"/>
      <c r="N913" s="167"/>
    </row>
    <row r="914">
      <c r="A914" s="163"/>
      <c r="B914" s="163"/>
      <c r="C914" s="164"/>
      <c r="D914" s="164"/>
      <c r="E914" s="165"/>
      <c r="F914" s="165"/>
      <c r="G914" s="166"/>
      <c r="H914" s="166"/>
      <c r="I914" s="166"/>
      <c r="J914" s="166"/>
      <c r="K914" s="166"/>
      <c r="L914" s="166"/>
      <c r="M914" s="167"/>
      <c r="N914" s="167"/>
    </row>
    <row r="915">
      <c r="A915" s="163"/>
      <c r="B915" s="163"/>
      <c r="C915" s="164"/>
      <c r="D915" s="164"/>
      <c r="E915" s="165"/>
      <c r="F915" s="165"/>
      <c r="G915" s="166"/>
      <c r="H915" s="166"/>
      <c r="I915" s="166"/>
      <c r="J915" s="166"/>
      <c r="K915" s="166"/>
      <c r="L915" s="166"/>
      <c r="M915" s="167"/>
      <c r="N915" s="167"/>
    </row>
    <row r="916">
      <c r="A916" s="163"/>
      <c r="B916" s="163"/>
      <c r="C916" s="164"/>
      <c r="D916" s="164"/>
      <c r="E916" s="165"/>
      <c r="F916" s="165"/>
      <c r="G916" s="166"/>
      <c r="H916" s="166"/>
      <c r="I916" s="166"/>
      <c r="J916" s="166"/>
      <c r="K916" s="166"/>
      <c r="L916" s="166"/>
      <c r="M916" s="167"/>
      <c r="N916" s="167"/>
    </row>
    <row r="917">
      <c r="A917" s="163"/>
      <c r="B917" s="163"/>
      <c r="C917" s="164"/>
      <c r="D917" s="164"/>
      <c r="E917" s="165"/>
      <c r="F917" s="165"/>
      <c r="G917" s="166"/>
      <c r="H917" s="166"/>
      <c r="I917" s="166"/>
      <c r="J917" s="166"/>
      <c r="K917" s="166"/>
      <c r="L917" s="166"/>
      <c r="M917" s="167"/>
      <c r="N917" s="167"/>
    </row>
    <row r="918">
      <c r="A918" s="163"/>
      <c r="B918" s="163"/>
      <c r="C918" s="164"/>
      <c r="D918" s="164"/>
      <c r="E918" s="165"/>
      <c r="F918" s="165"/>
      <c r="G918" s="166"/>
      <c r="H918" s="166"/>
      <c r="I918" s="166"/>
      <c r="J918" s="166"/>
      <c r="K918" s="166"/>
      <c r="L918" s="166"/>
      <c r="M918" s="167"/>
      <c r="N918" s="167"/>
    </row>
    <row r="919">
      <c r="A919" s="163"/>
      <c r="B919" s="163"/>
      <c r="C919" s="164"/>
      <c r="D919" s="164"/>
      <c r="E919" s="165"/>
      <c r="F919" s="165"/>
      <c r="G919" s="166"/>
      <c r="H919" s="166"/>
      <c r="I919" s="166"/>
      <c r="J919" s="166"/>
      <c r="K919" s="166"/>
      <c r="L919" s="166"/>
      <c r="M919" s="167"/>
      <c r="N919" s="167"/>
    </row>
    <row r="920">
      <c r="A920" s="163"/>
      <c r="B920" s="163"/>
      <c r="C920" s="164"/>
      <c r="D920" s="164"/>
      <c r="E920" s="165"/>
      <c r="F920" s="165"/>
      <c r="G920" s="166"/>
      <c r="H920" s="166"/>
      <c r="I920" s="166"/>
      <c r="J920" s="166"/>
      <c r="K920" s="166"/>
      <c r="L920" s="166"/>
      <c r="M920" s="167"/>
      <c r="N920" s="167"/>
    </row>
    <row r="921">
      <c r="A921" s="163"/>
      <c r="B921" s="163"/>
      <c r="C921" s="164"/>
      <c r="D921" s="164"/>
      <c r="E921" s="165"/>
      <c r="F921" s="165"/>
      <c r="G921" s="166"/>
      <c r="H921" s="166"/>
      <c r="I921" s="166"/>
      <c r="J921" s="166"/>
      <c r="K921" s="166"/>
      <c r="L921" s="166"/>
      <c r="M921" s="167"/>
      <c r="N921" s="167"/>
    </row>
    <row r="922">
      <c r="A922" s="163"/>
      <c r="B922" s="163"/>
      <c r="C922" s="164"/>
      <c r="D922" s="164"/>
      <c r="E922" s="165"/>
      <c r="F922" s="165"/>
      <c r="G922" s="166"/>
      <c r="H922" s="166"/>
      <c r="I922" s="166"/>
      <c r="J922" s="166"/>
      <c r="K922" s="166"/>
      <c r="L922" s="166"/>
      <c r="M922" s="167"/>
      <c r="N922" s="167"/>
    </row>
    <row r="923">
      <c r="A923" s="163"/>
      <c r="B923" s="163"/>
      <c r="C923" s="164"/>
      <c r="D923" s="164"/>
      <c r="E923" s="165"/>
      <c r="F923" s="165"/>
      <c r="G923" s="166"/>
      <c r="H923" s="166"/>
      <c r="I923" s="166"/>
      <c r="J923" s="166"/>
      <c r="K923" s="166"/>
      <c r="L923" s="166"/>
      <c r="M923" s="167"/>
      <c r="N923" s="167"/>
    </row>
    <row r="924">
      <c r="A924" s="163"/>
      <c r="B924" s="163"/>
      <c r="C924" s="164"/>
      <c r="D924" s="164"/>
      <c r="E924" s="165"/>
      <c r="F924" s="165"/>
      <c r="G924" s="166"/>
      <c r="H924" s="166"/>
      <c r="I924" s="166"/>
      <c r="J924" s="166"/>
      <c r="K924" s="166"/>
      <c r="L924" s="166"/>
      <c r="M924" s="167"/>
      <c r="N924" s="167"/>
    </row>
    <row r="925">
      <c r="A925" s="163"/>
      <c r="B925" s="163"/>
      <c r="C925" s="164"/>
      <c r="D925" s="164"/>
      <c r="E925" s="165"/>
      <c r="F925" s="165"/>
      <c r="G925" s="166"/>
      <c r="H925" s="166"/>
      <c r="I925" s="166"/>
      <c r="J925" s="166"/>
      <c r="K925" s="166"/>
      <c r="L925" s="166"/>
      <c r="M925" s="167"/>
      <c r="N925" s="167"/>
    </row>
    <row r="926">
      <c r="A926" s="163"/>
      <c r="B926" s="163"/>
      <c r="C926" s="164"/>
      <c r="D926" s="164"/>
      <c r="E926" s="165"/>
      <c r="F926" s="165"/>
      <c r="G926" s="166"/>
      <c r="H926" s="166"/>
      <c r="I926" s="166"/>
      <c r="J926" s="166"/>
      <c r="K926" s="166"/>
      <c r="L926" s="166"/>
      <c r="M926" s="167"/>
      <c r="N926" s="167"/>
    </row>
    <row r="927">
      <c r="A927" s="163"/>
      <c r="B927" s="163"/>
      <c r="C927" s="164"/>
      <c r="D927" s="164"/>
      <c r="E927" s="165"/>
      <c r="F927" s="165"/>
      <c r="G927" s="166"/>
      <c r="H927" s="166"/>
      <c r="I927" s="166"/>
      <c r="J927" s="166"/>
      <c r="K927" s="166"/>
      <c r="L927" s="166"/>
      <c r="M927" s="167"/>
      <c r="N927" s="167"/>
    </row>
    <row r="928">
      <c r="A928" s="163"/>
      <c r="B928" s="163"/>
      <c r="C928" s="164"/>
      <c r="D928" s="164"/>
      <c r="E928" s="165"/>
      <c r="F928" s="165"/>
      <c r="G928" s="166"/>
      <c r="H928" s="166"/>
      <c r="I928" s="166"/>
      <c r="J928" s="166"/>
      <c r="K928" s="166"/>
      <c r="L928" s="166"/>
      <c r="M928" s="167"/>
      <c r="N928" s="167"/>
    </row>
    <row r="929">
      <c r="A929" s="163"/>
      <c r="B929" s="163"/>
      <c r="C929" s="164"/>
      <c r="D929" s="164"/>
      <c r="E929" s="165"/>
      <c r="F929" s="165"/>
      <c r="G929" s="166"/>
      <c r="H929" s="166"/>
      <c r="I929" s="166"/>
      <c r="J929" s="166"/>
      <c r="K929" s="166"/>
      <c r="L929" s="166"/>
      <c r="M929" s="167"/>
      <c r="N929" s="167"/>
    </row>
    <row r="930">
      <c r="A930" s="163"/>
      <c r="B930" s="163"/>
      <c r="C930" s="164"/>
      <c r="D930" s="164"/>
      <c r="E930" s="165"/>
      <c r="F930" s="165"/>
      <c r="G930" s="166"/>
      <c r="H930" s="166"/>
      <c r="I930" s="166"/>
      <c r="J930" s="166"/>
      <c r="K930" s="166"/>
      <c r="L930" s="166"/>
      <c r="M930" s="167"/>
      <c r="N930" s="167"/>
    </row>
    <row r="931">
      <c r="A931" s="163"/>
      <c r="B931" s="163"/>
      <c r="C931" s="164"/>
      <c r="D931" s="164"/>
      <c r="E931" s="165"/>
      <c r="F931" s="165"/>
      <c r="G931" s="166"/>
      <c r="H931" s="166"/>
      <c r="I931" s="166"/>
      <c r="J931" s="166"/>
      <c r="K931" s="166"/>
      <c r="L931" s="166"/>
      <c r="M931" s="167"/>
      <c r="N931" s="167"/>
    </row>
    <row r="932">
      <c r="A932" s="163"/>
      <c r="B932" s="163"/>
      <c r="C932" s="164"/>
      <c r="D932" s="164"/>
      <c r="E932" s="165"/>
      <c r="F932" s="165"/>
      <c r="G932" s="166"/>
      <c r="H932" s="166"/>
      <c r="I932" s="166"/>
      <c r="J932" s="166"/>
      <c r="K932" s="166"/>
      <c r="L932" s="166"/>
      <c r="M932" s="167"/>
      <c r="N932" s="167"/>
    </row>
    <row r="933">
      <c r="A933" s="163"/>
      <c r="B933" s="163"/>
      <c r="C933" s="164"/>
      <c r="D933" s="164"/>
      <c r="E933" s="165"/>
      <c r="F933" s="165"/>
      <c r="G933" s="166"/>
      <c r="H933" s="166"/>
      <c r="I933" s="166"/>
      <c r="J933" s="166"/>
      <c r="K933" s="166"/>
      <c r="L933" s="166"/>
      <c r="M933" s="167"/>
      <c r="N933" s="167"/>
    </row>
    <row r="934">
      <c r="A934" s="163"/>
      <c r="B934" s="163"/>
      <c r="C934" s="164"/>
      <c r="D934" s="164"/>
      <c r="E934" s="165"/>
      <c r="F934" s="165"/>
      <c r="G934" s="166"/>
      <c r="H934" s="166"/>
      <c r="I934" s="166"/>
      <c r="J934" s="166"/>
      <c r="K934" s="166"/>
      <c r="L934" s="166"/>
      <c r="M934" s="167"/>
      <c r="N934" s="167"/>
    </row>
    <row r="935">
      <c r="A935" s="163"/>
      <c r="B935" s="163"/>
      <c r="C935" s="164"/>
      <c r="D935" s="164"/>
      <c r="E935" s="165"/>
      <c r="F935" s="165"/>
      <c r="G935" s="166"/>
      <c r="H935" s="166"/>
      <c r="I935" s="166"/>
      <c r="J935" s="166"/>
      <c r="K935" s="166"/>
      <c r="L935" s="166"/>
      <c r="M935" s="167"/>
      <c r="N935" s="167"/>
    </row>
    <row r="936">
      <c r="A936" s="163"/>
      <c r="B936" s="163"/>
      <c r="C936" s="164"/>
      <c r="D936" s="164"/>
      <c r="E936" s="165"/>
      <c r="F936" s="165"/>
      <c r="G936" s="166"/>
      <c r="H936" s="166"/>
      <c r="I936" s="166"/>
      <c r="J936" s="166"/>
      <c r="K936" s="166"/>
      <c r="L936" s="166"/>
      <c r="M936" s="167"/>
      <c r="N936" s="167"/>
    </row>
    <row r="937">
      <c r="A937" s="163"/>
      <c r="B937" s="163"/>
      <c r="C937" s="164"/>
      <c r="D937" s="164"/>
      <c r="E937" s="165"/>
      <c r="F937" s="165"/>
      <c r="G937" s="166"/>
      <c r="H937" s="166"/>
      <c r="I937" s="166"/>
      <c r="J937" s="166"/>
      <c r="K937" s="166"/>
      <c r="L937" s="166"/>
      <c r="M937" s="167"/>
      <c r="N937" s="167"/>
    </row>
    <row r="938">
      <c r="A938" s="163"/>
      <c r="B938" s="163"/>
      <c r="C938" s="164"/>
      <c r="D938" s="164"/>
      <c r="E938" s="165"/>
      <c r="F938" s="165"/>
      <c r="G938" s="166"/>
      <c r="H938" s="166"/>
      <c r="I938" s="166"/>
      <c r="J938" s="166"/>
      <c r="K938" s="166"/>
      <c r="L938" s="166"/>
      <c r="M938" s="167"/>
      <c r="N938" s="167"/>
    </row>
    <row r="939">
      <c r="A939" s="163"/>
      <c r="B939" s="163"/>
      <c r="C939" s="164"/>
      <c r="D939" s="164"/>
      <c r="E939" s="165"/>
      <c r="F939" s="165"/>
      <c r="G939" s="166"/>
      <c r="H939" s="166"/>
      <c r="I939" s="166"/>
      <c r="J939" s="166"/>
      <c r="K939" s="166"/>
      <c r="L939" s="166"/>
      <c r="M939" s="167"/>
      <c r="N939" s="167"/>
    </row>
    <row r="940">
      <c r="A940" s="163"/>
      <c r="B940" s="163"/>
      <c r="C940" s="164"/>
      <c r="D940" s="164"/>
      <c r="E940" s="165"/>
      <c r="F940" s="165"/>
      <c r="G940" s="166"/>
      <c r="H940" s="166"/>
      <c r="I940" s="166"/>
      <c r="J940" s="166"/>
      <c r="K940" s="166"/>
      <c r="L940" s="166"/>
      <c r="M940" s="167"/>
      <c r="N940" s="167"/>
    </row>
    <row r="941">
      <c r="A941" s="163"/>
      <c r="B941" s="163"/>
      <c r="C941" s="164"/>
      <c r="D941" s="164"/>
      <c r="E941" s="165"/>
      <c r="F941" s="165"/>
      <c r="G941" s="166"/>
      <c r="H941" s="166"/>
      <c r="I941" s="166"/>
      <c r="J941" s="166"/>
      <c r="K941" s="166"/>
      <c r="L941" s="166"/>
      <c r="M941" s="167"/>
      <c r="N941" s="167"/>
    </row>
    <row r="942">
      <c r="A942" s="163"/>
      <c r="B942" s="163"/>
      <c r="C942" s="164"/>
      <c r="D942" s="164"/>
      <c r="E942" s="165"/>
      <c r="F942" s="165"/>
      <c r="G942" s="166"/>
      <c r="H942" s="166"/>
      <c r="I942" s="166"/>
      <c r="J942" s="166"/>
      <c r="K942" s="166"/>
      <c r="L942" s="166"/>
      <c r="M942" s="167"/>
      <c r="N942" s="167"/>
    </row>
    <row r="943">
      <c r="A943" s="163"/>
      <c r="B943" s="163"/>
      <c r="C943" s="164"/>
      <c r="D943" s="164"/>
      <c r="E943" s="165"/>
      <c r="F943" s="165"/>
      <c r="G943" s="166"/>
      <c r="H943" s="166"/>
      <c r="I943" s="166"/>
      <c r="J943" s="166"/>
      <c r="K943" s="166"/>
      <c r="L943" s="166"/>
      <c r="M943" s="167"/>
      <c r="N943" s="167"/>
    </row>
    <row r="944">
      <c r="A944" s="163"/>
      <c r="B944" s="163"/>
      <c r="C944" s="164"/>
      <c r="D944" s="164"/>
      <c r="E944" s="165"/>
      <c r="F944" s="165"/>
      <c r="G944" s="166"/>
      <c r="H944" s="166"/>
      <c r="I944" s="166"/>
      <c r="J944" s="166"/>
      <c r="K944" s="166"/>
      <c r="L944" s="166"/>
      <c r="M944" s="167"/>
      <c r="N944" s="167"/>
    </row>
    <row r="945">
      <c r="A945" s="163"/>
      <c r="B945" s="163"/>
      <c r="C945" s="164"/>
      <c r="D945" s="164"/>
      <c r="E945" s="165"/>
      <c r="F945" s="165"/>
      <c r="G945" s="166"/>
      <c r="H945" s="166"/>
      <c r="I945" s="166"/>
      <c r="J945" s="166"/>
      <c r="K945" s="166"/>
      <c r="L945" s="166"/>
      <c r="M945" s="167"/>
      <c r="N945" s="167"/>
    </row>
    <row r="946">
      <c r="A946" s="163"/>
      <c r="B946" s="163"/>
      <c r="C946" s="164"/>
      <c r="D946" s="164"/>
      <c r="E946" s="165"/>
      <c r="F946" s="165"/>
      <c r="G946" s="166"/>
      <c r="H946" s="166"/>
      <c r="I946" s="166"/>
      <c r="J946" s="166"/>
      <c r="K946" s="166"/>
      <c r="L946" s="166"/>
      <c r="M946" s="167"/>
      <c r="N946" s="167"/>
    </row>
    <row r="947">
      <c r="A947" s="163"/>
      <c r="B947" s="163"/>
      <c r="C947" s="164"/>
      <c r="D947" s="164"/>
      <c r="E947" s="165"/>
      <c r="F947" s="165"/>
      <c r="G947" s="166"/>
      <c r="H947" s="166"/>
      <c r="I947" s="166"/>
      <c r="J947" s="166"/>
      <c r="K947" s="166"/>
      <c r="L947" s="166"/>
      <c r="M947" s="167"/>
      <c r="N947" s="167"/>
    </row>
    <row r="948">
      <c r="A948" s="163"/>
      <c r="B948" s="163"/>
      <c r="C948" s="164"/>
      <c r="D948" s="164"/>
      <c r="E948" s="165"/>
      <c r="F948" s="165"/>
      <c r="G948" s="166"/>
      <c r="H948" s="166"/>
      <c r="I948" s="166"/>
      <c r="J948" s="166"/>
      <c r="K948" s="166"/>
      <c r="L948" s="166"/>
      <c r="M948" s="167"/>
      <c r="N948" s="167"/>
    </row>
    <row r="949">
      <c r="A949" s="163"/>
      <c r="B949" s="163"/>
      <c r="C949" s="164"/>
      <c r="D949" s="164"/>
      <c r="E949" s="165"/>
      <c r="F949" s="165"/>
      <c r="G949" s="166"/>
      <c r="H949" s="166"/>
      <c r="I949" s="166"/>
      <c r="J949" s="166"/>
      <c r="K949" s="166"/>
      <c r="L949" s="166"/>
      <c r="M949" s="167"/>
      <c r="N949" s="167"/>
    </row>
    <row r="950">
      <c r="A950" s="163"/>
      <c r="B950" s="163"/>
      <c r="C950" s="164"/>
      <c r="D950" s="164"/>
      <c r="E950" s="165"/>
      <c r="F950" s="165"/>
      <c r="G950" s="166"/>
      <c r="H950" s="166"/>
      <c r="I950" s="166"/>
      <c r="J950" s="166"/>
      <c r="K950" s="166"/>
      <c r="L950" s="166"/>
      <c r="M950" s="167"/>
      <c r="N950" s="167"/>
    </row>
    <row r="951">
      <c r="A951" s="163"/>
      <c r="B951" s="163"/>
      <c r="C951" s="164"/>
      <c r="D951" s="164"/>
      <c r="E951" s="165"/>
      <c r="F951" s="165"/>
      <c r="G951" s="166"/>
      <c r="H951" s="166"/>
      <c r="I951" s="166"/>
      <c r="J951" s="166"/>
      <c r="K951" s="166"/>
      <c r="L951" s="166"/>
      <c r="M951" s="167"/>
      <c r="N951" s="167"/>
    </row>
    <row r="952">
      <c r="A952" s="163"/>
      <c r="B952" s="163"/>
      <c r="C952" s="164"/>
      <c r="D952" s="164"/>
      <c r="E952" s="165"/>
      <c r="F952" s="165"/>
      <c r="G952" s="166"/>
      <c r="H952" s="166"/>
      <c r="I952" s="166"/>
      <c r="J952" s="166"/>
      <c r="K952" s="166"/>
      <c r="L952" s="166"/>
      <c r="M952" s="167"/>
      <c r="N952" s="167"/>
    </row>
    <row r="953">
      <c r="A953" s="163"/>
      <c r="B953" s="163"/>
      <c r="C953" s="164"/>
      <c r="D953" s="164"/>
      <c r="E953" s="165"/>
      <c r="F953" s="165"/>
      <c r="G953" s="166"/>
      <c r="H953" s="166"/>
      <c r="I953" s="166"/>
      <c r="J953" s="166"/>
      <c r="K953" s="166"/>
      <c r="L953" s="166"/>
      <c r="M953" s="167"/>
      <c r="N953" s="167"/>
    </row>
    <row r="954">
      <c r="A954" s="163"/>
      <c r="B954" s="163"/>
      <c r="C954" s="164"/>
      <c r="D954" s="164"/>
      <c r="E954" s="165"/>
      <c r="F954" s="165"/>
      <c r="G954" s="166"/>
      <c r="H954" s="166"/>
      <c r="I954" s="166"/>
      <c r="J954" s="166"/>
      <c r="K954" s="166"/>
      <c r="L954" s="166"/>
      <c r="M954" s="167"/>
      <c r="N954" s="167"/>
    </row>
    <row r="955">
      <c r="A955" s="163"/>
      <c r="B955" s="163"/>
      <c r="C955" s="164"/>
      <c r="D955" s="164"/>
      <c r="E955" s="165"/>
      <c r="F955" s="165"/>
      <c r="G955" s="166"/>
      <c r="H955" s="166"/>
      <c r="I955" s="166"/>
      <c r="J955" s="166"/>
      <c r="K955" s="166"/>
      <c r="L955" s="166"/>
      <c r="M955" s="167"/>
      <c r="N955" s="167"/>
    </row>
    <row r="956">
      <c r="A956" s="163"/>
      <c r="B956" s="163"/>
      <c r="C956" s="164"/>
      <c r="D956" s="164"/>
      <c r="E956" s="165"/>
      <c r="F956" s="165"/>
      <c r="G956" s="166"/>
      <c r="H956" s="166"/>
      <c r="I956" s="166"/>
      <c r="J956" s="166"/>
      <c r="K956" s="166"/>
      <c r="L956" s="166"/>
      <c r="M956" s="167"/>
      <c r="N956" s="167"/>
    </row>
    <row r="957">
      <c r="A957" s="163"/>
      <c r="B957" s="163"/>
      <c r="C957" s="164"/>
      <c r="D957" s="164"/>
      <c r="E957" s="165"/>
      <c r="F957" s="165"/>
      <c r="G957" s="166"/>
      <c r="H957" s="166"/>
      <c r="I957" s="166"/>
      <c r="J957" s="166"/>
      <c r="K957" s="166"/>
      <c r="L957" s="166"/>
      <c r="M957" s="167"/>
      <c r="N957" s="167"/>
    </row>
    <row r="958">
      <c r="A958" s="163"/>
      <c r="B958" s="163"/>
      <c r="C958" s="164"/>
      <c r="D958" s="164"/>
      <c r="E958" s="165"/>
      <c r="F958" s="165"/>
      <c r="G958" s="166"/>
      <c r="H958" s="166"/>
      <c r="I958" s="166"/>
      <c r="J958" s="166"/>
      <c r="K958" s="166"/>
      <c r="L958" s="166"/>
      <c r="M958" s="167"/>
      <c r="N958" s="167"/>
    </row>
    <row r="959">
      <c r="A959" s="163"/>
      <c r="B959" s="163"/>
      <c r="C959" s="164"/>
      <c r="D959" s="164"/>
      <c r="E959" s="165"/>
      <c r="F959" s="165"/>
      <c r="G959" s="166"/>
      <c r="H959" s="166"/>
      <c r="I959" s="166"/>
      <c r="J959" s="166"/>
      <c r="K959" s="166"/>
      <c r="L959" s="166"/>
      <c r="M959" s="167"/>
      <c r="N959" s="167"/>
    </row>
    <row r="960">
      <c r="A960" s="163"/>
      <c r="B960" s="163"/>
      <c r="C960" s="164"/>
      <c r="D960" s="164"/>
      <c r="E960" s="165"/>
      <c r="F960" s="165"/>
      <c r="G960" s="166"/>
      <c r="H960" s="166"/>
      <c r="I960" s="166"/>
      <c r="J960" s="166"/>
      <c r="K960" s="166"/>
      <c r="L960" s="166"/>
      <c r="M960" s="167"/>
      <c r="N960" s="167"/>
    </row>
    <row r="961">
      <c r="A961" s="163"/>
      <c r="B961" s="163"/>
      <c r="C961" s="164"/>
      <c r="D961" s="164"/>
      <c r="E961" s="165"/>
      <c r="F961" s="165"/>
      <c r="G961" s="166"/>
      <c r="H961" s="166"/>
      <c r="I961" s="166"/>
      <c r="J961" s="166"/>
      <c r="K961" s="166"/>
      <c r="L961" s="166"/>
      <c r="M961" s="167"/>
      <c r="N961" s="167"/>
    </row>
    <row r="962">
      <c r="A962" s="163"/>
      <c r="B962" s="163"/>
      <c r="C962" s="164"/>
      <c r="D962" s="164"/>
      <c r="E962" s="165"/>
      <c r="F962" s="165"/>
      <c r="G962" s="166"/>
      <c r="H962" s="166"/>
      <c r="I962" s="166"/>
      <c r="J962" s="166"/>
      <c r="K962" s="166"/>
      <c r="L962" s="166"/>
      <c r="M962" s="167"/>
      <c r="N962" s="167"/>
    </row>
    <row r="963">
      <c r="A963" s="163"/>
      <c r="B963" s="163"/>
      <c r="C963" s="164"/>
      <c r="D963" s="164"/>
      <c r="E963" s="165"/>
      <c r="F963" s="165"/>
      <c r="G963" s="166"/>
      <c r="H963" s="166"/>
      <c r="I963" s="166"/>
      <c r="J963" s="166"/>
      <c r="K963" s="166"/>
      <c r="L963" s="166"/>
      <c r="M963" s="167"/>
      <c r="N963" s="167"/>
    </row>
    <row r="964">
      <c r="A964" s="163"/>
      <c r="B964" s="163"/>
      <c r="C964" s="164"/>
      <c r="D964" s="164"/>
      <c r="E964" s="165"/>
      <c r="F964" s="165"/>
      <c r="G964" s="166"/>
      <c r="H964" s="166"/>
      <c r="I964" s="166"/>
      <c r="J964" s="166"/>
      <c r="K964" s="166"/>
      <c r="L964" s="166"/>
      <c r="M964" s="167"/>
      <c r="N964" s="167"/>
    </row>
    <row r="965">
      <c r="A965" s="163"/>
      <c r="B965" s="163"/>
      <c r="C965" s="164"/>
      <c r="D965" s="164"/>
      <c r="E965" s="165"/>
      <c r="F965" s="165"/>
      <c r="G965" s="166"/>
      <c r="H965" s="166"/>
      <c r="I965" s="166"/>
      <c r="J965" s="166"/>
      <c r="K965" s="166"/>
      <c r="L965" s="166"/>
      <c r="M965" s="167"/>
      <c r="N965" s="167"/>
    </row>
    <row r="966">
      <c r="A966" s="163"/>
      <c r="B966" s="163"/>
      <c r="C966" s="164"/>
      <c r="D966" s="164"/>
      <c r="E966" s="165"/>
      <c r="F966" s="165"/>
      <c r="G966" s="166"/>
      <c r="H966" s="166"/>
      <c r="I966" s="166"/>
      <c r="J966" s="166"/>
      <c r="K966" s="166"/>
      <c r="L966" s="166"/>
      <c r="M966" s="167"/>
      <c r="N966" s="167"/>
    </row>
    <row r="967">
      <c r="A967" s="163"/>
      <c r="B967" s="163"/>
      <c r="C967" s="164"/>
      <c r="D967" s="164"/>
      <c r="E967" s="165"/>
      <c r="F967" s="165"/>
      <c r="G967" s="166"/>
      <c r="H967" s="166"/>
      <c r="I967" s="166"/>
      <c r="J967" s="166"/>
      <c r="K967" s="166"/>
      <c r="L967" s="166"/>
      <c r="M967" s="167"/>
      <c r="N967" s="167"/>
    </row>
    <row r="968">
      <c r="A968" s="163"/>
      <c r="B968" s="163"/>
      <c r="C968" s="164"/>
      <c r="D968" s="164"/>
      <c r="E968" s="165"/>
      <c r="F968" s="165"/>
      <c r="G968" s="166"/>
      <c r="H968" s="166"/>
      <c r="I968" s="166"/>
      <c r="J968" s="166"/>
      <c r="K968" s="166"/>
      <c r="L968" s="166"/>
      <c r="M968" s="167"/>
      <c r="N968" s="167"/>
    </row>
    <row r="969">
      <c r="A969" s="163"/>
      <c r="B969" s="163"/>
      <c r="C969" s="164"/>
      <c r="D969" s="164"/>
      <c r="E969" s="165"/>
      <c r="F969" s="165"/>
      <c r="G969" s="166"/>
      <c r="H969" s="166"/>
      <c r="I969" s="166"/>
      <c r="J969" s="166"/>
      <c r="K969" s="166"/>
      <c r="L969" s="166"/>
      <c r="M969" s="167"/>
      <c r="N969" s="167"/>
    </row>
    <row r="970">
      <c r="A970" s="163"/>
      <c r="B970" s="163"/>
      <c r="C970" s="164"/>
      <c r="D970" s="164"/>
      <c r="E970" s="165"/>
      <c r="F970" s="165"/>
      <c r="G970" s="166"/>
      <c r="H970" s="166"/>
      <c r="I970" s="166"/>
      <c r="J970" s="166"/>
      <c r="K970" s="166"/>
      <c r="L970" s="166"/>
      <c r="M970" s="167"/>
      <c r="N970" s="167"/>
    </row>
    <row r="971">
      <c r="A971" s="163"/>
      <c r="B971" s="163"/>
      <c r="C971" s="164"/>
      <c r="D971" s="164"/>
      <c r="E971" s="165"/>
      <c r="F971" s="165"/>
      <c r="G971" s="166"/>
      <c r="H971" s="166"/>
      <c r="I971" s="166"/>
      <c r="J971" s="166"/>
      <c r="K971" s="166"/>
      <c r="L971" s="166"/>
      <c r="M971" s="167"/>
      <c r="N971" s="167"/>
    </row>
    <row r="972">
      <c r="A972" s="163"/>
      <c r="B972" s="163"/>
      <c r="C972" s="164"/>
      <c r="D972" s="164"/>
      <c r="E972" s="165"/>
      <c r="F972" s="165"/>
      <c r="G972" s="166"/>
      <c r="H972" s="166"/>
      <c r="I972" s="166"/>
      <c r="J972" s="166"/>
      <c r="K972" s="166"/>
      <c r="L972" s="166"/>
      <c r="M972" s="167"/>
      <c r="N972" s="167"/>
    </row>
    <row r="973">
      <c r="A973" s="163"/>
      <c r="B973" s="163"/>
      <c r="C973" s="164"/>
      <c r="D973" s="164"/>
      <c r="E973" s="165"/>
      <c r="F973" s="165"/>
      <c r="G973" s="166"/>
      <c r="H973" s="166"/>
      <c r="I973" s="166"/>
      <c r="J973" s="166"/>
      <c r="K973" s="166"/>
      <c r="L973" s="166"/>
      <c r="M973" s="167"/>
      <c r="N973" s="167"/>
    </row>
    <row r="974">
      <c r="A974" s="163"/>
      <c r="B974" s="163"/>
      <c r="C974" s="164"/>
      <c r="D974" s="164"/>
      <c r="E974" s="165"/>
      <c r="F974" s="165"/>
      <c r="G974" s="166"/>
      <c r="H974" s="166"/>
      <c r="I974" s="166"/>
      <c r="J974" s="166"/>
      <c r="K974" s="166"/>
      <c r="L974" s="166"/>
      <c r="M974" s="167"/>
      <c r="N974" s="167"/>
    </row>
    <row r="975">
      <c r="A975" s="163"/>
      <c r="B975" s="163"/>
      <c r="C975" s="164"/>
      <c r="D975" s="164"/>
      <c r="E975" s="165"/>
      <c r="F975" s="165"/>
      <c r="G975" s="166"/>
      <c r="H975" s="166"/>
      <c r="I975" s="166"/>
      <c r="J975" s="166"/>
      <c r="K975" s="166"/>
      <c r="L975" s="166"/>
      <c r="M975" s="167"/>
      <c r="N975" s="167"/>
    </row>
    <row r="976">
      <c r="A976" s="163"/>
      <c r="B976" s="163"/>
      <c r="C976" s="164"/>
      <c r="D976" s="164"/>
      <c r="E976" s="165"/>
      <c r="F976" s="165"/>
      <c r="G976" s="166"/>
      <c r="H976" s="166"/>
      <c r="I976" s="166"/>
      <c r="J976" s="166"/>
      <c r="K976" s="166"/>
      <c r="L976" s="166"/>
      <c r="M976" s="167"/>
      <c r="N976" s="167"/>
    </row>
    <row r="977">
      <c r="A977" s="163"/>
      <c r="B977" s="163"/>
      <c r="C977" s="164"/>
      <c r="D977" s="164"/>
      <c r="E977" s="165"/>
      <c r="F977" s="165"/>
      <c r="G977" s="166"/>
      <c r="H977" s="166"/>
      <c r="I977" s="166"/>
      <c r="J977" s="166"/>
      <c r="K977" s="166"/>
      <c r="L977" s="166"/>
      <c r="M977" s="167"/>
      <c r="N977" s="167"/>
    </row>
    <row r="978">
      <c r="A978" s="163"/>
      <c r="B978" s="163"/>
      <c r="C978" s="164"/>
      <c r="D978" s="164"/>
      <c r="E978" s="165"/>
      <c r="F978" s="165"/>
      <c r="G978" s="166"/>
      <c r="H978" s="166"/>
      <c r="I978" s="166"/>
      <c r="J978" s="166"/>
      <c r="K978" s="166"/>
      <c r="L978" s="166"/>
      <c r="M978" s="167"/>
      <c r="N978" s="167"/>
    </row>
    <row r="979">
      <c r="A979" s="163"/>
      <c r="B979" s="163"/>
      <c r="C979" s="164"/>
      <c r="D979" s="164"/>
      <c r="E979" s="165"/>
      <c r="F979" s="165"/>
      <c r="G979" s="166"/>
      <c r="H979" s="166"/>
      <c r="I979" s="166"/>
      <c r="J979" s="166"/>
      <c r="K979" s="166"/>
      <c r="L979" s="166"/>
      <c r="M979" s="167"/>
      <c r="N979" s="167"/>
    </row>
    <row r="980">
      <c r="A980" s="163"/>
      <c r="B980" s="163"/>
      <c r="C980" s="164"/>
      <c r="D980" s="164"/>
      <c r="E980" s="165"/>
      <c r="F980" s="165"/>
      <c r="G980" s="166"/>
      <c r="H980" s="166"/>
      <c r="I980" s="166"/>
      <c r="J980" s="166"/>
      <c r="K980" s="166"/>
      <c r="L980" s="166"/>
      <c r="M980" s="167"/>
      <c r="N980" s="167"/>
    </row>
    <row r="981">
      <c r="A981" s="163"/>
      <c r="B981" s="163"/>
      <c r="C981" s="164"/>
      <c r="D981" s="164"/>
      <c r="E981" s="165"/>
      <c r="F981" s="165"/>
      <c r="G981" s="166"/>
      <c r="H981" s="166"/>
      <c r="I981" s="166"/>
      <c r="J981" s="166"/>
      <c r="K981" s="166"/>
      <c r="L981" s="166"/>
      <c r="M981" s="167"/>
      <c r="N981" s="167"/>
    </row>
    <row r="982">
      <c r="A982" s="163"/>
      <c r="B982" s="163"/>
      <c r="C982" s="164"/>
      <c r="D982" s="164"/>
      <c r="E982" s="165"/>
      <c r="F982" s="165"/>
      <c r="G982" s="166"/>
      <c r="H982" s="166"/>
      <c r="I982" s="166"/>
      <c r="J982" s="166"/>
      <c r="K982" s="166"/>
      <c r="L982" s="166"/>
      <c r="M982" s="167"/>
      <c r="N982" s="167"/>
    </row>
    <row r="983">
      <c r="A983" s="163"/>
      <c r="B983" s="163"/>
      <c r="C983" s="164"/>
      <c r="D983" s="164"/>
      <c r="E983" s="165"/>
      <c r="F983" s="165"/>
      <c r="G983" s="166"/>
      <c r="H983" s="166"/>
      <c r="I983" s="166"/>
      <c r="J983" s="166"/>
      <c r="K983" s="166"/>
      <c r="L983" s="166"/>
      <c r="M983" s="167"/>
      <c r="N983" s="167"/>
    </row>
    <row r="984">
      <c r="A984" s="163"/>
      <c r="B984" s="163"/>
      <c r="C984" s="164"/>
      <c r="D984" s="164"/>
      <c r="E984" s="165"/>
      <c r="F984" s="165"/>
      <c r="G984" s="166"/>
      <c r="H984" s="166"/>
      <c r="I984" s="166"/>
      <c r="J984" s="166"/>
      <c r="K984" s="166"/>
      <c r="L984" s="166"/>
      <c r="M984" s="167"/>
      <c r="N984" s="167"/>
    </row>
    <row r="985">
      <c r="A985" s="163"/>
      <c r="B985" s="163"/>
      <c r="C985" s="164"/>
      <c r="D985" s="164"/>
      <c r="E985" s="165"/>
      <c r="F985" s="165"/>
      <c r="G985" s="166"/>
      <c r="H985" s="166"/>
      <c r="I985" s="166"/>
      <c r="J985" s="166"/>
      <c r="K985" s="166"/>
      <c r="L985" s="166"/>
      <c r="M985" s="167"/>
      <c r="N985" s="167"/>
    </row>
    <row r="986">
      <c r="A986" s="163"/>
      <c r="B986" s="163"/>
      <c r="C986" s="164"/>
      <c r="D986" s="164"/>
      <c r="E986" s="165"/>
      <c r="F986" s="165"/>
      <c r="G986" s="166"/>
      <c r="H986" s="166"/>
      <c r="I986" s="166"/>
      <c r="J986" s="166"/>
      <c r="K986" s="166"/>
      <c r="L986" s="166"/>
      <c r="M986" s="167"/>
      <c r="N986" s="167"/>
    </row>
    <row r="987">
      <c r="A987" s="163"/>
      <c r="B987" s="163"/>
      <c r="C987" s="164"/>
      <c r="D987" s="164"/>
      <c r="E987" s="165"/>
      <c r="F987" s="165"/>
      <c r="G987" s="166"/>
      <c r="H987" s="166"/>
      <c r="I987" s="166"/>
      <c r="J987" s="166"/>
      <c r="K987" s="166"/>
      <c r="L987" s="166"/>
      <c r="M987" s="167"/>
      <c r="N987" s="167"/>
    </row>
    <row r="988">
      <c r="A988" s="163"/>
      <c r="B988" s="163"/>
      <c r="C988" s="164"/>
      <c r="D988" s="164"/>
      <c r="E988" s="165"/>
      <c r="F988" s="165"/>
      <c r="G988" s="166"/>
      <c r="H988" s="166"/>
      <c r="I988" s="166"/>
      <c r="J988" s="166"/>
      <c r="K988" s="166"/>
      <c r="L988" s="166"/>
      <c r="M988" s="167"/>
      <c r="N988" s="167"/>
    </row>
    <row r="989">
      <c r="A989" s="163"/>
      <c r="B989" s="163"/>
      <c r="C989" s="164"/>
      <c r="D989" s="164"/>
      <c r="E989" s="165"/>
      <c r="F989" s="165"/>
      <c r="G989" s="166"/>
      <c r="H989" s="166"/>
      <c r="I989" s="166"/>
      <c r="J989" s="166"/>
      <c r="K989" s="166"/>
      <c r="L989" s="166"/>
      <c r="M989" s="167"/>
      <c r="N989" s="167"/>
    </row>
    <row r="990">
      <c r="A990" s="163"/>
      <c r="B990" s="163"/>
      <c r="C990" s="164"/>
      <c r="D990" s="164"/>
      <c r="E990" s="165"/>
      <c r="F990" s="165"/>
      <c r="G990" s="166"/>
      <c r="H990" s="166"/>
      <c r="I990" s="166"/>
      <c r="J990" s="166"/>
      <c r="K990" s="166"/>
      <c r="L990" s="166"/>
      <c r="M990" s="167"/>
      <c r="N990" s="167"/>
    </row>
    <row r="991">
      <c r="A991" s="163"/>
      <c r="B991" s="163"/>
      <c r="C991" s="164"/>
      <c r="D991" s="164"/>
      <c r="E991" s="165"/>
      <c r="F991" s="165"/>
      <c r="G991" s="166"/>
      <c r="H991" s="166"/>
      <c r="I991" s="166"/>
      <c r="J991" s="166"/>
      <c r="K991" s="166"/>
      <c r="L991" s="166"/>
      <c r="M991" s="167"/>
      <c r="N991" s="167"/>
    </row>
    <row r="992">
      <c r="A992" s="163"/>
      <c r="B992" s="163"/>
      <c r="C992" s="164"/>
      <c r="D992" s="164"/>
      <c r="E992" s="165"/>
      <c r="F992" s="165"/>
      <c r="G992" s="166"/>
      <c r="H992" s="166"/>
      <c r="I992" s="166"/>
      <c r="J992" s="166"/>
      <c r="K992" s="166"/>
      <c r="L992" s="166"/>
      <c r="M992" s="167"/>
      <c r="N992" s="167"/>
    </row>
    <row r="993">
      <c r="A993" s="163"/>
      <c r="B993" s="163"/>
      <c r="C993" s="164"/>
      <c r="D993" s="164"/>
      <c r="E993" s="165"/>
      <c r="F993" s="165"/>
      <c r="G993" s="166"/>
      <c r="H993" s="166"/>
      <c r="I993" s="166"/>
      <c r="J993" s="166"/>
      <c r="K993" s="166"/>
      <c r="L993" s="166"/>
      <c r="M993" s="167"/>
      <c r="N993" s="167"/>
    </row>
    <row r="994">
      <c r="A994" s="163"/>
      <c r="B994" s="163"/>
      <c r="C994" s="164"/>
      <c r="D994" s="164"/>
      <c r="E994" s="165"/>
      <c r="F994" s="165"/>
      <c r="G994" s="166"/>
      <c r="H994" s="166"/>
      <c r="I994" s="166"/>
      <c r="J994" s="166"/>
      <c r="K994" s="166"/>
      <c r="L994" s="166"/>
      <c r="M994" s="167"/>
      <c r="N994" s="167"/>
    </row>
    <row r="995">
      <c r="A995" s="163"/>
      <c r="B995" s="163"/>
      <c r="C995" s="164"/>
      <c r="D995" s="164"/>
      <c r="E995" s="165"/>
      <c r="F995" s="165"/>
      <c r="G995" s="166"/>
      <c r="H995" s="166"/>
      <c r="I995" s="166"/>
      <c r="J995" s="166"/>
      <c r="K995" s="166"/>
      <c r="L995" s="166"/>
      <c r="M995" s="167"/>
      <c r="N995" s="167"/>
    </row>
    <row r="996">
      <c r="A996" s="163"/>
      <c r="B996" s="163"/>
      <c r="C996" s="164"/>
      <c r="D996" s="164"/>
      <c r="E996" s="165"/>
      <c r="F996" s="165"/>
      <c r="G996" s="166"/>
      <c r="H996" s="166"/>
      <c r="I996" s="166"/>
      <c r="J996" s="166"/>
      <c r="K996" s="166"/>
      <c r="L996" s="166"/>
      <c r="M996" s="167"/>
      <c r="N996" s="167"/>
    </row>
    <row r="997">
      <c r="A997" s="163"/>
      <c r="B997" s="163"/>
      <c r="C997" s="164"/>
      <c r="D997" s="164"/>
      <c r="E997" s="165"/>
      <c r="F997" s="165"/>
      <c r="G997" s="166"/>
      <c r="H997" s="166"/>
      <c r="I997" s="166"/>
      <c r="J997" s="166"/>
      <c r="K997" s="166"/>
      <c r="L997" s="166"/>
      <c r="M997" s="167"/>
      <c r="N997" s="167"/>
    </row>
    <row r="998">
      <c r="A998" s="163"/>
      <c r="B998" s="163"/>
      <c r="C998" s="164"/>
      <c r="D998" s="164"/>
      <c r="E998" s="165"/>
      <c r="F998" s="165"/>
      <c r="G998" s="166"/>
      <c r="H998" s="166"/>
      <c r="I998" s="166"/>
      <c r="J998" s="166"/>
      <c r="K998" s="166"/>
      <c r="L998" s="166"/>
      <c r="M998" s="167"/>
      <c r="N998" s="167"/>
    </row>
    <row r="999">
      <c r="A999" s="163"/>
      <c r="B999" s="163"/>
      <c r="C999" s="164"/>
      <c r="D999" s="164"/>
      <c r="E999" s="165"/>
      <c r="F999" s="165"/>
      <c r="G999" s="166"/>
      <c r="H999" s="166"/>
      <c r="I999" s="166"/>
      <c r="J999" s="166"/>
      <c r="K999" s="166"/>
      <c r="L999" s="166"/>
      <c r="M999" s="167"/>
      <c r="N999" s="167"/>
    </row>
    <row r="1000">
      <c r="A1000" s="163"/>
      <c r="B1000" s="163"/>
      <c r="C1000" s="164"/>
      <c r="D1000" s="164"/>
      <c r="E1000" s="165"/>
      <c r="F1000" s="165"/>
      <c r="G1000" s="166"/>
      <c r="H1000" s="166"/>
      <c r="I1000" s="166"/>
      <c r="J1000" s="166"/>
      <c r="K1000" s="166"/>
      <c r="L1000" s="166"/>
      <c r="M1000" s="167"/>
      <c r="N1000" s="167"/>
    </row>
    <row r="1001">
      <c r="A1001" s="163"/>
      <c r="B1001" s="163"/>
      <c r="C1001" s="164"/>
      <c r="D1001" s="164"/>
      <c r="E1001" s="165"/>
      <c r="F1001" s="165"/>
      <c r="G1001" s="166"/>
      <c r="H1001" s="166"/>
      <c r="I1001" s="166"/>
      <c r="J1001" s="166"/>
      <c r="K1001" s="166"/>
      <c r="L1001" s="166"/>
      <c r="M1001" s="167"/>
      <c r="N1001" s="167"/>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7" width="6.0"/>
    <col customWidth="1" min="8" max="9" width="41.75"/>
  </cols>
  <sheetData>
    <row r="1">
      <c r="A1" s="171" t="s">
        <v>180</v>
      </c>
      <c r="B1" s="172" t="s">
        <v>76</v>
      </c>
      <c r="C1" s="172" t="s">
        <v>181</v>
      </c>
      <c r="D1" s="172" t="s">
        <v>78</v>
      </c>
      <c r="E1" s="172" t="s">
        <v>79</v>
      </c>
      <c r="F1" s="172" t="s">
        <v>92</v>
      </c>
      <c r="G1" s="172" t="s">
        <v>182</v>
      </c>
      <c r="H1" s="172" t="s">
        <v>81</v>
      </c>
      <c r="I1" s="172" t="s">
        <v>183</v>
      </c>
      <c r="J1" s="172" t="s">
        <v>184</v>
      </c>
      <c r="K1" s="173" t="s">
        <v>185</v>
      </c>
      <c r="L1" s="174"/>
      <c r="M1" s="174"/>
      <c r="N1" s="174"/>
      <c r="O1" s="174"/>
      <c r="P1" s="174"/>
      <c r="Q1" s="174"/>
      <c r="R1" s="174"/>
      <c r="S1" s="174"/>
      <c r="T1" s="174"/>
      <c r="U1" s="174"/>
      <c r="V1" s="174"/>
      <c r="W1" s="174"/>
      <c r="X1" s="174"/>
      <c r="Y1" s="174"/>
      <c r="Z1" s="174"/>
    </row>
    <row r="2">
      <c r="A2" s="175" t="str">
        <f>IFERROR(__xludf.DUMMYFUNCTION("IMPORTRANGE('Homebrew Sheet'!$A$6,""'Attacks'!$A$2:$K$201"")"),"")</f>
        <v/>
      </c>
      <c r="B2" s="176"/>
      <c r="C2" s="177"/>
      <c r="D2" s="178"/>
      <c r="E2" s="178"/>
      <c r="F2" s="178"/>
      <c r="G2" s="178"/>
      <c r="H2" s="179"/>
      <c r="I2" s="179"/>
      <c r="J2" s="180"/>
      <c r="K2" s="148" t="b">
        <f>IFERROR(__xludf.DUMMYFUNCTION("""COMPUTED_VALUE"""),FALSE)</f>
        <v>0</v>
      </c>
      <c r="L2" s="174"/>
      <c r="M2" s="174"/>
      <c r="N2" s="174"/>
      <c r="O2" s="174"/>
      <c r="P2" s="174"/>
      <c r="Q2" s="174"/>
      <c r="R2" s="174"/>
      <c r="S2" s="174"/>
      <c r="T2" s="174"/>
      <c r="U2" s="174"/>
      <c r="V2" s="174"/>
      <c r="W2" s="174"/>
      <c r="X2" s="174"/>
      <c r="Y2" s="174"/>
      <c r="Z2" s="174"/>
    </row>
    <row r="3">
      <c r="A3" s="181"/>
      <c r="B3" s="176"/>
      <c r="C3" s="177"/>
      <c r="D3" s="178"/>
      <c r="E3" s="178"/>
      <c r="F3" s="178"/>
      <c r="G3" s="178"/>
      <c r="H3" s="179"/>
      <c r="I3" s="179"/>
      <c r="J3" s="180"/>
      <c r="K3" s="174" t="b">
        <f>IFERROR(__xludf.DUMMYFUNCTION("""COMPUTED_VALUE"""),FALSE)</f>
        <v>0</v>
      </c>
      <c r="L3" s="174"/>
      <c r="M3" s="174"/>
      <c r="N3" s="174"/>
      <c r="O3" s="174"/>
      <c r="P3" s="174"/>
      <c r="Q3" s="174"/>
      <c r="R3" s="174"/>
      <c r="S3" s="174"/>
      <c r="T3" s="174"/>
      <c r="U3" s="174"/>
      <c r="V3" s="174"/>
      <c r="W3" s="174"/>
      <c r="X3" s="174"/>
      <c r="Y3" s="174"/>
      <c r="Z3" s="174"/>
    </row>
    <row r="4">
      <c r="A4" s="181"/>
      <c r="B4" s="176"/>
      <c r="C4" s="177"/>
      <c r="D4" s="178"/>
      <c r="E4" s="178"/>
      <c r="F4" s="178"/>
      <c r="G4" s="178"/>
      <c r="H4" s="179"/>
      <c r="I4" s="179"/>
      <c r="J4" s="180"/>
      <c r="K4" s="174" t="b">
        <f>IFERROR(__xludf.DUMMYFUNCTION("""COMPUTED_VALUE"""),FALSE)</f>
        <v>0</v>
      </c>
      <c r="L4" s="174"/>
      <c r="M4" s="174"/>
      <c r="N4" s="174"/>
      <c r="O4" s="174"/>
      <c r="P4" s="174"/>
      <c r="Q4" s="174"/>
      <c r="R4" s="174"/>
      <c r="S4" s="174"/>
      <c r="T4" s="174"/>
      <c r="U4" s="174"/>
      <c r="V4" s="174"/>
      <c r="W4" s="174"/>
      <c r="X4" s="174"/>
      <c r="Y4" s="174"/>
      <c r="Z4" s="174"/>
    </row>
    <row r="5">
      <c r="A5" s="181"/>
      <c r="B5" s="176"/>
      <c r="C5" s="177"/>
      <c r="D5" s="178"/>
      <c r="E5" s="178"/>
      <c r="F5" s="178"/>
      <c r="G5" s="178"/>
      <c r="H5" s="179"/>
      <c r="I5" s="179"/>
      <c r="J5" s="180"/>
      <c r="K5" s="174" t="b">
        <f>IFERROR(__xludf.DUMMYFUNCTION("""COMPUTED_VALUE"""),FALSE)</f>
        <v>0</v>
      </c>
      <c r="L5" s="174"/>
      <c r="M5" s="174"/>
      <c r="N5" s="174"/>
      <c r="O5" s="174"/>
      <c r="P5" s="174"/>
      <c r="Q5" s="174"/>
      <c r="R5" s="174"/>
      <c r="S5" s="174"/>
      <c r="T5" s="174"/>
      <c r="U5" s="174"/>
      <c r="V5" s="174"/>
      <c r="W5" s="174"/>
      <c r="X5" s="174"/>
      <c r="Y5" s="174"/>
      <c r="Z5" s="174"/>
    </row>
    <row r="6">
      <c r="A6" s="181"/>
      <c r="B6" s="176"/>
      <c r="C6" s="177"/>
      <c r="D6" s="178"/>
      <c r="E6" s="178"/>
      <c r="F6" s="178"/>
      <c r="G6" s="178"/>
      <c r="H6" s="179"/>
      <c r="I6" s="179"/>
      <c r="J6" s="180"/>
      <c r="K6" s="174" t="b">
        <f>IFERROR(__xludf.DUMMYFUNCTION("""COMPUTED_VALUE"""),FALSE)</f>
        <v>0</v>
      </c>
      <c r="L6" s="174"/>
      <c r="M6" s="174"/>
      <c r="N6" s="174"/>
      <c r="O6" s="174"/>
      <c r="P6" s="174"/>
      <c r="Q6" s="174"/>
      <c r="R6" s="174"/>
      <c r="S6" s="174"/>
      <c r="T6" s="174"/>
      <c r="U6" s="174"/>
      <c r="V6" s="174"/>
      <c r="W6" s="174"/>
      <c r="X6" s="174"/>
      <c r="Y6" s="174"/>
      <c r="Z6" s="174"/>
    </row>
    <row r="7">
      <c r="A7" s="181"/>
      <c r="B7" s="176"/>
      <c r="C7" s="177"/>
      <c r="D7" s="178"/>
      <c r="E7" s="178"/>
      <c r="F7" s="178"/>
      <c r="G7" s="178"/>
      <c r="H7" s="179"/>
      <c r="I7" s="179"/>
      <c r="J7" s="180"/>
      <c r="K7" s="174" t="b">
        <f>IFERROR(__xludf.DUMMYFUNCTION("""COMPUTED_VALUE"""),FALSE)</f>
        <v>0</v>
      </c>
      <c r="L7" s="174"/>
      <c r="M7" s="174"/>
      <c r="N7" s="174"/>
      <c r="O7" s="174"/>
      <c r="P7" s="174"/>
      <c r="Q7" s="174"/>
      <c r="R7" s="174"/>
      <c r="S7" s="174"/>
      <c r="T7" s="174"/>
      <c r="U7" s="174"/>
      <c r="V7" s="174"/>
      <c r="W7" s="174"/>
      <c r="X7" s="174"/>
      <c r="Y7" s="174"/>
      <c r="Z7" s="174"/>
    </row>
    <row r="8">
      <c r="A8" s="181"/>
      <c r="B8" s="176"/>
      <c r="C8" s="177"/>
      <c r="D8" s="178"/>
      <c r="E8" s="178"/>
      <c r="F8" s="178"/>
      <c r="G8" s="178"/>
      <c r="H8" s="179"/>
      <c r="I8" s="179"/>
      <c r="J8" s="180"/>
      <c r="K8" s="174" t="b">
        <f>IFERROR(__xludf.DUMMYFUNCTION("""COMPUTED_VALUE"""),FALSE)</f>
        <v>0</v>
      </c>
      <c r="L8" s="174"/>
      <c r="M8" s="174"/>
      <c r="N8" s="174"/>
      <c r="O8" s="174"/>
      <c r="P8" s="174"/>
      <c r="Q8" s="174"/>
      <c r="R8" s="174"/>
      <c r="S8" s="174"/>
      <c r="T8" s="174"/>
      <c r="U8" s="174"/>
      <c r="V8" s="174"/>
      <c r="W8" s="174"/>
      <c r="X8" s="174"/>
      <c r="Y8" s="174"/>
      <c r="Z8" s="174"/>
    </row>
    <row r="9">
      <c r="A9" s="181"/>
      <c r="B9" s="176"/>
      <c r="C9" s="177"/>
      <c r="D9" s="178"/>
      <c r="E9" s="178"/>
      <c r="F9" s="178"/>
      <c r="G9" s="178"/>
      <c r="H9" s="179"/>
      <c r="I9" s="179"/>
      <c r="J9" s="180"/>
      <c r="K9" s="174" t="b">
        <f>IFERROR(__xludf.DUMMYFUNCTION("""COMPUTED_VALUE"""),FALSE)</f>
        <v>0</v>
      </c>
      <c r="L9" s="174"/>
      <c r="M9" s="174"/>
      <c r="N9" s="174"/>
      <c r="O9" s="174"/>
      <c r="P9" s="174"/>
      <c r="Q9" s="174"/>
      <c r="R9" s="174"/>
      <c r="S9" s="174"/>
      <c r="T9" s="174"/>
      <c r="U9" s="174"/>
      <c r="V9" s="174"/>
      <c r="W9" s="174"/>
      <c r="X9" s="174"/>
      <c r="Y9" s="174"/>
      <c r="Z9" s="174"/>
    </row>
    <row r="10">
      <c r="A10" s="181"/>
      <c r="B10" s="176"/>
      <c r="C10" s="177"/>
      <c r="D10" s="178"/>
      <c r="E10" s="178"/>
      <c r="F10" s="178"/>
      <c r="G10" s="178"/>
      <c r="H10" s="179"/>
      <c r="I10" s="179"/>
      <c r="J10" s="180"/>
      <c r="K10" s="174" t="b">
        <f>IFERROR(__xludf.DUMMYFUNCTION("""COMPUTED_VALUE"""),FALSE)</f>
        <v>0</v>
      </c>
      <c r="L10" s="174"/>
      <c r="M10" s="174"/>
      <c r="N10" s="174"/>
      <c r="O10" s="174"/>
      <c r="P10" s="174"/>
      <c r="Q10" s="174"/>
      <c r="R10" s="174"/>
      <c r="S10" s="174"/>
      <c r="T10" s="174"/>
      <c r="U10" s="174"/>
      <c r="V10" s="174"/>
      <c r="W10" s="174"/>
      <c r="X10" s="174"/>
      <c r="Y10" s="174"/>
      <c r="Z10" s="174"/>
    </row>
    <row r="11">
      <c r="A11" s="181"/>
      <c r="B11" s="176"/>
      <c r="C11" s="177"/>
      <c r="D11" s="178"/>
      <c r="E11" s="178"/>
      <c r="F11" s="178"/>
      <c r="G11" s="178"/>
      <c r="H11" s="179"/>
      <c r="I11" s="179"/>
      <c r="J11" s="180"/>
      <c r="K11" s="174" t="b">
        <f>IFERROR(__xludf.DUMMYFUNCTION("""COMPUTED_VALUE"""),FALSE)</f>
        <v>0</v>
      </c>
      <c r="L11" s="174"/>
      <c r="M11" s="174"/>
      <c r="N11" s="174"/>
      <c r="O11" s="174"/>
      <c r="P11" s="174"/>
      <c r="Q11" s="174"/>
      <c r="R11" s="174"/>
      <c r="S11" s="174"/>
      <c r="T11" s="174"/>
      <c r="U11" s="174"/>
      <c r="V11" s="174"/>
      <c r="W11" s="174"/>
      <c r="X11" s="174"/>
      <c r="Y11" s="174"/>
      <c r="Z11" s="174"/>
    </row>
    <row r="12">
      <c r="A12" s="181"/>
      <c r="B12" s="176"/>
      <c r="C12" s="177"/>
      <c r="D12" s="178"/>
      <c r="E12" s="178"/>
      <c r="F12" s="178"/>
      <c r="G12" s="178"/>
      <c r="H12" s="179"/>
      <c r="I12" s="179"/>
      <c r="J12" s="180"/>
      <c r="K12" s="174" t="b">
        <f>IFERROR(__xludf.DUMMYFUNCTION("""COMPUTED_VALUE"""),FALSE)</f>
        <v>0</v>
      </c>
      <c r="L12" s="174"/>
      <c r="M12" s="174"/>
      <c r="N12" s="174"/>
      <c r="O12" s="174"/>
      <c r="P12" s="174"/>
      <c r="Q12" s="174"/>
      <c r="R12" s="174"/>
      <c r="S12" s="174"/>
      <c r="T12" s="174"/>
      <c r="U12" s="174"/>
      <c r="V12" s="174"/>
      <c r="W12" s="174"/>
      <c r="X12" s="174"/>
      <c r="Y12" s="174"/>
      <c r="Z12" s="174"/>
    </row>
    <row r="13">
      <c r="A13" s="181"/>
      <c r="B13" s="176"/>
      <c r="C13" s="177"/>
      <c r="D13" s="178"/>
      <c r="E13" s="178"/>
      <c r="F13" s="178"/>
      <c r="G13" s="178"/>
      <c r="H13" s="179"/>
      <c r="I13" s="179"/>
      <c r="J13" s="180"/>
      <c r="K13" s="174" t="b">
        <f>IFERROR(__xludf.DUMMYFUNCTION("""COMPUTED_VALUE"""),FALSE)</f>
        <v>0</v>
      </c>
      <c r="L13" s="174"/>
      <c r="M13" s="174"/>
      <c r="N13" s="174"/>
      <c r="O13" s="174"/>
      <c r="P13" s="174"/>
      <c r="Q13" s="174"/>
      <c r="R13" s="174"/>
      <c r="S13" s="174"/>
      <c r="T13" s="174"/>
      <c r="U13" s="174"/>
      <c r="V13" s="174"/>
      <c r="W13" s="174"/>
      <c r="X13" s="174"/>
      <c r="Y13" s="174"/>
      <c r="Z13" s="174"/>
    </row>
    <row r="14">
      <c r="A14" s="181"/>
      <c r="B14" s="176"/>
      <c r="C14" s="177"/>
      <c r="D14" s="178"/>
      <c r="E14" s="178"/>
      <c r="F14" s="178"/>
      <c r="G14" s="178"/>
      <c r="H14" s="179"/>
      <c r="I14" s="179"/>
      <c r="J14" s="180"/>
      <c r="K14" s="174" t="b">
        <f>IFERROR(__xludf.DUMMYFUNCTION("""COMPUTED_VALUE"""),FALSE)</f>
        <v>0</v>
      </c>
      <c r="L14" s="174"/>
      <c r="M14" s="174"/>
      <c r="N14" s="174"/>
      <c r="O14" s="174"/>
      <c r="P14" s="174"/>
      <c r="Q14" s="174"/>
      <c r="R14" s="174"/>
      <c r="S14" s="174"/>
      <c r="T14" s="174"/>
      <c r="U14" s="174"/>
      <c r="V14" s="174"/>
      <c r="W14" s="174"/>
      <c r="X14" s="174"/>
      <c r="Y14" s="174"/>
      <c r="Z14" s="174"/>
    </row>
    <row r="15">
      <c r="A15" s="181"/>
      <c r="B15" s="176"/>
      <c r="C15" s="177"/>
      <c r="D15" s="178"/>
      <c r="E15" s="178"/>
      <c r="F15" s="178"/>
      <c r="G15" s="178"/>
      <c r="H15" s="179"/>
      <c r="I15" s="179"/>
      <c r="J15" s="180"/>
      <c r="K15" s="174" t="b">
        <f>IFERROR(__xludf.DUMMYFUNCTION("""COMPUTED_VALUE"""),FALSE)</f>
        <v>0</v>
      </c>
      <c r="L15" s="174"/>
      <c r="M15" s="174"/>
      <c r="N15" s="174"/>
      <c r="O15" s="174"/>
      <c r="P15" s="174"/>
      <c r="Q15" s="174"/>
      <c r="R15" s="174"/>
      <c r="S15" s="174"/>
      <c r="T15" s="174"/>
      <c r="U15" s="174"/>
      <c r="V15" s="174"/>
      <c r="W15" s="174"/>
      <c r="X15" s="174"/>
      <c r="Y15" s="174"/>
      <c r="Z15" s="174"/>
    </row>
    <row r="16">
      <c r="A16" s="181"/>
      <c r="B16" s="176"/>
      <c r="C16" s="177"/>
      <c r="D16" s="178"/>
      <c r="E16" s="178"/>
      <c r="F16" s="178"/>
      <c r="G16" s="178"/>
      <c r="H16" s="179"/>
      <c r="I16" s="179"/>
      <c r="J16" s="180"/>
      <c r="K16" s="174" t="b">
        <f>IFERROR(__xludf.DUMMYFUNCTION("""COMPUTED_VALUE"""),FALSE)</f>
        <v>0</v>
      </c>
      <c r="L16" s="174"/>
      <c r="M16" s="174"/>
      <c r="N16" s="174"/>
      <c r="O16" s="174"/>
      <c r="P16" s="174"/>
      <c r="Q16" s="174"/>
      <c r="R16" s="174"/>
      <c r="S16" s="174"/>
      <c r="T16" s="174"/>
      <c r="U16" s="174"/>
      <c r="V16" s="174"/>
      <c r="W16" s="174"/>
      <c r="X16" s="174"/>
      <c r="Y16" s="174"/>
      <c r="Z16" s="174"/>
    </row>
    <row r="17">
      <c r="A17" s="181"/>
      <c r="B17" s="176"/>
      <c r="C17" s="177"/>
      <c r="D17" s="178"/>
      <c r="E17" s="178"/>
      <c r="F17" s="178"/>
      <c r="G17" s="178"/>
      <c r="H17" s="179"/>
      <c r="I17" s="179"/>
      <c r="J17" s="180"/>
      <c r="K17" s="174" t="b">
        <f>IFERROR(__xludf.DUMMYFUNCTION("""COMPUTED_VALUE"""),FALSE)</f>
        <v>0</v>
      </c>
      <c r="L17" s="174"/>
      <c r="M17" s="174"/>
      <c r="N17" s="174"/>
      <c r="O17" s="174"/>
      <c r="P17" s="174"/>
      <c r="Q17" s="174"/>
      <c r="R17" s="174"/>
      <c r="S17" s="174"/>
      <c r="T17" s="174"/>
      <c r="U17" s="174"/>
      <c r="V17" s="174"/>
      <c r="W17" s="174"/>
      <c r="X17" s="174"/>
      <c r="Y17" s="174"/>
      <c r="Z17" s="174"/>
    </row>
    <row r="18">
      <c r="A18" s="181"/>
      <c r="B18" s="176"/>
      <c r="C18" s="177"/>
      <c r="D18" s="178"/>
      <c r="E18" s="178"/>
      <c r="F18" s="178"/>
      <c r="G18" s="178"/>
      <c r="H18" s="179"/>
      <c r="I18" s="179"/>
      <c r="J18" s="180"/>
      <c r="K18" s="174" t="b">
        <f>IFERROR(__xludf.DUMMYFUNCTION("""COMPUTED_VALUE"""),FALSE)</f>
        <v>0</v>
      </c>
      <c r="L18" s="174"/>
      <c r="M18" s="174"/>
      <c r="N18" s="174"/>
      <c r="O18" s="174"/>
      <c r="P18" s="174"/>
      <c r="Q18" s="174"/>
      <c r="R18" s="174"/>
      <c r="S18" s="174"/>
      <c r="T18" s="174"/>
      <c r="U18" s="174"/>
      <c r="V18" s="174"/>
      <c r="W18" s="174"/>
      <c r="X18" s="174"/>
      <c r="Y18" s="174"/>
      <c r="Z18" s="174"/>
    </row>
    <row r="19">
      <c r="A19" s="181"/>
      <c r="B19" s="176"/>
      <c r="C19" s="177"/>
      <c r="D19" s="178"/>
      <c r="E19" s="178"/>
      <c r="F19" s="178"/>
      <c r="G19" s="178"/>
      <c r="H19" s="179"/>
      <c r="I19" s="179"/>
      <c r="J19" s="180"/>
      <c r="K19" s="174" t="b">
        <f>IFERROR(__xludf.DUMMYFUNCTION("""COMPUTED_VALUE"""),FALSE)</f>
        <v>0</v>
      </c>
      <c r="L19" s="174"/>
      <c r="M19" s="174"/>
      <c r="N19" s="174"/>
      <c r="O19" s="174"/>
      <c r="P19" s="174"/>
      <c r="Q19" s="174"/>
      <c r="R19" s="174"/>
      <c r="S19" s="174"/>
      <c r="T19" s="174"/>
      <c r="U19" s="174"/>
      <c r="V19" s="174"/>
      <c r="W19" s="174"/>
      <c r="X19" s="174"/>
      <c r="Y19" s="174"/>
      <c r="Z19" s="174"/>
    </row>
    <row r="20">
      <c r="A20" s="181"/>
      <c r="B20" s="176"/>
      <c r="C20" s="177"/>
      <c r="D20" s="178"/>
      <c r="E20" s="178"/>
      <c r="F20" s="178"/>
      <c r="G20" s="178"/>
      <c r="H20" s="179"/>
      <c r="I20" s="179"/>
      <c r="J20" s="180"/>
      <c r="K20" s="174" t="b">
        <f>IFERROR(__xludf.DUMMYFUNCTION("""COMPUTED_VALUE"""),FALSE)</f>
        <v>0</v>
      </c>
      <c r="L20" s="174"/>
      <c r="M20" s="174"/>
      <c r="N20" s="174"/>
      <c r="O20" s="174"/>
      <c r="P20" s="174"/>
      <c r="Q20" s="174"/>
      <c r="R20" s="174"/>
      <c r="S20" s="174"/>
      <c r="T20" s="174"/>
      <c r="U20" s="174"/>
      <c r="V20" s="174"/>
      <c r="W20" s="174"/>
      <c r="X20" s="174"/>
      <c r="Y20" s="174"/>
      <c r="Z20" s="174"/>
    </row>
    <row r="21">
      <c r="A21" s="181"/>
      <c r="B21" s="176"/>
      <c r="C21" s="177"/>
      <c r="D21" s="178"/>
      <c r="E21" s="178"/>
      <c r="F21" s="178"/>
      <c r="G21" s="178"/>
      <c r="H21" s="179"/>
      <c r="I21" s="179"/>
      <c r="J21" s="180"/>
      <c r="K21" s="174" t="b">
        <f>IFERROR(__xludf.DUMMYFUNCTION("""COMPUTED_VALUE"""),FALSE)</f>
        <v>0</v>
      </c>
      <c r="L21" s="174"/>
      <c r="M21" s="174"/>
      <c r="N21" s="174"/>
      <c r="O21" s="174"/>
      <c r="P21" s="174"/>
      <c r="Q21" s="174"/>
      <c r="R21" s="174"/>
      <c r="S21" s="174"/>
      <c r="T21" s="174"/>
      <c r="U21" s="174"/>
      <c r="V21" s="174"/>
      <c r="W21" s="174"/>
      <c r="X21" s="174"/>
      <c r="Y21" s="174"/>
      <c r="Z21" s="174"/>
    </row>
    <row r="22">
      <c r="A22" s="181"/>
      <c r="B22" s="176"/>
      <c r="C22" s="177"/>
      <c r="D22" s="178"/>
      <c r="E22" s="178"/>
      <c r="F22" s="178"/>
      <c r="G22" s="178"/>
      <c r="H22" s="179"/>
      <c r="I22" s="179"/>
      <c r="J22" s="180"/>
      <c r="K22" s="174" t="b">
        <f>IFERROR(__xludf.DUMMYFUNCTION("""COMPUTED_VALUE"""),FALSE)</f>
        <v>0</v>
      </c>
      <c r="L22" s="174"/>
      <c r="M22" s="174"/>
      <c r="N22" s="174"/>
      <c r="O22" s="174"/>
      <c r="P22" s="174"/>
      <c r="Q22" s="174"/>
      <c r="R22" s="174"/>
      <c r="S22" s="174"/>
      <c r="T22" s="174"/>
      <c r="U22" s="174"/>
      <c r="V22" s="174"/>
      <c r="W22" s="174"/>
      <c r="X22" s="174"/>
      <c r="Y22" s="174"/>
      <c r="Z22" s="174"/>
    </row>
    <row r="23">
      <c r="A23" s="181"/>
      <c r="B23" s="176"/>
      <c r="C23" s="177"/>
      <c r="D23" s="178"/>
      <c r="E23" s="178"/>
      <c r="F23" s="178"/>
      <c r="G23" s="178"/>
      <c r="H23" s="179"/>
      <c r="I23" s="179"/>
      <c r="J23" s="180"/>
      <c r="K23" s="174" t="b">
        <f>IFERROR(__xludf.DUMMYFUNCTION("""COMPUTED_VALUE"""),FALSE)</f>
        <v>0</v>
      </c>
      <c r="L23" s="174"/>
      <c r="M23" s="174"/>
      <c r="N23" s="174"/>
      <c r="O23" s="174"/>
      <c r="P23" s="174"/>
      <c r="Q23" s="174"/>
      <c r="R23" s="174"/>
      <c r="S23" s="174"/>
      <c r="T23" s="174"/>
      <c r="U23" s="174"/>
      <c r="V23" s="174"/>
      <c r="W23" s="174"/>
      <c r="X23" s="174"/>
      <c r="Y23" s="174"/>
      <c r="Z23" s="174"/>
    </row>
    <row r="24">
      <c r="A24" s="181"/>
      <c r="B24" s="176"/>
      <c r="C24" s="177"/>
      <c r="D24" s="178"/>
      <c r="E24" s="178"/>
      <c r="F24" s="178"/>
      <c r="G24" s="178"/>
      <c r="H24" s="179"/>
      <c r="I24" s="179"/>
      <c r="J24" s="180"/>
      <c r="K24" s="174" t="b">
        <f>IFERROR(__xludf.DUMMYFUNCTION("""COMPUTED_VALUE"""),FALSE)</f>
        <v>0</v>
      </c>
      <c r="L24" s="174"/>
      <c r="M24" s="174"/>
      <c r="N24" s="174"/>
      <c r="O24" s="174"/>
      <c r="P24" s="174"/>
      <c r="Q24" s="174"/>
      <c r="R24" s="174"/>
      <c r="S24" s="174"/>
      <c r="T24" s="174"/>
      <c r="U24" s="174"/>
      <c r="V24" s="174"/>
      <c r="W24" s="174"/>
      <c r="X24" s="174"/>
      <c r="Y24" s="174"/>
      <c r="Z24" s="174"/>
    </row>
    <row r="25">
      <c r="A25" s="181"/>
      <c r="B25" s="176"/>
      <c r="C25" s="177"/>
      <c r="D25" s="178"/>
      <c r="E25" s="178"/>
      <c r="F25" s="178"/>
      <c r="G25" s="178"/>
      <c r="H25" s="179"/>
      <c r="I25" s="179"/>
      <c r="J25" s="180"/>
      <c r="K25" s="174" t="b">
        <f>IFERROR(__xludf.DUMMYFUNCTION("""COMPUTED_VALUE"""),FALSE)</f>
        <v>0</v>
      </c>
      <c r="L25" s="174"/>
      <c r="M25" s="174"/>
      <c r="N25" s="174"/>
      <c r="O25" s="174"/>
      <c r="P25" s="174"/>
      <c r="Q25" s="174"/>
      <c r="R25" s="174"/>
      <c r="S25" s="174"/>
      <c r="T25" s="174"/>
      <c r="U25" s="174"/>
      <c r="V25" s="174"/>
      <c r="W25" s="174"/>
      <c r="X25" s="174"/>
      <c r="Y25" s="174"/>
      <c r="Z25" s="174"/>
    </row>
    <row r="26">
      <c r="A26" s="181"/>
      <c r="B26" s="176"/>
      <c r="C26" s="177"/>
      <c r="D26" s="178"/>
      <c r="E26" s="178"/>
      <c r="F26" s="178"/>
      <c r="G26" s="178"/>
      <c r="H26" s="179"/>
      <c r="I26" s="179"/>
      <c r="J26" s="180"/>
      <c r="K26" s="174" t="b">
        <f>IFERROR(__xludf.DUMMYFUNCTION("""COMPUTED_VALUE"""),FALSE)</f>
        <v>0</v>
      </c>
      <c r="L26" s="174"/>
      <c r="M26" s="174"/>
      <c r="N26" s="174"/>
      <c r="O26" s="174"/>
      <c r="P26" s="174"/>
      <c r="Q26" s="174"/>
      <c r="R26" s="174"/>
      <c r="S26" s="174"/>
      <c r="T26" s="174"/>
      <c r="U26" s="174"/>
      <c r="V26" s="174"/>
      <c r="W26" s="174"/>
      <c r="X26" s="174"/>
      <c r="Y26" s="174"/>
      <c r="Z26" s="174"/>
    </row>
    <row r="27">
      <c r="A27" s="181"/>
      <c r="B27" s="176"/>
      <c r="C27" s="177"/>
      <c r="D27" s="178"/>
      <c r="E27" s="178"/>
      <c r="F27" s="178"/>
      <c r="G27" s="178"/>
      <c r="H27" s="179"/>
      <c r="I27" s="179"/>
      <c r="J27" s="180"/>
      <c r="K27" s="174" t="b">
        <f>IFERROR(__xludf.DUMMYFUNCTION("""COMPUTED_VALUE"""),FALSE)</f>
        <v>0</v>
      </c>
      <c r="L27" s="174"/>
      <c r="M27" s="174"/>
      <c r="N27" s="174"/>
      <c r="O27" s="174"/>
      <c r="P27" s="174"/>
      <c r="Q27" s="174"/>
      <c r="R27" s="174"/>
      <c r="S27" s="174"/>
      <c r="T27" s="174"/>
      <c r="U27" s="174"/>
      <c r="V27" s="174"/>
      <c r="W27" s="174"/>
      <c r="X27" s="174"/>
      <c r="Y27" s="174"/>
      <c r="Z27" s="174"/>
    </row>
    <row r="28">
      <c r="A28" s="181"/>
      <c r="B28" s="176"/>
      <c r="C28" s="177"/>
      <c r="D28" s="178"/>
      <c r="E28" s="178"/>
      <c r="F28" s="178"/>
      <c r="G28" s="178"/>
      <c r="H28" s="179"/>
      <c r="I28" s="179"/>
      <c r="J28" s="180"/>
      <c r="K28" s="174" t="b">
        <f>IFERROR(__xludf.DUMMYFUNCTION("""COMPUTED_VALUE"""),FALSE)</f>
        <v>0</v>
      </c>
      <c r="L28" s="174"/>
      <c r="M28" s="174"/>
      <c r="N28" s="174"/>
      <c r="O28" s="174"/>
      <c r="P28" s="174"/>
      <c r="Q28" s="174"/>
      <c r="R28" s="174"/>
      <c r="S28" s="174"/>
      <c r="T28" s="174"/>
      <c r="U28" s="174"/>
      <c r="V28" s="174"/>
      <c r="W28" s="174"/>
      <c r="X28" s="174"/>
      <c r="Y28" s="174"/>
      <c r="Z28" s="174"/>
    </row>
    <row r="29">
      <c r="A29" s="181"/>
      <c r="B29" s="176"/>
      <c r="C29" s="177"/>
      <c r="D29" s="178"/>
      <c r="E29" s="178"/>
      <c r="F29" s="178"/>
      <c r="G29" s="178"/>
      <c r="H29" s="179"/>
      <c r="I29" s="179"/>
      <c r="J29" s="180"/>
      <c r="K29" s="174" t="b">
        <f>IFERROR(__xludf.DUMMYFUNCTION("""COMPUTED_VALUE"""),FALSE)</f>
        <v>0</v>
      </c>
      <c r="L29" s="174"/>
      <c r="M29" s="174"/>
      <c r="N29" s="174"/>
      <c r="O29" s="174"/>
      <c r="P29" s="174"/>
      <c r="Q29" s="174"/>
      <c r="R29" s="174"/>
      <c r="S29" s="174"/>
      <c r="T29" s="174"/>
      <c r="U29" s="174"/>
      <c r="V29" s="174"/>
      <c r="W29" s="174"/>
      <c r="X29" s="174"/>
      <c r="Y29" s="174"/>
      <c r="Z29" s="174"/>
    </row>
    <row r="30">
      <c r="A30" s="181"/>
      <c r="B30" s="176"/>
      <c r="C30" s="177"/>
      <c r="D30" s="178"/>
      <c r="E30" s="178"/>
      <c r="F30" s="178"/>
      <c r="G30" s="178"/>
      <c r="H30" s="179"/>
      <c r="I30" s="179"/>
      <c r="J30" s="180"/>
      <c r="K30" s="174" t="b">
        <f>IFERROR(__xludf.DUMMYFUNCTION("""COMPUTED_VALUE"""),FALSE)</f>
        <v>0</v>
      </c>
      <c r="L30" s="174"/>
      <c r="M30" s="174"/>
      <c r="N30" s="174"/>
      <c r="O30" s="174"/>
      <c r="P30" s="174"/>
      <c r="Q30" s="174"/>
      <c r="R30" s="174"/>
      <c r="S30" s="174"/>
      <c r="T30" s="174"/>
      <c r="U30" s="174"/>
      <c r="V30" s="174"/>
      <c r="W30" s="174"/>
      <c r="X30" s="174"/>
      <c r="Y30" s="174"/>
      <c r="Z30" s="174"/>
    </row>
    <row r="31">
      <c r="A31" s="181"/>
      <c r="B31" s="176"/>
      <c r="C31" s="177"/>
      <c r="D31" s="178"/>
      <c r="E31" s="178"/>
      <c r="F31" s="178"/>
      <c r="G31" s="178"/>
      <c r="H31" s="179"/>
      <c r="I31" s="179"/>
      <c r="J31" s="180"/>
      <c r="K31" s="174" t="b">
        <f>IFERROR(__xludf.DUMMYFUNCTION("""COMPUTED_VALUE"""),FALSE)</f>
        <v>0</v>
      </c>
      <c r="L31" s="174"/>
      <c r="M31" s="174"/>
      <c r="N31" s="174"/>
      <c r="O31" s="174"/>
      <c r="P31" s="174"/>
      <c r="Q31" s="174"/>
      <c r="R31" s="174"/>
      <c r="S31" s="174"/>
      <c r="T31" s="174"/>
      <c r="U31" s="174"/>
      <c r="V31" s="174"/>
      <c r="W31" s="174"/>
      <c r="X31" s="174"/>
      <c r="Y31" s="174"/>
      <c r="Z31" s="174"/>
    </row>
    <row r="32">
      <c r="A32" s="181"/>
      <c r="B32" s="176"/>
      <c r="C32" s="177"/>
      <c r="D32" s="178"/>
      <c r="E32" s="178"/>
      <c r="F32" s="178"/>
      <c r="G32" s="178"/>
      <c r="H32" s="179"/>
      <c r="I32" s="179"/>
      <c r="J32" s="180"/>
      <c r="K32" s="174" t="b">
        <f>IFERROR(__xludf.DUMMYFUNCTION("""COMPUTED_VALUE"""),FALSE)</f>
        <v>0</v>
      </c>
      <c r="L32" s="174"/>
      <c r="M32" s="174"/>
      <c r="N32" s="174"/>
      <c r="O32" s="174"/>
      <c r="P32" s="174"/>
      <c r="Q32" s="174"/>
      <c r="R32" s="174"/>
      <c r="S32" s="174"/>
      <c r="T32" s="174"/>
      <c r="U32" s="174"/>
      <c r="V32" s="174"/>
      <c r="W32" s="174"/>
      <c r="X32" s="174"/>
      <c r="Y32" s="174"/>
      <c r="Z32" s="174"/>
    </row>
    <row r="33">
      <c r="A33" s="181"/>
      <c r="B33" s="176"/>
      <c r="C33" s="177"/>
      <c r="D33" s="178"/>
      <c r="E33" s="178"/>
      <c r="F33" s="178"/>
      <c r="G33" s="178"/>
      <c r="H33" s="179"/>
      <c r="I33" s="179"/>
      <c r="J33" s="180"/>
      <c r="K33" s="174" t="b">
        <f>IFERROR(__xludf.DUMMYFUNCTION("""COMPUTED_VALUE"""),FALSE)</f>
        <v>0</v>
      </c>
      <c r="L33" s="174"/>
      <c r="M33" s="174"/>
      <c r="N33" s="174"/>
      <c r="O33" s="174"/>
      <c r="P33" s="174"/>
      <c r="Q33" s="174"/>
      <c r="R33" s="174"/>
      <c r="S33" s="174"/>
      <c r="T33" s="174"/>
      <c r="U33" s="174"/>
      <c r="V33" s="174"/>
      <c r="W33" s="174"/>
      <c r="X33" s="174"/>
      <c r="Y33" s="174"/>
      <c r="Z33" s="174"/>
    </row>
    <row r="34">
      <c r="A34" s="181"/>
      <c r="B34" s="176"/>
      <c r="C34" s="177"/>
      <c r="D34" s="178"/>
      <c r="E34" s="178"/>
      <c r="F34" s="178"/>
      <c r="G34" s="178"/>
      <c r="H34" s="179"/>
      <c r="I34" s="179"/>
      <c r="J34" s="180"/>
      <c r="K34" s="174" t="b">
        <f>IFERROR(__xludf.DUMMYFUNCTION("""COMPUTED_VALUE"""),FALSE)</f>
        <v>0</v>
      </c>
      <c r="L34" s="174"/>
      <c r="M34" s="174"/>
      <c r="N34" s="174"/>
      <c r="O34" s="174"/>
      <c r="P34" s="174"/>
      <c r="Q34" s="174"/>
      <c r="R34" s="174"/>
      <c r="S34" s="174"/>
      <c r="T34" s="174"/>
      <c r="U34" s="174"/>
      <c r="V34" s="174"/>
      <c r="W34" s="174"/>
      <c r="X34" s="174"/>
      <c r="Y34" s="174"/>
      <c r="Z34" s="174"/>
    </row>
    <row r="35">
      <c r="A35" s="175"/>
      <c r="B35" s="176"/>
      <c r="C35" s="177"/>
      <c r="D35" s="178"/>
      <c r="E35" s="178"/>
      <c r="F35" s="178"/>
      <c r="G35" s="178"/>
      <c r="H35" s="179"/>
      <c r="I35" s="179"/>
      <c r="J35" s="180"/>
      <c r="K35" s="148" t="b">
        <f>IFERROR(__xludf.DUMMYFUNCTION("""COMPUTED_VALUE"""),FALSE)</f>
        <v>0</v>
      </c>
      <c r="L35" s="174"/>
      <c r="M35" s="174"/>
      <c r="N35" s="174"/>
      <c r="O35" s="174"/>
      <c r="P35" s="174"/>
      <c r="Q35" s="174"/>
      <c r="R35" s="174"/>
      <c r="S35" s="174"/>
      <c r="T35" s="174"/>
      <c r="U35" s="174"/>
      <c r="V35" s="174"/>
      <c r="W35" s="174"/>
      <c r="X35" s="174"/>
      <c r="Y35" s="174"/>
      <c r="Z35" s="174"/>
    </row>
    <row r="36">
      <c r="A36" s="181"/>
      <c r="B36" s="176"/>
      <c r="C36" s="177"/>
      <c r="D36" s="178"/>
      <c r="E36" s="178"/>
      <c r="F36" s="178"/>
      <c r="G36" s="178"/>
      <c r="H36" s="179"/>
      <c r="I36" s="179"/>
      <c r="J36" s="180"/>
      <c r="K36" s="174" t="b">
        <f>IFERROR(__xludf.DUMMYFUNCTION("""COMPUTED_VALUE"""),FALSE)</f>
        <v>0</v>
      </c>
      <c r="L36" s="174"/>
      <c r="M36" s="174"/>
      <c r="N36" s="174"/>
      <c r="O36" s="174"/>
      <c r="P36" s="174"/>
      <c r="Q36" s="174"/>
      <c r="R36" s="174"/>
      <c r="S36" s="174"/>
      <c r="T36" s="174"/>
      <c r="U36" s="174"/>
      <c r="V36" s="174"/>
      <c r="W36" s="174"/>
      <c r="X36" s="174"/>
      <c r="Y36" s="174"/>
      <c r="Z36" s="174"/>
    </row>
    <row r="37">
      <c r="A37" s="181"/>
      <c r="B37" s="176"/>
      <c r="C37" s="177"/>
      <c r="D37" s="178"/>
      <c r="E37" s="178"/>
      <c r="F37" s="178"/>
      <c r="G37" s="178"/>
      <c r="H37" s="179"/>
      <c r="I37" s="179"/>
      <c r="J37" s="180"/>
      <c r="K37" s="174" t="b">
        <f>IFERROR(__xludf.DUMMYFUNCTION("""COMPUTED_VALUE"""),FALSE)</f>
        <v>0</v>
      </c>
      <c r="L37" s="174"/>
      <c r="M37" s="174"/>
      <c r="N37" s="174"/>
      <c r="O37" s="174"/>
      <c r="P37" s="174"/>
      <c r="Q37" s="174"/>
      <c r="R37" s="174"/>
      <c r="S37" s="174"/>
      <c r="T37" s="174"/>
      <c r="U37" s="174"/>
      <c r="V37" s="174"/>
      <c r="W37" s="174"/>
      <c r="X37" s="174"/>
      <c r="Y37" s="174"/>
      <c r="Z37" s="174"/>
    </row>
    <row r="38">
      <c r="A38" s="175"/>
      <c r="B38" s="176"/>
      <c r="C38" s="177"/>
      <c r="D38" s="178"/>
      <c r="E38" s="178"/>
      <c r="F38" s="178"/>
      <c r="G38" s="178"/>
      <c r="H38" s="179"/>
      <c r="I38" s="179"/>
      <c r="J38" s="180"/>
      <c r="K38" s="148" t="b">
        <f>IFERROR(__xludf.DUMMYFUNCTION("""COMPUTED_VALUE"""),FALSE)</f>
        <v>0</v>
      </c>
      <c r="L38" s="174"/>
      <c r="M38" s="174"/>
      <c r="N38" s="174"/>
      <c r="O38" s="174"/>
      <c r="P38" s="174"/>
      <c r="Q38" s="174"/>
      <c r="R38" s="174"/>
      <c r="S38" s="174"/>
      <c r="T38" s="174"/>
      <c r="U38" s="174"/>
      <c r="V38" s="174"/>
      <c r="W38" s="174"/>
      <c r="X38" s="174"/>
      <c r="Y38" s="174"/>
      <c r="Z38" s="174"/>
    </row>
    <row r="39">
      <c r="A39" s="181"/>
      <c r="B39" s="176"/>
      <c r="C39" s="177"/>
      <c r="D39" s="178"/>
      <c r="E39" s="178"/>
      <c r="F39" s="178"/>
      <c r="G39" s="178"/>
      <c r="H39" s="179"/>
      <c r="I39" s="179"/>
      <c r="J39" s="180"/>
      <c r="K39" s="174" t="b">
        <f>IFERROR(__xludf.DUMMYFUNCTION("""COMPUTED_VALUE"""),FALSE)</f>
        <v>0</v>
      </c>
      <c r="L39" s="174"/>
      <c r="M39" s="174"/>
      <c r="N39" s="174"/>
      <c r="O39" s="174"/>
      <c r="P39" s="174"/>
      <c r="Q39" s="174"/>
      <c r="R39" s="174"/>
      <c r="S39" s="174"/>
      <c r="T39" s="174"/>
      <c r="U39" s="174"/>
      <c r="V39" s="174"/>
      <c r="W39" s="174"/>
      <c r="X39" s="174"/>
      <c r="Y39" s="174"/>
      <c r="Z39" s="174"/>
    </row>
    <row r="40">
      <c r="A40" s="181"/>
      <c r="B40" s="176"/>
      <c r="C40" s="177"/>
      <c r="D40" s="178"/>
      <c r="E40" s="178"/>
      <c r="F40" s="178"/>
      <c r="G40" s="178"/>
      <c r="H40" s="179"/>
      <c r="I40" s="179"/>
      <c r="J40" s="180"/>
      <c r="K40" s="174" t="b">
        <f>IFERROR(__xludf.DUMMYFUNCTION("""COMPUTED_VALUE"""),FALSE)</f>
        <v>0</v>
      </c>
      <c r="L40" s="174"/>
      <c r="M40" s="174"/>
      <c r="N40" s="174"/>
      <c r="O40" s="174"/>
      <c r="P40" s="174"/>
      <c r="Q40" s="174"/>
      <c r="R40" s="174"/>
      <c r="S40" s="174"/>
      <c r="T40" s="174"/>
      <c r="U40" s="174"/>
      <c r="V40" s="174"/>
      <c r="W40" s="174"/>
      <c r="X40" s="174"/>
      <c r="Y40" s="174"/>
      <c r="Z40" s="174"/>
    </row>
    <row r="41">
      <c r="A41" s="181"/>
      <c r="B41" s="176"/>
      <c r="C41" s="177"/>
      <c r="D41" s="178"/>
      <c r="E41" s="178"/>
      <c r="F41" s="178"/>
      <c r="G41" s="178"/>
      <c r="H41" s="179"/>
      <c r="I41" s="179"/>
      <c r="J41" s="180"/>
      <c r="K41" s="174" t="b">
        <f>IFERROR(__xludf.DUMMYFUNCTION("""COMPUTED_VALUE"""),FALSE)</f>
        <v>0</v>
      </c>
      <c r="L41" s="174"/>
      <c r="M41" s="174"/>
      <c r="N41" s="174"/>
      <c r="O41" s="174"/>
      <c r="P41" s="174"/>
      <c r="Q41" s="174"/>
      <c r="R41" s="174"/>
      <c r="S41" s="174"/>
      <c r="T41" s="174"/>
      <c r="U41" s="174"/>
      <c r="V41" s="174"/>
      <c r="W41" s="174"/>
      <c r="X41" s="174"/>
      <c r="Y41" s="174"/>
      <c r="Z41" s="174"/>
    </row>
    <row r="42">
      <c r="A42" s="181"/>
      <c r="B42" s="176"/>
      <c r="C42" s="177"/>
      <c r="D42" s="178"/>
      <c r="E42" s="178"/>
      <c r="F42" s="178"/>
      <c r="G42" s="178"/>
      <c r="H42" s="179"/>
      <c r="I42" s="179"/>
      <c r="J42" s="180"/>
      <c r="K42" s="174" t="b">
        <f>IFERROR(__xludf.DUMMYFUNCTION("""COMPUTED_VALUE"""),FALSE)</f>
        <v>0</v>
      </c>
      <c r="L42" s="174"/>
      <c r="M42" s="174"/>
      <c r="N42" s="174"/>
      <c r="O42" s="174"/>
      <c r="P42" s="174"/>
      <c r="Q42" s="174"/>
      <c r="R42" s="174"/>
      <c r="S42" s="174"/>
      <c r="T42" s="174"/>
      <c r="U42" s="174"/>
      <c r="V42" s="174"/>
      <c r="W42" s="174"/>
      <c r="X42" s="174"/>
      <c r="Y42" s="174"/>
      <c r="Z42" s="174"/>
    </row>
    <row r="43">
      <c r="A43" s="181"/>
      <c r="B43" s="176"/>
      <c r="C43" s="177"/>
      <c r="D43" s="178"/>
      <c r="E43" s="178"/>
      <c r="F43" s="178"/>
      <c r="G43" s="178"/>
      <c r="H43" s="179"/>
      <c r="I43" s="179"/>
      <c r="J43" s="180"/>
      <c r="K43" s="174" t="b">
        <f>IFERROR(__xludf.DUMMYFUNCTION("""COMPUTED_VALUE"""),FALSE)</f>
        <v>0</v>
      </c>
      <c r="L43" s="174"/>
      <c r="M43" s="174"/>
      <c r="N43" s="174"/>
      <c r="O43" s="174"/>
      <c r="P43" s="174"/>
      <c r="Q43" s="174"/>
      <c r="R43" s="174"/>
      <c r="S43" s="174"/>
      <c r="T43" s="174"/>
      <c r="U43" s="174"/>
      <c r="V43" s="174"/>
      <c r="W43" s="174"/>
      <c r="X43" s="174"/>
      <c r="Y43" s="174"/>
      <c r="Z43" s="174"/>
    </row>
    <row r="44">
      <c r="A44" s="181"/>
      <c r="B44" s="176"/>
      <c r="C44" s="177"/>
      <c r="D44" s="178"/>
      <c r="E44" s="178"/>
      <c r="F44" s="178"/>
      <c r="G44" s="178"/>
      <c r="H44" s="179"/>
      <c r="I44" s="179"/>
      <c r="J44" s="180"/>
      <c r="K44" s="174" t="b">
        <f>IFERROR(__xludf.DUMMYFUNCTION("""COMPUTED_VALUE"""),FALSE)</f>
        <v>0</v>
      </c>
      <c r="L44" s="174"/>
      <c r="M44" s="174"/>
      <c r="N44" s="174"/>
      <c r="O44" s="174"/>
      <c r="P44" s="174"/>
      <c r="Q44" s="174"/>
      <c r="R44" s="174"/>
      <c r="S44" s="174"/>
      <c r="T44" s="174"/>
      <c r="U44" s="174"/>
      <c r="V44" s="174"/>
      <c r="W44" s="174"/>
      <c r="X44" s="174"/>
      <c r="Y44" s="174"/>
      <c r="Z44" s="174"/>
    </row>
    <row r="45">
      <c r="A45" s="181"/>
      <c r="B45" s="176"/>
      <c r="C45" s="177"/>
      <c r="D45" s="178"/>
      <c r="E45" s="178"/>
      <c r="F45" s="178"/>
      <c r="G45" s="178"/>
      <c r="H45" s="179"/>
      <c r="I45" s="179"/>
      <c r="J45" s="180"/>
      <c r="K45" s="174" t="b">
        <f>IFERROR(__xludf.DUMMYFUNCTION("""COMPUTED_VALUE"""),FALSE)</f>
        <v>0</v>
      </c>
      <c r="L45" s="174"/>
      <c r="M45" s="174"/>
      <c r="N45" s="174"/>
      <c r="O45" s="174"/>
      <c r="P45" s="174"/>
      <c r="Q45" s="174"/>
      <c r="R45" s="174"/>
      <c r="S45" s="174"/>
      <c r="T45" s="174"/>
      <c r="U45" s="174"/>
      <c r="V45" s="174"/>
      <c r="W45" s="174"/>
      <c r="X45" s="174"/>
      <c r="Y45" s="174"/>
      <c r="Z45" s="174"/>
    </row>
    <row r="46">
      <c r="A46" s="181"/>
      <c r="B46" s="176"/>
      <c r="C46" s="177"/>
      <c r="D46" s="178"/>
      <c r="E46" s="178"/>
      <c r="F46" s="178"/>
      <c r="G46" s="178"/>
      <c r="H46" s="179"/>
      <c r="I46" s="179"/>
      <c r="J46" s="180"/>
      <c r="K46" s="174" t="b">
        <f>IFERROR(__xludf.DUMMYFUNCTION("""COMPUTED_VALUE"""),FALSE)</f>
        <v>0</v>
      </c>
      <c r="L46" s="174"/>
      <c r="M46" s="174"/>
      <c r="N46" s="174"/>
      <c r="O46" s="174"/>
      <c r="P46" s="174"/>
      <c r="Q46" s="174"/>
      <c r="R46" s="174"/>
      <c r="S46" s="174"/>
      <c r="T46" s="174"/>
      <c r="U46" s="174"/>
      <c r="V46" s="174"/>
      <c r="W46" s="174"/>
      <c r="X46" s="174"/>
      <c r="Y46" s="174"/>
      <c r="Z46" s="174"/>
    </row>
    <row r="47">
      <c r="A47" s="181"/>
      <c r="B47" s="176"/>
      <c r="C47" s="177"/>
      <c r="D47" s="178"/>
      <c r="E47" s="178"/>
      <c r="F47" s="178"/>
      <c r="G47" s="178"/>
      <c r="H47" s="179"/>
      <c r="I47" s="179"/>
      <c r="J47" s="180"/>
      <c r="K47" s="174" t="b">
        <f>IFERROR(__xludf.DUMMYFUNCTION("""COMPUTED_VALUE"""),FALSE)</f>
        <v>0</v>
      </c>
      <c r="L47" s="174"/>
      <c r="M47" s="174"/>
      <c r="N47" s="174"/>
      <c r="O47" s="174"/>
      <c r="P47" s="174"/>
      <c r="Q47" s="174"/>
      <c r="R47" s="174"/>
      <c r="S47" s="174"/>
      <c r="T47" s="174"/>
      <c r="U47" s="174"/>
      <c r="V47" s="174"/>
      <c r="W47" s="174"/>
      <c r="X47" s="174"/>
      <c r="Y47" s="174"/>
      <c r="Z47" s="174"/>
    </row>
    <row r="48">
      <c r="A48" s="181"/>
      <c r="B48" s="176"/>
      <c r="C48" s="177"/>
      <c r="D48" s="178"/>
      <c r="E48" s="178"/>
      <c r="F48" s="178"/>
      <c r="G48" s="178"/>
      <c r="H48" s="179"/>
      <c r="I48" s="179"/>
      <c r="J48" s="180"/>
      <c r="K48" s="174" t="b">
        <f>IFERROR(__xludf.DUMMYFUNCTION("""COMPUTED_VALUE"""),FALSE)</f>
        <v>0</v>
      </c>
      <c r="L48" s="174"/>
      <c r="M48" s="174"/>
      <c r="N48" s="174"/>
      <c r="O48" s="174"/>
      <c r="P48" s="174"/>
      <c r="Q48" s="174"/>
      <c r="R48" s="174"/>
      <c r="S48" s="174"/>
      <c r="T48" s="174"/>
      <c r="U48" s="174"/>
      <c r="V48" s="174"/>
      <c r="W48" s="174"/>
      <c r="X48" s="174"/>
      <c r="Y48" s="174"/>
      <c r="Z48" s="174"/>
    </row>
    <row r="49">
      <c r="A49" s="181"/>
      <c r="B49" s="176"/>
      <c r="C49" s="177"/>
      <c r="D49" s="178"/>
      <c r="E49" s="178"/>
      <c r="F49" s="178"/>
      <c r="G49" s="178"/>
      <c r="H49" s="179"/>
      <c r="I49" s="179"/>
      <c r="J49" s="180"/>
      <c r="K49" s="174" t="b">
        <f>IFERROR(__xludf.DUMMYFUNCTION("""COMPUTED_VALUE"""),FALSE)</f>
        <v>0</v>
      </c>
      <c r="L49" s="174"/>
      <c r="M49" s="174"/>
      <c r="N49" s="174"/>
      <c r="O49" s="174"/>
      <c r="P49" s="174"/>
      <c r="Q49" s="174"/>
      <c r="R49" s="174"/>
      <c r="S49" s="174"/>
      <c r="T49" s="174"/>
      <c r="U49" s="174"/>
      <c r="V49" s="174"/>
      <c r="W49" s="174"/>
      <c r="X49" s="174"/>
      <c r="Y49" s="174"/>
      <c r="Z49" s="174"/>
    </row>
    <row r="50">
      <c r="A50" s="181"/>
      <c r="B50" s="176"/>
      <c r="C50" s="177"/>
      <c r="D50" s="178"/>
      <c r="E50" s="178"/>
      <c r="F50" s="178"/>
      <c r="G50" s="178"/>
      <c r="H50" s="179"/>
      <c r="I50" s="179"/>
      <c r="J50" s="180"/>
      <c r="K50" s="174" t="b">
        <f>IFERROR(__xludf.DUMMYFUNCTION("""COMPUTED_VALUE"""),FALSE)</f>
        <v>0</v>
      </c>
      <c r="L50" s="174"/>
      <c r="M50" s="174"/>
      <c r="N50" s="174"/>
      <c r="O50" s="174"/>
      <c r="P50" s="174"/>
      <c r="Q50" s="174"/>
      <c r="R50" s="174"/>
      <c r="S50" s="174"/>
      <c r="T50" s="174"/>
      <c r="U50" s="174"/>
      <c r="V50" s="174"/>
      <c r="W50" s="174"/>
      <c r="X50" s="174"/>
      <c r="Y50" s="174"/>
      <c r="Z50" s="174"/>
    </row>
    <row r="51">
      <c r="A51" s="181"/>
      <c r="B51" s="176"/>
      <c r="C51" s="177"/>
      <c r="D51" s="178"/>
      <c r="E51" s="178"/>
      <c r="F51" s="178"/>
      <c r="G51" s="178"/>
      <c r="H51" s="179"/>
      <c r="I51" s="179"/>
      <c r="J51" s="180"/>
      <c r="K51" s="174" t="b">
        <f>IFERROR(__xludf.DUMMYFUNCTION("""COMPUTED_VALUE"""),FALSE)</f>
        <v>0</v>
      </c>
      <c r="L51" s="174"/>
      <c r="M51" s="174"/>
      <c r="N51" s="174"/>
      <c r="O51" s="174"/>
      <c r="P51" s="174"/>
      <c r="Q51" s="174"/>
      <c r="R51" s="174"/>
      <c r="S51" s="174"/>
      <c r="T51" s="174"/>
      <c r="U51" s="174"/>
      <c r="V51" s="174"/>
      <c r="W51" s="174"/>
      <c r="X51" s="174"/>
      <c r="Y51" s="174"/>
      <c r="Z51" s="174"/>
    </row>
    <row r="52">
      <c r="A52" s="181"/>
      <c r="B52" s="176"/>
      <c r="C52" s="177"/>
      <c r="D52" s="178"/>
      <c r="E52" s="178"/>
      <c r="F52" s="178"/>
      <c r="G52" s="178"/>
      <c r="H52" s="179"/>
      <c r="I52" s="179"/>
      <c r="J52" s="180"/>
      <c r="K52" s="174" t="b">
        <f>IFERROR(__xludf.DUMMYFUNCTION("""COMPUTED_VALUE"""),FALSE)</f>
        <v>0</v>
      </c>
      <c r="L52" s="174"/>
      <c r="M52" s="174"/>
      <c r="N52" s="174"/>
      <c r="O52" s="174"/>
      <c r="P52" s="174"/>
      <c r="Q52" s="174"/>
      <c r="R52" s="174"/>
      <c r="S52" s="174"/>
      <c r="T52" s="174"/>
      <c r="U52" s="174"/>
      <c r="V52" s="174"/>
      <c r="W52" s="174"/>
      <c r="X52" s="174"/>
      <c r="Y52" s="174"/>
      <c r="Z52" s="174"/>
    </row>
    <row r="53">
      <c r="A53" s="181"/>
      <c r="B53" s="176"/>
      <c r="C53" s="177"/>
      <c r="D53" s="178"/>
      <c r="E53" s="178"/>
      <c r="F53" s="178"/>
      <c r="G53" s="178"/>
      <c r="H53" s="179"/>
      <c r="I53" s="179"/>
      <c r="J53" s="180"/>
      <c r="K53" s="174" t="b">
        <f>IFERROR(__xludf.DUMMYFUNCTION("""COMPUTED_VALUE"""),FALSE)</f>
        <v>0</v>
      </c>
      <c r="L53" s="174"/>
      <c r="M53" s="174"/>
      <c r="N53" s="174"/>
      <c r="O53" s="174"/>
      <c r="P53" s="174"/>
      <c r="Q53" s="174"/>
      <c r="R53" s="174"/>
      <c r="S53" s="174"/>
      <c r="T53" s="174"/>
      <c r="U53" s="174"/>
      <c r="V53" s="174"/>
      <c r="W53" s="174"/>
      <c r="X53" s="174"/>
      <c r="Y53" s="174"/>
      <c r="Z53" s="174"/>
    </row>
    <row r="54">
      <c r="A54" s="181"/>
      <c r="B54" s="176"/>
      <c r="C54" s="177"/>
      <c r="D54" s="178"/>
      <c r="E54" s="178"/>
      <c r="F54" s="178"/>
      <c r="G54" s="178"/>
      <c r="H54" s="179"/>
      <c r="I54" s="179"/>
      <c r="J54" s="180"/>
      <c r="K54" s="174" t="b">
        <f>IFERROR(__xludf.DUMMYFUNCTION("""COMPUTED_VALUE"""),FALSE)</f>
        <v>0</v>
      </c>
      <c r="L54" s="174"/>
      <c r="M54" s="174"/>
      <c r="N54" s="174"/>
      <c r="O54" s="174"/>
      <c r="P54" s="174"/>
      <c r="Q54" s="174"/>
      <c r="R54" s="174"/>
      <c r="S54" s="174"/>
      <c r="T54" s="174"/>
      <c r="U54" s="174"/>
      <c r="V54" s="174"/>
      <c r="W54" s="174"/>
      <c r="X54" s="174"/>
      <c r="Y54" s="174"/>
      <c r="Z54" s="174"/>
    </row>
    <row r="55">
      <c r="A55" s="181"/>
      <c r="B55" s="176"/>
      <c r="C55" s="177"/>
      <c r="D55" s="178"/>
      <c r="E55" s="178"/>
      <c r="F55" s="178"/>
      <c r="G55" s="178"/>
      <c r="H55" s="179"/>
      <c r="I55" s="179"/>
      <c r="J55" s="180"/>
      <c r="K55" s="174" t="b">
        <f>IFERROR(__xludf.DUMMYFUNCTION("""COMPUTED_VALUE"""),FALSE)</f>
        <v>0</v>
      </c>
      <c r="L55" s="174"/>
      <c r="M55" s="174"/>
      <c r="N55" s="174"/>
      <c r="O55" s="174"/>
      <c r="P55" s="174"/>
      <c r="Q55" s="174"/>
      <c r="R55" s="174"/>
      <c r="S55" s="174"/>
      <c r="T55" s="174"/>
      <c r="U55" s="174"/>
      <c r="V55" s="174"/>
      <c r="W55" s="174"/>
      <c r="X55" s="174"/>
      <c r="Y55" s="174"/>
      <c r="Z55" s="174"/>
    </row>
    <row r="56">
      <c r="A56" s="181"/>
      <c r="B56" s="176"/>
      <c r="C56" s="177"/>
      <c r="D56" s="178"/>
      <c r="E56" s="178"/>
      <c r="F56" s="178"/>
      <c r="G56" s="178"/>
      <c r="H56" s="179"/>
      <c r="I56" s="179"/>
      <c r="J56" s="180"/>
      <c r="K56" s="174" t="b">
        <f>IFERROR(__xludf.DUMMYFUNCTION("""COMPUTED_VALUE"""),FALSE)</f>
        <v>0</v>
      </c>
      <c r="L56" s="174"/>
      <c r="M56" s="174"/>
      <c r="N56" s="174"/>
      <c r="O56" s="174"/>
      <c r="P56" s="174"/>
      <c r="Q56" s="174"/>
      <c r="R56" s="174"/>
      <c r="S56" s="174"/>
      <c r="T56" s="174"/>
      <c r="U56" s="174"/>
      <c r="V56" s="174"/>
      <c r="W56" s="174"/>
      <c r="X56" s="174"/>
      <c r="Y56" s="174"/>
      <c r="Z56" s="174"/>
    </row>
    <row r="57">
      <c r="A57" s="181"/>
      <c r="B57" s="176"/>
      <c r="C57" s="177"/>
      <c r="D57" s="178"/>
      <c r="E57" s="178"/>
      <c r="F57" s="178"/>
      <c r="G57" s="178"/>
      <c r="H57" s="179"/>
      <c r="I57" s="179"/>
      <c r="J57" s="180"/>
      <c r="K57" s="174" t="b">
        <f>IFERROR(__xludf.DUMMYFUNCTION("""COMPUTED_VALUE"""),FALSE)</f>
        <v>0</v>
      </c>
      <c r="L57" s="174"/>
      <c r="M57" s="174"/>
      <c r="N57" s="174"/>
      <c r="O57" s="174"/>
      <c r="P57" s="174"/>
      <c r="Q57" s="174"/>
      <c r="R57" s="174"/>
      <c r="S57" s="174"/>
      <c r="T57" s="174"/>
      <c r="U57" s="174"/>
      <c r="V57" s="174"/>
      <c r="W57" s="174"/>
      <c r="X57" s="174"/>
      <c r="Y57" s="174"/>
      <c r="Z57" s="174"/>
    </row>
    <row r="58">
      <c r="A58" s="181"/>
      <c r="B58" s="176"/>
      <c r="C58" s="177"/>
      <c r="D58" s="178"/>
      <c r="E58" s="178"/>
      <c r="F58" s="178"/>
      <c r="G58" s="178"/>
      <c r="H58" s="179"/>
      <c r="I58" s="179"/>
      <c r="J58" s="180"/>
      <c r="K58" s="174" t="b">
        <f>IFERROR(__xludf.DUMMYFUNCTION("""COMPUTED_VALUE"""),FALSE)</f>
        <v>0</v>
      </c>
      <c r="L58" s="174"/>
      <c r="M58" s="174"/>
      <c r="N58" s="174"/>
      <c r="O58" s="174"/>
      <c r="P58" s="174"/>
      <c r="Q58" s="174"/>
      <c r="R58" s="174"/>
      <c r="S58" s="174"/>
      <c r="T58" s="174"/>
      <c r="U58" s="174"/>
      <c r="V58" s="174"/>
      <c r="W58" s="174"/>
      <c r="X58" s="174"/>
      <c r="Y58" s="174"/>
      <c r="Z58" s="174"/>
    </row>
    <row r="59">
      <c r="A59" s="181"/>
      <c r="B59" s="176"/>
      <c r="C59" s="177"/>
      <c r="D59" s="178"/>
      <c r="E59" s="178"/>
      <c r="F59" s="178"/>
      <c r="G59" s="178"/>
      <c r="H59" s="179"/>
      <c r="I59" s="179"/>
      <c r="J59" s="180"/>
      <c r="K59" s="174" t="b">
        <f>IFERROR(__xludf.DUMMYFUNCTION("""COMPUTED_VALUE"""),FALSE)</f>
        <v>0</v>
      </c>
      <c r="L59" s="174"/>
      <c r="M59" s="174"/>
      <c r="N59" s="174"/>
      <c r="O59" s="174"/>
      <c r="P59" s="174"/>
      <c r="Q59" s="174"/>
      <c r="R59" s="174"/>
      <c r="S59" s="174"/>
      <c r="T59" s="174"/>
      <c r="U59" s="174"/>
      <c r="V59" s="174"/>
      <c r="W59" s="174"/>
      <c r="X59" s="174"/>
      <c r="Y59" s="174"/>
      <c r="Z59" s="174"/>
    </row>
    <row r="60">
      <c r="A60" s="181"/>
      <c r="B60" s="176"/>
      <c r="C60" s="177"/>
      <c r="D60" s="178"/>
      <c r="E60" s="178"/>
      <c r="F60" s="178"/>
      <c r="G60" s="178"/>
      <c r="H60" s="179"/>
      <c r="I60" s="179"/>
      <c r="J60" s="180"/>
      <c r="K60" s="174" t="b">
        <f>IFERROR(__xludf.DUMMYFUNCTION("""COMPUTED_VALUE"""),FALSE)</f>
        <v>0</v>
      </c>
      <c r="L60" s="174"/>
      <c r="M60" s="174"/>
      <c r="N60" s="174"/>
      <c r="O60" s="174"/>
      <c r="P60" s="174"/>
      <c r="Q60" s="174"/>
      <c r="R60" s="174"/>
      <c r="S60" s="174"/>
      <c r="T60" s="174"/>
      <c r="U60" s="174"/>
      <c r="V60" s="174"/>
      <c r="W60" s="174"/>
      <c r="X60" s="174"/>
      <c r="Y60" s="174"/>
      <c r="Z60" s="174"/>
    </row>
    <row r="61">
      <c r="A61" s="181"/>
      <c r="B61" s="176"/>
      <c r="C61" s="177"/>
      <c r="D61" s="178"/>
      <c r="E61" s="178"/>
      <c r="F61" s="178"/>
      <c r="G61" s="178"/>
      <c r="H61" s="179"/>
      <c r="I61" s="179"/>
      <c r="J61" s="180"/>
      <c r="K61" s="174" t="b">
        <f>IFERROR(__xludf.DUMMYFUNCTION("""COMPUTED_VALUE"""),FALSE)</f>
        <v>0</v>
      </c>
      <c r="L61" s="174"/>
      <c r="M61" s="174"/>
      <c r="N61" s="174"/>
      <c r="O61" s="174"/>
      <c r="P61" s="174"/>
      <c r="Q61" s="174"/>
      <c r="R61" s="174"/>
      <c r="S61" s="174"/>
      <c r="T61" s="174"/>
      <c r="U61" s="174"/>
      <c r="V61" s="174"/>
      <c r="W61" s="174"/>
      <c r="X61" s="174"/>
      <c r="Y61" s="174"/>
      <c r="Z61" s="174"/>
    </row>
    <row r="62">
      <c r="A62" s="181"/>
      <c r="B62" s="176"/>
      <c r="C62" s="177"/>
      <c r="D62" s="178"/>
      <c r="E62" s="178"/>
      <c r="F62" s="178"/>
      <c r="G62" s="178"/>
      <c r="H62" s="179"/>
      <c r="I62" s="179"/>
      <c r="J62" s="180"/>
      <c r="K62" s="174" t="b">
        <f>IFERROR(__xludf.DUMMYFUNCTION("""COMPUTED_VALUE"""),FALSE)</f>
        <v>0</v>
      </c>
      <c r="L62" s="174"/>
      <c r="M62" s="174"/>
      <c r="N62" s="174"/>
      <c r="O62" s="174"/>
      <c r="P62" s="174"/>
      <c r="Q62" s="174"/>
      <c r="R62" s="174"/>
      <c r="S62" s="174"/>
      <c r="T62" s="174"/>
      <c r="U62" s="174"/>
      <c r="V62" s="174"/>
      <c r="W62" s="174"/>
      <c r="X62" s="174"/>
      <c r="Y62" s="174"/>
      <c r="Z62" s="174"/>
    </row>
    <row r="63">
      <c r="A63" s="181"/>
      <c r="B63" s="176"/>
      <c r="C63" s="177"/>
      <c r="D63" s="178"/>
      <c r="E63" s="178"/>
      <c r="F63" s="178"/>
      <c r="G63" s="178"/>
      <c r="H63" s="179"/>
      <c r="I63" s="179"/>
      <c r="J63" s="180"/>
      <c r="K63" s="174" t="b">
        <f>IFERROR(__xludf.DUMMYFUNCTION("""COMPUTED_VALUE"""),FALSE)</f>
        <v>0</v>
      </c>
      <c r="L63" s="174"/>
      <c r="M63" s="174"/>
      <c r="N63" s="174"/>
      <c r="O63" s="174"/>
      <c r="P63" s="174"/>
      <c r="Q63" s="174"/>
      <c r="R63" s="174"/>
      <c r="S63" s="174"/>
      <c r="T63" s="174"/>
      <c r="U63" s="174"/>
      <c r="V63" s="174"/>
      <c r="W63" s="174"/>
      <c r="X63" s="174"/>
      <c r="Y63" s="174"/>
      <c r="Z63" s="174"/>
    </row>
    <row r="64">
      <c r="A64" s="181"/>
      <c r="B64" s="176"/>
      <c r="C64" s="177"/>
      <c r="D64" s="178"/>
      <c r="E64" s="178"/>
      <c r="F64" s="178"/>
      <c r="G64" s="178"/>
      <c r="H64" s="179"/>
      <c r="I64" s="179"/>
      <c r="J64" s="180"/>
      <c r="K64" s="174" t="b">
        <f>IFERROR(__xludf.DUMMYFUNCTION("""COMPUTED_VALUE"""),FALSE)</f>
        <v>0</v>
      </c>
      <c r="L64" s="174"/>
      <c r="M64" s="174"/>
      <c r="N64" s="174"/>
      <c r="O64" s="174"/>
      <c r="P64" s="174"/>
      <c r="Q64" s="174"/>
      <c r="R64" s="174"/>
      <c r="S64" s="174"/>
      <c r="T64" s="174"/>
      <c r="U64" s="174"/>
      <c r="V64" s="174"/>
      <c r="W64" s="174"/>
      <c r="X64" s="174"/>
      <c r="Y64" s="174"/>
      <c r="Z64" s="174"/>
    </row>
    <row r="65">
      <c r="A65" s="181"/>
      <c r="B65" s="176"/>
      <c r="C65" s="177"/>
      <c r="D65" s="178"/>
      <c r="E65" s="178"/>
      <c r="F65" s="178"/>
      <c r="G65" s="178"/>
      <c r="H65" s="179"/>
      <c r="I65" s="179"/>
      <c r="J65" s="180"/>
      <c r="K65" s="174" t="b">
        <f>IFERROR(__xludf.DUMMYFUNCTION("""COMPUTED_VALUE"""),FALSE)</f>
        <v>0</v>
      </c>
      <c r="L65" s="174"/>
      <c r="M65" s="174"/>
      <c r="N65" s="174"/>
      <c r="O65" s="174"/>
      <c r="P65" s="174"/>
      <c r="Q65" s="174"/>
      <c r="R65" s="174"/>
      <c r="S65" s="174"/>
      <c r="T65" s="174"/>
      <c r="U65" s="174"/>
      <c r="V65" s="174"/>
      <c r="W65" s="174"/>
      <c r="X65" s="174"/>
      <c r="Y65" s="174"/>
      <c r="Z65" s="174"/>
    </row>
    <row r="66">
      <c r="A66" s="181"/>
      <c r="B66" s="176"/>
      <c r="C66" s="177"/>
      <c r="D66" s="178"/>
      <c r="E66" s="178"/>
      <c r="F66" s="178"/>
      <c r="G66" s="178"/>
      <c r="H66" s="179"/>
      <c r="I66" s="179"/>
      <c r="J66" s="180"/>
      <c r="K66" s="174" t="b">
        <f>IFERROR(__xludf.DUMMYFUNCTION("""COMPUTED_VALUE"""),FALSE)</f>
        <v>0</v>
      </c>
      <c r="L66" s="174"/>
      <c r="M66" s="174"/>
      <c r="N66" s="174"/>
      <c r="O66" s="174"/>
      <c r="P66" s="174"/>
      <c r="Q66" s="174"/>
      <c r="R66" s="174"/>
      <c r="S66" s="174"/>
      <c r="T66" s="174"/>
      <c r="U66" s="174"/>
      <c r="V66" s="174"/>
      <c r="W66" s="174"/>
      <c r="X66" s="174"/>
      <c r="Y66" s="174"/>
      <c r="Z66" s="174"/>
    </row>
    <row r="67">
      <c r="A67" s="181"/>
      <c r="B67" s="176"/>
      <c r="C67" s="177"/>
      <c r="D67" s="178"/>
      <c r="E67" s="178"/>
      <c r="F67" s="178"/>
      <c r="G67" s="178"/>
      <c r="H67" s="179"/>
      <c r="I67" s="179"/>
      <c r="J67" s="180"/>
      <c r="K67" s="174" t="b">
        <f>IFERROR(__xludf.DUMMYFUNCTION("""COMPUTED_VALUE"""),FALSE)</f>
        <v>0</v>
      </c>
      <c r="L67" s="174"/>
      <c r="M67" s="174"/>
      <c r="N67" s="174"/>
      <c r="O67" s="174"/>
      <c r="P67" s="174"/>
      <c r="Q67" s="174"/>
      <c r="R67" s="174"/>
      <c r="S67" s="174"/>
      <c r="T67" s="174"/>
      <c r="U67" s="174"/>
      <c r="V67" s="174"/>
      <c r="W67" s="174"/>
      <c r="X67" s="174"/>
      <c r="Y67" s="174"/>
      <c r="Z67" s="174"/>
    </row>
    <row r="68">
      <c r="A68" s="181"/>
      <c r="B68" s="176"/>
      <c r="C68" s="177"/>
      <c r="D68" s="178"/>
      <c r="E68" s="178"/>
      <c r="F68" s="178"/>
      <c r="G68" s="178"/>
      <c r="H68" s="179"/>
      <c r="I68" s="179"/>
      <c r="J68" s="180"/>
      <c r="K68" s="174" t="b">
        <f>IFERROR(__xludf.DUMMYFUNCTION("""COMPUTED_VALUE"""),FALSE)</f>
        <v>0</v>
      </c>
      <c r="L68" s="174"/>
      <c r="M68" s="174"/>
      <c r="N68" s="174"/>
      <c r="O68" s="174"/>
      <c r="P68" s="174"/>
      <c r="Q68" s="174"/>
      <c r="R68" s="174"/>
      <c r="S68" s="174"/>
      <c r="T68" s="174"/>
      <c r="U68" s="174"/>
      <c r="V68" s="174"/>
      <c r="W68" s="174"/>
      <c r="X68" s="174"/>
      <c r="Y68" s="174"/>
      <c r="Z68" s="174"/>
    </row>
    <row r="69">
      <c r="A69" s="181"/>
      <c r="B69" s="176"/>
      <c r="C69" s="177"/>
      <c r="D69" s="178"/>
      <c r="E69" s="178"/>
      <c r="F69" s="178"/>
      <c r="G69" s="178"/>
      <c r="H69" s="179"/>
      <c r="I69" s="179"/>
      <c r="J69" s="180"/>
      <c r="K69" s="174" t="b">
        <f>IFERROR(__xludf.DUMMYFUNCTION("""COMPUTED_VALUE"""),FALSE)</f>
        <v>0</v>
      </c>
      <c r="L69" s="174"/>
      <c r="M69" s="174"/>
      <c r="N69" s="174"/>
      <c r="O69" s="174"/>
      <c r="P69" s="174"/>
      <c r="Q69" s="174"/>
      <c r="R69" s="174"/>
      <c r="S69" s="174"/>
      <c r="T69" s="174"/>
      <c r="U69" s="174"/>
      <c r="V69" s="174"/>
      <c r="W69" s="174"/>
      <c r="X69" s="174"/>
      <c r="Y69" s="174"/>
      <c r="Z69" s="174"/>
    </row>
    <row r="70">
      <c r="A70" s="181"/>
      <c r="B70" s="176"/>
      <c r="C70" s="177"/>
      <c r="D70" s="178"/>
      <c r="E70" s="178"/>
      <c r="F70" s="178"/>
      <c r="G70" s="178"/>
      <c r="H70" s="179"/>
      <c r="I70" s="179"/>
      <c r="J70" s="180"/>
      <c r="K70" s="174" t="b">
        <f>IFERROR(__xludf.DUMMYFUNCTION("""COMPUTED_VALUE"""),FALSE)</f>
        <v>0</v>
      </c>
      <c r="L70" s="174"/>
      <c r="M70" s="174"/>
      <c r="N70" s="174"/>
      <c r="O70" s="174"/>
      <c r="P70" s="174"/>
      <c r="Q70" s="174"/>
      <c r="R70" s="174"/>
      <c r="S70" s="174"/>
      <c r="T70" s="174"/>
      <c r="U70" s="174"/>
      <c r="V70" s="174"/>
      <c r="W70" s="174"/>
      <c r="X70" s="174"/>
      <c r="Y70" s="174"/>
      <c r="Z70" s="174"/>
    </row>
    <row r="71">
      <c r="A71" s="181"/>
      <c r="B71" s="176"/>
      <c r="C71" s="177"/>
      <c r="D71" s="178"/>
      <c r="E71" s="178"/>
      <c r="F71" s="178"/>
      <c r="G71" s="178"/>
      <c r="H71" s="179"/>
      <c r="I71" s="179"/>
      <c r="J71" s="180"/>
      <c r="K71" s="174" t="b">
        <f>IFERROR(__xludf.DUMMYFUNCTION("""COMPUTED_VALUE"""),FALSE)</f>
        <v>0</v>
      </c>
      <c r="L71" s="174"/>
      <c r="M71" s="174"/>
      <c r="N71" s="174"/>
      <c r="O71" s="174"/>
      <c r="P71" s="174"/>
      <c r="Q71" s="174"/>
      <c r="R71" s="174"/>
      <c r="S71" s="174"/>
      <c r="T71" s="174"/>
      <c r="U71" s="174"/>
      <c r="V71" s="174"/>
      <c r="W71" s="174"/>
      <c r="X71" s="174"/>
      <c r="Y71" s="174"/>
      <c r="Z71" s="174"/>
    </row>
    <row r="72">
      <c r="A72" s="181"/>
      <c r="B72" s="176"/>
      <c r="C72" s="177"/>
      <c r="D72" s="178"/>
      <c r="E72" s="178"/>
      <c r="F72" s="178"/>
      <c r="G72" s="178"/>
      <c r="H72" s="179"/>
      <c r="I72" s="179"/>
      <c r="J72" s="180"/>
      <c r="K72" s="174" t="b">
        <f>IFERROR(__xludf.DUMMYFUNCTION("""COMPUTED_VALUE"""),FALSE)</f>
        <v>0</v>
      </c>
      <c r="L72" s="174"/>
      <c r="M72" s="174"/>
      <c r="N72" s="174"/>
      <c r="O72" s="174"/>
      <c r="P72" s="174"/>
      <c r="Q72" s="174"/>
      <c r="R72" s="174"/>
      <c r="S72" s="174"/>
      <c r="T72" s="174"/>
      <c r="U72" s="174"/>
      <c r="V72" s="174"/>
      <c r="W72" s="174"/>
      <c r="X72" s="174"/>
      <c r="Y72" s="174"/>
      <c r="Z72" s="174"/>
    </row>
    <row r="73">
      <c r="A73" s="181"/>
      <c r="B73" s="176"/>
      <c r="C73" s="177"/>
      <c r="D73" s="178"/>
      <c r="E73" s="178"/>
      <c r="F73" s="178"/>
      <c r="G73" s="178"/>
      <c r="H73" s="179"/>
      <c r="I73" s="179"/>
      <c r="J73" s="180"/>
      <c r="K73" s="174" t="b">
        <f>IFERROR(__xludf.DUMMYFUNCTION("""COMPUTED_VALUE"""),FALSE)</f>
        <v>0</v>
      </c>
      <c r="L73" s="174"/>
      <c r="M73" s="174"/>
      <c r="N73" s="174"/>
      <c r="O73" s="174"/>
      <c r="P73" s="174"/>
      <c r="Q73" s="174"/>
      <c r="R73" s="174"/>
      <c r="S73" s="174"/>
      <c r="T73" s="174"/>
      <c r="U73" s="174"/>
      <c r="V73" s="174"/>
      <c r="W73" s="174"/>
      <c r="X73" s="174"/>
      <c r="Y73" s="174"/>
      <c r="Z73" s="174"/>
    </row>
    <row r="74">
      <c r="A74" s="181"/>
      <c r="B74" s="176"/>
      <c r="C74" s="177"/>
      <c r="D74" s="178"/>
      <c r="E74" s="178"/>
      <c r="F74" s="178"/>
      <c r="G74" s="178"/>
      <c r="H74" s="179"/>
      <c r="I74" s="179"/>
      <c r="J74" s="180"/>
      <c r="K74" s="174" t="b">
        <f>IFERROR(__xludf.DUMMYFUNCTION("""COMPUTED_VALUE"""),FALSE)</f>
        <v>0</v>
      </c>
      <c r="L74" s="174"/>
      <c r="M74" s="174"/>
      <c r="N74" s="174"/>
      <c r="O74" s="174"/>
      <c r="P74" s="174"/>
      <c r="Q74" s="174"/>
      <c r="R74" s="174"/>
      <c r="S74" s="174"/>
      <c r="T74" s="174"/>
      <c r="U74" s="174"/>
      <c r="V74" s="174"/>
      <c r="W74" s="174"/>
      <c r="X74" s="174"/>
      <c r="Y74" s="174"/>
      <c r="Z74" s="174"/>
    </row>
    <row r="75">
      <c r="A75" s="181"/>
      <c r="B75" s="176"/>
      <c r="C75" s="177"/>
      <c r="D75" s="178"/>
      <c r="E75" s="178"/>
      <c r="F75" s="178"/>
      <c r="G75" s="178"/>
      <c r="H75" s="179"/>
      <c r="I75" s="179"/>
      <c r="J75" s="180"/>
      <c r="K75" s="174" t="b">
        <f>IFERROR(__xludf.DUMMYFUNCTION("""COMPUTED_VALUE"""),FALSE)</f>
        <v>0</v>
      </c>
      <c r="L75" s="174"/>
      <c r="M75" s="174"/>
      <c r="N75" s="174"/>
      <c r="O75" s="174"/>
      <c r="P75" s="174"/>
      <c r="Q75" s="174"/>
      <c r="R75" s="174"/>
      <c r="S75" s="174"/>
      <c r="T75" s="174"/>
      <c r="U75" s="174"/>
      <c r="V75" s="174"/>
      <c r="W75" s="174"/>
      <c r="X75" s="174"/>
      <c r="Y75" s="174"/>
      <c r="Z75" s="174"/>
    </row>
    <row r="76">
      <c r="A76" s="181"/>
      <c r="B76" s="176"/>
      <c r="C76" s="177"/>
      <c r="D76" s="178"/>
      <c r="E76" s="178"/>
      <c r="F76" s="178"/>
      <c r="G76" s="178"/>
      <c r="H76" s="179"/>
      <c r="I76" s="179"/>
      <c r="J76" s="180"/>
      <c r="K76" s="174" t="b">
        <f>IFERROR(__xludf.DUMMYFUNCTION("""COMPUTED_VALUE"""),FALSE)</f>
        <v>0</v>
      </c>
      <c r="L76" s="174"/>
      <c r="M76" s="174"/>
      <c r="N76" s="174"/>
      <c r="O76" s="174"/>
      <c r="P76" s="174"/>
      <c r="Q76" s="174"/>
      <c r="R76" s="174"/>
      <c r="S76" s="174"/>
      <c r="T76" s="174"/>
      <c r="U76" s="174"/>
      <c r="V76" s="174"/>
      <c r="W76" s="174"/>
      <c r="X76" s="174"/>
      <c r="Y76" s="174"/>
      <c r="Z76" s="174"/>
    </row>
    <row r="77">
      <c r="A77" s="181"/>
      <c r="B77" s="176"/>
      <c r="C77" s="177"/>
      <c r="D77" s="178"/>
      <c r="E77" s="178"/>
      <c r="F77" s="178"/>
      <c r="G77" s="178"/>
      <c r="H77" s="179"/>
      <c r="I77" s="179"/>
      <c r="J77" s="180"/>
      <c r="K77" s="174" t="b">
        <f>IFERROR(__xludf.DUMMYFUNCTION("""COMPUTED_VALUE"""),FALSE)</f>
        <v>0</v>
      </c>
      <c r="L77" s="174"/>
      <c r="M77" s="174"/>
      <c r="N77" s="174"/>
      <c r="O77" s="174"/>
      <c r="P77" s="174"/>
      <c r="Q77" s="174"/>
      <c r="R77" s="174"/>
      <c r="S77" s="174"/>
      <c r="T77" s="174"/>
      <c r="U77" s="174"/>
      <c r="V77" s="174"/>
      <c r="W77" s="174"/>
      <c r="X77" s="174"/>
      <c r="Y77" s="174"/>
      <c r="Z77" s="174"/>
    </row>
    <row r="78">
      <c r="A78" s="181"/>
      <c r="B78" s="176"/>
      <c r="C78" s="177"/>
      <c r="D78" s="178"/>
      <c r="E78" s="178"/>
      <c r="F78" s="178"/>
      <c r="G78" s="178"/>
      <c r="H78" s="179"/>
      <c r="I78" s="179"/>
      <c r="J78" s="180"/>
      <c r="K78" s="174" t="b">
        <f>IFERROR(__xludf.DUMMYFUNCTION("""COMPUTED_VALUE"""),FALSE)</f>
        <v>0</v>
      </c>
      <c r="L78" s="174"/>
      <c r="M78" s="174"/>
      <c r="N78" s="174"/>
      <c r="O78" s="174"/>
      <c r="P78" s="174"/>
      <c r="Q78" s="174"/>
      <c r="R78" s="174"/>
      <c r="S78" s="174"/>
      <c r="T78" s="174"/>
      <c r="U78" s="174"/>
      <c r="V78" s="174"/>
      <c r="W78" s="174"/>
      <c r="X78" s="174"/>
      <c r="Y78" s="174"/>
      <c r="Z78" s="174"/>
    </row>
    <row r="79">
      <c r="A79" s="181"/>
      <c r="B79" s="176"/>
      <c r="C79" s="177"/>
      <c r="D79" s="178"/>
      <c r="E79" s="178"/>
      <c r="F79" s="178"/>
      <c r="G79" s="178"/>
      <c r="H79" s="179"/>
      <c r="I79" s="179"/>
      <c r="J79" s="180"/>
      <c r="K79" s="174" t="b">
        <f>IFERROR(__xludf.DUMMYFUNCTION("""COMPUTED_VALUE"""),FALSE)</f>
        <v>0</v>
      </c>
      <c r="L79" s="174"/>
      <c r="M79" s="174"/>
      <c r="N79" s="174"/>
      <c r="O79" s="174"/>
      <c r="P79" s="174"/>
      <c r="Q79" s="174"/>
      <c r="R79" s="174"/>
      <c r="S79" s="174"/>
      <c r="T79" s="174"/>
      <c r="U79" s="174"/>
      <c r="V79" s="174"/>
      <c r="W79" s="174"/>
      <c r="X79" s="174"/>
      <c r="Y79" s="174"/>
      <c r="Z79" s="174"/>
    </row>
    <row r="80">
      <c r="A80" s="181"/>
      <c r="B80" s="176"/>
      <c r="C80" s="177"/>
      <c r="D80" s="178"/>
      <c r="E80" s="178"/>
      <c r="F80" s="178"/>
      <c r="G80" s="178"/>
      <c r="H80" s="179"/>
      <c r="I80" s="179"/>
      <c r="J80" s="180"/>
      <c r="K80" s="174" t="b">
        <f>IFERROR(__xludf.DUMMYFUNCTION("""COMPUTED_VALUE"""),FALSE)</f>
        <v>0</v>
      </c>
      <c r="L80" s="174"/>
      <c r="M80" s="174"/>
      <c r="N80" s="174"/>
      <c r="O80" s="174"/>
      <c r="P80" s="174"/>
      <c r="Q80" s="174"/>
      <c r="R80" s="174"/>
      <c r="S80" s="174"/>
      <c r="T80" s="174"/>
      <c r="U80" s="174"/>
      <c r="V80" s="174"/>
      <c r="W80" s="174"/>
      <c r="X80" s="174"/>
      <c r="Y80" s="174"/>
      <c r="Z80" s="174"/>
    </row>
    <row r="81">
      <c r="A81" s="181"/>
      <c r="B81" s="176"/>
      <c r="C81" s="177"/>
      <c r="D81" s="178"/>
      <c r="E81" s="178"/>
      <c r="F81" s="178"/>
      <c r="G81" s="178"/>
      <c r="H81" s="179"/>
      <c r="I81" s="179"/>
      <c r="J81" s="180"/>
      <c r="K81" s="174" t="b">
        <f>IFERROR(__xludf.DUMMYFUNCTION("""COMPUTED_VALUE"""),FALSE)</f>
        <v>0</v>
      </c>
      <c r="L81" s="174"/>
      <c r="M81" s="174"/>
      <c r="N81" s="174"/>
      <c r="O81" s="174"/>
      <c r="P81" s="174"/>
      <c r="Q81" s="174"/>
      <c r="R81" s="174"/>
      <c r="S81" s="174"/>
      <c r="T81" s="174"/>
      <c r="U81" s="174"/>
      <c r="V81" s="174"/>
      <c r="W81" s="174"/>
      <c r="X81" s="174"/>
      <c r="Y81" s="174"/>
      <c r="Z81" s="174"/>
    </row>
    <row r="82">
      <c r="A82" s="181"/>
      <c r="B82" s="176"/>
      <c r="C82" s="177"/>
      <c r="D82" s="178"/>
      <c r="E82" s="178"/>
      <c r="F82" s="178"/>
      <c r="G82" s="178"/>
      <c r="H82" s="179"/>
      <c r="I82" s="179"/>
      <c r="J82" s="180"/>
      <c r="K82" s="174" t="b">
        <f>IFERROR(__xludf.DUMMYFUNCTION("""COMPUTED_VALUE"""),FALSE)</f>
        <v>0</v>
      </c>
      <c r="L82" s="174"/>
      <c r="M82" s="174"/>
      <c r="N82" s="174"/>
      <c r="O82" s="174"/>
      <c r="P82" s="174"/>
      <c r="Q82" s="174"/>
      <c r="R82" s="174"/>
      <c r="S82" s="174"/>
      <c r="T82" s="174"/>
      <c r="U82" s="174"/>
      <c r="V82" s="174"/>
      <c r="W82" s="174"/>
      <c r="X82" s="174"/>
      <c r="Y82" s="174"/>
      <c r="Z82" s="174"/>
    </row>
    <row r="83">
      <c r="A83" s="181"/>
      <c r="B83" s="176"/>
      <c r="C83" s="177"/>
      <c r="D83" s="178"/>
      <c r="E83" s="178"/>
      <c r="F83" s="178"/>
      <c r="G83" s="178"/>
      <c r="H83" s="179"/>
      <c r="I83" s="179"/>
      <c r="J83" s="180"/>
      <c r="K83" s="174" t="b">
        <f>IFERROR(__xludf.DUMMYFUNCTION("""COMPUTED_VALUE"""),FALSE)</f>
        <v>0</v>
      </c>
      <c r="L83" s="174"/>
      <c r="M83" s="174"/>
      <c r="N83" s="174"/>
      <c r="O83" s="174"/>
      <c r="P83" s="174"/>
      <c r="Q83" s="174"/>
      <c r="R83" s="174"/>
      <c r="S83" s="174"/>
      <c r="T83" s="174"/>
      <c r="U83" s="174"/>
      <c r="V83" s="174"/>
      <c r="W83" s="174"/>
      <c r="X83" s="174"/>
      <c r="Y83" s="174"/>
      <c r="Z83" s="174"/>
    </row>
    <row r="84">
      <c r="A84" s="181"/>
      <c r="B84" s="176"/>
      <c r="C84" s="177"/>
      <c r="D84" s="178"/>
      <c r="E84" s="178"/>
      <c r="F84" s="178"/>
      <c r="G84" s="178"/>
      <c r="H84" s="179"/>
      <c r="I84" s="179"/>
      <c r="J84" s="180"/>
      <c r="K84" s="174" t="b">
        <f>IFERROR(__xludf.DUMMYFUNCTION("""COMPUTED_VALUE"""),FALSE)</f>
        <v>0</v>
      </c>
      <c r="L84" s="174"/>
      <c r="M84" s="174"/>
      <c r="N84" s="174"/>
      <c r="O84" s="174"/>
      <c r="P84" s="174"/>
      <c r="Q84" s="174"/>
      <c r="R84" s="174"/>
      <c r="S84" s="174"/>
      <c r="T84" s="174"/>
      <c r="U84" s="174"/>
      <c r="V84" s="174"/>
      <c r="W84" s="174"/>
      <c r="X84" s="174"/>
      <c r="Y84" s="174"/>
      <c r="Z84" s="174"/>
    </row>
    <row r="85">
      <c r="A85" s="181"/>
      <c r="B85" s="176"/>
      <c r="C85" s="177"/>
      <c r="D85" s="178"/>
      <c r="E85" s="178"/>
      <c r="F85" s="178"/>
      <c r="G85" s="178"/>
      <c r="H85" s="179"/>
      <c r="I85" s="179"/>
      <c r="J85" s="180"/>
      <c r="K85" s="174" t="b">
        <f>IFERROR(__xludf.DUMMYFUNCTION("""COMPUTED_VALUE"""),FALSE)</f>
        <v>0</v>
      </c>
      <c r="L85" s="174"/>
      <c r="M85" s="174"/>
      <c r="N85" s="174"/>
      <c r="O85" s="174"/>
      <c r="P85" s="174"/>
      <c r="Q85" s="174"/>
      <c r="R85" s="174"/>
      <c r="S85" s="174"/>
      <c r="T85" s="174"/>
      <c r="U85" s="174"/>
      <c r="V85" s="174"/>
      <c r="W85" s="174"/>
      <c r="X85" s="174"/>
      <c r="Y85" s="174"/>
      <c r="Z85" s="174"/>
    </row>
    <row r="86">
      <c r="A86" s="181"/>
      <c r="B86" s="176"/>
      <c r="C86" s="177"/>
      <c r="D86" s="178"/>
      <c r="E86" s="178"/>
      <c r="F86" s="178"/>
      <c r="G86" s="178"/>
      <c r="H86" s="179"/>
      <c r="I86" s="179"/>
      <c r="J86" s="180"/>
      <c r="K86" s="174" t="b">
        <f>IFERROR(__xludf.DUMMYFUNCTION("""COMPUTED_VALUE"""),FALSE)</f>
        <v>0</v>
      </c>
      <c r="L86" s="174"/>
      <c r="M86" s="174"/>
      <c r="N86" s="174"/>
      <c r="O86" s="174"/>
      <c r="P86" s="174"/>
      <c r="Q86" s="174"/>
      <c r="R86" s="174"/>
      <c r="S86" s="174"/>
      <c r="T86" s="174"/>
      <c r="U86" s="174"/>
      <c r="V86" s="174"/>
      <c r="W86" s="174"/>
      <c r="X86" s="174"/>
      <c r="Y86" s="174"/>
      <c r="Z86" s="174"/>
    </row>
    <row r="87">
      <c r="A87" s="181"/>
      <c r="B87" s="176"/>
      <c r="C87" s="177"/>
      <c r="D87" s="178"/>
      <c r="E87" s="178"/>
      <c r="F87" s="178"/>
      <c r="G87" s="178"/>
      <c r="H87" s="179"/>
      <c r="I87" s="179"/>
      <c r="J87" s="180"/>
      <c r="K87" s="174" t="b">
        <f>IFERROR(__xludf.DUMMYFUNCTION("""COMPUTED_VALUE"""),FALSE)</f>
        <v>0</v>
      </c>
      <c r="L87" s="174"/>
      <c r="M87" s="174"/>
      <c r="N87" s="174"/>
      <c r="O87" s="174"/>
      <c r="P87" s="174"/>
      <c r="Q87" s="174"/>
      <c r="R87" s="174"/>
      <c r="S87" s="174"/>
      <c r="T87" s="174"/>
      <c r="U87" s="174"/>
      <c r="V87" s="174"/>
      <c r="W87" s="174"/>
      <c r="X87" s="174"/>
      <c r="Y87" s="174"/>
      <c r="Z87" s="174"/>
    </row>
    <row r="88">
      <c r="A88" s="181"/>
      <c r="B88" s="176"/>
      <c r="C88" s="177"/>
      <c r="D88" s="178"/>
      <c r="E88" s="178"/>
      <c r="F88" s="178"/>
      <c r="G88" s="178"/>
      <c r="H88" s="179"/>
      <c r="I88" s="179"/>
      <c r="J88" s="180"/>
      <c r="K88" s="174" t="b">
        <f>IFERROR(__xludf.DUMMYFUNCTION("""COMPUTED_VALUE"""),FALSE)</f>
        <v>0</v>
      </c>
      <c r="L88" s="174"/>
      <c r="M88" s="174"/>
      <c r="N88" s="174"/>
      <c r="O88" s="174"/>
      <c r="P88" s="174"/>
      <c r="Q88" s="174"/>
      <c r="R88" s="174"/>
      <c r="S88" s="174"/>
      <c r="T88" s="174"/>
      <c r="U88" s="174"/>
      <c r="V88" s="174"/>
      <c r="W88" s="174"/>
      <c r="X88" s="174"/>
      <c r="Y88" s="174"/>
      <c r="Z88" s="174"/>
    </row>
    <row r="89">
      <c r="A89" s="181"/>
      <c r="B89" s="176"/>
      <c r="C89" s="177"/>
      <c r="D89" s="178"/>
      <c r="E89" s="178"/>
      <c r="F89" s="178"/>
      <c r="G89" s="178"/>
      <c r="H89" s="179"/>
      <c r="I89" s="179"/>
      <c r="J89" s="180"/>
      <c r="K89" s="174" t="b">
        <f>IFERROR(__xludf.DUMMYFUNCTION("""COMPUTED_VALUE"""),FALSE)</f>
        <v>0</v>
      </c>
      <c r="L89" s="174"/>
      <c r="M89" s="174"/>
      <c r="N89" s="174"/>
      <c r="O89" s="174"/>
      <c r="P89" s="174"/>
      <c r="Q89" s="174"/>
      <c r="R89" s="174"/>
      <c r="S89" s="174"/>
      <c r="T89" s="174"/>
      <c r="U89" s="174"/>
      <c r="V89" s="174"/>
      <c r="W89" s="174"/>
      <c r="X89" s="174"/>
      <c r="Y89" s="174"/>
      <c r="Z89" s="174"/>
    </row>
    <row r="90">
      <c r="A90" s="181"/>
      <c r="B90" s="176"/>
      <c r="C90" s="177"/>
      <c r="D90" s="178"/>
      <c r="E90" s="178"/>
      <c r="F90" s="178"/>
      <c r="G90" s="178"/>
      <c r="H90" s="179"/>
      <c r="I90" s="179"/>
      <c r="J90" s="180"/>
      <c r="K90" s="174" t="b">
        <f>IFERROR(__xludf.DUMMYFUNCTION("""COMPUTED_VALUE"""),FALSE)</f>
        <v>0</v>
      </c>
      <c r="L90" s="174"/>
      <c r="M90" s="174"/>
      <c r="N90" s="174"/>
      <c r="O90" s="174"/>
      <c r="P90" s="174"/>
      <c r="Q90" s="174"/>
      <c r="R90" s="174"/>
      <c r="S90" s="174"/>
      <c r="T90" s="174"/>
      <c r="U90" s="174"/>
      <c r="V90" s="174"/>
      <c r="W90" s="174"/>
      <c r="X90" s="174"/>
      <c r="Y90" s="174"/>
      <c r="Z90" s="174"/>
    </row>
    <row r="91">
      <c r="A91" s="181"/>
      <c r="B91" s="176"/>
      <c r="C91" s="177"/>
      <c r="D91" s="178"/>
      <c r="E91" s="178"/>
      <c r="F91" s="178"/>
      <c r="G91" s="178"/>
      <c r="H91" s="179"/>
      <c r="I91" s="179"/>
      <c r="J91" s="180"/>
      <c r="K91" s="174" t="b">
        <f>IFERROR(__xludf.DUMMYFUNCTION("""COMPUTED_VALUE"""),FALSE)</f>
        <v>0</v>
      </c>
      <c r="L91" s="174"/>
      <c r="M91" s="174"/>
      <c r="N91" s="174"/>
      <c r="O91" s="174"/>
      <c r="P91" s="174"/>
      <c r="Q91" s="174"/>
      <c r="R91" s="174"/>
      <c r="S91" s="174"/>
      <c r="T91" s="174"/>
      <c r="U91" s="174"/>
      <c r="V91" s="174"/>
      <c r="W91" s="174"/>
      <c r="X91" s="174"/>
      <c r="Y91" s="174"/>
      <c r="Z91" s="174"/>
    </row>
    <row r="92">
      <c r="A92" s="181"/>
      <c r="B92" s="176"/>
      <c r="C92" s="177"/>
      <c r="D92" s="178"/>
      <c r="E92" s="178"/>
      <c r="F92" s="178"/>
      <c r="G92" s="178"/>
      <c r="H92" s="179"/>
      <c r="I92" s="179"/>
      <c r="J92" s="180"/>
      <c r="K92" s="174" t="b">
        <f>IFERROR(__xludf.DUMMYFUNCTION("""COMPUTED_VALUE"""),FALSE)</f>
        <v>0</v>
      </c>
      <c r="L92" s="174"/>
      <c r="M92" s="174"/>
      <c r="N92" s="174"/>
      <c r="O92" s="174"/>
      <c r="P92" s="174"/>
      <c r="Q92" s="174"/>
      <c r="R92" s="174"/>
      <c r="S92" s="174"/>
      <c r="T92" s="174"/>
      <c r="U92" s="174"/>
      <c r="V92" s="174"/>
      <c r="W92" s="174"/>
      <c r="X92" s="174"/>
      <c r="Y92" s="174"/>
      <c r="Z92" s="174"/>
    </row>
    <row r="93">
      <c r="A93" s="181"/>
      <c r="B93" s="176"/>
      <c r="C93" s="177"/>
      <c r="D93" s="178"/>
      <c r="E93" s="178"/>
      <c r="F93" s="178"/>
      <c r="G93" s="178"/>
      <c r="H93" s="179"/>
      <c r="I93" s="179"/>
      <c r="J93" s="180"/>
      <c r="K93" s="174" t="b">
        <f>IFERROR(__xludf.DUMMYFUNCTION("""COMPUTED_VALUE"""),FALSE)</f>
        <v>0</v>
      </c>
      <c r="L93" s="174"/>
      <c r="M93" s="174"/>
      <c r="N93" s="174"/>
      <c r="O93" s="174"/>
      <c r="P93" s="174"/>
      <c r="Q93" s="174"/>
      <c r="R93" s="174"/>
      <c r="S93" s="174"/>
      <c r="T93" s="174"/>
      <c r="U93" s="174"/>
      <c r="V93" s="174"/>
      <c r="W93" s="174"/>
      <c r="X93" s="174"/>
      <c r="Y93" s="174"/>
      <c r="Z93" s="174"/>
    </row>
    <row r="94">
      <c r="A94" s="181"/>
      <c r="B94" s="176"/>
      <c r="C94" s="177"/>
      <c r="D94" s="178"/>
      <c r="E94" s="178"/>
      <c r="F94" s="178"/>
      <c r="G94" s="178"/>
      <c r="H94" s="179"/>
      <c r="I94" s="179"/>
      <c r="J94" s="180"/>
      <c r="K94" s="174" t="b">
        <f>IFERROR(__xludf.DUMMYFUNCTION("""COMPUTED_VALUE"""),FALSE)</f>
        <v>0</v>
      </c>
      <c r="L94" s="174"/>
      <c r="M94" s="174"/>
      <c r="N94" s="174"/>
      <c r="O94" s="174"/>
      <c r="P94" s="174"/>
      <c r="Q94" s="174"/>
      <c r="R94" s="174"/>
      <c r="S94" s="174"/>
      <c r="T94" s="174"/>
      <c r="U94" s="174"/>
      <c r="V94" s="174"/>
      <c r="W94" s="174"/>
      <c r="X94" s="174"/>
      <c r="Y94" s="174"/>
      <c r="Z94" s="174"/>
    </row>
    <row r="95">
      <c r="A95" s="181"/>
      <c r="B95" s="176"/>
      <c r="C95" s="177"/>
      <c r="D95" s="178"/>
      <c r="E95" s="178"/>
      <c r="F95" s="178"/>
      <c r="G95" s="178"/>
      <c r="H95" s="179"/>
      <c r="I95" s="179"/>
      <c r="J95" s="180"/>
      <c r="K95" s="174" t="b">
        <f>IFERROR(__xludf.DUMMYFUNCTION("""COMPUTED_VALUE"""),FALSE)</f>
        <v>0</v>
      </c>
      <c r="L95" s="174"/>
      <c r="M95" s="174"/>
      <c r="N95" s="174"/>
      <c r="O95" s="174"/>
      <c r="P95" s="174"/>
      <c r="Q95" s="174"/>
      <c r="R95" s="174"/>
      <c r="S95" s="174"/>
      <c r="T95" s="174"/>
      <c r="U95" s="174"/>
      <c r="V95" s="174"/>
      <c r="W95" s="174"/>
      <c r="X95" s="174"/>
      <c r="Y95" s="174"/>
      <c r="Z95" s="174"/>
    </row>
    <row r="96">
      <c r="A96" s="181"/>
      <c r="B96" s="176"/>
      <c r="C96" s="177"/>
      <c r="D96" s="178"/>
      <c r="E96" s="178"/>
      <c r="F96" s="178"/>
      <c r="G96" s="178"/>
      <c r="H96" s="179"/>
      <c r="I96" s="179"/>
      <c r="J96" s="180"/>
      <c r="K96" s="174" t="b">
        <f>IFERROR(__xludf.DUMMYFUNCTION("""COMPUTED_VALUE"""),FALSE)</f>
        <v>0</v>
      </c>
      <c r="L96" s="174"/>
      <c r="M96" s="174"/>
      <c r="N96" s="174"/>
      <c r="O96" s="174"/>
      <c r="P96" s="174"/>
      <c r="Q96" s="174"/>
      <c r="R96" s="174"/>
      <c r="S96" s="174"/>
      <c r="T96" s="174"/>
      <c r="U96" s="174"/>
      <c r="V96" s="174"/>
      <c r="W96" s="174"/>
      <c r="X96" s="174"/>
      <c r="Y96" s="174"/>
      <c r="Z96" s="174"/>
    </row>
    <row r="97">
      <c r="A97" s="181"/>
      <c r="B97" s="176"/>
      <c r="C97" s="177"/>
      <c r="D97" s="178"/>
      <c r="E97" s="178"/>
      <c r="F97" s="178"/>
      <c r="G97" s="178"/>
      <c r="H97" s="179"/>
      <c r="I97" s="179"/>
      <c r="J97" s="180"/>
      <c r="K97" s="174" t="b">
        <f>IFERROR(__xludf.DUMMYFUNCTION("""COMPUTED_VALUE"""),FALSE)</f>
        <v>0</v>
      </c>
      <c r="L97" s="174"/>
      <c r="M97" s="174"/>
      <c r="N97" s="174"/>
      <c r="O97" s="174"/>
      <c r="P97" s="174"/>
      <c r="Q97" s="174"/>
      <c r="R97" s="174"/>
      <c r="S97" s="174"/>
      <c r="T97" s="174"/>
      <c r="U97" s="174"/>
      <c r="V97" s="174"/>
      <c r="W97" s="174"/>
      <c r="X97" s="174"/>
      <c r="Y97" s="174"/>
      <c r="Z97" s="174"/>
    </row>
    <row r="98">
      <c r="A98" s="181"/>
      <c r="B98" s="176"/>
      <c r="C98" s="177"/>
      <c r="D98" s="178"/>
      <c r="E98" s="178"/>
      <c r="F98" s="178"/>
      <c r="G98" s="178"/>
      <c r="H98" s="179"/>
      <c r="I98" s="179"/>
      <c r="J98" s="180"/>
      <c r="K98" s="174" t="b">
        <f>IFERROR(__xludf.DUMMYFUNCTION("""COMPUTED_VALUE"""),FALSE)</f>
        <v>0</v>
      </c>
      <c r="L98" s="174"/>
      <c r="M98" s="174"/>
      <c r="N98" s="174"/>
      <c r="O98" s="174"/>
      <c r="P98" s="174"/>
      <c r="Q98" s="174"/>
      <c r="R98" s="174"/>
      <c r="S98" s="174"/>
      <c r="T98" s="174"/>
      <c r="U98" s="174"/>
      <c r="V98" s="174"/>
      <c r="W98" s="174"/>
      <c r="X98" s="174"/>
      <c r="Y98" s="174"/>
      <c r="Z98" s="174"/>
    </row>
    <row r="99">
      <c r="A99" s="181"/>
      <c r="B99" s="176"/>
      <c r="C99" s="177"/>
      <c r="D99" s="178"/>
      <c r="E99" s="178"/>
      <c r="F99" s="178"/>
      <c r="G99" s="178"/>
      <c r="H99" s="179"/>
      <c r="I99" s="179"/>
      <c r="J99" s="180"/>
      <c r="K99" s="174" t="b">
        <f>IFERROR(__xludf.DUMMYFUNCTION("""COMPUTED_VALUE"""),FALSE)</f>
        <v>0</v>
      </c>
      <c r="L99" s="174"/>
      <c r="M99" s="174"/>
      <c r="N99" s="174"/>
      <c r="O99" s="174"/>
      <c r="P99" s="174"/>
      <c r="Q99" s="174"/>
      <c r="R99" s="174"/>
      <c r="S99" s="174"/>
      <c r="T99" s="174"/>
      <c r="U99" s="174"/>
      <c r="V99" s="174"/>
      <c r="W99" s="174"/>
      <c r="X99" s="174"/>
      <c r="Y99" s="174"/>
      <c r="Z99" s="174"/>
    </row>
    <row r="100">
      <c r="A100" s="181"/>
      <c r="B100" s="176"/>
      <c r="C100" s="177"/>
      <c r="D100" s="178"/>
      <c r="E100" s="178"/>
      <c r="F100" s="178"/>
      <c r="G100" s="178"/>
      <c r="H100" s="179"/>
      <c r="I100" s="179"/>
      <c r="J100" s="180"/>
      <c r="K100" s="174" t="b">
        <f>IFERROR(__xludf.DUMMYFUNCTION("""COMPUTED_VALUE"""),FALSE)</f>
        <v>0</v>
      </c>
      <c r="L100" s="174"/>
      <c r="M100" s="174"/>
      <c r="N100" s="174"/>
      <c r="O100" s="174"/>
      <c r="P100" s="174"/>
      <c r="Q100" s="174"/>
      <c r="R100" s="174"/>
      <c r="S100" s="174"/>
      <c r="T100" s="174"/>
      <c r="U100" s="174"/>
      <c r="V100" s="174"/>
      <c r="W100" s="174"/>
      <c r="X100" s="174"/>
      <c r="Y100" s="174"/>
      <c r="Z100" s="174"/>
    </row>
    <row r="101">
      <c r="A101" s="181"/>
      <c r="B101" s="176"/>
      <c r="C101" s="177"/>
      <c r="D101" s="178"/>
      <c r="E101" s="178"/>
      <c r="F101" s="178"/>
      <c r="G101" s="178"/>
      <c r="H101" s="179"/>
      <c r="I101" s="179"/>
      <c r="J101" s="180"/>
      <c r="K101" s="174" t="b">
        <f>IFERROR(__xludf.DUMMYFUNCTION("""COMPUTED_VALUE"""),FALSE)</f>
        <v>0</v>
      </c>
      <c r="L101" s="174"/>
      <c r="M101" s="174"/>
      <c r="N101" s="174"/>
      <c r="O101" s="174"/>
      <c r="P101" s="174"/>
      <c r="Q101" s="174"/>
      <c r="R101" s="174"/>
      <c r="S101" s="174"/>
      <c r="T101" s="174"/>
      <c r="U101" s="174"/>
      <c r="V101" s="174"/>
      <c r="W101" s="174"/>
      <c r="X101" s="174"/>
      <c r="Y101" s="174"/>
      <c r="Z101" s="174"/>
    </row>
    <row r="102">
      <c r="A102" s="181"/>
      <c r="B102" s="176"/>
      <c r="C102" s="177"/>
      <c r="D102" s="178"/>
      <c r="E102" s="178"/>
      <c r="F102" s="178"/>
      <c r="G102" s="178"/>
      <c r="H102" s="179"/>
      <c r="I102" s="179"/>
      <c r="J102" s="180"/>
      <c r="K102" s="174" t="b">
        <f>IFERROR(__xludf.DUMMYFUNCTION("""COMPUTED_VALUE"""),FALSE)</f>
        <v>0</v>
      </c>
      <c r="L102" s="174"/>
      <c r="M102" s="174"/>
      <c r="N102" s="174"/>
      <c r="O102" s="174"/>
      <c r="P102" s="174"/>
      <c r="Q102" s="174"/>
      <c r="R102" s="174"/>
      <c r="S102" s="174"/>
      <c r="T102" s="174"/>
      <c r="U102" s="174"/>
      <c r="V102" s="174"/>
      <c r="W102" s="174"/>
      <c r="X102" s="174"/>
      <c r="Y102" s="174"/>
      <c r="Z102" s="174"/>
    </row>
    <row r="103">
      <c r="A103" s="181"/>
      <c r="B103" s="176"/>
      <c r="C103" s="177"/>
      <c r="D103" s="178"/>
      <c r="E103" s="178"/>
      <c r="F103" s="178"/>
      <c r="G103" s="178"/>
      <c r="H103" s="179"/>
      <c r="I103" s="179"/>
      <c r="J103" s="180"/>
      <c r="K103" s="174" t="b">
        <f>IFERROR(__xludf.DUMMYFUNCTION("""COMPUTED_VALUE"""),FALSE)</f>
        <v>0</v>
      </c>
      <c r="L103" s="174"/>
      <c r="M103" s="174"/>
      <c r="N103" s="174"/>
      <c r="O103" s="174"/>
      <c r="P103" s="174"/>
      <c r="Q103" s="174"/>
      <c r="R103" s="174"/>
      <c r="S103" s="174"/>
      <c r="T103" s="174"/>
      <c r="U103" s="174"/>
      <c r="V103" s="174"/>
      <c r="W103" s="174"/>
      <c r="X103" s="174"/>
      <c r="Y103" s="174"/>
      <c r="Z103" s="174"/>
    </row>
    <row r="104">
      <c r="A104" s="181"/>
      <c r="B104" s="176"/>
      <c r="C104" s="177"/>
      <c r="D104" s="178"/>
      <c r="E104" s="178"/>
      <c r="F104" s="178"/>
      <c r="G104" s="178"/>
      <c r="H104" s="179"/>
      <c r="I104" s="179"/>
      <c r="J104" s="180"/>
      <c r="K104" s="174" t="b">
        <f>IFERROR(__xludf.DUMMYFUNCTION("""COMPUTED_VALUE"""),FALSE)</f>
        <v>0</v>
      </c>
      <c r="L104" s="174"/>
      <c r="M104" s="174"/>
      <c r="N104" s="174"/>
      <c r="O104" s="174"/>
      <c r="P104" s="174"/>
      <c r="Q104" s="174"/>
      <c r="R104" s="174"/>
      <c r="S104" s="174"/>
      <c r="T104" s="174"/>
      <c r="U104" s="174"/>
      <c r="V104" s="174"/>
      <c r="W104" s="174"/>
      <c r="X104" s="174"/>
      <c r="Y104" s="174"/>
      <c r="Z104" s="174"/>
    </row>
    <row r="105">
      <c r="A105" s="181"/>
      <c r="B105" s="176"/>
      <c r="C105" s="177"/>
      <c r="D105" s="178"/>
      <c r="E105" s="178"/>
      <c r="F105" s="178"/>
      <c r="G105" s="178"/>
      <c r="H105" s="179"/>
      <c r="I105" s="179"/>
      <c r="J105" s="180"/>
      <c r="K105" s="174" t="b">
        <f>IFERROR(__xludf.DUMMYFUNCTION("""COMPUTED_VALUE"""),FALSE)</f>
        <v>0</v>
      </c>
      <c r="L105" s="174"/>
      <c r="M105" s="174"/>
      <c r="N105" s="174"/>
      <c r="O105" s="174"/>
      <c r="P105" s="174"/>
      <c r="Q105" s="174"/>
      <c r="R105" s="174"/>
      <c r="S105" s="174"/>
      <c r="T105" s="174"/>
      <c r="U105" s="174"/>
      <c r="V105" s="174"/>
      <c r="W105" s="174"/>
      <c r="X105" s="174"/>
      <c r="Y105" s="174"/>
      <c r="Z105" s="174"/>
    </row>
    <row r="106">
      <c r="A106" s="181"/>
      <c r="B106" s="176"/>
      <c r="C106" s="177"/>
      <c r="D106" s="178"/>
      <c r="E106" s="178"/>
      <c r="F106" s="178"/>
      <c r="G106" s="178"/>
      <c r="H106" s="179"/>
      <c r="I106" s="179"/>
      <c r="J106" s="180"/>
      <c r="K106" s="174" t="b">
        <f>IFERROR(__xludf.DUMMYFUNCTION("""COMPUTED_VALUE"""),FALSE)</f>
        <v>0</v>
      </c>
      <c r="L106" s="174"/>
      <c r="M106" s="174"/>
      <c r="N106" s="174"/>
      <c r="O106" s="174"/>
      <c r="P106" s="174"/>
      <c r="Q106" s="174"/>
      <c r="R106" s="174"/>
      <c r="S106" s="174"/>
      <c r="T106" s="174"/>
      <c r="U106" s="174"/>
      <c r="V106" s="174"/>
      <c r="W106" s="174"/>
      <c r="X106" s="174"/>
      <c r="Y106" s="174"/>
      <c r="Z106" s="174"/>
    </row>
    <row r="107">
      <c r="A107" s="181"/>
      <c r="B107" s="176"/>
      <c r="C107" s="177"/>
      <c r="D107" s="178"/>
      <c r="E107" s="178"/>
      <c r="F107" s="178"/>
      <c r="G107" s="178"/>
      <c r="H107" s="179"/>
      <c r="I107" s="179"/>
      <c r="J107" s="180"/>
      <c r="K107" s="174" t="b">
        <f>IFERROR(__xludf.DUMMYFUNCTION("""COMPUTED_VALUE"""),FALSE)</f>
        <v>0</v>
      </c>
      <c r="L107" s="174"/>
      <c r="M107" s="174"/>
      <c r="N107" s="174"/>
      <c r="O107" s="174"/>
      <c r="P107" s="174"/>
      <c r="Q107" s="174"/>
      <c r="R107" s="174"/>
      <c r="S107" s="174"/>
      <c r="T107" s="174"/>
      <c r="U107" s="174"/>
      <c r="V107" s="174"/>
      <c r="W107" s="174"/>
      <c r="X107" s="174"/>
      <c r="Y107" s="174"/>
      <c r="Z107" s="174"/>
    </row>
    <row r="108">
      <c r="A108" s="181"/>
      <c r="B108" s="176"/>
      <c r="C108" s="177"/>
      <c r="D108" s="178"/>
      <c r="E108" s="178"/>
      <c r="F108" s="178"/>
      <c r="G108" s="178"/>
      <c r="H108" s="179"/>
      <c r="I108" s="179"/>
      <c r="J108" s="180"/>
      <c r="K108" s="174" t="b">
        <f>IFERROR(__xludf.DUMMYFUNCTION("""COMPUTED_VALUE"""),FALSE)</f>
        <v>0</v>
      </c>
      <c r="L108" s="174"/>
      <c r="M108" s="174"/>
      <c r="N108" s="174"/>
      <c r="O108" s="174"/>
      <c r="P108" s="174"/>
      <c r="Q108" s="174"/>
      <c r="R108" s="174"/>
      <c r="S108" s="174"/>
      <c r="T108" s="174"/>
      <c r="U108" s="174"/>
      <c r="V108" s="174"/>
      <c r="W108" s="174"/>
      <c r="X108" s="174"/>
      <c r="Y108" s="174"/>
      <c r="Z108" s="174"/>
    </row>
    <row r="109">
      <c r="A109" s="181"/>
      <c r="B109" s="176"/>
      <c r="C109" s="177"/>
      <c r="D109" s="178"/>
      <c r="E109" s="178"/>
      <c r="F109" s="178"/>
      <c r="G109" s="178"/>
      <c r="H109" s="179"/>
      <c r="I109" s="179"/>
      <c r="J109" s="180"/>
      <c r="K109" s="174" t="b">
        <f>IFERROR(__xludf.DUMMYFUNCTION("""COMPUTED_VALUE"""),FALSE)</f>
        <v>0</v>
      </c>
      <c r="L109" s="174"/>
      <c r="M109" s="174"/>
      <c r="N109" s="174"/>
      <c r="O109" s="174"/>
      <c r="P109" s="174"/>
      <c r="Q109" s="174"/>
      <c r="R109" s="174"/>
      <c r="S109" s="174"/>
      <c r="T109" s="174"/>
      <c r="U109" s="174"/>
      <c r="V109" s="174"/>
      <c r="W109" s="174"/>
      <c r="X109" s="174"/>
      <c r="Y109" s="174"/>
      <c r="Z109" s="174"/>
    </row>
    <row r="110">
      <c r="A110" s="181"/>
      <c r="B110" s="176"/>
      <c r="C110" s="177"/>
      <c r="D110" s="178"/>
      <c r="E110" s="178"/>
      <c r="F110" s="178"/>
      <c r="G110" s="178"/>
      <c r="H110" s="179"/>
      <c r="I110" s="179"/>
      <c r="J110" s="180"/>
      <c r="K110" s="174" t="b">
        <f>IFERROR(__xludf.DUMMYFUNCTION("""COMPUTED_VALUE"""),FALSE)</f>
        <v>0</v>
      </c>
      <c r="L110" s="174"/>
      <c r="M110" s="174"/>
      <c r="N110" s="174"/>
      <c r="O110" s="174"/>
      <c r="P110" s="174"/>
      <c r="Q110" s="174"/>
      <c r="R110" s="174"/>
      <c r="S110" s="174"/>
      <c r="T110" s="174"/>
      <c r="U110" s="174"/>
      <c r="V110" s="174"/>
      <c r="W110" s="174"/>
      <c r="X110" s="174"/>
      <c r="Y110" s="174"/>
      <c r="Z110" s="174"/>
    </row>
    <row r="111">
      <c r="A111" s="181"/>
      <c r="B111" s="176"/>
      <c r="C111" s="177"/>
      <c r="D111" s="178"/>
      <c r="E111" s="178"/>
      <c r="F111" s="178"/>
      <c r="G111" s="178"/>
      <c r="H111" s="179"/>
      <c r="I111" s="179"/>
      <c r="J111" s="180"/>
      <c r="K111" s="174" t="b">
        <f>IFERROR(__xludf.DUMMYFUNCTION("""COMPUTED_VALUE"""),FALSE)</f>
        <v>0</v>
      </c>
      <c r="L111" s="174"/>
      <c r="M111" s="174"/>
      <c r="N111" s="174"/>
      <c r="O111" s="174"/>
      <c r="P111" s="174"/>
      <c r="Q111" s="174"/>
      <c r="R111" s="174"/>
      <c r="S111" s="174"/>
      <c r="T111" s="174"/>
      <c r="U111" s="174"/>
      <c r="V111" s="174"/>
      <c r="W111" s="174"/>
      <c r="X111" s="174"/>
      <c r="Y111" s="174"/>
      <c r="Z111" s="174"/>
    </row>
    <row r="112">
      <c r="A112" s="181"/>
      <c r="B112" s="176"/>
      <c r="C112" s="177"/>
      <c r="D112" s="178"/>
      <c r="E112" s="178"/>
      <c r="F112" s="178"/>
      <c r="G112" s="178"/>
      <c r="H112" s="179"/>
      <c r="I112" s="179"/>
      <c r="J112" s="180"/>
      <c r="K112" s="174" t="b">
        <f>IFERROR(__xludf.DUMMYFUNCTION("""COMPUTED_VALUE"""),FALSE)</f>
        <v>0</v>
      </c>
      <c r="L112" s="174"/>
      <c r="M112" s="174"/>
      <c r="N112" s="174"/>
      <c r="O112" s="174"/>
      <c r="P112" s="174"/>
      <c r="Q112" s="174"/>
      <c r="R112" s="174"/>
      <c r="S112" s="174"/>
      <c r="T112" s="174"/>
      <c r="U112" s="174"/>
      <c r="V112" s="174"/>
      <c r="W112" s="174"/>
      <c r="X112" s="174"/>
      <c r="Y112" s="174"/>
      <c r="Z112" s="174"/>
    </row>
    <row r="113">
      <c r="A113" s="181"/>
      <c r="B113" s="176"/>
      <c r="C113" s="177"/>
      <c r="D113" s="178"/>
      <c r="E113" s="178"/>
      <c r="F113" s="178"/>
      <c r="G113" s="178"/>
      <c r="H113" s="179"/>
      <c r="I113" s="179"/>
      <c r="J113" s="180"/>
      <c r="K113" s="174" t="b">
        <f>IFERROR(__xludf.DUMMYFUNCTION("""COMPUTED_VALUE"""),FALSE)</f>
        <v>0</v>
      </c>
      <c r="L113" s="174"/>
      <c r="M113" s="174"/>
      <c r="N113" s="174"/>
      <c r="O113" s="174"/>
      <c r="P113" s="174"/>
      <c r="Q113" s="174"/>
      <c r="R113" s="174"/>
      <c r="S113" s="174"/>
      <c r="T113" s="174"/>
      <c r="U113" s="174"/>
      <c r="V113" s="174"/>
      <c r="W113" s="174"/>
      <c r="X113" s="174"/>
      <c r="Y113" s="174"/>
      <c r="Z113" s="174"/>
    </row>
    <row r="114">
      <c r="A114" s="181"/>
      <c r="B114" s="176"/>
      <c r="C114" s="177"/>
      <c r="D114" s="178"/>
      <c r="E114" s="178"/>
      <c r="F114" s="178"/>
      <c r="G114" s="178"/>
      <c r="H114" s="179"/>
      <c r="I114" s="179"/>
      <c r="J114" s="180"/>
      <c r="K114" s="174" t="b">
        <f>IFERROR(__xludf.DUMMYFUNCTION("""COMPUTED_VALUE"""),FALSE)</f>
        <v>0</v>
      </c>
      <c r="L114" s="174"/>
      <c r="M114" s="174"/>
      <c r="N114" s="174"/>
      <c r="O114" s="174"/>
      <c r="P114" s="174"/>
      <c r="Q114" s="174"/>
      <c r="R114" s="174"/>
      <c r="S114" s="174"/>
      <c r="T114" s="174"/>
      <c r="U114" s="174"/>
      <c r="V114" s="174"/>
      <c r="W114" s="174"/>
      <c r="X114" s="174"/>
      <c r="Y114" s="174"/>
      <c r="Z114" s="174"/>
    </row>
    <row r="115">
      <c r="A115" s="181"/>
      <c r="B115" s="176"/>
      <c r="C115" s="177"/>
      <c r="D115" s="178"/>
      <c r="E115" s="178"/>
      <c r="F115" s="178"/>
      <c r="G115" s="178"/>
      <c r="H115" s="179"/>
      <c r="I115" s="179"/>
      <c r="J115" s="180"/>
      <c r="K115" s="174" t="b">
        <f>IFERROR(__xludf.DUMMYFUNCTION("""COMPUTED_VALUE"""),FALSE)</f>
        <v>0</v>
      </c>
      <c r="L115" s="174"/>
      <c r="M115" s="174"/>
      <c r="N115" s="174"/>
      <c r="O115" s="174"/>
      <c r="P115" s="174"/>
      <c r="Q115" s="174"/>
      <c r="R115" s="174"/>
      <c r="S115" s="174"/>
      <c r="T115" s="174"/>
      <c r="U115" s="174"/>
      <c r="V115" s="174"/>
      <c r="W115" s="174"/>
      <c r="X115" s="174"/>
      <c r="Y115" s="174"/>
      <c r="Z115" s="174"/>
    </row>
    <row r="116">
      <c r="A116" s="181"/>
      <c r="B116" s="176"/>
      <c r="C116" s="177"/>
      <c r="D116" s="178"/>
      <c r="E116" s="178"/>
      <c r="F116" s="178"/>
      <c r="G116" s="178"/>
      <c r="H116" s="179"/>
      <c r="I116" s="179"/>
      <c r="J116" s="180"/>
      <c r="K116" s="174" t="b">
        <f>IFERROR(__xludf.DUMMYFUNCTION("""COMPUTED_VALUE"""),FALSE)</f>
        <v>0</v>
      </c>
      <c r="L116" s="174"/>
      <c r="M116" s="174"/>
      <c r="N116" s="174"/>
      <c r="O116" s="174"/>
      <c r="P116" s="174"/>
      <c r="Q116" s="174"/>
      <c r="R116" s="174"/>
      <c r="S116" s="174"/>
      <c r="T116" s="174"/>
      <c r="U116" s="174"/>
      <c r="V116" s="174"/>
      <c r="W116" s="174"/>
      <c r="X116" s="174"/>
      <c r="Y116" s="174"/>
      <c r="Z116" s="174"/>
    </row>
    <row r="117">
      <c r="A117" s="181"/>
      <c r="B117" s="176"/>
      <c r="C117" s="177"/>
      <c r="D117" s="178"/>
      <c r="E117" s="178"/>
      <c r="F117" s="178"/>
      <c r="G117" s="178"/>
      <c r="H117" s="179"/>
      <c r="I117" s="179"/>
      <c r="J117" s="180"/>
      <c r="K117" s="174" t="b">
        <f>IFERROR(__xludf.DUMMYFUNCTION("""COMPUTED_VALUE"""),FALSE)</f>
        <v>0</v>
      </c>
      <c r="L117" s="174"/>
      <c r="M117" s="174"/>
      <c r="N117" s="174"/>
      <c r="O117" s="174"/>
      <c r="P117" s="174"/>
      <c r="Q117" s="174"/>
      <c r="R117" s="174"/>
      <c r="S117" s="174"/>
      <c r="T117" s="174"/>
      <c r="U117" s="174"/>
      <c r="V117" s="174"/>
      <c r="W117" s="174"/>
      <c r="X117" s="174"/>
      <c r="Y117" s="174"/>
      <c r="Z117" s="174"/>
    </row>
    <row r="118">
      <c r="A118" s="181"/>
      <c r="B118" s="176"/>
      <c r="C118" s="177"/>
      <c r="D118" s="178"/>
      <c r="E118" s="178"/>
      <c r="F118" s="178"/>
      <c r="G118" s="178"/>
      <c r="H118" s="179"/>
      <c r="I118" s="179"/>
      <c r="J118" s="180"/>
      <c r="K118" s="174" t="b">
        <f>IFERROR(__xludf.DUMMYFUNCTION("""COMPUTED_VALUE"""),FALSE)</f>
        <v>0</v>
      </c>
      <c r="L118" s="174"/>
      <c r="M118" s="174"/>
      <c r="N118" s="174"/>
      <c r="O118" s="174"/>
      <c r="P118" s="174"/>
      <c r="Q118" s="174"/>
      <c r="R118" s="174"/>
      <c r="S118" s="174"/>
      <c r="T118" s="174"/>
      <c r="U118" s="174"/>
      <c r="V118" s="174"/>
      <c r="W118" s="174"/>
      <c r="X118" s="174"/>
      <c r="Y118" s="174"/>
      <c r="Z118" s="174"/>
    </row>
    <row r="119">
      <c r="A119" s="181"/>
      <c r="B119" s="176"/>
      <c r="C119" s="177"/>
      <c r="D119" s="178"/>
      <c r="E119" s="178"/>
      <c r="F119" s="178"/>
      <c r="G119" s="178"/>
      <c r="H119" s="179"/>
      <c r="I119" s="179"/>
      <c r="J119" s="180"/>
      <c r="K119" s="174" t="b">
        <f>IFERROR(__xludf.DUMMYFUNCTION("""COMPUTED_VALUE"""),FALSE)</f>
        <v>0</v>
      </c>
      <c r="L119" s="174"/>
      <c r="M119" s="174"/>
      <c r="N119" s="174"/>
      <c r="O119" s="174"/>
      <c r="P119" s="174"/>
      <c r="Q119" s="174"/>
      <c r="R119" s="174"/>
      <c r="S119" s="174"/>
      <c r="T119" s="174"/>
      <c r="U119" s="174"/>
      <c r="V119" s="174"/>
      <c r="W119" s="174"/>
      <c r="X119" s="174"/>
      <c r="Y119" s="174"/>
      <c r="Z119" s="174"/>
    </row>
    <row r="120">
      <c r="A120" s="181"/>
      <c r="B120" s="176"/>
      <c r="C120" s="177"/>
      <c r="D120" s="178"/>
      <c r="E120" s="178"/>
      <c r="F120" s="178"/>
      <c r="G120" s="178"/>
      <c r="H120" s="179"/>
      <c r="I120" s="179"/>
      <c r="J120" s="180"/>
      <c r="K120" s="174" t="b">
        <f>IFERROR(__xludf.DUMMYFUNCTION("""COMPUTED_VALUE"""),FALSE)</f>
        <v>0</v>
      </c>
      <c r="L120" s="174"/>
      <c r="M120" s="174"/>
      <c r="N120" s="174"/>
      <c r="O120" s="174"/>
      <c r="P120" s="174"/>
      <c r="Q120" s="174"/>
      <c r="R120" s="174"/>
      <c r="S120" s="174"/>
      <c r="T120" s="174"/>
      <c r="U120" s="174"/>
      <c r="V120" s="174"/>
      <c r="W120" s="174"/>
      <c r="X120" s="174"/>
      <c r="Y120" s="174"/>
      <c r="Z120" s="174"/>
    </row>
    <row r="121">
      <c r="A121" s="181"/>
      <c r="B121" s="176"/>
      <c r="C121" s="177"/>
      <c r="D121" s="178"/>
      <c r="E121" s="178"/>
      <c r="F121" s="178"/>
      <c r="G121" s="178"/>
      <c r="H121" s="179"/>
      <c r="I121" s="179"/>
      <c r="J121" s="180"/>
      <c r="K121" s="174" t="b">
        <f>IFERROR(__xludf.DUMMYFUNCTION("""COMPUTED_VALUE"""),FALSE)</f>
        <v>0</v>
      </c>
      <c r="L121" s="174"/>
      <c r="M121" s="174"/>
      <c r="N121" s="174"/>
      <c r="O121" s="174"/>
      <c r="P121" s="174"/>
      <c r="Q121" s="174"/>
      <c r="R121" s="174"/>
      <c r="S121" s="174"/>
      <c r="T121" s="174"/>
      <c r="U121" s="174"/>
      <c r="V121" s="174"/>
      <c r="W121" s="174"/>
      <c r="X121" s="174"/>
      <c r="Y121" s="174"/>
      <c r="Z121" s="174"/>
    </row>
    <row r="122">
      <c r="A122" s="181"/>
      <c r="B122" s="176"/>
      <c r="C122" s="177"/>
      <c r="D122" s="178"/>
      <c r="E122" s="178"/>
      <c r="F122" s="178"/>
      <c r="G122" s="178"/>
      <c r="H122" s="179"/>
      <c r="I122" s="179"/>
      <c r="J122" s="180"/>
      <c r="K122" s="174" t="b">
        <f>IFERROR(__xludf.DUMMYFUNCTION("""COMPUTED_VALUE"""),FALSE)</f>
        <v>0</v>
      </c>
      <c r="L122" s="174"/>
      <c r="M122" s="174"/>
      <c r="N122" s="174"/>
      <c r="O122" s="174"/>
      <c r="P122" s="174"/>
      <c r="Q122" s="174"/>
      <c r="R122" s="174"/>
      <c r="S122" s="174"/>
      <c r="T122" s="174"/>
      <c r="U122" s="174"/>
      <c r="V122" s="174"/>
      <c r="W122" s="174"/>
      <c r="X122" s="174"/>
      <c r="Y122" s="174"/>
      <c r="Z122" s="174"/>
    </row>
    <row r="123">
      <c r="A123" s="181"/>
      <c r="B123" s="176"/>
      <c r="C123" s="177"/>
      <c r="D123" s="178"/>
      <c r="E123" s="178"/>
      <c r="F123" s="178"/>
      <c r="G123" s="178"/>
      <c r="H123" s="179"/>
      <c r="I123" s="179"/>
      <c r="J123" s="180"/>
      <c r="K123" s="174" t="b">
        <f>IFERROR(__xludf.DUMMYFUNCTION("""COMPUTED_VALUE"""),FALSE)</f>
        <v>0</v>
      </c>
      <c r="L123" s="174"/>
      <c r="M123" s="174"/>
      <c r="N123" s="174"/>
      <c r="O123" s="174"/>
      <c r="P123" s="174"/>
      <c r="Q123" s="174"/>
      <c r="R123" s="174"/>
      <c r="S123" s="174"/>
      <c r="T123" s="174"/>
      <c r="U123" s="174"/>
      <c r="V123" s="174"/>
      <c r="W123" s="174"/>
      <c r="X123" s="174"/>
      <c r="Y123" s="174"/>
      <c r="Z123" s="174"/>
    </row>
    <row r="124">
      <c r="A124" s="181"/>
      <c r="B124" s="176"/>
      <c r="C124" s="177"/>
      <c r="D124" s="178"/>
      <c r="E124" s="178"/>
      <c r="F124" s="178"/>
      <c r="G124" s="178"/>
      <c r="H124" s="179"/>
      <c r="I124" s="179"/>
      <c r="J124" s="180"/>
      <c r="K124" s="174" t="b">
        <f>IFERROR(__xludf.DUMMYFUNCTION("""COMPUTED_VALUE"""),FALSE)</f>
        <v>0</v>
      </c>
      <c r="L124" s="174"/>
      <c r="M124" s="174"/>
      <c r="N124" s="174"/>
      <c r="O124" s="174"/>
      <c r="P124" s="174"/>
      <c r="Q124" s="174"/>
      <c r="R124" s="174"/>
      <c r="S124" s="174"/>
      <c r="T124" s="174"/>
      <c r="U124" s="174"/>
      <c r="V124" s="174"/>
      <c r="W124" s="174"/>
      <c r="X124" s="174"/>
      <c r="Y124" s="174"/>
      <c r="Z124" s="174"/>
    </row>
    <row r="125">
      <c r="A125" s="181"/>
      <c r="B125" s="176"/>
      <c r="C125" s="177"/>
      <c r="D125" s="178"/>
      <c r="E125" s="178"/>
      <c r="F125" s="178"/>
      <c r="G125" s="178"/>
      <c r="H125" s="179"/>
      <c r="I125" s="179"/>
      <c r="J125" s="180"/>
      <c r="K125" s="174" t="b">
        <f>IFERROR(__xludf.DUMMYFUNCTION("""COMPUTED_VALUE"""),FALSE)</f>
        <v>0</v>
      </c>
      <c r="L125" s="174"/>
      <c r="M125" s="174"/>
      <c r="N125" s="174"/>
      <c r="O125" s="174"/>
      <c r="P125" s="174"/>
      <c r="Q125" s="174"/>
      <c r="R125" s="174"/>
      <c r="S125" s="174"/>
      <c r="T125" s="174"/>
      <c r="U125" s="174"/>
      <c r="V125" s="174"/>
      <c r="W125" s="174"/>
      <c r="X125" s="174"/>
      <c r="Y125" s="174"/>
      <c r="Z125" s="174"/>
    </row>
    <row r="126">
      <c r="A126" s="181"/>
      <c r="B126" s="176"/>
      <c r="C126" s="177"/>
      <c r="D126" s="178"/>
      <c r="E126" s="178"/>
      <c r="F126" s="178"/>
      <c r="G126" s="178"/>
      <c r="H126" s="179"/>
      <c r="I126" s="179"/>
      <c r="J126" s="180"/>
      <c r="K126" s="174" t="b">
        <f>IFERROR(__xludf.DUMMYFUNCTION("""COMPUTED_VALUE"""),FALSE)</f>
        <v>0</v>
      </c>
      <c r="L126" s="174"/>
      <c r="M126" s="174"/>
      <c r="N126" s="174"/>
      <c r="O126" s="174"/>
      <c r="P126" s="174"/>
      <c r="Q126" s="174"/>
      <c r="R126" s="174"/>
      <c r="S126" s="174"/>
      <c r="T126" s="174"/>
      <c r="U126" s="174"/>
      <c r="V126" s="174"/>
      <c r="W126" s="174"/>
      <c r="X126" s="174"/>
      <c r="Y126" s="174"/>
      <c r="Z126" s="174"/>
    </row>
    <row r="127">
      <c r="A127" s="181"/>
      <c r="B127" s="176"/>
      <c r="C127" s="177"/>
      <c r="D127" s="178"/>
      <c r="E127" s="178"/>
      <c r="F127" s="178"/>
      <c r="G127" s="178"/>
      <c r="H127" s="179"/>
      <c r="I127" s="179"/>
      <c r="J127" s="180"/>
      <c r="K127" s="174" t="b">
        <f>IFERROR(__xludf.DUMMYFUNCTION("""COMPUTED_VALUE"""),FALSE)</f>
        <v>0</v>
      </c>
      <c r="L127" s="174"/>
      <c r="M127" s="174"/>
      <c r="N127" s="174"/>
      <c r="O127" s="174"/>
      <c r="P127" s="174"/>
      <c r="Q127" s="174"/>
      <c r="R127" s="174"/>
      <c r="S127" s="174"/>
      <c r="T127" s="174"/>
      <c r="U127" s="174"/>
      <c r="V127" s="174"/>
      <c r="W127" s="174"/>
      <c r="X127" s="174"/>
      <c r="Y127" s="174"/>
      <c r="Z127" s="174"/>
    </row>
    <row r="128">
      <c r="A128" s="181"/>
      <c r="B128" s="176"/>
      <c r="C128" s="177"/>
      <c r="D128" s="178"/>
      <c r="E128" s="178"/>
      <c r="F128" s="178"/>
      <c r="G128" s="178"/>
      <c r="H128" s="179"/>
      <c r="I128" s="179"/>
      <c r="J128" s="180"/>
      <c r="K128" s="174" t="b">
        <f>IFERROR(__xludf.DUMMYFUNCTION("""COMPUTED_VALUE"""),FALSE)</f>
        <v>0</v>
      </c>
      <c r="L128" s="174"/>
      <c r="M128" s="174"/>
      <c r="N128" s="174"/>
      <c r="O128" s="174"/>
      <c r="P128" s="174"/>
      <c r="Q128" s="174"/>
      <c r="R128" s="174"/>
      <c r="S128" s="174"/>
      <c r="T128" s="174"/>
      <c r="U128" s="174"/>
      <c r="V128" s="174"/>
      <c r="W128" s="174"/>
      <c r="X128" s="174"/>
      <c r="Y128" s="174"/>
      <c r="Z128" s="174"/>
    </row>
    <row r="129">
      <c r="A129" s="181"/>
      <c r="B129" s="176"/>
      <c r="C129" s="177"/>
      <c r="D129" s="178"/>
      <c r="E129" s="178"/>
      <c r="F129" s="178"/>
      <c r="G129" s="178"/>
      <c r="H129" s="179"/>
      <c r="I129" s="179"/>
      <c r="J129" s="180"/>
      <c r="K129" s="174" t="b">
        <f>IFERROR(__xludf.DUMMYFUNCTION("""COMPUTED_VALUE"""),FALSE)</f>
        <v>0</v>
      </c>
      <c r="L129" s="174"/>
      <c r="M129" s="174"/>
      <c r="N129" s="174"/>
      <c r="O129" s="174"/>
      <c r="P129" s="174"/>
      <c r="Q129" s="174"/>
      <c r="R129" s="174"/>
      <c r="S129" s="174"/>
      <c r="T129" s="174"/>
      <c r="U129" s="174"/>
      <c r="V129" s="174"/>
      <c r="W129" s="174"/>
      <c r="X129" s="174"/>
      <c r="Y129" s="174"/>
      <c r="Z129" s="174"/>
    </row>
    <row r="130">
      <c r="A130" s="181"/>
      <c r="B130" s="176"/>
      <c r="C130" s="177"/>
      <c r="D130" s="178"/>
      <c r="E130" s="178"/>
      <c r="F130" s="178"/>
      <c r="G130" s="178"/>
      <c r="H130" s="179"/>
      <c r="I130" s="179"/>
      <c r="J130" s="180"/>
      <c r="K130" s="174" t="b">
        <f>IFERROR(__xludf.DUMMYFUNCTION("""COMPUTED_VALUE"""),FALSE)</f>
        <v>0</v>
      </c>
      <c r="L130" s="174"/>
      <c r="M130" s="174"/>
      <c r="N130" s="174"/>
      <c r="O130" s="174"/>
      <c r="P130" s="174"/>
      <c r="Q130" s="174"/>
      <c r="R130" s="174"/>
      <c r="S130" s="174"/>
      <c r="T130" s="174"/>
      <c r="U130" s="174"/>
      <c r="V130" s="174"/>
      <c r="W130" s="174"/>
      <c r="X130" s="174"/>
      <c r="Y130" s="174"/>
      <c r="Z130" s="174"/>
    </row>
    <row r="131">
      <c r="A131" s="181"/>
      <c r="B131" s="176"/>
      <c r="C131" s="177"/>
      <c r="D131" s="178"/>
      <c r="E131" s="178"/>
      <c r="F131" s="178"/>
      <c r="G131" s="178"/>
      <c r="H131" s="179"/>
      <c r="I131" s="179"/>
      <c r="J131" s="180"/>
      <c r="K131" s="174" t="b">
        <f>IFERROR(__xludf.DUMMYFUNCTION("""COMPUTED_VALUE"""),FALSE)</f>
        <v>0</v>
      </c>
      <c r="L131" s="174"/>
      <c r="M131" s="174"/>
      <c r="N131" s="174"/>
      <c r="O131" s="174"/>
      <c r="P131" s="174"/>
      <c r="Q131" s="174"/>
      <c r="R131" s="174"/>
      <c r="S131" s="174"/>
      <c r="T131" s="174"/>
      <c r="U131" s="174"/>
      <c r="V131" s="174"/>
      <c r="W131" s="174"/>
      <c r="X131" s="174"/>
      <c r="Y131" s="174"/>
      <c r="Z131" s="174"/>
    </row>
    <row r="132">
      <c r="A132" s="181"/>
      <c r="B132" s="176"/>
      <c r="C132" s="177"/>
      <c r="D132" s="178"/>
      <c r="E132" s="178"/>
      <c r="F132" s="178"/>
      <c r="G132" s="178"/>
      <c r="H132" s="179"/>
      <c r="I132" s="179"/>
      <c r="J132" s="180"/>
      <c r="K132" s="174" t="b">
        <f>IFERROR(__xludf.DUMMYFUNCTION("""COMPUTED_VALUE"""),FALSE)</f>
        <v>0</v>
      </c>
      <c r="L132" s="174"/>
      <c r="M132" s="174"/>
      <c r="N132" s="174"/>
      <c r="O132" s="174"/>
      <c r="P132" s="174"/>
      <c r="Q132" s="174"/>
      <c r="R132" s="174"/>
      <c r="S132" s="174"/>
      <c r="T132" s="174"/>
      <c r="U132" s="174"/>
      <c r="V132" s="174"/>
      <c r="W132" s="174"/>
      <c r="X132" s="174"/>
      <c r="Y132" s="174"/>
      <c r="Z132" s="174"/>
    </row>
    <row r="133">
      <c r="A133" s="181"/>
      <c r="B133" s="176"/>
      <c r="C133" s="177"/>
      <c r="D133" s="178"/>
      <c r="E133" s="178"/>
      <c r="F133" s="178"/>
      <c r="G133" s="178"/>
      <c r="H133" s="179"/>
      <c r="I133" s="179"/>
      <c r="J133" s="180"/>
      <c r="K133" s="174" t="b">
        <f>IFERROR(__xludf.DUMMYFUNCTION("""COMPUTED_VALUE"""),FALSE)</f>
        <v>0</v>
      </c>
      <c r="L133" s="174"/>
      <c r="M133" s="174"/>
      <c r="N133" s="174"/>
      <c r="O133" s="174"/>
      <c r="P133" s="174"/>
      <c r="Q133" s="174"/>
      <c r="R133" s="174"/>
      <c r="S133" s="174"/>
      <c r="T133" s="174"/>
      <c r="U133" s="174"/>
      <c r="V133" s="174"/>
      <c r="W133" s="174"/>
      <c r="X133" s="174"/>
      <c r="Y133" s="174"/>
      <c r="Z133" s="174"/>
    </row>
    <row r="134">
      <c r="A134" s="181"/>
      <c r="B134" s="176"/>
      <c r="C134" s="177"/>
      <c r="D134" s="178"/>
      <c r="E134" s="178"/>
      <c r="F134" s="178"/>
      <c r="G134" s="178"/>
      <c r="H134" s="179"/>
      <c r="I134" s="179"/>
      <c r="J134" s="180"/>
      <c r="K134" s="174" t="b">
        <f>IFERROR(__xludf.DUMMYFUNCTION("""COMPUTED_VALUE"""),FALSE)</f>
        <v>0</v>
      </c>
      <c r="L134" s="174"/>
      <c r="M134" s="174"/>
      <c r="N134" s="174"/>
      <c r="O134" s="174"/>
      <c r="P134" s="174"/>
      <c r="Q134" s="174"/>
      <c r="R134" s="174"/>
      <c r="S134" s="174"/>
      <c r="T134" s="174"/>
      <c r="U134" s="174"/>
      <c r="V134" s="174"/>
      <c r="W134" s="174"/>
      <c r="X134" s="174"/>
      <c r="Y134" s="174"/>
      <c r="Z134" s="174"/>
    </row>
    <row r="135">
      <c r="A135" s="181"/>
      <c r="B135" s="176"/>
      <c r="C135" s="177"/>
      <c r="D135" s="178"/>
      <c r="E135" s="178"/>
      <c r="F135" s="178"/>
      <c r="G135" s="178"/>
      <c r="H135" s="179"/>
      <c r="I135" s="179"/>
      <c r="J135" s="180"/>
      <c r="K135" s="174" t="b">
        <f>IFERROR(__xludf.DUMMYFUNCTION("""COMPUTED_VALUE"""),FALSE)</f>
        <v>0</v>
      </c>
      <c r="L135" s="174"/>
      <c r="M135" s="174"/>
      <c r="N135" s="174"/>
      <c r="O135" s="174"/>
      <c r="P135" s="174"/>
      <c r="Q135" s="174"/>
      <c r="R135" s="174"/>
      <c r="S135" s="174"/>
      <c r="T135" s="174"/>
      <c r="U135" s="174"/>
      <c r="V135" s="174"/>
      <c r="W135" s="174"/>
      <c r="X135" s="174"/>
      <c r="Y135" s="174"/>
      <c r="Z135" s="174"/>
    </row>
    <row r="136">
      <c r="A136" s="181"/>
      <c r="B136" s="176"/>
      <c r="C136" s="177"/>
      <c r="D136" s="178"/>
      <c r="E136" s="178"/>
      <c r="F136" s="178"/>
      <c r="G136" s="178"/>
      <c r="H136" s="179"/>
      <c r="I136" s="179"/>
      <c r="J136" s="180"/>
      <c r="K136" s="174" t="b">
        <f>IFERROR(__xludf.DUMMYFUNCTION("""COMPUTED_VALUE"""),FALSE)</f>
        <v>0</v>
      </c>
      <c r="L136" s="174"/>
      <c r="M136" s="174"/>
      <c r="N136" s="174"/>
      <c r="O136" s="174"/>
      <c r="P136" s="174"/>
      <c r="Q136" s="174"/>
      <c r="R136" s="174"/>
      <c r="S136" s="174"/>
      <c r="T136" s="174"/>
      <c r="U136" s="174"/>
      <c r="V136" s="174"/>
      <c r="W136" s="174"/>
      <c r="X136" s="174"/>
      <c r="Y136" s="174"/>
      <c r="Z136" s="174"/>
    </row>
    <row r="137">
      <c r="A137" s="181"/>
      <c r="B137" s="176"/>
      <c r="C137" s="177"/>
      <c r="D137" s="178"/>
      <c r="E137" s="178"/>
      <c r="F137" s="178"/>
      <c r="G137" s="178"/>
      <c r="H137" s="179"/>
      <c r="I137" s="179"/>
      <c r="J137" s="180"/>
      <c r="K137" s="174" t="b">
        <f>IFERROR(__xludf.DUMMYFUNCTION("""COMPUTED_VALUE"""),FALSE)</f>
        <v>0</v>
      </c>
      <c r="L137" s="174"/>
      <c r="M137" s="174"/>
      <c r="N137" s="174"/>
      <c r="O137" s="174"/>
      <c r="P137" s="174"/>
      <c r="Q137" s="174"/>
      <c r="R137" s="174"/>
      <c r="S137" s="174"/>
      <c r="T137" s="174"/>
      <c r="U137" s="174"/>
      <c r="V137" s="174"/>
      <c r="W137" s="174"/>
      <c r="X137" s="174"/>
      <c r="Y137" s="174"/>
      <c r="Z137" s="174"/>
    </row>
    <row r="138">
      <c r="A138" s="181"/>
      <c r="B138" s="176"/>
      <c r="C138" s="177"/>
      <c r="D138" s="178"/>
      <c r="E138" s="178"/>
      <c r="F138" s="178"/>
      <c r="G138" s="178"/>
      <c r="H138" s="179"/>
      <c r="I138" s="179"/>
      <c r="J138" s="180"/>
      <c r="K138" s="174" t="b">
        <f>IFERROR(__xludf.DUMMYFUNCTION("""COMPUTED_VALUE"""),FALSE)</f>
        <v>0</v>
      </c>
      <c r="L138" s="174"/>
      <c r="M138" s="174"/>
      <c r="N138" s="174"/>
      <c r="O138" s="174"/>
      <c r="P138" s="174"/>
      <c r="Q138" s="174"/>
      <c r="R138" s="174"/>
      <c r="S138" s="174"/>
      <c r="T138" s="174"/>
      <c r="U138" s="174"/>
      <c r="V138" s="174"/>
      <c r="W138" s="174"/>
      <c r="X138" s="174"/>
      <c r="Y138" s="174"/>
      <c r="Z138" s="174"/>
    </row>
    <row r="139">
      <c r="A139" s="181"/>
      <c r="B139" s="176"/>
      <c r="C139" s="177"/>
      <c r="D139" s="178"/>
      <c r="E139" s="178"/>
      <c r="F139" s="178"/>
      <c r="G139" s="178"/>
      <c r="H139" s="179"/>
      <c r="I139" s="179"/>
      <c r="J139" s="180"/>
      <c r="K139" s="174" t="b">
        <f>IFERROR(__xludf.DUMMYFUNCTION("""COMPUTED_VALUE"""),FALSE)</f>
        <v>0</v>
      </c>
      <c r="L139" s="174"/>
      <c r="M139" s="174"/>
      <c r="N139" s="174"/>
      <c r="O139" s="174"/>
      <c r="P139" s="174"/>
      <c r="Q139" s="174"/>
      <c r="R139" s="174"/>
      <c r="S139" s="174"/>
      <c r="T139" s="174"/>
      <c r="U139" s="174"/>
      <c r="V139" s="174"/>
      <c r="W139" s="174"/>
      <c r="X139" s="174"/>
      <c r="Y139" s="174"/>
      <c r="Z139" s="174"/>
    </row>
    <row r="140">
      <c r="A140" s="181"/>
      <c r="B140" s="176"/>
      <c r="C140" s="177"/>
      <c r="D140" s="178"/>
      <c r="E140" s="178"/>
      <c r="F140" s="178"/>
      <c r="G140" s="178"/>
      <c r="H140" s="179"/>
      <c r="I140" s="179"/>
      <c r="J140" s="180"/>
      <c r="K140" s="174" t="b">
        <f>IFERROR(__xludf.DUMMYFUNCTION("""COMPUTED_VALUE"""),FALSE)</f>
        <v>0</v>
      </c>
      <c r="L140" s="174"/>
      <c r="M140" s="174"/>
      <c r="N140" s="174"/>
      <c r="O140" s="174"/>
      <c r="P140" s="174"/>
      <c r="Q140" s="174"/>
      <c r="R140" s="174"/>
      <c r="S140" s="174"/>
      <c r="T140" s="174"/>
      <c r="U140" s="174"/>
      <c r="V140" s="174"/>
      <c r="W140" s="174"/>
      <c r="X140" s="174"/>
      <c r="Y140" s="174"/>
      <c r="Z140" s="174"/>
    </row>
    <row r="141">
      <c r="A141" s="181"/>
      <c r="B141" s="176"/>
      <c r="C141" s="177"/>
      <c r="D141" s="178"/>
      <c r="E141" s="178"/>
      <c r="F141" s="178"/>
      <c r="G141" s="178"/>
      <c r="H141" s="179"/>
      <c r="I141" s="179"/>
      <c r="J141" s="180"/>
      <c r="K141" s="174" t="b">
        <f>IFERROR(__xludf.DUMMYFUNCTION("""COMPUTED_VALUE"""),FALSE)</f>
        <v>0</v>
      </c>
      <c r="L141" s="174"/>
      <c r="M141" s="174"/>
      <c r="N141" s="174"/>
      <c r="O141" s="174"/>
      <c r="P141" s="174"/>
      <c r="Q141" s="174"/>
      <c r="R141" s="174"/>
      <c r="S141" s="174"/>
      <c r="T141" s="174"/>
      <c r="U141" s="174"/>
      <c r="V141" s="174"/>
      <c r="W141" s="174"/>
      <c r="X141" s="174"/>
      <c r="Y141" s="174"/>
      <c r="Z141" s="174"/>
    </row>
    <row r="142">
      <c r="A142" s="181"/>
      <c r="B142" s="176"/>
      <c r="C142" s="177"/>
      <c r="D142" s="178"/>
      <c r="E142" s="178"/>
      <c r="F142" s="178"/>
      <c r="G142" s="178"/>
      <c r="H142" s="179"/>
      <c r="I142" s="179"/>
      <c r="J142" s="180"/>
      <c r="K142" s="174" t="b">
        <f>IFERROR(__xludf.DUMMYFUNCTION("""COMPUTED_VALUE"""),FALSE)</f>
        <v>0</v>
      </c>
      <c r="L142" s="174"/>
      <c r="M142" s="174"/>
      <c r="N142" s="174"/>
      <c r="O142" s="174"/>
      <c r="P142" s="174"/>
      <c r="Q142" s="174"/>
      <c r="R142" s="174"/>
      <c r="S142" s="174"/>
      <c r="T142" s="174"/>
      <c r="U142" s="174"/>
      <c r="V142" s="174"/>
      <c r="W142" s="174"/>
      <c r="X142" s="174"/>
      <c r="Y142" s="174"/>
      <c r="Z142" s="174"/>
    </row>
    <row r="143">
      <c r="A143" s="181"/>
      <c r="B143" s="176"/>
      <c r="C143" s="177"/>
      <c r="D143" s="178"/>
      <c r="E143" s="178"/>
      <c r="F143" s="178"/>
      <c r="G143" s="178"/>
      <c r="H143" s="179"/>
      <c r="I143" s="179"/>
      <c r="J143" s="180"/>
      <c r="K143" s="174" t="b">
        <f>IFERROR(__xludf.DUMMYFUNCTION("""COMPUTED_VALUE"""),FALSE)</f>
        <v>0</v>
      </c>
      <c r="L143" s="174"/>
      <c r="M143" s="174"/>
      <c r="N143" s="174"/>
      <c r="O143" s="174"/>
      <c r="P143" s="174"/>
      <c r="Q143" s="174"/>
      <c r="R143" s="174"/>
      <c r="S143" s="174"/>
      <c r="T143" s="174"/>
      <c r="U143" s="174"/>
      <c r="V143" s="174"/>
      <c r="W143" s="174"/>
      <c r="X143" s="174"/>
      <c r="Y143" s="174"/>
      <c r="Z143" s="174"/>
    </row>
    <row r="144">
      <c r="A144" s="181"/>
      <c r="B144" s="176"/>
      <c r="C144" s="177"/>
      <c r="D144" s="178"/>
      <c r="E144" s="178"/>
      <c r="F144" s="178"/>
      <c r="G144" s="178"/>
      <c r="H144" s="179"/>
      <c r="I144" s="179"/>
      <c r="J144" s="180"/>
      <c r="K144" s="174" t="b">
        <f>IFERROR(__xludf.DUMMYFUNCTION("""COMPUTED_VALUE"""),FALSE)</f>
        <v>0</v>
      </c>
      <c r="L144" s="174"/>
      <c r="M144" s="174"/>
      <c r="N144" s="174"/>
      <c r="O144" s="174"/>
      <c r="P144" s="174"/>
      <c r="Q144" s="174"/>
      <c r="R144" s="174"/>
      <c r="S144" s="174"/>
      <c r="T144" s="174"/>
      <c r="U144" s="174"/>
      <c r="V144" s="174"/>
      <c r="W144" s="174"/>
      <c r="X144" s="174"/>
      <c r="Y144" s="174"/>
      <c r="Z144" s="174"/>
    </row>
    <row r="145">
      <c r="A145" s="181"/>
      <c r="B145" s="176"/>
      <c r="C145" s="177"/>
      <c r="D145" s="178"/>
      <c r="E145" s="178"/>
      <c r="F145" s="178"/>
      <c r="G145" s="178"/>
      <c r="H145" s="179"/>
      <c r="I145" s="179"/>
      <c r="J145" s="180"/>
      <c r="K145" s="174" t="b">
        <f>IFERROR(__xludf.DUMMYFUNCTION("""COMPUTED_VALUE"""),FALSE)</f>
        <v>0</v>
      </c>
      <c r="L145" s="174"/>
      <c r="M145" s="174"/>
      <c r="N145" s="174"/>
      <c r="O145" s="174"/>
      <c r="P145" s="174"/>
      <c r="Q145" s="174"/>
      <c r="R145" s="174"/>
      <c r="S145" s="174"/>
      <c r="T145" s="174"/>
      <c r="U145" s="174"/>
      <c r="V145" s="174"/>
      <c r="W145" s="174"/>
      <c r="X145" s="174"/>
      <c r="Y145" s="174"/>
      <c r="Z145" s="174"/>
    </row>
    <row r="146">
      <c r="A146" s="181"/>
      <c r="B146" s="176"/>
      <c r="C146" s="177"/>
      <c r="D146" s="178"/>
      <c r="E146" s="178"/>
      <c r="F146" s="178"/>
      <c r="G146" s="178"/>
      <c r="H146" s="179"/>
      <c r="I146" s="179"/>
      <c r="J146" s="180"/>
      <c r="K146" s="174" t="b">
        <f>IFERROR(__xludf.DUMMYFUNCTION("""COMPUTED_VALUE"""),FALSE)</f>
        <v>0</v>
      </c>
      <c r="L146" s="174"/>
      <c r="M146" s="174"/>
      <c r="N146" s="174"/>
      <c r="O146" s="174"/>
      <c r="P146" s="174"/>
      <c r="Q146" s="174"/>
      <c r="R146" s="174"/>
      <c r="S146" s="174"/>
      <c r="T146" s="174"/>
      <c r="U146" s="174"/>
      <c r="V146" s="174"/>
      <c r="W146" s="174"/>
      <c r="X146" s="174"/>
      <c r="Y146" s="174"/>
      <c r="Z146" s="174"/>
    </row>
    <row r="147">
      <c r="A147" s="181"/>
      <c r="B147" s="176"/>
      <c r="C147" s="177"/>
      <c r="D147" s="178"/>
      <c r="E147" s="178"/>
      <c r="F147" s="178"/>
      <c r="G147" s="178"/>
      <c r="H147" s="179"/>
      <c r="I147" s="179"/>
      <c r="J147" s="180"/>
      <c r="K147" s="174" t="b">
        <f>IFERROR(__xludf.DUMMYFUNCTION("""COMPUTED_VALUE"""),FALSE)</f>
        <v>0</v>
      </c>
      <c r="L147" s="174"/>
      <c r="M147" s="174"/>
      <c r="N147" s="174"/>
      <c r="O147" s="174"/>
      <c r="P147" s="174"/>
      <c r="Q147" s="174"/>
      <c r="R147" s="174"/>
      <c r="S147" s="174"/>
      <c r="T147" s="174"/>
      <c r="U147" s="174"/>
      <c r="V147" s="174"/>
      <c r="W147" s="174"/>
      <c r="X147" s="174"/>
      <c r="Y147" s="174"/>
      <c r="Z147" s="174"/>
    </row>
    <row r="148">
      <c r="A148" s="181"/>
      <c r="B148" s="176"/>
      <c r="C148" s="177"/>
      <c r="D148" s="178"/>
      <c r="E148" s="178"/>
      <c r="F148" s="178"/>
      <c r="G148" s="178"/>
      <c r="H148" s="179"/>
      <c r="I148" s="179"/>
      <c r="J148" s="180"/>
      <c r="K148" s="174" t="b">
        <f>IFERROR(__xludf.DUMMYFUNCTION("""COMPUTED_VALUE"""),FALSE)</f>
        <v>0</v>
      </c>
      <c r="L148" s="174"/>
      <c r="M148" s="174"/>
      <c r="N148" s="174"/>
      <c r="O148" s="174"/>
      <c r="P148" s="174"/>
      <c r="Q148" s="174"/>
      <c r="R148" s="174"/>
      <c r="S148" s="174"/>
      <c r="T148" s="174"/>
      <c r="U148" s="174"/>
      <c r="V148" s="174"/>
      <c r="W148" s="174"/>
      <c r="X148" s="174"/>
      <c r="Y148" s="174"/>
      <c r="Z148" s="174"/>
    </row>
    <row r="149">
      <c r="A149" s="181"/>
      <c r="B149" s="176"/>
      <c r="C149" s="177"/>
      <c r="D149" s="178"/>
      <c r="E149" s="178"/>
      <c r="F149" s="178"/>
      <c r="G149" s="178"/>
      <c r="H149" s="179"/>
      <c r="I149" s="179"/>
      <c r="J149" s="180"/>
      <c r="K149" s="174" t="b">
        <f>IFERROR(__xludf.DUMMYFUNCTION("""COMPUTED_VALUE"""),FALSE)</f>
        <v>0</v>
      </c>
      <c r="L149" s="174"/>
      <c r="M149" s="174"/>
      <c r="N149" s="174"/>
      <c r="O149" s="174"/>
      <c r="P149" s="174"/>
      <c r="Q149" s="174"/>
      <c r="R149" s="174"/>
      <c r="S149" s="174"/>
      <c r="T149" s="174"/>
      <c r="U149" s="174"/>
      <c r="V149" s="174"/>
      <c r="W149" s="174"/>
      <c r="X149" s="174"/>
      <c r="Y149" s="174"/>
      <c r="Z149" s="174"/>
    </row>
    <row r="150">
      <c r="A150" s="181"/>
      <c r="B150" s="176"/>
      <c r="C150" s="177"/>
      <c r="D150" s="178"/>
      <c r="E150" s="178"/>
      <c r="F150" s="178"/>
      <c r="G150" s="178"/>
      <c r="H150" s="179"/>
      <c r="I150" s="179"/>
      <c r="J150" s="180"/>
      <c r="K150" s="174" t="b">
        <f>IFERROR(__xludf.DUMMYFUNCTION("""COMPUTED_VALUE"""),FALSE)</f>
        <v>0</v>
      </c>
      <c r="L150" s="174"/>
      <c r="M150" s="174"/>
      <c r="N150" s="174"/>
      <c r="O150" s="174"/>
      <c r="P150" s="174"/>
      <c r="Q150" s="174"/>
      <c r="R150" s="174"/>
      <c r="S150" s="174"/>
      <c r="T150" s="174"/>
      <c r="U150" s="174"/>
      <c r="V150" s="174"/>
      <c r="W150" s="174"/>
      <c r="X150" s="174"/>
      <c r="Y150" s="174"/>
      <c r="Z150" s="174"/>
    </row>
    <row r="151">
      <c r="A151" s="181"/>
      <c r="B151" s="176"/>
      <c r="C151" s="177"/>
      <c r="D151" s="178"/>
      <c r="E151" s="178"/>
      <c r="F151" s="178"/>
      <c r="G151" s="178"/>
      <c r="H151" s="179"/>
      <c r="I151" s="179"/>
      <c r="J151" s="180"/>
      <c r="K151" s="174" t="b">
        <f>IFERROR(__xludf.DUMMYFUNCTION("""COMPUTED_VALUE"""),FALSE)</f>
        <v>0</v>
      </c>
      <c r="L151" s="174"/>
      <c r="M151" s="174"/>
      <c r="N151" s="174"/>
      <c r="O151" s="174"/>
      <c r="P151" s="174"/>
      <c r="Q151" s="174"/>
      <c r="R151" s="174"/>
      <c r="S151" s="174"/>
      <c r="T151" s="174"/>
      <c r="U151" s="174"/>
      <c r="V151" s="174"/>
      <c r="W151" s="174"/>
      <c r="X151" s="174"/>
      <c r="Y151" s="174"/>
      <c r="Z151" s="174"/>
    </row>
    <row r="152">
      <c r="A152" s="181"/>
      <c r="B152" s="176"/>
      <c r="C152" s="177"/>
      <c r="D152" s="178"/>
      <c r="E152" s="178"/>
      <c r="F152" s="178"/>
      <c r="G152" s="178"/>
      <c r="H152" s="179"/>
      <c r="I152" s="179"/>
      <c r="J152" s="180"/>
      <c r="K152" s="174" t="b">
        <f>IFERROR(__xludf.DUMMYFUNCTION("""COMPUTED_VALUE"""),FALSE)</f>
        <v>0</v>
      </c>
      <c r="L152" s="174"/>
      <c r="M152" s="174"/>
      <c r="N152" s="174"/>
      <c r="O152" s="174"/>
      <c r="P152" s="174"/>
      <c r="Q152" s="174"/>
      <c r="R152" s="174"/>
      <c r="S152" s="174"/>
      <c r="T152" s="174"/>
      <c r="U152" s="174"/>
      <c r="V152" s="174"/>
      <c r="W152" s="174"/>
      <c r="X152" s="174"/>
      <c r="Y152" s="174"/>
      <c r="Z152" s="174"/>
    </row>
    <row r="153">
      <c r="A153" s="181"/>
      <c r="B153" s="176"/>
      <c r="C153" s="177"/>
      <c r="D153" s="178"/>
      <c r="E153" s="178"/>
      <c r="F153" s="178"/>
      <c r="G153" s="178"/>
      <c r="H153" s="179"/>
      <c r="I153" s="179"/>
      <c r="J153" s="180"/>
      <c r="K153" s="174" t="b">
        <f>IFERROR(__xludf.DUMMYFUNCTION("""COMPUTED_VALUE"""),FALSE)</f>
        <v>0</v>
      </c>
      <c r="L153" s="174"/>
      <c r="M153" s="174"/>
      <c r="N153" s="174"/>
      <c r="O153" s="174"/>
      <c r="P153" s="174"/>
      <c r="Q153" s="174"/>
      <c r="R153" s="174"/>
      <c r="S153" s="174"/>
      <c r="T153" s="174"/>
      <c r="U153" s="174"/>
      <c r="V153" s="174"/>
      <c r="W153" s="174"/>
      <c r="X153" s="174"/>
      <c r="Y153" s="174"/>
      <c r="Z153" s="174"/>
    </row>
    <row r="154">
      <c r="A154" s="181"/>
      <c r="B154" s="176"/>
      <c r="C154" s="177"/>
      <c r="D154" s="178"/>
      <c r="E154" s="178"/>
      <c r="F154" s="178"/>
      <c r="G154" s="178"/>
      <c r="H154" s="179"/>
      <c r="I154" s="179"/>
      <c r="J154" s="180"/>
      <c r="K154" s="174" t="b">
        <f>IFERROR(__xludf.DUMMYFUNCTION("""COMPUTED_VALUE"""),FALSE)</f>
        <v>0</v>
      </c>
      <c r="L154" s="174"/>
      <c r="M154" s="174"/>
      <c r="N154" s="174"/>
      <c r="O154" s="174"/>
      <c r="P154" s="174"/>
      <c r="Q154" s="174"/>
      <c r="R154" s="174"/>
      <c r="S154" s="174"/>
      <c r="T154" s="174"/>
      <c r="U154" s="174"/>
      <c r="V154" s="174"/>
      <c r="W154" s="174"/>
      <c r="X154" s="174"/>
      <c r="Y154" s="174"/>
      <c r="Z154" s="174"/>
    </row>
    <row r="155">
      <c r="A155" s="181"/>
      <c r="B155" s="176"/>
      <c r="C155" s="177"/>
      <c r="D155" s="178"/>
      <c r="E155" s="178"/>
      <c r="F155" s="178"/>
      <c r="G155" s="178"/>
      <c r="H155" s="179"/>
      <c r="I155" s="179"/>
      <c r="J155" s="180"/>
      <c r="K155" s="174" t="b">
        <f>IFERROR(__xludf.DUMMYFUNCTION("""COMPUTED_VALUE"""),FALSE)</f>
        <v>0</v>
      </c>
      <c r="L155" s="174"/>
      <c r="M155" s="174"/>
      <c r="N155" s="174"/>
      <c r="O155" s="174"/>
      <c r="P155" s="174"/>
      <c r="Q155" s="174"/>
      <c r="R155" s="174"/>
      <c r="S155" s="174"/>
      <c r="T155" s="174"/>
      <c r="U155" s="174"/>
      <c r="V155" s="174"/>
      <c r="W155" s="174"/>
      <c r="X155" s="174"/>
      <c r="Y155" s="174"/>
      <c r="Z155" s="174"/>
    </row>
    <row r="156">
      <c r="A156" s="181"/>
      <c r="B156" s="176"/>
      <c r="C156" s="177"/>
      <c r="D156" s="178"/>
      <c r="E156" s="178"/>
      <c r="F156" s="178"/>
      <c r="G156" s="178"/>
      <c r="H156" s="179"/>
      <c r="I156" s="179"/>
      <c r="J156" s="180"/>
      <c r="K156" s="174" t="b">
        <f>IFERROR(__xludf.DUMMYFUNCTION("""COMPUTED_VALUE"""),FALSE)</f>
        <v>0</v>
      </c>
      <c r="L156" s="174"/>
      <c r="M156" s="174"/>
      <c r="N156" s="174"/>
      <c r="O156" s="174"/>
      <c r="P156" s="174"/>
      <c r="Q156" s="174"/>
      <c r="R156" s="174"/>
      <c r="S156" s="174"/>
      <c r="T156" s="174"/>
      <c r="U156" s="174"/>
      <c r="V156" s="174"/>
      <c r="W156" s="174"/>
      <c r="X156" s="174"/>
      <c r="Y156" s="174"/>
      <c r="Z156" s="174"/>
    </row>
    <row r="157">
      <c r="A157" s="181"/>
      <c r="B157" s="176"/>
      <c r="C157" s="177"/>
      <c r="D157" s="178"/>
      <c r="E157" s="178"/>
      <c r="F157" s="178"/>
      <c r="G157" s="178"/>
      <c r="H157" s="179"/>
      <c r="I157" s="179"/>
      <c r="J157" s="180"/>
      <c r="K157" s="174" t="b">
        <f>IFERROR(__xludf.DUMMYFUNCTION("""COMPUTED_VALUE"""),FALSE)</f>
        <v>0</v>
      </c>
      <c r="L157" s="174"/>
      <c r="M157" s="174"/>
      <c r="N157" s="174"/>
      <c r="O157" s="174"/>
      <c r="P157" s="174"/>
      <c r="Q157" s="174"/>
      <c r="R157" s="174"/>
      <c r="S157" s="174"/>
      <c r="T157" s="174"/>
      <c r="U157" s="174"/>
      <c r="V157" s="174"/>
      <c r="W157" s="174"/>
      <c r="X157" s="174"/>
      <c r="Y157" s="174"/>
      <c r="Z157" s="174"/>
    </row>
    <row r="158">
      <c r="A158" s="181"/>
      <c r="B158" s="176"/>
      <c r="C158" s="177"/>
      <c r="D158" s="178"/>
      <c r="E158" s="178"/>
      <c r="F158" s="178"/>
      <c r="G158" s="178"/>
      <c r="H158" s="179"/>
      <c r="I158" s="179"/>
      <c r="J158" s="180"/>
      <c r="K158" s="174" t="b">
        <f>IFERROR(__xludf.DUMMYFUNCTION("""COMPUTED_VALUE"""),FALSE)</f>
        <v>0</v>
      </c>
      <c r="L158" s="174"/>
      <c r="M158" s="174"/>
      <c r="N158" s="174"/>
      <c r="O158" s="174"/>
      <c r="P158" s="174"/>
      <c r="Q158" s="174"/>
      <c r="R158" s="174"/>
      <c r="S158" s="174"/>
      <c r="T158" s="174"/>
      <c r="U158" s="174"/>
      <c r="V158" s="174"/>
      <c r="W158" s="174"/>
      <c r="X158" s="174"/>
      <c r="Y158" s="174"/>
      <c r="Z158" s="174"/>
    </row>
    <row r="159">
      <c r="A159" s="181"/>
      <c r="B159" s="176"/>
      <c r="C159" s="177"/>
      <c r="D159" s="178"/>
      <c r="E159" s="178"/>
      <c r="F159" s="178"/>
      <c r="G159" s="178"/>
      <c r="H159" s="179"/>
      <c r="I159" s="179"/>
      <c r="J159" s="180"/>
      <c r="K159" s="174" t="b">
        <f>IFERROR(__xludf.DUMMYFUNCTION("""COMPUTED_VALUE"""),FALSE)</f>
        <v>0</v>
      </c>
      <c r="L159" s="174"/>
      <c r="M159" s="174"/>
      <c r="N159" s="174"/>
      <c r="O159" s="174"/>
      <c r="P159" s="174"/>
      <c r="Q159" s="174"/>
      <c r="R159" s="174"/>
      <c r="S159" s="174"/>
      <c r="T159" s="174"/>
      <c r="U159" s="174"/>
      <c r="V159" s="174"/>
      <c r="W159" s="174"/>
      <c r="X159" s="174"/>
      <c r="Y159" s="174"/>
      <c r="Z159" s="174"/>
    </row>
    <row r="160">
      <c r="A160" s="181"/>
      <c r="B160" s="176"/>
      <c r="C160" s="177"/>
      <c r="D160" s="178"/>
      <c r="E160" s="178"/>
      <c r="F160" s="178"/>
      <c r="G160" s="178"/>
      <c r="H160" s="179"/>
      <c r="I160" s="179"/>
      <c r="J160" s="180"/>
      <c r="K160" s="174" t="b">
        <f>IFERROR(__xludf.DUMMYFUNCTION("""COMPUTED_VALUE"""),FALSE)</f>
        <v>0</v>
      </c>
      <c r="L160" s="174"/>
      <c r="M160" s="174"/>
      <c r="N160" s="174"/>
      <c r="O160" s="174"/>
      <c r="P160" s="174"/>
      <c r="Q160" s="174"/>
      <c r="R160" s="174"/>
      <c r="S160" s="174"/>
      <c r="T160" s="174"/>
      <c r="U160" s="174"/>
      <c r="V160" s="174"/>
      <c r="W160" s="174"/>
      <c r="X160" s="174"/>
      <c r="Y160" s="174"/>
      <c r="Z160" s="174"/>
    </row>
    <row r="161">
      <c r="A161" s="181"/>
      <c r="B161" s="176"/>
      <c r="C161" s="177"/>
      <c r="D161" s="178"/>
      <c r="E161" s="178"/>
      <c r="F161" s="178"/>
      <c r="G161" s="178"/>
      <c r="H161" s="179"/>
      <c r="I161" s="179"/>
      <c r="J161" s="180"/>
      <c r="K161" s="174" t="b">
        <f>IFERROR(__xludf.DUMMYFUNCTION("""COMPUTED_VALUE"""),FALSE)</f>
        <v>0</v>
      </c>
      <c r="L161" s="174"/>
      <c r="M161" s="174"/>
      <c r="N161" s="174"/>
      <c r="O161" s="174"/>
      <c r="P161" s="174"/>
      <c r="Q161" s="174"/>
      <c r="R161" s="174"/>
      <c r="S161" s="174"/>
      <c r="T161" s="174"/>
      <c r="U161" s="174"/>
      <c r="V161" s="174"/>
      <c r="W161" s="174"/>
      <c r="X161" s="174"/>
      <c r="Y161" s="174"/>
      <c r="Z161" s="174"/>
    </row>
    <row r="162">
      <c r="A162" s="181"/>
      <c r="B162" s="176"/>
      <c r="C162" s="177"/>
      <c r="D162" s="178"/>
      <c r="E162" s="178"/>
      <c r="F162" s="178"/>
      <c r="G162" s="178"/>
      <c r="H162" s="179"/>
      <c r="I162" s="179"/>
      <c r="J162" s="180"/>
      <c r="K162" s="174" t="b">
        <f>IFERROR(__xludf.DUMMYFUNCTION("""COMPUTED_VALUE"""),FALSE)</f>
        <v>0</v>
      </c>
      <c r="L162" s="174"/>
      <c r="M162" s="174"/>
      <c r="N162" s="174"/>
      <c r="O162" s="174"/>
      <c r="P162" s="174"/>
      <c r="Q162" s="174"/>
      <c r="R162" s="174"/>
      <c r="S162" s="174"/>
      <c r="T162" s="174"/>
      <c r="U162" s="174"/>
      <c r="V162" s="174"/>
      <c r="W162" s="174"/>
      <c r="X162" s="174"/>
      <c r="Y162" s="174"/>
      <c r="Z162" s="174"/>
    </row>
    <row r="163">
      <c r="A163" s="181"/>
      <c r="B163" s="176"/>
      <c r="C163" s="177"/>
      <c r="D163" s="178"/>
      <c r="E163" s="178"/>
      <c r="F163" s="178"/>
      <c r="G163" s="178"/>
      <c r="H163" s="179"/>
      <c r="I163" s="179"/>
      <c r="J163" s="180"/>
      <c r="K163" s="174" t="b">
        <f>IFERROR(__xludf.DUMMYFUNCTION("""COMPUTED_VALUE"""),FALSE)</f>
        <v>0</v>
      </c>
      <c r="L163" s="174"/>
      <c r="M163" s="174"/>
      <c r="N163" s="174"/>
      <c r="O163" s="174"/>
      <c r="P163" s="174"/>
      <c r="Q163" s="174"/>
      <c r="R163" s="174"/>
      <c r="S163" s="174"/>
      <c r="T163" s="174"/>
      <c r="U163" s="174"/>
      <c r="V163" s="174"/>
      <c r="W163" s="174"/>
      <c r="X163" s="174"/>
      <c r="Y163" s="174"/>
      <c r="Z163" s="174"/>
    </row>
    <row r="164">
      <c r="A164" s="181"/>
      <c r="B164" s="176"/>
      <c r="C164" s="177"/>
      <c r="D164" s="178"/>
      <c r="E164" s="178"/>
      <c r="F164" s="178"/>
      <c r="G164" s="178"/>
      <c r="H164" s="179"/>
      <c r="I164" s="179"/>
      <c r="J164" s="180"/>
      <c r="K164" s="174" t="b">
        <f>IFERROR(__xludf.DUMMYFUNCTION("""COMPUTED_VALUE"""),FALSE)</f>
        <v>0</v>
      </c>
      <c r="L164" s="174"/>
      <c r="M164" s="174"/>
      <c r="N164" s="174"/>
      <c r="O164" s="174"/>
      <c r="P164" s="174"/>
      <c r="Q164" s="174"/>
      <c r="R164" s="174"/>
      <c r="S164" s="174"/>
      <c r="T164" s="174"/>
      <c r="U164" s="174"/>
      <c r="V164" s="174"/>
      <c r="W164" s="174"/>
      <c r="X164" s="174"/>
      <c r="Y164" s="174"/>
      <c r="Z164" s="174"/>
    </row>
    <row r="165">
      <c r="A165" s="181"/>
      <c r="B165" s="176"/>
      <c r="C165" s="177"/>
      <c r="D165" s="178"/>
      <c r="E165" s="178"/>
      <c r="F165" s="178"/>
      <c r="G165" s="178"/>
      <c r="H165" s="179"/>
      <c r="I165" s="179"/>
      <c r="J165" s="180"/>
      <c r="K165" s="174" t="b">
        <f>IFERROR(__xludf.DUMMYFUNCTION("""COMPUTED_VALUE"""),FALSE)</f>
        <v>0</v>
      </c>
      <c r="L165" s="174"/>
      <c r="M165" s="174"/>
      <c r="N165" s="174"/>
      <c r="O165" s="174"/>
      <c r="P165" s="174"/>
      <c r="Q165" s="174"/>
      <c r="R165" s="174"/>
      <c r="S165" s="174"/>
      <c r="T165" s="174"/>
      <c r="U165" s="174"/>
      <c r="V165" s="174"/>
      <c r="W165" s="174"/>
      <c r="X165" s="174"/>
      <c r="Y165" s="174"/>
      <c r="Z165" s="174"/>
    </row>
    <row r="166">
      <c r="A166" s="181"/>
      <c r="B166" s="176"/>
      <c r="C166" s="177"/>
      <c r="D166" s="178"/>
      <c r="E166" s="178"/>
      <c r="F166" s="178"/>
      <c r="G166" s="178"/>
      <c r="H166" s="179"/>
      <c r="I166" s="179"/>
      <c r="J166" s="180"/>
      <c r="K166" s="174" t="b">
        <f>IFERROR(__xludf.DUMMYFUNCTION("""COMPUTED_VALUE"""),FALSE)</f>
        <v>0</v>
      </c>
      <c r="L166" s="174"/>
      <c r="M166" s="174"/>
      <c r="N166" s="174"/>
      <c r="O166" s="174"/>
      <c r="P166" s="174"/>
      <c r="Q166" s="174"/>
      <c r="R166" s="174"/>
      <c r="S166" s="174"/>
      <c r="T166" s="174"/>
      <c r="U166" s="174"/>
      <c r="V166" s="174"/>
      <c r="W166" s="174"/>
      <c r="X166" s="174"/>
      <c r="Y166" s="174"/>
      <c r="Z166" s="174"/>
    </row>
    <row r="167">
      <c r="A167" s="181"/>
      <c r="B167" s="176"/>
      <c r="C167" s="177"/>
      <c r="D167" s="178"/>
      <c r="E167" s="178"/>
      <c r="F167" s="178"/>
      <c r="G167" s="178"/>
      <c r="H167" s="179"/>
      <c r="I167" s="179"/>
      <c r="J167" s="180"/>
      <c r="K167" s="174" t="b">
        <f>IFERROR(__xludf.DUMMYFUNCTION("""COMPUTED_VALUE"""),FALSE)</f>
        <v>0</v>
      </c>
      <c r="L167" s="174"/>
      <c r="M167" s="174"/>
      <c r="N167" s="174"/>
      <c r="O167" s="174"/>
      <c r="P167" s="174"/>
      <c r="Q167" s="174"/>
      <c r="R167" s="174"/>
      <c r="S167" s="174"/>
      <c r="T167" s="174"/>
      <c r="U167" s="174"/>
      <c r="V167" s="174"/>
      <c r="W167" s="174"/>
      <c r="X167" s="174"/>
      <c r="Y167" s="174"/>
      <c r="Z167" s="174"/>
    </row>
    <row r="168">
      <c r="A168" s="181"/>
      <c r="B168" s="176"/>
      <c r="C168" s="177"/>
      <c r="D168" s="178"/>
      <c r="E168" s="178"/>
      <c r="F168" s="178"/>
      <c r="G168" s="178"/>
      <c r="H168" s="179"/>
      <c r="I168" s="179"/>
      <c r="J168" s="180"/>
      <c r="K168" s="174" t="b">
        <f>IFERROR(__xludf.DUMMYFUNCTION("""COMPUTED_VALUE"""),FALSE)</f>
        <v>0</v>
      </c>
      <c r="L168" s="174"/>
      <c r="M168" s="174"/>
      <c r="N168" s="174"/>
      <c r="O168" s="174"/>
      <c r="P168" s="174"/>
      <c r="Q168" s="174"/>
      <c r="R168" s="174"/>
      <c r="S168" s="174"/>
      <c r="T168" s="174"/>
      <c r="U168" s="174"/>
      <c r="V168" s="174"/>
      <c r="W168" s="174"/>
      <c r="X168" s="174"/>
      <c r="Y168" s="174"/>
      <c r="Z168" s="174"/>
    </row>
    <row r="169">
      <c r="A169" s="181"/>
      <c r="B169" s="176"/>
      <c r="C169" s="177"/>
      <c r="D169" s="178"/>
      <c r="E169" s="178"/>
      <c r="F169" s="178"/>
      <c r="G169" s="178"/>
      <c r="H169" s="179"/>
      <c r="I169" s="179"/>
      <c r="J169" s="180"/>
      <c r="K169" s="174" t="b">
        <f>IFERROR(__xludf.DUMMYFUNCTION("""COMPUTED_VALUE"""),FALSE)</f>
        <v>0</v>
      </c>
      <c r="L169" s="174"/>
      <c r="M169" s="174"/>
      <c r="N169" s="174"/>
      <c r="O169" s="174"/>
      <c r="P169" s="174"/>
      <c r="Q169" s="174"/>
      <c r="R169" s="174"/>
      <c r="S169" s="174"/>
      <c r="T169" s="174"/>
      <c r="U169" s="174"/>
      <c r="V169" s="174"/>
      <c r="W169" s="174"/>
      <c r="X169" s="174"/>
      <c r="Y169" s="174"/>
      <c r="Z169" s="174"/>
    </row>
    <row r="170">
      <c r="A170" s="181"/>
      <c r="B170" s="176"/>
      <c r="C170" s="177"/>
      <c r="D170" s="178"/>
      <c r="E170" s="178"/>
      <c r="F170" s="178"/>
      <c r="G170" s="178"/>
      <c r="H170" s="179"/>
      <c r="I170" s="179"/>
      <c r="J170" s="180"/>
      <c r="K170" s="174" t="b">
        <f>IFERROR(__xludf.DUMMYFUNCTION("""COMPUTED_VALUE"""),FALSE)</f>
        <v>0</v>
      </c>
      <c r="L170" s="174"/>
      <c r="M170" s="174"/>
      <c r="N170" s="174"/>
      <c r="O170" s="174"/>
      <c r="P170" s="174"/>
      <c r="Q170" s="174"/>
      <c r="R170" s="174"/>
      <c r="S170" s="174"/>
      <c r="T170" s="174"/>
      <c r="U170" s="174"/>
      <c r="V170" s="174"/>
      <c r="W170" s="174"/>
      <c r="X170" s="174"/>
      <c r="Y170" s="174"/>
      <c r="Z170" s="174"/>
    </row>
    <row r="171">
      <c r="A171" s="181"/>
      <c r="B171" s="176"/>
      <c r="C171" s="177"/>
      <c r="D171" s="178"/>
      <c r="E171" s="178"/>
      <c r="F171" s="178"/>
      <c r="G171" s="178"/>
      <c r="H171" s="179"/>
      <c r="I171" s="179"/>
      <c r="J171" s="180"/>
      <c r="K171" s="174" t="b">
        <f>IFERROR(__xludf.DUMMYFUNCTION("""COMPUTED_VALUE"""),FALSE)</f>
        <v>0</v>
      </c>
      <c r="L171" s="174"/>
      <c r="M171" s="174"/>
      <c r="N171" s="174"/>
      <c r="O171" s="174"/>
      <c r="P171" s="174"/>
      <c r="Q171" s="174"/>
      <c r="R171" s="174"/>
      <c r="S171" s="174"/>
      <c r="T171" s="174"/>
      <c r="U171" s="174"/>
      <c r="V171" s="174"/>
      <c r="W171" s="174"/>
      <c r="X171" s="174"/>
      <c r="Y171" s="174"/>
      <c r="Z171" s="174"/>
    </row>
    <row r="172">
      <c r="A172" s="181"/>
      <c r="B172" s="176"/>
      <c r="C172" s="177"/>
      <c r="D172" s="178"/>
      <c r="E172" s="178"/>
      <c r="F172" s="178"/>
      <c r="G172" s="178"/>
      <c r="H172" s="179"/>
      <c r="I172" s="179"/>
      <c r="J172" s="180"/>
      <c r="K172" s="174" t="b">
        <f>IFERROR(__xludf.DUMMYFUNCTION("""COMPUTED_VALUE"""),FALSE)</f>
        <v>0</v>
      </c>
      <c r="L172" s="174"/>
      <c r="M172" s="174"/>
      <c r="N172" s="174"/>
      <c r="O172" s="174"/>
      <c r="P172" s="174"/>
      <c r="Q172" s="174"/>
      <c r="R172" s="174"/>
      <c r="S172" s="174"/>
      <c r="T172" s="174"/>
      <c r="U172" s="174"/>
      <c r="V172" s="174"/>
      <c r="W172" s="174"/>
      <c r="X172" s="174"/>
      <c r="Y172" s="174"/>
      <c r="Z172" s="174"/>
    </row>
    <row r="173">
      <c r="A173" s="181"/>
      <c r="B173" s="176"/>
      <c r="C173" s="177"/>
      <c r="D173" s="178"/>
      <c r="E173" s="178"/>
      <c r="F173" s="178"/>
      <c r="G173" s="178"/>
      <c r="H173" s="179"/>
      <c r="I173" s="179"/>
      <c r="J173" s="180"/>
      <c r="K173" s="174" t="b">
        <f>IFERROR(__xludf.DUMMYFUNCTION("""COMPUTED_VALUE"""),FALSE)</f>
        <v>0</v>
      </c>
      <c r="L173" s="174"/>
      <c r="M173" s="174"/>
      <c r="N173" s="174"/>
      <c r="O173" s="174"/>
      <c r="P173" s="174"/>
      <c r="Q173" s="174"/>
      <c r="R173" s="174"/>
      <c r="S173" s="174"/>
      <c r="T173" s="174"/>
      <c r="U173" s="174"/>
      <c r="V173" s="174"/>
      <c r="W173" s="174"/>
      <c r="X173" s="174"/>
      <c r="Y173" s="174"/>
      <c r="Z173" s="174"/>
    </row>
    <row r="174">
      <c r="A174" s="181"/>
      <c r="B174" s="176"/>
      <c r="C174" s="177"/>
      <c r="D174" s="178"/>
      <c r="E174" s="178"/>
      <c r="F174" s="178"/>
      <c r="G174" s="178"/>
      <c r="H174" s="179"/>
      <c r="I174" s="179"/>
      <c r="J174" s="180"/>
      <c r="K174" s="174" t="b">
        <f>IFERROR(__xludf.DUMMYFUNCTION("""COMPUTED_VALUE"""),FALSE)</f>
        <v>0</v>
      </c>
      <c r="L174" s="174"/>
      <c r="M174" s="174"/>
      <c r="N174" s="174"/>
      <c r="O174" s="174"/>
      <c r="P174" s="174"/>
      <c r="Q174" s="174"/>
      <c r="R174" s="174"/>
      <c r="S174" s="174"/>
      <c r="T174" s="174"/>
      <c r="U174" s="174"/>
      <c r="V174" s="174"/>
      <c r="W174" s="174"/>
      <c r="X174" s="174"/>
      <c r="Y174" s="174"/>
      <c r="Z174" s="174"/>
    </row>
    <row r="175">
      <c r="A175" s="181"/>
      <c r="B175" s="176"/>
      <c r="C175" s="177"/>
      <c r="D175" s="178"/>
      <c r="E175" s="178"/>
      <c r="F175" s="178"/>
      <c r="G175" s="178"/>
      <c r="H175" s="179"/>
      <c r="I175" s="179"/>
      <c r="J175" s="180"/>
      <c r="K175" s="174" t="b">
        <f>IFERROR(__xludf.DUMMYFUNCTION("""COMPUTED_VALUE"""),FALSE)</f>
        <v>0</v>
      </c>
      <c r="L175" s="174"/>
      <c r="M175" s="174"/>
      <c r="N175" s="174"/>
      <c r="O175" s="174"/>
      <c r="P175" s="174"/>
      <c r="Q175" s="174"/>
      <c r="R175" s="174"/>
      <c r="S175" s="174"/>
      <c r="T175" s="174"/>
      <c r="U175" s="174"/>
      <c r="V175" s="174"/>
      <c r="W175" s="174"/>
      <c r="X175" s="174"/>
      <c r="Y175" s="174"/>
      <c r="Z175" s="174"/>
    </row>
    <row r="176">
      <c r="A176" s="181"/>
      <c r="B176" s="176"/>
      <c r="C176" s="177"/>
      <c r="D176" s="178"/>
      <c r="E176" s="178"/>
      <c r="F176" s="178"/>
      <c r="G176" s="178"/>
      <c r="H176" s="179"/>
      <c r="I176" s="179"/>
      <c r="J176" s="180"/>
      <c r="K176" s="174" t="b">
        <f>IFERROR(__xludf.DUMMYFUNCTION("""COMPUTED_VALUE"""),FALSE)</f>
        <v>0</v>
      </c>
      <c r="L176" s="174"/>
      <c r="M176" s="174"/>
      <c r="N176" s="174"/>
      <c r="O176" s="174"/>
      <c r="P176" s="174"/>
      <c r="Q176" s="174"/>
      <c r="R176" s="174"/>
      <c r="S176" s="174"/>
      <c r="T176" s="174"/>
      <c r="U176" s="174"/>
      <c r="V176" s="174"/>
      <c r="W176" s="174"/>
      <c r="X176" s="174"/>
      <c r="Y176" s="174"/>
      <c r="Z176" s="174"/>
    </row>
    <row r="177">
      <c r="A177" s="181"/>
      <c r="B177" s="176"/>
      <c r="C177" s="177"/>
      <c r="D177" s="178"/>
      <c r="E177" s="178"/>
      <c r="F177" s="178"/>
      <c r="G177" s="178"/>
      <c r="H177" s="179"/>
      <c r="I177" s="179"/>
      <c r="J177" s="180"/>
      <c r="K177" s="174" t="b">
        <f>IFERROR(__xludf.DUMMYFUNCTION("""COMPUTED_VALUE"""),FALSE)</f>
        <v>0</v>
      </c>
      <c r="L177" s="174"/>
      <c r="M177" s="174"/>
      <c r="N177" s="174"/>
      <c r="O177" s="174"/>
      <c r="P177" s="174"/>
      <c r="Q177" s="174"/>
      <c r="R177" s="174"/>
      <c r="S177" s="174"/>
      <c r="T177" s="174"/>
      <c r="U177" s="174"/>
      <c r="V177" s="174"/>
      <c r="W177" s="174"/>
      <c r="X177" s="174"/>
      <c r="Y177" s="174"/>
      <c r="Z177" s="174"/>
    </row>
    <row r="178">
      <c r="A178" s="181"/>
      <c r="B178" s="176"/>
      <c r="C178" s="177"/>
      <c r="D178" s="178"/>
      <c r="E178" s="178"/>
      <c r="F178" s="178"/>
      <c r="G178" s="178"/>
      <c r="H178" s="179"/>
      <c r="I178" s="179"/>
      <c r="J178" s="180"/>
      <c r="K178" s="174" t="b">
        <f>IFERROR(__xludf.DUMMYFUNCTION("""COMPUTED_VALUE"""),FALSE)</f>
        <v>0</v>
      </c>
      <c r="L178" s="174"/>
      <c r="M178" s="174"/>
      <c r="N178" s="174"/>
      <c r="O178" s="174"/>
      <c r="P178" s="174"/>
      <c r="Q178" s="174"/>
      <c r="R178" s="174"/>
      <c r="S178" s="174"/>
      <c r="T178" s="174"/>
      <c r="U178" s="174"/>
      <c r="V178" s="174"/>
      <c r="W178" s="174"/>
      <c r="X178" s="174"/>
      <c r="Y178" s="174"/>
      <c r="Z178" s="174"/>
    </row>
    <row r="179">
      <c r="A179" s="181"/>
      <c r="B179" s="176"/>
      <c r="C179" s="177"/>
      <c r="D179" s="178"/>
      <c r="E179" s="178"/>
      <c r="F179" s="178"/>
      <c r="G179" s="178"/>
      <c r="H179" s="179"/>
      <c r="I179" s="179"/>
      <c r="J179" s="180"/>
      <c r="K179" s="174" t="b">
        <f>IFERROR(__xludf.DUMMYFUNCTION("""COMPUTED_VALUE"""),FALSE)</f>
        <v>0</v>
      </c>
      <c r="L179" s="174"/>
      <c r="M179" s="174"/>
      <c r="N179" s="174"/>
      <c r="O179" s="174"/>
      <c r="P179" s="174"/>
      <c r="Q179" s="174"/>
      <c r="R179" s="174"/>
      <c r="S179" s="174"/>
      <c r="T179" s="174"/>
      <c r="U179" s="174"/>
      <c r="V179" s="174"/>
      <c r="W179" s="174"/>
      <c r="X179" s="174"/>
      <c r="Y179" s="174"/>
      <c r="Z179" s="174"/>
    </row>
    <row r="180">
      <c r="A180" s="181"/>
      <c r="B180" s="176"/>
      <c r="C180" s="177"/>
      <c r="D180" s="178"/>
      <c r="E180" s="178"/>
      <c r="F180" s="178"/>
      <c r="G180" s="178"/>
      <c r="H180" s="179"/>
      <c r="I180" s="179"/>
      <c r="J180" s="180"/>
      <c r="K180" s="174" t="b">
        <f>IFERROR(__xludf.DUMMYFUNCTION("""COMPUTED_VALUE"""),FALSE)</f>
        <v>0</v>
      </c>
      <c r="L180" s="174"/>
      <c r="M180" s="174"/>
      <c r="N180" s="174"/>
      <c r="O180" s="174"/>
      <c r="P180" s="174"/>
      <c r="Q180" s="174"/>
      <c r="R180" s="174"/>
      <c r="S180" s="174"/>
      <c r="T180" s="174"/>
      <c r="U180" s="174"/>
      <c r="V180" s="174"/>
      <c r="W180" s="174"/>
      <c r="X180" s="174"/>
      <c r="Y180" s="174"/>
      <c r="Z180" s="174"/>
    </row>
    <row r="181">
      <c r="A181" s="181"/>
      <c r="B181" s="176"/>
      <c r="C181" s="177"/>
      <c r="D181" s="178"/>
      <c r="E181" s="178"/>
      <c r="F181" s="178"/>
      <c r="G181" s="178"/>
      <c r="H181" s="179"/>
      <c r="I181" s="179"/>
      <c r="J181" s="180"/>
      <c r="K181" s="174" t="b">
        <f>IFERROR(__xludf.DUMMYFUNCTION("""COMPUTED_VALUE"""),FALSE)</f>
        <v>0</v>
      </c>
      <c r="L181" s="174"/>
      <c r="M181" s="174"/>
      <c r="N181" s="174"/>
      <c r="O181" s="174"/>
      <c r="P181" s="174"/>
      <c r="Q181" s="174"/>
      <c r="R181" s="174"/>
      <c r="S181" s="174"/>
      <c r="T181" s="174"/>
      <c r="U181" s="174"/>
      <c r="V181" s="174"/>
      <c r="W181" s="174"/>
      <c r="X181" s="174"/>
      <c r="Y181" s="174"/>
      <c r="Z181" s="174"/>
    </row>
    <row r="182">
      <c r="A182" s="181"/>
      <c r="B182" s="176"/>
      <c r="C182" s="177"/>
      <c r="D182" s="178"/>
      <c r="E182" s="178"/>
      <c r="F182" s="178"/>
      <c r="G182" s="178"/>
      <c r="H182" s="179"/>
      <c r="I182" s="179"/>
      <c r="J182" s="180"/>
      <c r="K182" s="174" t="b">
        <f>IFERROR(__xludf.DUMMYFUNCTION("""COMPUTED_VALUE"""),FALSE)</f>
        <v>0</v>
      </c>
      <c r="L182" s="174"/>
      <c r="M182" s="174"/>
      <c r="N182" s="174"/>
      <c r="O182" s="174"/>
      <c r="P182" s="174"/>
      <c r="Q182" s="174"/>
      <c r="R182" s="174"/>
      <c r="S182" s="174"/>
      <c r="T182" s="174"/>
      <c r="U182" s="174"/>
      <c r="V182" s="174"/>
      <c r="W182" s="174"/>
      <c r="X182" s="174"/>
      <c r="Y182" s="174"/>
      <c r="Z182" s="174"/>
    </row>
    <row r="183">
      <c r="A183" s="175"/>
      <c r="B183" s="176"/>
      <c r="C183" s="177"/>
      <c r="D183" s="178"/>
      <c r="E183" s="178"/>
      <c r="F183" s="178"/>
      <c r="G183" s="178"/>
      <c r="H183" s="179"/>
      <c r="I183" s="179"/>
      <c r="J183" s="180"/>
      <c r="K183" s="148" t="b">
        <f>IFERROR(__xludf.DUMMYFUNCTION("""COMPUTED_VALUE"""),FALSE)</f>
        <v>0</v>
      </c>
      <c r="L183" s="174"/>
      <c r="M183" s="174"/>
      <c r="N183" s="174"/>
      <c r="O183" s="174"/>
      <c r="P183" s="174"/>
      <c r="Q183" s="174"/>
      <c r="R183" s="174"/>
      <c r="S183" s="174"/>
      <c r="T183" s="174"/>
      <c r="U183" s="174"/>
      <c r="V183" s="174"/>
      <c r="W183" s="174"/>
      <c r="X183" s="174"/>
      <c r="Y183" s="174"/>
      <c r="Z183" s="174"/>
    </row>
    <row r="184">
      <c r="A184" s="181"/>
      <c r="B184" s="176"/>
      <c r="C184" s="177"/>
      <c r="D184" s="178"/>
      <c r="E184" s="178"/>
      <c r="F184" s="178"/>
      <c r="G184" s="178"/>
      <c r="H184" s="179"/>
      <c r="I184" s="179"/>
      <c r="J184" s="180"/>
      <c r="K184" s="174" t="b">
        <f>IFERROR(__xludf.DUMMYFUNCTION("""COMPUTED_VALUE"""),FALSE)</f>
        <v>0</v>
      </c>
      <c r="L184" s="174"/>
      <c r="M184" s="174"/>
      <c r="N184" s="174"/>
      <c r="O184" s="174"/>
      <c r="P184" s="174"/>
      <c r="Q184" s="174"/>
      <c r="R184" s="174"/>
      <c r="S184" s="174"/>
      <c r="T184" s="174"/>
      <c r="U184" s="174"/>
      <c r="V184" s="174"/>
      <c r="W184" s="174"/>
      <c r="X184" s="174"/>
      <c r="Y184" s="174"/>
      <c r="Z184" s="174"/>
    </row>
    <row r="185">
      <c r="A185" s="181"/>
      <c r="B185" s="176"/>
      <c r="C185" s="177"/>
      <c r="D185" s="178"/>
      <c r="E185" s="178"/>
      <c r="F185" s="178"/>
      <c r="G185" s="178"/>
      <c r="H185" s="179"/>
      <c r="I185" s="179"/>
      <c r="J185" s="180"/>
      <c r="K185" s="174" t="b">
        <f>IFERROR(__xludf.DUMMYFUNCTION("""COMPUTED_VALUE"""),FALSE)</f>
        <v>0</v>
      </c>
      <c r="L185" s="174"/>
      <c r="M185" s="174"/>
      <c r="N185" s="174"/>
      <c r="O185" s="174"/>
      <c r="P185" s="174"/>
      <c r="Q185" s="174"/>
      <c r="R185" s="174"/>
      <c r="S185" s="174"/>
      <c r="T185" s="174"/>
      <c r="U185" s="174"/>
      <c r="V185" s="174"/>
      <c r="W185" s="174"/>
      <c r="X185" s="174"/>
      <c r="Y185" s="174"/>
      <c r="Z185" s="174"/>
    </row>
    <row r="186">
      <c r="A186" s="181"/>
      <c r="B186" s="176"/>
      <c r="C186" s="177"/>
      <c r="D186" s="178"/>
      <c r="E186" s="178"/>
      <c r="F186" s="178"/>
      <c r="G186" s="178"/>
      <c r="H186" s="179"/>
      <c r="I186" s="179"/>
      <c r="J186" s="180"/>
      <c r="K186" s="174" t="b">
        <f>IFERROR(__xludf.DUMMYFUNCTION("""COMPUTED_VALUE"""),FALSE)</f>
        <v>0</v>
      </c>
      <c r="L186" s="174"/>
      <c r="M186" s="174"/>
      <c r="N186" s="174"/>
      <c r="O186" s="174"/>
      <c r="P186" s="174"/>
      <c r="Q186" s="174"/>
      <c r="R186" s="174"/>
      <c r="S186" s="174"/>
      <c r="T186" s="174"/>
      <c r="U186" s="174"/>
      <c r="V186" s="174"/>
      <c r="W186" s="174"/>
      <c r="X186" s="174"/>
      <c r="Y186" s="174"/>
      <c r="Z186" s="174"/>
    </row>
    <row r="187">
      <c r="A187" s="181"/>
      <c r="B187" s="176"/>
      <c r="C187" s="177"/>
      <c r="D187" s="178"/>
      <c r="E187" s="178"/>
      <c r="F187" s="178"/>
      <c r="G187" s="178"/>
      <c r="H187" s="179"/>
      <c r="I187" s="179"/>
      <c r="J187" s="180"/>
      <c r="K187" s="174" t="b">
        <f>IFERROR(__xludf.DUMMYFUNCTION("""COMPUTED_VALUE"""),FALSE)</f>
        <v>0</v>
      </c>
      <c r="L187" s="174"/>
      <c r="M187" s="174"/>
      <c r="N187" s="174"/>
      <c r="O187" s="174"/>
      <c r="P187" s="174"/>
      <c r="Q187" s="174"/>
      <c r="R187" s="174"/>
      <c r="S187" s="174"/>
      <c r="T187" s="174"/>
      <c r="U187" s="174"/>
      <c r="V187" s="174"/>
      <c r="W187" s="174"/>
      <c r="X187" s="174"/>
      <c r="Y187" s="174"/>
      <c r="Z187" s="174"/>
    </row>
    <row r="188">
      <c r="A188" s="181"/>
      <c r="B188" s="176"/>
      <c r="C188" s="177"/>
      <c r="D188" s="178"/>
      <c r="E188" s="178"/>
      <c r="F188" s="178"/>
      <c r="G188" s="178"/>
      <c r="H188" s="179"/>
      <c r="I188" s="179"/>
      <c r="J188" s="180"/>
      <c r="K188" s="174" t="b">
        <f>IFERROR(__xludf.DUMMYFUNCTION("""COMPUTED_VALUE"""),FALSE)</f>
        <v>0</v>
      </c>
      <c r="L188" s="174"/>
      <c r="M188" s="174"/>
      <c r="N188" s="174"/>
      <c r="O188" s="174"/>
      <c r="P188" s="174"/>
      <c r="Q188" s="174"/>
      <c r="R188" s="174"/>
      <c r="S188" s="174"/>
      <c r="T188" s="174"/>
      <c r="U188" s="174"/>
      <c r="V188" s="174"/>
      <c r="W188" s="174"/>
      <c r="X188" s="174"/>
      <c r="Y188" s="174"/>
      <c r="Z188" s="174"/>
    </row>
    <row r="189">
      <c r="A189" s="181"/>
      <c r="B189" s="176"/>
      <c r="C189" s="177"/>
      <c r="D189" s="178"/>
      <c r="E189" s="178"/>
      <c r="F189" s="178"/>
      <c r="G189" s="178"/>
      <c r="H189" s="179"/>
      <c r="I189" s="179"/>
      <c r="J189" s="180"/>
      <c r="K189" s="174" t="b">
        <f>IFERROR(__xludf.DUMMYFUNCTION("""COMPUTED_VALUE"""),FALSE)</f>
        <v>0</v>
      </c>
      <c r="L189" s="174"/>
      <c r="M189" s="174"/>
      <c r="N189" s="174"/>
      <c r="O189" s="174"/>
      <c r="P189" s="174"/>
      <c r="Q189" s="174"/>
      <c r="R189" s="174"/>
      <c r="S189" s="174"/>
      <c r="T189" s="174"/>
      <c r="U189" s="174"/>
      <c r="V189" s="174"/>
      <c r="W189" s="174"/>
      <c r="X189" s="174"/>
      <c r="Y189" s="174"/>
      <c r="Z189" s="174"/>
    </row>
    <row r="190">
      <c r="A190" s="181"/>
      <c r="B190" s="176"/>
      <c r="C190" s="177"/>
      <c r="D190" s="178"/>
      <c r="E190" s="178"/>
      <c r="F190" s="178"/>
      <c r="G190" s="178"/>
      <c r="H190" s="179"/>
      <c r="I190" s="179"/>
      <c r="J190" s="180"/>
      <c r="K190" s="174" t="b">
        <f>IFERROR(__xludf.DUMMYFUNCTION("""COMPUTED_VALUE"""),FALSE)</f>
        <v>0</v>
      </c>
      <c r="L190" s="174"/>
      <c r="M190" s="174"/>
      <c r="N190" s="174"/>
      <c r="O190" s="174"/>
      <c r="P190" s="174"/>
      <c r="Q190" s="174"/>
      <c r="R190" s="174"/>
      <c r="S190" s="174"/>
      <c r="T190" s="174"/>
      <c r="U190" s="174"/>
      <c r="V190" s="174"/>
      <c r="W190" s="174"/>
      <c r="X190" s="174"/>
      <c r="Y190" s="174"/>
      <c r="Z190" s="174"/>
    </row>
    <row r="191">
      <c r="A191" s="181"/>
      <c r="B191" s="176"/>
      <c r="C191" s="177"/>
      <c r="D191" s="178"/>
      <c r="E191" s="178"/>
      <c r="F191" s="178"/>
      <c r="G191" s="178"/>
      <c r="H191" s="179"/>
      <c r="I191" s="179"/>
      <c r="J191" s="180"/>
      <c r="K191" s="174" t="b">
        <f>IFERROR(__xludf.DUMMYFUNCTION("""COMPUTED_VALUE"""),FALSE)</f>
        <v>0</v>
      </c>
      <c r="L191" s="174"/>
      <c r="M191" s="174"/>
      <c r="N191" s="174"/>
      <c r="O191" s="174"/>
      <c r="P191" s="174"/>
      <c r="Q191" s="174"/>
      <c r="R191" s="174"/>
      <c r="S191" s="174"/>
      <c r="T191" s="174"/>
      <c r="U191" s="174"/>
      <c r="V191" s="174"/>
      <c r="W191" s="174"/>
      <c r="X191" s="174"/>
      <c r="Y191" s="174"/>
      <c r="Z191" s="174"/>
    </row>
    <row r="192">
      <c r="A192" s="181"/>
      <c r="B192" s="176"/>
      <c r="C192" s="177"/>
      <c r="D192" s="178"/>
      <c r="E192" s="178"/>
      <c r="F192" s="178"/>
      <c r="G192" s="178"/>
      <c r="H192" s="179"/>
      <c r="I192" s="179"/>
      <c r="J192" s="180"/>
      <c r="K192" s="174" t="b">
        <f>IFERROR(__xludf.DUMMYFUNCTION("""COMPUTED_VALUE"""),FALSE)</f>
        <v>0</v>
      </c>
      <c r="L192" s="174"/>
      <c r="M192" s="174"/>
      <c r="N192" s="174"/>
      <c r="O192" s="174"/>
      <c r="P192" s="174"/>
      <c r="Q192" s="174"/>
      <c r="R192" s="174"/>
      <c r="S192" s="174"/>
      <c r="T192" s="174"/>
      <c r="U192" s="174"/>
      <c r="V192" s="174"/>
      <c r="W192" s="174"/>
      <c r="X192" s="174"/>
      <c r="Y192" s="174"/>
      <c r="Z192" s="174"/>
    </row>
    <row r="193">
      <c r="A193" s="181"/>
      <c r="B193" s="176"/>
      <c r="C193" s="177"/>
      <c r="D193" s="178"/>
      <c r="E193" s="178"/>
      <c r="F193" s="178"/>
      <c r="G193" s="178"/>
      <c r="H193" s="179"/>
      <c r="I193" s="179"/>
      <c r="J193" s="180"/>
      <c r="K193" s="174" t="b">
        <f>IFERROR(__xludf.DUMMYFUNCTION("""COMPUTED_VALUE"""),FALSE)</f>
        <v>0</v>
      </c>
      <c r="L193" s="174"/>
      <c r="M193" s="174"/>
      <c r="N193" s="174"/>
      <c r="O193" s="174"/>
      <c r="P193" s="174"/>
      <c r="Q193" s="174"/>
      <c r="R193" s="174"/>
      <c r="S193" s="174"/>
      <c r="T193" s="174"/>
      <c r="U193" s="174"/>
      <c r="V193" s="174"/>
      <c r="W193" s="174"/>
      <c r="X193" s="174"/>
      <c r="Y193" s="174"/>
      <c r="Z193" s="174"/>
    </row>
    <row r="194">
      <c r="A194" s="181"/>
      <c r="B194" s="176"/>
      <c r="C194" s="177"/>
      <c r="D194" s="178"/>
      <c r="E194" s="178"/>
      <c r="F194" s="178"/>
      <c r="G194" s="178"/>
      <c r="H194" s="179"/>
      <c r="I194" s="179"/>
      <c r="J194" s="180"/>
      <c r="K194" s="174" t="b">
        <f>IFERROR(__xludf.DUMMYFUNCTION("""COMPUTED_VALUE"""),FALSE)</f>
        <v>0</v>
      </c>
      <c r="L194" s="174"/>
      <c r="M194" s="174"/>
      <c r="N194" s="174"/>
      <c r="O194" s="174"/>
      <c r="P194" s="174"/>
      <c r="Q194" s="174"/>
      <c r="R194" s="174"/>
      <c r="S194" s="174"/>
      <c r="T194" s="174"/>
      <c r="U194" s="174"/>
      <c r="V194" s="174"/>
      <c r="W194" s="174"/>
      <c r="X194" s="174"/>
      <c r="Y194" s="174"/>
      <c r="Z194" s="174"/>
    </row>
    <row r="195">
      <c r="A195" s="181"/>
      <c r="B195" s="176"/>
      <c r="C195" s="177"/>
      <c r="D195" s="178"/>
      <c r="E195" s="178"/>
      <c r="F195" s="178"/>
      <c r="G195" s="178"/>
      <c r="H195" s="179"/>
      <c r="I195" s="179"/>
      <c r="J195" s="180"/>
      <c r="K195" s="174" t="b">
        <f>IFERROR(__xludf.DUMMYFUNCTION("""COMPUTED_VALUE"""),FALSE)</f>
        <v>0</v>
      </c>
      <c r="L195" s="174"/>
      <c r="M195" s="174"/>
      <c r="N195" s="174"/>
      <c r="O195" s="174"/>
      <c r="P195" s="174"/>
      <c r="Q195" s="174"/>
      <c r="R195" s="174"/>
      <c r="S195" s="174"/>
      <c r="T195" s="174"/>
      <c r="U195" s="174"/>
      <c r="V195" s="174"/>
      <c r="W195" s="174"/>
      <c r="X195" s="174"/>
      <c r="Y195" s="174"/>
      <c r="Z195" s="174"/>
    </row>
    <row r="196">
      <c r="A196" s="181"/>
      <c r="B196" s="176"/>
      <c r="C196" s="177"/>
      <c r="D196" s="178"/>
      <c r="E196" s="178"/>
      <c r="F196" s="178"/>
      <c r="G196" s="178"/>
      <c r="H196" s="179"/>
      <c r="I196" s="179"/>
      <c r="J196" s="180"/>
      <c r="K196" s="174" t="b">
        <f>IFERROR(__xludf.DUMMYFUNCTION("""COMPUTED_VALUE"""),FALSE)</f>
        <v>0</v>
      </c>
      <c r="L196" s="174"/>
      <c r="M196" s="174"/>
      <c r="N196" s="174"/>
      <c r="O196" s="174"/>
      <c r="P196" s="174"/>
      <c r="Q196" s="174"/>
      <c r="R196" s="174"/>
      <c r="S196" s="174"/>
      <c r="T196" s="174"/>
      <c r="U196" s="174"/>
      <c r="V196" s="174"/>
      <c r="W196" s="174"/>
      <c r="X196" s="174"/>
      <c r="Y196" s="174"/>
      <c r="Z196" s="174"/>
    </row>
    <row r="197">
      <c r="A197" s="181"/>
      <c r="B197" s="176"/>
      <c r="C197" s="177"/>
      <c r="D197" s="178"/>
      <c r="E197" s="178"/>
      <c r="F197" s="178"/>
      <c r="G197" s="178"/>
      <c r="H197" s="179"/>
      <c r="I197" s="179"/>
      <c r="J197" s="180"/>
      <c r="K197" s="174" t="b">
        <f>IFERROR(__xludf.DUMMYFUNCTION("""COMPUTED_VALUE"""),FALSE)</f>
        <v>0</v>
      </c>
      <c r="L197" s="174"/>
      <c r="M197" s="174"/>
      <c r="N197" s="174"/>
      <c r="O197" s="174"/>
      <c r="P197" s="174"/>
      <c r="Q197" s="174"/>
      <c r="R197" s="174"/>
      <c r="S197" s="174"/>
      <c r="T197" s="174"/>
      <c r="U197" s="174"/>
      <c r="V197" s="174"/>
      <c r="W197" s="174"/>
      <c r="X197" s="174"/>
      <c r="Y197" s="174"/>
      <c r="Z197" s="174"/>
    </row>
    <row r="198">
      <c r="A198" s="181"/>
      <c r="B198" s="176"/>
      <c r="C198" s="177"/>
      <c r="D198" s="178"/>
      <c r="E198" s="178"/>
      <c r="F198" s="178"/>
      <c r="G198" s="178"/>
      <c r="H198" s="179"/>
      <c r="I198" s="179"/>
      <c r="J198" s="180"/>
      <c r="K198" s="174" t="b">
        <f>IFERROR(__xludf.DUMMYFUNCTION("""COMPUTED_VALUE"""),FALSE)</f>
        <v>0</v>
      </c>
      <c r="L198" s="174"/>
      <c r="M198" s="174"/>
      <c r="N198" s="174"/>
      <c r="O198" s="174"/>
      <c r="P198" s="174"/>
      <c r="Q198" s="174"/>
      <c r="R198" s="174"/>
      <c r="S198" s="174"/>
      <c r="T198" s="174"/>
      <c r="U198" s="174"/>
      <c r="V198" s="174"/>
      <c r="W198" s="174"/>
      <c r="X198" s="174"/>
      <c r="Y198" s="174"/>
      <c r="Z198" s="174"/>
    </row>
    <row r="199">
      <c r="A199" s="181"/>
      <c r="B199" s="176"/>
      <c r="C199" s="177"/>
      <c r="D199" s="178"/>
      <c r="E199" s="178"/>
      <c r="F199" s="178"/>
      <c r="G199" s="178"/>
      <c r="H199" s="179"/>
      <c r="I199" s="179"/>
      <c r="J199" s="180"/>
      <c r="K199" s="174" t="b">
        <f>IFERROR(__xludf.DUMMYFUNCTION("""COMPUTED_VALUE"""),FALSE)</f>
        <v>0</v>
      </c>
      <c r="L199" s="174"/>
      <c r="M199" s="174"/>
      <c r="N199" s="174"/>
      <c r="O199" s="174"/>
      <c r="P199" s="174"/>
      <c r="Q199" s="174"/>
      <c r="R199" s="174"/>
      <c r="S199" s="174"/>
      <c r="T199" s="174"/>
      <c r="U199" s="174"/>
      <c r="V199" s="174"/>
      <c r="W199" s="174"/>
      <c r="X199" s="174"/>
      <c r="Y199" s="174"/>
      <c r="Z199" s="174"/>
    </row>
    <row r="200">
      <c r="A200" s="181"/>
      <c r="B200" s="176"/>
      <c r="C200" s="177"/>
      <c r="D200" s="178"/>
      <c r="E200" s="178"/>
      <c r="F200" s="178"/>
      <c r="G200" s="178"/>
      <c r="H200" s="179"/>
      <c r="I200" s="179"/>
      <c r="J200" s="180"/>
      <c r="K200" s="174" t="b">
        <f>IFERROR(__xludf.DUMMYFUNCTION("""COMPUTED_VALUE"""),FALSE)</f>
        <v>0</v>
      </c>
      <c r="L200" s="174"/>
      <c r="M200" s="174"/>
      <c r="N200" s="174"/>
      <c r="O200" s="174"/>
      <c r="P200" s="174"/>
      <c r="Q200" s="174"/>
      <c r="R200" s="174"/>
      <c r="S200" s="174"/>
      <c r="T200" s="174"/>
      <c r="U200" s="174"/>
      <c r="V200" s="174"/>
      <c r="W200" s="174"/>
      <c r="X200" s="174"/>
      <c r="Y200" s="174"/>
      <c r="Z200" s="174"/>
    </row>
    <row r="201">
      <c r="A201" s="182"/>
      <c r="B201" s="183"/>
      <c r="C201" s="184"/>
      <c r="D201" s="185"/>
      <c r="E201" s="185"/>
      <c r="F201" s="185"/>
      <c r="G201" s="185"/>
      <c r="H201" s="186"/>
      <c r="I201" s="186"/>
      <c r="J201" s="187"/>
      <c r="K201" s="188" t="b">
        <f>IFERROR(__xludf.DUMMYFUNCTION("""COMPUTED_VALUE"""),FALSE)</f>
        <v>0</v>
      </c>
      <c r="L201" s="188"/>
      <c r="M201" s="188"/>
      <c r="N201" s="188"/>
      <c r="O201" s="188"/>
      <c r="P201" s="188"/>
      <c r="Q201" s="188"/>
      <c r="R201" s="188"/>
      <c r="S201" s="188"/>
      <c r="T201" s="188"/>
      <c r="U201" s="188"/>
      <c r="V201" s="188"/>
      <c r="W201" s="188"/>
      <c r="X201" s="188"/>
      <c r="Y201" s="188"/>
      <c r="Z201" s="188"/>
    </row>
    <row r="202">
      <c r="A202" s="189" t="str">
        <f>IFERROR(__xludf.DUMMYFUNCTION("IMPORTRANGE(""https://docs.google.com/spreadsheets/d/1OWqz0Kj63DvuK16jiKGSn_Hv_N2mbyV2QAdHjKdcrpw"", ""'Attacks'!$A$2:$K"")"),"Attack Order")</f>
        <v>Attack Order</v>
      </c>
      <c r="B202" s="176" t="str">
        <f>IFERROR(__xludf.DUMMYFUNCTION("""COMPUTED_VALUE"""),"Bug")</f>
        <v>Bug</v>
      </c>
      <c r="C202" s="177" t="str">
        <f>IFERROR(__xludf.DUMMYFUNCTION("""COMPUTED_VALUE"""),"Physical")</f>
        <v>Physical</v>
      </c>
      <c r="D202" s="178" t="str">
        <f>IFERROR(__xludf.DUMMYFUNCTION("""COMPUTED_VALUE"""),"EOT")</f>
        <v>EOT</v>
      </c>
      <c r="E202" s="178" t="str">
        <f>IFERROR(__xludf.DUMMYFUNCTION("""COMPUTED_VALUE"""),"6, 1 Target, Full Action")</f>
        <v>6, 1 Target, Full Action</v>
      </c>
      <c r="F202" s="178">
        <f>IFERROR(__xludf.DUMMYFUNCTION("""COMPUTED_VALUE"""),3.0)</f>
        <v>3</v>
      </c>
      <c r="G202" s="178">
        <f>IFERROR(__xludf.DUMMYFUNCTION("""COMPUTED_VALUE"""),8.0)</f>
        <v>8</v>
      </c>
      <c r="H202" s="179" t="str">
        <f>IFERROR(__xludf.DUMMYFUNCTION("""COMPUTED_VALUE"""),"If Attack Order misses, an Ally that is Adjacent to the Target triggers an Attack of Opportunity against the Target. Spirit Surge.")</f>
        <v>If Attack Order misses, an Ally that is Adjacent to the Target triggers an Attack of Opportunity against the Target. Spirit Surge.</v>
      </c>
      <c r="I202" s="179" t="str">
        <f>IFERROR(__xludf.DUMMYFUNCTION("""COMPUTED_VALUE"""),"--")</f>
        <v>--</v>
      </c>
      <c r="J202" s="180" t="str">
        <f>IFERROR(__xludf.DUMMYFUNCTION("""COMPUTED_VALUE"""),"Tier 2")</f>
        <v>Tier 2</v>
      </c>
      <c r="K202" s="174" t="b">
        <f>IFERROR(__xludf.DUMMYFUNCTION("""COMPUTED_VALUE"""),TRUE)</f>
        <v>1</v>
      </c>
      <c r="L202" s="174"/>
      <c r="M202" s="174"/>
      <c r="N202" s="174"/>
      <c r="O202" s="174"/>
      <c r="P202" s="174"/>
      <c r="Q202" s="174"/>
      <c r="R202" s="174"/>
      <c r="S202" s="174"/>
      <c r="T202" s="174"/>
      <c r="U202" s="174"/>
      <c r="V202" s="174"/>
      <c r="W202" s="174"/>
      <c r="X202" s="174"/>
      <c r="Y202" s="174"/>
      <c r="Z202" s="174"/>
    </row>
    <row r="203">
      <c r="A203" s="190" t="str">
        <f>IFERROR(__xludf.DUMMYFUNCTION("""COMPUTED_VALUE"""),"Bug Bite")</f>
        <v>Bug Bite</v>
      </c>
      <c r="B203" s="190" t="str">
        <f>IFERROR(__xludf.DUMMYFUNCTION("""COMPUTED_VALUE"""),"Bug")</f>
        <v>Bug</v>
      </c>
      <c r="C203" s="190" t="str">
        <f>IFERROR(__xludf.DUMMYFUNCTION("""COMPUTED_VALUE"""),"Physical")</f>
        <v>Physical</v>
      </c>
      <c r="D203" s="190" t="str">
        <f>IFERROR(__xludf.DUMMYFUNCTION("""COMPUTED_VALUE"""),"At-Will")</f>
        <v>At-Will</v>
      </c>
      <c r="E203" s="190" t="str">
        <f>IFERROR(__xludf.DUMMYFUNCTION("""COMPUTED_VALUE"""),"Melee, 1 Target, Bite")</f>
        <v>Melee, 1 Target, Bite</v>
      </c>
      <c r="F203" s="190">
        <f>IFERROR(__xludf.DUMMYFUNCTION("""COMPUTED_VALUE"""),2.0)</f>
        <v>2</v>
      </c>
      <c r="G203" s="190">
        <f>IFERROR(__xludf.DUMMYFUNCTION("""COMPUTED_VALUE"""),6.0)</f>
        <v>6</v>
      </c>
      <c r="H203" s="191" t="str">
        <f>IFERROR(__xludf.DUMMYFUNCTION("""COMPUTED_VALUE"""),"On a roll of 17+, the Target becomes Wounded.")</f>
        <v>On a roll of 17+, the Target becomes Wounded.</v>
      </c>
      <c r="I203" s="191" t="str">
        <f>IFERROR(__xludf.DUMMYFUNCTION("""COMPUTED_VALUE"""),"--")</f>
        <v>--</v>
      </c>
      <c r="J203" s="190" t="str">
        <f>IFERROR(__xludf.DUMMYFUNCTION("""COMPUTED_VALUE"""),"Tier 1")</f>
        <v>Tier 1</v>
      </c>
      <c r="K203" s="174" t="b">
        <f>IFERROR(__xludf.DUMMYFUNCTION("""COMPUTED_VALUE"""),TRUE)</f>
        <v>1</v>
      </c>
      <c r="L203" s="174"/>
      <c r="M203" s="174"/>
      <c r="N203" s="174"/>
      <c r="O203" s="174"/>
      <c r="P203" s="174"/>
      <c r="Q203" s="174"/>
      <c r="R203" s="174"/>
      <c r="S203" s="174"/>
      <c r="T203" s="174"/>
      <c r="U203" s="174"/>
      <c r="V203" s="174"/>
      <c r="W203" s="174"/>
      <c r="X203" s="174"/>
      <c r="Y203" s="174"/>
      <c r="Z203" s="174"/>
    </row>
    <row r="204">
      <c r="A204" s="190" t="str">
        <f>IFERROR(__xludf.DUMMYFUNCTION("""COMPUTED_VALUE"""),"Bug Buzz")</f>
        <v>Bug Buzz</v>
      </c>
      <c r="B204" s="190" t="str">
        <f>IFERROR(__xludf.DUMMYFUNCTION("""COMPUTED_VALUE"""),"Bug")</f>
        <v>Bug</v>
      </c>
      <c r="C204" s="190" t="str">
        <f>IFERROR(__xludf.DUMMYFUNCTION("""COMPUTED_VALUE"""),"Special")</f>
        <v>Special</v>
      </c>
      <c r="D204" s="190" t="str">
        <f>IFERROR(__xludf.DUMMYFUNCTION("""COMPUTED_VALUE"""),"Scene x2")</f>
        <v>Scene x2</v>
      </c>
      <c r="E204" s="190" t="str">
        <f>IFERROR(__xludf.DUMMYFUNCTION("""COMPUTED_VALUE"""),"Close Blast 2 or Burst 1; Sonic")</f>
        <v>Close Blast 2 or Burst 1; Sonic</v>
      </c>
      <c r="F204" s="190">
        <f>IFERROR(__xludf.DUMMYFUNCTION("""COMPUTED_VALUE"""),6.0)</f>
        <v>6</v>
      </c>
      <c r="G204" s="190">
        <f>IFERROR(__xludf.DUMMYFUNCTION("""COMPUTED_VALUE"""),9.0)</f>
        <v>9</v>
      </c>
      <c r="H204" s="191" t="str">
        <f>IFERROR(__xludf.DUMMYFUNCTION("""COMPUTED_VALUE"""),"On a roll of 18+, all Targets become Dazed. If a Target has negative Special Defense CS, the Effect Range automatically Triggers against them. Smite")</f>
        <v>On a roll of 18+, all Targets become Dazed. If a Target has negative Special Defense CS, the Effect Range automatically Triggers against them. Smite</v>
      </c>
      <c r="I204" s="191" t="str">
        <f>IFERROR(__xludf.DUMMYFUNCTION("""COMPUTED_VALUE"""),"--")</f>
        <v>--</v>
      </c>
      <c r="J204" s="190" t="str">
        <f>IFERROR(__xludf.DUMMYFUNCTION("""COMPUTED_VALUE"""),"Tier 2")</f>
        <v>Tier 2</v>
      </c>
      <c r="K204" s="174" t="b">
        <f>IFERROR(__xludf.DUMMYFUNCTION("""COMPUTED_VALUE"""),TRUE)</f>
        <v>1</v>
      </c>
      <c r="L204" s="174"/>
      <c r="M204" s="174"/>
      <c r="N204" s="174"/>
      <c r="O204" s="174"/>
      <c r="P204" s="174"/>
      <c r="Q204" s="174"/>
      <c r="R204" s="174"/>
      <c r="S204" s="174"/>
      <c r="T204" s="174"/>
      <c r="U204" s="174"/>
      <c r="V204" s="174"/>
      <c r="W204" s="174"/>
      <c r="X204" s="174"/>
      <c r="Y204" s="174"/>
      <c r="Z204" s="174"/>
    </row>
    <row r="205">
      <c r="A205" s="190" t="str">
        <f>IFERROR(__xludf.DUMMYFUNCTION("""COMPUTED_VALUE"""),"Defend Order")</f>
        <v>Defend Order</v>
      </c>
      <c r="B205" s="190" t="str">
        <f>IFERROR(__xludf.DUMMYFUNCTION("""COMPUTED_VALUE"""),"Bug")</f>
        <v>Bug</v>
      </c>
      <c r="C205" s="190" t="str">
        <f>IFERROR(__xludf.DUMMYFUNCTION("""COMPUTED_VALUE"""),"Status")</f>
        <v>Status</v>
      </c>
      <c r="D205" s="190" t="str">
        <f>IFERROR(__xludf.DUMMYFUNCTION("""COMPUTED_VALUE"""),"EOT")</f>
        <v>EOT</v>
      </c>
      <c r="E205" s="190" t="str">
        <f>IFERROR(__xludf.DUMMYFUNCTION("""COMPUTED_VALUE"""),"Close Blast 2, Sonic")</f>
        <v>Close Blast 2, Sonic</v>
      </c>
      <c r="F205" s="190" t="str">
        <f>IFERROR(__xludf.DUMMYFUNCTION("""COMPUTED_VALUE"""),"--")</f>
        <v>--</v>
      </c>
      <c r="G205" s="190" t="str">
        <f>IFERROR(__xludf.DUMMYFUNCTION("""COMPUTED_VALUE"""),"--")</f>
        <v>--</v>
      </c>
      <c r="H205" s="191" t="str">
        <f>IFERROR(__xludf.DUMMYFUNCTION("""COMPUTED_VALUE"""),"All Targets gain DR equal to double your Tier Value until the start of your next Turn or gains +2 CS in Defense. Sureshot")</f>
        <v>All Targets gain DR equal to double your Tier Value until the start of your next Turn or gains +2 CS in Defense. Sureshot</v>
      </c>
      <c r="I205" s="191" t="str">
        <f>IFERROR(__xludf.DUMMYFUNCTION("""COMPUTED_VALUE"""),"When used this way, the range become Self. All Adjacent Allies may use the Defend Maneuver with you as a Target as a Priority Free Action.")</f>
        <v>When used this way, the range become Self. All Adjacent Allies may use the Defend Maneuver with you as a Target as a Priority Free Action.</v>
      </c>
      <c r="J205" s="190" t="str">
        <f>IFERROR(__xludf.DUMMYFUNCTION("""COMPUTED_VALUE"""),"Tier 1")</f>
        <v>Tier 1</v>
      </c>
      <c r="K205" s="174" t="b">
        <f>IFERROR(__xludf.DUMMYFUNCTION("""COMPUTED_VALUE"""),TRUE)</f>
        <v>1</v>
      </c>
      <c r="L205" s="174"/>
      <c r="M205" s="174"/>
      <c r="N205" s="174"/>
      <c r="O205" s="174"/>
      <c r="P205" s="174"/>
      <c r="Q205" s="174"/>
      <c r="R205" s="174"/>
      <c r="S205" s="174"/>
      <c r="T205" s="174"/>
      <c r="U205" s="174"/>
      <c r="V205" s="174"/>
      <c r="W205" s="174"/>
      <c r="X205" s="174"/>
      <c r="Y205" s="174"/>
      <c r="Z205" s="174"/>
    </row>
    <row r="206">
      <c r="A206" s="190" t="str">
        <f>IFERROR(__xludf.DUMMYFUNCTION("""COMPUTED_VALUE"""),"Dull Drone")</f>
        <v>Dull Drone</v>
      </c>
      <c r="B206" s="190" t="str">
        <f>IFERROR(__xludf.DUMMYFUNCTION("""COMPUTED_VALUE"""),"Bug")</f>
        <v>Bug</v>
      </c>
      <c r="C206" s="190" t="str">
        <f>IFERROR(__xludf.DUMMYFUNCTION("""COMPUTED_VALUE"""),"Special")</f>
        <v>Special</v>
      </c>
      <c r="D206" s="190" t="str">
        <f>IFERROR(__xludf.DUMMYFUNCTION("""COMPUTED_VALUE"""),"At-Will")</f>
        <v>At-Will</v>
      </c>
      <c r="E206" s="190" t="str">
        <f>IFERROR(__xludf.DUMMYFUNCTION("""COMPUTED_VALUE"""),"4, 1 Target, Sonic")</f>
        <v>4, 1 Target, Sonic</v>
      </c>
      <c r="F206" s="190">
        <f>IFERROR(__xludf.DUMMYFUNCTION("""COMPUTED_VALUE"""),3.0)</f>
        <v>3</v>
      </c>
      <c r="G206" s="190">
        <f>IFERROR(__xludf.DUMMYFUNCTION("""COMPUTED_VALUE"""),4.0)</f>
        <v>4</v>
      </c>
      <c r="H206" s="191" t="str">
        <f>IFERROR(__xludf.DUMMYFUNCTION("""COMPUTED_VALUE"""),"On a roll of 18+, all Targets become Dazed.")</f>
        <v>On a roll of 18+, all Targets become Dazed.</v>
      </c>
      <c r="I206" s="191" t="str">
        <f>IFERROR(__xludf.DUMMYFUNCTION("""COMPUTED_VALUE"""),"--")</f>
        <v>--</v>
      </c>
      <c r="J206" s="190" t="str">
        <f>IFERROR(__xludf.DUMMYFUNCTION("""COMPUTED_VALUE"""),"Tier 1")</f>
        <v>Tier 1</v>
      </c>
      <c r="K206" s="174" t="b">
        <f>IFERROR(__xludf.DUMMYFUNCTION("""COMPUTED_VALUE"""),TRUE)</f>
        <v>1</v>
      </c>
      <c r="L206" s="174"/>
      <c r="M206" s="174"/>
      <c r="N206" s="174"/>
      <c r="O206" s="174"/>
      <c r="P206" s="174"/>
      <c r="Q206" s="174"/>
      <c r="R206" s="174"/>
      <c r="S206" s="174"/>
      <c r="T206" s="174"/>
      <c r="U206" s="174"/>
      <c r="V206" s="174"/>
      <c r="W206" s="174"/>
      <c r="X206" s="174"/>
      <c r="Y206" s="174"/>
      <c r="Z206" s="174"/>
    </row>
    <row r="207">
      <c r="A207" s="190" t="str">
        <f>IFERROR(__xludf.DUMMYFUNCTION("""COMPUTED_VALUE"""),"Fell Stinger")</f>
        <v>Fell Stinger</v>
      </c>
      <c r="B207" s="190" t="str">
        <f>IFERROR(__xludf.DUMMYFUNCTION("""COMPUTED_VALUE"""),"Bug")</f>
        <v>Bug</v>
      </c>
      <c r="C207" s="190" t="str">
        <f>IFERROR(__xludf.DUMMYFUNCTION("""COMPUTED_VALUE"""),"Physical")</f>
        <v>Physical</v>
      </c>
      <c r="D207" s="190" t="str">
        <f>IFERROR(__xludf.DUMMYFUNCTION("""COMPUTED_VALUE"""),"At-Will")</f>
        <v>At-Will</v>
      </c>
      <c r="E207" s="190" t="str">
        <f>IFERROR(__xludf.DUMMYFUNCTION("""COMPUTED_VALUE"""),"Melee, 1 Target")</f>
        <v>Melee, 1 Target</v>
      </c>
      <c r="F207" s="190">
        <f>IFERROR(__xludf.DUMMYFUNCTION("""COMPUTED_VALUE"""),2.0)</f>
        <v>2</v>
      </c>
      <c r="G207" s="190">
        <f>IFERROR(__xludf.DUMMYFUNCTION("""COMPUTED_VALUE"""),5.0)</f>
        <v>5</v>
      </c>
      <c r="H207" s="191" t="str">
        <f>IFERROR(__xludf.DUMMYFUNCTION("""COMPUTED_VALUE"""),"If the Target faints as a result of being hit by Fell Stinger, the user gains +2 CS in Attack. ")</f>
        <v>If the Target faints as a result of being hit by Fell Stinger, the user gains +2 CS in Attack. </v>
      </c>
      <c r="I207" s="191" t="str">
        <f>IFERROR(__xludf.DUMMYFUNCTION("""COMPUTED_VALUE"""),"--")</f>
        <v>--</v>
      </c>
      <c r="J207" s="190" t="str">
        <f>IFERROR(__xludf.DUMMYFUNCTION("""COMPUTED_VALUE"""),"Tier 1")</f>
        <v>Tier 1</v>
      </c>
      <c r="K207" s="174" t="b">
        <f>IFERROR(__xludf.DUMMYFUNCTION("""COMPUTED_VALUE"""),TRUE)</f>
        <v>1</v>
      </c>
      <c r="L207" s="174"/>
      <c r="M207" s="174"/>
      <c r="N207" s="174"/>
      <c r="O207" s="174"/>
      <c r="P207" s="174"/>
      <c r="Q207" s="174"/>
      <c r="R207" s="174"/>
      <c r="S207" s="174"/>
      <c r="T207" s="174"/>
      <c r="U207" s="174"/>
      <c r="V207" s="174"/>
      <c r="W207" s="174"/>
      <c r="X207" s="174"/>
      <c r="Y207" s="174"/>
      <c r="Z207" s="174"/>
    </row>
    <row r="208">
      <c r="A208" s="190" t="str">
        <f>IFERROR(__xludf.DUMMYFUNCTION("""COMPUTED_VALUE"""),"First Impression")</f>
        <v>First Impression</v>
      </c>
      <c r="B208" s="190" t="str">
        <f>IFERROR(__xludf.DUMMYFUNCTION("""COMPUTED_VALUE"""),"Bug")</f>
        <v>Bug</v>
      </c>
      <c r="C208" s="190" t="str">
        <f>IFERROR(__xludf.DUMMYFUNCTION("""COMPUTED_VALUE"""),"Physical")</f>
        <v>Physical</v>
      </c>
      <c r="D208" s="190" t="str">
        <f>IFERROR(__xludf.DUMMYFUNCTION("""COMPUTED_VALUE"""),"EOT")</f>
        <v>EOT</v>
      </c>
      <c r="E208" s="190" t="str">
        <f>IFERROR(__xludf.DUMMYFUNCTION("""COMPUTED_VALUE"""),"Melee, 1 Target")</f>
        <v>Melee, 1 Target</v>
      </c>
      <c r="F208" s="190">
        <f>IFERROR(__xludf.DUMMYFUNCTION("""COMPUTED_VALUE"""),3.0)</f>
        <v>3</v>
      </c>
      <c r="G208" s="190">
        <f>IFERROR(__xludf.DUMMYFUNCTION("""COMPUTED_VALUE"""),8.0)</f>
        <v>8</v>
      </c>
      <c r="H208" s="191" t="str">
        <f>IFERROR(__xludf.DUMMYFUNCTION("""COMPUTED_VALUE"""),"If the user entered the Scene this round, this has the Sureshot Keyword. After this Attack resolves, the user may perform a Full Switch as a Free Action. Spirit Surge")</f>
        <v>If the user entered the Scene this round, this has the Sureshot Keyword. After this Attack resolves, the user may perform a Full Switch as a Free Action. Spirit Surge</v>
      </c>
      <c r="I208" s="191" t="str">
        <f>IFERROR(__xludf.DUMMYFUNCTION("""COMPUTED_VALUE"""),"--")</f>
        <v>--</v>
      </c>
      <c r="J208" s="190" t="str">
        <f>IFERROR(__xludf.DUMMYFUNCTION("""COMPUTED_VALUE"""),"Tier 2")</f>
        <v>Tier 2</v>
      </c>
      <c r="K208" s="174" t="b">
        <f>IFERROR(__xludf.DUMMYFUNCTION("""COMPUTED_VALUE"""),TRUE)</f>
        <v>1</v>
      </c>
      <c r="L208" s="174"/>
      <c r="M208" s="174"/>
      <c r="N208" s="174"/>
      <c r="O208" s="174"/>
      <c r="P208" s="174"/>
      <c r="Q208" s="174"/>
      <c r="R208" s="174"/>
      <c r="S208" s="174"/>
      <c r="T208" s="174"/>
      <c r="U208" s="174"/>
      <c r="V208" s="174"/>
      <c r="W208" s="174"/>
      <c r="X208" s="174"/>
      <c r="Y208" s="174"/>
      <c r="Z208" s="174"/>
    </row>
    <row r="209">
      <c r="A209" s="190" t="str">
        <f>IFERROR(__xludf.DUMMYFUNCTION("""COMPUTED_VALUE"""),"Fury Cutter")</f>
        <v>Fury Cutter</v>
      </c>
      <c r="B209" s="190" t="str">
        <f>IFERROR(__xludf.DUMMYFUNCTION("""COMPUTED_VALUE"""),"Bug")</f>
        <v>Bug</v>
      </c>
      <c r="C209" s="190" t="str">
        <f>IFERROR(__xludf.DUMMYFUNCTION("""COMPUTED_VALUE"""),"Physical")</f>
        <v>Physical</v>
      </c>
      <c r="D209" s="190" t="str">
        <f>IFERROR(__xludf.DUMMYFUNCTION("""COMPUTED_VALUE"""),"At-Will")</f>
        <v>At-Will</v>
      </c>
      <c r="E209" s="190" t="str">
        <f>IFERROR(__xludf.DUMMYFUNCTION("""COMPUTED_VALUE"""),"Melee, 1 Target")</f>
        <v>Melee, 1 Target</v>
      </c>
      <c r="F209" s="190">
        <f>IFERROR(__xludf.DUMMYFUNCTION("""COMPUTED_VALUE"""),3.0)</f>
        <v>3</v>
      </c>
      <c r="G209" s="190">
        <f>IFERROR(__xludf.DUMMYFUNCTION("""COMPUTED_VALUE"""),4.0)</f>
        <v>4</v>
      </c>
      <c r="H209" s="191" t="str">
        <f>IFERROR(__xludf.DUMMYFUNCTION("""COMPUTED_VALUE"""),"If the user is Provoked, Enraged, or as a Full Action, Fury Cutter may be used as if it was Close Blast 2 or Pass. ")</f>
        <v>If the user is Provoked, Enraged, or as a Full Action, Fury Cutter may be used as if it was Close Blast 2 or Pass. </v>
      </c>
      <c r="I209" s="191" t="str">
        <f>IFERROR(__xludf.DUMMYFUNCTION("""COMPUTED_VALUE"""),"--")</f>
        <v>--</v>
      </c>
      <c r="J209" s="190" t="str">
        <f>IFERROR(__xludf.DUMMYFUNCTION("""COMPUTED_VALUE"""),"Tier 1")</f>
        <v>Tier 1</v>
      </c>
      <c r="K209" s="174" t="b">
        <f>IFERROR(__xludf.DUMMYFUNCTION("""COMPUTED_VALUE"""),TRUE)</f>
        <v>1</v>
      </c>
      <c r="L209" s="174"/>
      <c r="M209" s="174"/>
      <c r="N209" s="174"/>
      <c r="O209" s="174"/>
      <c r="P209" s="174"/>
      <c r="Q209" s="174"/>
      <c r="R209" s="174"/>
      <c r="S209" s="174"/>
      <c r="T209" s="174"/>
      <c r="U209" s="174"/>
      <c r="V209" s="174"/>
      <c r="W209" s="174"/>
      <c r="X209" s="174"/>
      <c r="Y209" s="174"/>
      <c r="Z209" s="174"/>
    </row>
    <row r="210">
      <c r="A210" s="190" t="str">
        <f>IFERROR(__xludf.DUMMYFUNCTION("""COMPUTED_VALUE"""),"Giga Leech")</f>
        <v>Giga Leech</v>
      </c>
      <c r="B210" s="190" t="str">
        <f>IFERROR(__xludf.DUMMYFUNCTION("""COMPUTED_VALUE"""),"Bug")</f>
        <v>Bug</v>
      </c>
      <c r="C210" s="190" t="str">
        <f>IFERROR(__xludf.DUMMYFUNCTION("""COMPUTED_VALUE"""),"Physical")</f>
        <v>Physical</v>
      </c>
      <c r="D210" s="190" t="str">
        <f>IFERROR(__xludf.DUMMYFUNCTION("""COMPUTED_VALUE"""),"Scene x2")</f>
        <v>Scene x2</v>
      </c>
      <c r="E210" s="190" t="str">
        <f>IFERROR(__xludf.DUMMYFUNCTION("""COMPUTED_VALUE"""),"Melee, 1 Target")</f>
        <v>Melee, 1 Target</v>
      </c>
      <c r="F210" s="190">
        <f>IFERROR(__xludf.DUMMYFUNCTION("""COMPUTED_VALUE"""),5.0)</f>
        <v>5</v>
      </c>
      <c r="G210" s="190">
        <f>IFERROR(__xludf.DUMMYFUNCTION("""COMPUTED_VALUE"""),10.0)</f>
        <v>10</v>
      </c>
      <c r="H210" s="191" t="str">
        <f>IFERROR(__xludf.DUMMYFUNCTION("""COMPUTED_VALUE"""),"On a roll of 15+, choose a Stat. The Target is lowered by -1 CS in that Stat and the user gains +1 CS to that Stat. Drain.")</f>
        <v>On a roll of 15+, choose a Stat. The Target is lowered by -1 CS in that Stat and the user gains +1 CS to that Stat. Drain.</v>
      </c>
      <c r="I210" s="191" t="str">
        <f>IFERROR(__xludf.DUMMYFUNCTION("""COMPUTED_VALUE"""),"--")</f>
        <v>--</v>
      </c>
      <c r="J210" s="190" t="str">
        <f>IFERROR(__xludf.DUMMYFUNCTION("""COMPUTED_VALUE"""),"Tier 3")</f>
        <v>Tier 3</v>
      </c>
      <c r="K210" s="174" t="b">
        <f>IFERROR(__xludf.DUMMYFUNCTION("""COMPUTED_VALUE"""),TRUE)</f>
        <v>1</v>
      </c>
      <c r="L210" s="174"/>
      <c r="M210" s="174"/>
      <c r="N210" s="174"/>
      <c r="O210" s="174"/>
      <c r="P210" s="174"/>
      <c r="Q210" s="174"/>
      <c r="R210" s="174"/>
      <c r="S210" s="174"/>
      <c r="T210" s="174"/>
      <c r="U210" s="174"/>
      <c r="V210" s="174"/>
      <c r="W210" s="174"/>
      <c r="X210" s="174"/>
      <c r="Y210" s="174"/>
      <c r="Z210" s="174"/>
    </row>
    <row r="211">
      <c r="A211" s="190" t="str">
        <f>IFERROR(__xludf.DUMMYFUNCTION("""COMPUTED_VALUE"""),"Heal Order")</f>
        <v>Heal Order</v>
      </c>
      <c r="B211" s="190" t="str">
        <f>IFERROR(__xludf.DUMMYFUNCTION("""COMPUTED_VALUE"""),"Bug")</f>
        <v>Bug</v>
      </c>
      <c r="C211" s="190" t="str">
        <f>IFERROR(__xludf.DUMMYFUNCTION("""COMPUTED_VALUE"""),"Status")</f>
        <v>Status</v>
      </c>
      <c r="D211" s="190" t="str">
        <f>IFERROR(__xludf.DUMMYFUNCTION("""COMPUTED_VALUE"""),"Scene x2")</f>
        <v>Scene x2</v>
      </c>
      <c r="E211" s="190" t="str">
        <f>IFERROR(__xludf.DUMMYFUNCTION("""COMPUTED_VALUE"""),"6m, 1 Target, Healing, Versatile")</f>
        <v>6m, 1 Target, Healing, Versatile</v>
      </c>
      <c r="F211" s="190" t="str">
        <f>IFERROR(__xludf.DUMMYFUNCTION("""COMPUTED_VALUE"""),"--")</f>
        <v>--</v>
      </c>
      <c r="G211" s="190" t="str">
        <f>IFERROR(__xludf.DUMMYFUNCTION("""COMPUTED_VALUE"""),"--")</f>
        <v>--</v>
      </c>
      <c r="H211" s="191" t="str">
        <f>IFERROR(__xludf.DUMMYFUNCTION("""COMPUTED_VALUE"""),"The Target restores 5 Ticks of Hit Points.")</f>
        <v>The Target restores 5 Ticks of Hit Points.</v>
      </c>
      <c r="I211" s="191" t="str">
        <f>IFERROR(__xludf.DUMMYFUNCTION("""COMPUTED_VALUE"""),"The Target restores a Tick of Hit Points. When used this way, it doesn't expend the Frequency of Heal Order.")</f>
        <v>The Target restores a Tick of Hit Points. When used this way, it doesn't expend the Frequency of Heal Order.</v>
      </c>
      <c r="J211" s="190" t="str">
        <f>IFERROR(__xludf.DUMMYFUNCTION("""COMPUTED_VALUE"""),"Tier 2")</f>
        <v>Tier 2</v>
      </c>
      <c r="K211" s="174" t="b">
        <f>IFERROR(__xludf.DUMMYFUNCTION("""COMPUTED_VALUE"""),TRUE)</f>
        <v>1</v>
      </c>
      <c r="L211" s="174"/>
      <c r="M211" s="174"/>
      <c r="N211" s="174"/>
      <c r="O211" s="174"/>
      <c r="P211" s="174"/>
      <c r="Q211" s="174"/>
      <c r="R211" s="174"/>
      <c r="S211" s="174"/>
      <c r="T211" s="174"/>
      <c r="U211" s="174"/>
      <c r="V211" s="174"/>
      <c r="W211" s="174"/>
      <c r="X211" s="174"/>
      <c r="Y211" s="174"/>
      <c r="Z211" s="174"/>
    </row>
    <row r="212">
      <c r="A212" s="190" t="str">
        <f>IFERROR(__xludf.DUMMYFUNCTION("""COMPUTED_VALUE"""),"Infestation")</f>
        <v>Infestation</v>
      </c>
      <c r="B212" s="190" t="str">
        <f>IFERROR(__xludf.DUMMYFUNCTION("""COMPUTED_VALUE"""),"Bug")</f>
        <v>Bug</v>
      </c>
      <c r="C212" s="190" t="str">
        <f>IFERROR(__xludf.DUMMYFUNCTION("""COMPUTED_VALUE"""),"Status")</f>
        <v>Status</v>
      </c>
      <c r="D212" s="190" t="str">
        <f>IFERROR(__xludf.DUMMYFUNCTION("""COMPUTED_VALUE"""),"Scene x2")</f>
        <v>Scene x2</v>
      </c>
      <c r="E212" s="190" t="str">
        <f>IFERROR(__xludf.DUMMYFUNCTION("""COMPUTED_VALUE"""),"8, Ranged Blast 3, Hazard, Versatile")</f>
        <v>8, Ranged Blast 3, Hazard, Versatile</v>
      </c>
      <c r="F212" s="190" t="str">
        <f>IFERROR(__xludf.DUMMYFUNCTION("""COMPUTED_VALUE"""),"--")</f>
        <v>--</v>
      </c>
      <c r="G212" s="190" t="str">
        <f>IFERROR(__xludf.DUMMYFUNCTION("""COMPUTED_VALUE"""),"--")</f>
        <v>--</v>
      </c>
      <c r="H212" s="191" t="str">
        <f>IFERROR(__xludf.DUMMYFUNCTION("""COMPUTED_VALUE"""),"All Spaces within the Range of this Attack have Infestation Hazards created in them. 
Infestation Hazards - Any Enemy who starts their Turn or moves through an Infestation Hazard has a penalty to Accuracy and Save Checks equal to your Tier Level until th"&amp;"e end of their Turn")</f>
        <v>All Spaces within the Range of this Attack have Infestation Hazards created in them. 
Infestation Hazards - Any Enemy who starts their Turn or moves through an Infestation Hazard has a penalty to Accuracy and Save Checks equal to your Tier Level until the end of their Turn</v>
      </c>
      <c r="I212" s="191" t="str">
        <f>IFERROR(__xludf.DUMMYFUNCTION("""COMPUTED_VALUE"""),"Same as the normal Effects but the Hazards are removed at the end of the Round. ")</f>
        <v>Same as the normal Effects but the Hazards are removed at the end of the Round. </v>
      </c>
      <c r="J212" s="190" t="str">
        <f>IFERROR(__xludf.DUMMYFUNCTION("""COMPUTED_VALUE"""),"Tier 2")</f>
        <v>Tier 2</v>
      </c>
      <c r="K212" s="174" t="b">
        <f>IFERROR(__xludf.DUMMYFUNCTION("""COMPUTED_VALUE"""),TRUE)</f>
        <v>1</v>
      </c>
      <c r="L212" s="174"/>
      <c r="M212" s="174"/>
      <c r="N212" s="174"/>
      <c r="O212" s="174"/>
      <c r="P212" s="174"/>
      <c r="Q212" s="174"/>
      <c r="R212" s="174"/>
      <c r="S212" s="174"/>
      <c r="T212" s="174"/>
      <c r="U212" s="174"/>
      <c r="V212" s="174"/>
      <c r="W212" s="174"/>
      <c r="X212" s="174"/>
      <c r="Y212" s="174"/>
      <c r="Z212" s="174"/>
    </row>
    <row r="213">
      <c r="A213" s="190" t="str">
        <f>IFERROR(__xludf.DUMMYFUNCTION("""COMPUTED_VALUE"""),"Insect Cleave")</f>
        <v>Insect Cleave</v>
      </c>
      <c r="B213" s="190" t="str">
        <f>IFERROR(__xludf.DUMMYFUNCTION("""COMPUTED_VALUE"""),"Bug")</f>
        <v>Bug</v>
      </c>
      <c r="C213" s="190" t="str">
        <f>IFERROR(__xludf.DUMMYFUNCTION("""COMPUTED_VALUE"""),"Physical")</f>
        <v>Physical</v>
      </c>
      <c r="D213" s="190" t="str">
        <f>IFERROR(__xludf.DUMMYFUNCTION("""COMPUTED_VALUE"""),"EOT")</f>
        <v>EOT</v>
      </c>
      <c r="E213" s="190" t="str">
        <f>IFERROR(__xludf.DUMMYFUNCTION("""COMPUTED_VALUE"""),"Melee, Pass or Close Blast 2")</f>
        <v>Melee, Pass or Close Blast 2</v>
      </c>
      <c r="F213" s="190">
        <f>IFERROR(__xludf.DUMMYFUNCTION("""COMPUTED_VALUE"""),5.0)</f>
        <v>5</v>
      </c>
      <c r="G213" s="190">
        <f>IFERROR(__xludf.DUMMYFUNCTION("""COMPUTED_VALUE"""),6.0)</f>
        <v>6</v>
      </c>
      <c r="H213" s="191" t="str">
        <f>IFERROR(__xludf.DUMMYFUNCTION("""COMPUTED_VALUE"""),"As a Full Action, or if the Target is Wounded, this Attack has the Smite Keyword.")</f>
        <v>As a Full Action, or if the Target is Wounded, this Attack has the Smite Keyword.</v>
      </c>
      <c r="I213" s="191" t="str">
        <f>IFERROR(__xludf.DUMMYFUNCTION("""COMPUTED_VALUE"""),"--")</f>
        <v>--</v>
      </c>
      <c r="J213" s="190" t="str">
        <f>IFERROR(__xludf.DUMMYFUNCTION("""COMPUTED_VALUE"""),"Tier 1")</f>
        <v>Tier 1</v>
      </c>
      <c r="K213" s="174" t="b">
        <f>IFERROR(__xludf.DUMMYFUNCTION("""COMPUTED_VALUE"""),TRUE)</f>
        <v>1</v>
      </c>
      <c r="L213" s="174"/>
      <c r="M213" s="174"/>
      <c r="N213" s="174"/>
      <c r="O213" s="174"/>
      <c r="P213" s="174"/>
      <c r="Q213" s="174"/>
      <c r="R213" s="174"/>
      <c r="S213" s="174"/>
      <c r="T213" s="174"/>
      <c r="U213" s="174"/>
      <c r="V213" s="174"/>
      <c r="W213" s="174"/>
      <c r="X213" s="174"/>
      <c r="Y213" s="174"/>
      <c r="Z213" s="174"/>
    </row>
    <row r="214">
      <c r="A214" s="190" t="str">
        <f>IFERROR(__xludf.DUMMYFUNCTION("""COMPUTED_VALUE"""),"Lance Stinger")</f>
        <v>Lance Stinger</v>
      </c>
      <c r="B214" s="190" t="str">
        <f>IFERROR(__xludf.DUMMYFUNCTION("""COMPUTED_VALUE"""),"Bug")</f>
        <v>Bug</v>
      </c>
      <c r="C214" s="190" t="str">
        <f>IFERROR(__xludf.DUMMYFUNCTION("""COMPUTED_VALUE"""),"Physical")</f>
        <v>Physical</v>
      </c>
      <c r="D214" s="190" t="str">
        <f>IFERROR(__xludf.DUMMYFUNCTION("""COMPUTED_VALUE"""),"Scene x2")</f>
        <v>Scene x2</v>
      </c>
      <c r="E214" s="190" t="str">
        <f>IFERROR(__xludf.DUMMYFUNCTION("""COMPUTED_VALUE"""),"Melee, Full Action, Pass")</f>
        <v>Melee, Full Action, Pass</v>
      </c>
      <c r="F214" s="190">
        <f>IFERROR(__xludf.DUMMYFUNCTION("""COMPUTED_VALUE"""),6.0)</f>
        <v>6</v>
      </c>
      <c r="G214" s="190">
        <f>IFERROR(__xludf.DUMMYFUNCTION("""COMPUTED_VALUE"""),13.0)</f>
        <v>13</v>
      </c>
      <c r="H214" s="191" t="str">
        <f>IFERROR(__xludf.DUMMYFUNCTION("""COMPUTED_VALUE"""),"Lance Stinger ignores any positive Defense Combat Stages of its Targets and cannot trigger Reactions.")</f>
        <v>Lance Stinger ignores any positive Defense Combat Stages of its Targets and cannot trigger Reactions.</v>
      </c>
      <c r="I214" s="191" t="str">
        <f>IFERROR(__xludf.DUMMYFUNCTION("""COMPUTED_VALUE"""),"--")</f>
        <v>--</v>
      </c>
      <c r="J214" s="190" t="str">
        <f>IFERROR(__xludf.DUMMYFUNCTION("""COMPUTED_VALUE"""),"Tier 3")</f>
        <v>Tier 3</v>
      </c>
      <c r="K214" s="174" t="b">
        <f>IFERROR(__xludf.DUMMYFUNCTION("""COMPUTED_VALUE"""),TRUE)</f>
        <v>1</v>
      </c>
      <c r="L214" s="174"/>
      <c r="M214" s="174"/>
      <c r="N214" s="174"/>
      <c r="O214" s="174"/>
      <c r="P214" s="174"/>
      <c r="Q214" s="174"/>
      <c r="R214" s="174"/>
      <c r="S214" s="174"/>
      <c r="T214" s="174"/>
      <c r="U214" s="174"/>
      <c r="V214" s="174"/>
      <c r="W214" s="174"/>
      <c r="X214" s="174"/>
      <c r="Y214" s="174"/>
      <c r="Z214" s="174"/>
    </row>
    <row r="215">
      <c r="A215" s="190" t="str">
        <f>IFERROR(__xludf.DUMMYFUNCTION("""COMPUTED_VALUE"""),"Leech Life")</f>
        <v>Leech Life</v>
      </c>
      <c r="B215" s="190" t="str">
        <f>IFERROR(__xludf.DUMMYFUNCTION("""COMPUTED_VALUE"""),"Bug")</f>
        <v>Bug</v>
      </c>
      <c r="C215" s="190" t="str">
        <f>IFERROR(__xludf.DUMMYFUNCTION("""COMPUTED_VALUE"""),"Physical")</f>
        <v>Physical</v>
      </c>
      <c r="D215" s="190" t="str">
        <f>IFERROR(__xludf.DUMMYFUNCTION("""COMPUTED_VALUE"""),"Scene x2")</f>
        <v>Scene x2</v>
      </c>
      <c r="E215" s="190" t="str">
        <f>IFERROR(__xludf.DUMMYFUNCTION("""COMPUTED_VALUE"""),"4, 1 Target")</f>
        <v>4, 1 Target</v>
      </c>
      <c r="F215" s="190">
        <f>IFERROR(__xludf.DUMMYFUNCTION("""COMPUTED_VALUE"""),5.0)</f>
        <v>5</v>
      </c>
      <c r="G215" s="190">
        <f>IFERROR(__xludf.DUMMYFUNCTION("""COMPUTED_VALUE"""),8.0)</f>
        <v>8</v>
      </c>
      <c r="H215" s="191" t="str">
        <f>IFERROR(__xludf.DUMMYFUNCTION("""COMPUTED_VALUE"""),"Drain. ")</f>
        <v>Drain. </v>
      </c>
      <c r="I215" s="191" t="str">
        <f>IFERROR(__xludf.DUMMYFUNCTION("""COMPUTED_VALUE"""),"--")</f>
        <v>--</v>
      </c>
      <c r="J215" s="190" t="str">
        <f>IFERROR(__xludf.DUMMYFUNCTION("""COMPUTED_VALUE"""),"Tier 2")</f>
        <v>Tier 2</v>
      </c>
      <c r="K215" s="174" t="b">
        <f>IFERROR(__xludf.DUMMYFUNCTION("""COMPUTED_VALUE"""),TRUE)</f>
        <v>1</v>
      </c>
      <c r="L215" s="174"/>
      <c r="M215" s="174"/>
      <c r="N215" s="174"/>
      <c r="O215" s="174"/>
      <c r="P215" s="174"/>
      <c r="Q215" s="174"/>
      <c r="R215" s="174"/>
      <c r="S215" s="174"/>
      <c r="T215" s="174"/>
      <c r="U215" s="174"/>
      <c r="V215" s="174"/>
      <c r="W215" s="174"/>
      <c r="X215" s="174"/>
      <c r="Y215" s="174"/>
      <c r="Z215" s="174"/>
    </row>
    <row r="216">
      <c r="A216" s="190" t="str">
        <f>IFERROR(__xludf.DUMMYFUNCTION("""COMPUTED_VALUE"""),"Locust Swarm")</f>
        <v>Locust Swarm</v>
      </c>
      <c r="B216" s="190" t="str">
        <f>IFERROR(__xludf.DUMMYFUNCTION("""COMPUTED_VALUE"""),"Bug")</f>
        <v>Bug</v>
      </c>
      <c r="C216" s="190" t="str">
        <f>IFERROR(__xludf.DUMMYFUNCTION("""COMPUTED_VALUE"""),"Status")</f>
        <v>Status</v>
      </c>
      <c r="D216" s="190" t="str">
        <f>IFERROR(__xludf.DUMMYFUNCTION("""COMPUTED_VALUE"""),"Scene x2")</f>
        <v>Scene x2</v>
      </c>
      <c r="E216" s="190" t="str">
        <f>IFERROR(__xludf.DUMMYFUNCTION("""COMPUTED_VALUE"""),"Field, Versatile")</f>
        <v>Field, Versatile</v>
      </c>
      <c r="F216" s="190" t="str">
        <f>IFERROR(__xludf.DUMMYFUNCTION("""COMPUTED_VALUE"""),"--")</f>
        <v>--</v>
      </c>
      <c r="G216" s="190" t="str">
        <f>IFERROR(__xludf.DUMMYFUNCTION("""COMPUTED_VALUE"""),"--")</f>
        <v>--</v>
      </c>
      <c r="H216" s="191" t="str">
        <f>IFERROR(__xludf.DUMMYFUNCTION("""COMPUTED_VALUE"""),"The Field becomes Swarmed for the next 5 Rounds. While the Field is Swarmed, non Bug Type Enemies lose a Tick of Hit Points at the start of their Turn and Bug Type Pokemon gain a Tick of Temporary Hit Points at the start of their Turn.")</f>
        <v>The Field becomes Swarmed for the next 5 Rounds. While the Field is Swarmed, non Bug Type Enemies lose a Tick of Hit Points at the start of their Turn and Bug Type Pokemon gain a Tick of Temporary Hit Points at the start of their Turn.</v>
      </c>
      <c r="I216" s="191" t="str">
        <f>IFERROR(__xludf.DUMMYFUNCTION("""COMPUTED_VALUE"""),"Same as the normal Effect, but at the end of the Round, roll a Luck Check and with an 8 or less, the Field is no longer affected by this Attack.")</f>
        <v>Same as the normal Effect, but at the end of the Round, roll a Luck Check and with an 8 or less, the Field is no longer affected by this Attack.</v>
      </c>
      <c r="J216" s="190" t="str">
        <f>IFERROR(__xludf.DUMMYFUNCTION("""COMPUTED_VALUE"""),"Tier 2")</f>
        <v>Tier 2</v>
      </c>
      <c r="K216" s="174" t="b">
        <f>IFERROR(__xludf.DUMMYFUNCTION("""COMPUTED_VALUE"""),TRUE)</f>
        <v>1</v>
      </c>
      <c r="L216" s="174"/>
      <c r="M216" s="174"/>
      <c r="N216" s="174"/>
      <c r="O216" s="174"/>
      <c r="P216" s="174"/>
      <c r="Q216" s="174"/>
      <c r="R216" s="174"/>
      <c r="S216" s="174"/>
      <c r="T216" s="174"/>
      <c r="U216" s="174"/>
      <c r="V216" s="174"/>
      <c r="W216" s="174"/>
      <c r="X216" s="174"/>
      <c r="Y216" s="174"/>
      <c r="Z216" s="174"/>
    </row>
    <row r="217">
      <c r="A217" s="190" t="str">
        <f>IFERROR(__xludf.DUMMYFUNCTION("""COMPUTED_VALUE"""),"Lunge")</f>
        <v>Lunge</v>
      </c>
      <c r="B217" s="190" t="str">
        <f>IFERROR(__xludf.DUMMYFUNCTION("""COMPUTED_VALUE"""),"Bug")</f>
        <v>Bug</v>
      </c>
      <c r="C217" s="190" t="str">
        <f>IFERROR(__xludf.DUMMYFUNCTION("""COMPUTED_VALUE"""),"Physical")</f>
        <v>Physical</v>
      </c>
      <c r="D217" s="190" t="str">
        <f>IFERROR(__xludf.DUMMYFUNCTION("""COMPUTED_VALUE"""),"EOT")</f>
        <v>EOT</v>
      </c>
      <c r="E217" s="190" t="str">
        <f>IFERROR(__xludf.DUMMYFUNCTION("""COMPUTED_VALUE"""),"Melee, 1 Target, Dash")</f>
        <v>Melee, 1 Target, Dash</v>
      </c>
      <c r="F217" s="190">
        <f>IFERROR(__xludf.DUMMYFUNCTION("""COMPUTED_VALUE"""),3.0)</f>
        <v>3</v>
      </c>
      <c r="G217" s="190">
        <f>IFERROR(__xludf.DUMMYFUNCTION("""COMPUTED_VALUE"""),8.0)</f>
        <v>8</v>
      </c>
      <c r="H217" s="191" t="str">
        <f>IFERROR(__xludf.DUMMYFUNCTION("""COMPUTED_VALUE"""),"Lunge gains the Sureshot Keyword if the Target is Slowed, Trapped or Vulnerable or if the Dash Keyword is Activated.")</f>
        <v>Lunge gains the Sureshot Keyword if the Target is Slowed, Trapped or Vulnerable or if the Dash Keyword is Activated.</v>
      </c>
      <c r="I217" s="191" t="str">
        <f>IFERROR(__xludf.DUMMYFUNCTION("""COMPUTED_VALUE"""),"--")</f>
        <v>--</v>
      </c>
      <c r="J217" s="190" t="str">
        <f>IFERROR(__xludf.DUMMYFUNCTION("""COMPUTED_VALUE"""),"Tier 2")</f>
        <v>Tier 2</v>
      </c>
      <c r="K217" s="174" t="b">
        <f>IFERROR(__xludf.DUMMYFUNCTION("""COMPUTED_VALUE"""),TRUE)</f>
        <v>1</v>
      </c>
      <c r="L217" s="174"/>
      <c r="M217" s="174"/>
      <c r="N217" s="174"/>
      <c r="O217" s="174"/>
      <c r="P217" s="174"/>
      <c r="Q217" s="174"/>
      <c r="R217" s="174"/>
      <c r="S217" s="174"/>
      <c r="T217" s="174"/>
      <c r="U217" s="174"/>
      <c r="V217" s="174"/>
      <c r="W217" s="174"/>
      <c r="X217" s="174"/>
      <c r="Y217" s="174"/>
      <c r="Z217" s="174"/>
    </row>
    <row r="218">
      <c r="A218" s="190" t="str">
        <f>IFERROR(__xludf.DUMMYFUNCTION("""COMPUTED_VALUE"""),"Megahorn")</f>
        <v>Megahorn</v>
      </c>
      <c r="B218" s="190" t="str">
        <f>IFERROR(__xludf.DUMMYFUNCTION("""COMPUTED_VALUE"""),"Bug")</f>
        <v>Bug</v>
      </c>
      <c r="C218" s="190" t="str">
        <f>IFERROR(__xludf.DUMMYFUNCTION("""COMPUTED_VALUE"""),"Physical")</f>
        <v>Physical</v>
      </c>
      <c r="D218" s="190" t="str">
        <f>IFERROR(__xludf.DUMMYFUNCTION("""COMPUTED_VALUE"""),"Scene x2")</f>
        <v>Scene x2</v>
      </c>
      <c r="E218" s="190" t="str">
        <f>IFERROR(__xludf.DUMMYFUNCTION("""COMPUTED_VALUE"""),"Melee, 1 Target")</f>
        <v>Melee, 1 Target</v>
      </c>
      <c r="F218" s="190">
        <f>IFERROR(__xludf.DUMMYFUNCTION("""COMPUTED_VALUE"""),4.0)</f>
        <v>4</v>
      </c>
      <c r="G218" s="190">
        <f>IFERROR(__xludf.DUMMYFUNCTION("""COMPUTED_VALUE"""),12.0)</f>
        <v>12</v>
      </c>
      <c r="H218" s="191" t="str">
        <f>IFERROR(__xludf.DUMMYFUNCTION("""COMPUTED_VALUE"""),"The Target loses -1 CS in Defense. If they already have negative CS in Defense, they also become Vulnerable against Melee Attacks until the end of the next Round.")</f>
        <v>The Target loses -1 CS in Defense. If they already have negative CS in Defense, they also become Vulnerable against Melee Attacks until the end of the next Round.</v>
      </c>
      <c r="I218" s="191" t="str">
        <f>IFERROR(__xludf.DUMMYFUNCTION("""COMPUTED_VALUE"""),"--")</f>
        <v>--</v>
      </c>
      <c r="J218" s="190" t="str">
        <f>IFERROR(__xludf.DUMMYFUNCTION("""COMPUTED_VALUE"""),"Tier 3")</f>
        <v>Tier 3</v>
      </c>
      <c r="K218" s="174" t="b">
        <f>IFERROR(__xludf.DUMMYFUNCTION("""COMPUTED_VALUE"""),TRUE)</f>
        <v>1</v>
      </c>
      <c r="L218" s="174"/>
      <c r="M218" s="174"/>
      <c r="N218" s="174"/>
      <c r="O218" s="174"/>
      <c r="P218" s="174"/>
      <c r="Q218" s="174"/>
      <c r="R218" s="174"/>
      <c r="S218" s="174"/>
      <c r="T218" s="174"/>
      <c r="U218" s="174"/>
      <c r="V218" s="174"/>
      <c r="W218" s="174"/>
      <c r="X218" s="174"/>
      <c r="Y218" s="174"/>
      <c r="Z218" s="174"/>
    </row>
    <row r="219">
      <c r="A219" s="190" t="str">
        <f>IFERROR(__xludf.DUMMYFUNCTION("""COMPUTED_VALUE"""),"Pheromone Haze")</f>
        <v>Pheromone Haze</v>
      </c>
      <c r="B219" s="190" t="str">
        <f>IFERROR(__xludf.DUMMYFUNCTION("""COMPUTED_VALUE"""),"Bug")</f>
        <v>Bug</v>
      </c>
      <c r="C219" s="190" t="str">
        <f>IFERROR(__xludf.DUMMYFUNCTION("""COMPUTED_VALUE"""),"Status")</f>
        <v>Status</v>
      </c>
      <c r="D219" s="190" t="str">
        <f>IFERROR(__xludf.DUMMYFUNCTION("""COMPUTED_VALUE"""),"Scene x2")</f>
        <v>Scene x2</v>
      </c>
      <c r="E219" s="190" t="str">
        <f>IFERROR(__xludf.DUMMYFUNCTION("""COMPUTED_VALUE"""),"Blessing, Versatile")</f>
        <v>Blessing, Versatile</v>
      </c>
      <c r="F219" s="190" t="str">
        <f>IFERROR(__xludf.DUMMYFUNCTION("""COMPUTED_VALUE"""),"--")</f>
        <v>--</v>
      </c>
      <c r="G219" s="190" t="str">
        <f>IFERROR(__xludf.DUMMYFUNCTION("""COMPUTED_VALUE"""),"--")</f>
        <v>--</v>
      </c>
      <c r="H219" s="191" t="str">
        <f>IFERROR(__xludf.DUMMYFUNCTION("""COMPUTED_VALUE"""),"Blessing - Any user affected by Pheromone Haze may activate it as a Free Action when using a Bug Type Damaging Attack to grant it the Smite Keyword. If the Attack hits, it hits, it is also increased by one damage step. (Max 1.5x Effectiveness). Pheromone "&amp;"Haze may be Activated 3 times and then disappears. ")</f>
        <v>Blessing - Any user affected by Pheromone Haze may activate it as a Free Action when using a Bug Type Damaging Attack to grant it the Smite Keyword. If the Attack hits, it hits, it is also increased by one damage step. (Max 1.5x Effectiveness). Pheromone Haze may be Activated 3 times and then disappears. </v>
      </c>
      <c r="I219" s="191" t="str">
        <f>IFERROR(__xludf.DUMMYFUNCTION("""COMPUTED_VALUE"""),"Same as the normal Effect, but it only has 1 Activation.")</f>
        <v>Same as the normal Effect, but it only has 1 Activation.</v>
      </c>
      <c r="J219" s="190" t="str">
        <f>IFERROR(__xludf.DUMMYFUNCTION("""COMPUTED_VALUE"""),"Tier 2")</f>
        <v>Tier 2</v>
      </c>
      <c r="K219" s="174" t="b">
        <f>IFERROR(__xludf.DUMMYFUNCTION("""COMPUTED_VALUE"""),TRUE)</f>
        <v>1</v>
      </c>
      <c r="L219" s="174"/>
      <c r="M219" s="174"/>
      <c r="N219" s="174"/>
      <c r="O219" s="174"/>
      <c r="P219" s="174"/>
      <c r="Q219" s="174"/>
      <c r="R219" s="174"/>
      <c r="S219" s="174"/>
      <c r="T219" s="174"/>
      <c r="U219" s="174"/>
      <c r="V219" s="174"/>
      <c r="W219" s="174"/>
      <c r="X219" s="174"/>
      <c r="Y219" s="174"/>
      <c r="Z219" s="174"/>
    </row>
    <row r="220">
      <c r="A220" s="190" t="str">
        <f>IFERROR(__xludf.DUMMYFUNCTION("""COMPUTED_VALUE"""),"Pheromone Spray")</f>
        <v>Pheromone Spray</v>
      </c>
      <c r="B220" s="190" t="str">
        <f>IFERROR(__xludf.DUMMYFUNCTION("""COMPUTED_VALUE"""),"Bug")</f>
        <v>Bug</v>
      </c>
      <c r="C220" s="190" t="str">
        <f>IFERROR(__xludf.DUMMYFUNCTION("""COMPUTED_VALUE"""),"Special")</f>
        <v>Special</v>
      </c>
      <c r="D220" s="190" t="str">
        <f>IFERROR(__xludf.DUMMYFUNCTION("""COMPUTED_VALUE"""),"EOT")</f>
        <v>EOT</v>
      </c>
      <c r="E220" s="190" t="str">
        <f>IFERROR(__xludf.DUMMYFUNCTION("""COMPUTED_VALUE"""),"Close Blast 2")</f>
        <v>Close Blast 2</v>
      </c>
      <c r="F220" s="190">
        <f>IFERROR(__xludf.DUMMYFUNCTION("""COMPUTED_VALUE"""),5.0)</f>
        <v>5</v>
      </c>
      <c r="G220" s="190">
        <f>IFERROR(__xludf.DUMMYFUNCTION("""COMPUTED_VALUE"""),4.0)</f>
        <v>4</v>
      </c>
      <c r="H220" s="191" t="str">
        <f>IFERROR(__xludf.DUMMYFUNCTION("""COMPUTED_VALUE"""),"One Target becomes Marked with a Haze Mark. Attacks against Enemies with a Haze Mark have a bonus to Effect Ranges equal to your Tier Level. When an Effect Range Triggers against an Enemy with a Haze Mark, the Haze Mark is removed. Spirit Surge")</f>
        <v>One Target becomes Marked with a Haze Mark. Attacks against Enemies with a Haze Mark have a bonus to Effect Ranges equal to your Tier Level. When an Effect Range Triggers against an Enemy with a Haze Mark, the Haze Mark is removed. Spirit Surge</v>
      </c>
      <c r="I220" s="191" t="str">
        <f>IFERROR(__xludf.DUMMYFUNCTION("""COMPUTED_VALUE"""),"--")</f>
        <v>--</v>
      </c>
      <c r="J220" s="190" t="str">
        <f>IFERROR(__xludf.DUMMYFUNCTION("""COMPUTED_VALUE"""),"Tier 1")</f>
        <v>Tier 1</v>
      </c>
      <c r="K220" s="174" t="b">
        <f>IFERROR(__xludf.DUMMYFUNCTION("""COMPUTED_VALUE"""),TRUE)</f>
        <v>1</v>
      </c>
      <c r="L220" s="174"/>
      <c r="M220" s="174"/>
      <c r="N220" s="174"/>
      <c r="O220" s="174"/>
      <c r="P220" s="174"/>
      <c r="Q220" s="174"/>
      <c r="R220" s="174"/>
      <c r="S220" s="174"/>
      <c r="T220" s="174"/>
      <c r="U220" s="174"/>
      <c r="V220" s="174"/>
      <c r="W220" s="174"/>
      <c r="X220" s="174"/>
      <c r="Y220" s="174"/>
      <c r="Z220" s="174"/>
    </row>
    <row r="221">
      <c r="A221" s="190" t="str">
        <f>IFERROR(__xludf.DUMMYFUNCTION("""COMPUTED_VALUE"""),"Pin Missile")</f>
        <v>Pin Missile</v>
      </c>
      <c r="B221" s="190" t="str">
        <f>IFERROR(__xludf.DUMMYFUNCTION("""COMPUTED_VALUE"""),"Bug")</f>
        <v>Bug</v>
      </c>
      <c r="C221" s="190" t="str">
        <f>IFERROR(__xludf.DUMMYFUNCTION("""COMPUTED_VALUE"""),"Physical")</f>
        <v>Physical</v>
      </c>
      <c r="D221" s="190" t="str">
        <f>IFERROR(__xludf.DUMMYFUNCTION("""COMPUTED_VALUE"""),"EOT")</f>
        <v>EOT</v>
      </c>
      <c r="E221" s="190" t="str">
        <f>IFERROR(__xludf.DUMMYFUNCTION("""COMPUTED_VALUE"""),"6, 1 Target")</f>
        <v>6, 1 Target</v>
      </c>
      <c r="F221" s="190">
        <f>IFERROR(__xludf.DUMMYFUNCTION("""COMPUTED_VALUE"""),5.0)</f>
        <v>5</v>
      </c>
      <c r="G221" s="190">
        <f>IFERROR(__xludf.DUMMYFUNCTION("""COMPUTED_VALUE"""),4.0)</f>
        <v>4</v>
      </c>
      <c r="H221" s="191" t="str">
        <f>IFERROR(__xludf.DUMMYFUNCTION("""COMPUTED_VALUE"""),"If Pin Missile hits at least 4 times, the Target becomes Wounded. Five Strike")</f>
        <v>If Pin Missile hits at least 4 times, the Target becomes Wounded. Five Strike</v>
      </c>
      <c r="I221" s="191" t="str">
        <f>IFERROR(__xludf.DUMMYFUNCTION("""COMPUTED_VALUE"""),"--")</f>
        <v>--</v>
      </c>
      <c r="J221" s="190" t="str">
        <f>IFERROR(__xludf.DUMMYFUNCTION("""COMPUTED_VALUE"""),"Tier 1")</f>
        <v>Tier 1</v>
      </c>
      <c r="K221" s="174" t="b">
        <f>IFERROR(__xludf.DUMMYFUNCTION("""COMPUTED_VALUE"""),TRUE)</f>
        <v>1</v>
      </c>
      <c r="L221" s="174"/>
      <c r="M221" s="174"/>
      <c r="N221" s="174"/>
      <c r="O221" s="174"/>
      <c r="P221" s="174"/>
      <c r="Q221" s="174"/>
      <c r="R221" s="174"/>
      <c r="S221" s="174"/>
      <c r="T221" s="174"/>
      <c r="U221" s="174"/>
      <c r="V221" s="174"/>
      <c r="W221" s="174"/>
      <c r="X221" s="174"/>
      <c r="Y221" s="174"/>
      <c r="Z221" s="174"/>
    </row>
    <row r="222">
      <c r="A222" s="190" t="str">
        <f>IFERROR(__xludf.DUMMYFUNCTION("""COMPUTED_VALUE"""),"Pollen Puff")</f>
        <v>Pollen Puff</v>
      </c>
      <c r="B222" s="190" t="str">
        <f>IFERROR(__xludf.DUMMYFUNCTION("""COMPUTED_VALUE"""),"Bug")</f>
        <v>Bug</v>
      </c>
      <c r="C222" s="190" t="str">
        <f>IFERROR(__xludf.DUMMYFUNCTION("""COMPUTED_VALUE"""),"Special")</f>
        <v>Special</v>
      </c>
      <c r="D222" s="190" t="str">
        <f>IFERROR(__xludf.DUMMYFUNCTION("""COMPUTED_VALUE"""),"EOT")</f>
        <v>EOT</v>
      </c>
      <c r="E222" s="190" t="str">
        <f>IFERROR(__xludf.DUMMYFUNCTION("""COMPUTED_VALUE"""),"6, 1 Target")</f>
        <v>6, 1 Target</v>
      </c>
      <c r="F222" s="190">
        <f>IFERROR(__xludf.DUMMYFUNCTION("""COMPUTED_VALUE"""),4.0)</f>
        <v>4</v>
      </c>
      <c r="G222" s="190">
        <f>IFERROR(__xludf.DUMMYFUNCTION("""COMPUTED_VALUE"""),8.0)</f>
        <v>8</v>
      </c>
      <c r="H222" s="191" t="str">
        <f>IFERROR(__xludf.DUMMYFUNCTION("""COMPUTED_VALUE"""),"If Pollen Puff targets an Ally instead of dealing damage, they restore 2 Ticks of Hit Points or Temporary Hit Points.")</f>
        <v>If Pollen Puff targets an Ally instead of dealing damage, they restore 2 Ticks of Hit Points or Temporary Hit Points.</v>
      </c>
      <c r="I222" s="191" t="str">
        <f>IFERROR(__xludf.DUMMYFUNCTION("""COMPUTED_VALUE"""),"--")</f>
        <v>--</v>
      </c>
      <c r="J222" s="190" t="str">
        <f>IFERROR(__xludf.DUMMYFUNCTION("""COMPUTED_VALUE"""),"Tier 2")</f>
        <v>Tier 2</v>
      </c>
      <c r="K222" s="174" t="b">
        <f>IFERROR(__xludf.DUMMYFUNCTION("""COMPUTED_VALUE"""),TRUE)</f>
        <v>1</v>
      </c>
      <c r="L222" s="174"/>
      <c r="M222" s="174"/>
      <c r="N222" s="174"/>
      <c r="O222" s="174"/>
      <c r="P222" s="174"/>
      <c r="Q222" s="174"/>
      <c r="R222" s="174"/>
      <c r="S222" s="174"/>
      <c r="T222" s="174"/>
      <c r="U222" s="174"/>
      <c r="V222" s="174"/>
      <c r="W222" s="174"/>
      <c r="X222" s="174"/>
      <c r="Y222" s="174"/>
      <c r="Z222" s="174"/>
    </row>
    <row r="223">
      <c r="A223" s="190" t="str">
        <f>IFERROR(__xludf.DUMMYFUNCTION("""COMPUTED_VALUE"""),"Powder")</f>
        <v>Powder</v>
      </c>
      <c r="B223" s="190" t="str">
        <f>IFERROR(__xludf.DUMMYFUNCTION("""COMPUTED_VALUE"""),"Bug")</f>
        <v>Bug</v>
      </c>
      <c r="C223" s="190" t="str">
        <f>IFERROR(__xludf.DUMMYFUNCTION("""COMPUTED_VALUE"""),"Status")</f>
        <v>Status</v>
      </c>
      <c r="D223" s="190" t="str">
        <f>IFERROR(__xludf.DUMMYFUNCTION("""COMPUTED_VALUE"""),"Scene x2")</f>
        <v>Scene x2</v>
      </c>
      <c r="E223" s="190" t="str">
        <f>IFERROR(__xludf.DUMMYFUNCTION("""COMPUTED_VALUE"""),"6, Ranged Blast 3, Versatile")</f>
        <v>6, Ranged Blast 3, Versatile</v>
      </c>
      <c r="F223" s="190">
        <f>IFERROR(__xludf.DUMMYFUNCTION("""COMPUTED_VALUE"""),4.0)</f>
        <v>4</v>
      </c>
      <c r="G223" s="190" t="str">
        <f>IFERROR(__xludf.DUMMYFUNCTION("""COMPUTED_VALUE"""),"--")</f>
        <v>--</v>
      </c>
      <c r="H223" s="191" t="str">
        <f>IFERROR(__xludf.DUMMYFUNCTION("""COMPUTED_VALUE"""),"The Target gains a Flammable Coat. Whenever a Combatant with a Flammable Coat is hit with a 1 Target Ranged Damaging Attack, the Attacker may expend the Coat. Once expended, a Burst 2 explosion occurs originating from the Enemy with the Coat and all Comba"&amp;"tants within this Range are also hit with the Triggering Attack. ")</f>
        <v>The Target gains a Flammable Coat. Whenever a Combatant with a Flammable Coat is hit with a 1 Target Ranged Damaging Attack, the Attacker may expend the Coat. Once expended, a Burst 2 explosion occurs originating from the Enemy with the Coat and all Combatants within this Range are also hit with the Triggering Attack. </v>
      </c>
      <c r="I223" s="191" t="str">
        <f>IFERROR(__xludf.DUMMYFUNCTION("""COMPUTED_VALUE"""),"Same as the normal Effects, but the Range is changed to 3, 1 Target and the explosion is a Burst 1 instead.")</f>
        <v>Same as the normal Effects, but the Range is changed to 3, 1 Target and the explosion is a Burst 1 instead.</v>
      </c>
      <c r="J223" s="190" t="str">
        <f>IFERROR(__xludf.DUMMYFUNCTION("""COMPUTED_VALUE"""),"Tier 2")</f>
        <v>Tier 2</v>
      </c>
      <c r="K223" s="174" t="b">
        <f>IFERROR(__xludf.DUMMYFUNCTION("""COMPUTED_VALUE"""),TRUE)</f>
        <v>1</v>
      </c>
      <c r="L223" s="174"/>
      <c r="M223" s="174"/>
      <c r="N223" s="174"/>
      <c r="O223" s="174"/>
      <c r="P223" s="174"/>
      <c r="Q223" s="174"/>
      <c r="R223" s="174"/>
      <c r="S223" s="174"/>
      <c r="T223" s="174"/>
      <c r="U223" s="174"/>
      <c r="V223" s="174"/>
      <c r="W223" s="174"/>
      <c r="X223" s="174"/>
      <c r="Y223" s="174"/>
      <c r="Z223" s="174"/>
    </row>
    <row r="224">
      <c r="A224" s="190" t="str">
        <f>IFERROR(__xludf.DUMMYFUNCTION("""COMPUTED_VALUE"""),"Powder Storm")</f>
        <v>Powder Storm</v>
      </c>
      <c r="B224" s="190" t="str">
        <f>IFERROR(__xludf.DUMMYFUNCTION("""COMPUTED_VALUE"""),"Bug")</f>
        <v>Bug</v>
      </c>
      <c r="C224" s="190" t="str">
        <f>IFERROR(__xludf.DUMMYFUNCTION("""COMPUTED_VALUE"""),"Special")</f>
        <v>Special</v>
      </c>
      <c r="D224" s="190" t="str">
        <f>IFERROR(__xludf.DUMMYFUNCTION("""COMPUTED_VALUE"""),"Scene")</f>
        <v>Scene</v>
      </c>
      <c r="E224" s="190" t="str">
        <f>IFERROR(__xludf.DUMMYFUNCTION("""COMPUTED_VALUE"""),"Close Blast 3, Full Action, Reckless")</f>
        <v>Close Blast 3, Full Action, Reckless</v>
      </c>
      <c r="F224" s="190">
        <f>IFERROR(__xludf.DUMMYFUNCTION("""COMPUTED_VALUE"""),6.0)</f>
        <v>6</v>
      </c>
      <c r="G224" s="190">
        <f>IFERROR(__xludf.DUMMYFUNCTION("""COMPUTED_VALUE"""),13.0)</f>
        <v>13</v>
      </c>
      <c r="H224" s="191" t="str">
        <f>IFERROR(__xludf.DUMMYFUNCTION("""COMPUTED_VALUE"""),"After Damage Calculations, lower the Offensive Stat used for this Attack by -2 CS. Smite")</f>
        <v>After Damage Calculations, lower the Offensive Stat used for this Attack by -2 CS. Smite</v>
      </c>
      <c r="I224" s="191" t="str">
        <f>IFERROR(__xludf.DUMMYFUNCTION("""COMPUTED_VALUE"""),"--")</f>
        <v>--</v>
      </c>
      <c r="J224" s="190" t="str">
        <f>IFERROR(__xludf.DUMMYFUNCTION("""COMPUTED_VALUE"""),"Tier 3")</f>
        <v>Tier 3</v>
      </c>
      <c r="K224" s="174" t="b">
        <f>IFERROR(__xludf.DUMMYFUNCTION("""COMPUTED_VALUE"""),TRUE)</f>
        <v>1</v>
      </c>
      <c r="L224" s="174"/>
      <c r="M224" s="174"/>
      <c r="N224" s="174"/>
      <c r="O224" s="174"/>
      <c r="P224" s="174"/>
      <c r="Q224" s="174"/>
      <c r="R224" s="174"/>
      <c r="S224" s="174"/>
      <c r="T224" s="174"/>
      <c r="U224" s="174"/>
      <c r="V224" s="174"/>
      <c r="W224" s="174"/>
      <c r="X224" s="174"/>
      <c r="Y224" s="174"/>
      <c r="Z224" s="174"/>
    </row>
    <row r="225">
      <c r="A225" s="190" t="str">
        <f>IFERROR(__xludf.DUMMYFUNCTION("""COMPUTED_VALUE"""),"Quiver Dance")</f>
        <v>Quiver Dance</v>
      </c>
      <c r="B225" s="190" t="str">
        <f>IFERROR(__xludf.DUMMYFUNCTION("""COMPUTED_VALUE"""),"Bug")</f>
        <v>Bug</v>
      </c>
      <c r="C225" s="190" t="str">
        <f>IFERROR(__xludf.DUMMYFUNCTION("""COMPUTED_VALUE"""),"Status")</f>
        <v>Status</v>
      </c>
      <c r="D225" s="190" t="str">
        <f>IFERROR(__xludf.DUMMYFUNCTION("""COMPUTED_VALUE"""),"Scene x2")</f>
        <v>Scene x2</v>
      </c>
      <c r="E225" s="190" t="str">
        <f>IFERROR(__xludf.DUMMYFUNCTION("""COMPUTED_VALUE"""),"Self, Versatile")</f>
        <v>Self, Versatile</v>
      </c>
      <c r="F225" s="190" t="str">
        <f>IFERROR(__xludf.DUMMYFUNCTION("""COMPUTED_VALUE"""),"--")</f>
        <v>--</v>
      </c>
      <c r="G225" s="190" t="str">
        <f>IFERROR(__xludf.DUMMYFUNCTION("""COMPUTED_VALUE"""),"--")</f>
        <v>--</v>
      </c>
      <c r="H225" s="191" t="str">
        <f>IFERROR(__xludf.DUMMYFUNCTION("""COMPUTED_VALUE"""),"The user gains +2 CS in Special Attack, Special Defense and Speed.")</f>
        <v>The user gains +2 CS in Special Attack, Special Defense and Speed.</v>
      </c>
      <c r="I225" s="191" t="str">
        <f>IFERROR(__xludf.DUMMYFUNCTION("""COMPUTED_VALUE"""),"Choose Special Attack, Special Defense or Speed to gain +1 CS in.")</f>
        <v>Choose Special Attack, Special Defense or Speed to gain +1 CS in.</v>
      </c>
      <c r="J225" s="190" t="str">
        <f>IFERROR(__xludf.DUMMYFUNCTION("""COMPUTED_VALUE"""),"Tier 2")</f>
        <v>Tier 2</v>
      </c>
      <c r="K225" s="174" t="b">
        <f>IFERROR(__xludf.DUMMYFUNCTION("""COMPUTED_VALUE"""),TRUE)</f>
        <v>1</v>
      </c>
      <c r="L225" s="174"/>
      <c r="M225" s="174"/>
      <c r="N225" s="174"/>
      <c r="O225" s="174"/>
      <c r="P225" s="174"/>
      <c r="Q225" s="174"/>
      <c r="R225" s="174"/>
      <c r="S225" s="174"/>
      <c r="T225" s="174"/>
      <c r="U225" s="174"/>
      <c r="V225" s="174"/>
      <c r="W225" s="174"/>
      <c r="X225" s="174"/>
      <c r="Y225" s="174"/>
      <c r="Z225" s="174"/>
    </row>
    <row r="226">
      <c r="A226" s="190" t="str">
        <f>IFERROR(__xludf.DUMMYFUNCTION("""COMPUTED_VALUE"""),"Rage Powder")</f>
        <v>Rage Powder</v>
      </c>
      <c r="B226" s="190" t="str">
        <f>IFERROR(__xludf.DUMMYFUNCTION("""COMPUTED_VALUE"""),"Bug")</f>
        <v>Bug</v>
      </c>
      <c r="C226" s="190" t="str">
        <f>IFERROR(__xludf.DUMMYFUNCTION("""COMPUTED_VALUE"""),"Status")</f>
        <v>Status</v>
      </c>
      <c r="D226" s="190" t="str">
        <f>IFERROR(__xludf.DUMMYFUNCTION("""COMPUTED_VALUE"""),"Scene x2")</f>
        <v>Scene x2</v>
      </c>
      <c r="E226" s="190" t="str">
        <f>IFERROR(__xludf.DUMMYFUNCTION("""COMPUTED_VALUE"""),"Burst 1 or Close Blast 2; Versatile")</f>
        <v>Burst 1 or Close Blast 2; Versatile</v>
      </c>
      <c r="F226" s="190">
        <f>IFERROR(__xludf.DUMMYFUNCTION("""COMPUTED_VALUE"""),5.0)</f>
        <v>5</v>
      </c>
      <c r="G226" s="190" t="str">
        <f>IFERROR(__xludf.DUMMYFUNCTION("""COMPUTED_VALUE"""),"--")</f>
        <v>--</v>
      </c>
      <c r="H226" s="191" t="str">
        <f>IFERROR(__xludf.DUMMYFUNCTION("""COMPUTED_VALUE"""),"All Targets hit by Rage Powder become Provoked by the user until the end of their next Turn. On a roll of 15+, they also become Enraged. Friendly.")</f>
        <v>All Targets hit by Rage Powder become Provoked by the user until the end of their next Turn. On a roll of 15+, they also become Enraged. Friendly.</v>
      </c>
      <c r="I226" s="191" t="str">
        <f>IFERROR(__xludf.DUMMYFUNCTION("""COMPUTED_VALUE"""),"All Spaces in the Range of this Attack gain Powder Hazards until the end of the Round. Enemies that Trigger this Hazard become Provoked by their nearest Enemy Combatant that they can legally Target. 
Powder Hazard - Whenever an Enemy passes through or en"&amp;"ds their turn on a Powder Hazard the Effect listed is applied. Users with the Breathless Capability ignore this Hazard.")</f>
        <v>All Spaces in the Range of this Attack gain Powder Hazards until the end of the Round. Enemies that Trigger this Hazard become Provoked by their nearest Enemy Combatant that they can legally Target. 
Powder Hazard - Whenever an Enemy passes through or ends their turn on a Powder Hazard the Effect listed is applied. Users with the Breathless Capability ignore this Hazard.</v>
      </c>
      <c r="J226" s="190" t="str">
        <f>IFERROR(__xludf.DUMMYFUNCTION("""COMPUTED_VALUE"""),"Tier 2")</f>
        <v>Tier 2</v>
      </c>
      <c r="K226" s="174" t="b">
        <f>IFERROR(__xludf.DUMMYFUNCTION("""COMPUTED_VALUE"""),TRUE)</f>
        <v>1</v>
      </c>
      <c r="L226" s="174"/>
      <c r="M226" s="174"/>
      <c r="N226" s="174"/>
      <c r="O226" s="174"/>
      <c r="P226" s="174"/>
      <c r="Q226" s="174"/>
      <c r="R226" s="174"/>
      <c r="S226" s="174"/>
      <c r="T226" s="174"/>
      <c r="U226" s="174"/>
      <c r="V226" s="174"/>
      <c r="W226" s="174"/>
      <c r="X226" s="174"/>
      <c r="Y226" s="174"/>
      <c r="Z226" s="174"/>
    </row>
    <row r="227">
      <c r="A227" s="190" t="str">
        <f>IFERROR(__xludf.DUMMYFUNCTION("""COMPUTED_VALUE"""),"Skitter Dance")</f>
        <v>Skitter Dance</v>
      </c>
      <c r="B227" s="190" t="str">
        <f>IFERROR(__xludf.DUMMYFUNCTION("""COMPUTED_VALUE"""),"Bug")</f>
        <v>Bug</v>
      </c>
      <c r="C227" s="190" t="str">
        <f>IFERROR(__xludf.DUMMYFUNCTION("""COMPUTED_VALUE"""),"Status")</f>
        <v>Status</v>
      </c>
      <c r="D227" s="190" t="str">
        <f>IFERROR(__xludf.DUMMYFUNCTION("""COMPUTED_VALUE"""),"At-Will")</f>
        <v>At-Will</v>
      </c>
      <c r="E227" s="190" t="str">
        <f>IFERROR(__xludf.DUMMYFUNCTION("""COMPUTED_VALUE"""),"Self, Movement Action")</f>
        <v>Self, Movement Action</v>
      </c>
      <c r="F227" s="190" t="str">
        <f>IFERROR(__xludf.DUMMYFUNCTION("""COMPUTED_VALUE"""),"--")</f>
        <v>--</v>
      </c>
      <c r="G227" s="190" t="str">
        <f>IFERROR(__xludf.DUMMYFUNCTION("""COMPUTED_VALUE"""),"--")</f>
        <v>--</v>
      </c>
      <c r="H227" s="191" t="str">
        <f>IFERROR(__xludf.DUMMYFUNCTION("""COMPUTED_VALUE"""),"The user’s next Melee Attack this Turn ignores Speed Evasion or they gain +1 Evasion.")</f>
        <v>The user’s next Melee Attack this Turn ignores Speed Evasion or they gain +1 Evasion.</v>
      </c>
      <c r="I227" s="191" t="str">
        <f>IFERROR(__xludf.DUMMYFUNCTION("""COMPUTED_VALUE"""),"--")</f>
        <v>--</v>
      </c>
      <c r="J227" s="190" t="str">
        <f>IFERROR(__xludf.DUMMYFUNCTION("""COMPUTED_VALUE"""),"Tier 1")</f>
        <v>Tier 1</v>
      </c>
      <c r="K227" s="174" t="b">
        <f>IFERROR(__xludf.DUMMYFUNCTION("""COMPUTED_VALUE"""),TRUE)</f>
        <v>1</v>
      </c>
      <c r="L227" s="174"/>
      <c r="M227" s="174"/>
      <c r="N227" s="174"/>
      <c r="O227" s="174"/>
      <c r="P227" s="174"/>
      <c r="Q227" s="174"/>
      <c r="R227" s="174"/>
      <c r="S227" s="174"/>
      <c r="T227" s="174"/>
      <c r="U227" s="174"/>
      <c r="V227" s="174"/>
      <c r="W227" s="174"/>
      <c r="X227" s="174"/>
      <c r="Y227" s="174"/>
      <c r="Z227" s="174"/>
    </row>
    <row r="228">
      <c r="A228" s="190" t="str">
        <f>IFERROR(__xludf.DUMMYFUNCTION("""COMPUTED_VALUE"""),"Skitter Smack")</f>
        <v>Skitter Smack</v>
      </c>
      <c r="B228" s="190" t="str">
        <f>IFERROR(__xludf.DUMMYFUNCTION("""COMPUTED_VALUE"""),"Bug")</f>
        <v>Bug</v>
      </c>
      <c r="C228" s="190" t="str">
        <f>IFERROR(__xludf.DUMMYFUNCTION("""COMPUTED_VALUE"""),"Physical")</f>
        <v>Physical</v>
      </c>
      <c r="D228" s="190" t="str">
        <f>IFERROR(__xludf.DUMMYFUNCTION("""COMPUTED_VALUE"""),"EOT")</f>
        <v>EOT</v>
      </c>
      <c r="E228" s="190" t="str">
        <f>IFERROR(__xludf.DUMMYFUNCTION("""COMPUTED_VALUE"""),"Melee, 1 Target")</f>
        <v>Melee, 1 Target</v>
      </c>
      <c r="F228" s="190">
        <f>IFERROR(__xludf.DUMMYFUNCTION("""COMPUTED_VALUE"""),2.0)</f>
        <v>2</v>
      </c>
      <c r="G228" s="190">
        <f>IFERROR(__xludf.DUMMYFUNCTION("""COMPUTED_VALUE"""),7.0)</f>
        <v>7</v>
      </c>
      <c r="H228" s="191" t="str">
        <f>IFERROR(__xludf.DUMMYFUNCTION("""COMPUTED_VALUE"""),"The user may declare the usage of Skitter Smack at the start of their Turn. When Moving this turn, they do not provoke Attacks of Opportunity and do not trigger Reactions.")</f>
        <v>The user may declare the usage of Skitter Smack at the start of their Turn. When Moving this turn, they do not provoke Attacks of Opportunity and do not trigger Reactions.</v>
      </c>
      <c r="I228" s="191" t="str">
        <f>IFERROR(__xludf.DUMMYFUNCTION("""COMPUTED_VALUE"""),"--")</f>
        <v>--</v>
      </c>
      <c r="J228" s="190" t="str">
        <f>IFERROR(__xludf.DUMMYFUNCTION("""COMPUTED_VALUE"""),"Tier 1")</f>
        <v>Tier 1</v>
      </c>
      <c r="K228" s="174" t="b">
        <f>IFERROR(__xludf.DUMMYFUNCTION("""COMPUTED_VALUE"""),TRUE)</f>
        <v>1</v>
      </c>
      <c r="L228" s="174"/>
      <c r="M228" s="174"/>
      <c r="N228" s="174"/>
      <c r="O228" s="174"/>
      <c r="P228" s="174"/>
      <c r="Q228" s="174"/>
      <c r="R228" s="174"/>
      <c r="S228" s="174"/>
      <c r="T228" s="174"/>
      <c r="U228" s="174"/>
      <c r="V228" s="174"/>
      <c r="W228" s="174"/>
      <c r="X228" s="174"/>
      <c r="Y228" s="174"/>
      <c r="Z228" s="174"/>
    </row>
    <row r="229">
      <c r="A229" s="190" t="str">
        <f>IFERROR(__xludf.DUMMYFUNCTION("""COMPUTED_VALUE"""),"Silk Trap")</f>
        <v>Silk Trap</v>
      </c>
      <c r="B229" s="190" t="str">
        <f>IFERROR(__xludf.DUMMYFUNCTION("""COMPUTED_VALUE"""),"Bug")</f>
        <v>Bug</v>
      </c>
      <c r="C229" s="190" t="str">
        <f>IFERROR(__xludf.DUMMYFUNCTION("""COMPUTED_VALUE"""),"Status")</f>
        <v>Status</v>
      </c>
      <c r="D229" s="190" t="str">
        <f>IFERROR(__xludf.DUMMYFUNCTION("""COMPUTED_VALUE"""),"Scene")</f>
        <v>Scene</v>
      </c>
      <c r="E229" s="190" t="str">
        <f>IFERROR(__xludf.DUMMYFUNCTION("""COMPUTED_VALUE"""),"4, 1 Target, Versatile")</f>
        <v>4, 1 Target, Versatile</v>
      </c>
      <c r="F229" s="190">
        <f>IFERROR(__xludf.DUMMYFUNCTION("""COMPUTED_VALUE"""),5.0)</f>
        <v>5</v>
      </c>
      <c r="G229" s="190" t="str">
        <f>IFERROR(__xludf.DUMMYFUNCTION("""COMPUTED_VALUE"""),"--")</f>
        <v>--</v>
      </c>
      <c r="H229" s="191" t="str">
        <f>IFERROR(__xludf.DUMMYFUNCTION("""COMPUTED_VALUE"""),"The Target becomes Slowed. While Slowed this way, their Melee Attacks are resisted an additional Damage step. If this Attack misses, they instead are Slowed without any additional effects. Spirit Surge")</f>
        <v>The Target becomes Slowed. While Slowed this way, their Melee Attacks are resisted an additional Damage step. If this Attack misses, they instead are Slowed without any additional effects. Spirit Surge</v>
      </c>
      <c r="I229" s="191" t="str">
        <f>IFERROR(__xludf.DUMMYFUNCTION("""COMPUTED_VALUE"""),"--")</f>
        <v>--</v>
      </c>
      <c r="J229" s="190" t="str">
        <f>IFERROR(__xludf.DUMMYFUNCTION("""COMPUTED_VALUE"""),"Tier 3")</f>
        <v>Tier 3</v>
      </c>
      <c r="K229" s="174" t="b">
        <f>IFERROR(__xludf.DUMMYFUNCTION("""COMPUTED_VALUE"""),FALSE)</f>
        <v>0</v>
      </c>
      <c r="L229" s="174"/>
      <c r="M229" s="174"/>
      <c r="N229" s="174"/>
      <c r="O229" s="174"/>
      <c r="P229" s="174"/>
      <c r="Q229" s="174"/>
      <c r="R229" s="174"/>
      <c r="S229" s="174"/>
      <c r="T229" s="174"/>
      <c r="U229" s="174"/>
      <c r="V229" s="174"/>
      <c r="W229" s="174"/>
      <c r="X229" s="174"/>
      <c r="Y229" s="174"/>
      <c r="Z229" s="174"/>
    </row>
    <row r="230">
      <c r="A230" s="190" t="str">
        <f>IFERROR(__xludf.DUMMYFUNCTION("""COMPUTED_VALUE"""),"Silk Weave")</f>
        <v>Silk Weave</v>
      </c>
      <c r="B230" s="190" t="str">
        <f>IFERROR(__xludf.DUMMYFUNCTION("""COMPUTED_VALUE"""),"Bug")</f>
        <v>Bug</v>
      </c>
      <c r="C230" s="190" t="str">
        <f>IFERROR(__xludf.DUMMYFUNCTION("""COMPUTED_VALUE"""),"Status")</f>
        <v>Status</v>
      </c>
      <c r="D230" s="190" t="str">
        <f>IFERROR(__xludf.DUMMYFUNCTION("""COMPUTED_VALUE"""),"Scene x2")</f>
        <v>Scene x2</v>
      </c>
      <c r="E230" s="190" t="str">
        <f>IFERROR(__xludf.DUMMYFUNCTION("""COMPUTED_VALUE"""),"4m, 1 Target or Self; Coat")</f>
        <v>4m, 1 Target or Self; Coat</v>
      </c>
      <c r="F230" s="190" t="str">
        <f>IFERROR(__xludf.DUMMYFUNCTION("""COMPUTED_VALUE"""),"--")</f>
        <v>--</v>
      </c>
      <c r="G230" s="190" t="str">
        <f>IFERROR(__xludf.DUMMYFUNCTION("""COMPUTED_VALUE"""),"--")</f>
        <v>--</v>
      </c>
      <c r="H230" s="191" t="str">
        <f>IFERROR(__xludf.DUMMYFUNCTION("""COMPUTED_VALUE"""),"The Target gains a Silk Coat. The Target may expend a Silk Coat to become cured of a Physical Affliction or to reset a Stat to its Default Value")</f>
        <v>The Target gains a Silk Coat. The Target may expend a Silk Coat to become cured of a Physical Affliction or to reset a Stat to its Default Value</v>
      </c>
      <c r="I230" s="191" t="str">
        <f>IFERROR(__xludf.DUMMYFUNCTION("""COMPUTED_VALUE"""),"--")</f>
        <v>--</v>
      </c>
      <c r="J230" s="190" t="str">
        <f>IFERROR(__xludf.DUMMYFUNCTION("""COMPUTED_VALUE"""),"Tier 2")</f>
        <v>Tier 2</v>
      </c>
      <c r="K230" s="174" t="b">
        <f>IFERROR(__xludf.DUMMYFUNCTION("""COMPUTED_VALUE"""),TRUE)</f>
        <v>1</v>
      </c>
      <c r="L230" s="174"/>
      <c r="M230" s="174"/>
      <c r="N230" s="174"/>
      <c r="O230" s="174"/>
      <c r="P230" s="174"/>
      <c r="Q230" s="174"/>
      <c r="R230" s="174"/>
      <c r="S230" s="174"/>
      <c r="T230" s="174"/>
      <c r="U230" s="174"/>
      <c r="V230" s="174"/>
      <c r="W230" s="174"/>
      <c r="X230" s="174"/>
      <c r="Y230" s="174"/>
      <c r="Z230" s="174"/>
    </row>
    <row r="231">
      <c r="A231" s="190" t="str">
        <f>IFERROR(__xludf.DUMMYFUNCTION("""COMPUTED_VALUE"""),"Silver Cyclone")</f>
        <v>Silver Cyclone</v>
      </c>
      <c r="B231" s="190" t="str">
        <f>IFERROR(__xludf.DUMMYFUNCTION("""COMPUTED_VALUE"""),"Bug")</f>
        <v>Bug</v>
      </c>
      <c r="C231" s="190" t="str">
        <f>IFERROR(__xludf.DUMMYFUNCTION("""COMPUTED_VALUE"""),"Special")</f>
        <v>Special</v>
      </c>
      <c r="D231" s="190" t="str">
        <f>IFERROR(__xludf.DUMMYFUNCTION("""COMPUTED_VALUE"""),"Scene x2")</f>
        <v>Scene x2</v>
      </c>
      <c r="E231" s="190" t="str">
        <f>IFERROR(__xludf.DUMMYFUNCTION("""COMPUTED_VALUE"""),"6, Ranged Blast 3, Full Action")</f>
        <v>6, Ranged Blast 3, Full Action</v>
      </c>
      <c r="F231" s="190">
        <f>IFERROR(__xludf.DUMMYFUNCTION("""COMPUTED_VALUE"""),5.0)</f>
        <v>5</v>
      </c>
      <c r="G231" s="190">
        <f>IFERROR(__xludf.DUMMYFUNCTION("""COMPUTED_VALUE"""),11.0)</f>
        <v>11</v>
      </c>
      <c r="H231" s="191" t="str">
        <f>IFERROR(__xludf.DUMMYFUNCTION("""COMPUTED_VALUE"""),"If the Weather is Windy, Silver Cyclone has the Friendly Keyword. Smite")</f>
        <v>If the Weather is Windy, Silver Cyclone has the Friendly Keyword. Smite</v>
      </c>
      <c r="I231" s="191" t="str">
        <f>IFERROR(__xludf.DUMMYFUNCTION("""COMPUTED_VALUE"""),"--")</f>
        <v>--</v>
      </c>
      <c r="J231" s="190" t="str">
        <f>IFERROR(__xludf.DUMMYFUNCTION("""COMPUTED_VALUE"""),"Tier 3")</f>
        <v>Tier 3</v>
      </c>
      <c r="K231" s="174" t="b">
        <f>IFERROR(__xludf.DUMMYFUNCTION("""COMPUTED_VALUE"""),TRUE)</f>
        <v>1</v>
      </c>
      <c r="L231" s="174"/>
      <c r="M231" s="174"/>
      <c r="N231" s="174"/>
      <c r="O231" s="174"/>
      <c r="P231" s="174"/>
      <c r="Q231" s="174"/>
      <c r="R231" s="174"/>
      <c r="S231" s="174"/>
      <c r="T231" s="174"/>
      <c r="U231" s="174"/>
      <c r="V231" s="174"/>
      <c r="W231" s="174"/>
      <c r="X231" s="174"/>
      <c r="Y231" s="174"/>
      <c r="Z231" s="174"/>
    </row>
    <row r="232">
      <c r="A232" s="190" t="str">
        <f>IFERROR(__xludf.DUMMYFUNCTION("""COMPUTED_VALUE"""),"Signal Beam")</f>
        <v>Signal Beam</v>
      </c>
      <c r="B232" s="190" t="str">
        <f>IFERROR(__xludf.DUMMYFUNCTION("""COMPUTED_VALUE"""),"Bug")</f>
        <v>Bug</v>
      </c>
      <c r="C232" s="190" t="str">
        <f>IFERROR(__xludf.DUMMYFUNCTION("""COMPUTED_VALUE"""),"Special")</f>
        <v>Special</v>
      </c>
      <c r="D232" s="190" t="str">
        <f>IFERROR(__xludf.DUMMYFUNCTION("""COMPUTED_VALUE"""),"EOT")</f>
        <v>EOT</v>
      </c>
      <c r="E232" s="190" t="str">
        <f>IFERROR(__xludf.DUMMYFUNCTION("""COMPUTED_VALUE"""),"6, 1 Target")</f>
        <v>6, 1 Target</v>
      </c>
      <c r="F232" s="190">
        <f>IFERROR(__xludf.DUMMYFUNCTION("""COMPUTED_VALUE"""),4.0)</f>
        <v>4</v>
      </c>
      <c r="G232" s="190">
        <f>IFERROR(__xludf.DUMMYFUNCTION("""COMPUTED_VALUE"""),8.0)</f>
        <v>8</v>
      </c>
      <c r="H232" s="191" t="str">
        <f>IFERROR(__xludf.DUMMYFUNCTION("""COMPUTED_VALUE"""),"On a roll of 18+ or if the Target is Dazed, they lose -2 CS in Special Attack or Special Defense. Smite")</f>
        <v>On a roll of 18+ or if the Target is Dazed, they lose -2 CS in Special Attack or Special Defense. Smite</v>
      </c>
      <c r="I232" s="191" t="str">
        <f>IFERROR(__xludf.DUMMYFUNCTION("""COMPUTED_VALUE"""),"--")</f>
        <v>--</v>
      </c>
      <c r="J232" s="190" t="str">
        <f>IFERROR(__xludf.DUMMYFUNCTION("""COMPUTED_VALUE"""),"Tier 2")</f>
        <v>Tier 2</v>
      </c>
      <c r="K232" s="174" t="b">
        <f>IFERROR(__xludf.DUMMYFUNCTION("""COMPUTED_VALUE"""),TRUE)</f>
        <v>1</v>
      </c>
      <c r="L232" s="174"/>
      <c r="M232" s="174"/>
      <c r="N232" s="174"/>
      <c r="O232" s="174"/>
      <c r="P232" s="174"/>
      <c r="Q232" s="174"/>
      <c r="R232" s="174"/>
      <c r="S232" s="174"/>
      <c r="T232" s="174"/>
      <c r="U232" s="174"/>
      <c r="V232" s="174"/>
      <c r="W232" s="174"/>
      <c r="X232" s="174"/>
      <c r="Y232" s="174"/>
      <c r="Z232" s="174"/>
    </row>
    <row r="233">
      <c r="A233" s="190" t="str">
        <f>IFERROR(__xludf.DUMMYFUNCTION("""COMPUTED_VALUE"""),"Silver Gale")</f>
        <v>Silver Gale</v>
      </c>
      <c r="B233" s="190" t="str">
        <f>IFERROR(__xludf.DUMMYFUNCTION("""COMPUTED_VALUE"""),"Bug")</f>
        <v>Bug</v>
      </c>
      <c r="C233" s="190" t="str">
        <f>IFERROR(__xludf.DUMMYFUNCTION("""COMPUTED_VALUE"""),"Special")</f>
        <v>Special</v>
      </c>
      <c r="D233" s="190" t="str">
        <f>IFERROR(__xludf.DUMMYFUNCTION("""COMPUTED_VALUE"""),"EOT")</f>
        <v>EOT</v>
      </c>
      <c r="E233" s="190" t="str">
        <f>IFERROR(__xludf.DUMMYFUNCTION("""COMPUTED_VALUE"""),"8, 1 Target, Priority")</f>
        <v>8, 1 Target, Priority</v>
      </c>
      <c r="F233" s="190">
        <f>IFERROR(__xludf.DUMMYFUNCTION("""COMPUTED_VALUE"""),3.0)</f>
        <v>3</v>
      </c>
      <c r="G233" s="190">
        <f>IFERROR(__xludf.DUMMYFUNCTION("""COMPUTED_VALUE"""),7.0)</f>
        <v>7</v>
      </c>
      <c r="H233" s="191" t="str">
        <f>IFERROR(__xludf.DUMMYFUNCTION("""COMPUTED_VALUE"""),"If Silver Gale is used with Priority, it may use the user's Speed Stat as an Offensive Stat instead of their Special Attack.")</f>
        <v>If Silver Gale is used with Priority, it may use the user's Speed Stat as an Offensive Stat instead of their Special Attack.</v>
      </c>
      <c r="I233" s="191" t="str">
        <f>IFERROR(__xludf.DUMMYFUNCTION("""COMPUTED_VALUE"""),"--")</f>
        <v>--</v>
      </c>
      <c r="J233" s="190" t="str">
        <f>IFERROR(__xludf.DUMMYFUNCTION("""COMPUTED_VALUE"""),"Tier 1")</f>
        <v>Tier 1</v>
      </c>
      <c r="K233" s="174" t="b">
        <f>IFERROR(__xludf.DUMMYFUNCTION("""COMPUTED_VALUE"""),TRUE)</f>
        <v>1</v>
      </c>
      <c r="L233" s="174"/>
      <c r="M233" s="174"/>
      <c r="N233" s="174"/>
      <c r="O233" s="174"/>
      <c r="P233" s="174"/>
      <c r="Q233" s="174"/>
      <c r="R233" s="174"/>
      <c r="S233" s="174"/>
      <c r="T233" s="174"/>
      <c r="U233" s="174"/>
      <c r="V233" s="174"/>
      <c r="W233" s="174"/>
      <c r="X233" s="174"/>
      <c r="Y233" s="174"/>
      <c r="Z233" s="174"/>
    </row>
    <row r="234">
      <c r="A234" s="190" t="str">
        <f>IFERROR(__xludf.DUMMYFUNCTION("""COMPUTED_VALUE"""),"Silver Wind")</f>
        <v>Silver Wind</v>
      </c>
      <c r="B234" s="190" t="str">
        <f>IFERROR(__xludf.DUMMYFUNCTION("""COMPUTED_VALUE"""),"Bug")</f>
        <v>Bug</v>
      </c>
      <c r="C234" s="190" t="str">
        <f>IFERROR(__xludf.DUMMYFUNCTION("""COMPUTED_VALUE"""),"Special")</f>
        <v>Special</v>
      </c>
      <c r="D234" s="190" t="str">
        <f>IFERROR(__xludf.DUMMYFUNCTION("""COMPUTED_VALUE"""),"At-Will")</f>
        <v>At-Will</v>
      </c>
      <c r="E234" s="190" t="str">
        <f>IFERROR(__xludf.DUMMYFUNCTION("""COMPUTED_VALUE"""),"4, Ranged Blast 2")</f>
        <v>4, Ranged Blast 2</v>
      </c>
      <c r="F234" s="190">
        <f>IFERROR(__xludf.DUMMYFUNCTION("""COMPUTED_VALUE"""),5.0)</f>
        <v>5</v>
      </c>
      <c r="G234" s="190">
        <f>IFERROR(__xludf.DUMMYFUNCTION("""COMPUTED_VALUE"""),5.0)</f>
        <v>5</v>
      </c>
      <c r="H234" s="191" t="str">
        <f>IFERROR(__xludf.DUMMYFUNCTION("""COMPUTED_VALUE"""),"If the Weather is Windy, this has the Sureshot Keyword.")</f>
        <v>If the Weather is Windy, this has the Sureshot Keyword.</v>
      </c>
      <c r="I234" s="191" t="str">
        <f>IFERROR(__xludf.DUMMYFUNCTION("""COMPUTED_VALUE"""),"--")</f>
        <v>--</v>
      </c>
      <c r="J234" s="190" t="str">
        <f>IFERROR(__xludf.DUMMYFUNCTION("""COMPUTED_VALUE"""),"Tier 1")</f>
        <v>Tier 1</v>
      </c>
      <c r="K234" s="174" t="b">
        <f>IFERROR(__xludf.DUMMYFUNCTION("""COMPUTED_VALUE"""),TRUE)</f>
        <v>1</v>
      </c>
      <c r="L234" s="174"/>
      <c r="M234" s="174"/>
      <c r="N234" s="174"/>
      <c r="O234" s="174"/>
      <c r="P234" s="174"/>
      <c r="Q234" s="174"/>
      <c r="R234" s="174"/>
      <c r="S234" s="174"/>
      <c r="T234" s="174"/>
      <c r="U234" s="174"/>
      <c r="V234" s="174"/>
      <c r="W234" s="174"/>
      <c r="X234" s="174"/>
      <c r="Y234" s="174"/>
      <c r="Z234" s="174"/>
    </row>
    <row r="235">
      <c r="A235" s="190" t="str">
        <f>IFERROR(__xludf.DUMMYFUNCTION("""COMPUTED_VALUE"""),"Spider Fang")</f>
        <v>Spider Fang</v>
      </c>
      <c r="B235" s="190" t="str">
        <f>IFERROR(__xludf.DUMMYFUNCTION("""COMPUTED_VALUE"""),"Bug")</f>
        <v>Bug</v>
      </c>
      <c r="C235" s="190" t="str">
        <f>IFERROR(__xludf.DUMMYFUNCTION("""COMPUTED_VALUE"""),"Physical")</f>
        <v>Physical</v>
      </c>
      <c r="D235" s="190" t="str">
        <f>IFERROR(__xludf.DUMMYFUNCTION("""COMPUTED_VALUE"""),"EOT")</f>
        <v>EOT</v>
      </c>
      <c r="E235" s="190" t="str">
        <f>IFERROR(__xludf.DUMMYFUNCTION("""COMPUTED_VALUE"""),"Melee, 1 Target, Bite")</f>
        <v>Melee, 1 Target, Bite</v>
      </c>
      <c r="F235" s="190">
        <f>IFERROR(__xludf.DUMMYFUNCTION("""COMPUTED_VALUE"""),3.0)</f>
        <v>3</v>
      </c>
      <c r="G235" s="190">
        <f>IFERROR(__xludf.DUMMYFUNCTION("""COMPUTED_VALUE"""),8.0)</f>
        <v>8</v>
      </c>
      <c r="H235" s="191" t="str">
        <f>IFERROR(__xludf.DUMMYFUNCTION("""COMPUTED_VALUE"""),"On a roll of 17+, roll a 1d3. The Target gains that Status Affliction. On a roll of 1, the Target is Paralyzed. On a 2, the Target is Poisoned. On a 3, the Target is Weakened until the end of the next Round.")</f>
        <v>On a roll of 17+, roll a 1d3. The Target gains that Status Affliction. On a roll of 1, the Target is Paralyzed. On a 2, the Target is Poisoned. On a 3, the Target is Weakened until the end of the next Round.</v>
      </c>
      <c r="I235" s="191" t="str">
        <f>IFERROR(__xludf.DUMMYFUNCTION("""COMPUTED_VALUE"""),"--")</f>
        <v>--</v>
      </c>
      <c r="J235" s="190" t="str">
        <f>IFERROR(__xludf.DUMMYFUNCTION("""COMPUTED_VALUE"""),"Tier 2")</f>
        <v>Tier 2</v>
      </c>
      <c r="K235" s="174" t="b">
        <f>IFERROR(__xludf.DUMMYFUNCTION("""COMPUTED_VALUE"""),TRUE)</f>
        <v>1</v>
      </c>
      <c r="L235" s="174"/>
      <c r="M235" s="174"/>
      <c r="N235" s="174"/>
      <c r="O235" s="174"/>
      <c r="P235" s="174"/>
      <c r="Q235" s="174"/>
      <c r="R235" s="174"/>
      <c r="S235" s="174"/>
      <c r="T235" s="174"/>
      <c r="U235" s="174"/>
      <c r="V235" s="174"/>
      <c r="W235" s="174"/>
      <c r="X235" s="174"/>
      <c r="Y235" s="174"/>
      <c r="Z235" s="174"/>
    </row>
    <row r="236">
      <c r="A236" s="190" t="str">
        <f>IFERROR(__xludf.DUMMYFUNCTION("""COMPUTED_VALUE"""),"Spider Web")</f>
        <v>Spider Web</v>
      </c>
      <c r="B236" s="190" t="str">
        <f>IFERROR(__xludf.DUMMYFUNCTION("""COMPUTED_VALUE"""),"Bug")</f>
        <v>Bug</v>
      </c>
      <c r="C236" s="190" t="str">
        <f>IFERROR(__xludf.DUMMYFUNCTION("""COMPUTED_VALUE"""),"Status")</f>
        <v>Status</v>
      </c>
      <c r="D236" s="190" t="str">
        <f>IFERROR(__xludf.DUMMYFUNCTION("""COMPUTED_VALUE"""),"Scene x2")</f>
        <v>Scene x2</v>
      </c>
      <c r="E236" s="190" t="str">
        <f>IFERROR(__xludf.DUMMYFUNCTION("""COMPUTED_VALUE"""),"3, 1 Target or Close Blast 2, Versatile")</f>
        <v>3, 1 Target or Close Blast 2, Versatile</v>
      </c>
      <c r="F236" s="190" t="str">
        <f>IFERROR(__xludf.DUMMYFUNCTION("""COMPUTED_VALUE"""),"--")</f>
        <v>--</v>
      </c>
      <c r="G236" s="190" t="str">
        <f>IFERROR(__xludf.DUMMYFUNCTION("""COMPUTED_VALUE"""),"--")</f>
        <v>--</v>
      </c>
      <c r="H236" s="191" t="str">
        <f>IFERROR(__xludf.DUMMYFUNCTION("""COMPUTED_VALUE"""),"The Target becomes Slowed and is Trapped while Slowed and within 3m of the user. Sureshot.")</f>
        <v>The Target becomes Slowed and is Trapped while Slowed and within 3m of the user. Sureshot.</v>
      </c>
      <c r="I236" s="191" t="str">
        <f>IFERROR(__xludf.DUMMYFUNCTION("""COMPUTED_VALUE"""),"The Target becomes Slowed. When used this way, Spider Web has an AC of 6.")</f>
        <v>The Target becomes Slowed. When used this way, Spider Web has an AC of 6.</v>
      </c>
      <c r="J236" s="190" t="str">
        <f>IFERROR(__xludf.DUMMYFUNCTION("""COMPUTED_VALUE"""),"Tier 2")</f>
        <v>Tier 2</v>
      </c>
      <c r="K236" s="174" t="b">
        <f>IFERROR(__xludf.DUMMYFUNCTION("""COMPUTED_VALUE"""),TRUE)</f>
        <v>1</v>
      </c>
      <c r="L236" s="174"/>
      <c r="M236" s="174"/>
      <c r="N236" s="174"/>
      <c r="O236" s="174"/>
      <c r="P236" s="174"/>
      <c r="Q236" s="174"/>
      <c r="R236" s="174"/>
      <c r="S236" s="174"/>
      <c r="T236" s="174"/>
      <c r="U236" s="174"/>
      <c r="V236" s="174"/>
      <c r="W236" s="174"/>
      <c r="X236" s="174"/>
      <c r="Y236" s="174"/>
      <c r="Z236" s="174"/>
    </row>
    <row r="237">
      <c r="A237" s="190" t="str">
        <f>IFERROR(__xludf.DUMMYFUNCTION("""COMPUTED_VALUE"""),"Steamroller")</f>
        <v>Steamroller</v>
      </c>
      <c r="B237" s="190" t="str">
        <f>IFERROR(__xludf.DUMMYFUNCTION("""COMPUTED_VALUE"""),"Bug")</f>
        <v>Bug</v>
      </c>
      <c r="C237" s="190" t="str">
        <f>IFERROR(__xludf.DUMMYFUNCTION("""COMPUTED_VALUE"""),"Physical")</f>
        <v>Physical</v>
      </c>
      <c r="D237" s="190" t="str">
        <f>IFERROR(__xludf.DUMMYFUNCTION("""COMPUTED_VALUE"""),"EOT")</f>
        <v>EOT</v>
      </c>
      <c r="E237" s="190" t="str">
        <f>IFERROR(__xludf.DUMMYFUNCTION("""COMPUTED_VALUE"""),"Melee, Pass")</f>
        <v>Melee, Pass</v>
      </c>
      <c r="F237" s="190">
        <f>IFERROR(__xludf.DUMMYFUNCTION("""COMPUTED_VALUE"""),5.0)</f>
        <v>5</v>
      </c>
      <c r="G237" s="190">
        <f>IFERROR(__xludf.DUMMYFUNCTION("""COMPUTED_VALUE"""),7.0)</f>
        <v>7</v>
      </c>
      <c r="H237" s="191" t="str">
        <f>IFERROR(__xludf.DUMMYFUNCTION("""COMPUTED_VALUE"""),"If the Target is smaller than the User, they cannot apply Physical Evasion or use Reactions against this Attack. ")</f>
        <v>If the Target is smaller than the User, they cannot apply Physical Evasion or use Reactions against this Attack. </v>
      </c>
      <c r="I237" s="191" t="str">
        <f>IFERROR(__xludf.DUMMYFUNCTION("""COMPUTED_VALUE"""),"--")</f>
        <v>--</v>
      </c>
      <c r="J237" s="190" t="str">
        <f>IFERROR(__xludf.DUMMYFUNCTION("""COMPUTED_VALUE"""),"Tier 1")</f>
        <v>Tier 1</v>
      </c>
      <c r="K237" s="174" t="b">
        <f>IFERROR(__xludf.DUMMYFUNCTION("""COMPUTED_VALUE"""),TRUE)</f>
        <v>1</v>
      </c>
      <c r="L237" s="174"/>
      <c r="M237" s="174"/>
      <c r="N237" s="174"/>
      <c r="O237" s="174"/>
      <c r="P237" s="174"/>
      <c r="Q237" s="174"/>
      <c r="R237" s="174"/>
      <c r="S237" s="174"/>
      <c r="T237" s="174"/>
      <c r="U237" s="174"/>
      <c r="V237" s="174"/>
      <c r="W237" s="174"/>
      <c r="X237" s="174"/>
      <c r="Y237" s="174"/>
      <c r="Z237" s="174"/>
    </row>
    <row r="238">
      <c r="A238" s="190" t="str">
        <f>IFERROR(__xludf.DUMMYFUNCTION("""COMPUTED_VALUE"""),"Sticky Web")</f>
        <v>Sticky Web</v>
      </c>
      <c r="B238" s="190" t="str">
        <f>IFERROR(__xludf.DUMMYFUNCTION("""COMPUTED_VALUE"""),"Bug")</f>
        <v>Bug</v>
      </c>
      <c r="C238" s="190" t="str">
        <f>IFERROR(__xludf.DUMMYFUNCTION("""COMPUTED_VALUE"""),"Status")</f>
        <v>Status</v>
      </c>
      <c r="D238" s="190" t="str">
        <f>IFERROR(__xludf.DUMMYFUNCTION("""COMPUTED_VALUE"""),"EOT")</f>
        <v>EOT</v>
      </c>
      <c r="E238" s="190" t="str">
        <f>IFERROR(__xludf.DUMMYFUNCTION("""COMPUTED_VALUE"""),"6, Hazard, Swift Action")</f>
        <v>6, Hazard, Swift Action</v>
      </c>
      <c r="F238" s="190" t="str">
        <f>IFERROR(__xludf.DUMMYFUNCTION("""COMPUTED_VALUE"""),"--")</f>
        <v>--</v>
      </c>
      <c r="G238" s="190" t="str">
        <f>IFERROR(__xludf.DUMMYFUNCTION("""COMPUTED_VALUE"""),"--")</f>
        <v>--</v>
      </c>
      <c r="H238" s="191" t="str">
        <f>IFERROR(__xludf.DUMMYFUNCTION("""COMPUTED_VALUE"""),"Choose 8 Spaces within the Range of this Attack to create Web Hazards in, such that all 8 Spaces are Adjacent to at least one other Web Hazard. Enemies that Trigger this Web Hazard become Slowed at the end of their Turn. 
Web Hazard - Spaces with Web Haz"&amp;"ards are treated as Slow Terrain. Whenever an Enemy passes through or ends their turn on a Web Hazard, they have their Speed lowered by -3 CS. ")</f>
        <v>Choose 8 Spaces within the Range of this Attack to create Web Hazards in, such that all 8 Spaces are Adjacent to at least one other Web Hazard. Enemies that Trigger this Web Hazard become Slowed at the end of their Turn. 
Web Hazard - Spaces with Web Hazards are treated as Slow Terrain. Whenever an Enemy passes through or ends their turn on a Web Hazard, they have their Speed lowered by -3 CS. </v>
      </c>
      <c r="I238" s="191" t="str">
        <f>IFERROR(__xludf.DUMMYFUNCTION("""COMPUTED_VALUE"""),"--")</f>
        <v>--</v>
      </c>
      <c r="J238" s="190" t="str">
        <f>IFERROR(__xludf.DUMMYFUNCTION("""COMPUTED_VALUE"""),"Tier 1")</f>
        <v>Tier 1</v>
      </c>
      <c r="K238" s="174" t="b">
        <f>IFERROR(__xludf.DUMMYFUNCTION("""COMPUTED_VALUE"""),TRUE)</f>
        <v>1</v>
      </c>
      <c r="L238" s="174"/>
      <c r="M238" s="174"/>
      <c r="N238" s="174"/>
      <c r="O238" s="174"/>
      <c r="P238" s="174"/>
      <c r="Q238" s="174"/>
      <c r="R238" s="174"/>
      <c r="S238" s="174"/>
      <c r="T238" s="174"/>
      <c r="U238" s="174"/>
      <c r="V238" s="174"/>
      <c r="W238" s="174"/>
      <c r="X238" s="174"/>
      <c r="Y238" s="174"/>
      <c r="Z238" s="174"/>
    </row>
    <row r="239">
      <c r="A239" s="190" t="str">
        <f>IFERROR(__xludf.DUMMYFUNCTION("""COMPUTED_VALUE"""),"String Shot")</f>
        <v>String Shot</v>
      </c>
      <c r="B239" s="190" t="str">
        <f>IFERROR(__xludf.DUMMYFUNCTION("""COMPUTED_VALUE"""),"Bug")</f>
        <v>Bug</v>
      </c>
      <c r="C239" s="190" t="str">
        <f>IFERROR(__xludf.DUMMYFUNCTION("""COMPUTED_VALUE"""),"Status")</f>
        <v>Status</v>
      </c>
      <c r="D239" s="190" t="str">
        <f>IFERROR(__xludf.DUMMYFUNCTION("""COMPUTED_VALUE"""),"EOT")</f>
        <v>EOT</v>
      </c>
      <c r="E239" s="190" t="str">
        <f>IFERROR(__xludf.DUMMYFUNCTION("""COMPUTED_VALUE"""),"Close Blast 2 or 6m, 1 Target; Versatile")</f>
        <v>Close Blast 2 or 6m, 1 Target; Versatile</v>
      </c>
      <c r="F239" s="190">
        <f>IFERROR(__xludf.DUMMYFUNCTION("""COMPUTED_VALUE"""),6.0)</f>
        <v>6</v>
      </c>
      <c r="G239" s="190" t="str">
        <f>IFERROR(__xludf.DUMMYFUNCTION("""COMPUTED_VALUE"""),"--")</f>
        <v>--</v>
      </c>
      <c r="H239" s="191" t="str">
        <f>IFERROR(__xludf.DUMMYFUNCTION("""COMPUTED_VALUE"""),"All Targets become Slowed. While Slowed this way, they have a -3 Accuracy Penalty. *Grants Threaded")</f>
        <v>All Targets become Slowed. While Slowed this way, they have a -3 Accuracy Penalty. *Grants Threaded</v>
      </c>
      <c r="I239" s="191" t="str">
        <f>IFERROR(__xludf.DUMMYFUNCTION("""COMPUTED_VALUE"""),"The Target loses -2 CS in Speed, or -1 CS if the Attack misses. Spirit Surge")</f>
        <v>The Target loses -2 CS in Speed, or -1 CS if the Attack misses. Spirit Surge</v>
      </c>
      <c r="J239" s="190" t="str">
        <f>IFERROR(__xludf.DUMMYFUNCTION("""COMPUTED_VALUE"""),"Tier 1")</f>
        <v>Tier 1</v>
      </c>
      <c r="K239" s="174" t="b">
        <f>IFERROR(__xludf.DUMMYFUNCTION("""COMPUTED_VALUE"""),TRUE)</f>
        <v>1</v>
      </c>
      <c r="L239" s="174"/>
      <c r="M239" s="174"/>
      <c r="N239" s="174"/>
      <c r="O239" s="174"/>
      <c r="P239" s="174"/>
      <c r="Q239" s="174"/>
      <c r="R239" s="174"/>
      <c r="S239" s="174"/>
      <c r="T239" s="174"/>
      <c r="U239" s="174"/>
      <c r="V239" s="174"/>
      <c r="W239" s="174"/>
      <c r="X239" s="174"/>
      <c r="Y239" s="174"/>
      <c r="Z239" s="174"/>
    </row>
    <row r="240">
      <c r="A240" s="190" t="str">
        <f>IFERROR(__xludf.DUMMYFUNCTION("""COMPUTED_VALUE"""),"Struggle Bug")</f>
        <v>Struggle Bug</v>
      </c>
      <c r="B240" s="190" t="str">
        <f>IFERROR(__xludf.DUMMYFUNCTION("""COMPUTED_VALUE"""),"Bug")</f>
        <v>Bug</v>
      </c>
      <c r="C240" s="190" t="str">
        <f>IFERROR(__xludf.DUMMYFUNCTION("""COMPUTED_VALUE"""),"Special")</f>
        <v>Special</v>
      </c>
      <c r="D240" s="190" t="str">
        <f>IFERROR(__xludf.DUMMYFUNCTION("""COMPUTED_VALUE"""),"At-Will")</f>
        <v>At-Will</v>
      </c>
      <c r="E240" s="190" t="str">
        <f>IFERROR(__xludf.DUMMYFUNCTION("""COMPUTED_VALUE"""),"Close Blast 2")</f>
        <v>Close Blast 2</v>
      </c>
      <c r="F240" s="190">
        <f>IFERROR(__xludf.DUMMYFUNCTION("""COMPUTED_VALUE"""),5.0)</f>
        <v>5</v>
      </c>
      <c r="G240" s="190">
        <f>IFERROR(__xludf.DUMMYFUNCTION("""COMPUTED_VALUE"""),4.0)</f>
        <v>4</v>
      </c>
      <c r="H240" s="191" t="str">
        <f>IFERROR(__xludf.DUMMYFUNCTION("""COMPUTED_VALUE"""),"On a roll of 17+, the user gains +1 CS in Special Attack.")</f>
        <v>On a roll of 17+, the user gains +1 CS in Special Attack.</v>
      </c>
      <c r="I240" s="191" t="str">
        <f>IFERROR(__xludf.DUMMYFUNCTION("""COMPUTED_VALUE"""),"--")</f>
        <v>--</v>
      </c>
      <c r="J240" s="190" t="str">
        <f>IFERROR(__xludf.DUMMYFUNCTION("""COMPUTED_VALUE"""),"Tier 1")</f>
        <v>Tier 1</v>
      </c>
      <c r="K240" s="174" t="b">
        <f>IFERROR(__xludf.DUMMYFUNCTION("""COMPUTED_VALUE"""),TRUE)</f>
        <v>1</v>
      </c>
      <c r="L240" s="174"/>
      <c r="M240" s="174"/>
      <c r="N240" s="174"/>
      <c r="O240" s="174"/>
      <c r="P240" s="174"/>
      <c r="Q240" s="174"/>
      <c r="R240" s="174"/>
      <c r="S240" s="174"/>
      <c r="T240" s="174"/>
      <c r="U240" s="174"/>
      <c r="V240" s="174"/>
      <c r="W240" s="174"/>
      <c r="X240" s="174"/>
      <c r="Y240" s="174"/>
      <c r="Z240" s="174"/>
    </row>
    <row r="241">
      <c r="A241" s="190" t="str">
        <f>IFERROR(__xludf.DUMMYFUNCTION("""COMPUTED_VALUE"""),"Swift Sting")</f>
        <v>Swift Sting</v>
      </c>
      <c r="B241" s="190" t="str">
        <f>IFERROR(__xludf.DUMMYFUNCTION("""COMPUTED_VALUE"""),"Bug")</f>
        <v>Bug</v>
      </c>
      <c r="C241" s="190" t="str">
        <f>IFERROR(__xludf.DUMMYFUNCTION("""COMPUTED_VALUE"""),"Physical")</f>
        <v>Physical</v>
      </c>
      <c r="D241" s="190" t="str">
        <f>IFERROR(__xludf.DUMMYFUNCTION("""COMPUTED_VALUE"""),"At-Will")</f>
        <v>At-Will</v>
      </c>
      <c r="E241" s="190" t="str">
        <f>IFERROR(__xludf.DUMMYFUNCTION("""COMPUTED_VALUE"""),"Melee, 1 Target, Priority")</f>
        <v>Melee, 1 Target, Priority</v>
      </c>
      <c r="F241" s="190">
        <f>IFERROR(__xludf.DUMMYFUNCTION("""COMPUTED_VALUE"""),2.0)</f>
        <v>2</v>
      </c>
      <c r="G241" s="190">
        <f>IFERROR(__xludf.DUMMYFUNCTION("""COMPUTED_VALUE"""),4.0)</f>
        <v>4</v>
      </c>
      <c r="H241" s="191" t="str">
        <f>IFERROR(__xludf.DUMMYFUNCTION("""COMPUTED_VALUE"""),"--")</f>
        <v>--</v>
      </c>
      <c r="I241" s="191" t="str">
        <f>IFERROR(__xludf.DUMMYFUNCTION("""COMPUTED_VALUE"""),"--")</f>
        <v>--</v>
      </c>
      <c r="J241" s="190" t="str">
        <f>IFERROR(__xludf.DUMMYFUNCTION("""COMPUTED_VALUE"""),"Tier 1")</f>
        <v>Tier 1</v>
      </c>
      <c r="K241" s="174" t="b">
        <f>IFERROR(__xludf.DUMMYFUNCTION("""COMPUTED_VALUE"""),TRUE)</f>
        <v>1</v>
      </c>
      <c r="L241" s="174"/>
      <c r="M241" s="174"/>
      <c r="N241" s="174"/>
      <c r="O241" s="174"/>
      <c r="P241" s="174"/>
      <c r="Q241" s="174"/>
      <c r="R241" s="174"/>
      <c r="S241" s="174"/>
      <c r="T241" s="174"/>
      <c r="U241" s="174"/>
      <c r="V241" s="174"/>
      <c r="W241" s="174"/>
      <c r="X241" s="174"/>
      <c r="Y241" s="174"/>
      <c r="Z241" s="174"/>
    </row>
    <row r="242">
      <c r="A242" s="190" t="str">
        <f>IFERROR(__xludf.DUMMYFUNCTION("""COMPUTED_VALUE"""),"Tail Glow")</f>
        <v>Tail Glow</v>
      </c>
      <c r="B242" s="190" t="str">
        <f>IFERROR(__xludf.DUMMYFUNCTION("""COMPUTED_VALUE"""),"Bug")</f>
        <v>Bug</v>
      </c>
      <c r="C242" s="190" t="str">
        <f>IFERROR(__xludf.DUMMYFUNCTION("""COMPUTED_VALUE"""),"Status")</f>
        <v>Status</v>
      </c>
      <c r="D242" s="190" t="str">
        <f>IFERROR(__xludf.DUMMYFUNCTION("""COMPUTED_VALUE"""),"Scene")</f>
        <v>Scene</v>
      </c>
      <c r="E242" s="190" t="str">
        <f>IFERROR(__xludf.DUMMYFUNCTION("""COMPUTED_VALUE"""),"Self, Versatile")</f>
        <v>Self, Versatile</v>
      </c>
      <c r="F242" s="190" t="str">
        <f>IFERROR(__xludf.DUMMYFUNCTION("""COMPUTED_VALUE"""),"--")</f>
        <v>--</v>
      </c>
      <c r="G242" s="190" t="str">
        <f>IFERROR(__xludf.DUMMYFUNCTION("""COMPUTED_VALUE"""),"--")</f>
        <v>--</v>
      </c>
      <c r="H242" s="191" t="str">
        <f>IFERROR(__xludf.DUMMYFUNCTION("""COMPUTED_VALUE"""),"The user gains +3 CS in Special Attack. Attacks have a -3 Penalty to Accuracy when Targeting the user until the start of their next Turn.*Grants Glow")</f>
        <v>The user gains +3 CS in Special Attack. Attacks have a -3 Penalty to Accuracy when Targeting the user until the start of their next Turn.*Grants Glow</v>
      </c>
      <c r="I242" s="191" t="str">
        <f>IFERROR(__xludf.DUMMYFUNCTION("""COMPUTED_VALUE"""),"The user gains +1 CS in Special Attack, then all Adjacent Enemies lose -2 to their next Accuracy Roll. ")</f>
        <v>The user gains +1 CS in Special Attack, then all Adjacent Enemies lose -2 to their next Accuracy Roll. </v>
      </c>
      <c r="J242" s="190" t="str">
        <f>IFERROR(__xludf.DUMMYFUNCTION("""COMPUTED_VALUE"""),"Tier 3")</f>
        <v>Tier 3</v>
      </c>
      <c r="K242" s="174" t="b">
        <f>IFERROR(__xludf.DUMMYFUNCTION("""COMPUTED_VALUE"""),TRUE)</f>
        <v>1</v>
      </c>
      <c r="L242" s="174"/>
      <c r="M242" s="174"/>
      <c r="N242" s="174"/>
      <c r="O242" s="174"/>
      <c r="P242" s="174"/>
      <c r="Q242" s="174"/>
      <c r="R242" s="174"/>
      <c r="S242" s="174"/>
      <c r="T242" s="174"/>
      <c r="U242" s="174"/>
      <c r="V242" s="174"/>
      <c r="W242" s="174"/>
      <c r="X242" s="174"/>
      <c r="Y242" s="174"/>
      <c r="Z242" s="174"/>
    </row>
    <row r="243">
      <c r="A243" s="190" t="str">
        <f>IFERROR(__xludf.DUMMYFUNCTION("""COMPUTED_VALUE"""),"Twineedle")</f>
        <v>Twineedle</v>
      </c>
      <c r="B243" s="190" t="str">
        <f>IFERROR(__xludf.DUMMYFUNCTION("""COMPUTED_VALUE"""),"Bug")</f>
        <v>Bug</v>
      </c>
      <c r="C243" s="190" t="str">
        <f>IFERROR(__xludf.DUMMYFUNCTION("""COMPUTED_VALUE"""),"Physical")</f>
        <v>Physical</v>
      </c>
      <c r="D243" s="190" t="str">
        <f>IFERROR(__xludf.DUMMYFUNCTION("""COMPUTED_VALUE"""),"At-Will")</f>
        <v>At-Will</v>
      </c>
      <c r="E243" s="190" t="str">
        <f>IFERROR(__xludf.DUMMYFUNCTION("""COMPUTED_VALUE"""),"Melee, 1 Target ")</f>
        <v>Melee, 1 Target </v>
      </c>
      <c r="F243" s="190">
        <f>IFERROR(__xludf.DUMMYFUNCTION("""COMPUTED_VALUE"""),3.0)</f>
        <v>3</v>
      </c>
      <c r="G243" s="190">
        <f>IFERROR(__xludf.DUMMYFUNCTION("""COMPUTED_VALUE"""),3.0)</f>
        <v>3</v>
      </c>
      <c r="H243" s="191" t="str">
        <f>IFERROR(__xludf.DUMMYFUNCTION("""COMPUTED_VALUE"""),"On a roll of 16+, roll a d2. On a 1, they become Poisoned. On a 2, they become Wounded. Double Strike")</f>
        <v>On a roll of 16+, roll a d2. On a 1, they become Poisoned. On a 2, they become Wounded. Double Strike</v>
      </c>
      <c r="I243" s="191" t="str">
        <f>IFERROR(__xludf.DUMMYFUNCTION("""COMPUTED_VALUE"""),"--")</f>
        <v>--</v>
      </c>
      <c r="J243" s="190" t="str">
        <f>IFERROR(__xludf.DUMMYFUNCTION("""COMPUTED_VALUE"""),"Tier 1")</f>
        <v>Tier 1</v>
      </c>
      <c r="K243" s="174" t="b">
        <f>IFERROR(__xludf.DUMMYFUNCTION("""COMPUTED_VALUE"""),TRUE)</f>
        <v>1</v>
      </c>
      <c r="L243" s="174"/>
      <c r="M243" s="174"/>
      <c r="N243" s="174"/>
      <c r="O243" s="174"/>
      <c r="P243" s="174"/>
      <c r="Q243" s="174"/>
      <c r="R243" s="174"/>
      <c r="S243" s="174"/>
      <c r="T243" s="174"/>
      <c r="U243" s="174"/>
      <c r="V243" s="174"/>
      <c r="W243" s="174"/>
      <c r="X243" s="174"/>
      <c r="Y243" s="174"/>
      <c r="Z243" s="174"/>
    </row>
    <row r="244">
      <c r="A244" s="190" t="str">
        <f>IFERROR(__xludf.DUMMYFUNCTION("""COMPUTED_VALUE"""),"U-Turn")</f>
        <v>U-Turn</v>
      </c>
      <c r="B244" s="190" t="str">
        <f>IFERROR(__xludf.DUMMYFUNCTION("""COMPUTED_VALUE"""),"Bug")</f>
        <v>Bug</v>
      </c>
      <c r="C244" s="190" t="str">
        <f>IFERROR(__xludf.DUMMYFUNCTION("""COMPUTED_VALUE"""),"Physical")</f>
        <v>Physical</v>
      </c>
      <c r="D244" s="190" t="str">
        <f>IFERROR(__xludf.DUMMYFUNCTION("""COMPUTED_VALUE"""),"At-Will")</f>
        <v>At-Will</v>
      </c>
      <c r="E244" s="190" t="str">
        <f>IFERROR(__xludf.DUMMYFUNCTION("""COMPUTED_VALUE"""),"Melee, 1 Target, Dash")</f>
        <v>Melee, 1 Target, Dash</v>
      </c>
      <c r="F244" s="190">
        <f>IFERROR(__xludf.DUMMYFUNCTION("""COMPUTED_VALUE"""),2.0)</f>
        <v>2</v>
      </c>
      <c r="G244" s="190">
        <f>IFERROR(__xludf.DUMMYFUNCTION("""COMPUTED_VALUE"""),7.0)</f>
        <v>7</v>
      </c>
      <c r="H244" s="191" t="str">
        <f>IFERROR(__xludf.DUMMYFUNCTION("""COMPUTED_VALUE"""),"After Damage Calculations, the user may Disengage or perform a Full Switch as a Free Action.")</f>
        <v>After Damage Calculations, the user may Disengage or perform a Full Switch as a Free Action.</v>
      </c>
      <c r="I244" s="191" t="str">
        <f>IFERROR(__xludf.DUMMYFUNCTION("""COMPUTED_VALUE"""),"--")</f>
        <v>--</v>
      </c>
      <c r="J244" s="190" t="str">
        <f>IFERROR(__xludf.DUMMYFUNCTION("""COMPUTED_VALUE"""),"Tier 1")</f>
        <v>Tier 1</v>
      </c>
      <c r="K244" s="174" t="b">
        <f>IFERROR(__xludf.DUMMYFUNCTION("""COMPUTED_VALUE"""),TRUE)</f>
        <v>1</v>
      </c>
      <c r="L244" s="174"/>
      <c r="M244" s="174"/>
      <c r="N244" s="174"/>
      <c r="O244" s="174"/>
      <c r="P244" s="174"/>
      <c r="Q244" s="174"/>
      <c r="R244" s="174"/>
      <c r="S244" s="174"/>
      <c r="T244" s="174"/>
      <c r="U244" s="174"/>
      <c r="V244" s="174"/>
      <c r="W244" s="174"/>
      <c r="X244" s="174"/>
      <c r="Y244" s="174"/>
      <c r="Z244" s="174"/>
    </row>
    <row r="245">
      <c r="A245" s="190" t="str">
        <f>IFERROR(__xludf.DUMMYFUNCTION("""COMPUTED_VALUE"""),"Web Shot")</f>
        <v>Web Shot</v>
      </c>
      <c r="B245" s="190" t="str">
        <f>IFERROR(__xludf.DUMMYFUNCTION("""COMPUTED_VALUE"""),"Bug")</f>
        <v>Bug</v>
      </c>
      <c r="C245" s="190" t="str">
        <f>IFERROR(__xludf.DUMMYFUNCTION("""COMPUTED_VALUE"""),"Special")</f>
        <v>Special</v>
      </c>
      <c r="D245" s="190" t="str">
        <f>IFERROR(__xludf.DUMMYFUNCTION("""COMPUTED_VALUE"""),"EOT")</f>
        <v>EOT</v>
      </c>
      <c r="E245" s="190" t="str">
        <f>IFERROR(__xludf.DUMMYFUNCTION("""COMPUTED_VALUE"""),"6, Ranged Blast 2")</f>
        <v>6, Ranged Blast 2</v>
      </c>
      <c r="F245" s="190">
        <f>IFERROR(__xludf.DUMMYFUNCTION("""COMPUTED_VALUE"""),5.0)</f>
        <v>5</v>
      </c>
      <c r="G245" s="190">
        <f>IFERROR(__xludf.DUMMYFUNCTION("""COMPUTED_VALUE"""),6.0)</f>
        <v>6</v>
      </c>
      <c r="H245" s="191" t="str">
        <f>IFERROR(__xludf.DUMMYFUNCTION("""COMPUTED_VALUE"""),"If this Attack misses all Targets, you may place Web Hazards in all spaces within the Range of this Attack. Enemies that Trigger this Web Hazard become Slowed at the end of their Turn. 
Web Hazard - Spaces with Web Hazards are treated as Slow Terrain. Wh"&amp;"enever an Enemy passes through or ends their turn on a Web Hazard, they have their Speed lowered by -3 CS.")</f>
        <v>If this Attack misses all Targets, you may place Web Hazards in all spaces within the Range of this Attack. Enemies that Trigger this Web Hazard become Slowed at the end of their Turn. 
Web Hazard - Spaces with Web Hazards are treated as Slow Terrain. Whenever an Enemy passes through or ends their turn on a Web Hazard, they have their Speed lowered by -3 CS.</v>
      </c>
      <c r="I245" s="191" t="str">
        <f>IFERROR(__xludf.DUMMYFUNCTION("""COMPUTED_VALUE"""),"--")</f>
        <v>--</v>
      </c>
      <c r="J245" s="190" t="str">
        <f>IFERROR(__xludf.DUMMYFUNCTION("""COMPUTED_VALUE"""),"Tier 1")</f>
        <v>Tier 1</v>
      </c>
      <c r="K245" s="174" t="b">
        <f>IFERROR(__xludf.DUMMYFUNCTION("""COMPUTED_VALUE"""),TRUE)</f>
        <v>1</v>
      </c>
      <c r="L245" s="174"/>
      <c r="M245" s="174"/>
      <c r="N245" s="174"/>
      <c r="O245" s="174"/>
      <c r="P245" s="174"/>
      <c r="Q245" s="174"/>
      <c r="R245" s="174"/>
      <c r="S245" s="174"/>
      <c r="T245" s="174"/>
      <c r="U245" s="174"/>
      <c r="V245" s="174"/>
      <c r="W245" s="174"/>
      <c r="X245" s="174"/>
      <c r="Y245" s="174"/>
      <c r="Z245" s="174"/>
    </row>
    <row r="246">
      <c r="A246" s="190" t="str">
        <f>IFERROR(__xludf.DUMMYFUNCTION("""COMPUTED_VALUE"""),"X-Scissor")</f>
        <v>X-Scissor</v>
      </c>
      <c r="B246" s="190" t="str">
        <f>IFERROR(__xludf.DUMMYFUNCTION("""COMPUTED_VALUE"""),"Bug")</f>
        <v>Bug</v>
      </c>
      <c r="C246" s="190" t="str">
        <f>IFERROR(__xludf.DUMMYFUNCTION("""COMPUTED_VALUE"""),"Physical")</f>
        <v>Physical</v>
      </c>
      <c r="D246" s="190" t="str">
        <f>IFERROR(__xludf.DUMMYFUNCTION("""COMPUTED_VALUE"""),"EOT")</f>
        <v>EOT</v>
      </c>
      <c r="E246" s="190" t="str">
        <f>IFERROR(__xludf.DUMMYFUNCTION("""COMPUTED_VALUE"""),"Melee, Pass ")</f>
        <v>Melee, Pass </v>
      </c>
      <c r="F246" s="190">
        <f>IFERROR(__xludf.DUMMYFUNCTION("""COMPUTED_VALUE"""),6.0)</f>
        <v>6</v>
      </c>
      <c r="G246" s="190">
        <f>IFERROR(__xludf.DUMMYFUNCTION("""COMPUTED_VALUE"""),8.0)</f>
        <v>8</v>
      </c>
      <c r="H246" s="191" t="str">
        <f>IFERROR(__xludf.DUMMYFUNCTION("""COMPUTED_VALUE"""),"X-Scissor Inflicts Wounded on a roll of 18+. If this Attack is used without activating the Pass Keyword, this Effect Range automatically Triggers on a hit. Smite")</f>
        <v>X-Scissor Inflicts Wounded on a roll of 18+. If this Attack is used without activating the Pass Keyword, this Effect Range automatically Triggers on a hit. Smite</v>
      </c>
      <c r="I246" s="191" t="str">
        <f>IFERROR(__xludf.DUMMYFUNCTION("""COMPUTED_VALUE"""),"--")</f>
        <v>--</v>
      </c>
      <c r="J246" s="190" t="str">
        <f>IFERROR(__xludf.DUMMYFUNCTION("""COMPUTED_VALUE"""),"Tier 2")</f>
        <v>Tier 2</v>
      </c>
      <c r="K246" s="174" t="b">
        <f>IFERROR(__xludf.DUMMYFUNCTION("""COMPUTED_VALUE"""),TRUE)</f>
        <v>1</v>
      </c>
      <c r="L246" s="174"/>
      <c r="M246" s="174"/>
      <c r="N246" s="174"/>
      <c r="O246" s="174"/>
      <c r="P246" s="174"/>
      <c r="Q246" s="174"/>
      <c r="R246" s="174"/>
      <c r="S246" s="174"/>
      <c r="T246" s="174"/>
      <c r="U246" s="174"/>
      <c r="V246" s="174"/>
      <c r="W246" s="174"/>
      <c r="X246" s="174"/>
      <c r="Y246" s="174"/>
      <c r="Z246" s="174"/>
    </row>
    <row r="247">
      <c r="A247" s="190" t="str">
        <f>IFERROR(__xludf.DUMMYFUNCTION("""COMPUTED_VALUE"""),"Ambush")</f>
        <v>Ambush</v>
      </c>
      <c r="B247" s="190" t="str">
        <f>IFERROR(__xludf.DUMMYFUNCTION("""COMPUTED_VALUE"""),"Dark")</f>
        <v>Dark</v>
      </c>
      <c r="C247" s="190" t="str">
        <f>IFERROR(__xludf.DUMMYFUNCTION("""COMPUTED_VALUE"""),"Physical")</f>
        <v>Physical</v>
      </c>
      <c r="D247" s="190" t="str">
        <f>IFERROR(__xludf.DUMMYFUNCTION("""COMPUTED_VALUE"""),"EOT")</f>
        <v>EOT</v>
      </c>
      <c r="E247" s="190" t="str">
        <f>IFERROR(__xludf.DUMMYFUNCTION("""COMPUTED_VALUE"""),"Melee, 1 Target, Priority")</f>
        <v>Melee, 1 Target, Priority</v>
      </c>
      <c r="F247" s="190">
        <f>IFERROR(__xludf.DUMMYFUNCTION("""COMPUTED_VALUE"""),3.0)</f>
        <v>3</v>
      </c>
      <c r="G247" s="190">
        <f>IFERROR(__xludf.DUMMYFUNCTION("""COMPUTED_VALUE"""),8.0)</f>
        <v>8</v>
      </c>
      <c r="H247" s="191" t="str">
        <f>IFERROR(__xludf.DUMMYFUNCTION("""COMPUTED_VALUE"""),"If the Target is Flanked, they're treated as Vulnerable against this Attack instead and cannot use Reactions against it. ")</f>
        <v>If the Target is Flanked, they're treated as Vulnerable against this Attack instead and cannot use Reactions against it. </v>
      </c>
      <c r="I247" s="191" t="str">
        <f>IFERROR(__xludf.DUMMYFUNCTION("""COMPUTED_VALUE"""),"--")</f>
        <v>--</v>
      </c>
      <c r="J247" s="190" t="str">
        <f>IFERROR(__xludf.DUMMYFUNCTION("""COMPUTED_VALUE"""),"Tier 2")</f>
        <v>Tier 2</v>
      </c>
      <c r="K247" s="174" t="b">
        <f>IFERROR(__xludf.DUMMYFUNCTION("""COMPUTED_VALUE"""),TRUE)</f>
        <v>1</v>
      </c>
      <c r="L247" s="174"/>
      <c r="M247" s="174"/>
      <c r="N247" s="174"/>
      <c r="O247" s="174"/>
      <c r="P247" s="174"/>
      <c r="Q247" s="174"/>
      <c r="R247" s="174"/>
      <c r="S247" s="174"/>
      <c r="T247" s="174"/>
      <c r="U247" s="174"/>
      <c r="V247" s="174"/>
      <c r="W247" s="174"/>
      <c r="X247" s="174"/>
      <c r="Y247" s="174"/>
      <c r="Z247" s="174"/>
    </row>
    <row r="248">
      <c r="A248" s="190" t="str">
        <f>IFERROR(__xludf.DUMMYFUNCTION("""COMPUTED_VALUE"""),"Assurance")</f>
        <v>Assurance</v>
      </c>
      <c r="B248" s="190" t="str">
        <f>IFERROR(__xludf.DUMMYFUNCTION("""COMPUTED_VALUE"""),"Dark")</f>
        <v>Dark</v>
      </c>
      <c r="C248" s="190" t="str">
        <f>IFERROR(__xludf.DUMMYFUNCTION("""COMPUTED_VALUE"""),"Physical")</f>
        <v>Physical</v>
      </c>
      <c r="D248" s="190" t="str">
        <f>IFERROR(__xludf.DUMMYFUNCTION("""COMPUTED_VALUE"""),"EOT")</f>
        <v>EOT</v>
      </c>
      <c r="E248" s="190" t="str">
        <f>IFERROR(__xludf.DUMMYFUNCTION("""COMPUTED_VALUE"""),"Melee, 1 Target")</f>
        <v>Melee, 1 Target</v>
      </c>
      <c r="F248" s="190">
        <f>IFERROR(__xludf.DUMMYFUNCTION("""COMPUTED_VALUE"""),3.0)</f>
        <v>3</v>
      </c>
      <c r="G248" s="190">
        <f>IFERROR(__xludf.DUMMYFUNCTION("""COMPUTED_VALUE"""),6.0)</f>
        <v>6</v>
      </c>
      <c r="H248" s="191" t="str">
        <f>IFERROR(__xludf.DUMMYFUNCTION("""COMPUTED_VALUE"""),"This Attack's Damage Base is increased by +2 for each time the Target was targeted by an Attack this Round (Max 12). If the Target hit the user with an Attack this Round, this has the Sureshot Keyword.")</f>
        <v>This Attack's Damage Base is increased by +2 for each time the Target was targeted by an Attack this Round (Max 12). If the Target hit the user with an Attack this Round, this has the Sureshot Keyword.</v>
      </c>
      <c r="I248" s="191" t="str">
        <f>IFERROR(__xludf.DUMMYFUNCTION("""COMPUTED_VALUE"""),"--")</f>
        <v>--</v>
      </c>
      <c r="J248" s="190" t="str">
        <f>IFERROR(__xludf.DUMMYFUNCTION("""COMPUTED_VALUE"""),"Tier 2")</f>
        <v>Tier 2</v>
      </c>
      <c r="K248" s="174" t="b">
        <f>IFERROR(__xludf.DUMMYFUNCTION("""COMPUTED_VALUE"""),TRUE)</f>
        <v>1</v>
      </c>
      <c r="L248" s="174"/>
      <c r="M248" s="174"/>
      <c r="N248" s="174"/>
      <c r="O248" s="174"/>
      <c r="P248" s="174"/>
      <c r="Q248" s="174"/>
      <c r="R248" s="174"/>
      <c r="S248" s="174"/>
      <c r="T248" s="174"/>
      <c r="U248" s="174"/>
      <c r="V248" s="174"/>
      <c r="W248" s="174"/>
      <c r="X248" s="174"/>
      <c r="Y248" s="174"/>
      <c r="Z248" s="174"/>
    </row>
    <row r="249">
      <c r="A249" s="190" t="str">
        <f>IFERROR(__xludf.DUMMYFUNCTION("""COMPUTED_VALUE"""),"Backlash")</f>
        <v>Backlash</v>
      </c>
      <c r="B249" s="190" t="str">
        <f>IFERROR(__xludf.DUMMYFUNCTION("""COMPUTED_VALUE"""),"Dark")</f>
        <v>Dark</v>
      </c>
      <c r="C249" s="190" t="str">
        <f>IFERROR(__xludf.DUMMYFUNCTION("""COMPUTED_VALUE"""),"Special")</f>
        <v>Special</v>
      </c>
      <c r="D249" s="190" t="str">
        <f>IFERROR(__xludf.DUMMYFUNCTION("""COMPUTED_VALUE"""),"EOT")</f>
        <v>EOT</v>
      </c>
      <c r="E249" s="190" t="str">
        <f>IFERROR(__xludf.DUMMYFUNCTION("""COMPUTED_VALUE"""),"Melee, 1 Target")</f>
        <v>Melee, 1 Target</v>
      </c>
      <c r="F249" s="190">
        <f>IFERROR(__xludf.DUMMYFUNCTION("""COMPUTED_VALUE"""),2.0)</f>
        <v>2</v>
      </c>
      <c r="G249" s="190">
        <f>IFERROR(__xludf.DUMMYFUNCTION("""COMPUTED_VALUE"""),7.0)</f>
        <v>7</v>
      </c>
      <c r="H249" s="191" t="str">
        <f>IFERROR(__xludf.DUMMYFUNCTION("""COMPUTED_VALUE"""),"When calculating Weakness and Resistance for Backlash, Fairy Typed Targets calculate damage as if Fairy was weak to Dark. If the Target of this Attack hit the user with an Attack this round, Backlash has the Sureshot Keyword.")</f>
        <v>When calculating Weakness and Resistance for Backlash, Fairy Typed Targets calculate damage as if Fairy was weak to Dark. If the Target of this Attack hit the user with an Attack this round, Backlash has the Sureshot Keyword.</v>
      </c>
      <c r="I249" s="191" t="str">
        <f>IFERROR(__xludf.DUMMYFUNCTION("""COMPUTED_VALUE"""),"--")</f>
        <v>--</v>
      </c>
      <c r="J249" s="190" t="str">
        <f>IFERROR(__xludf.DUMMYFUNCTION("""COMPUTED_VALUE"""),"Tier 1")</f>
        <v>Tier 1</v>
      </c>
      <c r="K249" s="174" t="b">
        <f>IFERROR(__xludf.DUMMYFUNCTION("""COMPUTED_VALUE"""),TRUE)</f>
        <v>1</v>
      </c>
      <c r="L249" s="174"/>
      <c r="M249" s="174"/>
      <c r="N249" s="174"/>
      <c r="O249" s="174"/>
      <c r="P249" s="174"/>
      <c r="Q249" s="174"/>
      <c r="R249" s="174"/>
      <c r="S249" s="174"/>
      <c r="T249" s="174"/>
      <c r="U249" s="174"/>
      <c r="V249" s="174"/>
      <c r="W249" s="174"/>
      <c r="X249" s="174"/>
      <c r="Y249" s="174"/>
      <c r="Z249" s="174"/>
    </row>
    <row r="250">
      <c r="A250" s="190" t="str">
        <f>IFERROR(__xludf.DUMMYFUNCTION("""COMPUTED_VALUE"""),"Beat Up")</f>
        <v>Beat Up</v>
      </c>
      <c r="B250" s="190" t="str">
        <f>IFERROR(__xludf.DUMMYFUNCTION("""COMPUTED_VALUE"""),"Dark")</f>
        <v>Dark</v>
      </c>
      <c r="C250" s="190" t="str">
        <f>IFERROR(__xludf.DUMMYFUNCTION("""COMPUTED_VALUE"""),"Physical")</f>
        <v>Physical</v>
      </c>
      <c r="D250" s="190" t="str">
        <f>IFERROR(__xludf.DUMMYFUNCTION("""COMPUTED_VALUE"""),"Scene x2")</f>
        <v>Scene x2</v>
      </c>
      <c r="E250" s="190" t="str">
        <f>IFERROR(__xludf.DUMMYFUNCTION("""COMPUTED_VALUE"""),"Melee, 1 Target")</f>
        <v>Melee, 1 Target</v>
      </c>
      <c r="F250" s="190" t="str">
        <f>IFERROR(__xludf.DUMMYFUNCTION("""COMPUTED_VALUE"""),"--")</f>
        <v>--</v>
      </c>
      <c r="G250" s="190" t="str">
        <f>IFERROR(__xludf.DUMMYFUNCTION("""COMPUTED_VALUE"""),"--")</f>
        <v>--</v>
      </c>
      <c r="H250" s="191" t="str">
        <f>IFERROR(__xludf.DUMMYFUNCTION("""COMPUTED_VALUE"""),"The user and an ally adjacent to the Target may each make a Basic Attack as a Free Action against the Target. These Basic Attacks hit for Dark Type Damage instead of their usual Type.")</f>
        <v>The user and an ally adjacent to the Target may each make a Basic Attack as a Free Action against the Target. These Basic Attacks hit for Dark Type Damage instead of their usual Type.</v>
      </c>
      <c r="I250" s="191" t="str">
        <f>IFERROR(__xludf.DUMMYFUNCTION("""COMPUTED_VALUE"""),"--")</f>
        <v>--</v>
      </c>
      <c r="J250" s="190" t="str">
        <f>IFERROR(__xludf.DUMMYFUNCTION("""COMPUTED_VALUE"""),"Tier 2")</f>
        <v>Tier 2</v>
      </c>
      <c r="K250" s="174" t="b">
        <f>IFERROR(__xludf.DUMMYFUNCTION("""COMPUTED_VALUE"""),TRUE)</f>
        <v>1</v>
      </c>
      <c r="L250" s="174"/>
      <c r="M250" s="174"/>
      <c r="N250" s="174"/>
      <c r="O250" s="174"/>
      <c r="P250" s="174"/>
      <c r="Q250" s="174"/>
      <c r="R250" s="174"/>
      <c r="S250" s="174"/>
      <c r="T250" s="174"/>
      <c r="U250" s="174"/>
      <c r="V250" s="174"/>
      <c r="W250" s="174"/>
      <c r="X250" s="174"/>
      <c r="Y250" s="174"/>
      <c r="Z250" s="174"/>
    </row>
    <row r="251">
      <c r="A251" s="190" t="str">
        <f>IFERROR(__xludf.DUMMYFUNCTION("""COMPUTED_VALUE"""),"Bite")</f>
        <v>Bite</v>
      </c>
      <c r="B251" s="190" t="str">
        <f>IFERROR(__xludf.DUMMYFUNCTION("""COMPUTED_VALUE"""),"Dark")</f>
        <v>Dark</v>
      </c>
      <c r="C251" s="190" t="str">
        <f>IFERROR(__xludf.DUMMYFUNCTION("""COMPUTED_VALUE"""),"Physical")</f>
        <v>Physical</v>
      </c>
      <c r="D251" s="190" t="str">
        <f>IFERROR(__xludf.DUMMYFUNCTION("""COMPUTED_VALUE"""),"At-Will")</f>
        <v>At-Will</v>
      </c>
      <c r="E251" s="190" t="str">
        <f>IFERROR(__xludf.DUMMYFUNCTION("""COMPUTED_VALUE"""),"Melee, 1 Target, Bite")</f>
        <v>Melee, 1 Target, Bite</v>
      </c>
      <c r="F251" s="190">
        <f>IFERROR(__xludf.DUMMYFUNCTION("""COMPUTED_VALUE"""),2.0)</f>
        <v>2</v>
      </c>
      <c r="G251" s="190">
        <f>IFERROR(__xludf.DUMMYFUNCTION("""COMPUTED_VALUE"""),5.0)</f>
        <v>5</v>
      </c>
      <c r="H251" s="191" t="str">
        <f>IFERROR(__xludf.DUMMYFUNCTION("""COMPUTED_VALUE"""),"On a roll of 16+, the Target becomes Wounded.")</f>
        <v>On a roll of 16+, the Target becomes Wounded.</v>
      </c>
      <c r="I251" s="191" t="str">
        <f>IFERROR(__xludf.DUMMYFUNCTION("""COMPUTED_VALUE"""),"--")</f>
        <v>--</v>
      </c>
      <c r="J251" s="190" t="str">
        <f>IFERROR(__xludf.DUMMYFUNCTION("""COMPUTED_VALUE"""),"Tier 1")</f>
        <v>Tier 1</v>
      </c>
      <c r="K251" s="174" t="b">
        <f>IFERROR(__xludf.DUMMYFUNCTION("""COMPUTED_VALUE"""),TRUE)</f>
        <v>1</v>
      </c>
      <c r="L251" s="174"/>
      <c r="M251" s="174"/>
      <c r="N251" s="174"/>
      <c r="O251" s="174"/>
      <c r="P251" s="174"/>
      <c r="Q251" s="174"/>
      <c r="R251" s="174"/>
      <c r="S251" s="174"/>
      <c r="T251" s="174"/>
      <c r="U251" s="174"/>
      <c r="V251" s="174"/>
      <c r="W251" s="174"/>
      <c r="X251" s="174"/>
      <c r="Y251" s="174"/>
      <c r="Z251" s="174"/>
    </row>
    <row r="252">
      <c r="A252" s="190" t="str">
        <f>IFERROR(__xludf.DUMMYFUNCTION("""COMPUTED_VALUE"""),"Blindside")</f>
        <v>Blindside</v>
      </c>
      <c r="B252" s="190" t="str">
        <f>IFERROR(__xludf.DUMMYFUNCTION("""COMPUTED_VALUE"""),"Dark")</f>
        <v>Dark</v>
      </c>
      <c r="C252" s="190" t="str">
        <f>IFERROR(__xludf.DUMMYFUNCTION("""COMPUTED_VALUE"""),"Physical")</f>
        <v>Physical</v>
      </c>
      <c r="D252" s="190" t="str">
        <f>IFERROR(__xludf.DUMMYFUNCTION("""COMPUTED_VALUE"""),"EOT")</f>
        <v>EOT</v>
      </c>
      <c r="E252" s="190" t="str">
        <f>IFERROR(__xludf.DUMMYFUNCTION("""COMPUTED_VALUE"""),"Melee, 1 Target")</f>
        <v>Melee, 1 Target</v>
      </c>
      <c r="F252" s="190">
        <f>IFERROR(__xludf.DUMMYFUNCTION("""COMPUTED_VALUE"""),3.0)</f>
        <v>3</v>
      </c>
      <c r="G252" s="190">
        <f>IFERROR(__xludf.DUMMYFUNCTION("""COMPUTED_VALUE"""),6.0)</f>
        <v>6</v>
      </c>
      <c r="H252" s="191" t="str">
        <f>IFERROR(__xludf.DUMMYFUNCTION("""COMPUTED_VALUE"""),"Until the end of your Turn, if you use a Manipulate or Tactics Maneuver against the Target, it has the Sureshot Keyword and you have a Boon to any Opposed Checks. If the Target is Vulnerable or Flanked, they lose -2 CS to Defense or Special Defense.")</f>
        <v>Until the end of your Turn, if you use a Manipulate or Tactics Maneuver against the Target, it has the Sureshot Keyword and you have a Boon to any Opposed Checks. If the Target is Vulnerable or Flanked, they lose -2 CS to Defense or Special Defense.</v>
      </c>
      <c r="I252" s="191" t="str">
        <f>IFERROR(__xludf.DUMMYFUNCTION("""COMPUTED_VALUE"""),"--")</f>
        <v>--</v>
      </c>
      <c r="J252" s="190" t="str">
        <f>IFERROR(__xludf.DUMMYFUNCTION("""COMPUTED_VALUE"""),"Tier 1")</f>
        <v>Tier 1</v>
      </c>
      <c r="K252" s="174" t="b">
        <f>IFERROR(__xludf.DUMMYFUNCTION("""COMPUTED_VALUE"""),TRUE)</f>
        <v>1</v>
      </c>
      <c r="L252" s="174"/>
      <c r="M252" s="174"/>
      <c r="N252" s="174"/>
      <c r="O252" s="174"/>
      <c r="P252" s="174"/>
      <c r="Q252" s="174"/>
      <c r="R252" s="174"/>
      <c r="S252" s="174"/>
      <c r="T252" s="174"/>
      <c r="U252" s="174"/>
      <c r="V252" s="174"/>
      <c r="W252" s="174"/>
      <c r="X252" s="174"/>
      <c r="Y252" s="174"/>
      <c r="Z252" s="174"/>
    </row>
    <row r="253">
      <c r="A253" s="190" t="str">
        <f>IFERROR(__xludf.DUMMYFUNCTION("""COMPUTED_VALUE"""),"Brutal Swing")</f>
        <v>Brutal Swing</v>
      </c>
      <c r="B253" s="190" t="str">
        <f>IFERROR(__xludf.DUMMYFUNCTION("""COMPUTED_VALUE"""),"Dark")</f>
        <v>Dark</v>
      </c>
      <c r="C253" s="190" t="str">
        <f>IFERROR(__xludf.DUMMYFUNCTION("""COMPUTED_VALUE"""),"Physical")</f>
        <v>Physical</v>
      </c>
      <c r="D253" s="190" t="str">
        <f>IFERROR(__xludf.DUMMYFUNCTION("""COMPUTED_VALUE"""),"EOT")</f>
        <v>EOT</v>
      </c>
      <c r="E253" s="190" t="str">
        <f>IFERROR(__xludf.DUMMYFUNCTION("""COMPUTED_VALUE"""),"Burst 1 ")</f>
        <v>Burst 1 </v>
      </c>
      <c r="F253" s="190">
        <f>IFERROR(__xludf.DUMMYFUNCTION("""COMPUTED_VALUE"""),5.0)</f>
        <v>5</v>
      </c>
      <c r="G253" s="190">
        <f>IFERROR(__xludf.DUMMYFUNCTION("""COMPUTED_VALUE"""),7.0)</f>
        <v>7</v>
      </c>
      <c r="H253" s="191" t="str">
        <f>IFERROR(__xludf.DUMMYFUNCTION("""COMPUTED_VALUE"""),"If a Target hit by this Attack Slides into a Space that is Adjacent to Blocking Terrain, they become Vulnerable against the next Attack that Targets them this Round. Slide 1 (Away).")</f>
        <v>If a Target hit by this Attack Slides into a Space that is Adjacent to Blocking Terrain, they become Vulnerable against the next Attack that Targets them this Round. Slide 1 (Away).</v>
      </c>
      <c r="I253" s="191" t="str">
        <f>IFERROR(__xludf.DUMMYFUNCTION("""COMPUTED_VALUE"""),"--")</f>
        <v>--</v>
      </c>
      <c r="J253" s="190" t="str">
        <f>IFERROR(__xludf.DUMMYFUNCTION("""COMPUTED_VALUE"""),"Tier 1")</f>
        <v>Tier 1</v>
      </c>
      <c r="K253" s="174" t="b">
        <f>IFERROR(__xludf.DUMMYFUNCTION("""COMPUTED_VALUE"""),TRUE)</f>
        <v>1</v>
      </c>
      <c r="L253" s="174"/>
      <c r="M253" s="174"/>
      <c r="N253" s="174"/>
      <c r="O253" s="174"/>
      <c r="P253" s="174"/>
      <c r="Q253" s="174"/>
      <c r="R253" s="174"/>
      <c r="S253" s="174"/>
      <c r="T253" s="174"/>
      <c r="U253" s="174"/>
      <c r="V253" s="174"/>
      <c r="W253" s="174"/>
      <c r="X253" s="174"/>
      <c r="Y253" s="174"/>
      <c r="Z253" s="174"/>
    </row>
    <row r="254">
      <c r="A254" s="190" t="str">
        <f>IFERROR(__xludf.DUMMYFUNCTION("""COMPUTED_VALUE"""),"Carrion Feast")</f>
        <v>Carrion Feast</v>
      </c>
      <c r="B254" s="190" t="str">
        <f>IFERROR(__xludf.DUMMYFUNCTION("""COMPUTED_VALUE"""),"Dark")</f>
        <v>Dark</v>
      </c>
      <c r="C254" s="190" t="str">
        <f>IFERROR(__xludf.DUMMYFUNCTION("""COMPUTED_VALUE"""),"Physical")</f>
        <v>Physical</v>
      </c>
      <c r="D254" s="190" t="str">
        <f>IFERROR(__xludf.DUMMYFUNCTION("""COMPUTED_VALUE"""),"Scene x2")</f>
        <v>Scene x2</v>
      </c>
      <c r="E254" s="190" t="str">
        <f>IFERROR(__xludf.DUMMYFUNCTION("""COMPUTED_VALUE"""),"Melee, 1 Target, Trigger")</f>
        <v>Melee, 1 Target, Trigger</v>
      </c>
      <c r="F254" s="190">
        <f>IFERROR(__xludf.DUMMYFUNCTION("""COMPUTED_VALUE"""),4.0)</f>
        <v>4</v>
      </c>
      <c r="G254" s="190">
        <f>IFERROR(__xludf.DUMMYFUNCTION("""COMPUTED_VALUE"""),9.0)</f>
        <v>9</v>
      </c>
      <c r="H254" s="191" t="str">
        <f>IFERROR(__xludf.DUMMYFUNCTION("""COMPUTED_VALUE"""),"If an Adjacent Enemy is hit with an Attack, Carrion Feast can be used against that Enemy as a Standard Action + Reaction after the Attack's resolution. Excess HP from the Drain Keyword is converted into Temporary HP. Drain")</f>
        <v>If an Adjacent Enemy is hit with an Attack, Carrion Feast can be used against that Enemy as a Standard Action + Reaction after the Attack's resolution. Excess HP from the Drain Keyword is converted into Temporary HP. Drain</v>
      </c>
      <c r="I254" s="191" t="str">
        <f>IFERROR(__xludf.DUMMYFUNCTION("""COMPUTED_VALUE"""),"--")</f>
        <v>--</v>
      </c>
      <c r="J254" s="190" t="str">
        <f>IFERROR(__xludf.DUMMYFUNCTION("""COMPUTED_VALUE"""),"Tier 2")</f>
        <v>Tier 2</v>
      </c>
      <c r="K254" s="174" t="b">
        <f>IFERROR(__xludf.DUMMYFUNCTION("""COMPUTED_VALUE"""),TRUE)</f>
        <v>1</v>
      </c>
      <c r="L254" s="174"/>
      <c r="M254" s="174"/>
      <c r="N254" s="174"/>
      <c r="O254" s="174"/>
      <c r="P254" s="174"/>
      <c r="Q254" s="174"/>
      <c r="R254" s="174"/>
      <c r="S254" s="174"/>
      <c r="T254" s="174"/>
      <c r="U254" s="174"/>
      <c r="V254" s="174"/>
      <c r="W254" s="174"/>
      <c r="X254" s="174"/>
      <c r="Y254" s="174"/>
      <c r="Z254" s="174"/>
    </row>
    <row r="255">
      <c r="A255" s="190" t="str">
        <f>IFERROR(__xludf.DUMMYFUNCTION("""COMPUTED_VALUE"""),"Cackle")</f>
        <v>Cackle</v>
      </c>
      <c r="B255" s="190" t="str">
        <f>IFERROR(__xludf.DUMMYFUNCTION("""COMPUTED_VALUE"""),"Dark")</f>
        <v>Dark</v>
      </c>
      <c r="C255" s="190" t="str">
        <f>IFERROR(__xludf.DUMMYFUNCTION("""COMPUTED_VALUE"""),"Status")</f>
        <v>Status</v>
      </c>
      <c r="D255" s="190" t="str">
        <f>IFERROR(__xludf.DUMMYFUNCTION("""COMPUTED_VALUE"""),"Scene x2")</f>
        <v>Scene x2</v>
      </c>
      <c r="E255" s="190" t="str">
        <f>IFERROR(__xludf.DUMMYFUNCTION("""COMPUTED_VALUE"""),"Burst 1, Sonic, Versatile")</f>
        <v>Burst 1, Sonic, Versatile</v>
      </c>
      <c r="F255" s="190">
        <f>IFERROR(__xludf.DUMMYFUNCTION("""COMPUTED_VALUE"""),3.0)</f>
        <v>3</v>
      </c>
      <c r="G255" s="190" t="str">
        <f>IFERROR(__xludf.DUMMYFUNCTION("""COMPUTED_VALUE"""),"--")</f>
        <v>--</v>
      </c>
      <c r="H255" s="191" t="str">
        <f>IFERROR(__xludf.DUMMYFUNCTION("""COMPUTED_VALUE"""),"Choose a Stat on each Target to lower by -2 CS. If the chosen Stat had a positive CS Value or they're Provoked by the user, they lose -4 CS instead. Friendly.")</f>
        <v>Choose a Stat on each Target to lower by -2 CS. If the chosen Stat had a positive CS Value or they're Provoked by the user, they lose -4 CS instead. Friendly.</v>
      </c>
      <c r="I255" s="191" t="str">
        <f>IFERROR(__xludf.DUMMYFUNCTION("""COMPUTED_VALUE"""),"Choose a Stat that has Positive Combat Stages on each Target if applicable. The chosen Stat is lowered by -2 CS. Friendly.")</f>
        <v>Choose a Stat that has Positive Combat Stages on each Target if applicable. The chosen Stat is lowered by -2 CS. Friendly.</v>
      </c>
      <c r="J255" s="190" t="str">
        <f>IFERROR(__xludf.DUMMYFUNCTION("""COMPUTED_VALUE"""),"Tier 2")</f>
        <v>Tier 2</v>
      </c>
      <c r="K255" s="174" t="b">
        <f>IFERROR(__xludf.DUMMYFUNCTION("""COMPUTED_VALUE"""),TRUE)</f>
        <v>1</v>
      </c>
      <c r="L255" s="174"/>
      <c r="M255" s="174"/>
      <c r="N255" s="174"/>
      <c r="O255" s="174"/>
      <c r="P255" s="174"/>
      <c r="Q255" s="174"/>
      <c r="R255" s="174"/>
      <c r="S255" s="174"/>
      <c r="T255" s="174"/>
      <c r="U255" s="174"/>
      <c r="V255" s="174"/>
      <c r="W255" s="174"/>
      <c r="X255" s="174"/>
      <c r="Y255" s="174"/>
      <c r="Z255" s="174"/>
    </row>
    <row r="256">
      <c r="A256" s="190" t="str">
        <f>IFERROR(__xludf.DUMMYFUNCTION("""COMPUTED_VALUE"""),"Chaos Strike")</f>
        <v>Chaos Strike</v>
      </c>
      <c r="B256" s="190" t="str">
        <f>IFERROR(__xludf.DUMMYFUNCTION("""COMPUTED_VALUE"""),"Dark")</f>
        <v>Dark</v>
      </c>
      <c r="C256" s="190" t="str">
        <f>IFERROR(__xludf.DUMMYFUNCTION("""COMPUTED_VALUE"""),"Special")</f>
        <v>Special</v>
      </c>
      <c r="D256" s="190" t="str">
        <f>IFERROR(__xludf.DUMMYFUNCTION("""COMPUTED_VALUE"""),"Scene x2")</f>
        <v>Scene x2</v>
      </c>
      <c r="E256" s="190" t="str">
        <f>IFERROR(__xludf.DUMMYFUNCTION("""COMPUTED_VALUE"""),"Melee, 1 Target, Recoil 1/3")</f>
        <v>Melee, 1 Target, Recoil 1/3</v>
      </c>
      <c r="F256" s="190">
        <f>IFERROR(__xludf.DUMMYFUNCTION("""COMPUTED_VALUE"""),3.0)</f>
        <v>3</v>
      </c>
      <c r="G256" s="190">
        <f>IFERROR(__xludf.DUMMYFUNCTION("""COMPUTED_VALUE"""),12.0)</f>
        <v>12</v>
      </c>
      <c r="H256" s="191" t="str">
        <f>IFERROR(__xludf.DUMMYFUNCTION("""COMPUTED_VALUE"""),"On a roll of 16+, the Target gains a Mental Affliction the user is affected by or becomes Suppressed if the user doesn't have any.")</f>
        <v>On a roll of 16+, the Target gains a Mental Affliction the user is affected by or becomes Suppressed if the user doesn't have any.</v>
      </c>
      <c r="I256" s="191" t="str">
        <f>IFERROR(__xludf.DUMMYFUNCTION("""COMPUTED_VALUE"""),"--")</f>
        <v>--</v>
      </c>
      <c r="J256" s="190" t="str">
        <f>IFERROR(__xludf.DUMMYFUNCTION("""COMPUTED_VALUE"""),"Tier 3")</f>
        <v>Tier 3</v>
      </c>
      <c r="K256" s="174" t="b">
        <f>IFERROR(__xludf.DUMMYFUNCTION("""COMPUTED_VALUE"""),TRUE)</f>
        <v>1</v>
      </c>
      <c r="L256" s="174"/>
      <c r="M256" s="174"/>
      <c r="N256" s="174"/>
      <c r="O256" s="174"/>
      <c r="P256" s="174"/>
      <c r="Q256" s="174"/>
      <c r="R256" s="174"/>
      <c r="S256" s="174"/>
      <c r="T256" s="174"/>
      <c r="U256" s="174"/>
      <c r="V256" s="174"/>
      <c r="W256" s="174"/>
      <c r="X256" s="174"/>
      <c r="Y256" s="174"/>
      <c r="Z256" s="174"/>
    </row>
    <row r="257">
      <c r="A257" s="190" t="str">
        <f>IFERROR(__xludf.DUMMYFUNCTION("""COMPUTED_VALUE"""),"Crunch")</f>
        <v>Crunch</v>
      </c>
      <c r="B257" s="190" t="str">
        <f>IFERROR(__xludf.DUMMYFUNCTION("""COMPUTED_VALUE"""),"Dark")</f>
        <v>Dark</v>
      </c>
      <c r="C257" s="190" t="str">
        <f>IFERROR(__xludf.DUMMYFUNCTION("""COMPUTED_VALUE"""),"Physical")</f>
        <v>Physical</v>
      </c>
      <c r="D257" s="190" t="str">
        <f>IFERROR(__xludf.DUMMYFUNCTION("""COMPUTED_VALUE"""),"EOT")</f>
        <v>EOT</v>
      </c>
      <c r="E257" s="190" t="str">
        <f>IFERROR(__xludf.DUMMYFUNCTION("""COMPUTED_VALUE"""),"Melee, 1 Target, Bite")</f>
        <v>Melee, 1 Target, Bite</v>
      </c>
      <c r="F257" s="190">
        <f>IFERROR(__xludf.DUMMYFUNCTION("""COMPUTED_VALUE"""),3.0)</f>
        <v>3</v>
      </c>
      <c r="G257" s="190">
        <f>IFERROR(__xludf.DUMMYFUNCTION("""COMPUTED_VALUE"""),8.0)</f>
        <v>8</v>
      </c>
      <c r="H257" s="191" t="str">
        <f>IFERROR(__xludf.DUMMYFUNCTION("""COMPUTED_VALUE"""),"On a roll of 17+, the Target either becomes Wounded or loses -2 CS in Defense")</f>
        <v>On a roll of 17+, the Target either becomes Wounded or loses -2 CS in Defense</v>
      </c>
      <c r="I257" s="191" t="str">
        <f>IFERROR(__xludf.DUMMYFUNCTION("""COMPUTED_VALUE"""),"--")</f>
        <v>--</v>
      </c>
      <c r="J257" s="190" t="str">
        <f>IFERROR(__xludf.DUMMYFUNCTION("""COMPUTED_VALUE"""),"Tier 2")</f>
        <v>Tier 2</v>
      </c>
      <c r="K257" s="174" t="b">
        <f>IFERROR(__xludf.DUMMYFUNCTION("""COMPUTED_VALUE"""),TRUE)</f>
        <v>1</v>
      </c>
      <c r="L257" s="174"/>
      <c r="M257" s="174"/>
      <c r="N257" s="174"/>
      <c r="O257" s="174"/>
      <c r="P257" s="174"/>
      <c r="Q257" s="174"/>
      <c r="R257" s="174"/>
      <c r="S257" s="174"/>
      <c r="T257" s="174"/>
      <c r="U257" s="174"/>
      <c r="V257" s="174"/>
      <c r="W257" s="174"/>
      <c r="X257" s="174"/>
      <c r="Y257" s="174"/>
      <c r="Z257" s="174"/>
    </row>
    <row r="258">
      <c r="A258" s="190" t="str">
        <f>IFERROR(__xludf.DUMMYFUNCTION("""COMPUTED_VALUE"""),"Dark Blade")</f>
        <v>Dark Blade</v>
      </c>
      <c r="B258" s="190" t="str">
        <f>IFERROR(__xludf.DUMMYFUNCTION("""COMPUTED_VALUE"""),"Dark")</f>
        <v>Dark</v>
      </c>
      <c r="C258" s="190" t="str">
        <f>IFERROR(__xludf.DUMMYFUNCTION("""COMPUTED_VALUE"""),"Physical")</f>
        <v>Physical</v>
      </c>
      <c r="D258" s="190" t="str">
        <f>IFERROR(__xludf.DUMMYFUNCTION("""COMPUTED_VALUE"""),"Scene x2")</f>
        <v>Scene x2</v>
      </c>
      <c r="E258" s="190" t="str">
        <f>IFERROR(__xludf.DUMMYFUNCTION("""COMPUTED_VALUE"""),"Melee, Pass")</f>
        <v>Melee, Pass</v>
      </c>
      <c r="F258" s="190">
        <f>IFERROR(__xludf.DUMMYFUNCTION("""COMPUTED_VALUE"""),6.0)</f>
        <v>6</v>
      </c>
      <c r="G258" s="190">
        <f>IFERROR(__xludf.DUMMYFUNCTION("""COMPUTED_VALUE"""),7.0)</f>
        <v>7</v>
      </c>
      <c r="H258" s="191" t="str">
        <f>IFERROR(__xludf.DUMMYFUNCTION("""COMPUTED_VALUE"""),"Dark Blade is a Critical Hit on a roll of 17+. If this Attack misses all Targets, the user becomes Enraged and gains +1 CS in Attack. Spirit Surge")</f>
        <v>Dark Blade is a Critical Hit on a roll of 17+. If this Attack misses all Targets, the user becomes Enraged and gains +1 CS in Attack. Spirit Surge</v>
      </c>
      <c r="I258" s="191" t="str">
        <f>IFERROR(__xludf.DUMMYFUNCTION("""COMPUTED_VALUE"""),"--")</f>
        <v>--</v>
      </c>
      <c r="J258" s="190" t="str">
        <f>IFERROR(__xludf.DUMMYFUNCTION("""COMPUTED_VALUE"""),"Tier 2")</f>
        <v>Tier 2</v>
      </c>
      <c r="K258" s="174" t="b">
        <f>IFERROR(__xludf.DUMMYFUNCTION("""COMPUTED_VALUE"""),TRUE)</f>
        <v>1</v>
      </c>
      <c r="L258" s="174"/>
      <c r="M258" s="174"/>
      <c r="N258" s="174"/>
      <c r="O258" s="174"/>
      <c r="P258" s="174"/>
      <c r="Q258" s="174"/>
      <c r="R258" s="174"/>
      <c r="S258" s="174"/>
      <c r="T258" s="174"/>
      <c r="U258" s="174"/>
      <c r="V258" s="174"/>
      <c r="W258" s="174"/>
      <c r="X258" s="174"/>
      <c r="Y258" s="174"/>
      <c r="Z258" s="174"/>
    </row>
    <row r="259">
      <c r="A259" s="190" t="str">
        <f>IFERROR(__xludf.DUMMYFUNCTION("""COMPUTED_VALUE"""),"Dark Pulse")</f>
        <v>Dark Pulse</v>
      </c>
      <c r="B259" s="190" t="str">
        <f>IFERROR(__xludf.DUMMYFUNCTION("""COMPUTED_VALUE"""),"Dark")</f>
        <v>Dark</v>
      </c>
      <c r="C259" s="190" t="str">
        <f>IFERROR(__xludf.DUMMYFUNCTION("""COMPUTED_VALUE"""),"Special")</f>
        <v>Special</v>
      </c>
      <c r="D259" s="190" t="str">
        <f>IFERROR(__xludf.DUMMYFUNCTION("""COMPUTED_VALUE"""),"EOT")</f>
        <v>EOT</v>
      </c>
      <c r="E259" s="190" t="str">
        <f>IFERROR(__xludf.DUMMYFUNCTION("""COMPUTED_VALUE"""),"8, 1 Target, Aura")</f>
        <v>8, 1 Target, Aura</v>
      </c>
      <c r="F259" s="190">
        <f>IFERROR(__xludf.DUMMYFUNCTION("""COMPUTED_VALUE"""),4.0)</f>
        <v>4</v>
      </c>
      <c r="G259" s="190">
        <f>IFERROR(__xludf.DUMMYFUNCTION("""COMPUTED_VALUE"""),8.0)</f>
        <v>8</v>
      </c>
      <c r="H259" s="191" t="str">
        <f>IFERROR(__xludf.DUMMYFUNCTION("""COMPUTED_VALUE"""),"On a roll of 18+, the Target becomes Suppressed. If the Weather is Foggy or the user has a Mental Affliction, this may be used as if its Range was Burst 1.")</f>
        <v>On a roll of 18+, the Target becomes Suppressed. If the Weather is Foggy or the user has a Mental Affliction, this may be used as if its Range was Burst 1.</v>
      </c>
      <c r="I259" s="191" t="str">
        <f>IFERROR(__xludf.DUMMYFUNCTION("""COMPUTED_VALUE"""),"--")</f>
        <v>--</v>
      </c>
      <c r="J259" s="190" t="str">
        <f>IFERROR(__xludf.DUMMYFUNCTION("""COMPUTED_VALUE"""),"Tier 2")</f>
        <v>Tier 2</v>
      </c>
      <c r="K259" s="174" t="b">
        <f>IFERROR(__xludf.DUMMYFUNCTION("""COMPUTED_VALUE"""),TRUE)</f>
        <v>1</v>
      </c>
      <c r="L259" s="174"/>
      <c r="M259" s="174"/>
      <c r="N259" s="174"/>
      <c r="O259" s="174"/>
      <c r="P259" s="174"/>
      <c r="Q259" s="174"/>
      <c r="R259" s="174"/>
      <c r="S259" s="174"/>
      <c r="T259" s="174"/>
      <c r="U259" s="174"/>
      <c r="V259" s="174"/>
      <c r="W259" s="174"/>
      <c r="X259" s="174"/>
      <c r="Y259" s="174"/>
      <c r="Z259" s="174"/>
    </row>
    <row r="260">
      <c r="A260" s="190" t="str">
        <f>IFERROR(__xludf.DUMMYFUNCTION("""COMPUTED_VALUE"""),"Dark Waves")</f>
        <v>Dark Waves</v>
      </c>
      <c r="B260" s="190" t="str">
        <f>IFERROR(__xludf.DUMMYFUNCTION("""COMPUTED_VALUE"""),"Dark")</f>
        <v>Dark</v>
      </c>
      <c r="C260" s="190" t="str">
        <f>IFERROR(__xludf.DUMMYFUNCTION("""COMPUTED_VALUE"""),"Special")</f>
        <v>Special</v>
      </c>
      <c r="D260" s="190" t="str">
        <f>IFERROR(__xludf.DUMMYFUNCTION("""COMPUTED_VALUE"""),"At-Will")</f>
        <v>At-Will</v>
      </c>
      <c r="E260" s="190" t="str">
        <f>IFERROR(__xludf.DUMMYFUNCTION("""COMPUTED_VALUE"""),"Burst 1 or 3, 2 Targets")</f>
        <v>Burst 1 or 3, 2 Targets</v>
      </c>
      <c r="F260" s="190">
        <f>IFERROR(__xludf.DUMMYFUNCTION("""COMPUTED_VALUE"""),5.0)</f>
        <v>5</v>
      </c>
      <c r="G260" s="190">
        <f>IFERROR(__xludf.DUMMYFUNCTION("""COMPUTED_VALUE"""),4.0)</f>
        <v>4</v>
      </c>
      <c r="H260" s="191" t="str">
        <f>IFERROR(__xludf.DUMMYFUNCTION("""COMPUTED_VALUE"""),"--")</f>
        <v>--</v>
      </c>
      <c r="I260" s="191" t="str">
        <f>IFERROR(__xludf.DUMMYFUNCTION("""COMPUTED_VALUE"""),"--")</f>
        <v>--</v>
      </c>
      <c r="J260" s="190" t="str">
        <f>IFERROR(__xludf.DUMMYFUNCTION("""COMPUTED_VALUE"""),"Tier 1")</f>
        <v>Tier 1</v>
      </c>
      <c r="K260" s="174" t="b">
        <f>IFERROR(__xludf.DUMMYFUNCTION("""COMPUTED_VALUE"""),TRUE)</f>
        <v>1</v>
      </c>
      <c r="L260" s="174"/>
      <c r="M260" s="174"/>
      <c r="N260" s="174"/>
      <c r="O260" s="174"/>
      <c r="P260" s="174"/>
      <c r="Q260" s="174"/>
      <c r="R260" s="174"/>
      <c r="S260" s="174"/>
      <c r="T260" s="174"/>
      <c r="U260" s="174"/>
      <c r="V260" s="174"/>
      <c r="W260" s="174"/>
      <c r="X260" s="174"/>
      <c r="Y260" s="174"/>
      <c r="Z260" s="174"/>
    </row>
    <row r="261">
      <c r="A261" s="190" t="str">
        <f>IFERROR(__xludf.DUMMYFUNCTION("""COMPUTED_VALUE"""),"Darkest Lariat")</f>
        <v>Darkest Lariat</v>
      </c>
      <c r="B261" s="190" t="str">
        <f>IFERROR(__xludf.DUMMYFUNCTION("""COMPUTED_VALUE"""),"Dark")</f>
        <v>Dark</v>
      </c>
      <c r="C261" s="190" t="str">
        <f>IFERROR(__xludf.DUMMYFUNCTION("""COMPUTED_VALUE"""),"Physical")</f>
        <v>Physical</v>
      </c>
      <c r="D261" s="190" t="str">
        <f>IFERROR(__xludf.DUMMYFUNCTION("""COMPUTED_VALUE"""),"EOT")</f>
        <v>EOT</v>
      </c>
      <c r="E261" s="190" t="str">
        <f>IFERROR(__xludf.DUMMYFUNCTION("""COMPUTED_VALUE"""),"Melee, 1 Target")</f>
        <v>Melee, 1 Target</v>
      </c>
      <c r="F261" s="190">
        <f>IFERROR(__xludf.DUMMYFUNCTION("""COMPUTED_VALUE"""),3.0)</f>
        <v>3</v>
      </c>
      <c r="G261" s="190">
        <f>IFERROR(__xludf.DUMMYFUNCTION("""COMPUTED_VALUE"""),8.0)</f>
        <v>8</v>
      </c>
      <c r="H261" s="191" t="str">
        <f>IFERROR(__xludf.DUMMYFUNCTION("""COMPUTED_VALUE"""),"This Attack ignores the Target’s positive Defense CS, Damage Reduction, Blessings, Items, Physical Evasion and Abilities. Smite")</f>
        <v>This Attack ignores the Target’s positive Defense CS, Damage Reduction, Blessings, Items, Physical Evasion and Abilities. Smite</v>
      </c>
      <c r="I261" s="191" t="str">
        <f>IFERROR(__xludf.DUMMYFUNCTION("""COMPUTED_VALUE"""),"--")</f>
        <v>--</v>
      </c>
      <c r="J261" s="190" t="str">
        <f>IFERROR(__xludf.DUMMYFUNCTION("""COMPUTED_VALUE"""),"Tier 2")</f>
        <v>Tier 2</v>
      </c>
      <c r="K261" s="174" t="b">
        <f>IFERROR(__xludf.DUMMYFUNCTION("""COMPUTED_VALUE"""),TRUE)</f>
        <v>1</v>
      </c>
      <c r="L261" s="174"/>
      <c r="M261" s="174"/>
      <c r="N261" s="174"/>
      <c r="O261" s="174"/>
      <c r="P261" s="174"/>
      <c r="Q261" s="174"/>
      <c r="R261" s="174"/>
      <c r="S261" s="174"/>
      <c r="T261" s="174"/>
      <c r="U261" s="174"/>
      <c r="V261" s="174"/>
      <c r="W261" s="174"/>
      <c r="X261" s="174"/>
      <c r="Y261" s="174"/>
      <c r="Z261" s="174"/>
    </row>
    <row r="262">
      <c r="A262" s="190" t="str">
        <f>IFERROR(__xludf.DUMMYFUNCTION("""COMPUTED_VALUE"""),"Embargo")</f>
        <v>Embargo</v>
      </c>
      <c r="B262" s="190" t="str">
        <f>IFERROR(__xludf.DUMMYFUNCTION("""COMPUTED_VALUE"""),"Dark")</f>
        <v>Dark</v>
      </c>
      <c r="C262" s="190" t="str">
        <f>IFERROR(__xludf.DUMMYFUNCTION("""COMPUTED_VALUE"""),"Status")</f>
        <v>Status</v>
      </c>
      <c r="D262" s="190" t="str">
        <f>IFERROR(__xludf.DUMMYFUNCTION("""COMPUTED_VALUE"""),"EOT")</f>
        <v>EOT</v>
      </c>
      <c r="E262" s="190" t="str">
        <f>IFERROR(__xludf.DUMMYFUNCTION("""COMPUTED_VALUE"""),"5, 1 Target, Swift Action")</f>
        <v>5, 1 Target, Swift Action</v>
      </c>
      <c r="F262" s="190">
        <f>IFERROR(__xludf.DUMMYFUNCTION("""COMPUTED_VALUE"""),6.0)</f>
        <v>6</v>
      </c>
      <c r="G262" s="190" t="str">
        <f>IFERROR(__xludf.DUMMYFUNCTION("""COMPUTED_VALUE"""),"--")</f>
        <v>--</v>
      </c>
      <c r="H262" s="191" t="str">
        <f>IFERROR(__xludf.DUMMYFUNCTION("""COMPUTED_VALUE"""),"The Target becomes Marked with an Embargo Mark. While a Combatant is affected by an Embargo Mark, they cannot use or benefit from Equipment Items or Consumable Items and cannot be recalled. ")</f>
        <v>The Target becomes Marked with an Embargo Mark. While a Combatant is affected by an Embargo Mark, they cannot use or benefit from Equipment Items or Consumable Items and cannot be recalled. </v>
      </c>
      <c r="I262" s="191" t="str">
        <f>IFERROR(__xludf.DUMMYFUNCTION("""COMPUTED_VALUE"""),"--")</f>
        <v>--</v>
      </c>
      <c r="J262" s="190" t="str">
        <f>IFERROR(__xludf.DUMMYFUNCTION("""COMPUTED_VALUE"""),"Tier 1")</f>
        <v>Tier 1</v>
      </c>
      <c r="K262" s="174" t="b">
        <f>IFERROR(__xludf.DUMMYFUNCTION("""COMPUTED_VALUE"""),TRUE)</f>
        <v>1</v>
      </c>
      <c r="L262" s="174"/>
      <c r="M262" s="174"/>
      <c r="N262" s="174"/>
      <c r="O262" s="174"/>
      <c r="P262" s="174"/>
      <c r="Q262" s="174"/>
      <c r="R262" s="174"/>
      <c r="S262" s="174"/>
      <c r="T262" s="174"/>
      <c r="U262" s="174"/>
      <c r="V262" s="174"/>
      <c r="W262" s="174"/>
      <c r="X262" s="174"/>
      <c r="Y262" s="174"/>
      <c r="Z262" s="174"/>
    </row>
    <row r="263">
      <c r="A263" s="190" t="str">
        <f>IFERROR(__xludf.DUMMYFUNCTION("""COMPUTED_VALUE"""),"Fake Tears")</f>
        <v>Fake Tears</v>
      </c>
      <c r="B263" s="190" t="str">
        <f>IFERROR(__xludf.DUMMYFUNCTION("""COMPUTED_VALUE"""),"Dark")</f>
        <v>Dark</v>
      </c>
      <c r="C263" s="190" t="str">
        <f>IFERROR(__xludf.DUMMYFUNCTION("""COMPUTED_VALUE"""),"Status")</f>
        <v>Status</v>
      </c>
      <c r="D263" s="190" t="str">
        <f>IFERROR(__xludf.DUMMYFUNCTION("""COMPUTED_VALUE"""),"EOT")</f>
        <v>EOT</v>
      </c>
      <c r="E263" s="190" t="str">
        <f>IFERROR(__xludf.DUMMYFUNCTION("""COMPUTED_VALUE"""),"Burst 1, Social, Versatile")</f>
        <v>Burst 1, Social, Versatile</v>
      </c>
      <c r="F263" s="190">
        <f>IFERROR(__xludf.DUMMYFUNCTION("""COMPUTED_VALUE"""),4.0)</f>
        <v>4</v>
      </c>
      <c r="G263" s="190" t="str">
        <f>IFERROR(__xludf.DUMMYFUNCTION("""COMPUTED_VALUE"""),"--")</f>
        <v>--</v>
      </c>
      <c r="H263" s="191" t="str">
        <f>IFERROR(__xludf.DUMMYFUNCTION("""COMPUTED_VALUE"""),"For each Target, choose Attack or Special Attack. The chosen Stat is lowered by -3 CS. If a Target is Entranced, this cannot miss them. ")</f>
        <v>For each Target, choose Attack or Special Attack. The chosen Stat is lowered by -3 CS. If a Target is Entranced, this cannot miss them. </v>
      </c>
      <c r="I263" s="191" t="str">
        <f>IFERROR(__xludf.DUMMYFUNCTION("""COMPUTED_VALUE"""),"All Targets hit by this Attack cannot Target the user with their next Attack if there is another legal Target. ")</f>
        <v>All Targets hit by this Attack cannot Target the user with their next Attack if there is another legal Target. </v>
      </c>
      <c r="J263" s="190" t="str">
        <f>IFERROR(__xludf.DUMMYFUNCTION("""COMPUTED_VALUE"""),"Tier 1")</f>
        <v>Tier 1</v>
      </c>
      <c r="K263" s="174" t="b">
        <f>IFERROR(__xludf.DUMMYFUNCTION("""COMPUTED_VALUE"""),TRUE)</f>
        <v>1</v>
      </c>
      <c r="L263" s="174"/>
      <c r="M263" s="174"/>
      <c r="N263" s="174"/>
      <c r="O263" s="174"/>
      <c r="P263" s="174"/>
      <c r="Q263" s="174"/>
      <c r="R263" s="174"/>
      <c r="S263" s="174"/>
      <c r="T263" s="174"/>
      <c r="U263" s="174"/>
      <c r="V263" s="174"/>
      <c r="W263" s="174"/>
      <c r="X263" s="174"/>
      <c r="Y263" s="174"/>
      <c r="Z263" s="174"/>
    </row>
    <row r="264">
      <c r="A264" s="190" t="str">
        <f>IFERROR(__xludf.DUMMYFUNCTION("""COMPUTED_VALUE"""),"False Surrender")</f>
        <v>False Surrender</v>
      </c>
      <c r="B264" s="190" t="str">
        <f>IFERROR(__xludf.DUMMYFUNCTION("""COMPUTED_VALUE"""),"Dark")</f>
        <v>Dark</v>
      </c>
      <c r="C264" s="190" t="str">
        <f>IFERROR(__xludf.DUMMYFUNCTION("""COMPUTED_VALUE"""),"Physical")</f>
        <v>Physical</v>
      </c>
      <c r="D264" s="190" t="str">
        <f>IFERROR(__xludf.DUMMYFUNCTION("""COMPUTED_VALUE"""),"EOT")</f>
        <v>EOT</v>
      </c>
      <c r="E264" s="190" t="str">
        <f>IFERROR(__xludf.DUMMYFUNCTION("""COMPUTED_VALUE"""),"Melee, 1 Target")</f>
        <v>Melee, 1 Target</v>
      </c>
      <c r="F264" s="190">
        <f>IFERROR(__xludf.DUMMYFUNCTION("""COMPUTED_VALUE"""),4.0)</f>
        <v>4</v>
      </c>
      <c r="G264" s="190">
        <f>IFERROR(__xludf.DUMMYFUNCTION("""COMPUTED_VALUE"""),8.0)</f>
        <v>8</v>
      </c>
      <c r="H264" s="191" t="str">
        <f>IFERROR(__xludf.DUMMYFUNCTION("""COMPUTED_VALUE"""),"If the user is Flanked, False Surrender has the Sureshot Keyword. If the user is Surrounded, False Surrender may be used as if its Range were Burst 1.")</f>
        <v>If the user is Flanked, False Surrender has the Sureshot Keyword. If the user is Surrounded, False Surrender may be used as if its Range were Burst 1.</v>
      </c>
      <c r="I264" s="191" t="str">
        <f>IFERROR(__xludf.DUMMYFUNCTION("""COMPUTED_VALUE"""),"--")</f>
        <v>--</v>
      </c>
      <c r="J264" s="190" t="str">
        <f>IFERROR(__xludf.DUMMYFUNCTION("""COMPUTED_VALUE"""),"Tier 2")</f>
        <v>Tier 2</v>
      </c>
      <c r="K264" s="174" t="b">
        <f>IFERROR(__xludf.DUMMYFUNCTION("""COMPUTED_VALUE"""),TRUE)</f>
        <v>1</v>
      </c>
      <c r="L264" s="174"/>
      <c r="M264" s="174"/>
      <c r="N264" s="174"/>
      <c r="O264" s="174"/>
      <c r="P264" s="174"/>
      <c r="Q264" s="174"/>
      <c r="R264" s="174"/>
      <c r="S264" s="174"/>
      <c r="T264" s="174"/>
      <c r="U264" s="174"/>
      <c r="V264" s="174"/>
      <c r="W264" s="174"/>
      <c r="X264" s="174"/>
      <c r="Y264" s="174"/>
      <c r="Z264" s="174"/>
    </row>
    <row r="265">
      <c r="A265" s="190" t="str">
        <f>IFERROR(__xludf.DUMMYFUNCTION("""COMPUTED_VALUE"""),"Feint Attack")</f>
        <v>Feint Attack</v>
      </c>
      <c r="B265" s="190" t="str">
        <f>IFERROR(__xludf.DUMMYFUNCTION("""COMPUTED_VALUE"""),"Dark")</f>
        <v>Dark</v>
      </c>
      <c r="C265" s="190" t="str">
        <f>IFERROR(__xludf.DUMMYFUNCTION("""COMPUTED_VALUE"""),"Physical")</f>
        <v>Physical</v>
      </c>
      <c r="D265" s="190" t="str">
        <f>IFERROR(__xludf.DUMMYFUNCTION("""COMPUTED_VALUE"""),"EOT")</f>
        <v>EOT</v>
      </c>
      <c r="E265" s="190" t="str">
        <f>IFERROR(__xludf.DUMMYFUNCTION("""COMPUTED_VALUE"""),"Melee, 1 Target ")</f>
        <v>Melee, 1 Target </v>
      </c>
      <c r="F265" s="190" t="str">
        <f>IFERROR(__xludf.DUMMYFUNCTION("""COMPUTED_VALUE"""),"--")</f>
        <v>--</v>
      </c>
      <c r="G265" s="190">
        <f>IFERROR(__xludf.DUMMYFUNCTION("""COMPUTED_VALUE"""),6.0)</f>
        <v>6</v>
      </c>
      <c r="H265" s="191" t="str">
        <f>IFERROR(__xludf.DUMMYFUNCTION("""COMPUTED_VALUE"""),"Sureshot.")</f>
        <v>Sureshot.</v>
      </c>
      <c r="I265" s="191" t="str">
        <f>IFERROR(__xludf.DUMMYFUNCTION("""COMPUTED_VALUE"""),"--")</f>
        <v>--</v>
      </c>
      <c r="J265" s="190" t="str">
        <f>IFERROR(__xludf.DUMMYFUNCTION("""COMPUTED_VALUE"""),"Tier 1")</f>
        <v>Tier 1</v>
      </c>
      <c r="K265" s="174" t="b">
        <f>IFERROR(__xludf.DUMMYFUNCTION("""COMPUTED_VALUE"""),TRUE)</f>
        <v>1</v>
      </c>
      <c r="L265" s="174"/>
      <c r="M265" s="174"/>
      <c r="N265" s="174"/>
      <c r="O265" s="174"/>
      <c r="P265" s="174"/>
      <c r="Q265" s="174"/>
      <c r="R265" s="174"/>
      <c r="S265" s="174"/>
      <c r="T265" s="174"/>
      <c r="U265" s="174"/>
      <c r="V265" s="174"/>
      <c r="W265" s="174"/>
      <c r="X265" s="174"/>
      <c r="Y265" s="174"/>
      <c r="Z265" s="174"/>
    </row>
    <row r="266">
      <c r="A266" s="190" t="str">
        <f>IFERROR(__xludf.DUMMYFUNCTION("""COMPUTED_VALUE"""),"Flatter")</f>
        <v>Flatter</v>
      </c>
      <c r="B266" s="190" t="str">
        <f>IFERROR(__xludf.DUMMYFUNCTION("""COMPUTED_VALUE"""),"Dark")</f>
        <v>Dark</v>
      </c>
      <c r="C266" s="190" t="str">
        <f>IFERROR(__xludf.DUMMYFUNCTION("""COMPUTED_VALUE"""),"Status")</f>
        <v>Status</v>
      </c>
      <c r="D266" s="190" t="str">
        <f>IFERROR(__xludf.DUMMYFUNCTION("""COMPUTED_VALUE"""),"EOT")</f>
        <v>EOT</v>
      </c>
      <c r="E266" s="190" t="str">
        <f>IFERROR(__xludf.DUMMYFUNCTION("""COMPUTED_VALUE"""),"2, 1 Target, Social, Versatile")</f>
        <v>2, 1 Target, Social, Versatile</v>
      </c>
      <c r="F266" s="190" t="str">
        <f>IFERROR(__xludf.DUMMYFUNCTION("""COMPUTED_VALUE"""),"--")</f>
        <v>--</v>
      </c>
      <c r="G266" s="190" t="str">
        <f>IFERROR(__xludf.DUMMYFUNCTION("""COMPUTED_VALUE"""),"--")</f>
        <v>--</v>
      </c>
      <c r="H266" s="191" t="str">
        <f>IFERROR(__xludf.DUMMYFUNCTION("""COMPUTED_VALUE"""),"The Targeted Enemy becomes Entranced. If this Targets an Ally that has hit an Attack this Round, the Ally gains +2 CS in a Stat of your choice. Sureshot")</f>
        <v>The Targeted Enemy becomes Entranced. If this Targets an Ally that has hit an Attack this Round, the Ally gains +2 CS in a Stat of your choice. Sureshot</v>
      </c>
      <c r="I266" s="191" t="str">
        <f>IFERROR(__xludf.DUMMYFUNCTION("""COMPUTED_VALUE"""),"The Target becomes Entranced. This may only Target an Enemy that has hit an Attack this Round. Sureshot")</f>
        <v>The Target becomes Entranced. This may only Target an Enemy that has hit an Attack this Round. Sureshot</v>
      </c>
      <c r="J266" s="190" t="str">
        <f>IFERROR(__xludf.DUMMYFUNCTION("""COMPUTED_VALUE"""),"Tier 1")</f>
        <v>Tier 1</v>
      </c>
      <c r="K266" s="174" t="b">
        <f>IFERROR(__xludf.DUMMYFUNCTION("""COMPUTED_VALUE"""),TRUE)</f>
        <v>1</v>
      </c>
      <c r="L266" s="174"/>
      <c r="M266" s="174"/>
      <c r="N266" s="174"/>
      <c r="O266" s="174"/>
      <c r="P266" s="174"/>
      <c r="Q266" s="174"/>
      <c r="R266" s="174"/>
      <c r="S266" s="174"/>
      <c r="T266" s="174"/>
      <c r="U266" s="174"/>
      <c r="V266" s="174"/>
      <c r="W266" s="174"/>
      <c r="X266" s="174"/>
      <c r="Y266" s="174"/>
      <c r="Z266" s="174"/>
    </row>
    <row r="267">
      <c r="A267" s="190" t="str">
        <f>IFERROR(__xludf.DUMMYFUNCTION("""COMPUTED_VALUE"""),"Fling")</f>
        <v>Fling</v>
      </c>
      <c r="B267" s="190" t="str">
        <f>IFERROR(__xludf.DUMMYFUNCTION("""COMPUTED_VALUE"""),"Dark")</f>
        <v>Dark</v>
      </c>
      <c r="C267" s="190" t="str">
        <f>IFERROR(__xludf.DUMMYFUNCTION("""COMPUTED_VALUE"""),"Physical")</f>
        <v>Physical</v>
      </c>
      <c r="D267" s="190" t="str">
        <f>IFERROR(__xludf.DUMMYFUNCTION("""COMPUTED_VALUE"""),"Scene x2")</f>
        <v>Scene x2</v>
      </c>
      <c r="E267" s="190" t="str">
        <f>IFERROR(__xludf.DUMMYFUNCTION("""COMPUTED_VALUE"""),"8, 1 Target ")</f>
        <v>8, 1 Target </v>
      </c>
      <c r="F267" s="190">
        <f>IFERROR(__xludf.DUMMYFUNCTION("""COMPUTED_VALUE"""),4.0)</f>
        <v>4</v>
      </c>
      <c r="G267" s="190">
        <f>IFERROR(__xludf.DUMMYFUNCTION("""COMPUTED_VALUE"""),8.0)</f>
        <v>8</v>
      </c>
      <c r="H267" s="191" t="str">
        <f>IFERROR(__xludf.DUMMYFUNCTION("""COMPUTED_VALUE"""),"The user may use the environment or expend an Item in their Inventory to change the Type of Fling, within the GMs Discretion. If an Item is expended, Fling's Effect becomes the Item's Effect as if they used the Throw Maneuver. ")</f>
        <v>The user may use the environment or expend an Item in their Inventory to change the Type of Fling, within the GMs Discretion. If an Item is expended, Fling's Effect becomes the Item's Effect as if they used the Throw Maneuver. </v>
      </c>
      <c r="I267" s="191" t="str">
        <f>IFERROR(__xludf.DUMMYFUNCTION("""COMPUTED_VALUE"""),"--")</f>
        <v>--</v>
      </c>
      <c r="J267" s="190" t="str">
        <f>IFERROR(__xludf.DUMMYFUNCTION("""COMPUTED_VALUE"""),"Tier 2")</f>
        <v>Tier 2</v>
      </c>
      <c r="K267" s="174" t="b">
        <f>IFERROR(__xludf.DUMMYFUNCTION("""COMPUTED_VALUE"""),FALSE)</f>
        <v>0</v>
      </c>
      <c r="L267" s="174"/>
      <c r="M267" s="174"/>
      <c r="N267" s="174"/>
      <c r="O267" s="174"/>
      <c r="P267" s="174"/>
      <c r="Q267" s="174"/>
      <c r="R267" s="174"/>
      <c r="S267" s="174"/>
      <c r="T267" s="174"/>
      <c r="U267" s="174"/>
      <c r="V267" s="174"/>
      <c r="W267" s="174"/>
      <c r="X267" s="174"/>
      <c r="Y267" s="174"/>
      <c r="Z267" s="174"/>
    </row>
    <row r="268">
      <c r="A268" s="190" t="str">
        <f>IFERROR(__xludf.DUMMYFUNCTION("""COMPUTED_VALUE"""),"Foul Play")</f>
        <v>Foul Play</v>
      </c>
      <c r="B268" s="190" t="str">
        <f>IFERROR(__xludf.DUMMYFUNCTION("""COMPUTED_VALUE"""),"Dark")</f>
        <v>Dark</v>
      </c>
      <c r="C268" s="190" t="str">
        <f>IFERROR(__xludf.DUMMYFUNCTION("""COMPUTED_VALUE"""),"Physical")</f>
        <v>Physical</v>
      </c>
      <c r="D268" s="190" t="str">
        <f>IFERROR(__xludf.DUMMYFUNCTION("""COMPUTED_VALUE"""),"Scene x2")</f>
        <v>Scene x2</v>
      </c>
      <c r="E268" s="190" t="str">
        <f>IFERROR(__xludf.DUMMYFUNCTION("""COMPUTED_VALUE"""),"Melee, 1 Target")</f>
        <v>Melee, 1 Target</v>
      </c>
      <c r="F268" s="190">
        <f>IFERROR(__xludf.DUMMYFUNCTION("""COMPUTED_VALUE"""),3.0)</f>
        <v>3</v>
      </c>
      <c r="G268" s="190">
        <f>IFERROR(__xludf.DUMMYFUNCTION("""COMPUTED_VALUE"""),10.0)</f>
        <v>10</v>
      </c>
      <c r="H268" s="191" t="str">
        <f>IFERROR(__xludf.DUMMYFUNCTION("""COMPUTED_VALUE"""),"The Target reveals its Attack stat. When calculating damage, your Offensive Stat is treated as the Target's Attack value.")</f>
        <v>The Target reveals its Attack stat. When calculating damage, your Offensive Stat is treated as the Target's Attack value.</v>
      </c>
      <c r="I268" s="191" t="str">
        <f>IFERROR(__xludf.DUMMYFUNCTION("""COMPUTED_VALUE"""),"--")</f>
        <v>--</v>
      </c>
      <c r="J268" s="190" t="str">
        <f>IFERROR(__xludf.DUMMYFUNCTION("""COMPUTED_VALUE"""),"Tier 3")</f>
        <v>Tier 3</v>
      </c>
      <c r="K268" s="174" t="b">
        <f>IFERROR(__xludf.DUMMYFUNCTION("""COMPUTED_VALUE"""),TRUE)</f>
        <v>1</v>
      </c>
      <c r="L268" s="174"/>
      <c r="M268" s="174"/>
      <c r="N268" s="174"/>
      <c r="O268" s="174"/>
      <c r="P268" s="174"/>
      <c r="Q268" s="174"/>
      <c r="R268" s="174"/>
      <c r="S268" s="174"/>
      <c r="T268" s="174"/>
      <c r="U268" s="174"/>
      <c r="V268" s="174"/>
      <c r="W268" s="174"/>
      <c r="X268" s="174"/>
      <c r="Y268" s="174"/>
      <c r="Z268" s="174"/>
    </row>
    <row r="269">
      <c r="A269" s="190" t="str">
        <f>IFERROR(__xludf.DUMMYFUNCTION("""COMPUTED_VALUE"""),"Gash")</f>
        <v>Gash</v>
      </c>
      <c r="B269" s="190" t="str">
        <f>IFERROR(__xludf.DUMMYFUNCTION("""COMPUTED_VALUE"""),"Dark")</f>
        <v>Dark</v>
      </c>
      <c r="C269" s="190" t="str">
        <f>IFERROR(__xludf.DUMMYFUNCTION("""COMPUTED_VALUE"""),"Status")</f>
        <v>Status</v>
      </c>
      <c r="D269" s="190" t="str">
        <f>IFERROR(__xludf.DUMMYFUNCTION("""COMPUTED_VALUE"""),"Scene x2")</f>
        <v>Scene x2</v>
      </c>
      <c r="E269" s="190" t="str">
        <f>IFERROR(__xludf.DUMMYFUNCTION("""COMPUTED_VALUE"""),"Melee, Pass, Versatile")</f>
        <v>Melee, Pass, Versatile</v>
      </c>
      <c r="F269" s="190">
        <f>IFERROR(__xludf.DUMMYFUNCTION("""COMPUTED_VALUE"""),5.0)</f>
        <v>5</v>
      </c>
      <c r="G269" s="190" t="str">
        <f>IFERROR(__xludf.DUMMYFUNCTION("""COMPUTED_VALUE"""),"--")</f>
        <v>--</v>
      </c>
      <c r="H269" s="191" t="str">
        <f>IFERROR(__xludf.DUMMYFUNCTION("""COMPUTED_VALUE"""),"Any Coats of the user’s choice currently affecting the Target are removed. When this Attack hits, the Target becomes Wounded. Spirit Surge")</f>
        <v>Any Coats of the user’s choice currently affecting the Target are removed. When this Attack hits, the Target becomes Wounded. Spirit Surge</v>
      </c>
      <c r="I269" s="191" t="str">
        <f>IFERROR(__xludf.DUMMYFUNCTION("""COMPUTED_VALUE"""),"The Target becomes Wounded. When used this way, Gash loses the Pass Keyword and its AC becomes 3. ")</f>
        <v>The Target becomes Wounded. When used this way, Gash loses the Pass Keyword and its AC becomes 3. </v>
      </c>
      <c r="J269" s="190" t="str">
        <f>IFERROR(__xludf.DUMMYFUNCTION("""COMPUTED_VALUE"""),"Tier 2")</f>
        <v>Tier 2</v>
      </c>
      <c r="K269" s="174" t="b">
        <f>IFERROR(__xludf.DUMMYFUNCTION("""COMPUTED_VALUE"""),TRUE)</f>
        <v>1</v>
      </c>
      <c r="L269" s="174"/>
      <c r="M269" s="174"/>
      <c r="N269" s="174"/>
      <c r="O269" s="174"/>
      <c r="P269" s="174"/>
      <c r="Q269" s="174"/>
      <c r="R269" s="174"/>
      <c r="S269" s="174"/>
      <c r="T269" s="174"/>
      <c r="U269" s="174"/>
      <c r="V269" s="174"/>
      <c r="W269" s="174"/>
      <c r="X269" s="174"/>
      <c r="Y269" s="174"/>
      <c r="Z269" s="174"/>
    </row>
    <row r="270">
      <c r="A270" s="190" t="str">
        <f>IFERROR(__xludf.DUMMYFUNCTION("""COMPUTED_VALUE"""),"Hone Claws")</f>
        <v>Hone Claws</v>
      </c>
      <c r="B270" s="190" t="str">
        <f>IFERROR(__xludf.DUMMYFUNCTION("""COMPUTED_VALUE"""),"Dark")</f>
        <v>Dark</v>
      </c>
      <c r="C270" s="190" t="str">
        <f>IFERROR(__xludf.DUMMYFUNCTION("""COMPUTED_VALUE"""),"Status")</f>
        <v>Status</v>
      </c>
      <c r="D270" s="190" t="str">
        <f>IFERROR(__xludf.DUMMYFUNCTION("""COMPUTED_VALUE"""),"EOT")</f>
        <v>EOT</v>
      </c>
      <c r="E270" s="190" t="str">
        <f>IFERROR(__xludf.DUMMYFUNCTION("""COMPUTED_VALUE"""),"Self, Versatile")</f>
        <v>Self, Versatile</v>
      </c>
      <c r="F270" s="190" t="str">
        <f>IFERROR(__xludf.DUMMYFUNCTION("""COMPUTED_VALUE"""),"--")</f>
        <v>--</v>
      </c>
      <c r="G270" s="190" t="str">
        <f>IFERROR(__xludf.DUMMYFUNCTION("""COMPUTED_VALUE"""),"--")</f>
        <v>--</v>
      </c>
      <c r="H270" s="191" t="str">
        <f>IFERROR(__xludf.DUMMYFUNCTION("""COMPUTED_VALUE"""),"Choose one of the following to gain a +2 to. Attack CS, Accuracy, Critical Hit Range.")</f>
        <v>Choose one of the following to gain a +2 to. Attack CS, Accuracy, Critical Hit Range.</v>
      </c>
      <c r="I270" s="191" t="str">
        <f>IFERROR(__xludf.DUMMYFUNCTION("""COMPUTED_VALUE"""),"Same as the normal Effect but gain +1 instead. ")</f>
        <v>Same as the normal Effect but gain +1 instead. </v>
      </c>
      <c r="J270" s="190" t="str">
        <f>IFERROR(__xludf.DUMMYFUNCTION("""COMPUTED_VALUE"""),"Tier 1")</f>
        <v>Tier 1</v>
      </c>
      <c r="K270" s="174" t="b">
        <f>IFERROR(__xludf.DUMMYFUNCTION("""COMPUTED_VALUE"""),TRUE)</f>
        <v>1</v>
      </c>
      <c r="L270" s="174"/>
      <c r="M270" s="174"/>
      <c r="N270" s="174"/>
      <c r="O270" s="174"/>
      <c r="P270" s="174"/>
      <c r="Q270" s="174"/>
      <c r="R270" s="174"/>
      <c r="S270" s="174"/>
      <c r="T270" s="174"/>
      <c r="U270" s="174"/>
      <c r="V270" s="174"/>
      <c r="W270" s="174"/>
      <c r="X270" s="174"/>
      <c r="Y270" s="174"/>
      <c r="Z270" s="174"/>
    </row>
    <row r="271">
      <c r="A271" s="190" t="str">
        <f>IFERROR(__xludf.DUMMYFUNCTION("""COMPUTED_VALUE"""),"Jaw Lock")</f>
        <v>Jaw Lock</v>
      </c>
      <c r="B271" s="190" t="str">
        <f>IFERROR(__xludf.DUMMYFUNCTION("""COMPUTED_VALUE"""),"Dark")</f>
        <v>Dark</v>
      </c>
      <c r="C271" s="190" t="str">
        <f>IFERROR(__xludf.DUMMYFUNCTION("""COMPUTED_VALUE"""),"Physical")</f>
        <v>Physical</v>
      </c>
      <c r="D271" s="190" t="str">
        <f>IFERROR(__xludf.DUMMYFUNCTION("""COMPUTED_VALUE"""),"Scene x2")</f>
        <v>Scene x2</v>
      </c>
      <c r="E271" s="190" t="str">
        <f>IFERROR(__xludf.DUMMYFUNCTION("""COMPUTED_VALUE"""),"Melee, 1 Target, Bite")</f>
        <v>Melee, 1 Target, Bite</v>
      </c>
      <c r="F271" s="190">
        <f>IFERROR(__xludf.DUMMYFUNCTION("""COMPUTED_VALUE"""),4.0)</f>
        <v>4</v>
      </c>
      <c r="G271" s="190">
        <f>IFERROR(__xludf.DUMMYFUNCTION("""COMPUTED_VALUE"""),8.0)</f>
        <v>8</v>
      </c>
      <c r="H271" s="191" t="str">
        <f>IFERROR(__xludf.DUMMYFUNCTION("""COMPUTED_VALUE"""),"On a 15+, the Target cannot use a Movement Action during their next Turn. This Turn, you may perform a Grapple Maneuver against the Target as a Swift Action if desired.")</f>
        <v>On a 15+, the Target cannot use a Movement Action during their next Turn. This Turn, you may perform a Grapple Maneuver against the Target as a Swift Action if desired.</v>
      </c>
      <c r="I271" s="191" t="str">
        <f>IFERROR(__xludf.DUMMYFUNCTION("""COMPUTED_VALUE"""),"--")</f>
        <v>--</v>
      </c>
      <c r="J271" s="190" t="str">
        <f>IFERROR(__xludf.DUMMYFUNCTION("""COMPUTED_VALUE"""),"Tier 2")</f>
        <v>Tier 2</v>
      </c>
      <c r="K271" s="174" t="b">
        <f>IFERROR(__xludf.DUMMYFUNCTION("""COMPUTED_VALUE"""),TRUE)</f>
        <v>1</v>
      </c>
      <c r="L271" s="174"/>
      <c r="M271" s="174"/>
      <c r="N271" s="174"/>
      <c r="O271" s="174"/>
      <c r="P271" s="174"/>
      <c r="Q271" s="174"/>
      <c r="R271" s="174"/>
      <c r="S271" s="174"/>
      <c r="T271" s="174"/>
      <c r="U271" s="174"/>
      <c r="V271" s="174"/>
      <c r="W271" s="174"/>
      <c r="X271" s="174"/>
      <c r="Y271" s="174"/>
      <c r="Z271" s="174"/>
    </row>
    <row r="272">
      <c r="A272" s="190" t="str">
        <f>IFERROR(__xludf.DUMMYFUNCTION("""COMPUTED_VALUE"""),"Knock Off")</f>
        <v>Knock Off</v>
      </c>
      <c r="B272" s="190" t="str">
        <f>IFERROR(__xludf.DUMMYFUNCTION("""COMPUTED_VALUE"""),"Dark")</f>
        <v>Dark</v>
      </c>
      <c r="C272" s="190" t="str">
        <f>IFERROR(__xludf.DUMMYFUNCTION("""COMPUTED_VALUE"""),"Physical")</f>
        <v>Physical</v>
      </c>
      <c r="D272" s="190" t="str">
        <f>IFERROR(__xludf.DUMMYFUNCTION("""COMPUTED_VALUE"""),"Scene x2")</f>
        <v>Scene x2</v>
      </c>
      <c r="E272" s="190" t="str">
        <f>IFERROR(__xludf.DUMMYFUNCTION("""COMPUTED_VALUE"""),"Melee, 1 Target")</f>
        <v>Melee, 1 Target</v>
      </c>
      <c r="F272" s="190">
        <f>IFERROR(__xludf.DUMMYFUNCTION("""COMPUTED_VALUE"""),3.0)</f>
        <v>3</v>
      </c>
      <c r="G272" s="190">
        <f>IFERROR(__xludf.DUMMYFUNCTION("""COMPUTED_VALUE"""),7.0)</f>
        <v>7</v>
      </c>
      <c r="H272" s="191" t="str">
        <f>IFERROR(__xludf.DUMMYFUNCTION("""COMPUTED_VALUE"""),"When this Attack hits, you may use a Disarm Maneuver as a Free Action against the Target. Perform the Opposed Check with a Boon.")</f>
        <v>When this Attack hits, you may use a Disarm Maneuver as a Free Action against the Target. Perform the Opposed Check with a Boon.</v>
      </c>
      <c r="I272" s="191" t="str">
        <f>IFERROR(__xludf.DUMMYFUNCTION("""COMPUTED_VALUE"""),"--")</f>
        <v>--</v>
      </c>
      <c r="J272" s="190" t="str">
        <f>IFERROR(__xludf.DUMMYFUNCTION("""COMPUTED_VALUE"""),"Tier 2")</f>
        <v>Tier 2</v>
      </c>
      <c r="K272" s="174" t="b">
        <f>IFERROR(__xludf.DUMMYFUNCTION("""COMPUTED_VALUE"""),TRUE)</f>
        <v>1</v>
      </c>
      <c r="L272" s="174"/>
      <c r="M272" s="174"/>
      <c r="N272" s="174"/>
      <c r="O272" s="174"/>
      <c r="P272" s="174"/>
      <c r="Q272" s="174"/>
      <c r="R272" s="174"/>
      <c r="S272" s="174"/>
      <c r="T272" s="174"/>
      <c r="U272" s="174"/>
      <c r="V272" s="174"/>
      <c r="W272" s="174"/>
      <c r="X272" s="174"/>
      <c r="Y272" s="174"/>
      <c r="Z272" s="174"/>
    </row>
    <row r="273">
      <c r="A273" s="190" t="str">
        <f>IFERROR(__xludf.DUMMYFUNCTION("""COMPUTED_VALUE"""),"Kowtow Cleave")</f>
        <v>Kowtow Cleave</v>
      </c>
      <c r="B273" s="190" t="str">
        <f>IFERROR(__xludf.DUMMYFUNCTION("""COMPUTED_VALUE"""),"Dark")</f>
        <v>Dark</v>
      </c>
      <c r="C273" s="190" t="str">
        <f>IFERROR(__xludf.DUMMYFUNCTION("""COMPUTED_VALUE"""),"Physical")</f>
        <v>Physical</v>
      </c>
      <c r="D273" s="190" t="str">
        <f>IFERROR(__xludf.DUMMYFUNCTION("""COMPUTED_VALUE"""),"Scene x2")</f>
        <v>Scene x2</v>
      </c>
      <c r="E273" s="190" t="str">
        <f>IFERROR(__xludf.DUMMYFUNCTION("""COMPUTED_VALUE"""),"Close Blast 2 ")</f>
        <v>Close Blast 2 </v>
      </c>
      <c r="F273" s="190" t="str">
        <f>IFERROR(__xludf.DUMMYFUNCTION("""COMPUTED_VALUE"""),"--")</f>
        <v>--</v>
      </c>
      <c r="G273" s="190">
        <f>IFERROR(__xludf.DUMMYFUNCTION("""COMPUTED_VALUE"""),8.0)</f>
        <v>8</v>
      </c>
      <c r="H273" s="191" t="str">
        <f>IFERROR(__xludf.DUMMYFUNCTION("""COMPUTED_VALUE"""),"On a roll of 17+, all Targets become Wounded. Sureshot")</f>
        <v>On a roll of 17+, all Targets become Wounded. Sureshot</v>
      </c>
      <c r="I273" s="191" t="str">
        <f>IFERROR(__xludf.DUMMYFUNCTION("""COMPUTED_VALUE"""),"--")</f>
        <v>--</v>
      </c>
      <c r="J273" s="190" t="str">
        <f>IFERROR(__xludf.DUMMYFUNCTION("""COMPUTED_VALUE"""),"Tier 2")</f>
        <v>Tier 2</v>
      </c>
      <c r="K273" s="174" t="b">
        <f>IFERROR(__xludf.DUMMYFUNCTION("""COMPUTED_VALUE"""),TRUE)</f>
        <v>1</v>
      </c>
      <c r="L273" s="174"/>
      <c r="M273" s="174"/>
      <c r="N273" s="174"/>
      <c r="O273" s="174"/>
      <c r="P273" s="174"/>
      <c r="Q273" s="174"/>
      <c r="R273" s="174"/>
      <c r="S273" s="174"/>
      <c r="T273" s="174"/>
      <c r="U273" s="174"/>
      <c r="V273" s="174"/>
      <c r="W273" s="174"/>
      <c r="X273" s="174"/>
      <c r="Y273" s="174"/>
      <c r="Z273" s="174"/>
    </row>
    <row r="274">
      <c r="A274" s="190" t="str">
        <f>IFERROR(__xludf.DUMMYFUNCTION("""COMPUTED_VALUE"""),"Lash Out")</f>
        <v>Lash Out</v>
      </c>
      <c r="B274" s="190" t="str">
        <f>IFERROR(__xludf.DUMMYFUNCTION("""COMPUTED_VALUE"""),"Dark")</f>
        <v>Dark</v>
      </c>
      <c r="C274" s="190" t="str">
        <f>IFERROR(__xludf.DUMMYFUNCTION("""COMPUTED_VALUE"""),"Physical")</f>
        <v>Physical</v>
      </c>
      <c r="D274" s="190" t="str">
        <f>IFERROR(__xludf.DUMMYFUNCTION("""COMPUTED_VALUE"""),"EOT")</f>
        <v>EOT</v>
      </c>
      <c r="E274" s="190" t="str">
        <f>IFERROR(__xludf.DUMMYFUNCTION("""COMPUTED_VALUE"""),"Melee, 1 Target")</f>
        <v>Melee, 1 Target</v>
      </c>
      <c r="F274" s="190">
        <f>IFERROR(__xludf.DUMMYFUNCTION("""COMPUTED_VALUE"""),4.0)</f>
        <v>4</v>
      </c>
      <c r="G274" s="190">
        <f>IFERROR(__xludf.DUMMYFUNCTION("""COMPUTED_VALUE"""),8.0)</f>
        <v>8</v>
      </c>
      <c r="H274" s="191" t="str">
        <f>IFERROR(__xludf.DUMMYFUNCTION("""COMPUTED_VALUE"""),"If the user is Enraged or has an Affliction, Lash Out is instead DB 12")</f>
        <v>If the user is Enraged or has an Affliction, Lash Out is instead DB 12</v>
      </c>
      <c r="I274" s="191" t="str">
        <f>IFERROR(__xludf.DUMMYFUNCTION("""COMPUTED_VALUE"""),"--")</f>
        <v>--</v>
      </c>
      <c r="J274" s="190" t="str">
        <f>IFERROR(__xludf.DUMMYFUNCTION("""COMPUTED_VALUE"""),"Tier 2")</f>
        <v>Tier 2</v>
      </c>
      <c r="K274" s="174" t="b">
        <f>IFERROR(__xludf.DUMMYFUNCTION("""COMPUTED_VALUE"""),TRUE)</f>
        <v>1</v>
      </c>
      <c r="L274" s="174"/>
      <c r="M274" s="174"/>
      <c r="N274" s="174"/>
      <c r="O274" s="174"/>
      <c r="P274" s="174"/>
      <c r="Q274" s="174"/>
      <c r="R274" s="174"/>
      <c r="S274" s="174"/>
      <c r="T274" s="174"/>
      <c r="U274" s="174"/>
      <c r="V274" s="174"/>
      <c r="W274" s="174"/>
      <c r="X274" s="174"/>
      <c r="Y274" s="174"/>
      <c r="Z274" s="174"/>
    </row>
    <row r="275">
      <c r="A275" s="190" t="str">
        <f>IFERROR(__xludf.DUMMYFUNCTION("""COMPUTED_VALUE"""),"Lunar Beam")</f>
        <v>Lunar Beam</v>
      </c>
      <c r="B275" s="190" t="str">
        <f>IFERROR(__xludf.DUMMYFUNCTION("""COMPUTED_VALUE"""),"Dark")</f>
        <v>Dark</v>
      </c>
      <c r="C275" s="190" t="str">
        <f>IFERROR(__xludf.DUMMYFUNCTION("""COMPUTED_VALUE"""),"Special")</f>
        <v>Special</v>
      </c>
      <c r="D275" s="190" t="str">
        <f>IFERROR(__xludf.DUMMYFUNCTION("""COMPUTED_VALUE"""),"Scene")</f>
        <v>Scene</v>
      </c>
      <c r="E275" s="190" t="str">
        <f>IFERROR(__xludf.DUMMYFUNCTION("""COMPUTED_VALUE"""),"Line X, Set-Up")</f>
        <v>Line X, Set-Up</v>
      </c>
      <c r="F275" s="190">
        <f>IFERROR(__xludf.DUMMYFUNCTION("""COMPUTED_VALUE"""),4.0)</f>
        <v>4</v>
      </c>
      <c r="G275" s="190">
        <f>IFERROR(__xludf.DUMMYFUNCTION("""COMPUTED_VALUE"""),8.0)</f>
        <v>8</v>
      </c>
      <c r="H275" s="191" t="str">
        <f>IFERROR(__xludf.DUMMYFUNCTION("""COMPUTED_VALUE"""),"Charge Effect: If the Weather is Sunny, you cannot use this Charge Effect. If the Weather is Foggy, you instead gain 2 Charge Tokens. 
Resolution Effect: X is equal to 4 plus the number of Charge Tokens you expend. This Attack’s Damage Base is increased b"&amp;"y +2 for each Charge Token you expend. Smite")</f>
        <v>Charge Effect: If the Weather is Sunny, you cannot use this Charge Effect. If the Weather is Foggy, you instead gain 2 Charge Tokens. 
Resolution Effect: X is equal to 4 plus the number of Charge Tokens you expend. This Attack’s Damage Base is increased by +2 for each Charge Token you expend. Smite</v>
      </c>
      <c r="I275" s="191" t="str">
        <f>IFERROR(__xludf.DUMMYFUNCTION("""COMPUTED_VALUE"""),"--")</f>
        <v>--</v>
      </c>
      <c r="J275" s="190" t="str">
        <f>IFERROR(__xludf.DUMMYFUNCTION("""COMPUTED_VALUE"""),"Tier 2")</f>
        <v>Tier 2</v>
      </c>
      <c r="K275" s="174" t="b">
        <f>IFERROR(__xludf.DUMMYFUNCTION("""COMPUTED_VALUE"""),TRUE)</f>
        <v>1</v>
      </c>
      <c r="L275" s="174"/>
      <c r="M275" s="174"/>
      <c r="N275" s="174"/>
      <c r="O275" s="174"/>
      <c r="P275" s="174"/>
      <c r="Q275" s="174"/>
      <c r="R275" s="174"/>
      <c r="S275" s="174"/>
      <c r="T275" s="174"/>
      <c r="U275" s="174"/>
      <c r="V275" s="174"/>
      <c r="W275" s="174"/>
      <c r="X275" s="174"/>
      <c r="Y275" s="174"/>
      <c r="Z275" s="174"/>
    </row>
    <row r="276">
      <c r="A276" s="190" t="str">
        <f>IFERROR(__xludf.DUMMYFUNCTION("""COMPUTED_VALUE"""),"Marked Prey")</f>
        <v>Marked Prey</v>
      </c>
      <c r="B276" s="190" t="str">
        <f>IFERROR(__xludf.DUMMYFUNCTION("""COMPUTED_VALUE"""),"Dark")</f>
        <v>Dark</v>
      </c>
      <c r="C276" s="190" t="str">
        <f>IFERROR(__xludf.DUMMYFUNCTION("""COMPUTED_VALUE"""),"Status")</f>
        <v>Status</v>
      </c>
      <c r="D276" s="190" t="str">
        <f>IFERROR(__xludf.DUMMYFUNCTION("""COMPUTED_VALUE"""),"Scene x2")</f>
        <v>Scene x2</v>
      </c>
      <c r="E276" s="190" t="str">
        <f>IFERROR(__xludf.DUMMYFUNCTION("""COMPUTED_VALUE"""),"Melee, 1 Target, Swift Action")</f>
        <v>Melee, 1 Target, Swift Action</v>
      </c>
      <c r="F276" s="190">
        <f>IFERROR(__xludf.DUMMYFUNCTION("""COMPUTED_VALUE"""),3.0)</f>
        <v>3</v>
      </c>
      <c r="G276" s="190" t="str">
        <f>IFERROR(__xludf.DUMMYFUNCTION("""COMPUTED_VALUE"""),"--")</f>
        <v>--</v>
      </c>
      <c r="H276" s="191" t="str">
        <f>IFERROR(__xludf.DUMMYFUNCTION("""COMPUTED_VALUE"""),"The Target becomes Marked with a Scent Mark. The user gains +2 Accuracy and Effect Range against Combatants with a Scent Mark.
*Grants Tracker")</f>
        <v>The Target becomes Marked with a Scent Mark. The user gains +2 Accuracy and Effect Range against Combatants with a Scent Mark.
*Grants Tracker</v>
      </c>
      <c r="I276" s="191" t="str">
        <f>IFERROR(__xludf.DUMMYFUNCTION("""COMPUTED_VALUE"""),"--")</f>
        <v>--</v>
      </c>
      <c r="J276" s="190" t="str">
        <f>IFERROR(__xludf.DUMMYFUNCTION("""COMPUTED_VALUE"""),"Tier 2")</f>
        <v>Tier 2</v>
      </c>
      <c r="K276" s="174" t="b">
        <f>IFERROR(__xludf.DUMMYFUNCTION("""COMPUTED_VALUE"""),TRUE)</f>
        <v>1</v>
      </c>
      <c r="L276" s="174"/>
      <c r="M276" s="174"/>
      <c r="N276" s="174"/>
      <c r="O276" s="174"/>
      <c r="P276" s="174"/>
      <c r="Q276" s="174"/>
      <c r="R276" s="174"/>
      <c r="S276" s="174"/>
      <c r="T276" s="174"/>
      <c r="U276" s="174"/>
      <c r="V276" s="174"/>
      <c r="W276" s="174"/>
      <c r="X276" s="174"/>
      <c r="Y276" s="174"/>
      <c r="Z276" s="174"/>
    </row>
    <row r="277">
      <c r="A277" s="190" t="str">
        <f>IFERROR(__xludf.DUMMYFUNCTION("""COMPUTED_VALUE"""),"Memento")</f>
        <v>Memento</v>
      </c>
      <c r="B277" s="190" t="str">
        <f>IFERROR(__xludf.DUMMYFUNCTION("""COMPUTED_VALUE"""),"Dark")</f>
        <v>Dark</v>
      </c>
      <c r="C277" s="190" t="str">
        <f>IFERROR(__xludf.DUMMYFUNCTION("""COMPUTED_VALUE"""),"Status")</f>
        <v>Status</v>
      </c>
      <c r="D277" s="190" t="str">
        <f>IFERROR(__xludf.DUMMYFUNCTION("""COMPUTED_VALUE"""),"Scene")</f>
        <v>Scene</v>
      </c>
      <c r="E277" s="190" t="str">
        <f>IFERROR(__xludf.DUMMYFUNCTION("""COMPUTED_VALUE"""),"8, 1 Target, Trigger, Free Action")</f>
        <v>8, 1 Target, Trigger, Free Action</v>
      </c>
      <c r="F277" s="190" t="str">
        <f>IFERROR(__xludf.DUMMYFUNCTION("""COMPUTED_VALUE"""),"--")</f>
        <v>--</v>
      </c>
      <c r="G277" s="190" t="str">
        <f>IFERROR(__xludf.DUMMYFUNCTION("""COMPUTED_VALUE"""),"--")</f>
        <v>--</v>
      </c>
      <c r="H277" s="191" t="str">
        <f>IFERROR(__xludf.DUMMYFUNCTION("""COMPUTED_VALUE"""),"Memento may be used as a Free Action when the user becomes Fainted, targeting the Combatant who caused it to Faint. Lower each of the Target's stats by -2 CS. Sureshot")</f>
        <v>Memento may be used as a Free Action when the user becomes Fainted, targeting the Combatant who caused it to Faint. Lower each of the Target's stats by -2 CS. Sureshot</v>
      </c>
      <c r="I277" s="191" t="str">
        <f>IFERROR(__xludf.DUMMYFUNCTION("""COMPUTED_VALUE"""),"--")</f>
        <v>--</v>
      </c>
      <c r="J277" s="190" t="str">
        <f>IFERROR(__xludf.DUMMYFUNCTION("""COMPUTED_VALUE"""),"Tier 3")</f>
        <v>Tier 3</v>
      </c>
      <c r="K277" s="174" t="b">
        <f>IFERROR(__xludf.DUMMYFUNCTION("""COMPUTED_VALUE"""),FALSE)</f>
        <v>0</v>
      </c>
      <c r="L277" s="174"/>
      <c r="M277" s="174"/>
      <c r="N277" s="174"/>
      <c r="O277" s="174"/>
      <c r="P277" s="174"/>
      <c r="Q277" s="174"/>
      <c r="R277" s="174"/>
      <c r="S277" s="174"/>
      <c r="T277" s="174"/>
      <c r="U277" s="174"/>
      <c r="V277" s="174"/>
      <c r="W277" s="174"/>
      <c r="X277" s="174"/>
      <c r="Y277" s="174"/>
      <c r="Z277" s="174"/>
    </row>
    <row r="278">
      <c r="A278" s="190" t="str">
        <f>IFERROR(__xludf.DUMMYFUNCTION("""COMPUTED_VALUE"""),"Nasty Plot")</f>
        <v>Nasty Plot</v>
      </c>
      <c r="B278" s="190" t="str">
        <f>IFERROR(__xludf.DUMMYFUNCTION("""COMPUTED_VALUE"""),"Dark")</f>
        <v>Dark</v>
      </c>
      <c r="C278" s="190" t="str">
        <f>IFERROR(__xludf.DUMMYFUNCTION("""COMPUTED_VALUE"""),"Status")</f>
        <v>Status</v>
      </c>
      <c r="D278" s="190" t="str">
        <f>IFERROR(__xludf.DUMMYFUNCTION("""COMPUTED_VALUE"""),"EOT")</f>
        <v>EOT</v>
      </c>
      <c r="E278" s="190" t="str">
        <f>IFERROR(__xludf.DUMMYFUNCTION("""COMPUTED_VALUE"""),"Self, Versatile")</f>
        <v>Self, Versatile</v>
      </c>
      <c r="F278" s="190" t="str">
        <f>IFERROR(__xludf.DUMMYFUNCTION("""COMPUTED_VALUE"""),"--")</f>
        <v>--</v>
      </c>
      <c r="G278" s="190" t="str">
        <f>IFERROR(__xludf.DUMMYFUNCTION("""COMPUTED_VALUE"""),"--")</f>
        <v>--</v>
      </c>
      <c r="H278" s="191" t="str">
        <f>IFERROR(__xludf.DUMMYFUNCTION("""COMPUTED_VALUE"""),"The user gains +2 CS in Special Attack. Their next Special Attack gains the Smite Keyword.")</f>
        <v>The user gains +2 CS in Special Attack. Their next Special Attack gains the Smite Keyword.</v>
      </c>
      <c r="I278" s="191" t="str">
        <f>IFERROR(__xludf.DUMMYFUNCTION("""COMPUTED_VALUE"""),"The user gains +1 CS in Special Attack. ")</f>
        <v>The user gains +1 CS in Special Attack. </v>
      </c>
      <c r="J278" s="190" t="str">
        <f>IFERROR(__xludf.DUMMYFUNCTION("""COMPUTED_VALUE"""),"Tier 1")</f>
        <v>Tier 1</v>
      </c>
      <c r="K278" s="174" t="b">
        <f>IFERROR(__xludf.DUMMYFUNCTION("""COMPUTED_VALUE"""),TRUE)</f>
        <v>1</v>
      </c>
      <c r="L278" s="174"/>
      <c r="M278" s="174"/>
      <c r="N278" s="174"/>
      <c r="O278" s="174"/>
      <c r="P278" s="174"/>
      <c r="Q278" s="174"/>
      <c r="R278" s="174"/>
      <c r="S278" s="174"/>
      <c r="T278" s="174"/>
      <c r="U278" s="174"/>
      <c r="V278" s="174"/>
      <c r="W278" s="174"/>
      <c r="X278" s="174"/>
      <c r="Y278" s="174"/>
      <c r="Z278" s="174"/>
    </row>
    <row r="279">
      <c r="A279" s="190" t="str">
        <f>IFERROR(__xludf.DUMMYFUNCTION("""COMPUTED_VALUE"""),"New Moon")</f>
        <v>New Moon</v>
      </c>
      <c r="B279" s="190" t="str">
        <f>IFERROR(__xludf.DUMMYFUNCTION("""COMPUTED_VALUE"""),"Dark")</f>
        <v>Dark</v>
      </c>
      <c r="C279" s="190" t="str">
        <f>IFERROR(__xludf.DUMMYFUNCTION("""COMPUTED_VALUE"""),"Status")</f>
        <v>Status</v>
      </c>
      <c r="D279" s="190" t="str">
        <f>IFERROR(__xludf.DUMMYFUNCTION("""COMPUTED_VALUE"""),"Scene x2")</f>
        <v>Scene x2</v>
      </c>
      <c r="E279" s="190" t="str">
        <f>IFERROR(__xludf.DUMMYFUNCTION("""COMPUTED_VALUE"""),"Blessing, Versatile, Weather")</f>
        <v>Blessing, Versatile, Weather</v>
      </c>
      <c r="F279" s="190" t="str">
        <f>IFERROR(__xludf.DUMMYFUNCTION("""COMPUTED_VALUE"""),"--")</f>
        <v>--</v>
      </c>
      <c r="G279" s="190" t="str">
        <f>IFERROR(__xludf.DUMMYFUNCTION("""COMPUTED_VALUE"""),"--")</f>
        <v>--</v>
      </c>
      <c r="H279" s="191" t="str">
        <f>IFERROR(__xludf.DUMMYFUNCTION("""COMPUTED_VALUE"""),"Blessing - Any user affected by New Moon may activate it as a Free Action when using a Dark Type Damaging Attack to grant it the Smite Keyword. If the Attack hits, it hits, it is also increased by one damage step. (Max 1.5x Effectiveness). New Moon may be"&amp;" Activated 3 times and then disappears. While this Blessing persists, the Weather becomes Foggy.")</f>
        <v>Blessing - Any user affected by New Moon may activate it as a Free Action when using a Dark Type Damaging Attack to grant it the Smite Keyword. If the Attack hits, it hits, it is also increased by one damage step. (Max 1.5x Effectiveness). New Moon may be Activated 3 times and then disappears. While this Blessing persists, the Weather becomes Foggy.</v>
      </c>
      <c r="I279" s="191" t="str">
        <f>IFERROR(__xludf.DUMMYFUNCTION("""COMPUTED_VALUE"""),"Same as the normal Effect, but it only has 1 Activation.")</f>
        <v>Same as the normal Effect, but it only has 1 Activation.</v>
      </c>
      <c r="J279" s="190" t="str">
        <f>IFERROR(__xludf.DUMMYFUNCTION("""COMPUTED_VALUE"""),"Tier 2")</f>
        <v>Tier 2</v>
      </c>
      <c r="K279" s="174" t="b">
        <f>IFERROR(__xludf.DUMMYFUNCTION("""COMPUTED_VALUE"""),TRUE)</f>
        <v>1</v>
      </c>
      <c r="L279" s="174"/>
      <c r="M279" s="174"/>
      <c r="N279" s="174"/>
      <c r="O279" s="174"/>
      <c r="P279" s="174"/>
      <c r="Q279" s="174"/>
      <c r="R279" s="174"/>
      <c r="S279" s="174"/>
      <c r="T279" s="174"/>
      <c r="U279" s="174"/>
      <c r="V279" s="174"/>
      <c r="W279" s="174"/>
      <c r="X279" s="174"/>
      <c r="Y279" s="174"/>
      <c r="Z279" s="174"/>
    </row>
    <row r="280">
      <c r="A280" s="190" t="str">
        <f>IFERROR(__xludf.DUMMYFUNCTION("""COMPUTED_VALUE"""),"Night Daze")</f>
        <v>Night Daze</v>
      </c>
      <c r="B280" s="190" t="str">
        <f>IFERROR(__xludf.DUMMYFUNCTION("""COMPUTED_VALUE"""),"Dark")</f>
        <v>Dark</v>
      </c>
      <c r="C280" s="190" t="str">
        <f>IFERROR(__xludf.DUMMYFUNCTION("""COMPUTED_VALUE"""),"Special")</f>
        <v>Special</v>
      </c>
      <c r="D280" s="190" t="str">
        <f>IFERROR(__xludf.DUMMYFUNCTION("""COMPUTED_VALUE"""),"EOT")</f>
        <v>EOT</v>
      </c>
      <c r="E280" s="190" t="str">
        <f>IFERROR(__xludf.DUMMYFUNCTION("""COMPUTED_VALUE"""),"Burst 1")</f>
        <v>Burst 1</v>
      </c>
      <c r="F280" s="190">
        <f>IFERROR(__xludf.DUMMYFUNCTION("""COMPUTED_VALUE"""),6.0)</f>
        <v>6</v>
      </c>
      <c r="G280" s="190">
        <f>IFERROR(__xludf.DUMMYFUNCTION("""COMPUTED_VALUE"""),9.0)</f>
        <v>9</v>
      </c>
      <c r="H280" s="191" t="str">
        <f>IFERROR(__xludf.DUMMYFUNCTION("""COMPUTED_VALUE"""),"Targets become Dazed on a 16+. If the Weather is Foggy, Night Daze has the Friendly Keyword. ")</f>
        <v>Targets become Dazed on a 16+. If the Weather is Foggy, Night Daze has the Friendly Keyword. </v>
      </c>
      <c r="I280" s="191" t="str">
        <f>IFERROR(__xludf.DUMMYFUNCTION("""COMPUTED_VALUE"""),"--")</f>
        <v>--</v>
      </c>
      <c r="J280" s="190" t="str">
        <f>IFERROR(__xludf.DUMMYFUNCTION("""COMPUTED_VALUE"""),"Tier 2")</f>
        <v>Tier 2</v>
      </c>
      <c r="K280" s="174" t="b">
        <f>IFERROR(__xludf.DUMMYFUNCTION("""COMPUTED_VALUE"""),TRUE)</f>
        <v>1</v>
      </c>
      <c r="L280" s="174"/>
      <c r="M280" s="174"/>
      <c r="N280" s="174"/>
      <c r="O280" s="174"/>
      <c r="P280" s="174"/>
      <c r="Q280" s="174"/>
      <c r="R280" s="174"/>
      <c r="S280" s="174"/>
      <c r="T280" s="174"/>
      <c r="U280" s="174"/>
      <c r="V280" s="174"/>
      <c r="W280" s="174"/>
      <c r="X280" s="174"/>
      <c r="Y280" s="174"/>
      <c r="Z280" s="174"/>
    </row>
    <row r="281">
      <c r="A281" s="190" t="str">
        <f>IFERROR(__xludf.DUMMYFUNCTION("""COMPUTED_VALUE"""),"Night Slash")</f>
        <v>Night Slash</v>
      </c>
      <c r="B281" s="190" t="str">
        <f>IFERROR(__xludf.DUMMYFUNCTION("""COMPUTED_VALUE"""),"Dark")</f>
        <v>Dark</v>
      </c>
      <c r="C281" s="190" t="str">
        <f>IFERROR(__xludf.DUMMYFUNCTION("""COMPUTED_VALUE"""),"Physical")</f>
        <v>Physical</v>
      </c>
      <c r="D281" s="190" t="str">
        <f>IFERROR(__xludf.DUMMYFUNCTION("""COMPUTED_VALUE"""),"EOT")</f>
        <v>EOT</v>
      </c>
      <c r="E281" s="190" t="str">
        <f>IFERROR(__xludf.DUMMYFUNCTION("""COMPUTED_VALUE"""),"Melee, Pass")</f>
        <v>Melee, Pass</v>
      </c>
      <c r="F281" s="190">
        <f>IFERROR(__xludf.DUMMYFUNCTION("""COMPUTED_VALUE"""),5.0)</f>
        <v>5</v>
      </c>
      <c r="G281" s="190">
        <f>IFERROR(__xludf.DUMMYFUNCTION("""COMPUTED_VALUE"""),7.0)</f>
        <v>7</v>
      </c>
      <c r="H281" s="191" t="str">
        <f>IFERROR(__xludf.DUMMYFUNCTION("""COMPUTED_VALUE"""),"Night Slash is a Critical Hit on a roll of 18+.")</f>
        <v>Night Slash is a Critical Hit on a roll of 18+.</v>
      </c>
      <c r="I281" s="191" t="str">
        <f>IFERROR(__xludf.DUMMYFUNCTION("""COMPUTED_VALUE"""),"--")</f>
        <v>--</v>
      </c>
      <c r="J281" s="190" t="str">
        <f>IFERROR(__xludf.DUMMYFUNCTION("""COMPUTED_VALUE"""),"Tier 1")</f>
        <v>Tier 1</v>
      </c>
      <c r="K281" s="174" t="b">
        <f>IFERROR(__xludf.DUMMYFUNCTION("""COMPUTED_VALUE"""),TRUE)</f>
        <v>1</v>
      </c>
      <c r="L281" s="174"/>
      <c r="M281" s="174"/>
      <c r="N281" s="174"/>
      <c r="O281" s="174"/>
      <c r="P281" s="174"/>
      <c r="Q281" s="174"/>
      <c r="R281" s="174"/>
      <c r="S281" s="174"/>
      <c r="T281" s="174"/>
      <c r="U281" s="174"/>
      <c r="V281" s="174"/>
      <c r="W281" s="174"/>
      <c r="X281" s="174"/>
      <c r="Y281" s="174"/>
      <c r="Z281" s="174"/>
    </row>
    <row r="282">
      <c r="A282" s="190" t="str">
        <f>IFERROR(__xludf.DUMMYFUNCTION("""COMPUTED_VALUE"""),"Obstruct")</f>
        <v>Obstruct</v>
      </c>
      <c r="B282" s="190" t="str">
        <f>IFERROR(__xludf.DUMMYFUNCTION("""COMPUTED_VALUE"""),"Dark")</f>
        <v>Dark</v>
      </c>
      <c r="C282" s="190" t="str">
        <f>IFERROR(__xludf.DUMMYFUNCTION("""COMPUTED_VALUE"""),"Status")</f>
        <v>Status</v>
      </c>
      <c r="D282" s="190" t="str">
        <f>IFERROR(__xludf.DUMMYFUNCTION("""COMPUTED_VALUE"""),"Scene")</f>
        <v>Scene</v>
      </c>
      <c r="E282" s="190" t="str">
        <f>IFERROR(__xludf.DUMMYFUNCTION("""COMPUTED_VALUE"""),"Self, Coat")</f>
        <v>Self, Coat</v>
      </c>
      <c r="F282" s="190" t="str">
        <f>IFERROR(__xludf.DUMMYFUNCTION("""COMPUTED_VALUE"""),"--")</f>
        <v>--</v>
      </c>
      <c r="G282" s="190" t="str">
        <f>IFERROR(__xludf.DUMMYFUNCTION("""COMPUTED_VALUE"""),"--")</f>
        <v>--</v>
      </c>
      <c r="H282" s="191" t="str">
        <f>IFERROR(__xludf.DUMMYFUNCTION("""COMPUTED_VALUE"""),"The user gains an Obstructed Coat until the start of their next Turn. While they have this Coat, Adjacent Allies cannot be Targeted by 1-Target Attacks, Adjacent Allies resist damage by an additional step and the Enemies cannot move through the space the "&amp;"user occupies. ")</f>
        <v>The user gains an Obstructed Coat until the start of their next Turn. While they have this Coat, Adjacent Allies cannot be Targeted by 1-Target Attacks, Adjacent Allies resist damage by an additional step and the Enemies cannot move through the space the user occupies. </v>
      </c>
      <c r="I282" s="191" t="str">
        <f>IFERROR(__xludf.DUMMYFUNCTION("""COMPUTED_VALUE"""),"--")</f>
        <v>--</v>
      </c>
      <c r="J282" s="190" t="str">
        <f>IFERROR(__xludf.DUMMYFUNCTION("""COMPUTED_VALUE"""),"Tier 3")</f>
        <v>Tier 3</v>
      </c>
      <c r="K282" s="174" t="b">
        <f>IFERROR(__xludf.DUMMYFUNCTION("""COMPUTED_VALUE"""),FALSE)</f>
        <v>0</v>
      </c>
      <c r="L282" s="174"/>
      <c r="M282" s="174"/>
      <c r="N282" s="174"/>
      <c r="O282" s="174"/>
      <c r="P282" s="174"/>
      <c r="Q282" s="174"/>
      <c r="R282" s="174"/>
      <c r="S282" s="174"/>
      <c r="T282" s="174"/>
      <c r="U282" s="174"/>
      <c r="V282" s="174"/>
      <c r="W282" s="174"/>
      <c r="X282" s="174"/>
      <c r="Y282" s="174"/>
      <c r="Z282" s="174"/>
    </row>
    <row r="283">
      <c r="A283" s="190" t="str">
        <f>IFERROR(__xludf.DUMMYFUNCTION("""COMPUTED_VALUE"""),"Parting Shot")</f>
        <v>Parting Shot</v>
      </c>
      <c r="B283" s="190" t="str">
        <f>IFERROR(__xludf.DUMMYFUNCTION("""COMPUTED_VALUE"""),"Dark")</f>
        <v>Dark</v>
      </c>
      <c r="C283" s="190" t="str">
        <f>IFERROR(__xludf.DUMMYFUNCTION("""COMPUTED_VALUE"""),"Status")</f>
        <v>Status</v>
      </c>
      <c r="D283" s="190" t="str">
        <f>IFERROR(__xludf.DUMMYFUNCTION("""COMPUTED_VALUE"""),"EOT")</f>
        <v>EOT</v>
      </c>
      <c r="E283" s="190" t="str">
        <f>IFERROR(__xludf.DUMMYFUNCTION("""COMPUTED_VALUE"""),"6, 1 Target, Social, Movement Action")</f>
        <v>6, 1 Target, Social, Movement Action</v>
      </c>
      <c r="F283" s="190" t="str">
        <f>IFERROR(__xludf.DUMMYFUNCTION("""COMPUTED_VALUE"""),"--")</f>
        <v>--</v>
      </c>
      <c r="G283" s="190" t="str">
        <f>IFERROR(__xludf.DUMMYFUNCTION("""COMPUTED_VALUE"""),"--")</f>
        <v>--</v>
      </c>
      <c r="H283" s="191" t="str">
        <f>IFERROR(__xludf.DUMMYFUNCTION("""COMPUTED_VALUE"""),"The user may perform a Provoke Maneuver against the Target as a Free Action as if it had the Sureshot Keyword. The user then either Disengages or performs a Full Switch, both as a Free Action. If they were Switched out and the Maneuver was successful, the"&amp;"y are Provoked by the replacing Pokemon until the end of their next Turn. Sureshot")</f>
        <v>The user may perform a Provoke Maneuver against the Target as a Free Action as if it had the Sureshot Keyword. The user then either Disengages or performs a Full Switch, both as a Free Action. If they were Switched out and the Maneuver was successful, they are Provoked by the replacing Pokemon until the end of their next Turn. Sureshot</v>
      </c>
      <c r="I283" s="191" t="str">
        <f>IFERROR(__xludf.DUMMYFUNCTION("""COMPUTED_VALUE"""),"--")</f>
        <v>--</v>
      </c>
      <c r="J283" s="190" t="str">
        <f>IFERROR(__xludf.DUMMYFUNCTION("""COMPUTED_VALUE"""),"Tier 1")</f>
        <v>Tier 1</v>
      </c>
      <c r="K283" s="174" t="b">
        <f>IFERROR(__xludf.DUMMYFUNCTION("""COMPUTED_VALUE"""),TRUE)</f>
        <v>1</v>
      </c>
      <c r="L283" s="174"/>
      <c r="M283" s="174"/>
      <c r="N283" s="174"/>
      <c r="O283" s="174"/>
      <c r="P283" s="174"/>
      <c r="Q283" s="174"/>
      <c r="R283" s="174"/>
      <c r="S283" s="174"/>
      <c r="T283" s="174"/>
      <c r="U283" s="174"/>
      <c r="V283" s="174"/>
      <c r="W283" s="174"/>
      <c r="X283" s="174"/>
      <c r="Y283" s="174"/>
      <c r="Z283" s="174"/>
    </row>
    <row r="284">
      <c r="A284" s="190" t="str">
        <f>IFERROR(__xludf.DUMMYFUNCTION("""COMPUTED_VALUE"""),"Payback")</f>
        <v>Payback</v>
      </c>
      <c r="B284" s="190" t="str">
        <f>IFERROR(__xludf.DUMMYFUNCTION("""COMPUTED_VALUE"""),"Dark")</f>
        <v>Dark</v>
      </c>
      <c r="C284" s="190" t="str">
        <f>IFERROR(__xludf.DUMMYFUNCTION("""COMPUTED_VALUE"""),"Physical")</f>
        <v>Physical</v>
      </c>
      <c r="D284" s="190" t="str">
        <f>IFERROR(__xludf.DUMMYFUNCTION("""COMPUTED_VALUE"""),"EOT")</f>
        <v>EOT</v>
      </c>
      <c r="E284" s="190" t="str">
        <f>IFERROR(__xludf.DUMMYFUNCTION("""COMPUTED_VALUE"""),"Melee, 1 Target")</f>
        <v>Melee, 1 Target</v>
      </c>
      <c r="F284" s="190">
        <f>IFERROR(__xludf.DUMMYFUNCTION("""COMPUTED_VALUE"""),4.0)</f>
        <v>4</v>
      </c>
      <c r="G284" s="190">
        <f>IFERROR(__xludf.DUMMYFUNCTION("""COMPUTED_VALUE"""),6.0)</f>
        <v>6</v>
      </c>
      <c r="H284" s="191" t="str">
        <f>IFERROR(__xludf.DUMMYFUNCTION("""COMPUTED_VALUE"""),"If the Target hit the user with an Attack since the user's last turn, Payback instead has a Damage Base of 12.")</f>
        <v>If the Target hit the user with an Attack since the user's last turn, Payback instead has a Damage Base of 12.</v>
      </c>
      <c r="I284" s="191" t="str">
        <f>IFERROR(__xludf.DUMMYFUNCTION("""COMPUTED_VALUE"""),"--")</f>
        <v>--</v>
      </c>
      <c r="J284" s="190" t="str">
        <f>IFERROR(__xludf.DUMMYFUNCTION("""COMPUTED_VALUE"""),"Tier 2")</f>
        <v>Tier 2</v>
      </c>
      <c r="K284" s="174" t="b">
        <f>IFERROR(__xludf.DUMMYFUNCTION("""COMPUTED_VALUE"""),TRUE)</f>
        <v>1</v>
      </c>
      <c r="L284" s="174"/>
      <c r="M284" s="174"/>
      <c r="N284" s="174"/>
      <c r="O284" s="174"/>
      <c r="P284" s="174"/>
      <c r="Q284" s="174"/>
      <c r="R284" s="174"/>
      <c r="S284" s="174"/>
      <c r="T284" s="174"/>
      <c r="U284" s="174"/>
      <c r="V284" s="174"/>
      <c r="W284" s="174"/>
      <c r="X284" s="174"/>
      <c r="Y284" s="174"/>
      <c r="Z284" s="174"/>
    </row>
    <row r="285">
      <c r="A285" s="190" t="str">
        <f>IFERROR(__xludf.DUMMYFUNCTION("""COMPUTED_VALUE"""),"Power Trip")</f>
        <v>Power Trip</v>
      </c>
      <c r="B285" s="190" t="str">
        <f>IFERROR(__xludf.DUMMYFUNCTION("""COMPUTED_VALUE"""),"Dark")</f>
        <v>Dark</v>
      </c>
      <c r="C285" s="190" t="str">
        <f>IFERROR(__xludf.DUMMYFUNCTION("""COMPUTED_VALUE"""),"Physical")</f>
        <v>Physical</v>
      </c>
      <c r="D285" s="190" t="str">
        <f>IFERROR(__xludf.DUMMYFUNCTION("""COMPUTED_VALUE"""),"Scene x2")</f>
        <v>Scene x2</v>
      </c>
      <c r="E285" s="190" t="str">
        <f>IFERROR(__xludf.DUMMYFUNCTION("""COMPUTED_VALUE"""),"Melee, 1 Target")</f>
        <v>Melee, 1 Target</v>
      </c>
      <c r="F285" s="190">
        <f>IFERROR(__xludf.DUMMYFUNCTION("""COMPUTED_VALUE"""),4.0)</f>
        <v>4</v>
      </c>
      <c r="G285" s="190">
        <f>IFERROR(__xludf.DUMMYFUNCTION("""COMPUTED_VALUE"""),2.0)</f>
        <v>2</v>
      </c>
      <c r="H285" s="191" t="str">
        <f>IFERROR(__xludf.DUMMYFUNCTION("""COMPUTED_VALUE"""),"This Attack gains +2 to its Damage Base for every positive CS held by the user, to a maximum of DB 20. Smite")</f>
        <v>This Attack gains +2 to its Damage Base for every positive CS held by the user, to a maximum of DB 20. Smite</v>
      </c>
      <c r="I285" s="191" t="str">
        <f>IFERROR(__xludf.DUMMYFUNCTION("""COMPUTED_VALUE"""),"--")</f>
        <v>--</v>
      </c>
      <c r="J285" s="190" t="str">
        <f>IFERROR(__xludf.DUMMYFUNCTION("""COMPUTED_VALUE"""),"Tier 2")</f>
        <v>Tier 2</v>
      </c>
      <c r="K285" s="174" t="b">
        <f>IFERROR(__xludf.DUMMYFUNCTION("""COMPUTED_VALUE"""),TRUE)</f>
        <v>1</v>
      </c>
      <c r="L285" s="174"/>
      <c r="M285" s="174"/>
      <c r="N285" s="174"/>
      <c r="O285" s="174"/>
      <c r="P285" s="174"/>
      <c r="Q285" s="174"/>
      <c r="R285" s="174"/>
      <c r="S285" s="174"/>
      <c r="T285" s="174"/>
      <c r="U285" s="174"/>
      <c r="V285" s="174"/>
      <c r="W285" s="174"/>
      <c r="X285" s="174"/>
      <c r="Y285" s="174"/>
      <c r="Z285" s="174"/>
    </row>
    <row r="286">
      <c r="A286" s="190" t="str">
        <f>IFERROR(__xludf.DUMMYFUNCTION("""COMPUTED_VALUE"""),"Punishment")</f>
        <v>Punishment</v>
      </c>
      <c r="B286" s="190" t="str">
        <f>IFERROR(__xludf.DUMMYFUNCTION("""COMPUTED_VALUE"""),"Dark")</f>
        <v>Dark</v>
      </c>
      <c r="C286" s="190" t="str">
        <f>IFERROR(__xludf.DUMMYFUNCTION("""COMPUTED_VALUE"""),"Physical")</f>
        <v>Physical</v>
      </c>
      <c r="D286" s="190" t="str">
        <f>IFERROR(__xludf.DUMMYFUNCTION("""COMPUTED_VALUE"""),"EOT")</f>
        <v>EOT</v>
      </c>
      <c r="E286" s="190" t="str">
        <f>IFERROR(__xludf.DUMMYFUNCTION("""COMPUTED_VALUE"""),"Melee, 1 Target")</f>
        <v>Melee, 1 Target</v>
      </c>
      <c r="F286" s="190">
        <f>IFERROR(__xludf.DUMMYFUNCTION("""COMPUTED_VALUE"""),4.0)</f>
        <v>4</v>
      </c>
      <c r="G286" s="190">
        <f>IFERROR(__xludf.DUMMYFUNCTION("""COMPUTED_VALUE"""),2.0)</f>
        <v>2</v>
      </c>
      <c r="H286" s="191" t="str">
        <f>IFERROR(__xludf.DUMMYFUNCTION("""COMPUTED_VALUE"""),"This Attack gains +2 to its Damage Base for every positive CS held by the Target, to a maximum of DB 20. Smite")</f>
        <v>This Attack gains +2 to its Damage Base for every positive CS held by the Target, to a maximum of DB 20. Smite</v>
      </c>
      <c r="I286" s="191" t="str">
        <f>IFERROR(__xludf.DUMMYFUNCTION("""COMPUTED_VALUE"""),"--")</f>
        <v>--</v>
      </c>
      <c r="J286" s="190" t="str">
        <f>IFERROR(__xludf.DUMMYFUNCTION("""COMPUTED_VALUE"""),"Tier 2")</f>
        <v>Tier 2</v>
      </c>
      <c r="K286" s="174" t="b">
        <f>IFERROR(__xludf.DUMMYFUNCTION("""COMPUTED_VALUE"""),TRUE)</f>
        <v>1</v>
      </c>
      <c r="L286" s="174"/>
      <c r="M286" s="174"/>
      <c r="N286" s="174"/>
      <c r="O286" s="174"/>
      <c r="P286" s="174"/>
      <c r="Q286" s="174"/>
      <c r="R286" s="174"/>
      <c r="S286" s="174"/>
      <c r="T286" s="174"/>
      <c r="U286" s="174"/>
      <c r="V286" s="174"/>
      <c r="W286" s="174"/>
      <c r="X286" s="174"/>
      <c r="Y286" s="174"/>
      <c r="Z286" s="174"/>
    </row>
    <row r="287">
      <c r="A287" s="190" t="str">
        <f>IFERROR(__xludf.DUMMYFUNCTION("""COMPUTED_VALUE"""),"Pursuit")</f>
        <v>Pursuit</v>
      </c>
      <c r="B287" s="190" t="str">
        <f>IFERROR(__xludf.DUMMYFUNCTION("""COMPUTED_VALUE"""),"Dark")</f>
        <v>Dark</v>
      </c>
      <c r="C287" s="190" t="str">
        <f>IFERROR(__xludf.DUMMYFUNCTION("""COMPUTED_VALUE"""),"Physical")</f>
        <v>Physical</v>
      </c>
      <c r="D287" s="190" t="str">
        <f>IFERROR(__xludf.DUMMYFUNCTION("""COMPUTED_VALUE"""),"At-Will")</f>
        <v>At-Will</v>
      </c>
      <c r="E287" s="190" t="str">
        <f>IFERROR(__xludf.DUMMYFUNCTION("""COMPUTED_VALUE"""),"Melee, 1 Target ")</f>
        <v>Melee, 1 Target </v>
      </c>
      <c r="F287" s="190">
        <f>IFERROR(__xludf.DUMMYFUNCTION("""COMPUTED_VALUE"""),2.0)</f>
        <v>2</v>
      </c>
      <c r="G287" s="190">
        <f>IFERROR(__xludf.DUMMYFUNCTION("""COMPUTED_VALUE"""),5.0)</f>
        <v>5</v>
      </c>
      <c r="H287" s="191" t="str">
        <f>IFERROR(__xludf.DUMMYFUNCTION("""COMPUTED_VALUE"""),"The Target becomes Marked with a Pursuit Mark. Whenever an Enemy with a Pursuit Mark moves, you may Slide into an Adjacent Space as a Reaction. If they would exceed a number of spaces more than your Movement Value, you cannot use this Effect. ")</f>
        <v>The Target becomes Marked with a Pursuit Mark. Whenever an Enemy with a Pursuit Mark moves, you may Slide into an Adjacent Space as a Reaction. If they would exceed a number of spaces more than your Movement Value, you cannot use this Effect. </v>
      </c>
      <c r="I287" s="191" t="str">
        <f>IFERROR(__xludf.DUMMYFUNCTION("""COMPUTED_VALUE"""),"--")</f>
        <v>--</v>
      </c>
      <c r="J287" s="190" t="str">
        <f>IFERROR(__xludf.DUMMYFUNCTION("""COMPUTED_VALUE"""),"Tier 1")</f>
        <v>Tier 1</v>
      </c>
      <c r="K287" s="174" t="b">
        <f>IFERROR(__xludf.DUMMYFUNCTION("""COMPUTED_VALUE"""),TRUE)</f>
        <v>1</v>
      </c>
      <c r="L287" s="174"/>
      <c r="M287" s="174"/>
      <c r="N287" s="174"/>
      <c r="O287" s="174"/>
      <c r="P287" s="174"/>
      <c r="Q287" s="174"/>
      <c r="R287" s="174"/>
      <c r="S287" s="174"/>
      <c r="T287" s="174"/>
      <c r="U287" s="174"/>
      <c r="V287" s="174"/>
      <c r="W287" s="174"/>
      <c r="X287" s="174"/>
      <c r="Y287" s="174"/>
      <c r="Z287" s="174"/>
    </row>
    <row r="288">
      <c r="A288" s="190" t="str">
        <f>IFERROR(__xludf.DUMMYFUNCTION("""COMPUTED_VALUE"""),"Quash")</f>
        <v>Quash</v>
      </c>
      <c r="B288" s="190" t="str">
        <f>IFERROR(__xludf.DUMMYFUNCTION("""COMPUTED_VALUE"""),"Dark")</f>
        <v>Dark</v>
      </c>
      <c r="C288" s="190" t="str">
        <f>IFERROR(__xludf.DUMMYFUNCTION("""COMPUTED_VALUE"""),"Status")</f>
        <v>Status</v>
      </c>
      <c r="D288" s="190" t="str">
        <f>IFERROR(__xludf.DUMMYFUNCTION("""COMPUTED_VALUE"""),"At-Will")</f>
        <v>At-Will</v>
      </c>
      <c r="E288" s="190" t="str">
        <f>IFERROR(__xludf.DUMMYFUNCTION("""COMPUTED_VALUE"""),"10, 1 Target, Social, Versatile")</f>
        <v>10, 1 Target, Social, Versatile</v>
      </c>
      <c r="F288" s="190">
        <f>IFERROR(__xludf.DUMMYFUNCTION("""COMPUTED_VALUE"""),5.0)</f>
        <v>5</v>
      </c>
      <c r="G288" s="190" t="str">
        <f>IFERROR(__xludf.DUMMYFUNCTION("""COMPUTED_VALUE"""),"--")</f>
        <v>--</v>
      </c>
      <c r="H288" s="191" t="str">
        <f>IFERROR(__xludf.DUMMYFUNCTION("""COMPUTED_VALUE"""),"If the user has witnessed the Target use an Attack or Ability this Scene, you may choose one of them to become Disabled. When this Attack hits, the Target becomes Suppressed. Spirit Surge.")</f>
        <v>If the user has witnessed the Target use an Attack or Ability this Scene, you may choose one of them to become Disabled. When this Attack hits, the Target becomes Suppressed. Spirit Surge.</v>
      </c>
      <c r="I288" s="191" t="str">
        <f>IFERROR(__xludf.DUMMYFUNCTION("""COMPUTED_VALUE"""),"Choose an Attack or Ability that the user has witnessed the Target use to become Disabled.")</f>
        <v>Choose an Attack or Ability that the user has witnessed the Target use to become Disabled.</v>
      </c>
      <c r="J288" s="190" t="str">
        <f>IFERROR(__xludf.DUMMYFUNCTION("""COMPUTED_VALUE"""),"Tier 1")</f>
        <v>Tier 1</v>
      </c>
      <c r="K288" s="174" t="b">
        <f>IFERROR(__xludf.DUMMYFUNCTION("""COMPUTED_VALUE"""),FALSE)</f>
        <v>0</v>
      </c>
      <c r="L288" s="174"/>
      <c r="M288" s="174"/>
      <c r="N288" s="174"/>
      <c r="O288" s="174"/>
      <c r="P288" s="174"/>
      <c r="Q288" s="174"/>
      <c r="R288" s="174"/>
      <c r="S288" s="174"/>
      <c r="T288" s="174"/>
      <c r="U288" s="174"/>
      <c r="V288" s="174"/>
      <c r="W288" s="174"/>
      <c r="X288" s="174"/>
      <c r="Y288" s="174"/>
      <c r="Z288" s="174"/>
    </row>
    <row r="289">
      <c r="A289" s="190" t="str">
        <f>IFERROR(__xludf.DUMMYFUNCTION("""COMPUTED_VALUE"""),"Ripping Abyss")</f>
        <v>Ripping Abyss</v>
      </c>
      <c r="B289" s="190" t="str">
        <f>IFERROR(__xludf.DUMMYFUNCTION("""COMPUTED_VALUE"""),"Dark")</f>
        <v>Dark</v>
      </c>
      <c r="C289" s="190" t="str">
        <f>IFERROR(__xludf.DUMMYFUNCTION("""COMPUTED_VALUE"""),"Status")</f>
        <v>Status</v>
      </c>
      <c r="D289" s="190" t="str">
        <f>IFERROR(__xludf.DUMMYFUNCTION("""COMPUTED_VALUE"""),"Scene x2")</f>
        <v>Scene x2</v>
      </c>
      <c r="E289" s="190" t="str">
        <f>IFERROR(__xludf.DUMMYFUNCTION("""COMPUTED_VALUE"""),"Field, Versatile, Weather")</f>
        <v>Field, Versatile, Weather</v>
      </c>
      <c r="F289" s="190" t="str">
        <f>IFERROR(__xludf.DUMMYFUNCTION("""COMPUTED_VALUE"""),"--")</f>
        <v>--</v>
      </c>
      <c r="G289" s="190" t="str">
        <f>IFERROR(__xludf.DUMMYFUNCTION("""COMPUTED_VALUE"""),"--")</f>
        <v>--</v>
      </c>
      <c r="H289" s="191" t="str">
        <f>IFERROR(__xludf.DUMMYFUNCTION("""COMPUTED_VALUE"""),"The Field becomes Abyssal for the next 5 Rounds. While the Field is Abyssal, non Dark Type Enemies lose a Tick of Hit Points at the start of their Turn and Dark Type Pokemon gain a Tick of Temporary Hit Points at the start of their Turn. While the Field i"&amp;"s Abyssal, the Weather becomes Foggy.")</f>
        <v>The Field becomes Abyssal for the next 5 Rounds. While the Field is Abyssal, non Dark Type Enemies lose a Tick of Hit Points at the start of their Turn and Dark Type Pokemon gain a Tick of Temporary Hit Points at the start of their Turn. While the Field is Abyssal, the Weather becomes Foggy.</v>
      </c>
      <c r="I289"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289" s="190" t="str">
        <f>IFERROR(__xludf.DUMMYFUNCTION("""COMPUTED_VALUE"""),"Tier 2")</f>
        <v>Tier 2</v>
      </c>
      <c r="K289" s="174" t="b">
        <f>IFERROR(__xludf.DUMMYFUNCTION("""COMPUTED_VALUE"""),TRUE)</f>
        <v>1</v>
      </c>
      <c r="L289" s="174"/>
      <c r="M289" s="174"/>
      <c r="N289" s="174"/>
      <c r="O289" s="174"/>
      <c r="P289" s="174"/>
      <c r="Q289" s="174"/>
      <c r="R289" s="174"/>
      <c r="S289" s="174"/>
      <c r="T289" s="174"/>
      <c r="U289" s="174"/>
      <c r="V289" s="174"/>
      <c r="W289" s="174"/>
      <c r="X289" s="174"/>
      <c r="Y289" s="174"/>
      <c r="Z289" s="174"/>
    </row>
    <row r="290">
      <c r="A290" s="190" t="str">
        <f>IFERROR(__xludf.DUMMYFUNCTION("""COMPUTED_VALUE"""),"Sabotage")</f>
        <v>Sabotage</v>
      </c>
      <c r="B290" s="190" t="str">
        <f>IFERROR(__xludf.DUMMYFUNCTION("""COMPUTED_VALUE"""),"Dark")</f>
        <v>Dark</v>
      </c>
      <c r="C290" s="190" t="str">
        <f>IFERROR(__xludf.DUMMYFUNCTION("""COMPUTED_VALUE"""),"Special")</f>
        <v>Special</v>
      </c>
      <c r="D290" s="190" t="str">
        <f>IFERROR(__xludf.DUMMYFUNCTION("""COMPUTED_VALUE"""),"At-Will")</f>
        <v>At-Will</v>
      </c>
      <c r="E290" s="190" t="str">
        <f>IFERROR(__xludf.DUMMYFUNCTION("""COMPUTED_VALUE"""),"Melee, 1 Target")</f>
        <v>Melee, 1 Target</v>
      </c>
      <c r="F290" s="190">
        <f>IFERROR(__xludf.DUMMYFUNCTION("""COMPUTED_VALUE"""),3.0)</f>
        <v>3</v>
      </c>
      <c r="G290" s="190">
        <f>IFERROR(__xludf.DUMMYFUNCTION("""COMPUTED_VALUE"""),4.0)</f>
        <v>4</v>
      </c>
      <c r="H290" s="191" t="str">
        <f>IFERROR(__xludf.DUMMYFUNCTION("""COMPUTED_VALUE"""),"When this Attack hits, choose a Stat the Target has Positive CS in. They lose -1 CS in that Stat.")</f>
        <v>When this Attack hits, choose a Stat the Target has Positive CS in. They lose -1 CS in that Stat.</v>
      </c>
      <c r="I290" s="191" t="str">
        <f>IFERROR(__xludf.DUMMYFUNCTION("""COMPUTED_VALUE"""),"--")</f>
        <v>--</v>
      </c>
      <c r="J290" s="190" t="str">
        <f>IFERROR(__xludf.DUMMYFUNCTION("""COMPUTED_VALUE"""),"Tier 1")</f>
        <v>Tier 1</v>
      </c>
      <c r="K290" s="174" t="b">
        <f>IFERROR(__xludf.DUMMYFUNCTION("""COMPUTED_VALUE"""),TRUE)</f>
        <v>1</v>
      </c>
      <c r="L290" s="174"/>
      <c r="M290" s="174"/>
      <c r="N290" s="174"/>
      <c r="O290" s="174"/>
      <c r="P290" s="174"/>
      <c r="Q290" s="174"/>
      <c r="R290" s="174"/>
      <c r="S290" s="174"/>
      <c r="T290" s="174"/>
      <c r="U290" s="174"/>
      <c r="V290" s="174"/>
      <c r="W290" s="174"/>
      <c r="X290" s="174"/>
      <c r="Y290" s="174"/>
      <c r="Z290" s="174"/>
    </row>
    <row r="291">
      <c r="A291" s="190" t="str">
        <f>IFERROR(__xludf.DUMMYFUNCTION("""COMPUTED_VALUE"""),"Savage Roar")</f>
        <v>Savage Roar</v>
      </c>
      <c r="B291" s="190" t="str">
        <f>IFERROR(__xludf.DUMMYFUNCTION("""COMPUTED_VALUE"""),"Dark")</f>
        <v>Dark</v>
      </c>
      <c r="C291" s="190" t="str">
        <f>IFERROR(__xludf.DUMMYFUNCTION("""COMPUTED_VALUE"""),"Status")</f>
        <v>Status</v>
      </c>
      <c r="D291" s="190" t="str">
        <f>IFERROR(__xludf.DUMMYFUNCTION("""COMPUTED_VALUE"""),"Scene x2")</f>
        <v>Scene x2</v>
      </c>
      <c r="E291" s="190" t="str">
        <f>IFERROR(__xludf.DUMMYFUNCTION("""COMPUTED_VALUE"""),"Burst 2, Sonic, Social, Versatile")</f>
        <v>Burst 2, Sonic, Social, Versatile</v>
      </c>
      <c r="F291" s="190" t="str">
        <f>IFERROR(__xludf.DUMMYFUNCTION("""COMPUTED_VALUE"""),"--")</f>
        <v>--</v>
      </c>
      <c r="G291" s="190" t="str">
        <f>IFERROR(__xludf.DUMMYFUNCTION("""COMPUTED_VALUE"""),"--")</f>
        <v>--</v>
      </c>
      <c r="H291" s="191" t="str">
        <f>IFERROR(__xludf.DUMMYFUNCTION("""COMPUTED_VALUE"""),"Perform a Command or Intimidate Check. If you get at least 3 Successes, all Targets become Suppressed. Additionally they suffer a penalty to their next Accuracy or Save Check (of your choice) equal to half the number of Successes (Rounded Up). Friendly, S"&amp;"ureshot.")</f>
        <v>Perform a Command or Intimidate Check. If you get at least 3 Successes, all Targets become Suppressed. Additionally they suffer a penalty to their next Accuracy or Save Check (of your choice) equal to half the number of Successes (Rounded Up). Friendly, Sureshot.</v>
      </c>
      <c r="I291" s="191" t="str">
        <f>IFERROR(__xludf.DUMMYFUNCTION("""COMPUTED_VALUE"""),"Same as the Normal Effects, but the Range is changed to Melee, 1 Target, Sonic. Sureshot.")</f>
        <v>Same as the Normal Effects, but the Range is changed to Melee, 1 Target, Sonic. Sureshot.</v>
      </c>
      <c r="J291" s="190" t="str">
        <f>IFERROR(__xludf.DUMMYFUNCTION("""COMPUTED_VALUE"""),"Tier 2")</f>
        <v>Tier 2</v>
      </c>
      <c r="K291" s="174" t="b">
        <f>IFERROR(__xludf.DUMMYFUNCTION("""COMPUTED_VALUE"""),TRUE)</f>
        <v>1</v>
      </c>
      <c r="L291" s="174"/>
      <c r="M291" s="174"/>
      <c r="N291" s="174"/>
      <c r="O291" s="174"/>
      <c r="P291" s="174"/>
      <c r="Q291" s="174"/>
      <c r="R291" s="174"/>
      <c r="S291" s="174"/>
      <c r="T291" s="174"/>
      <c r="U291" s="174"/>
      <c r="V291" s="174"/>
      <c r="W291" s="174"/>
      <c r="X291" s="174"/>
      <c r="Y291" s="174"/>
      <c r="Z291" s="174"/>
    </row>
    <row r="292">
      <c r="A292" s="190" t="str">
        <f>IFERROR(__xludf.DUMMYFUNCTION("""COMPUTED_VALUE"""),"Scornful Vortex")</f>
        <v>Scornful Vortex</v>
      </c>
      <c r="B292" s="190" t="str">
        <f>IFERROR(__xludf.DUMMYFUNCTION("""COMPUTED_VALUE"""),"Dark")</f>
        <v>Dark</v>
      </c>
      <c r="C292" s="190" t="str">
        <f>IFERROR(__xludf.DUMMYFUNCTION("""COMPUTED_VALUE"""),"Physical")</f>
        <v>Physical</v>
      </c>
      <c r="D292" s="190" t="str">
        <f>IFERROR(__xludf.DUMMYFUNCTION("""COMPUTED_VALUE"""),"Scene")</f>
        <v>Scene</v>
      </c>
      <c r="E292" s="190" t="str">
        <f>IFERROR(__xludf.DUMMYFUNCTION("""COMPUTED_VALUE"""),"Burst 2, Full Action, Reckless")</f>
        <v>Burst 2, Full Action, Reckless</v>
      </c>
      <c r="F292" s="190">
        <f>IFERROR(__xludf.DUMMYFUNCTION("""COMPUTED_VALUE"""),6.0)</f>
        <v>6</v>
      </c>
      <c r="G292" s="190">
        <f>IFERROR(__xludf.DUMMYFUNCTION("""COMPUTED_VALUE"""),13.0)</f>
        <v>13</v>
      </c>
      <c r="H292" s="191" t="str">
        <f>IFERROR(__xludf.DUMMYFUNCTION("""COMPUTED_VALUE"""),"The user loses a Tick of Hit Points for each combatant that takes damage from this Attack. Smite")</f>
        <v>The user loses a Tick of Hit Points for each combatant that takes damage from this Attack. Smite</v>
      </c>
      <c r="I292" s="191" t="str">
        <f>IFERROR(__xludf.DUMMYFUNCTION("""COMPUTED_VALUE"""),"--")</f>
        <v>--</v>
      </c>
      <c r="J292" s="190" t="str">
        <f>IFERROR(__xludf.DUMMYFUNCTION("""COMPUTED_VALUE"""),"Tier 3")</f>
        <v>Tier 3</v>
      </c>
      <c r="K292" s="174" t="b">
        <f>IFERROR(__xludf.DUMMYFUNCTION("""COMPUTED_VALUE"""),TRUE)</f>
        <v>1</v>
      </c>
      <c r="L292" s="174"/>
      <c r="M292" s="174"/>
      <c r="N292" s="174"/>
      <c r="O292" s="174"/>
      <c r="P292" s="174"/>
      <c r="Q292" s="174"/>
      <c r="R292" s="174"/>
      <c r="S292" s="174"/>
      <c r="T292" s="174"/>
      <c r="U292" s="174"/>
      <c r="V292" s="174"/>
      <c r="W292" s="174"/>
      <c r="X292" s="174"/>
      <c r="Y292" s="174"/>
      <c r="Z292" s="174"/>
    </row>
    <row r="293">
      <c r="A293" s="190" t="str">
        <f>IFERROR(__xludf.DUMMYFUNCTION("""COMPUTED_VALUE"""),"Shadow Bolt")</f>
        <v>Shadow Bolt</v>
      </c>
      <c r="B293" s="190" t="str">
        <f>IFERROR(__xludf.DUMMYFUNCTION("""COMPUTED_VALUE"""),"Dark")</f>
        <v>Dark</v>
      </c>
      <c r="C293" s="190" t="str">
        <f>IFERROR(__xludf.DUMMYFUNCTION("""COMPUTED_VALUE"""),"Special")</f>
        <v>Special</v>
      </c>
      <c r="D293" s="190" t="str">
        <f>IFERROR(__xludf.DUMMYFUNCTION("""COMPUTED_VALUE"""),"Scene")</f>
        <v>Scene</v>
      </c>
      <c r="E293" s="190" t="str">
        <f>IFERROR(__xludf.DUMMYFUNCTION("""COMPUTED_VALUE"""),"10, 1 Target ")</f>
        <v>10, 1 Target </v>
      </c>
      <c r="F293" s="190">
        <f>IFERROR(__xludf.DUMMYFUNCTION("""COMPUTED_VALUE"""),5.0)</f>
        <v>5</v>
      </c>
      <c r="G293" s="190">
        <f>IFERROR(__xludf.DUMMYFUNCTION("""COMPUTED_VALUE"""),10.0)</f>
        <v>10</v>
      </c>
      <c r="H293" s="191" t="str">
        <f>IFERROR(__xludf.DUMMYFUNCTION("""COMPUTED_VALUE"""),"On a roll of 18+ or if Shadow Bolt misses, roll a 1d3. On a roll of 1, the Target becomes Suppressed. On a 2, the Target becomes Dazed. On a 3, the Target becomes Enraged. If the Weather is Foggy, you may choose instead of rolling a 1d3. Spirit Surge.")</f>
        <v>On a roll of 18+ or if Shadow Bolt misses, roll a 1d3. On a roll of 1, the Target becomes Suppressed. On a 2, the Target becomes Dazed. On a 3, the Target becomes Enraged. If the Weather is Foggy, you may choose instead of rolling a 1d3. Spirit Surge.</v>
      </c>
      <c r="I293" s="191" t="str">
        <f>IFERROR(__xludf.DUMMYFUNCTION("""COMPUTED_VALUE"""),"--")</f>
        <v>--</v>
      </c>
      <c r="J293" s="190" t="str">
        <f>IFERROR(__xludf.DUMMYFUNCTION("""COMPUTED_VALUE"""),"Tier 3")</f>
        <v>Tier 3</v>
      </c>
      <c r="K293" s="174" t="b">
        <f>IFERROR(__xludf.DUMMYFUNCTION("""COMPUTED_VALUE"""),TRUE)</f>
        <v>1</v>
      </c>
      <c r="L293" s="174"/>
      <c r="M293" s="174"/>
      <c r="N293" s="174"/>
      <c r="O293" s="174"/>
      <c r="P293" s="174"/>
      <c r="Q293" s="174"/>
      <c r="R293" s="174"/>
      <c r="S293" s="174"/>
      <c r="T293" s="174"/>
      <c r="U293" s="174"/>
      <c r="V293" s="174"/>
      <c r="W293" s="174"/>
      <c r="X293" s="174"/>
      <c r="Y293" s="174"/>
      <c r="Z293" s="174"/>
    </row>
    <row r="294">
      <c r="A294" s="190" t="str">
        <f>IFERROR(__xludf.DUMMYFUNCTION("""COMPUTED_VALUE"""),"Shadow Snare")</f>
        <v>Shadow Snare</v>
      </c>
      <c r="B294" s="190" t="str">
        <f>IFERROR(__xludf.DUMMYFUNCTION("""COMPUTED_VALUE"""),"Dark")</f>
        <v>Dark</v>
      </c>
      <c r="C294" s="190" t="str">
        <f>IFERROR(__xludf.DUMMYFUNCTION("""COMPUTED_VALUE"""),"Special")</f>
        <v>Special</v>
      </c>
      <c r="D294" s="190" t="str">
        <f>IFERROR(__xludf.DUMMYFUNCTION("""COMPUTED_VALUE"""),"EOT")</f>
        <v>EOT</v>
      </c>
      <c r="E294" s="190" t="str">
        <f>IFERROR(__xludf.DUMMYFUNCTION("""COMPUTED_VALUE"""),"3, 1 Target")</f>
        <v>3, 1 Target</v>
      </c>
      <c r="F294" s="190">
        <f>IFERROR(__xludf.DUMMYFUNCTION("""COMPUTED_VALUE"""),5.0)</f>
        <v>5</v>
      </c>
      <c r="G294" s="190">
        <f>IFERROR(__xludf.DUMMYFUNCTION("""COMPUTED_VALUE"""),8.0)</f>
        <v>8</v>
      </c>
      <c r="H294" s="191" t="str">
        <f>IFERROR(__xludf.DUMMYFUNCTION("""COMPUTED_VALUE"""),"The Target becomes Trapped. If the Weather is Foggy, Shadow Snare has the Sureshot Keyword.")</f>
        <v>The Target becomes Trapped. If the Weather is Foggy, Shadow Snare has the Sureshot Keyword.</v>
      </c>
      <c r="I294" s="191" t="str">
        <f>IFERROR(__xludf.DUMMYFUNCTION("""COMPUTED_VALUE"""),"--")</f>
        <v>--</v>
      </c>
      <c r="J294" s="190" t="str">
        <f>IFERROR(__xludf.DUMMYFUNCTION("""COMPUTED_VALUE"""),"Tier 2")</f>
        <v>Tier 2</v>
      </c>
      <c r="K294" s="174" t="b">
        <f>IFERROR(__xludf.DUMMYFUNCTION("""COMPUTED_VALUE"""),TRUE)</f>
        <v>1</v>
      </c>
      <c r="L294" s="174"/>
      <c r="M294" s="174"/>
      <c r="N294" s="174"/>
      <c r="O294" s="174"/>
      <c r="P294" s="174"/>
      <c r="Q294" s="174"/>
      <c r="R294" s="174"/>
      <c r="S294" s="174"/>
      <c r="T294" s="174"/>
      <c r="U294" s="174"/>
      <c r="V294" s="174"/>
      <c r="W294" s="174"/>
      <c r="X294" s="174"/>
      <c r="Y294" s="174"/>
      <c r="Z294" s="174"/>
    </row>
    <row r="295">
      <c r="A295" s="190" t="str">
        <f>IFERROR(__xludf.DUMMYFUNCTION("""COMPUTED_VALUE"""),"Shadow Strike")</f>
        <v>Shadow Strike</v>
      </c>
      <c r="B295" s="190" t="str">
        <f>IFERROR(__xludf.DUMMYFUNCTION("""COMPUTED_VALUE"""),"Dark")</f>
        <v>Dark</v>
      </c>
      <c r="C295" s="190" t="str">
        <f>IFERROR(__xludf.DUMMYFUNCTION("""COMPUTED_VALUE"""),"Special")</f>
        <v>Special</v>
      </c>
      <c r="D295" s="190" t="str">
        <f>IFERROR(__xludf.DUMMYFUNCTION("""COMPUTED_VALUE"""),"EOT")</f>
        <v>EOT</v>
      </c>
      <c r="E295" s="190" t="str">
        <f>IFERROR(__xludf.DUMMYFUNCTION("""COMPUTED_VALUE"""),"Melee, 1 Target")</f>
        <v>Melee, 1 Target</v>
      </c>
      <c r="F295" s="190">
        <f>IFERROR(__xludf.DUMMYFUNCTION("""COMPUTED_VALUE"""),3.0)</f>
        <v>3</v>
      </c>
      <c r="G295" s="190">
        <f>IFERROR(__xludf.DUMMYFUNCTION("""COMPUTED_VALUE"""),6.0)</f>
        <v>6</v>
      </c>
      <c r="H295" s="191" t="str">
        <f>IFERROR(__xludf.DUMMYFUNCTION("""COMPUTED_VALUE"""),"If the Weather is Foggy, Shadow Strike has a damage base of 10 and the Target cannot apply Speed Evasion against this Attack.")</f>
        <v>If the Weather is Foggy, Shadow Strike has a damage base of 10 and the Target cannot apply Speed Evasion against this Attack.</v>
      </c>
      <c r="I295" s="191" t="str">
        <f>IFERROR(__xludf.DUMMYFUNCTION("""COMPUTED_VALUE"""),"--")</f>
        <v>--</v>
      </c>
      <c r="J295" s="190" t="str">
        <f>IFERROR(__xludf.DUMMYFUNCTION("""COMPUTED_VALUE"""),"Tier 1")</f>
        <v>Tier 1</v>
      </c>
      <c r="K295" s="174" t="b">
        <f>IFERROR(__xludf.DUMMYFUNCTION("""COMPUTED_VALUE"""),TRUE)</f>
        <v>1</v>
      </c>
      <c r="L295" s="174"/>
      <c r="M295" s="174"/>
      <c r="N295" s="174"/>
      <c r="O295" s="174"/>
      <c r="P295" s="174"/>
      <c r="Q295" s="174"/>
      <c r="R295" s="174"/>
      <c r="S295" s="174"/>
      <c r="T295" s="174"/>
      <c r="U295" s="174"/>
      <c r="V295" s="174"/>
      <c r="W295" s="174"/>
      <c r="X295" s="174"/>
      <c r="Y295" s="174"/>
      <c r="Z295" s="174"/>
    </row>
    <row r="296">
      <c r="A296" s="190" t="str">
        <f>IFERROR(__xludf.DUMMYFUNCTION("""COMPUTED_VALUE"""),"Shadow Veil")</f>
        <v>Shadow Veil</v>
      </c>
      <c r="B296" s="190" t="str">
        <f>IFERROR(__xludf.DUMMYFUNCTION("""COMPUTED_VALUE"""),"Dark")</f>
        <v>Dark</v>
      </c>
      <c r="C296" s="190" t="str">
        <f>IFERROR(__xludf.DUMMYFUNCTION("""COMPUTED_VALUE"""),"Status")</f>
        <v>Status</v>
      </c>
      <c r="D296" s="190" t="str">
        <f>IFERROR(__xludf.DUMMYFUNCTION("""COMPUTED_VALUE"""),"Scene x2")</f>
        <v>Scene x2</v>
      </c>
      <c r="E296" s="190" t="str">
        <f>IFERROR(__xludf.DUMMYFUNCTION("""COMPUTED_VALUE"""),"Blessing, Versatile")</f>
        <v>Blessing, Versatile</v>
      </c>
      <c r="F296" s="190" t="str">
        <f>IFERROR(__xludf.DUMMYFUNCTION("""COMPUTED_VALUE"""),"--")</f>
        <v>--</v>
      </c>
      <c r="G296" s="190" t="str">
        <f>IFERROR(__xludf.DUMMYFUNCTION("""COMPUTED_VALUE"""),"--")</f>
        <v>--</v>
      </c>
      <c r="H296" s="191" t="str">
        <f>IFERROR(__xludf.DUMMYFUNCTION("""COMPUTED_VALUE"""),"Blessing – Any user affected by Shadow Veil may activate it as a Free Action when they’re Targeted by an Attack. The Attacker suffers a -3 Penalty to its Accuracy Roll. If the Weather is Foggy, this instead becomes a -6 Penalty. Shadow Veil may be Activat"&amp;"ed 2 times, and then disappears.")</f>
        <v>Blessing – Any user affected by Shadow Veil may activate it as a Free Action when they’re Targeted by an Attack. The Attacker suffers a -3 Penalty to its Accuracy Roll. If the Weather is Foggy, this instead becomes a -6 Penalty. Shadow Veil may be Activated 2 times, and then disappears.</v>
      </c>
      <c r="I296" s="191" t="str">
        <f>IFERROR(__xludf.DUMMYFUNCTION("""COMPUTED_VALUE"""),"Same as the normal Effect, but it requires a Reaction to activate the Blessing instead of a Free Action.")</f>
        <v>Same as the normal Effect, but it requires a Reaction to activate the Blessing instead of a Free Action.</v>
      </c>
      <c r="J296" s="190" t="str">
        <f>IFERROR(__xludf.DUMMYFUNCTION("""COMPUTED_VALUE"""),"Tier 2")</f>
        <v>Tier 2</v>
      </c>
      <c r="K296" s="174" t="b">
        <f>IFERROR(__xludf.DUMMYFUNCTION("""COMPUTED_VALUE"""),TRUE)</f>
        <v>1</v>
      </c>
      <c r="L296" s="174"/>
      <c r="M296" s="174"/>
      <c r="N296" s="174"/>
      <c r="O296" s="174"/>
      <c r="P296" s="174"/>
      <c r="Q296" s="174"/>
      <c r="R296" s="174"/>
      <c r="S296" s="174"/>
      <c r="T296" s="174"/>
      <c r="U296" s="174"/>
      <c r="V296" s="174"/>
      <c r="W296" s="174"/>
      <c r="X296" s="174"/>
      <c r="Y296" s="174"/>
      <c r="Z296" s="174"/>
    </row>
    <row r="297">
      <c r="A297" s="190" t="str">
        <f>IFERROR(__xludf.DUMMYFUNCTION("""COMPUTED_VALUE"""),"Siphon Life")</f>
        <v>Siphon Life</v>
      </c>
      <c r="B297" s="190" t="str">
        <f>IFERROR(__xludf.DUMMYFUNCTION("""COMPUTED_VALUE"""),"Dark")</f>
        <v>Dark</v>
      </c>
      <c r="C297" s="190" t="str">
        <f>IFERROR(__xludf.DUMMYFUNCTION("""COMPUTED_VALUE"""),"Special")</f>
        <v>Special</v>
      </c>
      <c r="D297" s="190" t="str">
        <f>IFERROR(__xludf.DUMMYFUNCTION("""COMPUTED_VALUE"""),"Scene x2")</f>
        <v>Scene x2</v>
      </c>
      <c r="E297" s="190" t="str">
        <f>IFERROR(__xludf.DUMMYFUNCTION("""COMPUTED_VALUE"""),"4, 1 Target ")</f>
        <v>4, 1 Target </v>
      </c>
      <c r="F297" s="190">
        <f>IFERROR(__xludf.DUMMYFUNCTION("""COMPUTED_VALUE"""),5.0)</f>
        <v>5</v>
      </c>
      <c r="G297" s="190">
        <f>IFERROR(__xludf.DUMMYFUNCTION("""COMPUTED_VALUE"""),8.0)</f>
        <v>8</v>
      </c>
      <c r="H297" s="191" t="str">
        <f>IFERROR(__xludf.DUMMYFUNCTION("""COMPUTED_VALUE"""),"Drain. ")</f>
        <v>Drain. </v>
      </c>
      <c r="I297" s="191" t="str">
        <f>IFERROR(__xludf.DUMMYFUNCTION("""COMPUTED_VALUE"""),"--")</f>
        <v>--</v>
      </c>
      <c r="J297" s="190" t="str">
        <f>IFERROR(__xludf.DUMMYFUNCTION("""COMPUTED_VALUE"""),"Tier 2")</f>
        <v>Tier 2</v>
      </c>
      <c r="K297" s="174" t="b">
        <f>IFERROR(__xludf.DUMMYFUNCTION("""COMPUTED_VALUE"""),TRUE)</f>
        <v>1</v>
      </c>
      <c r="L297" s="174"/>
      <c r="M297" s="174"/>
      <c r="N297" s="174"/>
      <c r="O297" s="174"/>
      <c r="P297" s="174"/>
      <c r="Q297" s="174"/>
      <c r="R297" s="174"/>
      <c r="S297" s="174"/>
      <c r="T297" s="174"/>
      <c r="U297" s="174"/>
      <c r="V297" s="174"/>
      <c r="W297" s="174"/>
      <c r="X297" s="174"/>
      <c r="Y297" s="174"/>
      <c r="Z297" s="174"/>
    </row>
    <row r="298">
      <c r="A298" s="190" t="str">
        <f>IFERROR(__xludf.DUMMYFUNCTION("""COMPUTED_VALUE"""),"Snarl")</f>
        <v>Snarl</v>
      </c>
      <c r="B298" s="190" t="str">
        <f>IFERROR(__xludf.DUMMYFUNCTION("""COMPUTED_VALUE"""),"Dark")</f>
        <v>Dark</v>
      </c>
      <c r="C298" s="190" t="str">
        <f>IFERROR(__xludf.DUMMYFUNCTION("""COMPUTED_VALUE"""),"Special")</f>
        <v>Special</v>
      </c>
      <c r="D298" s="190" t="str">
        <f>IFERROR(__xludf.DUMMYFUNCTION("""COMPUTED_VALUE"""),"At-Will")</f>
        <v>At-Will</v>
      </c>
      <c r="E298" s="190" t="str">
        <f>IFERROR(__xludf.DUMMYFUNCTION("""COMPUTED_VALUE"""),"Close Blast 2, Sonic")</f>
        <v>Close Blast 2, Sonic</v>
      </c>
      <c r="F298" s="190">
        <f>IFERROR(__xludf.DUMMYFUNCTION("""COMPUTED_VALUE"""),5.0)</f>
        <v>5</v>
      </c>
      <c r="G298" s="190">
        <f>IFERROR(__xludf.DUMMYFUNCTION("""COMPUTED_VALUE"""),5.0)</f>
        <v>5</v>
      </c>
      <c r="H298" s="191" t="str">
        <f>IFERROR(__xludf.DUMMYFUNCTION("""COMPUTED_VALUE"""),"This Attack may also be used as a Full Action to perform a Command or Intimidate Check. For each success, Targets apply -1 less Evasion against this Attack. ")</f>
        <v>This Attack may also be used as a Full Action to perform a Command or Intimidate Check. For each success, Targets apply -1 less Evasion against this Attack. </v>
      </c>
      <c r="I298" s="191" t="str">
        <f>IFERROR(__xludf.DUMMYFUNCTION("""COMPUTED_VALUE"""),"--")</f>
        <v>--</v>
      </c>
      <c r="J298" s="190" t="str">
        <f>IFERROR(__xludf.DUMMYFUNCTION("""COMPUTED_VALUE"""),"Tier 1")</f>
        <v>Tier 1</v>
      </c>
      <c r="K298" s="174" t="b">
        <f>IFERROR(__xludf.DUMMYFUNCTION("""COMPUTED_VALUE"""),TRUE)</f>
        <v>1</v>
      </c>
      <c r="L298" s="174"/>
      <c r="M298" s="174"/>
      <c r="N298" s="174"/>
      <c r="O298" s="174"/>
      <c r="P298" s="174"/>
      <c r="Q298" s="174"/>
      <c r="R298" s="174"/>
      <c r="S298" s="174"/>
      <c r="T298" s="174"/>
      <c r="U298" s="174"/>
      <c r="V298" s="174"/>
      <c r="W298" s="174"/>
      <c r="X298" s="174"/>
      <c r="Y298" s="174"/>
      <c r="Z298" s="174"/>
    </row>
    <row r="299">
      <c r="A299" s="190" t="str">
        <f>IFERROR(__xludf.DUMMYFUNCTION("""COMPUTED_VALUE"""),"Snatch")</f>
        <v>Snatch</v>
      </c>
      <c r="B299" s="190" t="str">
        <f>IFERROR(__xludf.DUMMYFUNCTION("""COMPUTED_VALUE"""),"Dark")</f>
        <v>Dark</v>
      </c>
      <c r="C299" s="190" t="str">
        <f>IFERROR(__xludf.DUMMYFUNCTION("""COMPUTED_VALUE"""),"Status")</f>
        <v>Status</v>
      </c>
      <c r="D299" s="190" t="str">
        <f>IFERROR(__xludf.DUMMYFUNCTION("""COMPUTED_VALUE"""),"Scene x2")</f>
        <v>Scene x2</v>
      </c>
      <c r="E299" s="190" t="str">
        <f>IFERROR(__xludf.DUMMYFUNCTION("""COMPUTED_VALUE"""),"Self, Trigger")</f>
        <v>Self, Trigger</v>
      </c>
      <c r="F299" s="190" t="str">
        <f>IFERROR(__xludf.DUMMYFUNCTION("""COMPUTED_VALUE"""),"--")</f>
        <v>--</v>
      </c>
      <c r="G299" s="190" t="str">
        <f>IFERROR(__xludf.DUMMYFUNCTION("""COMPUTED_VALUE"""),"--")</f>
        <v>--</v>
      </c>
      <c r="H299" s="191" t="str">
        <f>IFERROR(__xludf.DUMMYFUNCTION("""COMPUTED_VALUE"""),"Snatch can only be used as a Reaction whenever an Enemy within 2m uses an Attack with the Self Range. You also gain the benefits of the Triggering Attack. If used as a Standard Action + Reaction, the Enemy does not gain the benefits of the Triggering Atta"&amp;"ck as well.")</f>
        <v>Snatch can only be used as a Reaction whenever an Enemy within 2m uses an Attack with the Self Range. You also gain the benefits of the Triggering Attack. If used as a Standard Action + Reaction, the Enemy does not gain the benefits of the Triggering Attack as well.</v>
      </c>
      <c r="I299" s="191" t="str">
        <f>IFERROR(__xludf.DUMMYFUNCTION("""COMPUTED_VALUE"""),"--")</f>
        <v>--</v>
      </c>
      <c r="J299" s="190" t="str">
        <f>IFERROR(__xludf.DUMMYFUNCTION("""COMPUTED_VALUE"""),"Tier 2")</f>
        <v>Tier 2</v>
      </c>
      <c r="K299" s="174" t="b">
        <f>IFERROR(__xludf.DUMMYFUNCTION("""COMPUTED_VALUE"""),FALSE)</f>
        <v>0</v>
      </c>
      <c r="L299" s="174"/>
      <c r="M299" s="174"/>
      <c r="N299" s="174"/>
      <c r="O299" s="174"/>
      <c r="P299" s="174"/>
      <c r="Q299" s="174"/>
      <c r="R299" s="174"/>
      <c r="S299" s="174"/>
      <c r="T299" s="174"/>
      <c r="U299" s="174"/>
      <c r="V299" s="174"/>
      <c r="W299" s="174"/>
      <c r="X299" s="174"/>
      <c r="Y299" s="174"/>
      <c r="Z299" s="174"/>
    </row>
    <row r="300">
      <c r="A300" s="190" t="str">
        <f>IFERROR(__xludf.DUMMYFUNCTION("""COMPUTED_VALUE"""),"Sucker Punch")</f>
        <v>Sucker Punch</v>
      </c>
      <c r="B300" s="190" t="str">
        <f>IFERROR(__xludf.DUMMYFUNCTION("""COMPUTED_VALUE"""),"Dark")</f>
        <v>Dark</v>
      </c>
      <c r="C300" s="190" t="str">
        <f>IFERROR(__xludf.DUMMYFUNCTION("""COMPUTED_VALUE"""),"Physical")</f>
        <v>Physical</v>
      </c>
      <c r="D300" s="190" t="str">
        <f>IFERROR(__xludf.DUMMYFUNCTION("""COMPUTED_VALUE"""),"At-Will")</f>
        <v>At-Will</v>
      </c>
      <c r="E300" s="190" t="str">
        <f>IFERROR(__xludf.DUMMYFUNCTION("""COMPUTED_VALUE"""),"Melee, 1 Target, Priority, Trigger, Punch")</f>
        <v>Melee, 1 Target, Priority, Trigger, Punch</v>
      </c>
      <c r="F300" s="190">
        <f>IFERROR(__xludf.DUMMYFUNCTION("""COMPUTED_VALUE"""),3.0)</f>
        <v>3</v>
      </c>
      <c r="G300" s="190">
        <f>IFERROR(__xludf.DUMMYFUNCTION("""COMPUTED_VALUE"""),7.0)</f>
        <v>7</v>
      </c>
      <c r="H300" s="191" t="str">
        <f>IFERROR(__xludf.DUMMYFUNCTION("""COMPUTED_VALUE"""),"Whenever you’re targeted with an Attack by an Adjacent Enemy, you may use a Standard Action + Reaction to use this Attack. This Attack resolves before the Triggering Attack. If the Triggering Enemy were to faint, their Attack does not resolve. ")</f>
        <v>Whenever you’re targeted with an Attack by an Adjacent Enemy, you may use a Standard Action + Reaction to use this Attack. This Attack resolves before the Triggering Attack. If the Triggering Enemy were to faint, their Attack does not resolve. </v>
      </c>
      <c r="I300" s="191" t="str">
        <f>IFERROR(__xludf.DUMMYFUNCTION("""COMPUTED_VALUE"""),"--")</f>
        <v>--</v>
      </c>
      <c r="J300" s="190" t="str">
        <f>IFERROR(__xludf.DUMMYFUNCTION("""COMPUTED_VALUE"""),"Tier 1")</f>
        <v>Tier 1</v>
      </c>
      <c r="K300" s="174" t="b">
        <f>IFERROR(__xludf.DUMMYFUNCTION("""COMPUTED_VALUE"""),FALSE)</f>
        <v>0</v>
      </c>
      <c r="L300" s="174"/>
      <c r="M300" s="174"/>
      <c r="N300" s="174"/>
      <c r="O300" s="174"/>
      <c r="P300" s="174"/>
      <c r="Q300" s="174"/>
      <c r="R300" s="174"/>
      <c r="S300" s="174"/>
      <c r="T300" s="174"/>
      <c r="U300" s="174"/>
      <c r="V300" s="174"/>
      <c r="W300" s="174"/>
      <c r="X300" s="174"/>
      <c r="Y300" s="174"/>
      <c r="Z300" s="174"/>
    </row>
    <row r="301">
      <c r="A301" s="190" t="str">
        <f>IFERROR(__xludf.DUMMYFUNCTION("""COMPUTED_VALUE"""),"Switcheroo")</f>
        <v>Switcheroo</v>
      </c>
      <c r="B301" s="190" t="str">
        <f>IFERROR(__xludf.DUMMYFUNCTION("""COMPUTED_VALUE"""),"Dark")</f>
        <v>Dark</v>
      </c>
      <c r="C301" s="190" t="str">
        <f>IFERROR(__xludf.DUMMYFUNCTION("""COMPUTED_VALUE"""),"Status")</f>
        <v>Status</v>
      </c>
      <c r="D301" s="190" t="str">
        <f>IFERROR(__xludf.DUMMYFUNCTION("""COMPUTED_VALUE"""),"EOT")</f>
        <v>EOT</v>
      </c>
      <c r="E301" s="190" t="str">
        <f>IFERROR(__xludf.DUMMYFUNCTION("""COMPUTED_VALUE"""),"Melee, 1 Target, Versatile")</f>
        <v>Melee, 1 Target, Versatile</v>
      </c>
      <c r="F301" s="190">
        <f>IFERROR(__xludf.DUMMYFUNCTION("""COMPUTED_VALUE"""),2.0)</f>
        <v>2</v>
      </c>
      <c r="G301" s="190" t="str">
        <f>IFERROR(__xludf.DUMMYFUNCTION("""COMPUTED_VALUE"""),"--")</f>
        <v>--</v>
      </c>
      <c r="H301" s="191" t="str">
        <f>IFERROR(__xludf.DUMMYFUNCTION("""COMPUTED_VALUE"""),"You and the Target are cured of all Status Affliction. Then, the Target is inflicted with all Status Afflictions you were cured of. You are then inflicted with all Status Afflictions that the Target was cured of, if any.")</f>
        <v>You and the Target are cured of all Status Affliction. Then, the Target is inflicted with all Status Afflictions you were cured of. You are then inflicted with all Status Afflictions that the Target was cured of, if any.</v>
      </c>
      <c r="I301" s="191" t="str">
        <f>IFERROR(__xludf.DUMMYFUNCTION("""COMPUTED_VALUE"""),"Choose one Status Affliction that you and the Target are affected by and swap them.")</f>
        <v>Choose one Status Affliction that you and the Target are affected by and swap them.</v>
      </c>
      <c r="J301" s="190" t="str">
        <f>IFERROR(__xludf.DUMMYFUNCTION("""COMPUTED_VALUE"""),"Tier 1")</f>
        <v>Tier 1</v>
      </c>
      <c r="K301" s="174" t="b">
        <f>IFERROR(__xludf.DUMMYFUNCTION("""COMPUTED_VALUE"""),FALSE)</f>
        <v>0</v>
      </c>
      <c r="L301" s="174"/>
      <c r="M301" s="174"/>
      <c r="N301" s="174"/>
      <c r="O301" s="174"/>
      <c r="P301" s="174"/>
      <c r="Q301" s="174"/>
      <c r="R301" s="174"/>
      <c r="S301" s="174"/>
      <c r="T301" s="174"/>
      <c r="U301" s="174"/>
      <c r="V301" s="174"/>
      <c r="W301" s="174"/>
      <c r="X301" s="174"/>
      <c r="Y301" s="174"/>
      <c r="Z301" s="174"/>
    </row>
    <row r="302">
      <c r="A302" s="190" t="str">
        <f>IFERROR(__xludf.DUMMYFUNCTION("""COMPUTED_VALUE"""),"Taunt")</f>
        <v>Taunt</v>
      </c>
      <c r="B302" s="190" t="str">
        <f>IFERROR(__xludf.DUMMYFUNCTION("""COMPUTED_VALUE"""),"Dark")</f>
        <v>Dark</v>
      </c>
      <c r="C302" s="190" t="str">
        <f>IFERROR(__xludf.DUMMYFUNCTION("""COMPUTED_VALUE"""),"Status")</f>
        <v>Status</v>
      </c>
      <c r="D302" s="190" t="str">
        <f>IFERROR(__xludf.DUMMYFUNCTION("""COMPUTED_VALUE"""),"EOT")</f>
        <v>EOT</v>
      </c>
      <c r="E302" s="190" t="str">
        <f>IFERROR(__xludf.DUMMYFUNCTION("""COMPUTED_VALUE"""),"4, 1 Target, Social, Versatile")</f>
        <v>4, 1 Target, Social, Versatile</v>
      </c>
      <c r="F302" s="190" t="str">
        <f>IFERROR(__xludf.DUMMYFUNCTION("""COMPUTED_VALUE"""),"--")</f>
        <v>--</v>
      </c>
      <c r="G302" s="190" t="str">
        <f>IFERROR(__xludf.DUMMYFUNCTION("""COMPUTED_VALUE"""),"--")</f>
        <v>--</v>
      </c>
      <c r="H302" s="191" t="str">
        <f>IFERROR(__xludf.DUMMYFUNCTION("""COMPUTED_VALUE"""),"The Target becomes Provoked by you until the end of their next Turn. If they’re already Provoked by you or have been in this Scene, you may instead cause them to become Enraged. Sureshot.")</f>
        <v>The Target becomes Provoked by you until the end of their next Turn. If they’re already Provoked by you or have been in this Scene, you may instead cause them to become Enraged. Sureshot.</v>
      </c>
      <c r="I302" s="191" t="str">
        <f>IFERROR(__xludf.DUMMYFUNCTION("""COMPUTED_VALUE"""),"Same as the normal effects, but if the Target passes a Tough CR (3) Focus Check, the Attack does nothing. Sureshot")</f>
        <v>Same as the normal effects, but if the Target passes a Tough CR (3) Focus Check, the Attack does nothing. Sureshot</v>
      </c>
      <c r="J302" s="190" t="str">
        <f>IFERROR(__xludf.DUMMYFUNCTION("""COMPUTED_VALUE"""),"Tier 1")</f>
        <v>Tier 1</v>
      </c>
      <c r="K302" s="174" t="b">
        <f>IFERROR(__xludf.DUMMYFUNCTION("""COMPUTED_VALUE"""),TRUE)</f>
        <v>1</v>
      </c>
      <c r="L302" s="174"/>
      <c r="M302" s="174"/>
      <c r="N302" s="174"/>
      <c r="O302" s="174"/>
      <c r="P302" s="174"/>
      <c r="Q302" s="174"/>
      <c r="R302" s="174"/>
      <c r="S302" s="174"/>
      <c r="T302" s="174"/>
      <c r="U302" s="174"/>
      <c r="V302" s="174"/>
      <c r="W302" s="174"/>
      <c r="X302" s="174"/>
      <c r="Y302" s="174"/>
      <c r="Z302" s="174"/>
    </row>
    <row r="303">
      <c r="A303" s="190" t="str">
        <f>IFERROR(__xludf.DUMMYFUNCTION("""COMPUTED_VALUE"""),"Thief")</f>
        <v>Thief</v>
      </c>
      <c r="B303" s="190" t="str">
        <f>IFERROR(__xludf.DUMMYFUNCTION("""COMPUTED_VALUE"""),"Dark")</f>
        <v>Dark</v>
      </c>
      <c r="C303" s="190" t="str">
        <f>IFERROR(__xludf.DUMMYFUNCTION("""COMPUTED_VALUE"""),"Physical")</f>
        <v>Physical</v>
      </c>
      <c r="D303" s="190" t="str">
        <f>IFERROR(__xludf.DUMMYFUNCTION("""COMPUTED_VALUE"""),"At-Will")</f>
        <v>At-Will</v>
      </c>
      <c r="E303" s="190" t="str">
        <f>IFERROR(__xludf.DUMMYFUNCTION("""COMPUTED_VALUE"""),"Melee, 1 Target")</f>
        <v>Melee, 1 Target</v>
      </c>
      <c r="F303" s="190">
        <f>IFERROR(__xludf.DUMMYFUNCTION("""COMPUTED_VALUE"""),3.0)</f>
        <v>3</v>
      </c>
      <c r="G303" s="190">
        <f>IFERROR(__xludf.DUMMYFUNCTION("""COMPUTED_VALUE"""),6.0)</f>
        <v>6</v>
      </c>
      <c r="H303" s="191" t="str">
        <f>IFERROR(__xludf.DUMMYFUNCTION("""COMPUTED_VALUE"""),"You may perform a Disarm Maneuver against the Target as a Free Action. If an Item is disarmed and the user has an empty Inventory Slot, they may add it to their Inventory after Damage Calculations.")</f>
        <v>You may perform a Disarm Maneuver against the Target as a Free Action. If an Item is disarmed and the user has an empty Inventory Slot, they may add it to their Inventory after Damage Calculations.</v>
      </c>
      <c r="I303" s="191" t="str">
        <f>IFERROR(__xludf.DUMMYFUNCTION("""COMPUTED_VALUE"""),"--")</f>
        <v>--</v>
      </c>
      <c r="J303" s="190" t="str">
        <f>IFERROR(__xludf.DUMMYFUNCTION("""COMPUTED_VALUE"""),"Tier 1")</f>
        <v>Tier 1</v>
      </c>
      <c r="K303" s="174" t="b">
        <f>IFERROR(__xludf.DUMMYFUNCTION("""COMPUTED_VALUE"""),TRUE)</f>
        <v>1</v>
      </c>
      <c r="L303" s="174"/>
      <c r="M303" s="174"/>
      <c r="N303" s="174"/>
      <c r="O303" s="174"/>
      <c r="P303" s="174"/>
      <c r="Q303" s="174"/>
      <c r="R303" s="174"/>
      <c r="S303" s="174"/>
      <c r="T303" s="174"/>
      <c r="U303" s="174"/>
      <c r="V303" s="174"/>
      <c r="W303" s="174"/>
      <c r="X303" s="174"/>
      <c r="Y303" s="174"/>
      <c r="Z303" s="174"/>
    </row>
    <row r="304">
      <c r="A304" s="190" t="str">
        <f>IFERROR(__xludf.DUMMYFUNCTION("""COMPUTED_VALUE"""),"Throat Chop")</f>
        <v>Throat Chop</v>
      </c>
      <c r="B304" s="190" t="str">
        <f>IFERROR(__xludf.DUMMYFUNCTION("""COMPUTED_VALUE"""),"Dark")</f>
        <v>Dark</v>
      </c>
      <c r="C304" s="190" t="str">
        <f>IFERROR(__xludf.DUMMYFUNCTION("""COMPUTED_VALUE"""),"Physical")</f>
        <v>Physical</v>
      </c>
      <c r="D304" s="190" t="str">
        <f>IFERROR(__xludf.DUMMYFUNCTION("""COMPUTED_VALUE"""),"EOT")</f>
        <v>EOT</v>
      </c>
      <c r="E304" s="190" t="str">
        <f>IFERROR(__xludf.DUMMYFUNCTION("""COMPUTED_VALUE"""),"Melee, 1 Target")</f>
        <v>Melee, 1 Target</v>
      </c>
      <c r="F304" s="190">
        <f>IFERROR(__xludf.DUMMYFUNCTION("""COMPUTED_VALUE"""),3.0)</f>
        <v>3</v>
      </c>
      <c r="G304" s="190">
        <f>IFERROR(__xludf.DUMMYFUNCTION("""COMPUTED_VALUE"""),8.0)</f>
        <v>8</v>
      </c>
      <c r="H304" s="191" t="str">
        <f>IFERROR(__xludf.DUMMYFUNCTION("""COMPUTED_VALUE"""),"The Target cannot use Attacks with the Sonic keyword until the end of their next Turn.")</f>
        <v>The Target cannot use Attacks with the Sonic keyword until the end of their next Turn.</v>
      </c>
      <c r="I304" s="191" t="str">
        <f>IFERROR(__xludf.DUMMYFUNCTION("""COMPUTED_VALUE"""),"--")</f>
        <v>--</v>
      </c>
      <c r="J304" s="190" t="str">
        <f>IFERROR(__xludf.DUMMYFUNCTION("""COMPUTED_VALUE"""),"Tier 2")</f>
        <v>Tier 2</v>
      </c>
      <c r="K304" s="174" t="b">
        <f>IFERROR(__xludf.DUMMYFUNCTION("""COMPUTED_VALUE"""),TRUE)</f>
        <v>1</v>
      </c>
      <c r="L304" s="174"/>
      <c r="M304" s="174"/>
      <c r="N304" s="174"/>
      <c r="O304" s="174"/>
      <c r="P304" s="174"/>
      <c r="Q304" s="174"/>
      <c r="R304" s="174"/>
      <c r="S304" s="174"/>
      <c r="T304" s="174"/>
      <c r="U304" s="174"/>
      <c r="V304" s="174"/>
      <c r="W304" s="174"/>
      <c r="X304" s="174"/>
      <c r="Y304" s="174"/>
      <c r="Z304" s="174"/>
    </row>
    <row r="305">
      <c r="A305" s="190" t="str">
        <f>IFERROR(__xludf.DUMMYFUNCTION("""COMPUTED_VALUE"""),"Topsy-Turvy")</f>
        <v>Topsy-Turvy</v>
      </c>
      <c r="B305" s="190" t="str">
        <f>IFERROR(__xludf.DUMMYFUNCTION("""COMPUTED_VALUE"""),"Dark")</f>
        <v>Dark</v>
      </c>
      <c r="C305" s="190" t="str">
        <f>IFERROR(__xludf.DUMMYFUNCTION("""COMPUTED_VALUE"""),"Status")</f>
        <v>Status</v>
      </c>
      <c r="D305" s="190" t="str">
        <f>IFERROR(__xludf.DUMMYFUNCTION("""COMPUTED_VALUE"""),"Scene x2")</f>
        <v>Scene x2</v>
      </c>
      <c r="E305" s="190" t="str">
        <f>IFERROR(__xludf.DUMMYFUNCTION("""COMPUTED_VALUE"""),"Burst 2")</f>
        <v>Burst 2</v>
      </c>
      <c r="F305" s="190">
        <f>IFERROR(__xludf.DUMMYFUNCTION("""COMPUTED_VALUE"""),6.0)</f>
        <v>6</v>
      </c>
      <c r="G305" s="190" t="str">
        <f>IFERROR(__xludf.DUMMYFUNCTION("""COMPUTED_VALUE"""),"--")</f>
        <v>--</v>
      </c>
      <c r="H305" s="191" t="str">
        <f>IFERROR(__xludf.DUMMYFUNCTION("""COMPUTED_VALUE"""),"The user and all Combatants hit by this Attack lose -4 CS in Stats that they have Positive CS in and gain +4 CS in Stats that they have Negative CS in. Any Combatants that this Attack misses instead lose -2 CS in Stats they have Positive CS in. Spirit Sur"&amp;"ge.")</f>
        <v>The user and all Combatants hit by this Attack lose -4 CS in Stats that they have Positive CS in and gain +4 CS in Stats that they have Negative CS in. Any Combatants that this Attack misses instead lose -2 CS in Stats they have Positive CS in. Spirit Surge.</v>
      </c>
      <c r="I305" s="191" t="str">
        <f>IFERROR(__xludf.DUMMYFUNCTION("""COMPUTED_VALUE"""),"--")</f>
        <v>--</v>
      </c>
      <c r="J305" s="190" t="str">
        <f>IFERROR(__xludf.DUMMYFUNCTION("""COMPUTED_VALUE"""),"Tier 2")</f>
        <v>Tier 2</v>
      </c>
      <c r="K305" s="174" t="b">
        <f>IFERROR(__xludf.DUMMYFUNCTION("""COMPUTED_VALUE"""),TRUE)</f>
        <v>1</v>
      </c>
      <c r="L305" s="174"/>
      <c r="M305" s="174"/>
      <c r="N305" s="174"/>
      <c r="O305" s="174"/>
      <c r="P305" s="174"/>
      <c r="Q305" s="174"/>
      <c r="R305" s="174"/>
      <c r="S305" s="174"/>
      <c r="T305" s="174"/>
      <c r="U305" s="174"/>
      <c r="V305" s="174"/>
      <c r="W305" s="174"/>
      <c r="X305" s="174"/>
      <c r="Y305" s="174"/>
      <c r="Z305" s="174"/>
    </row>
    <row r="306">
      <c r="A306" s="190" t="str">
        <f>IFERROR(__xludf.DUMMYFUNCTION("""COMPUTED_VALUE"""),"Torment")</f>
        <v>Torment</v>
      </c>
      <c r="B306" s="190" t="str">
        <f>IFERROR(__xludf.DUMMYFUNCTION("""COMPUTED_VALUE"""),"Dark")</f>
        <v>Dark</v>
      </c>
      <c r="C306" s="190" t="str">
        <f>IFERROR(__xludf.DUMMYFUNCTION("""COMPUTED_VALUE"""),"Status")</f>
        <v>Status</v>
      </c>
      <c r="D306" s="190" t="str">
        <f>IFERROR(__xludf.DUMMYFUNCTION("""COMPUTED_VALUE"""),"Scene x2")</f>
        <v>Scene x2</v>
      </c>
      <c r="E306" s="190" t="str">
        <f>IFERROR(__xludf.DUMMYFUNCTION("""COMPUTED_VALUE"""),"8, 1 Target, Social, Versatile")</f>
        <v>8, 1 Target, Social, Versatile</v>
      </c>
      <c r="F306" s="190">
        <f>IFERROR(__xludf.DUMMYFUNCTION("""COMPUTED_VALUE"""),5.0)</f>
        <v>5</v>
      </c>
      <c r="G306" s="190" t="str">
        <f>IFERROR(__xludf.DUMMYFUNCTION("""COMPUTED_VALUE"""),"--")</f>
        <v>--</v>
      </c>
      <c r="H306" s="191" t="str">
        <f>IFERROR(__xludf.DUMMYFUNCTION("""COMPUTED_VALUE"""),"The Target becomes Suppressed. If this Attack hits, while Suppressed this way, the user cannot cure Mental Afflictions while they're within 3m of the user. Spirit Surge.")</f>
        <v>The Target becomes Suppressed. If this Attack hits, while Suppressed this way, the user cannot cure Mental Afflictions while they're within 3m of the user. Spirit Surge.</v>
      </c>
      <c r="I306" s="191" t="str">
        <f>IFERROR(__xludf.DUMMYFUNCTION("""COMPUTED_VALUE"""),"The Target becomes Suppressed.")</f>
        <v>The Target becomes Suppressed.</v>
      </c>
      <c r="J306" s="190" t="str">
        <f>IFERROR(__xludf.DUMMYFUNCTION("""COMPUTED_VALUE"""),"Tier 2")</f>
        <v>Tier 2</v>
      </c>
      <c r="K306" s="174" t="b">
        <f>IFERROR(__xludf.DUMMYFUNCTION("""COMPUTED_VALUE"""),TRUE)</f>
        <v>1</v>
      </c>
      <c r="L306" s="174"/>
      <c r="M306" s="174"/>
      <c r="N306" s="174"/>
      <c r="O306" s="174"/>
      <c r="P306" s="174"/>
      <c r="Q306" s="174"/>
      <c r="R306" s="174"/>
      <c r="S306" s="174"/>
      <c r="T306" s="174"/>
      <c r="U306" s="174"/>
      <c r="V306" s="174"/>
      <c r="W306" s="174"/>
      <c r="X306" s="174"/>
      <c r="Y306" s="174"/>
      <c r="Z306" s="174"/>
    </row>
    <row r="307">
      <c r="A307" s="190" t="str">
        <f>IFERROR(__xludf.DUMMYFUNCTION("""COMPUTED_VALUE"""),"Umbral Assault")</f>
        <v>Umbral Assault</v>
      </c>
      <c r="B307" s="190" t="str">
        <f>IFERROR(__xludf.DUMMYFUNCTION("""COMPUTED_VALUE"""),"Dark")</f>
        <v>Dark</v>
      </c>
      <c r="C307" s="190" t="str">
        <f>IFERROR(__xludf.DUMMYFUNCTION("""COMPUTED_VALUE"""),"Special")</f>
        <v>Special</v>
      </c>
      <c r="D307" s="190" t="str">
        <f>IFERROR(__xludf.DUMMYFUNCTION("""COMPUTED_VALUE"""),"At-Will")</f>
        <v>At-Will</v>
      </c>
      <c r="E307" s="190" t="str">
        <f>IFERROR(__xludf.DUMMYFUNCTION("""COMPUTED_VALUE"""),"Melee, 1 Target")</f>
        <v>Melee, 1 Target</v>
      </c>
      <c r="F307" s="190">
        <f>IFERROR(__xludf.DUMMYFUNCTION("""COMPUTED_VALUE"""),3.0)</f>
        <v>3</v>
      </c>
      <c r="G307" s="190">
        <f>IFERROR(__xludf.DUMMYFUNCTION("""COMPUTED_VALUE"""),4.0)</f>
        <v>4</v>
      </c>
      <c r="H307" s="191" t="str">
        <f>IFERROR(__xludf.DUMMYFUNCTION("""COMPUTED_VALUE"""),"Double Strike.")</f>
        <v>Double Strike.</v>
      </c>
      <c r="I307" s="191" t="str">
        <f>IFERROR(__xludf.DUMMYFUNCTION("""COMPUTED_VALUE"""),"--")</f>
        <v>--</v>
      </c>
      <c r="J307" s="190" t="str">
        <f>IFERROR(__xludf.DUMMYFUNCTION("""COMPUTED_VALUE"""),"Tier 1")</f>
        <v>Tier 1</v>
      </c>
      <c r="K307" s="174" t="b">
        <f>IFERROR(__xludf.DUMMYFUNCTION("""COMPUTED_VALUE"""),TRUE)</f>
        <v>1</v>
      </c>
      <c r="L307" s="174"/>
      <c r="M307" s="174"/>
      <c r="N307" s="174"/>
      <c r="O307" s="174"/>
      <c r="P307" s="174"/>
      <c r="Q307" s="174"/>
      <c r="R307" s="174"/>
      <c r="S307" s="174"/>
      <c r="T307" s="174"/>
      <c r="U307" s="174"/>
      <c r="V307" s="174"/>
      <c r="W307" s="174"/>
      <c r="X307" s="174"/>
      <c r="Y307" s="174"/>
      <c r="Z307" s="174"/>
    </row>
    <row r="308">
      <c r="A308" s="190" t="str">
        <f>IFERROR(__xludf.DUMMYFUNCTION("""COMPUTED_VALUE"""),"Ancestral Fury")</f>
        <v>Ancestral Fury</v>
      </c>
      <c r="B308" s="190" t="str">
        <f>IFERROR(__xludf.DUMMYFUNCTION("""COMPUTED_VALUE"""),"Dragon")</f>
        <v>Dragon</v>
      </c>
      <c r="C308" s="190" t="str">
        <f>IFERROR(__xludf.DUMMYFUNCTION("""COMPUTED_VALUE"""),"Physical")</f>
        <v>Physical</v>
      </c>
      <c r="D308" s="190" t="str">
        <f>IFERROR(__xludf.DUMMYFUNCTION("""COMPUTED_VALUE"""),"EOT")</f>
        <v>EOT</v>
      </c>
      <c r="E308" s="190" t="str">
        <f>IFERROR(__xludf.DUMMYFUNCTION("""COMPUTED_VALUE"""),"Close Blast 2 ")</f>
        <v>Close Blast 2 </v>
      </c>
      <c r="F308" s="190">
        <f>IFERROR(__xludf.DUMMYFUNCTION("""COMPUTED_VALUE"""),6.0)</f>
        <v>6</v>
      </c>
      <c r="G308" s="190">
        <f>IFERROR(__xludf.DUMMYFUNCTION("""COMPUTED_VALUE"""),8.0)</f>
        <v>8</v>
      </c>
      <c r="H308" s="191" t="str">
        <f>IFERROR(__xludf.DUMMYFUNCTION("""COMPUTED_VALUE"""),"Ancestral Fury is a Critical Hit on a roll of 18+. This Crit Range is increased by +2 if the user is Enraged or Provoked. After Damage Calculations the user may become Enraged. Spirit Surge.")</f>
        <v>Ancestral Fury is a Critical Hit on a roll of 18+. This Crit Range is increased by +2 if the user is Enraged or Provoked. After Damage Calculations the user may become Enraged. Spirit Surge.</v>
      </c>
      <c r="I308" s="191" t="str">
        <f>IFERROR(__xludf.DUMMYFUNCTION("""COMPUTED_VALUE"""),"--")</f>
        <v>--</v>
      </c>
      <c r="J308" s="190" t="str">
        <f>IFERROR(__xludf.DUMMYFUNCTION("""COMPUTED_VALUE"""),"Tier 2")</f>
        <v>Tier 2</v>
      </c>
      <c r="K308" s="174" t="b">
        <f>IFERROR(__xludf.DUMMYFUNCTION("""COMPUTED_VALUE"""),TRUE)</f>
        <v>1</v>
      </c>
      <c r="L308" s="174"/>
      <c r="M308" s="174"/>
      <c r="N308" s="174"/>
      <c r="O308" s="174"/>
      <c r="P308" s="174"/>
      <c r="Q308" s="174"/>
      <c r="R308" s="174"/>
      <c r="S308" s="174"/>
      <c r="T308" s="174"/>
      <c r="U308" s="174"/>
      <c r="V308" s="174"/>
      <c r="W308" s="174"/>
      <c r="X308" s="174"/>
      <c r="Y308" s="174"/>
      <c r="Z308" s="174"/>
    </row>
    <row r="309">
      <c r="A309" s="190" t="str">
        <f>IFERROR(__xludf.DUMMYFUNCTION("""COMPUTED_VALUE"""),"Breaking Swipe")</f>
        <v>Breaking Swipe</v>
      </c>
      <c r="B309" s="190" t="str">
        <f>IFERROR(__xludf.DUMMYFUNCTION("""COMPUTED_VALUE"""),"Dragon")</f>
        <v>Dragon</v>
      </c>
      <c r="C309" s="190" t="str">
        <f>IFERROR(__xludf.DUMMYFUNCTION("""COMPUTED_VALUE"""),"Physical")</f>
        <v>Physical</v>
      </c>
      <c r="D309" s="190" t="str">
        <f>IFERROR(__xludf.DUMMYFUNCTION("""COMPUTED_VALUE"""),"EOT")</f>
        <v>EOT</v>
      </c>
      <c r="E309" s="190" t="str">
        <f>IFERROR(__xludf.DUMMYFUNCTION("""COMPUTED_VALUE"""),"Close Blast 2")</f>
        <v>Close Blast 2</v>
      </c>
      <c r="F309" s="190">
        <f>IFERROR(__xludf.DUMMYFUNCTION("""COMPUTED_VALUE"""),5.0)</f>
        <v>5</v>
      </c>
      <c r="G309" s="190">
        <f>IFERROR(__xludf.DUMMYFUNCTION("""COMPUTED_VALUE"""),6.0)</f>
        <v>6</v>
      </c>
      <c r="H309" s="191" t="str">
        <f>IFERROR(__xludf.DUMMYFUNCTION("""COMPUTED_VALUE"""),"On a roll of 18+, all Targets become Wounded. Smite")</f>
        <v>On a roll of 18+, all Targets become Wounded. Smite</v>
      </c>
      <c r="I309" s="191" t="str">
        <f>IFERROR(__xludf.DUMMYFUNCTION("""COMPUTED_VALUE"""),"--")</f>
        <v>--</v>
      </c>
      <c r="J309" s="190" t="str">
        <f>IFERROR(__xludf.DUMMYFUNCTION("""COMPUTED_VALUE"""),"Tier 1")</f>
        <v>Tier 1</v>
      </c>
      <c r="K309" s="174" t="b">
        <f>IFERROR(__xludf.DUMMYFUNCTION("""COMPUTED_VALUE"""),TRUE)</f>
        <v>1</v>
      </c>
      <c r="L309" s="174"/>
      <c r="M309" s="174"/>
      <c r="N309" s="174"/>
      <c r="O309" s="174"/>
      <c r="P309" s="174"/>
      <c r="Q309" s="174"/>
      <c r="R309" s="174"/>
      <c r="S309" s="174"/>
      <c r="T309" s="174"/>
      <c r="U309" s="174"/>
      <c r="V309" s="174"/>
      <c r="W309" s="174"/>
      <c r="X309" s="174"/>
      <c r="Y309" s="174"/>
      <c r="Z309" s="174"/>
    </row>
    <row r="310">
      <c r="A310" s="190" t="str">
        <f>IFERROR(__xludf.DUMMYFUNCTION("""COMPUTED_VALUE"""),"Breath Blast")</f>
        <v>Breath Blast</v>
      </c>
      <c r="B310" s="190" t="str">
        <f>IFERROR(__xludf.DUMMYFUNCTION("""COMPUTED_VALUE"""),"Dragon")</f>
        <v>Dragon</v>
      </c>
      <c r="C310" s="190" t="str">
        <f>IFERROR(__xludf.DUMMYFUNCTION("""COMPUTED_VALUE"""),"Special")</f>
        <v>Special</v>
      </c>
      <c r="D310" s="190" t="str">
        <f>IFERROR(__xludf.DUMMYFUNCTION("""COMPUTED_VALUE"""),"EOT")</f>
        <v>EOT</v>
      </c>
      <c r="E310" s="190" t="str">
        <f>IFERROR(__xludf.DUMMYFUNCTION("""COMPUTED_VALUE"""),"6, Ranged Blast 2")</f>
        <v>6, Ranged Blast 2</v>
      </c>
      <c r="F310" s="190">
        <f>IFERROR(__xludf.DUMMYFUNCTION("""COMPUTED_VALUE"""),5.0)</f>
        <v>5</v>
      </c>
      <c r="G310" s="190">
        <f>IFERROR(__xludf.DUMMYFUNCTION("""COMPUTED_VALUE"""),6.0)</f>
        <v>6</v>
      </c>
      <c r="H310" s="191" t="str">
        <f>IFERROR(__xludf.DUMMYFUNCTION("""COMPUTED_VALUE"""),"On a roll of 18+, all Targets become Paralyzed. Smite")</f>
        <v>On a roll of 18+, all Targets become Paralyzed. Smite</v>
      </c>
      <c r="I310" s="191" t="str">
        <f>IFERROR(__xludf.DUMMYFUNCTION("""COMPUTED_VALUE"""),"--")</f>
        <v>--</v>
      </c>
      <c r="J310" s="190" t="str">
        <f>IFERROR(__xludf.DUMMYFUNCTION("""COMPUTED_VALUE"""),"Tier 1")</f>
        <v>Tier 1</v>
      </c>
      <c r="K310" s="174" t="b">
        <f>IFERROR(__xludf.DUMMYFUNCTION("""COMPUTED_VALUE"""),TRUE)</f>
        <v>1</v>
      </c>
      <c r="L310" s="174"/>
      <c r="M310" s="174"/>
      <c r="N310" s="174"/>
      <c r="O310" s="174"/>
      <c r="P310" s="174"/>
      <c r="Q310" s="174"/>
      <c r="R310" s="174"/>
      <c r="S310" s="174"/>
      <c r="T310" s="174"/>
      <c r="U310" s="174"/>
      <c r="V310" s="174"/>
      <c r="W310" s="174"/>
      <c r="X310" s="174"/>
      <c r="Y310" s="174"/>
      <c r="Z310" s="174"/>
    </row>
    <row r="311">
      <c r="A311" s="190" t="str">
        <f>IFERROR(__xludf.DUMMYFUNCTION("""COMPUTED_VALUE"""),"Clanging Scales")</f>
        <v>Clanging Scales</v>
      </c>
      <c r="B311" s="190" t="str">
        <f>IFERROR(__xludf.DUMMYFUNCTION("""COMPUTED_VALUE"""),"Dragon")</f>
        <v>Dragon</v>
      </c>
      <c r="C311" s="190" t="str">
        <f>IFERROR(__xludf.DUMMYFUNCTION("""COMPUTED_VALUE"""),"Special")</f>
        <v>Special</v>
      </c>
      <c r="D311" s="190" t="str">
        <f>IFERROR(__xludf.DUMMYFUNCTION("""COMPUTED_VALUE"""),"Scene x2")</f>
        <v>Scene x2</v>
      </c>
      <c r="E311" s="190" t="str">
        <f>IFERROR(__xludf.DUMMYFUNCTION("""COMPUTED_VALUE"""),"6, 1 Target or Burst 1, Sonic")</f>
        <v>6, 1 Target or Burst 1, Sonic</v>
      </c>
      <c r="F311" s="190">
        <f>IFERROR(__xludf.DUMMYFUNCTION("""COMPUTED_VALUE"""),6.0)</f>
        <v>6</v>
      </c>
      <c r="G311" s="190">
        <f>IFERROR(__xludf.DUMMYFUNCTION("""COMPUTED_VALUE"""),11.0)</f>
        <v>11</v>
      </c>
      <c r="H311" s="191" t="str">
        <f>IFERROR(__xludf.DUMMYFUNCTION("""COMPUTED_VALUE"""),"The user may add half their Defense Stat to Clanging Scale's Damage Roll. After Damage Calculations, if they do, the user loses -2 CS in Defense.")</f>
        <v>The user may add half their Defense Stat to Clanging Scale's Damage Roll. After Damage Calculations, if they do, the user loses -2 CS in Defense.</v>
      </c>
      <c r="I311" s="191" t="str">
        <f>IFERROR(__xludf.DUMMYFUNCTION("""COMPUTED_VALUE"""),"--")</f>
        <v>--</v>
      </c>
      <c r="J311" s="190" t="str">
        <f>IFERROR(__xludf.DUMMYFUNCTION("""COMPUTED_VALUE"""),"Tier 3")</f>
        <v>Tier 3</v>
      </c>
      <c r="K311" s="174" t="b">
        <f>IFERROR(__xludf.DUMMYFUNCTION("""COMPUTED_VALUE"""),TRUE)</f>
        <v>1</v>
      </c>
      <c r="L311" s="174"/>
      <c r="M311" s="174"/>
      <c r="N311" s="174"/>
      <c r="O311" s="174"/>
      <c r="P311" s="174"/>
      <c r="Q311" s="174"/>
      <c r="R311" s="174"/>
      <c r="S311" s="174"/>
      <c r="T311" s="174"/>
      <c r="U311" s="174"/>
      <c r="V311" s="174"/>
      <c r="W311" s="174"/>
      <c r="X311" s="174"/>
      <c r="Y311" s="174"/>
      <c r="Z311" s="174"/>
    </row>
    <row r="312">
      <c r="A312" s="190" t="str">
        <f>IFERROR(__xludf.DUMMYFUNCTION("""COMPUTED_VALUE"""),"Clangorous Soul")</f>
        <v>Clangorous Soul</v>
      </c>
      <c r="B312" s="190" t="str">
        <f>IFERROR(__xludf.DUMMYFUNCTION("""COMPUTED_VALUE"""),"Dragon")</f>
        <v>Dragon</v>
      </c>
      <c r="C312" s="190" t="str">
        <f>IFERROR(__xludf.DUMMYFUNCTION("""COMPUTED_VALUE"""),"Status")</f>
        <v>Status</v>
      </c>
      <c r="D312" s="190" t="str">
        <f>IFERROR(__xludf.DUMMYFUNCTION("""COMPUTED_VALUE"""),"Scene")</f>
        <v>Scene</v>
      </c>
      <c r="E312" s="190" t="str">
        <f>IFERROR(__xludf.DUMMYFUNCTION("""COMPUTED_VALUE"""),"Burst 3, Full Action; or Burst 3")</f>
        <v>Burst 3, Full Action; or Burst 3</v>
      </c>
      <c r="F312" s="190" t="str">
        <f>IFERROR(__xludf.DUMMYFUNCTION("""COMPUTED_VALUE"""),"--")</f>
        <v>--</v>
      </c>
      <c r="G312" s="190" t="str">
        <f>IFERROR(__xludf.DUMMYFUNCTION("""COMPUTED_VALUE"""),"--")</f>
        <v>--</v>
      </c>
      <c r="H312" s="191" t="str">
        <f>IFERROR(__xludf.DUMMYFUNCTION("""COMPUTED_VALUE"""),"The user gains +2 CS in each Stat and all Allies within the range of this Attack gain +1 CS to a Stat of their Choice. This Attack can only be used as a Full Action or as a Standard Action + Reaction upon falling below 50% of their Max Hit Points. If used"&amp;" as a Reaction, the user also gains 2 Ticks of Temporary Hit Points. ")</f>
        <v>The user gains +2 CS in each Stat and all Allies within the range of this Attack gain +1 CS to a Stat of their Choice. This Attack can only be used as a Full Action or as a Standard Action + Reaction upon falling below 50% of their Max Hit Points. If used as a Reaction, the user also gains 2 Ticks of Temporary Hit Points. </v>
      </c>
      <c r="I312" s="191" t="str">
        <f>IFERROR(__xludf.DUMMYFUNCTION("""COMPUTED_VALUE"""),"--")</f>
        <v>--</v>
      </c>
      <c r="J312" s="190" t="str">
        <f>IFERROR(__xludf.DUMMYFUNCTION("""COMPUTED_VALUE"""),"Tier 3")</f>
        <v>Tier 3</v>
      </c>
      <c r="K312" s="174" t="b">
        <f>IFERROR(__xludf.DUMMYFUNCTION("""COMPUTED_VALUE"""),TRUE)</f>
        <v>1</v>
      </c>
      <c r="L312" s="174"/>
      <c r="M312" s="174"/>
      <c r="N312" s="174"/>
      <c r="O312" s="174"/>
      <c r="P312" s="174"/>
      <c r="Q312" s="174"/>
      <c r="R312" s="174"/>
      <c r="S312" s="174"/>
      <c r="T312" s="174"/>
      <c r="U312" s="174"/>
      <c r="V312" s="174"/>
      <c r="W312" s="174"/>
      <c r="X312" s="174"/>
      <c r="Y312" s="174"/>
      <c r="Z312" s="174"/>
    </row>
    <row r="313">
      <c r="A313" s="190" t="str">
        <f>IFERROR(__xludf.DUMMYFUNCTION("""COMPUTED_VALUE"""),"Draco Meteor")</f>
        <v>Draco Meteor</v>
      </c>
      <c r="B313" s="190" t="str">
        <f>IFERROR(__xludf.DUMMYFUNCTION("""COMPUTED_VALUE"""),"Dragon")</f>
        <v>Dragon</v>
      </c>
      <c r="C313" s="190" t="str">
        <f>IFERROR(__xludf.DUMMYFUNCTION("""COMPUTED_VALUE"""),"Special")</f>
        <v>Special</v>
      </c>
      <c r="D313" s="190" t="str">
        <f>IFERROR(__xludf.DUMMYFUNCTION("""COMPUTED_VALUE"""),"Scene")</f>
        <v>Scene</v>
      </c>
      <c r="E313" s="190" t="str">
        <f>IFERROR(__xludf.DUMMYFUNCTION("""COMPUTED_VALUE"""),"10, Ranged Bast 2, Set-Up")</f>
        <v>10, Ranged Bast 2, Set-Up</v>
      </c>
      <c r="F313" s="190">
        <f>IFERROR(__xludf.DUMMYFUNCTION("""COMPUTED_VALUE"""),6.0)</f>
        <v>6</v>
      </c>
      <c r="G313" s="190">
        <f>IFERROR(__xludf.DUMMYFUNCTION("""COMPUTED_VALUE"""),10.0)</f>
        <v>10</v>
      </c>
      <c r="H313" s="191" t="str">
        <f>IFERROR(__xludf.DUMMYFUNCTION("""COMPUTED_VALUE"""),"Charge Effect: No Effect 
Resolution Effect: You may select a Range for this Attack a number of times equal to the expended Charge Tokens and it Targets all Combatants in these Ranges. These Ranges cannot overlap and an Enemy cannot be Targeted more than "&amp;"once this way. Smite")</f>
        <v>Charge Effect: No Effect 
Resolution Effect: You may select a Range for this Attack a number of times equal to the expended Charge Tokens and it Targets all Combatants in these Ranges. These Ranges cannot overlap and an Enemy cannot be Targeted more than once this way. Smite</v>
      </c>
      <c r="I313" s="191" t="str">
        <f>IFERROR(__xludf.DUMMYFUNCTION("""COMPUTED_VALUE"""),"--")</f>
        <v>--</v>
      </c>
      <c r="J313" s="190" t="str">
        <f>IFERROR(__xludf.DUMMYFUNCTION("""COMPUTED_VALUE"""),"Tier 3")</f>
        <v>Tier 3</v>
      </c>
      <c r="K313" s="174" t="b">
        <f>IFERROR(__xludf.DUMMYFUNCTION("""COMPUTED_VALUE"""),TRUE)</f>
        <v>1</v>
      </c>
      <c r="L313" s="174"/>
      <c r="M313" s="174"/>
      <c r="N313" s="174"/>
      <c r="O313" s="174"/>
      <c r="P313" s="174"/>
      <c r="Q313" s="174"/>
      <c r="R313" s="174"/>
      <c r="S313" s="174"/>
      <c r="T313" s="174"/>
      <c r="U313" s="174"/>
      <c r="V313" s="174"/>
      <c r="W313" s="174"/>
      <c r="X313" s="174"/>
      <c r="Y313" s="174"/>
      <c r="Z313" s="174"/>
    </row>
    <row r="314">
      <c r="A314" s="190" t="str">
        <f>IFERROR(__xludf.DUMMYFUNCTION("""COMPUTED_VALUE"""),"Draconic Aura")</f>
        <v>Draconic Aura</v>
      </c>
      <c r="B314" s="190" t="str">
        <f>IFERROR(__xludf.DUMMYFUNCTION("""COMPUTED_VALUE"""),"Dragon")</f>
        <v>Dragon</v>
      </c>
      <c r="C314" s="190" t="str">
        <f>IFERROR(__xludf.DUMMYFUNCTION("""COMPUTED_VALUE"""),"Status")</f>
        <v>Status</v>
      </c>
      <c r="D314" s="190" t="str">
        <f>IFERROR(__xludf.DUMMYFUNCTION("""COMPUTED_VALUE"""),"Scene x2")</f>
        <v>Scene x2</v>
      </c>
      <c r="E314" s="190" t="str">
        <f>IFERROR(__xludf.DUMMYFUNCTION("""COMPUTED_VALUE"""),"Blessing, Versatile")</f>
        <v>Blessing, Versatile</v>
      </c>
      <c r="F314" s="190" t="str">
        <f>IFERROR(__xludf.DUMMYFUNCTION("""COMPUTED_VALUE"""),"--")</f>
        <v>--</v>
      </c>
      <c r="G314" s="190" t="str">
        <f>IFERROR(__xludf.DUMMYFUNCTION("""COMPUTED_VALUE"""),"--")</f>
        <v>--</v>
      </c>
      <c r="H314" s="191" t="str">
        <f>IFERROR(__xludf.DUMMYFUNCTION("""COMPUTED_VALUE"""),"Blessing - Any user affected by Draconic Aura may activate it as a Free Action when using a Dragon Type Damaging Attack to grant it the Smite Keyword. If the Attack hits, it hits, it is also increased by one damage step. (Max 1.5x Effectiveness). Draconic"&amp;" Aura may be Activated 3 times and then disappears. ")</f>
        <v>Blessing - Any user affected by Draconic Aura may activate it as a Free Action when using a Dragon Type Damaging Attack to grant it the Smite Keyword. If the Attack hits, it hits, it is also increased by one damage step. (Max 1.5x Effectiveness). Draconic Aura may be Activated 3 times and then disappears. </v>
      </c>
      <c r="I314" s="191" t="str">
        <f>IFERROR(__xludf.DUMMYFUNCTION("""COMPUTED_VALUE"""),"Same as the normal Effect, but it only has 1 Activation.")</f>
        <v>Same as the normal Effect, but it only has 1 Activation.</v>
      </c>
      <c r="J314" s="190" t="str">
        <f>IFERROR(__xludf.DUMMYFUNCTION("""COMPUTED_VALUE"""),"Tier 2")</f>
        <v>Tier 2</v>
      </c>
      <c r="K314" s="174" t="b">
        <f>IFERROR(__xludf.DUMMYFUNCTION("""COMPUTED_VALUE"""),TRUE)</f>
        <v>1</v>
      </c>
      <c r="L314" s="174"/>
      <c r="M314" s="174"/>
      <c r="N314" s="174"/>
      <c r="O314" s="174"/>
      <c r="P314" s="174"/>
      <c r="Q314" s="174"/>
      <c r="R314" s="174"/>
      <c r="S314" s="174"/>
      <c r="T314" s="174"/>
      <c r="U314" s="174"/>
      <c r="V314" s="174"/>
      <c r="W314" s="174"/>
      <c r="X314" s="174"/>
      <c r="Y314" s="174"/>
      <c r="Z314" s="174"/>
    </row>
    <row r="315">
      <c r="A315" s="190" t="str">
        <f>IFERROR(__xludf.DUMMYFUNCTION("""COMPUTED_VALUE"""),"Draconic Roar")</f>
        <v>Draconic Roar</v>
      </c>
      <c r="B315" s="190" t="str">
        <f>IFERROR(__xludf.DUMMYFUNCTION("""COMPUTED_VALUE"""),"Dragon")</f>
        <v>Dragon</v>
      </c>
      <c r="C315" s="190" t="str">
        <f>IFERROR(__xludf.DUMMYFUNCTION("""COMPUTED_VALUE"""),"Status")</f>
        <v>Status</v>
      </c>
      <c r="D315" s="190" t="str">
        <f>IFERROR(__xludf.DUMMYFUNCTION("""COMPUTED_VALUE"""),"EOT")</f>
        <v>EOT</v>
      </c>
      <c r="E315" s="190" t="str">
        <f>IFERROR(__xludf.DUMMYFUNCTION("""COMPUTED_VALUE"""),"Burst 2, Sonic, Versatile")</f>
        <v>Burst 2, Sonic, Versatile</v>
      </c>
      <c r="F315" s="190">
        <f>IFERROR(__xludf.DUMMYFUNCTION("""COMPUTED_VALUE"""),6.0)</f>
        <v>6</v>
      </c>
      <c r="G315" s="190" t="str">
        <f>IFERROR(__xludf.DUMMYFUNCTION("""COMPUTED_VALUE"""),"--")</f>
        <v>--</v>
      </c>
      <c r="H315" s="191" t="str">
        <f>IFERROR(__xludf.DUMMYFUNCTION("""COMPUTED_VALUE"""),"Choose a Stat the Target has Positive CS in. They lose -3 CS in that Stat. On a 15+, all you may choose any number of Targets hit to become Provoked by you until the end of their next Turn. Friendly")</f>
        <v>Choose a Stat the Target has Positive CS in. They lose -3 CS in that Stat. On a 15+, all you may choose any number of Targets hit to become Provoked by you until the end of their next Turn. Friendly</v>
      </c>
      <c r="I315" s="191" t="str">
        <f>IFERROR(__xludf.DUMMYFUNCTION("""COMPUTED_VALUE"""),"Choose any number of Targets hit by this Attack to become Provoked until the end of their next Turn. Friendly")</f>
        <v>Choose any number of Targets hit by this Attack to become Provoked until the end of their next Turn. Friendly</v>
      </c>
      <c r="J315" s="190" t="str">
        <f>IFERROR(__xludf.DUMMYFUNCTION("""COMPUTED_VALUE"""),"Tier 1")</f>
        <v>Tier 1</v>
      </c>
      <c r="K315" s="174" t="b">
        <f>IFERROR(__xludf.DUMMYFUNCTION("""COMPUTED_VALUE"""),TRUE)</f>
        <v>1</v>
      </c>
      <c r="L315" s="174"/>
      <c r="M315" s="174"/>
      <c r="N315" s="174"/>
      <c r="O315" s="174"/>
      <c r="P315" s="174"/>
      <c r="Q315" s="174"/>
      <c r="R315" s="174"/>
      <c r="S315" s="174"/>
      <c r="T315" s="174"/>
      <c r="U315" s="174"/>
      <c r="V315" s="174"/>
      <c r="W315" s="174"/>
      <c r="X315" s="174"/>
      <c r="Y315" s="174"/>
      <c r="Z315" s="174"/>
    </row>
    <row r="316">
      <c r="A316" s="190" t="str">
        <f>IFERROR(__xludf.DUMMYFUNCTION("""COMPUTED_VALUE"""),"Dragon Axe")</f>
        <v>Dragon Axe</v>
      </c>
      <c r="B316" s="190" t="str">
        <f>IFERROR(__xludf.DUMMYFUNCTION("""COMPUTED_VALUE"""),"Dragon")</f>
        <v>Dragon</v>
      </c>
      <c r="C316" s="190" t="str">
        <f>IFERROR(__xludf.DUMMYFUNCTION("""COMPUTED_VALUE"""),"Physical")</f>
        <v>Physical</v>
      </c>
      <c r="D316" s="190" t="str">
        <f>IFERROR(__xludf.DUMMYFUNCTION("""COMPUTED_VALUE"""),"Scene x2")</f>
        <v>Scene x2</v>
      </c>
      <c r="E316" s="190" t="str">
        <f>IFERROR(__xludf.DUMMYFUNCTION("""COMPUTED_VALUE"""),"Melee, 1 Target")</f>
        <v>Melee, 1 Target</v>
      </c>
      <c r="F316" s="190">
        <f>IFERROR(__xludf.DUMMYFUNCTION("""COMPUTED_VALUE"""),4.0)</f>
        <v>4</v>
      </c>
      <c r="G316" s="190">
        <f>IFERROR(__xludf.DUMMYFUNCTION("""COMPUTED_VALUE"""),10.0)</f>
        <v>10</v>
      </c>
      <c r="H316" s="191" t="str">
        <f>IFERROR(__xludf.DUMMYFUNCTION("""COMPUTED_VALUE"""),"On Even rolls, the Target becomes Wounded. On Odd rolls, the Target becomes Vulnerable until the end of the Round. Spirit Surge.")</f>
        <v>On Even rolls, the Target becomes Wounded. On Odd rolls, the Target becomes Vulnerable until the end of the Round. Spirit Surge.</v>
      </c>
      <c r="I316" s="191" t="str">
        <f>IFERROR(__xludf.DUMMYFUNCTION("""COMPUTED_VALUE"""),"--")</f>
        <v>--</v>
      </c>
      <c r="J316" s="190" t="str">
        <f>IFERROR(__xludf.DUMMYFUNCTION("""COMPUTED_VALUE"""),"Tier 3")</f>
        <v>Tier 3</v>
      </c>
      <c r="K316" s="174" t="b">
        <f>IFERROR(__xludf.DUMMYFUNCTION("""COMPUTED_VALUE"""),TRUE)</f>
        <v>1</v>
      </c>
      <c r="L316" s="174"/>
      <c r="M316" s="174"/>
      <c r="N316" s="174"/>
      <c r="O316" s="174"/>
      <c r="P316" s="174"/>
      <c r="Q316" s="174"/>
      <c r="R316" s="174"/>
      <c r="S316" s="174"/>
      <c r="T316" s="174"/>
      <c r="U316" s="174"/>
      <c r="V316" s="174"/>
      <c r="W316" s="174"/>
      <c r="X316" s="174"/>
      <c r="Y316" s="174"/>
      <c r="Z316" s="174"/>
    </row>
    <row r="317">
      <c r="A317" s="190" t="str">
        <f>IFERROR(__xludf.DUMMYFUNCTION("""COMPUTED_VALUE"""),"Dragon Breath")</f>
        <v>Dragon Breath</v>
      </c>
      <c r="B317" s="190" t="str">
        <f>IFERROR(__xludf.DUMMYFUNCTION("""COMPUTED_VALUE"""),"Dragon")</f>
        <v>Dragon</v>
      </c>
      <c r="C317" s="190" t="str">
        <f>IFERROR(__xludf.DUMMYFUNCTION("""COMPUTED_VALUE"""),"Special")</f>
        <v>Special</v>
      </c>
      <c r="D317" s="190" t="str">
        <f>IFERROR(__xludf.DUMMYFUNCTION("""COMPUTED_VALUE"""),"At-Will")</f>
        <v>At-Will</v>
      </c>
      <c r="E317" s="190" t="str">
        <f>IFERROR(__xludf.DUMMYFUNCTION("""COMPUTED_VALUE"""),"6, 1 Target or Line 3")</f>
        <v>6, 1 Target or Line 3</v>
      </c>
      <c r="F317" s="190">
        <f>IFERROR(__xludf.DUMMYFUNCTION("""COMPUTED_VALUE"""),3.0)</f>
        <v>3</v>
      </c>
      <c r="G317" s="190">
        <f>IFERROR(__xludf.DUMMYFUNCTION("""COMPUTED_VALUE"""),4.0)</f>
        <v>4</v>
      </c>
      <c r="H317" s="191" t="str">
        <f>IFERROR(__xludf.DUMMYFUNCTION("""COMPUTED_VALUE"""),"On a roll of 18+, the Target becomes Paralyzed. If this is used as a Line 3 Range, the AC becomes 5.")</f>
        <v>On a roll of 18+, the Target becomes Paralyzed. If this is used as a Line 3 Range, the AC becomes 5.</v>
      </c>
      <c r="I317" s="191" t="str">
        <f>IFERROR(__xludf.DUMMYFUNCTION("""COMPUTED_VALUE"""),"--")</f>
        <v>--</v>
      </c>
      <c r="J317" s="190" t="str">
        <f>IFERROR(__xludf.DUMMYFUNCTION("""COMPUTED_VALUE"""),"Tier 1")</f>
        <v>Tier 1</v>
      </c>
      <c r="K317" s="174" t="b">
        <f>IFERROR(__xludf.DUMMYFUNCTION("""COMPUTED_VALUE"""),TRUE)</f>
        <v>1</v>
      </c>
      <c r="L317" s="174"/>
      <c r="M317" s="174"/>
      <c r="N317" s="174"/>
      <c r="O317" s="174"/>
      <c r="P317" s="174"/>
      <c r="Q317" s="174"/>
      <c r="R317" s="174"/>
      <c r="S317" s="174"/>
      <c r="T317" s="174"/>
      <c r="U317" s="174"/>
      <c r="V317" s="174"/>
      <c r="W317" s="174"/>
      <c r="X317" s="174"/>
      <c r="Y317" s="174"/>
      <c r="Z317" s="174"/>
    </row>
    <row r="318">
      <c r="A318" s="190" t="str">
        <f>IFERROR(__xludf.DUMMYFUNCTION("""COMPUTED_VALUE"""),"Dragon Claw")</f>
        <v>Dragon Claw</v>
      </c>
      <c r="B318" s="190" t="str">
        <f>IFERROR(__xludf.DUMMYFUNCTION("""COMPUTED_VALUE"""),"Dragon")</f>
        <v>Dragon</v>
      </c>
      <c r="C318" s="190" t="str">
        <f>IFERROR(__xludf.DUMMYFUNCTION("""COMPUTED_VALUE"""),"Physical")</f>
        <v>Physical</v>
      </c>
      <c r="D318" s="190" t="str">
        <f>IFERROR(__xludf.DUMMYFUNCTION("""COMPUTED_VALUE"""),"At-Will")</f>
        <v>At-Will</v>
      </c>
      <c r="E318" s="190" t="str">
        <f>IFERROR(__xludf.DUMMYFUNCTION("""COMPUTED_VALUE"""),"Melee, 1 Target")</f>
        <v>Melee, 1 Target</v>
      </c>
      <c r="F318" s="190">
        <f>IFERROR(__xludf.DUMMYFUNCTION("""COMPUTED_VALUE"""),3.0)</f>
        <v>3</v>
      </c>
      <c r="G318" s="190">
        <f>IFERROR(__xludf.DUMMYFUNCTION("""COMPUTED_VALUE"""),8.0)</f>
        <v>8</v>
      </c>
      <c r="H318" s="191" t="str">
        <f>IFERROR(__xludf.DUMMYFUNCTION("""COMPUTED_VALUE"""),"If the Target is suffering from a Physical Affliction or has negative Defense Combat Stages, this Attack is treated as one step more Effective but cannot surpass 1.5x Effectiveness. Its Damage Effectiveness can only be increased this way once per Scene pe"&amp;"r Target.")</f>
        <v>If the Target is suffering from a Physical Affliction or has negative Defense Combat Stages, this Attack is treated as one step more Effective but cannot surpass 1.5x Effectiveness. Its Damage Effectiveness can only be increased this way once per Scene per Target.</v>
      </c>
      <c r="I318" s="191" t="str">
        <f>IFERROR(__xludf.DUMMYFUNCTION("""COMPUTED_VALUE"""),"--")</f>
        <v>--</v>
      </c>
      <c r="J318" s="190" t="str">
        <f>IFERROR(__xludf.DUMMYFUNCTION("""COMPUTED_VALUE"""),"Tier 2")</f>
        <v>Tier 2</v>
      </c>
      <c r="K318" s="174" t="b">
        <f>IFERROR(__xludf.DUMMYFUNCTION("""COMPUTED_VALUE"""),TRUE)</f>
        <v>1</v>
      </c>
      <c r="L318" s="174"/>
      <c r="M318" s="174"/>
      <c r="N318" s="174"/>
      <c r="O318" s="174"/>
      <c r="P318" s="174"/>
      <c r="Q318" s="174"/>
      <c r="R318" s="174"/>
      <c r="S318" s="174"/>
      <c r="T318" s="174"/>
      <c r="U318" s="174"/>
      <c r="V318" s="174"/>
      <c r="W318" s="174"/>
      <c r="X318" s="174"/>
      <c r="Y318" s="174"/>
      <c r="Z318" s="174"/>
    </row>
    <row r="319">
      <c r="A319" s="190" t="str">
        <f>IFERROR(__xludf.DUMMYFUNCTION("""COMPUTED_VALUE"""),"Dragon Dance")</f>
        <v>Dragon Dance</v>
      </c>
      <c r="B319" s="190" t="str">
        <f>IFERROR(__xludf.DUMMYFUNCTION("""COMPUTED_VALUE"""),"Dragon")</f>
        <v>Dragon</v>
      </c>
      <c r="C319" s="190" t="str">
        <f>IFERROR(__xludf.DUMMYFUNCTION("""COMPUTED_VALUE"""),"Status")</f>
        <v>Status</v>
      </c>
      <c r="D319" s="190" t="str">
        <f>IFERROR(__xludf.DUMMYFUNCTION("""COMPUTED_VALUE"""),"At-Will")</f>
        <v>At-Will</v>
      </c>
      <c r="E319" s="190" t="str">
        <f>IFERROR(__xludf.DUMMYFUNCTION("""COMPUTED_VALUE"""),"Self, Versatile")</f>
        <v>Self, Versatile</v>
      </c>
      <c r="F319" s="190" t="str">
        <f>IFERROR(__xludf.DUMMYFUNCTION("""COMPUTED_VALUE"""),"--")</f>
        <v>--</v>
      </c>
      <c r="G319" s="190" t="str">
        <f>IFERROR(__xludf.DUMMYFUNCTION("""COMPUTED_VALUE"""),"--")</f>
        <v>--</v>
      </c>
      <c r="H319" s="191" t="str">
        <f>IFERROR(__xludf.DUMMYFUNCTION("""COMPUTED_VALUE"""),"The user gains +2 CS in Attack. The user is cured of one Physical Affliction.")</f>
        <v>The user gains +2 CS in Attack. The user is cured of one Physical Affliction.</v>
      </c>
      <c r="I319" s="191" t="str">
        <f>IFERROR(__xludf.DUMMYFUNCTION("""COMPUTED_VALUE"""),"If the user is affected by a Physical Affliction, they pass their next Save Check, regardless of the result.")</f>
        <v>If the user is affected by a Physical Affliction, they pass their next Save Check, regardless of the result.</v>
      </c>
      <c r="J319" s="190" t="str">
        <f>IFERROR(__xludf.DUMMYFUNCTION("""COMPUTED_VALUE"""),"Tier 1")</f>
        <v>Tier 1</v>
      </c>
      <c r="K319" s="174" t="b">
        <f>IFERROR(__xludf.DUMMYFUNCTION("""COMPUTED_VALUE"""),TRUE)</f>
        <v>1</v>
      </c>
      <c r="L319" s="174"/>
      <c r="M319" s="174"/>
      <c r="N319" s="174"/>
      <c r="O319" s="174"/>
      <c r="P319" s="174"/>
      <c r="Q319" s="174"/>
      <c r="R319" s="174"/>
      <c r="S319" s="174"/>
      <c r="T319" s="174"/>
      <c r="U319" s="174"/>
      <c r="V319" s="174"/>
      <c r="W319" s="174"/>
      <c r="X319" s="174"/>
      <c r="Y319" s="174"/>
      <c r="Z319" s="174"/>
    </row>
    <row r="320">
      <c r="A320" s="190" t="str">
        <f>IFERROR(__xludf.DUMMYFUNCTION("""COMPUTED_VALUE"""),"Dragon Darts")</f>
        <v>Dragon Darts</v>
      </c>
      <c r="B320" s="190" t="str">
        <f>IFERROR(__xludf.DUMMYFUNCTION("""COMPUTED_VALUE"""),"Dragon")</f>
        <v>Dragon</v>
      </c>
      <c r="C320" s="190" t="str">
        <f>IFERROR(__xludf.DUMMYFUNCTION("""COMPUTED_VALUE"""),"Physical")</f>
        <v>Physical</v>
      </c>
      <c r="D320" s="190" t="str">
        <f>IFERROR(__xludf.DUMMYFUNCTION("""COMPUTED_VALUE"""),"EOT")</f>
        <v>EOT</v>
      </c>
      <c r="E320" s="190" t="str">
        <f>IFERROR(__xludf.DUMMYFUNCTION("""COMPUTED_VALUE"""),"6, 1 Target; or 6, 2 Targets")</f>
        <v>6, 1 Target; or 6, 2 Targets</v>
      </c>
      <c r="F320" s="190">
        <f>IFERROR(__xludf.DUMMYFUNCTION("""COMPUTED_VALUE"""),6.0)</f>
        <v>6</v>
      </c>
      <c r="G320" s="190">
        <f>IFERROR(__xludf.DUMMYFUNCTION("""COMPUTED_VALUE"""),5.0)</f>
        <v>5</v>
      </c>
      <c r="H320" s="191" t="str">
        <f>IFERROR(__xludf.DUMMYFUNCTION("""COMPUTED_VALUE"""),"If this Attack is used as a 1 Target, it has the Double Strike Keyword and has an AC of 4.")</f>
        <v>If this Attack is used as a 1 Target, it has the Double Strike Keyword and has an AC of 4.</v>
      </c>
      <c r="I320" s="191" t="str">
        <f>IFERROR(__xludf.DUMMYFUNCTION("""COMPUTED_VALUE"""),"--")</f>
        <v>--</v>
      </c>
      <c r="J320" s="190" t="str">
        <f>IFERROR(__xludf.DUMMYFUNCTION("""COMPUTED_VALUE"""),"Tier 1")</f>
        <v>Tier 1</v>
      </c>
      <c r="K320" s="174" t="b">
        <f>IFERROR(__xludf.DUMMYFUNCTION("""COMPUTED_VALUE"""),TRUE)</f>
        <v>1</v>
      </c>
      <c r="L320" s="174"/>
      <c r="M320" s="174"/>
      <c r="N320" s="174"/>
      <c r="O320" s="174"/>
      <c r="P320" s="174"/>
      <c r="Q320" s="174"/>
      <c r="R320" s="174"/>
      <c r="S320" s="174"/>
      <c r="T320" s="174"/>
      <c r="U320" s="174"/>
      <c r="V320" s="174"/>
      <c r="W320" s="174"/>
      <c r="X320" s="174"/>
      <c r="Y320" s="174"/>
      <c r="Z320" s="174"/>
    </row>
    <row r="321">
      <c r="A321" s="190" t="str">
        <f>IFERROR(__xludf.DUMMYFUNCTION("""COMPUTED_VALUE"""),"Dragon Dash")</f>
        <v>Dragon Dash</v>
      </c>
      <c r="B321" s="190" t="str">
        <f>IFERROR(__xludf.DUMMYFUNCTION("""COMPUTED_VALUE"""),"Dragon")</f>
        <v>Dragon</v>
      </c>
      <c r="C321" s="190" t="str">
        <f>IFERROR(__xludf.DUMMYFUNCTION("""COMPUTED_VALUE"""),"Physical")</f>
        <v>Physical</v>
      </c>
      <c r="D321" s="190" t="str">
        <f>IFERROR(__xludf.DUMMYFUNCTION("""COMPUTED_VALUE"""),"At-Will")</f>
        <v>At-Will</v>
      </c>
      <c r="E321" s="190" t="str">
        <f>IFERROR(__xludf.DUMMYFUNCTION("""COMPUTED_VALUE"""),"Melee, 1 Target, Dash")</f>
        <v>Melee, 1 Target, Dash</v>
      </c>
      <c r="F321" s="190">
        <f>IFERROR(__xludf.DUMMYFUNCTION("""COMPUTED_VALUE"""),2.0)</f>
        <v>2</v>
      </c>
      <c r="G321" s="190">
        <f>IFERROR(__xludf.DUMMYFUNCTION("""COMPUTED_VALUE"""),4.0)</f>
        <v>4</v>
      </c>
      <c r="H321" s="191" t="str">
        <f>IFERROR(__xludf.DUMMYFUNCTION("""COMPUTED_VALUE"""),"If the Dash Keyword is Activated, increase the Slide by +2. Slide 2 (Away)")</f>
        <v>If the Dash Keyword is Activated, increase the Slide by +2. Slide 2 (Away)</v>
      </c>
      <c r="I321" s="191" t="str">
        <f>IFERROR(__xludf.DUMMYFUNCTION("""COMPUTED_VALUE"""),"--")</f>
        <v>--</v>
      </c>
      <c r="J321" s="190" t="str">
        <f>IFERROR(__xludf.DUMMYFUNCTION("""COMPUTED_VALUE"""),"Tier 1")</f>
        <v>Tier 1</v>
      </c>
      <c r="K321" s="174" t="b">
        <f>IFERROR(__xludf.DUMMYFUNCTION("""COMPUTED_VALUE"""),TRUE)</f>
        <v>1</v>
      </c>
      <c r="L321" s="174"/>
      <c r="M321" s="174"/>
      <c r="N321" s="174"/>
      <c r="O321" s="174"/>
      <c r="P321" s="174"/>
      <c r="Q321" s="174"/>
      <c r="R321" s="174"/>
      <c r="S321" s="174"/>
      <c r="T321" s="174"/>
      <c r="U321" s="174"/>
      <c r="V321" s="174"/>
      <c r="W321" s="174"/>
      <c r="X321" s="174"/>
      <c r="Y321" s="174"/>
      <c r="Z321" s="174"/>
    </row>
    <row r="322">
      <c r="A322" s="190" t="str">
        <f>IFERROR(__xludf.DUMMYFUNCTION("""COMPUTED_VALUE"""),"Dragon Force")</f>
        <v>Dragon Force</v>
      </c>
      <c r="B322" s="190" t="str">
        <f>IFERROR(__xludf.DUMMYFUNCTION("""COMPUTED_VALUE"""),"Dragon")</f>
        <v>Dragon</v>
      </c>
      <c r="C322" s="190" t="str">
        <f>IFERROR(__xludf.DUMMYFUNCTION("""COMPUTED_VALUE"""),"Status")</f>
        <v>Status</v>
      </c>
      <c r="D322" s="190" t="str">
        <f>IFERROR(__xludf.DUMMYFUNCTION("""COMPUTED_VALUE"""),"Scene x2")</f>
        <v>Scene x2</v>
      </c>
      <c r="E322" s="190" t="str">
        <f>IFERROR(__xludf.DUMMYFUNCTION("""COMPUTED_VALUE"""),"Melee, 1 Target, Versatile")</f>
        <v>Melee, 1 Target, Versatile</v>
      </c>
      <c r="F322" s="190">
        <f>IFERROR(__xludf.DUMMYFUNCTION("""COMPUTED_VALUE"""),5.0)</f>
        <v>5</v>
      </c>
      <c r="G322" s="190" t="str">
        <f>IFERROR(__xludf.DUMMYFUNCTION("""COMPUTED_VALUE"""),"--")</f>
        <v>--</v>
      </c>
      <c r="H322" s="191" t="str">
        <f>IFERROR(__xludf.DUMMYFUNCTION("""COMPUTED_VALUE"""),"The Target loses -3 CS in Defense and Special Defense and you may remove any Coats applied to them. If this Attack hits, they also become Weakened until the end of their next Turn. Spirit Surge.")</f>
        <v>The Target loses -3 CS in Defense and Special Defense and you may remove any Coats applied to them. If this Attack hits, they also become Weakened until the end of their next Turn. Spirit Surge.</v>
      </c>
      <c r="I322" s="191" t="str">
        <f>IFERROR(__xludf.DUMMYFUNCTION("""COMPUTED_VALUE"""),"The Target loses -2 CS in Defense and Special Defense and becomes Vulnerable against the next Attack to target them.")</f>
        <v>The Target loses -2 CS in Defense and Special Defense and becomes Vulnerable against the next Attack to target them.</v>
      </c>
      <c r="J322" s="190" t="str">
        <f>IFERROR(__xludf.DUMMYFUNCTION("""COMPUTED_VALUE"""),"Tier 2")</f>
        <v>Tier 2</v>
      </c>
      <c r="K322" s="174" t="b">
        <f>IFERROR(__xludf.DUMMYFUNCTION("""COMPUTED_VALUE"""),TRUE)</f>
        <v>1</v>
      </c>
      <c r="L322" s="174"/>
      <c r="M322" s="174"/>
      <c r="N322" s="174"/>
      <c r="O322" s="174"/>
      <c r="P322" s="174"/>
      <c r="Q322" s="174"/>
      <c r="R322" s="174"/>
      <c r="S322" s="174"/>
      <c r="T322" s="174"/>
      <c r="U322" s="174"/>
      <c r="V322" s="174"/>
      <c r="W322" s="174"/>
      <c r="X322" s="174"/>
      <c r="Y322" s="174"/>
      <c r="Z322" s="174"/>
    </row>
    <row r="323">
      <c r="A323" s="190" t="str">
        <f>IFERROR(__xludf.DUMMYFUNCTION("""COMPUTED_VALUE"""),"Dragon Hammer")</f>
        <v>Dragon Hammer</v>
      </c>
      <c r="B323" s="190" t="str">
        <f>IFERROR(__xludf.DUMMYFUNCTION("""COMPUTED_VALUE"""),"Dragon")</f>
        <v>Dragon</v>
      </c>
      <c r="C323" s="190" t="str">
        <f>IFERROR(__xludf.DUMMYFUNCTION("""COMPUTED_VALUE"""),"Physical")</f>
        <v>Physical</v>
      </c>
      <c r="D323" s="190" t="str">
        <f>IFERROR(__xludf.DUMMYFUNCTION("""COMPUTED_VALUE"""),"EOT")</f>
        <v>EOT</v>
      </c>
      <c r="E323" s="190" t="str">
        <f>IFERROR(__xludf.DUMMYFUNCTION("""COMPUTED_VALUE"""),"Melee, 1 Target; or Line 3")</f>
        <v>Melee, 1 Target; or Line 3</v>
      </c>
      <c r="F323" s="190">
        <f>IFERROR(__xludf.DUMMYFUNCTION("""COMPUTED_VALUE"""),6.0)</f>
        <v>6</v>
      </c>
      <c r="G323" s="190">
        <f>IFERROR(__xludf.DUMMYFUNCTION("""COMPUTED_VALUE"""),9.0)</f>
        <v>9</v>
      </c>
      <c r="H323" s="191" t="str">
        <f>IFERROR(__xludf.DUMMYFUNCTION("""COMPUTED_VALUE"""),"If the Target's size is Small, this Attack is treated as one step more Effective but cannot surpass 1.5x Effectiveness. Its Damage Effectiveness can only be increased this way once per Scene per Target. If this is used as a Melee Attack it has the Smite K"&amp;"eyword.")</f>
        <v>If the Target's size is Small, this Attack is treated as one step more Effective but cannot surpass 1.5x Effectiveness. Its Damage Effectiveness can only be increased this way once per Scene per Target. If this is used as a Melee Attack it has the Smite Keyword.</v>
      </c>
      <c r="I323" s="191" t="str">
        <f>IFERROR(__xludf.DUMMYFUNCTION("""COMPUTED_VALUE"""),"--")</f>
        <v>--</v>
      </c>
      <c r="J323" s="190" t="str">
        <f>IFERROR(__xludf.DUMMYFUNCTION("""COMPUTED_VALUE"""),"Tier 2")</f>
        <v>Tier 2</v>
      </c>
      <c r="K323" s="174" t="b">
        <f>IFERROR(__xludf.DUMMYFUNCTION("""COMPUTED_VALUE"""),TRUE)</f>
        <v>1</v>
      </c>
      <c r="L323" s="174"/>
      <c r="M323" s="174"/>
      <c r="N323" s="174"/>
      <c r="O323" s="174"/>
      <c r="P323" s="174"/>
      <c r="Q323" s="174"/>
      <c r="R323" s="174"/>
      <c r="S323" s="174"/>
      <c r="T323" s="174"/>
      <c r="U323" s="174"/>
      <c r="V323" s="174"/>
      <c r="W323" s="174"/>
      <c r="X323" s="174"/>
      <c r="Y323" s="174"/>
      <c r="Z323" s="174"/>
    </row>
    <row r="324">
      <c r="A324" s="190" t="str">
        <f>IFERROR(__xludf.DUMMYFUNCTION("""COMPUTED_VALUE"""),"Dragon Pulse")</f>
        <v>Dragon Pulse</v>
      </c>
      <c r="B324" s="190" t="str">
        <f>IFERROR(__xludf.DUMMYFUNCTION("""COMPUTED_VALUE"""),"Dragon")</f>
        <v>Dragon</v>
      </c>
      <c r="C324" s="190" t="str">
        <f>IFERROR(__xludf.DUMMYFUNCTION("""COMPUTED_VALUE"""),"Special")</f>
        <v>Special</v>
      </c>
      <c r="D324" s="190" t="str">
        <f>IFERROR(__xludf.DUMMYFUNCTION("""COMPUTED_VALUE"""),"EOT")</f>
        <v>EOT</v>
      </c>
      <c r="E324" s="190" t="str">
        <f>IFERROR(__xludf.DUMMYFUNCTION("""COMPUTED_VALUE"""),"8, 1 Target, Aura")</f>
        <v>8, 1 Target, Aura</v>
      </c>
      <c r="F324" s="190">
        <f>IFERROR(__xludf.DUMMYFUNCTION("""COMPUTED_VALUE"""),4.0)</f>
        <v>4</v>
      </c>
      <c r="G324" s="190">
        <f>IFERROR(__xludf.DUMMYFUNCTION("""COMPUTED_VALUE"""),9.0)</f>
        <v>9</v>
      </c>
      <c r="H324" s="191" t="str">
        <f>IFERROR(__xludf.DUMMYFUNCTION("""COMPUTED_VALUE"""),"If the Target has negative CS in Special Defense this Attack is treated as one step more Effective but cannot surpass 1.5x Effectiveness. Its Damage Effectiveness can only be increased this way once per Scene per Target.")</f>
        <v>If the Target has negative CS in Special Defense this Attack is treated as one step more Effective but cannot surpass 1.5x Effectiveness. Its Damage Effectiveness can only be increased this way once per Scene per Target.</v>
      </c>
      <c r="I324" s="191" t="str">
        <f>IFERROR(__xludf.DUMMYFUNCTION("""COMPUTED_VALUE"""),"--")</f>
        <v>--</v>
      </c>
      <c r="J324" s="190" t="str">
        <f>IFERROR(__xludf.DUMMYFUNCTION("""COMPUTED_VALUE"""),"Tier 2")</f>
        <v>Tier 2</v>
      </c>
      <c r="K324" s="174" t="b">
        <f>IFERROR(__xludf.DUMMYFUNCTION("""COMPUTED_VALUE"""),TRUE)</f>
        <v>1</v>
      </c>
      <c r="L324" s="174"/>
      <c r="M324" s="174"/>
      <c r="N324" s="174"/>
      <c r="O324" s="174"/>
      <c r="P324" s="174"/>
      <c r="Q324" s="174"/>
      <c r="R324" s="174"/>
      <c r="S324" s="174"/>
      <c r="T324" s="174"/>
      <c r="U324" s="174"/>
      <c r="V324" s="174"/>
      <c r="W324" s="174"/>
      <c r="X324" s="174"/>
      <c r="Y324" s="174"/>
      <c r="Z324" s="174"/>
    </row>
    <row r="325">
      <c r="A325" s="190" t="str">
        <f>IFERROR(__xludf.DUMMYFUNCTION("""COMPUTED_VALUE"""),"Dragon Rage")</f>
        <v>Dragon Rage</v>
      </c>
      <c r="B325" s="190" t="str">
        <f>IFERROR(__xludf.DUMMYFUNCTION("""COMPUTED_VALUE"""),"Dragon")</f>
        <v>Dragon</v>
      </c>
      <c r="C325" s="190" t="str">
        <f>IFERROR(__xludf.DUMMYFUNCTION("""COMPUTED_VALUE"""),"Status")</f>
        <v>Status</v>
      </c>
      <c r="D325" s="190" t="str">
        <f>IFERROR(__xludf.DUMMYFUNCTION("""COMPUTED_VALUE"""),"EOT")</f>
        <v>EOT</v>
      </c>
      <c r="E325" s="190" t="str">
        <f>IFERROR(__xludf.DUMMYFUNCTION("""COMPUTED_VALUE"""),"Self, Swift Action")</f>
        <v>Self, Swift Action</v>
      </c>
      <c r="F325" s="190" t="str">
        <f>IFERROR(__xludf.DUMMYFUNCTION("""COMPUTED_VALUE"""),"--")</f>
        <v>--</v>
      </c>
      <c r="G325" s="190" t="str">
        <f>IFERROR(__xludf.DUMMYFUNCTION("""COMPUTED_VALUE"""),"--")</f>
        <v>--</v>
      </c>
      <c r="H325" s="191" t="str">
        <f>IFERROR(__xludf.DUMMYFUNCTION("""COMPUTED_VALUE"""),"The user becomes Enraged. If the user is already Enraged, their next Damaging Attack gains the Smite Keyword. This may be used even if the user is Enraged, ignoring its effects. ")</f>
        <v>The user becomes Enraged. If the user is already Enraged, their next Damaging Attack gains the Smite Keyword. This may be used even if the user is Enraged, ignoring its effects. </v>
      </c>
      <c r="I325" s="191" t="str">
        <f>IFERROR(__xludf.DUMMYFUNCTION("""COMPUTED_VALUE"""),"--")</f>
        <v>--</v>
      </c>
      <c r="J325" s="190" t="str">
        <f>IFERROR(__xludf.DUMMYFUNCTION("""COMPUTED_VALUE"""),"Tier 1")</f>
        <v>Tier 1</v>
      </c>
      <c r="K325" s="174" t="b">
        <f>IFERROR(__xludf.DUMMYFUNCTION("""COMPUTED_VALUE"""),TRUE)</f>
        <v>1</v>
      </c>
      <c r="L325" s="174"/>
      <c r="M325" s="174"/>
      <c r="N325" s="174"/>
      <c r="O325" s="174"/>
      <c r="P325" s="174"/>
      <c r="Q325" s="174"/>
      <c r="R325" s="174"/>
      <c r="S325" s="174"/>
      <c r="T325" s="174"/>
      <c r="U325" s="174"/>
      <c r="V325" s="174"/>
      <c r="W325" s="174"/>
      <c r="X325" s="174"/>
      <c r="Y325" s="174"/>
      <c r="Z325" s="174"/>
    </row>
    <row r="326">
      <c r="A326" s="190" t="str">
        <f>IFERROR(__xludf.DUMMYFUNCTION("""COMPUTED_VALUE"""),"Dragon Rush")</f>
        <v>Dragon Rush</v>
      </c>
      <c r="B326" s="190" t="str">
        <f>IFERROR(__xludf.DUMMYFUNCTION("""COMPUTED_VALUE"""),"Dragon")</f>
        <v>Dragon</v>
      </c>
      <c r="C326" s="190" t="str">
        <f>IFERROR(__xludf.DUMMYFUNCTION("""COMPUTED_VALUE"""),"Physical")</f>
        <v>Physical</v>
      </c>
      <c r="D326" s="190" t="str">
        <f>IFERROR(__xludf.DUMMYFUNCTION("""COMPUTED_VALUE"""),"Scene x2")</f>
        <v>Scene x2</v>
      </c>
      <c r="E326" s="190" t="str">
        <f>IFERROR(__xludf.DUMMYFUNCTION("""COMPUTED_VALUE"""),"Melee, 1 Target, Dash")</f>
        <v>Melee, 1 Target, Dash</v>
      </c>
      <c r="F326" s="190">
        <f>IFERROR(__xludf.DUMMYFUNCTION("""COMPUTED_VALUE"""),3.0)</f>
        <v>3</v>
      </c>
      <c r="G326" s="190">
        <f>IFERROR(__xludf.DUMMYFUNCTION("""COMPUTED_VALUE"""),10.0)</f>
        <v>10</v>
      </c>
      <c r="H326" s="191" t="str">
        <f>IFERROR(__xludf.DUMMYFUNCTION("""COMPUTED_VALUE"""),"If the Dash Keyword is Activated, this Attack ignores Positive CS in Defense. Slide 3 (Away), Smite.")</f>
        <v>If the Dash Keyword is Activated, this Attack ignores Positive CS in Defense. Slide 3 (Away), Smite.</v>
      </c>
      <c r="I326" s="191" t="str">
        <f>IFERROR(__xludf.DUMMYFUNCTION("""COMPUTED_VALUE"""),"--")</f>
        <v>--</v>
      </c>
      <c r="J326" s="190" t="str">
        <f>IFERROR(__xludf.DUMMYFUNCTION("""COMPUTED_VALUE"""),"Tier 3")</f>
        <v>Tier 3</v>
      </c>
      <c r="K326" s="174" t="b">
        <f>IFERROR(__xludf.DUMMYFUNCTION("""COMPUTED_VALUE"""),TRUE)</f>
        <v>1</v>
      </c>
      <c r="L326" s="174"/>
      <c r="M326" s="174"/>
      <c r="N326" s="174"/>
      <c r="O326" s="174"/>
      <c r="P326" s="174"/>
      <c r="Q326" s="174"/>
      <c r="R326" s="174"/>
      <c r="S326" s="174"/>
      <c r="T326" s="174"/>
      <c r="U326" s="174"/>
      <c r="V326" s="174"/>
      <c r="W326" s="174"/>
      <c r="X326" s="174"/>
      <c r="Y326" s="174"/>
      <c r="Z326" s="174"/>
    </row>
    <row r="327">
      <c r="A327" s="190" t="str">
        <f>IFERROR(__xludf.DUMMYFUNCTION("""COMPUTED_VALUE"""),"Dragon Spirit")</f>
        <v>Dragon Spirit</v>
      </c>
      <c r="B327" s="190" t="str">
        <f>IFERROR(__xludf.DUMMYFUNCTION("""COMPUTED_VALUE"""),"Dragon")</f>
        <v>Dragon</v>
      </c>
      <c r="C327" s="190" t="str">
        <f>IFERROR(__xludf.DUMMYFUNCTION("""COMPUTED_VALUE"""),"Status")</f>
        <v>Status</v>
      </c>
      <c r="D327" s="190" t="str">
        <f>IFERROR(__xludf.DUMMYFUNCTION("""COMPUTED_VALUE"""),"At-Will")</f>
        <v>At-Will</v>
      </c>
      <c r="E327" s="190" t="str">
        <f>IFERROR(__xludf.DUMMYFUNCTION("""COMPUTED_VALUE"""),"Self, Versatile")</f>
        <v>Self, Versatile</v>
      </c>
      <c r="F327" s="190" t="str">
        <f>IFERROR(__xludf.DUMMYFUNCTION("""COMPUTED_VALUE"""),"--")</f>
        <v>--</v>
      </c>
      <c r="G327" s="190" t="str">
        <f>IFERROR(__xludf.DUMMYFUNCTION("""COMPUTED_VALUE"""),"--")</f>
        <v>--</v>
      </c>
      <c r="H327" s="191" t="str">
        <f>IFERROR(__xludf.DUMMYFUNCTION("""COMPUTED_VALUE"""),"The user gains +2 CS in Special Attack. The user is cured of one Mental Affliction.")</f>
        <v>The user gains +2 CS in Special Attack. The user is cured of one Mental Affliction.</v>
      </c>
      <c r="I327" s="191" t="str">
        <f>IFERROR(__xludf.DUMMYFUNCTION("""COMPUTED_VALUE"""),"If the user is affected by a Mental Affliction, they pass their next Save Check, regardless of the result.")</f>
        <v>If the user is affected by a Mental Affliction, they pass their next Save Check, regardless of the result.</v>
      </c>
      <c r="J327" s="190" t="str">
        <f>IFERROR(__xludf.DUMMYFUNCTION("""COMPUTED_VALUE"""),"Tier 1")</f>
        <v>Tier 1</v>
      </c>
      <c r="K327" s="174" t="b">
        <f>IFERROR(__xludf.DUMMYFUNCTION("""COMPUTED_VALUE"""),TRUE)</f>
        <v>1</v>
      </c>
      <c r="L327" s="174"/>
      <c r="M327" s="174"/>
      <c r="N327" s="174"/>
      <c r="O327" s="174"/>
      <c r="P327" s="174"/>
      <c r="Q327" s="174"/>
      <c r="R327" s="174"/>
      <c r="S327" s="174"/>
      <c r="T327" s="174"/>
      <c r="U327" s="174"/>
      <c r="V327" s="174"/>
      <c r="W327" s="174"/>
      <c r="X327" s="174"/>
      <c r="Y327" s="174"/>
      <c r="Z327" s="174"/>
    </row>
    <row r="328">
      <c r="A328" s="190" t="str">
        <f>IFERROR(__xludf.DUMMYFUNCTION("""COMPUTED_VALUE"""),"Dragon Tail")</f>
        <v>Dragon Tail</v>
      </c>
      <c r="B328" s="190" t="str">
        <f>IFERROR(__xludf.DUMMYFUNCTION("""COMPUTED_VALUE"""),"Dragon")</f>
        <v>Dragon</v>
      </c>
      <c r="C328" s="190" t="str">
        <f>IFERROR(__xludf.DUMMYFUNCTION("""COMPUTED_VALUE"""),"Physical")</f>
        <v>Physical</v>
      </c>
      <c r="D328" s="190" t="str">
        <f>IFERROR(__xludf.DUMMYFUNCTION("""COMPUTED_VALUE"""),"EOT")</f>
        <v>EOT</v>
      </c>
      <c r="E328" s="190" t="str">
        <f>IFERROR(__xludf.DUMMYFUNCTION("""COMPUTED_VALUE"""),"Melee, 1 Target")</f>
        <v>Melee, 1 Target</v>
      </c>
      <c r="F328" s="190">
        <f>IFERROR(__xludf.DUMMYFUNCTION("""COMPUTED_VALUE"""),3.0)</f>
        <v>3</v>
      </c>
      <c r="G328" s="190">
        <f>IFERROR(__xludf.DUMMYFUNCTION("""COMPUTED_VALUE"""),7.0)</f>
        <v>7</v>
      </c>
      <c r="H328" s="191" t="str">
        <f>IFERROR(__xludf.DUMMYFUNCTION("""COMPUTED_VALUE"""),"You may perform a Trip Maneuver against the Target as a Free Action. The Maneuver automatically hits but you still need to perform the Opposed Check. ")</f>
        <v>You may perform a Trip Maneuver against the Target as a Free Action. The Maneuver automatically hits but you still need to perform the Opposed Check. </v>
      </c>
      <c r="I328" s="191" t="str">
        <f>IFERROR(__xludf.DUMMYFUNCTION("""COMPUTED_VALUE"""),"--")</f>
        <v>--</v>
      </c>
      <c r="J328" s="190" t="str">
        <f>IFERROR(__xludf.DUMMYFUNCTION("""COMPUTED_VALUE"""),"Tier 1")</f>
        <v>Tier 1</v>
      </c>
      <c r="K328" s="174" t="b">
        <f>IFERROR(__xludf.DUMMYFUNCTION("""COMPUTED_VALUE"""),TRUE)</f>
        <v>1</v>
      </c>
      <c r="L328" s="174"/>
      <c r="M328" s="174"/>
      <c r="N328" s="174"/>
      <c r="O328" s="174"/>
      <c r="P328" s="174"/>
      <c r="Q328" s="174"/>
      <c r="R328" s="174"/>
      <c r="S328" s="174"/>
      <c r="T328" s="174"/>
      <c r="U328" s="174"/>
      <c r="V328" s="174"/>
      <c r="W328" s="174"/>
      <c r="X328" s="174"/>
      <c r="Y328" s="174"/>
      <c r="Z328" s="174"/>
    </row>
    <row r="329">
      <c r="A329" s="190" t="str">
        <f>IFERROR(__xludf.DUMMYFUNCTION("""COMPUTED_VALUE"""),"Dual Chop")</f>
        <v>Dual Chop</v>
      </c>
      <c r="B329" s="190" t="str">
        <f>IFERROR(__xludf.DUMMYFUNCTION("""COMPUTED_VALUE"""),"Dragon")</f>
        <v>Dragon</v>
      </c>
      <c r="C329" s="190" t="str">
        <f>IFERROR(__xludf.DUMMYFUNCTION("""COMPUTED_VALUE"""),"Physical")</f>
        <v>Physical</v>
      </c>
      <c r="D329" s="190" t="str">
        <f>IFERROR(__xludf.DUMMYFUNCTION("""COMPUTED_VALUE"""),"EOT")</f>
        <v>EOT</v>
      </c>
      <c r="E329" s="190" t="str">
        <f>IFERROR(__xludf.DUMMYFUNCTION("""COMPUTED_VALUE"""),"Melee, 1 Target")</f>
        <v>Melee, 1 Target</v>
      </c>
      <c r="F329" s="190">
        <f>IFERROR(__xludf.DUMMYFUNCTION("""COMPUTED_VALUE"""),3.0)</f>
        <v>3</v>
      </c>
      <c r="G329" s="190">
        <f>IFERROR(__xludf.DUMMYFUNCTION("""COMPUTED_VALUE"""),5.0)</f>
        <v>5</v>
      </c>
      <c r="H329" s="191" t="str">
        <f>IFERROR(__xludf.DUMMYFUNCTION("""COMPUTED_VALUE"""),"Double Strike. ")</f>
        <v>Double Strike. </v>
      </c>
      <c r="I329" s="191" t="str">
        <f>IFERROR(__xludf.DUMMYFUNCTION("""COMPUTED_VALUE"""),"--")</f>
        <v>--</v>
      </c>
      <c r="J329" s="190" t="str">
        <f>IFERROR(__xludf.DUMMYFUNCTION("""COMPUTED_VALUE"""),"Tier 1")</f>
        <v>Tier 1</v>
      </c>
      <c r="K329" s="174" t="b">
        <f>IFERROR(__xludf.DUMMYFUNCTION("""COMPUTED_VALUE"""),TRUE)</f>
        <v>1</v>
      </c>
      <c r="L329" s="174"/>
      <c r="M329" s="174"/>
      <c r="N329" s="174"/>
      <c r="O329" s="174"/>
      <c r="P329" s="174"/>
      <c r="Q329" s="174"/>
      <c r="R329" s="174"/>
      <c r="S329" s="174"/>
      <c r="T329" s="174"/>
      <c r="U329" s="174"/>
      <c r="V329" s="174"/>
      <c r="W329" s="174"/>
      <c r="X329" s="174"/>
      <c r="Y329" s="174"/>
      <c r="Z329" s="174"/>
    </row>
    <row r="330">
      <c r="A330" s="190" t="str">
        <f>IFERROR(__xludf.DUMMYFUNCTION("""COMPUTED_VALUE"""),"Fickle Beam")</f>
        <v>Fickle Beam</v>
      </c>
      <c r="B330" s="190" t="str">
        <f>IFERROR(__xludf.DUMMYFUNCTION("""COMPUTED_VALUE"""),"Dragon")</f>
        <v>Dragon</v>
      </c>
      <c r="C330" s="190" t="str">
        <f>IFERROR(__xludf.DUMMYFUNCTION("""COMPUTED_VALUE"""),"Special")</f>
        <v>Special</v>
      </c>
      <c r="D330" s="190" t="str">
        <f>IFERROR(__xludf.DUMMYFUNCTION("""COMPUTED_VALUE"""),"Scene x2")</f>
        <v>Scene x2</v>
      </c>
      <c r="E330" s="190" t="str">
        <f>IFERROR(__xludf.DUMMYFUNCTION("""COMPUTED_VALUE"""),"6, 1 Target or 6, 3 Targets")</f>
        <v>6, 1 Target or 6, 3 Targets</v>
      </c>
      <c r="F330" s="190">
        <f>IFERROR(__xludf.DUMMYFUNCTION("""COMPUTED_VALUE"""),7.0)</f>
        <v>7</v>
      </c>
      <c r="G330" s="190">
        <f>IFERROR(__xludf.DUMMYFUNCTION("""COMPUTED_VALUE"""),6.0)</f>
        <v>6</v>
      </c>
      <c r="H330" s="191" t="str">
        <f>IFERROR(__xludf.DUMMYFUNCTION("""COMPUTED_VALUE"""),"If this Attack has only one Target, it has the Five Strike Keyword and an AC of 4.")</f>
        <v>If this Attack has only one Target, it has the Five Strike Keyword and an AC of 4.</v>
      </c>
      <c r="I330" s="191"/>
      <c r="J330" s="190" t="str">
        <f>IFERROR(__xludf.DUMMYFUNCTION("""COMPUTED_VALUE"""),"Tier 2")</f>
        <v>Tier 2</v>
      </c>
      <c r="K330" s="174" t="b">
        <f>IFERROR(__xludf.DUMMYFUNCTION("""COMPUTED_VALUE"""),TRUE)</f>
        <v>1</v>
      </c>
      <c r="L330" s="174"/>
      <c r="M330" s="174"/>
      <c r="N330" s="174"/>
      <c r="O330" s="174"/>
      <c r="P330" s="174"/>
      <c r="Q330" s="174"/>
      <c r="R330" s="174"/>
      <c r="S330" s="174"/>
      <c r="T330" s="174"/>
      <c r="U330" s="174"/>
      <c r="V330" s="174"/>
      <c r="W330" s="174"/>
      <c r="X330" s="174"/>
      <c r="Y330" s="174"/>
      <c r="Z330" s="174"/>
    </row>
    <row r="331">
      <c r="A331" s="190" t="str">
        <f>IFERROR(__xludf.DUMMYFUNCTION("""COMPUTED_VALUE"""),"Glaive Rush")</f>
        <v>Glaive Rush</v>
      </c>
      <c r="B331" s="190" t="str">
        <f>IFERROR(__xludf.DUMMYFUNCTION("""COMPUTED_VALUE"""),"Dragon")</f>
        <v>Dragon</v>
      </c>
      <c r="C331" s="190" t="str">
        <f>IFERROR(__xludf.DUMMYFUNCTION("""COMPUTED_VALUE"""),"Physical")</f>
        <v>Physical</v>
      </c>
      <c r="D331" s="190" t="str">
        <f>IFERROR(__xludf.DUMMYFUNCTION("""COMPUTED_VALUE"""),"Scene x2")</f>
        <v>Scene x2</v>
      </c>
      <c r="E331" s="190" t="str">
        <f>IFERROR(__xludf.DUMMYFUNCTION("""COMPUTED_VALUE"""),"Melee, Pass, Dash, Reckless")</f>
        <v>Melee, Pass, Dash, Reckless</v>
      </c>
      <c r="F331" s="190">
        <f>IFERROR(__xludf.DUMMYFUNCTION("""COMPUTED_VALUE"""),5.0)</f>
        <v>5</v>
      </c>
      <c r="G331" s="190">
        <f>IFERROR(__xludf.DUMMYFUNCTION("""COMPUTED_VALUE"""),12.0)</f>
        <v>12</v>
      </c>
      <c r="H331" s="191" t="str">
        <f>IFERROR(__xludf.DUMMYFUNCTION("""COMPUTED_VALUE"""),"On a roll of 15+, the Target becomes Wounded. After Damage Resolution, if the Dash Keyword wasn't Activated, the user is Vulnerable against the next Attack to target them.")</f>
        <v>On a roll of 15+, the Target becomes Wounded. After Damage Resolution, if the Dash Keyword wasn't Activated, the user is Vulnerable against the next Attack to target them.</v>
      </c>
      <c r="I331" s="191" t="str">
        <f>IFERROR(__xludf.DUMMYFUNCTION("""COMPUTED_VALUE"""),"--")</f>
        <v>--</v>
      </c>
      <c r="J331" s="190" t="str">
        <f>IFERROR(__xludf.DUMMYFUNCTION("""COMPUTED_VALUE"""),"Tier 3")</f>
        <v>Tier 3</v>
      </c>
      <c r="K331" s="174" t="b">
        <f>IFERROR(__xludf.DUMMYFUNCTION("""COMPUTED_VALUE"""),TRUE)</f>
        <v>1</v>
      </c>
      <c r="L331" s="174"/>
      <c r="M331" s="174"/>
      <c r="N331" s="174"/>
      <c r="O331" s="174"/>
      <c r="P331" s="174"/>
      <c r="Q331" s="174"/>
      <c r="R331" s="174"/>
      <c r="S331" s="174"/>
      <c r="T331" s="174"/>
      <c r="U331" s="174"/>
      <c r="V331" s="174"/>
      <c r="W331" s="174"/>
      <c r="X331" s="174"/>
      <c r="Y331" s="174"/>
      <c r="Z331" s="174"/>
    </row>
    <row r="332">
      <c r="A332" s="190" t="str">
        <f>IFERROR(__xludf.DUMMYFUNCTION("""COMPUTED_VALUE"""),"Imposing Stare")</f>
        <v>Imposing Stare</v>
      </c>
      <c r="B332" s="190" t="str">
        <f>IFERROR(__xludf.DUMMYFUNCTION("""COMPUTED_VALUE"""),"Dragon")</f>
        <v>Dragon</v>
      </c>
      <c r="C332" s="190" t="str">
        <f>IFERROR(__xludf.DUMMYFUNCTION("""COMPUTED_VALUE"""),"Status")</f>
        <v>Status</v>
      </c>
      <c r="D332" s="190" t="str">
        <f>IFERROR(__xludf.DUMMYFUNCTION("""COMPUTED_VALUE"""),"Scene x2")</f>
        <v>Scene x2</v>
      </c>
      <c r="E332" s="190" t="str">
        <f>IFERROR(__xludf.DUMMYFUNCTION("""COMPUTED_VALUE"""),"Close Blast 3, Social, Versatile")</f>
        <v>Close Blast 3, Social, Versatile</v>
      </c>
      <c r="F332" s="190" t="str">
        <f>IFERROR(__xludf.DUMMYFUNCTION("""COMPUTED_VALUE"""),"--")</f>
        <v>--</v>
      </c>
      <c r="G332" s="190" t="str">
        <f>IFERROR(__xludf.DUMMYFUNCTION("""COMPUTED_VALUE"""),"--")</f>
        <v>--</v>
      </c>
      <c r="H332" s="191" t="str">
        <f>IFERROR(__xludf.DUMMYFUNCTION("""COMPUTED_VALUE"""),"The user may perform a Terrorize Maneuver against all Targets as a Free Action. When used this way, the AC becomes 2. All Targets who fail the Opposed Check also become Trapped and during their next Turn their Damaging Attacks are resisted by an additiona"&amp;"l damage step. Friendly, Sureshot.")</f>
        <v>The user may perform a Terrorize Maneuver against all Targets as a Free Action. When used this way, the AC becomes 2. All Targets who fail the Opposed Check also become Trapped and during their next Turn their Damaging Attacks are resisted by an additional damage step. Friendly, Sureshot.</v>
      </c>
      <c r="I332" s="191" t="str">
        <f>IFERROR(__xludf.DUMMYFUNCTION("""COMPUTED_VALUE"""),"All Legal Targets become Trapped. Friendly, Sureshot. ")</f>
        <v>All Legal Targets become Trapped. Friendly, Sureshot. </v>
      </c>
      <c r="J332" s="190" t="str">
        <f>IFERROR(__xludf.DUMMYFUNCTION("""COMPUTED_VALUE"""),"Tier 2")</f>
        <v>Tier 2</v>
      </c>
      <c r="K332" s="174" t="b">
        <f>IFERROR(__xludf.DUMMYFUNCTION("""COMPUTED_VALUE"""),TRUE)</f>
        <v>1</v>
      </c>
      <c r="L332" s="174"/>
      <c r="M332" s="174"/>
      <c r="N332" s="174"/>
      <c r="O332" s="174"/>
      <c r="P332" s="174"/>
      <c r="Q332" s="174"/>
      <c r="R332" s="174"/>
      <c r="S332" s="174"/>
      <c r="T332" s="174"/>
      <c r="U332" s="174"/>
      <c r="V332" s="174"/>
      <c r="W332" s="174"/>
      <c r="X332" s="174"/>
      <c r="Y332" s="174"/>
      <c r="Z332" s="174"/>
    </row>
    <row r="333">
      <c r="A333" s="190" t="str">
        <f>IFERROR(__xludf.DUMMYFUNCTION("""COMPUTED_VALUE"""),"Mystic Aura")</f>
        <v>Mystic Aura</v>
      </c>
      <c r="B333" s="190" t="str">
        <f>IFERROR(__xludf.DUMMYFUNCTION("""COMPUTED_VALUE"""),"Dragon")</f>
        <v>Dragon</v>
      </c>
      <c r="C333" s="190" t="str">
        <f>IFERROR(__xludf.DUMMYFUNCTION("""COMPUTED_VALUE"""),"Special")</f>
        <v>Special</v>
      </c>
      <c r="D333" s="190" t="str">
        <f>IFERROR(__xludf.DUMMYFUNCTION("""COMPUTED_VALUE"""),"Scene x2")</f>
        <v>Scene x2</v>
      </c>
      <c r="E333" s="190" t="str">
        <f>IFERROR(__xludf.DUMMYFUNCTION("""COMPUTED_VALUE"""),"Burst 1, Aura")</f>
        <v>Burst 1, Aura</v>
      </c>
      <c r="F333" s="190">
        <f>IFERROR(__xludf.DUMMYFUNCTION("""COMPUTED_VALUE"""),5.0)</f>
        <v>5</v>
      </c>
      <c r="G333" s="190">
        <f>IFERROR(__xludf.DUMMYFUNCTION("""COMPUTED_VALUE"""),9.0)</f>
        <v>9</v>
      </c>
      <c r="H333" s="191" t="str">
        <f>IFERROR(__xludf.DUMMYFUNCTION("""COMPUTED_VALUE"""),"This Attack does not damage allies. All allies within a Burst 3 of the user gain a +3 bonus to their next Save Check. If the Weather is Mystical, this has the Sureshot Keyword.")</f>
        <v>This Attack does not damage allies. All allies within a Burst 3 of the user gain a +3 bonus to their next Save Check. If the Weather is Mystical, this has the Sureshot Keyword.</v>
      </c>
      <c r="I333" s="191" t="str">
        <f>IFERROR(__xludf.DUMMYFUNCTION("""COMPUTED_VALUE"""),"--")</f>
        <v>--</v>
      </c>
      <c r="J333" s="190" t="str">
        <f>IFERROR(__xludf.DUMMYFUNCTION("""COMPUTED_VALUE"""),"Tier 2")</f>
        <v>Tier 2</v>
      </c>
      <c r="K333" s="174" t="b">
        <f>IFERROR(__xludf.DUMMYFUNCTION("""COMPUTED_VALUE"""),TRUE)</f>
        <v>1</v>
      </c>
      <c r="L333" s="174"/>
      <c r="M333" s="174"/>
      <c r="N333" s="174"/>
      <c r="O333" s="174"/>
      <c r="P333" s="174"/>
      <c r="Q333" s="174"/>
      <c r="R333" s="174"/>
      <c r="S333" s="174"/>
      <c r="T333" s="174"/>
      <c r="U333" s="174"/>
      <c r="V333" s="174"/>
      <c r="W333" s="174"/>
      <c r="X333" s="174"/>
      <c r="Y333" s="174"/>
      <c r="Z333" s="174"/>
    </row>
    <row r="334">
      <c r="A334" s="190" t="str">
        <f>IFERROR(__xludf.DUMMYFUNCTION("""COMPUTED_VALUE"""),"Outrage")</f>
        <v>Outrage</v>
      </c>
      <c r="B334" s="190" t="str">
        <f>IFERROR(__xludf.DUMMYFUNCTION("""COMPUTED_VALUE"""),"Dragon")</f>
        <v>Dragon</v>
      </c>
      <c r="C334" s="190" t="str">
        <f>IFERROR(__xludf.DUMMYFUNCTION("""COMPUTED_VALUE"""),"Physical")</f>
        <v>Physical</v>
      </c>
      <c r="D334" s="190" t="str">
        <f>IFERROR(__xludf.DUMMYFUNCTION("""COMPUTED_VALUE"""),"Scene x2")</f>
        <v>Scene x2</v>
      </c>
      <c r="E334" s="190" t="str">
        <f>IFERROR(__xludf.DUMMYFUNCTION("""COMPUTED_VALUE"""),"Melee, All Adjacent Enemies, Full Action, Reckless")</f>
        <v>Melee, All Adjacent Enemies, Full Action, Reckless</v>
      </c>
      <c r="F334" s="190">
        <f>IFERROR(__xludf.DUMMYFUNCTION("""COMPUTED_VALUE"""),6.0)</f>
        <v>6</v>
      </c>
      <c r="G334" s="190">
        <f>IFERROR(__xludf.DUMMYFUNCTION("""COMPUTED_VALUE"""),12.0)</f>
        <v>12</v>
      </c>
      <c r="H334" s="191" t="str">
        <f>IFERROR(__xludf.DUMMYFUNCTION("""COMPUTED_VALUE"""),"After Damage Calculations the user becomes Enraged. If the user was Provoked by one of the Targets, this Attack is one more step Effective against them. Smite")</f>
        <v>After Damage Calculations the user becomes Enraged. If the user was Provoked by one of the Targets, this Attack is one more step Effective against them. Smite</v>
      </c>
      <c r="I334" s="191" t="str">
        <f>IFERROR(__xludf.DUMMYFUNCTION("""COMPUTED_VALUE"""),"--")</f>
        <v>--</v>
      </c>
      <c r="J334" s="190" t="str">
        <f>IFERROR(__xludf.DUMMYFUNCTION("""COMPUTED_VALUE"""),"Tier 3")</f>
        <v>Tier 3</v>
      </c>
      <c r="K334" s="174" t="b">
        <f>IFERROR(__xludf.DUMMYFUNCTION("""COMPUTED_VALUE"""),TRUE)</f>
        <v>1</v>
      </c>
      <c r="L334" s="174"/>
      <c r="M334" s="174"/>
      <c r="N334" s="174"/>
      <c r="O334" s="174"/>
      <c r="P334" s="174"/>
      <c r="Q334" s="174"/>
      <c r="R334" s="174"/>
      <c r="S334" s="174"/>
      <c r="T334" s="174"/>
      <c r="U334" s="174"/>
      <c r="V334" s="174"/>
      <c r="W334" s="174"/>
      <c r="X334" s="174"/>
      <c r="Y334" s="174"/>
      <c r="Z334" s="174"/>
    </row>
    <row r="335">
      <c r="A335" s="190" t="str">
        <f>IFERROR(__xludf.DUMMYFUNCTION("""COMPUTED_VALUE"""),"Primal Storm")</f>
        <v>Primal Storm</v>
      </c>
      <c r="B335" s="190" t="str">
        <f>IFERROR(__xludf.DUMMYFUNCTION("""COMPUTED_VALUE"""),"Dragon")</f>
        <v>Dragon</v>
      </c>
      <c r="C335" s="190" t="str">
        <f>IFERROR(__xludf.DUMMYFUNCTION("""COMPUTED_VALUE"""),"Status")</f>
        <v>Status</v>
      </c>
      <c r="D335" s="190" t="str">
        <f>IFERROR(__xludf.DUMMYFUNCTION("""COMPUTED_VALUE"""),"Scene x2")</f>
        <v>Scene x2</v>
      </c>
      <c r="E335" s="190" t="str">
        <f>IFERROR(__xludf.DUMMYFUNCTION("""COMPUTED_VALUE"""),"Field, Versatile")</f>
        <v>Field, Versatile</v>
      </c>
      <c r="F335" s="190" t="str">
        <f>IFERROR(__xludf.DUMMYFUNCTION("""COMPUTED_VALUE"""),"--")</f>
        <v>--</v>
      </c>
      <c r="G335" s="190" t="str">
        <f>IFERROR(__xludf.DUMMYFUNCTION("""COMPUTED_VALUE"""),"--")</f>
        <v>--</v>
      </c>
      <c r="H335" s="191" t="str">
        <f>IFERROR(__xludf.DUMMYFUNCTION("""COMPUTED_VALUE"""),"The Field becomes Primal for the next 5 Rounds. While the Field is Primal, non Dragon Type Enemies lose a Tick of Hit Points at the start of their Turn and Dargon Type Pokemon gain a Tick of Temporary Hit Points at the start of their Turn.")</f>
        <v>The Field becomes Primal for the next 5 Rounds. While the Field is Primal, non Dragon Type Enemies lose a Tick of Hit Points at the start of their Turn and Dargon Type Pokemon gain a Tick of Temporary Hit Points at the start of their Turn.</v>
      </c>
      <c r="I335"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35" s="190" t="str">
        <f>IFERROR(__xludf.DUMMYFUNCTION("""COMPUTED_VALUE"""),"Tier 2")</f>
        <v>Tier 2</v>
      </c>
      <c r="K335" s="174" t="b">
        <f>IFERROR(__xludf.DUMMYFUNCTION("""COMPUTED_VALUE"""),TRUE)</f>
        <v>1</v>
      </c>
      <c r="L335" s="174"/>
      <c r="M335" s="174"/>
      <c r="N335" s="174"/>
      <c r="O335" s="174"/>
      <c r="P335" s="174"/>
      <c r="Q335" s="174"/>
      <c r="R335" s="174"/>
      <c r="S335" s="174"/>
      <c r="T335" s="174"/>
      <c r="U335" s="174"/>
      <c r="V335" s="174"/>
      <c r="W335" s="174"/>
      <c r="X335" s="174"/>
      <c r="Y335" s="174"/>
      <c r="Z335" s="174"/>
    </row>
    <row r="336">
      <c r="A336" s="190" t="str">
        <f>IFERROR(__xludf.DUMMYFUNCTION("""COMPUTED_VALUE"""),"Primal Energy")</f>
        <v>Primal Energy</v>
      </c>
      <c r="B336" s="190" t="str">
        <f>IFERROR(__xludf.DUMMYFUNCTION("""COMPUTED_VALUE"""),"Dragon")</f>
        <v>Dragon</v>
      </c>
      <c r="C336" s="190" t="str">
        <f>IFERROR(__xludf.DUMMYFUNCTION("""COMPUTED_VALUE"""),"Status")</f>
        <v>Status</v>
      </c>
      <c r="D336" s="190" t="str">
        <f>IFERROR(__xludf.DUMMYFUNCTION("""COMPUTED_VALUE"""),"Scene x2")</f>
        <v>Scene x2</v>
      </c>
      <c r="E336" s="190" t="str">
        <f>IFERROR(__xludf.DUMMYFUNCTION("""COMPUTED_VALUE"""),"Burst 1 or Self; Set-Up")</f>
        <v>Burst 1 or Self; Set-Up</v>
      </c>
      <c r="F336" s="190" t="str">
        <f>IFERROR(__xludf.DUMMYFUNCTION("""COMPUTED_VALUE"""),"--")</f>
        <v>--</v>
      </c>
      <c r="G336" s="190" t="str">
        <f>IFERROR(__xludf.DUMMYFUNCTION("""COMPUTED_VALUE"""),"--")</f>
        <v>--</v>
      </c>
      <c r="H336" s="191" t="str">
        <f>IFERROR(__xludf.DUMMYFUNCTION("""COMPUTED_VALUE"""),"Charge Effect: At the end of your Turn if you didn’t use a Damaging Attack, gain an additional Charge Token
Resolution Effect: For each Charge Token expended, choose a Target to gain +1 CS in a Stat of your choice. You cannot choose the same Target more t"&amp;"han twice unless the only Target is the user. ")</f>
        <v>Charge Effect: At the end of your Turn if you didn’t use a Damaging Attack, gain an additional Charge Token
Resolution Effect: For each Charge Token expended, choose a Target to gain +1 CS in a Stat of your choice. You cannot choose the same Target more than twice unless the only Target is the user. </v>
      </c>
      <c r="I336" s="191" t="str">
        <f>IFERROR(__xludf.DUMMYFUNCTION("""COMPUTED_VALUE"""),"--")</f>
        <v>--</v>
      </c>
      <c r="J336" s="190" t="str">
        <f>IFERROR(__xludf.DUMMYFUNCTION("""COMPUTED_VALUE"""),"Tier 2")</f>
        <v>Tier 2</v>
      </c>
      <c r="K336" s="174" t="b">
        <f>IFERROR(__xludf.DUMMYFUNCTION("""COMPUTED_VALUE"""),TRUE)</f>
        <v>1</v>
      </c>
      <c r="L336" s="174"/>
      <c r="M336" s="174"/>
      <c r="N336" s="174"/>
      <c r="O336" s="174"/>
      <c r="P336" s="174"/>
      <c r="Q336" s="174"/>
      <c r="R336" s="174"/>
      <c r="S336" s="174"/>
      <c r="T336" s="174"/>
      <c r="U336" s="174"/>
      <c r="V336" s="174"/>
      <c r="W336" s="174"/>
      <c r="X336" s="174"/>
      <c r="Y336" s="174"/>
      <c r="Z336" s="174"/>
    </row>
    <row r="337">
      <c r="A337" s="190" t="str">
        <f>IFERROR(__xludf.DUMMYFUNCTION("""COMPUTED_VALUE"""),"Rending Swipe")</f>
        <v>Rending Swipe</v>
      </c>
      <c r="B337" s="190" t="str">
        <f>IFERROR(__xludf.DUMMYFUNCTION("""COMPUTED_VALUE"""),"Dragon")</f>
        <v>Dragon</v>
      </c>
      <c r="C337" s="190" t="str">
        <f>IFERROR(__xludf.DUMMYFUNCTION("""COMPUTED_VALUE"""),"Physical")</f>
        <v>Physical</v>
      </c>
      <c r="D337" s="190" t="str">
        <f>IFERROR(__xludf.DUMMYFUNCTION("""COMPUTED_VALUE"""),"Scene x2")</f>
        <v>Scene x2</v>
      </c>
      <c r="E337" s="190" t="str">
        <f>IFERROR(__xludf.DUMMYFUNCTION("""COMPUTED_VALUE"""),"Melee, 1 Target")</f>
        <v>Melee, 1 Target</v>
      </c>
      <c r="F337" s="190">
        <f>IFERROR(__xludf.DUMMYFUNCTION("""COMPUTED_VALUE"""),4.0)</f>
        <v>4</v>
      </c>
      <c r="G337" s="190">
        <f>IFERROR(__xludf.DUMMYFUNCTION("""COMPUTED_VALUE"""),8.0)</f>
        <v>8</v>
      </c>
      <c r="H337" s="191" t="str">
        <f>IFERROR(__xludf.DUMMYFUNCTION("""COMPUTED_VALUE"""),"On Even rolls, the Target becomes Wounded. On Odd rolls, the Target’s Defense is set to -2 CS. If the user is Enraged, this has the Spirit Surge Keyword.")</f>
        <v>On Even rolls, the Target becomes Wounded. On Odd rolls, the Target’s Defense is set to -2 CS. If the user is Enraged, this has the Spirit Surge Keyword.</v>
      </c>
      <c r="I337" s="191" t="str">
        <f>IFERROR(__xludf.DUMMYFUNCTION("""COMPUTED_VALUE"""),"--")</f>
        <v>--</v>
      </c>
      <c r="J337" s="190" t="str">
        <f>IFERROR(__xludf.DUMMYFUNCTION("""COMPUTED_VALUE"""),"Tier 2")</f>
        <v>Tier 2</v>
      </c>
      <c r="K337" s="174" t="b">
        <f>IFERROR(__xludf.DUMMYFUNCTION("""COMPUTED_VALUE"""),TRUE)</f>
        <v>1</v>
      </c>
      <c r="L337" s="174"/>
      <c r="M337" s="174"/>
      <c r="N337" s="174"/>
      <c r="O337" s="174"/>
      <c r="P337" s="174"/>
      <c r="Q337" s="174"/>
      <c r="R337" s="174"/>
      <c r="S337" s="174"/>
      <c r="T337" s="174"/>
      <c r="U337" s="174"/>
      <c r="V337" s="174"/>
      <c r="W337" s="174"/>
      <c r="X337" s="174"/>
      <c r="Y337" s="174"/>
      <c r="Z337" s="174"/>
    </row>
    <row r="338">
      <c r="A338" s="190" t="str">
        <f>IFERROR(__xludf.DUMMYFUNCTION("""COMPUTED_VALUE"""),"Scale Shield")</f>
        <v>Scale Shield</v>
      </c>
      <c r="B338" s="190" t="str">
        <f>IFERROR(__xludf.DUMMYFUNCTION("""COMPUTED_VALUE"""),"Dragon")</f>
        <v>Dragon</v>
      </c>
      <c r="C338" s="190" t="str">
        <f>IFERROR(__xludf.DUMMYFUNCTION("""COMPUTED_VALUE"""),"Status")</f>
        <v>Status</v>
      </c>
      <c r="D338" s="190" t="str">
        <f>IFERROR(__xludf.DUMMYFUNCTION("""COMPUTED_VALUE"""),"Scene")</f>
        <v>Scene</v>
      </c>
      <c r="E338" s="190" t="str">
        <f>IFERROR(__xludf.DUMMYFUNCTION("""COMPUTED_VALUE"""),"Self, Shield, Trigger")</f>
        <v>Self, Shield, Trigger</v>
      </c>
      <c r="F338" s="190" t="str">
        <f>IFERROR(__xludf.DUMMYFUNCTION("""COMPUTED_VALUE"""),"--")</f>
        <v>--</v>
      </c>
      <c r="G338" s="190" t="str">
        <f>IFERROR(__xludf.DUMMYFUNCTION("""COMPUTED_VALUE"""),"--")</f>
        <v>--</v>
      </c>
      <c r="H338" s="191" t="str">
        <f>IFERROR(__xludf.DUMMYFUNCTION("""COMPUTED_VALUE"""),"If the user is hit by an Attack, the user may use Scale Shield as a Standard Action + Reaction. The user and all Adjacent Targets resist the Attack by an additional Damage Step. Additionally the Triggering Attack is treated as having the Recoil 1/2 Keywor"&amp;"d. ")</f>
        <v>If the user is hit by an Attack, the user may use Scale Shield as a Standard Action + Reaction. The user and all Adjacent Targets resist the Attack by an additional Damage Step. Additionally the Triggering Attack is treated as having the Recoil 1/2 Keyword. </v>
      </c>
      <c r="I338" s="191" t="str">
        <f>IFERROR(__xludf.DUMMYFUNCTION("""COMPUTED_VALUE"""),"--")</f>
        <v>--</v>
      </c>
      <c r="J338" s="190" t="str">
        <f>IFERROR(__xludf.DUMMYFUNCTION("""COMPUTED_VALUE"""),"Tier 3")</f>
        <v>Tier 3</v>
      </c>
      <c r="K338" s="174" t="b">
        <f>IFERROR(__xludf.DUMMYFUNCTION("""COMPUTED_VALUE"""),FALSE)</f>
        <v>0</v>
      </c>
      <c r="L338" s="174"/>
      <c r="M338" s="174"/>
      <c r="N338" s="174"/>
      <c r="O338" s="174"/>
      <c r="P338" s="174"/>
      <c r="Q338" s="174"/>
      <c r="R338" s="174"/>
      <c r="S338" s="174"/>
      <c r="T338" s="174"/>
      <c r="U338" s="174"/>
      <c r="V338" s="174"/>
      <c r="W338" s="174"/>
      <c r="X338" s="174"/>
      <c r="Y338" s="174"/>
      <c r="Z338" s="174"/>
    </row>
    <row r="339">
      <c r="A339" s="190" t="str">
        <f>IFERROR(__xludf.DUMMYFUNCTION("""COMPUTED_VALUE"""),"Scale Shot")</f>
        <v>Scale Shot</v>
      </c>
      <c r="B339" s="190" t="str">
        <f>IFERROR(__xludf.DUMMYFUNCTION("""COMPUTED_VALUE"""),"Dragon")</f>
        <v>Dragon</v>
      </c>
      <c r="C339" s="190" t="str">
        <f>IFERROR(__xludf.DUMMYFUNCTION("""COMPUTED_VALUE"""),"Physical")</f>
        <v>Physical</v>
      </c>
      <c r="D339" s="190" t="str">
        <f>IFERROR(__xludf.DUMMYFUNCTION("""COMPUTED_VALUE"""),"EOT")</f>
        <v>EOT</v>
      </c>
      <c r="E339" s="190" t="str">
        <f>IFERROR(__xludf.DUMMYFUNCTION("""COMPUTED_VALUE"""),"6, 1 Target")</f>
        <v>6, 1 Target</v>
      </c>
      <c r="F339" s="190">
        <f>IFERROR(__xludf.DUMMYFUNCTION("""COMPUTED_VALUE"""),4.0)</f>
        <v>4</v>
      </c>
      <c r="G339" s="190">
        <f>IFERROR(__xludf.DUMMYFUNCTION("""COMPUTED_VALUE"""),4.0)</f>
        <v>4</v>
      </c>
      <c r="H339" s="191" t="str">
        <f>IFERROR(__xludf.DUMMYFUNCTION("""COMPUTED_VALUE"""),"If Scale Shot hits at least 4 times, the Target becomes Wounded. Five Strike")</f>
        <v>If Scale Shot hits at least 4 times, the Target becomes Wounded. Five Strike</v>
      </c>
      <c r="I339" s="191" t="str">
        <f>IFERROR(__xludf.DUMMYFUNCTION("""COMPUTED_VALUE"""),"--")</f>
        <v>--</v>
      </c>
      <c r="J339" s="190" t="str">
        <f>IFERROR(__xludf.DUMMYFUNCTION("""COMPUTED_VALUE"""),"Tier 1")</f>
        <v>Tier 1</v>
      </c>
      <c r="K339" s="174" t="b">
        <f>IFERROR(__xludf.DUMMYFUNCTION("""COMPUTED_VALUE"""),TRUE)</f>
        <v>1</v>
      </c>
      <c r="L339" s="174"/>
      <c r="M339" s="174"/>
      <c r="N339" s="174"/>
      <c r="O339" s="174"/>
      <c r="P339" s="174"/>
      <c r="Q339" s="174"/>
      <c r="R339" s="174"/>
      <c r="S339" s="174"/>
      <c r="T339" s="174"/>
      <c r="U339" s="174"/>
      <c r="V339" s="174"/>
      <c r="W339" s="174"/>
      <c r="X339" s="174"/>
      <c r="Y339" s="174"/>
      <c r="Z339" s="174"/>
    </row>
    <row r="340">
      <c r="A340" s="190" t="str">
        <f>IFERROR(__xludf.DUMMYFUNCTION("""COMPUTED_VALUE"""),"Scorched Earth")</f>
        <v>Scorched Earth</v>
      </c>
      <c r="B340" s="190" t="str">
        <f>IFERROR(__xludf.DUMMYFUNCTION("""COMPUTED_VALUE"""),"Dragon")</f>
        <v>Dragon</v>
      </c>
      <c r="C340" s="190" t="str">
        <f>IFERROR(__xludf.DUMMYFUNCTION("""COMPUTED_VALUE"""),"Special")</f>
        <v>Special</v>
      </c>
      <c r="D340" s="190" t="str">
        <f>IFERROR(__xludf.DUMMYFUNCTION("""COMPUTED_VALUE"""),"Scene")</f>
        <v>Scene</v>
      </c>
      <c r="E340" s="190" t="str">
        <f>IFERROR(__xludf.DUMMYFUNCTION("""COMPUTED_VALUE"""),"Close Blast 3 or Line 6; Full Action, Hazard")</f>
        <v>Close Blast 3 or Line 6; Full Action, Hazard</v>
      </c>
      <c r="F340" s="190">
        <f>IFERROR(__xludf.DUMMYFUNCTION("""COMPUTED_VALUE"""),7.0)</f>
        <v>7</v>
      </c>
      <c r="G340" s="190">
        <f>IFERROR(__xludf.DUMMYFUNCTION("""COMPUTED_VALUE"""),11.0)</f>
        <v>11</v>
      </c>
      <c r="H340" s="191" t="str">
        <f>IFERROR(__xludf.DUMMYFUNCTION("""COMPUTED_VALUE"""),"On a roll of 17+, all Targets become Burned. Scorched Earth creates Fire Hazards in all Spaces within the Range of this Attack. Smite, Spirit Surge.
Fire Hazards - Any Combatant who ends their turn on or moves through a Fire Hazard becomes Burned. Ground"&amp;" and Rock Type Pokemon  are immune to Fire Hazards and destroy them when Moving through them. Ground, Rock, and Water Type Attacks that affect these Spaces also destroy these Hazards. ")</f>
        <v>On a roll of 17+, all Targets become Burned. Scorched Earth creates Fire Hazards in all Spaces within the Range of this Attack. Smite, Spirit Surge.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340" s="191" t="str">
        <f>IFERROR(__xludf.DUMMYFUNCTION("""COMPUTED_VALUE"""),"--")</f>
        <v>--</v>
      </c>
      <c r="J340" s="190" t="str">
        <f>IFERROR(__xludf.DUMMYFUNCTION("""COMPUTED_VALUE"""),"Tier 3")</f>
        <v>Tier 3</v>
      </c>
      <c r="K340" s="174" t="b">
        <f>IFERROR(__xludf.DUMMYFUNCTION("""COMPUTED_VALUE"""),TRUE)</f>
        <v>1</v>
      </c>
      <c r="L340" s="174"/>
      <c r="M340" s="174"/>
      <c r="N340" s="174"/>
      <c r="O340" s="174"/>
      <c r="P340" s="174"/>
      <c r="Q340" s="174"/>
      <c r="R340" s="174"/>
      <c r="S340" s="174"/>
      <c r="T340" s="174"/>
      <c r="U340" s="174"/>
      <c r="V340" s="174"/>
      <c r="W340" s="174"/>
      <c r="X340" s="174"/>
      <c r="Y340" s="174"/>
      <c r="Z340" s="174"/>
    </row>
    <row r="341">
      <c r="A341" s="190" t="str">
        <f>IFERROR(__xludf.DUMMYFUNCTION("""COMPUTED_VALUE"""),"Scorching Breath")</f>
        <v>Scorching Breath</v>
      </c>
      <c r="B341" s="190" t="str">
        <f>IFERROR(__xludf.DUMMYFUNCTION("""COMPUTED_VALUE"""),"Dragon")</f>
        <v>Dragon</v>
      </c>
      <c r="C341" s="190" t="str">
        <f>IFERROR(__xludf.DUMMYFUNCTION("""COMPUTED_VALUE"""),"Special")</f>
        <v>Special</v>
      </c>
      <c r="D341" s="190" t="str">
        <f>IFERROR(__xludf.DUMMYFUNCTION("""COMPUTED_VALUE"""),"EOT")</f>
        <v>EOT</v>
      </c>
      <c r="E341" s="190" t="str">
        <f>IFERROR(__xludf.DUMMYFUNCTION("""COMPUTED_VALUE"""),"6, 1 Target")</f>
        <v>6, 1 Target</v>
      </c>
      <c r="F341" s="190">
        <f>IFERROR(__xludf.DUMMYFUNCTION("""COMPUTED_VALUE"""),4.0)</f>
        <v>4</v>
      </c>
      <c r="G341" s="190">
        <f>IFERROR(__xludf.DUMMYFUNCTION("""COMPUTED_VALUE"""),9.0)</f>
        <v>9</v>
      </c>
      <c r="H341" s="191" t="str">
        <f>IFERROR(__xludf.DUMMYFUNCTION("""COMPUTED_VALUE"""),"On a roll of 18+, the Target becomes Burned. This Attack may be used as a Full Action to use it as if it were a Fire Type Attack instead or treat its Range as if it were Close Blast 2.")</f>
        <v>On a roll of 18+, the Target becomes Burned. This Attack may be used as a Full Action to use it as if it were a Fire Type Attack instead or treat its Range as if it were Close Blast 2.</v>
      </c>
      <c r="I341" s="191" t="str">
        <f>IFERROR(__xludf.DUMMYFUNCTION("""COMPUTED_VALUE"""),"--")</f>
        <v>--</v>
      </c>
      <c r="J341" s="190" t="str">
        <f>IFERROR(__xludf.DUMMYFUNCTION("""COMPUTED_VALUE"""),"Tier 2")</f>
        <v>Tier 2</v>
      </c>
      <c r="K341" s="174" t="b">
        <f>IFERROR(__xludf.DUMMYFUNCTION("""COMPUTED_VALUE"""),TRUE)</f>
        <v>1</v>
      </c>
      <c r="L341" s="174"/>
      <c r="M341" s="174"/>
      <c r="N341" s="174"/>
      <c r="O341" s="174"/>
      <c r="P341" s="174"/>
      <c r="Q341" s="174"/>
      <c r="R341" s="174"/>
      <c r="S341" s="174"/>
      <c r="T341" s="174"/>
      <c r="U341" s="174"/>
      <c r="V341" s="174"/>
      <c r="W341" s="174"/>
      <c r="X341" s="174"/>
      <c r="Y341" s="174"/>
      <c r="Z341" s="174"/>
    </row>
    <row r="342">
      <c r="A342" s="190" t="str">
        <f>IFERROR(__xludf.DUMMYFUNCTION("""COMPUTED_VALUE"""),"Spitfire")</f>
        <v>Spitfire</v>
      </c>
      <c r="B342" s="190" t="str">
        <f>IFERROR(__xludf.DUMMYFUNCTION("""COMPUTED_VALUE"""),"Dragon")</f>
        <v>Dragon</v>
      </c>
      <c r="C342" s="190" t="str">
        <f>IFERROR(__xludf.DUMMYFUNCTION("""COMPUTED_VALUE"""),"Special")</f>
        <v>Special</v>
      </c>
      <c r="D342" s="190" t="str">
        <f>IFERROR(__xludf.DUMMYFUNCTION("""COMPUTED_VALUE"""),"At-Will")</f>
        <v>At-Will</v>
      </c>
      <c r="E342" s="190" t="str">
        <f>IFERROR(__xludf.DUMMYFUNCTION("""COMPUTED_VALUE"""),"4, 1 Target")</f>
        <v>4, 1 Target</v>
      </c>
      <c r="F342" s="190">
        <f>IFERROR(__xludf.DUMMYFUNCTION("""COMPUTED_VALUE"""),3.0)</f>
        <v>3</v>
      </c>
      <c r="G342" s="190">
        <f>IFERROR(__xludf.DUMMYFUNCTION("""COMPUTED_VALUE"""),4.0)</f>
        <v>4</v>
      </c>
      <c r="H342" s="191" t="str">
        <f>IFERROR(__xludf.DUMMYFUNCTION("""COMPUTED_VALUE"""),"On a roll of 18+, the Target becomes Burned. This Attack may be used as a Full Action to use it as if it were a Fire Type Attack instead.")</f>
        <v>On a roll of 18+, the Target becomes Burned. This Attack may be used as a Full Action to use it as if it were a Fire Type Attack instead.</v>
      </c>
      <c r="I342" s="191" t="str">
        <f>IFERROR(__xludf.DUMMYFUNCTION("""COMPUTED_VALUE"""),"--")</f>
        <v>--</v>
      </c>
      <c r="J342" s="190" t="str">
        <f>IFERROR(__xludf.DUMMYFUNCTION("""COMPUTED_VALUE"""),"Tier 1")</f>
        <v>Tier 1</v>
      </c>
      <c r="K342" s="174" t="b">
        <f>IFERROR(__xludf.DUMMYFUNCTION("""COMPUTED_VALUE"""),TRUE)</f>
        <v>1</v>
      </c>
      <c r="L342" s="174"/>
      <c r="M342" s="174"/>
      <c r="N342" s="174"/>
      <c r="O342" s="174"/>
      <c r="P342" s="174"/>
      <c r="Q342" s="174"/>
      <c r="R342" s="174"/>
      <c r="S342" s="174"/>
      <c r="T342" s="174"/>
      <c r="U342" s="174"/>
      <c r="V342" s="174"/>
      <c r="W342" s="174"/>
      <c r="X342" s="174"/>
      <c r="Y342" s="174"/>
      <c r="Z342" s="174"/>
    </row>
    <row r="343">
      <c r="A343" s="190" t="str">
        <f>IFERROR(__xludf.DUMMYFUNCTION("""COMPUTED_VALUE"""),"Twister")</f>
        <v>Twister</v>
      </c>
      <c r="B343" s="190" t="str">
        <f>IFERROR(__xludf.DUMMYFUNCTION("""COMPUTED_VALUE"""),"Dragon")</f>
        <v>Dragon</v>
      </c>
      <c r="C343" s="190" t="str">
        <f>IFERROR(__xludf.DUMMYFUNCTION("""COMPUTED_VALUE"""),"Special")</f>
        <v>Special</v>
      </c>
      <c r="D343" s="190" t="str">
        <f>IFERROR(__xludf.DUMMYFUNCTION("""COMPUTED_VALUE"""),"EOT")</f>
        <v>EOT</v>
      </c>
      <c r="E343" s="190" t="str">
        <f>IFERROR(__xludf.DUMMYFUNCTION("""COMPUTED_VALUE"""),"6, Ranged Blast 2")</f>
        <v>6, Ranged Blast 2</v>
      </c>
      <c r="F343" s="190">
        <f>IFERROR(__xludf.DUMMYFUNCTION("""COMPUTED_VALUE"""),5.0)</f>
        <v>5</v>
      </c>
      <c r="G343" s="190">
        <f>IFERROR(__xludf.DUMMYFUNCTION("""COMPUTED_VALUE"""),6.0)</f>
        <v>6</v>
      </c>
      <c r="H343" s="191" t="str">
        <f>IFERROR(__xludf.DUMMYFUNCTION("""COMPUTED_VALUE"""),"You may choose to destroy all Hazards within the range of this Attack. This Attack is treated as one step more Effective against Targets with the Flier Capability, but cannot surpass 1.5x Effectiveness. ")</f>
        <v>You may choose to destroy all Hazards within the range of this Attack. This Attack is treated as one step more Effective against Targets with the Flier Capability, but cannot surpass 1.5x Effectiveness. </v>
      </c>
      <c r="I343" s="191" t="str">
        <f>IFERROR(__xludf.DUMMYFUNCTION("""COMPUTED_VALUE"""),"--")</f>
        <v>--</v>
      </c>
      <c r="J343" s="190" t="str">
        <f>IFERROR(__xludf.DUMMYFUNCTION("""COMPUTED_VALUE"""),"Tier 1")</f>
        <v>Tier 1</v>
      </c>
      <c r="K343" s="174" t="b">
        <f>IFERROR(__xludf.DUMMYFUNCTION("""COMPUTED_VALUE"""),TRUE)</f>
        <v>1</v>
      </c>
      <c r="L343" s="174"/>
      <c r="M343" s="174"/>
      <c r="N343" s="174"/>
      <c r="O343" s="174"/>
      <c r="P343" s="174"/>
      <c r="Q343" s="174"/>
      <c r="R343" s="174"/>
      <c r="S343" s="174"/>
      <c r="T343" s="174"/>
      <c r="U343" s="174"/>
      <c r="V343" s="174"/>
      <c r="W343" s="174"/>
      <c r="X343" s="174"/>
      <c r="Y343" s="174"/>
      <c r="Z343" s="174"/>
    </row>
    <row r="344">
      <c r="A344" s="190" t="str">
        <f>IFERROR(__xludf.DUMMYFUNCTION("""COMPUTED_VALUE"""),"Aura Wheel")</f>
        <v>Aura Wheel</v>
      </c>
      <c r="B344" s="190" t="str">
        <f>IFERROR(__xludf.DUMMYFUNCTION("""COMPUTED_VALUE"""),"Electric")</f>
        <v>Electric</v>
      </c>
      <c r="C344" s="190" t="str">
        <f>IFERROR(__xludf.DUMMYFUNCTION("""COMPUTED_VALUE"""),"Physical")</f>
        <v>Physical</v>
      </c>
      <c r="D344" s="190" t="str">
        <f>IFERROR(__xludf.DUMMYFUNCTION("""COMPUTED_VALUE"""),"Scene x2")</f>
        <v>Scene x2</v>
      </c>
      <c r="E344" s="190" t="str">
        <f>IFERROR(__xludf.DUMMYFUNCTION("""COMPUTED_VALUE"""),"Melee, Pass, Dash")</f>
        <v>Melee, Pass, Dash</v>
      </c>
      <c r="F344" s="190">
        <f>IFERROR(__xludf.DUMMYFUNCTION("""COMPUTED_VALUE"""),5.0)</f>
        <v>5</v>
      </c>
      <c r="G344" s="190">
        <f>IFERROR(__xludf.DUMMYFUNCTION("""COMPUTED_VALUE"""),10.0)</f>
        <v>10</v>
      </c>
      <c r="H344" s="191" t="str">
        <f>IFERROR(__xludf.DUMMYFUNCTION("""COMPUTED_VALUE"""),"If the Dash Keyword is Activated, a Coat may be removed from each Target hit by this Attack. If the user is in Hangry Mode, Aura Wheel is Dark Typed.")</f>
        <v>If the Dash Keyword is Activated, a Coat may be removed from each Target hit by this Attack. If the user is in Hangry Mode, Aura Wheel is Dark Typed.</v>
      </c>
      <c r="I344" s="191" t="str">
        <f>IFERROR(__xludf.DUMMYFUNCTION("""COMPUTED_VALUE"""),"--")</f>
        <v>--</v>
      </c>
      <c r="J344" s="190" t="str">
        <f>IFERROR(__xludf.DUMMYFUNCTION("""COMPUTED_VALUE"""),"Tier 3")</f>
        <v>Tier 3</v>
      </c>
      <c r="K344" s="174" t="b">
        <f>IFERROR(__xludf.DUMMYFUNCTION("""COMPUTED_VALUE"""),TRUE)</f>
        <v>1</v>
      </c>
      <c r="L344" s="174"/>
      <c r="M344" s="174"/>
      <c r="N344" s="174"/>
      <c r="O344" s="174"/>
      <c r="P344" s="174"/>
      <c r="Q344" s="174"/>
      <c r="R344" s="174"/>
      <c r="S344" s="174"/>
      <c r="T344" s="174"/>
      <c r="U344" s="174"/>
      <c r="V344" s="174"/>
      <c r="W344" s="174"/>
      <c r="X344" s="174"/>
      <c r="Y344" s="174"/>
      <c r="Z344" s="174"/>
    </row>
    <row r="345">
      <c r="A345" s="190" t="str">
        <f>IFERROR(__xludf.DUMMYFUNCTION("""COMPUTED_VALUE"""),"Bolt Beak")</f>
        <v>Bolt Beak</v>
      </c>
      <c r="B345" s="190" t="str">
        <f>IFERROR(__xludf.DUMMYFUNCTION("""COMPUTED_VALUE"""),"Electric")</f>
        <v>Electric</v>
      </c>
      <c r="C345" s="190" t="str">
        <f>IFERROR(__xludf.DUMMYFUNCTION("""COMPUTED_VALUE"""),"Physical")</f>
        <v>Physical</v>
      </c>
      <c r="D345" s="190" t="str">
        <f>IFERROR(__xludf.DUMMYFUNCTION("""COMPUTED_VALUE"""),"EOT")</f>
        <v>EOT</v>
      </c>
      <c r="E345" s="190" t="str">
        <f>IFERROR(__xludf.DUMMYFUNCTION("""COMPUTED_VALUE"""),"Melee, 1 Target")</f>
        <v>Melee, 1 Target</v>
      </c>
      <c r="F345" s="190">
        <f>IFERROR(__xludf.DUMMYFUNCTION("""COMPUTED_VALUE"""),3.0)</f>
        <v>3</v>
      </c>
      <c r="G345" s="190">
        <f>IFERROR(__xludf.DUMMYFUNCTION("""COMPUTED_VALUE"""),9.0)</f>
        <v>9</v>
      </c>
      <c r="H345" s="191" t="str">
        <f>IFERROR(__xludf.DUMMYFUNCTION("""COMPUTED_VALUE"""),"If the Target is Paralyzed or the Weather is Thunderstorm, the Target cannot apply Physical Evasion against this Attack.")</f>
        <v>If the Target is Paralyzed or the Weather is Thunderstorm, the Target cannot apply Physical Evasion against this Attack.</v>
      </c>
      <c r="I345" s="191" t="str">
        <f>IFERROR(__xludf.DUMMYFUNCTION("""COMPUTED_VALUE"""),"--")</f>
        <v>--</v>
      </c>
      <c r="J345" s="190" t="str">
        <f>IFERROR(__xludf.DUMMYFUNCTION("""COMPUTED_VALUE"""),"Tier 2")</f>
        <v>Tier 2</v>
      </c>
      <c r="K345" s="174" t="b">
        <f>IFERROR(__xludf.DUMMYFUNCTION("""COMPUTED_VALUE"""),TRUE)</f>
        <v>1</v>
      </c>
      <c r="L345" s="174"/>
      <c r="M345" s="174"/>
      <c r="N345" s="174"/>
      <c r="O345" s="174"/>
      <c r="P345" s="174"/>
      <c r="Q345" s="174"/>
      <c r="R345" s="174"/>
      <c r="S345" s="174"/>
      <c r="T345" s="174"/>
      <c r="U345" s="174"/>
      <c r="V345" s="174"/>
      <c r="W345" s="174"/>
      <c r="X345" s="174"/>
      <c r="Y345" s="174"/>
      <c r="Z345" s="174"/>
    </row>
    <row r="346">
      <c r="A346" s="190" t="str">
        <f>IFERROR(__xludf.DUMMYFUNCTION("""COMPUTED_VALUE"""),"Charge")</f>
        <v>Charge</v>
      </c>
      <c r="B346" s="190" t="str">
        <f>IFERROR(__xludf.DUMMYFUNCTION("""COMPUTED_VALUE"""),"Electric")</f>
        <v>Electric</v>
      </c>
      <c r="C346" s="190" t="str">
        <f>IFERROR(__xludf.DUMMYFUNCTION("""COMPUTED_VALUE"""),"Status")</f>
        <v>Status</v>
      </c>
      <c r="D346" s="190" t="str">
        <f>IFERROR(__xludf.DUMMYFUNCTION("""COMPUTED_VALUE"""),"EOT")</f>
        <v>EOT</v>
      </c>
      <c r="E346" s="190" t="str">
        <f>IFERROR(__xludf.DUMMYFUNCTION("""COMPUTED_VALUE"""),"Self, Versatile")</f>
        <v>Self, Versatile</v>
      </c>
      <c r="F346" s="190" t="str">
        <f>IFERROR(__xludf.DUMMYFUNCTION("""COMPUTED_VALUE"""),"--")</f>
        <v>--</v>
      </c>
      <c r="G346" s="190" t="str">
        <f>IFERROR(__xludf.DUMMYFUNCTION("""COMPUTED_VALUE"""),"--")</f>
        <v>--</v>
      </c>
      <c r="H346" s="191" t="str">
        <f>IFERROR(__xludf.DUMMYFUNCTION("""COMPUTED_VALUE"""),"The user gains a Charged Coat. The user may expend a Charge Coat when successfully hitting an Electric Damaging Attack to add its Damage Dice an extra time to the Damage Roll. This applies after any other Damage Base Modifiers such as a Critical Hit. 
Not"&amp;"e: If the Damage Base would have the Attack be 2d6+8, this expended Coat turns it into 4d6+16. ")</f>
        <v>The user gains a Charged Coat. The user may expend a Charge Coat when successfully hitting an Electric Damaging Attack to add its Damage Dice an extra time to the Damage Roll. This applies after any other Damage Base Modifiers such as a Critical Hit. 
Note: If the Damage Base would have the Attack be 2d6+8, this expended Coat turns it into 4d6+16. </v>
      </c>
      <c r="I346" s="191" t="str">
        <f>IFERROR(__xludf.DUMMYFUNCTION("""COMPUTED_VALUE"""),"The user's next Electric Type Damaging Attack adds +2 to its Damage Base and has the Smite Keyword.")</f>
        <v>The user's next Electric Type Damaging Attack adds +2 to its Damage Base and has the Smite Keyword.</v>
      </c>
      <c r="J346" s="190" t="str">
        <f>IFERROR(__xludf.DUMMYFUNCTION("""COMPUTED_VALUE"""),"Tier 2")</f>
        <v>Tier 2</v>
      </c>
      <c r="K346" s="174" t="b">
        <f>IFERROR(__xludf.DUMMYFUNCTION("""COMPUTED_VALUE"""),TRUE)</f>
        <v>1</v>
      </c>
      <c r="L346" s="174"/>
      <c r="M346" s="174"/>
      <c r="N346" s="174"/>
      <c r="O346" s="174"/>
      <c r="P346" s="174"/>
      <c r="Q346" s="174"/>
      <c r="R346" s="174"/>
      <c r="S346" s="174"/>
      <c r="T346" s="174"/>
      <c r="U346" s="174"/>
      <c r="V346" s="174"/>
      <c r="W346" s="174"/>
      <c r="X346" s="174"/>
      <c r="Y346" s="174"/>
      <c r="Z346" s="174"/>
    </row>
    <row r="347">
      <c r="A347" s="190" t="str">
        <f>IFERROR(__xludf.DUMMYFUNCTION("""COMPUTED_VALUE"""),"Charge Beam")</f>
        <v>Charge Beam</v>
      </c>
      <c r="B347" s="190" t="str">
        <f>IFERROR(__xludf.DUMMYFUNCTION("""COMPUTED_VALUE"""),"Electric")</f>
        <v>Electric</v>
      </c>
      <c r="C347" s="190" t="str">
        <f>IFERROR(__xludf.DUMMYFUNCTION("""COMPUTED_VALUE"""),"Special")</f>
        <v>Special</v>
      </c>
      <c r="D347" s="190" t="str">
        <f>IFERROR(__xludf.DUMMYFUNCTION("""COMPUTED_VALUE"""),"EOT")</f>
        <v>EOT</v>
      </c>
      <c r="E347" s="190" t="str">
        <f>IFERROR(__xludf.DUMMYFUNCTION("""COMPUTED_VALUE"""),"Line 3, Full Action")</f>
        <v>Line 3, Full Action</v>
      </c>
      <c r="F347" s="190">
        <f>IFERROR(__xludf.DUMMYFUNCTION("""COMPUTED_VALUE"""),5.0)</f>
        <v>5</v>
      </c>
      <c r="G347" s="190">
        <f>IFERROR(__xludf.DUMMYFUNCTION("""COMPUTED_VALUE"""),4.0)</f>
        <v>4</v>
      </c>
      <c r="H347" s="191" t="str">
        <f>IFERROR(__xludf.DUMMYFUNCTION("""COMPUTED_VALUE"""),"The user gains +1 CS in Special Attack. Spirit Surge")</f>
        <v>The user gains +1 CS in Special Attack. Spirit Surge</v>
      </c>
      <c r="I347" s="191" t="str">
        <f>IFERROR(__xludf.DUMMYFUNCTION("""COMPUTED_VALUE"""),"--")</f>
        <v>--</v>
      </c>
      <c r="J347" s="190" t="str">
        <f>IFERROR(__xludf.DUMMYFUNCTION("""COMPUTED_VALUE"""),"Tier 1")</f>
        <v>Tier 1</v>
      </c>
      <c r="K347" s="174" t="b">
        <f>IFERROR(__xludf.DUMMYFUNCTION("""COMPUTED_VALUE"""),TRUE)</f>
        <v>1</v>
      </c>
      <c r="L347" s="174"/>
      <c r="M347" s="174"/>
      <c r="N347" s="174"/>
      <c r="O347" s="174"/>
      <c r="P347" s="174"/>
      <c r="Q347" s="174"/>
      <c r="R347" s="174"/>
      <c r="S347" s="174"/>
      <c r="T347" s="174"/>
      <c r="U347" s="174"/>
      <c r="V347" s="174"/>
      <c r="W347" s="174"/>
      <c r="X347" s="174"/>
      <c r="Y347" s="174"/>
      <c r="Z347" s="174"/>
    </row>
    <row r="348">
      <c r="A348" s="190" t="str">
        <f>IFERROR(__xludf.DUMMYFUNCTION("""COMPUTED_VALUE"""),"Charged Spikes")</f>
        <v>Charged Spikes</v>
      </c>
      <c r="B348" s="190" t="str">
        <f>IFERROR(__xludf.DUMMYFUNCTION("""COMPUTED_VALUE"""),"Electric")</f>
        <v>Electric</v>
      </c>
      <c r="C348" s="190" t="str">
        <f>IFERROR(__xludf.DUMMYFUNCTION("""COMPUTED_VALUE"""),"Status")</f>
        <v>Status</v>
      </c>
      <c r="D348" s="190" t="str">
        <f>IFERROR(__xludf.DUMMYFUNCTION("""COMPUTED_VALUE"""),"Scene x2")</f>
        <v>Scene x2</v>
      </c>
      <c r="E348" s="190" t="str">
        <f>IFERROR(__xludf.DUMMYFUNCTION("""COMPUTED_VALUE"""),"Self, Trigger")</f>
        <v>Self, Trigger</v>
      </c>
      <c r="F348" s="190" t="str">
        <f>IFERROR(__xludf.DUMMYFUNCTION("""COMPUTED_VALUE"""),"--")</f>
        <v>--</v>
      </c>
      <c r="G348" s="190" t="str">
        <f>IFERROR(__xludf.DUMMYFUNCTION("""COMPUTED_VALUE"""),"--")</f>
        <v>--</v>
      </c>
      <c r="H348" s="191" t="str">
        <f>IFERROR(__xludf.DUMMYFUNCTION("""COMPUTED_VALUE"""),"Charged Spikes can only be used as a Reaction whenever you’re hit with a Melee Attack. The Triggering Attack gains the Recoil ⅓ Keyword. If the Triggering Attack was a Super Effective, they also become Paralyzed.")</f>
        <v>Charged Spikes can only be used as a Reaction whenever you’re hit with a Melee Attack. The Triggering Attack gains the Recoil ⅓ Keyword. If the Triggering Attack was a Super Effective, they also become Paralyzed.</v>
      </c>
      <c r="I348" s="191" t="str">
        <f>IFERROR(__xludf.DUMMYFUNCTION("""COMPUTED_VALUE"""),"--")</f>
        <v>--</v>
      </c>
      <c r="J348" s="190" t="str">
        <f>IFERROR(__xludf.DUMMYFUNCTION("""COMPUTED_VALUE"""),"Tier 2")</f>
        <v>Tier 2</v>
      </c>
      <c r="K348" s="174" t="b">
        <f>IFERROR(__xludf.DUMMYFUNCTION("""COMPUTED_VALUE"""),TRUE)</f>
        <v>1</v>
      </c>
      <c r="L348" s="174"/>
      <c r="M348" s="174"/>
      <c r="N348" s="174"/>
      <c r="O348" s="174"/>
      <c r="P348" s="174"/>
      <c r="Q348" s="174"/>
      <c r="R348" s="174"/>
      <c r="S348" s="174"/>
      <c r="T348" s="174"/>
      <c r="U348" s="174"/>
      <c r="V348" s="174"/>
      <c r="W348" s="174"/>
      <c r="X348" s="174"/>
      <c r="Y348" s="174"/>
      <c r="Z348" s="174"/>
    </row>
    <row r="349">
      <c r="A349" s="190" t="str">
        <f>IFERROR(__xludf.DUMMYFUNCTION("""COMPUTED_VALUE"""),"Charged Velocity")</f>
        <v>Charged Velocity</v>
      </c>
      <c r="B349" s="190" t="str">
        <f>IFERROR(__xludf.DUMMYFUNCTION("""COMPUTED_VALUE"""),"Electric")</f>
        <v>Electric</v>
      </c>
      <c r="C349" s="190" t="str">
        <f>IFERROR(__xludf.DUMMYFUNCTION("""COMPUTED_VALUE"""),"Status")</f>
        <v>Status</v>
      </c>
      <c r="D349" s="190" t="str">
        <f>IFERROR(__xludf.DUMMYFUNCTION("""COMPUTED_VALUE"""),"Scene x2")</f>
        <v>Scene x2</v>
      </c>
      <c r="E349" s="190" t="str">
        <f>IFERROR(__xludf.DUMMYFUNCTION("""COMPUTED_VALUE"""),"Self, Versatile")</f>
        <v>Self, Versatile</v>
      </c>
      <c r="F349" s="190" t="str">
        <f>IFERROR(__xludf.DUMMYFUNCTION("""COMPUTED_VALUE"""),"--")</f>
        <v>--</v>
      </c>
      <c r="G349" s="190" t="str">
        <f>IFERROR(__xludf.DUMMYFUNCTION("""COMPUTED_VALUE"""),"--")</f>
        <v>--</v>
      </c>
      <c r="H349" s="191" t="str">
        <f>IFERROR(__xludf.DUMMYFUNCTION("""COMPUTED_VALUE"""),"The user gains +2 CS in Attack, Special Attack or Speed. They then may use a Sprint or Disengage Maneuver as a Free Action.")</f>
        <v>The user gains +2 CS in Attack, Special Attack or Speed. They then may use a Sprint or Disengage Maneuver as a Free Action.</v>
      </c>
      <c r="I349" s="191" t="str">
        <f>IFERROR(__xludf.DUMMYFUNCTION("""COMPUTED_VALUE"""),"Choose Attack, Special Attack or Speed to gain +1 CS in.")</f>
        <v>Choose Attack, Special Attack or Speed to gain +1 CS in.</v>
      </c>
      <c r="J349" s="190" t="str">
        <f>IFERROR(__xludf.DUMMYFUNCTION("""COMPUTED_VALUE"""),"Tier 2")</f>
        <v>Tier 2</v>
      </c>
      <c r="K349" s="174" t="b">
        <f>IFERROR(__xludf.DUMMYFUNCTION("""COMPUTED_VALUE"""),TRUE)</f>
        <v>1</v>
      </c>
      <c r="L349" s="174"/>
      <c r="M349" s="174"/>
      <c r="N349" s="174"/>
      <c r="O349" s="174"/>
      <c r="P349" s="174"/>
      <c r="Q349" s="174"/>
      <c r="R349" s="174"/>
      <c r="S349" s="174"/>
      <c r="T349" s="174"/>
      <c r="U349" s="174"/>
      <c r="V349" s="174"/>
      <c r="W349" s="174"/>
      <c r="X349" s="174"/>
      <c r="Y349" s="174"/>
      <c r="Z349" s="174"/>
    </row>
    <row r="350">
      <c r="A350" s="190" t="str">
        <f>IFERROR(__xludf.DUMMYFUNCTION("""COMPUTED_VALUE"""),"Discharge")</f>
        <v>Discharge</v>
      </c>
      <c r="B350" s="190" t="str">
        <f>IFERROR(__xludf.DUMMYFUNCTION("""COMPUTED_VALUE"""),"Electric")</f>
        <v>Electric</v>
      </c>
      <c r="C350" s="190" t="str">
        <f>IFERROR(__xludf.DUMMYFUNCTION("""COMPUTED_VALUE"""),"Special")</f>
        <v>Special</v>
      </c>
      <c r="D350" s="190" t="str">
        <f>IFERROR(__xludf.DUMMYFUNCTION("""COMPUTED_VALUE"""),"EOT")</f>
        <v>EOT</v>
      </c>
      <c r="E350" s="190" t="str">
        <f>IFERROR(__xludf.DUMMYFUNCTION("""COMPUTED_VALUE"""),"Burst X, Set-Up")</f>
        <v>Burst X, Set-Up</v>
      </c>
      <c r="F350" s="190">
        <f>IFERROR(__xludf.DUMMYFUNCTION("""COMPUTED_VALUE"""),6.0)</f>
        <v>6</v>
      </c>
      <c r="G350" s="190">
        <f>IFERROR(__xludf.DUMMYFUNCTION("""COMPUTED_VALUE"""),8.0)</f>
        <v>8</v>
      </c>
      <c r="H350" s="191" t="str">
        <f>IFERROR(__xludf.DUMMYFUNCTION("""COMPUTED_VALUE"""),"Charge Effect: You may use the Resolution Effect this Turn if desired, ignoring the Set-Up Keyword. 
Resolution Effect: X is equal to 1 plus the number of Charge Tokens expended (Or any lesser value). Targets become Paralyzed on a 18+. This gains the Smit"&amp;"e Keyword if at least 2 Charge Counters are expended this way. ")</f>
        <v>Charge Effect: You may use the Resolution Effect this Turn if desired, ignoring the Set-Up Keyword. 
Resolution Effect: X is equal to 1 plus the number of Charge Tokens expended (Or any lesser value). Targets become Paralyzed on a 18+. This gains the Smite Keyword if at least 2 Charge Counters are expended this way. </v>
      </c>
      <c r="I350" s="191" t="str">
        <f>IFERROR(__xludf.DUMMYFUNCTION("""COMPUTED_VALUE"""),"--")</f>
        <v>--</v>
      </c>
      <c r="J350" s="190" t="str">
        <f>IFERROR(__xludf.DUMMYFUNCTION("""COMPUTED_VALUE"""),"Tier 2")</f>
        <v>Tier 2</v>
      </c>
      <c r="K350" s="174" t="b">
        <f>IFERROR(__xludf.DUMMYFUNCTION("""COMPUTED_VALUE"""),TRUE)</f>
        <v>1</v>
      </c>
      <c r="L350" s="174"/>
      <c r="M350" s="174"/>
      <c r="N350" s="174"/>
      <c r="O350" s="174"/>
      <c r="P350" s="174"/>
      <c r="Q350" s="174"/>
      <c r="R350" s="174"/>
      <c r="S350" s="174"/>
      <c r="T350" s="174"/>
      <c r="U350" s="174"/>
      <c r="V350" s="174"/>
      <c r="W350" s="174"/>
      <c r="X350" s="174"/>
      <c r="Y350" s="174"/>
      <c r="Z350" s="174"/>
    </row>
    <row r="351">
      <c r="A351" s="190" t="str">
        <f>IFERROR(__xludf.DUMMYFUNCTION("""COMPUTED_VALUE"""),"Eerie Impulse")</f>
        <v>Eerie Impulse</v>
      </c>
      <c r="B351" s="190" t="str">
        <f>IFERROR(__xludf.DUMMYFUNCTION("""COMPUTED_VALUE"""),"Electric")</f>
        <v>Electric</v>
      </c>
      <c r="C351" s="190" t="str">
        <f>IFERROR(__xludf.DUMMYFUNCTION("""COMPUTED_VALUE"""),"Status")</f>
        <v>Status</v>
      </c>
      <c r="D351" s="190" t="str">
        <f>IFERROR(__xludf.DUMMYFUNCTION("""COMPUTED_VALUE"""),"EOT")</f>
        <v>EOT</v>
      </c>
      <c r="E351" s="190" t="str">
        <f>IFERROR(__xludf.DUMMYFUNCTION("""COMPUTED_VALUE"""),"Burst 1, Versatile")</f>
        <v>Burst 1, Versatile</v>
      </c>
      <c r="F351" s="190">
        <f>IFERROR(__xludf.DUMMYFUNCTION("""COMPUTED_VALUE"""),5.0)</f>
        <v>5</v>
      </c>
      <c r="G351" s="190" t="str">
        <f>IFERROR(__xludf.DUMMYFUNCTION("""COMPUTED_VALUE"""),"--")</f>
        <v>--</v>
      </c>
      <c r="H351" s="191" t="str">
        <f>IFERROR(__xludf.DUMMYFUNCTION("""COMPUTED_VALUE"""),"All Targets have their Special Attack lowered by -3 CS. When this Attack hits, all Targets also become Dazed. Friendly, Spirit Surge. *Grants Glow")</f>
        <v>All Targets have their Special Attack lowered by -3 CS. When this Attack hits, all Targets also become Dazed. Friendly, Spirit Surge. *Grants Glow</v>
      </c>
      <c r="I351" s="191" t="str">
        <f>IFERROR(__xludf.DUMMYFUNCTION("""COMPUTED_VALUE"""),"All Targets lose -2 CS in Special Attack. If this misses, they instead lose -1 CS. Friendly.")</f>
        <v>All Targets lose -2 CS in Special Attack. If this misses, they instead lose -1 CS. Friendly.</v>
      </c>
      <c r="J351" s="190" t="str">
        <f>IFERROR(__xludf.DUMMYFUNCTION("""COMPUTED_VALUE"""),"Tier 1")</f>
        <v>Tier 1</v>
      </c>
      <c r="K351" s="174" t="b">
        <f>IFERROR(__xludf.DUMMYFUNCTION("""COMPUTED_VALUE"""),TRUE)</f>
        <v>1</v>
      </c>
      <c r="L351" s="174"/>
      <c r="M351" s="174"/>
      <c r="N351" s="174"/>
      <c r="O351" s="174"/>
      <c r="P351" s="174"/>
      <c r="Q351" s="174"/>
      <c r="R351" s="174"/>
      <c r="S351" s="174"/>
      <c r="T351" s="174"/>
      <c r="U351" s="174"/>
      <c r="V351" s="174"/>
      <c r="W351" s="174"/>
      <c r="X351" s="174"/>
      <c r="Y351" s="174"/>
      <c r="Z351" s="174"/>
    </row>
    <row r="352">
      <c r="A352" s="190" t="str">
        <f>IFERROR(__xludf.DUMMYFUNCTION("""COMPUTED_VALUE"""),"Electric Terrain")</f>
        <v>Electric Terrain</v>
      </c>
      <c r="B352" s="190" t="str">
        <f>IFERROR(__xludf.DUMMYFUNCTION("""COMPUTED_VALUE"""),"Electric")</f>
        <v>Electric</v>
      </c>
      <c r="C352" s="190" t="str">
        <f>IFERROR(__xludf.DUMMYFUNCTION("""COMPUTED_VALUE"""),"Status")</f>
        <v>Status</v>
      </c>
      <c r="D352" s="190" t="str">
        <f>IFERROR(__xludf.DUMMYFUNCTION("""COMPUTED_VALUE"""),"Scene x2")</f>
        <v>Scene x2</v>
      </c>
      <c r="E352" s="190" t="str">
        <f>IFERROR(__xludf.DUMMYFUNCTION("""COMPUTED_VALUE"""),"Field, Versatile, Weather")</f>
        <v>Field, Versatile, Weather</v>
      </c>
      <c r="F352" s="190" t="str">
        <f>IFERROR(__xludf.DUMMYFUNCTION("""COMPUTED_VALUE"""),"--")</f>
        <v>--</v>
      </c>
      <c r="G352" s="190" t="str">
        <f>IFERROR(__xludf.DUMMYFUNCTION("""COMPUTED_VALUE"""),"--")</f>
        <v>--</v>
      </c>
      <c r="H352" s="191" t="str">
        <f>IFERROR(__xludf.DUMMYFUNCTION("""COMPUTED_VALUE"""),"The field becomes Electrified for the next 5 Rounds. While the field is Electrified, grounded Combatants are immune to Drowsy, and Electric Type attacks ignore Speed Evasion. While the Field is Electrified, the Weather may become Thunderstorm. ")</f>
        <v>The field becomes Electrified for the next 5 Rounds. While the field is Electrified, grounded Combatants are immune to Drowsy, and Electric Type attacks ignore Speed Evasion. While the Field is Electrified, the Weather may become Thunderstorm. </v>
      </c>
      <c r="I352"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52" s="190" t="str">
        <f>IFERROR(__xludf.DUMMYFUNCTION("""COMPUTED_VALUE"""),"Tier 2")</f>
        <v>Tier 2</v>
      </c>
      <c r="K352" s="174" t="b">
        <f>IFERROR(__xludf.DUMMYFUNCTION("""COMPUTED_VALUE"""),TRUE)</f>
        <v>1</v>
      </c>
      <c r="L352" s="174"/>
      <c r="M352" s="174"/>
      <c r="N352" s="174"/>
      <c r="O352" s="174"/>
      <c r="P352" s="174"/>
      <c r="Q352" s="174"/>
      <c r="R352" s="174"/>
      <c r="S352" s="174"/>
      <c r="T352" s="174"/>
      <c r="U352" s="174"/>
      <c r="V352" s="174"/>
      <c r="W352" s="174"/>
      <c r="X352" s="174"/>
      <c r="Y352" s="174"/>
      <c r="Z352" s="174"/>
    </row>
    <row r="353">
      <c r="A353" s="190" t="str">
        <f>IFERROR(__xludf.DUMMYFUNCTION("""COMPUTED_VALUE"""),"Electrify")</f>
        <v>Electrify</v>
      </c>
      <c r="B353" s="190" t="str">
        <f>IFERROR(__xludf.DUMMYFUNCTION("""COMPUTED_VALUE"""),"Electric")</f>
        <v>Electric</v>
      </c>
      <c r="C353" s="190" t="str">
        <f>IFERROR(__xludf.DUMMYFUNCTION("""COMPUTED_VALUE"""),"Status")</f>
        <v>Status</v>
      </c>
      <c r="D353" s="190" t="str">
        <f>IFERROR(__xludf.DUMMYFUNCTION("""COMPUTED_VALUE"""),"Scene x2")</f>
        <v>Scene x2</v>
      </c>
      <c r="E353" s="190" t="str">
        <f>IFERROR(__xludf.DUMMYFUNCTION("""COMPUTED_VALUE"""),"Burst 2, Coat, Versatile")</f>
        <v>Burst 2, Coat, Versatile</v>
      </c>
      <c r="F353" s="190">
        <f>IFERROR(__xludf.DUMMYFUNCTION("""COMPUTED_VALUE"""),6.0)</f>
        <v>6</v>
      </c>
      <c r="G353" s="190" t="str">
        <f>IFERROR(__xludf.DUMMYFUNCTION("""COMPUTED_VALUE"""),"--")</f>
        <v>--</v>
      </c>
      <c r="H353" s="191" t="str">
        <f>IFERROR(__xludf.DUMMYFUNCTION("""COMPUTED_VALUE"""),"The Target gains an Electrified Coat. While the combatant is Electrified, all Electric Type Damaging Attacks that would miss the combatant instead deal Smite Damage or hit if the Attack has the Smite Keyword already. Whenever the combatant would be hit by"&amp;" an Electric Type Damaging Attack with an Effect Range that causes Paralysis, the Attacker may expend this Coat to trigger that Effect Range. Friendly.")</f>
        <v>The Target gains an Electrified Coat. While the combatant is Electrified, all Electric Type Damaging Attacks that would miss the combatant instead deal Smite Damage or hit if the Attack has the Smite Keyword already. Whenever the combatant would be hit by an Electric Type Damaging Attack with an Effect Range that causes Paralysis, the Attacker may expend this Coat to trigger that Effect Range. Friendly.</v>
      </c>
      <c r="I353" s="191" t="str">
        <f>IFERROR(__xludf.DUMMYFUNCTION("""COMPUTED_VALUE"""),"Same as the normal Effects, but the Range is changed to 4, 1 Target. ")</f>
        <v>Same as the normal Effects, but the Range is changed to 4, 1 Target. </v>
      </c>
      <c r="J353" s="190" t="str">
        <f>IFERROR(__xludf.DUMMYFUNCTION("""COMPUTED_VALUE"""),"Tier 2")</f>
        <v>Tier 2</v>
      </c>
      <c r="K353" s="174" t="b">
        <f>IFERROR(__xludf.DUMMYFUNCTION("""COMPUTED_VALUE"""),TRUE)</f>
        <v>1</v>
      </c>
      <c r="L353" s="174"/>
      <c r="M353" s="174"/>
      <c r="N353" s="174"/>
      <c r="O353" s="174"/>
      <c r="P353" s="174"/>
      <c r="Q353" s="174"/>
      <c r="R353" s="174"/>
      <c r="S353" s="174"/>
      <c r="T353" s="174"/>
      <c r="U353" s="174"/>
      <c r="V353" s="174"/>
      <c r="W353" s="174"/>
      <c r="X353" s="174"/>
      <c r="Y353" s="174"/>
      <c r="Z353" s="174"/>
    </row>
    <row r="354">
      <c r="A354" s="190" t="str">
        <f>IFERROR(__xludf.DUMMYFUNCTION("""COMPUTED_VALUE"""),"Electro Ball")</f>
        <v>Electro Ball</v>
      </c>
      <c r="B354" s="190" t="str">
        <f>IFERROR(__xludf.DUMMYFUNCTION("""COMPUTED_VALUE"""),"Electric")</f>
        <v>Electric</v>
      </c>
      <c r="C354" s="190" t="str">
        <f>IFERROR(__xludf.DUMMYFUNCTION("""COMPUTED_VALUE"""),"Special")</f>
        <v>Special</v>
      </c>
      <c r="D354" s="190" t="str">
        <f>IFERROR(__xludf.DUMMYFUNCTION("""COMPUTED_VALUE"""),"EOT")</f>
        <v>EOT</v>
      </c>
      <c r="E354" s="190" t="str">
        <f>IFERROR(__xludf.DUMMYFUNCTION("""COMPUTED_VALUE"""),"10, 1 Target")</f>
        <v>10, 1 Target</v>
      </c>
      <c r="F354" s="190">
        <f>IFERROR(__xludf.DUMMYFUNCTION("""COMPUTED_VALUE"""),3.0)</f>
        <v>3</v>
      </c>
      <c r="G354" s="190">
        <f>IFERROR(__xludf.DUMMYFUNCTION("""COMPUTED_VALUE"""),6.0)</f>
        <v>6</v>
      </c>
      <c r="H354" s="191" t="str">
        <f>IFERROR(__xludf.DUMMYFUNCTION("""COMPUTED_VALUE"""),"Electro Ball may use the user's Speed Stat as an Offensive Stat instead of their Special Attack.")</f>
        <v>Electro Ball may use the user's Speed Stat as an Offensive Stat instead of their Special Attack.</v>
      </c>
      <c r="I354" s="191" t="str">
        <f>IFERROR(__xludf.DUMMYFUNCTION("""COMPUTED_VALUE"""),"--")</f>
        <v>--</v>
      </c>
      <c r="J354" s="190" t="str">
        <f>IFERROR(__xludf.DUMMYFUNCTION("""COMPUTED_VALUE"""),"Tier 1")</f>
        <v>Tier 1</v>
      </c>
      <c r="K354" s="174" t="b">
        <f>IFERROR(__xludf.DUMMYFUNCTION("""COMPUTED_VALUE"""),TRUE)</f>
        <v>1</v>
      </c>
      <c r="L354" s="174"/>
      <c r="M354" s="174"/>
      <c r="N354" s="174"/>
      <c r="O354" s="174"/>
      <c r="P354" s="174"/>
      <c r="Q354" s="174"/>
      <c r="R354" s="174"/>
      <c r="S354" s="174"/>
      <c r="T354" s="174"/>
      <c r="U354" s="174"/>
      <c r="V354" s="174"/>
      <c r="W354" s="174"/>
      <c r="X354" s="174"/>
      <c r="Y354" s="174"/>
      <c r="Z354" s="174"/>
    </row>
    <row r="355">
      <c r="A355" s="190" t="str">
        <f>IFERROR(__xludf.DUMMYFUNCTION("""COMPUTED_VALUE"""),"Electro Burst")</f>
        <v>Electro Burst</v>
      </c>
      <c r="B355" s="190" t="str">
        <f>IFERROR(__xludf.DUMMYFUNCTION("""COMPUTED_VALUE"""),"Electric")</f>
        <v>Electric</v>
      </c>
      <c r="C355" s="190" t="str">
        <f>IFERROR(__xludf.DUMMYFUNCTION("""COMPUTED_VALUE"""),"Status")</f>
        <v>Status</v>
      </c>
      <c r="D355" s="190" t="str">
        <f>IFERROR(__xludf.DUMMYFUNCTION("""COMPUTED_VALUE"""),"Scene x2")</f>
        <v>Scene x2</v>
      </c>
      <c r="E355" s="190" t="str">
        <f>IFERROR(__xludf.DUMMYFUNCTION("""COMPUTED_VALUE"""),"Burst 2, Versatile")</f>
        <v>Burst 2, Versatile</v>
      </c>
      <c r="F355" s="190">
        <f>IFERROR(__xludf.DUMMYFUNCTION("""COMPUTED_VALUE"""),6.0)</f>
        <v>6</v>
      </c>
      <c r="G355" s="190" t="str">
        <f>IFERROR(__xludf.DUMMYFUNCTION("""COMPUTED_VALUE"""),"--")</f>
        <v>--</v>
      </c>
      <c r="H355" s="191" t="str">
        <f>IFERROR(__xludf.DUMMYFUNCTION("""COMPUTED_VALUE"""),"All Targets become Paralyzed. If they're already Paralyzed, they instead become Dazed. If this Attack misses, their Movement Value is halved during their next Turn. Spirit Surge")</f>
        <v>All Targets become Paralyzed. If they're already Paralyzed, they instead become Dazed. If this Attack misses, their Movement Value is halved during their next Turn. Spirit Surge</v>
      </c>
      <c r="I355" s="191" t="str">
        <f>IFERROR(__xludf.DUMMYFUNCTION("""COMPUTED_VALUE"""),"All Paralyzed Targets cannot cure the Paralyzed Affliction until the end of the next Round.")</f>
        <v>All Paralyzed Targets cannot cure the Paralyzed Affliction until the end of the next Round.</v>
      </c>
      <c r="J355" s="190" t="str">
        <f>IFERROR(__xludf.DUMMYFUNCTION("""COMPUTED_VALUE"""),"Tier 2")</f>
        <v>Tier 2</v>
      </c>
      <c r="K355" s="174" t="b">
        <f>IFERROR(__xludf.DUMMYFUNCTION("""COMPUTED_VALUE"""),TRUE)</f>
        <v>1</v>
      </c>
      <c r="L355" s="174"/>
      <c r="M355" s="174"/>
      <c r="N355" s="174"/>
      <c r="O355" s="174"/>
      <c r="P355" s="174"/>
      <c r="Q355" s="174"/>
      <c r="R355" s="174"/>
      <c r="S355" s="174"/>
      <c r="T355" s="174"/>
      <c r="U355" s="174"/>
      <c r="V355" s="174"/>
      <c r="W355" s="174"/>
      <c r="X355" s="174"/>
      <c r="Y355" s="174"/>
      <c r="Z355" s="174"/>
    </row>
    <row r="356">
      <c r="A356" s="190" t="str">
        <f>IFERROR(__xludf.DUMMYFUNCTION("""COMPUTED_VALUE"""),"Electro Shot")</f>
        <v>Electro Shot</v>
      </c>
      <c r="B356" s="190" t="str">
        <f>IFERROR(__xludf.DUMMYFUNCTION("""COMPUTED_VALUE"""),"Electric")</f>
        <v>Electric</v>
      </c>
      <c r="C356" s="190" t="str">
        <f>IFERROR(__xludf.DUMMYFUNCTION("""COMPUTED_VALUE"""),"Special")</f>
        <v>Special</v>
      </c>
      <c r="D356" s="190" t="str">
        <f>IFERROR(__xludf.DUMMYFUNCTION("""COMPUTED_VALUE"""),"Scene")</f>
        <v>Scene</v>
      </c>
      <c r="E356" s="190" t="str">
        <f>IFERROR(__xludf.DUMMYFUNCTION("""COMPUTED_VALUE"""),"Line X, Set-Up")</f>
        <v>Line X, Set-Up</v>
      </c>
      <c r="F356" s="190">
        <f>IFERROR(__xludf.DUMMYFUNCTION("""COMPUTED_VALUE"""),4.0)</f>
        <v>4</v>
      </c>
      <c r="G356" s="190">
        <f>IFERROR(__xludf.DUMMYFUNCTION("""COMPUTED_VALUE"""),8.0)</f>
        <v>8</v>
      </c>
      <c r="H356" s="191" t="str">
        <f>IFERROR(__xludf.DUMMYFUNCTION("""COMPUTED_VALUE"""),"Charge Effect: If the Weather is Sandstorm, you cannot use this Charge Effect. If the Weather is Thunderstorm, you instead gain 2 Charge Tokens. 
Resolution Effect: X is equal to 4 plus the number of Charge Tokens you expend. This Attack’s Damage Base is "&amp;"increased by +2 for each Charge Token you expend. Smite")</f>
        <v>Charge Effect: If the Weather is Sandstorm, you cannot use this Charge Effect. If the Weather is Thunderstorm, you instead gain 2 Charge Tokens. 
Resolution Effect: X is equal to 4 plus the number of Charge Tokens you expend. This Attack’s Damage Base is increased by +2 for each Charge Token you expend. Smite</v>
      </c>
      <c r="I356" s="191" t="str">
        <f>IFERROR(__xludf.DUMMYFUNCTION("""COMPUTED_VALUE"""),"--")</f>
        <v>--</v>
      </c>
      <c r="J356" s="190" t="str">
        <f>IFERROR(__xludf.DUMMYFUNCTION("""COMPUTED_VALUE"""),"Tier 2")</f>
        <v>Tier 2</v>
      </c>
      <c r="K356" s="174" t="b">
        <f>IFERROR(__xludf.DUMMYFUNCTION("""COMPUTED_VALUE"""),TRUE)</f>
        <v>1</v>
      </c>
      <c r="L356" s="174"/>
      <c r="M356" s="174"/>
      <c r="N356" s="174"/>
      <c r="O356" s="174"/>
      <c r="P356" s="174"/>
      <c r="Q356" s="174"/>
      <c r="R356" s="174"/>
      <c r="S356" s="174"/>
      <c r="T356" s="174"/>
      <c r="U356" s="174"/>
      <c r="V356" s="174"/>
      <c r="W356" s="174"/>
      <c r="X356" s="174"/>
      <c r="Y356" s="174"/>
      <c r="Z356" s="174"/>
    </row>
    <row r="357">
      <c r="A357" s="190" t="str">
        <f>IFERROR(__xludf.DUMMYFUNCTION("""COMPUTED_VALUE"""),"Electroweb")</f>
        <v>Electroweb</v>
      </c>
      <c r="B357" s="190" t="str">
        <f>IFERROR(__xludf.DUMMYFUNCTION("""COMPUTED_VALUE"""),"Electric")</f>
        <v>Electric</v>
      </c>
      <c r="C357" s="190" t="str">
        <f>IFERROR(__xludf.DUMMYFUNCTION("""COMPUTED_VALUE"""),"Special")</f>
        <v>Special</v>
      </c>
      <c r="D357" s="190" t="str">
        <f>IFERROR(__xludf.DUMMYFUNCTION("""COMPUTED_VALUE"""),"EOT")</f>
        <v>EOT</v>
      </c>
      <c r="E357" s="190" t="str">
        <f>IFERROR(__xludf.DUMMYFUNCTION("""COMPUTED_VALUE"""),"6, Ranged Blast 2")</f>
        <v>6, Ranged Blast 2</v>
      </c>
      <c r="F357" s="190">
        <f>IFERROR(__xludf.DUMMYFUNCTION("""COMPUTED_VALUE"""),5.0)</f>
        <v>5</v>
      </c>
      <c r="G357" s="190">
        <f>IFERROR(__xludf.DUMMYFUNCTION("""COMPUTED_VALUE"""),6.0)</f>
        <v>6</v>
      </c>
      <c r="H357" s="191" t="str">
        <f>IFERROR(__xludf.DUMMYFUNCTION("""COMPUTED_VALUE"""),"If this Attack misses all Targets, you may place Web Hazards in all spaces within the Range of this Attack. Enemies that Trigger this Web Hazard become Paralyzed. Spirit Surge
Web Hazard - Spaces with Web Hazards are treated as Slow Terrain. Whenever an "&amp;"Enemy passes through or ends their turn on a Web Hazard, they have their Speed lowered by -3 CS.")</f>
        <v>If this Attack misses all Targets, you may place Web Hazards in all spaces within the Range of this Attack. Enemies that Trigger this Web Hazard become Paralyzed. Spirit Surge
Web Hazard - Spaces with Web Hazards are treated as Slow Terrain. Whenever an Enemy passes through or ends their turn on a Web Hazard, they have their Speed lowered by -3 CS.</v>
      </c>
      <c r="I357" s="191" t="str">
        <f>IFERROR(__xludf.DUMMYFUNCTION("""COMPUTED_VALUE"""),"--")</f>
        <v>--</v>
      </c>
      <c r="J357" s="190" t="str">
        <f>IFERROR(__xludf.DUMMYFUNCTION("""COMPUTED_VALUE"""),"Tier 1")</f>
        <v>Tier 1</v>
      </c>
      <c r="K357" s="174" t="b">
        <f>IFERROR(__xludf.DUMMYFUNCTION("""COMPUTED_VALUE"""),TRUE)</f>
        <v>1</v>
      </c>
      <c r="L357" s="174"/>
      <c r="M357" s="174"/>
      <c r="N357" s="174"/>
      <c r="O357" s="174"/>
      <c r="P357" s="174"/>
      <c r="Q357" s="174"/>
      <c r="R357" s="174"/>
      <c r="S357" s="174"/>
      <c r="T357" s="174"/>
      <c r="U357" s="174"/>
      <c r="V357" s="174"/>
      <c r="W357" s="174"/>
      <c r="X357" s="174"/>
      <c r="Y357" s="174"/>
      <c r="Z357" s="174"/>
    </row>
    <row r="358">
      <c r="A358" s="190" t="str">
        <f>IFERROR(__xludf.DUMMYFUNCTION("""COMPUTED_VALUE"""),"Energy Bomb")</f>
        <v>Energy Bomb</v>
      </c>
      <c r="B358" s="190" t="str">
        <f>IFERROR(__xludf.DUMMYFUNCTION("""COMPUTED_VALUE"""),"Electric")</f>
        <v>Electric</v>
      </c>
      <c r="C358" s="190" t="str">
        <f>IFERROR(__xludf.DUMMYFUNCTION("""COMPUTED_VALUE"""),"Special")</f>
        <v>Special</v>
      </c>
      <c r="D358" s="190" t="str">
        <f>IFERROR(__xludf.DUMMYFUNCTION("""COMPUTED_VALUE"""),"Scene")</f>
        <v>Scene</v>
      </c>
      <c r="E358" s="190" t="str">
        <f>IFERROR(__xludf.DUMMYFUNCTION("""COMPUTED_VALUE"""),"Burst 2, Recoil 1/2, Set-Up")</f>
        <v>Burst 2, Recoil 1/2, Set-Up</v>
      </c>
      <c r="F358" s="190">
        <f>IFERROR(__xludf.DUMMYFUNCTION("""COMPUTED_VALUE"""),5.0)</f>
        <v>5</v>
      </c>
      <c r="G358" s="190" t="str">
        <f>IFERROR(__xludf.DUMMYFUNCTION("""COMPUTED_VALUE"""),"X")</f>
        <v>X</v>
      </c>
      <c r="H358" s="191" t="str">
        <f>IFERROR(__xludf.DUMMYFUNCTION("""COMPUTED_VALUE"""),"Charge Effect: No Effect. Whenever you end your Turn with a Charge Counter from this Attack, you lose a Tick of Hit Points.
Resolution Effect: X is equal to your expended Charge Tokens multiplied by 5, then add +5. Smite")</f>
        <v>Charge Effect: No Effect. Whenever you end your Turn with a Charge Counter from this Attack, you lose a Tick of Hit Points.
Resolution Effect: X is equal to your expended Charge Tokens multiplied by 5, then add +5. Smite</v>
      </c>
      <c r="I358" s="191" t="str">
        <f>IFERROR(__xludf.DUMMYFUNCTION("""COMPUTED_VALUE"""),"--")</f>
        <v>--</v>
      </c>
      <c r="J358" s="190" t="str">
        <f>IFERROR(__xludf.DUMMYFUNCTION("""COMPUTED_VALUE"""),"Tier 3")</f>
        <v>Tier 3</v>
      </c>
      <c r="K358" s="174" t="b">
        <f>IFERROR(__xludf.DUMMYFUNCTION("""COMPUTED_VALUE"""),TRUE)</f>
        <v>1</v>
      </c>
      <c r="L358" s="174"/>
      <c r="M358" s="174"/>
      <c r="N358" s="174"/>
      <c r="O358" s="174"/>
      <c r="P358" s="174"/>
      <c r="Q358" s="174"/>
      <c r="R358" s="174"/>
      <c r="S358" s="174"/>
      <c r="T358" s="174"/>
      <c r="U358" s="174"/>
      <c r="V358" s="174"/>
      <c r="W358" s="174"/>
      <c r="X358" s="174"/>
      <c r="Y358" s="174"/>
      <c r="Z358" s="174"/>
    </row>
    <row r="359">
      <c r="A359" s="190" t="str">
        <f>IFERROR(__xludf.DUMMYFUNCTION("""COMPUTED_VALUE"""),"Gigavolt")</f>
        <v>Gigavolt</v>
      </c>
      <c r="B359" s="190" t="str">
        <f>IFERROR(__xludf.DUMMYFUNCTION("""COMPUTED_VALUE"""),"Electric")</f>
        <v>Electric</v>
      </c>
      <c r="C359" s="190" t="str">
        <f>IFERROR(__xludf.DUMMYFUNCTION("""COMPUTED_VALUE"""),"Physical")</f>
        <v>Physical</v>
      </c>
      <c r="D359" s="190" t="str">
        <f>IFERROR(__xludf.DUMMYFUNCTION("""COMPUTED_VALUE"""),"Scene x2")</f>
        <v>Scene x2</v>
      </c>
      <c r="E359" s="190" t="str">
        <f>IFERROR(__xludf.DUMMYFUNCTION("""COMPUTED_VALUE"""),"Close Blast 3, Full Action, Recoil 1/3, Reckless")</f>
        <v>Close Blast 3, Full Action, Recoil 1/3, Reckless</v>
      </c>
      <c r="F359" s="190">
        <f>IFERROR(__xludf.DUMMYFUNCTION("""COMPUTED_VALUE"""),5.0)</f>
        <v>5</v>
      </c>
      <c r="G359" s="190">
        <f>IFERROR(__xludf.DUMMYFUNCTION("""COMPUTED_VALUE"""),10.0)</f>
        <v>10</v>
      </c>
      <c r="H359" s="191" t="str">
        <f>IFERROR(__xludf.DUMMYFUNCTION("""COMPUTED_VALUE"""),"Gigavolt cannot miss Paralyzed Targets. If the Weather is Thunderstorm, the Recoil Keyword is ignored. Smite")</f>
        <v>Gigavolt cannot miss Paralyzed Targets. If the Weather is Thunderstorm, the Recoil Keyword is ignored. Smite</v>
      </c>
      <c r="I359" s="191" t="str">
        <f>IFERROR(__xludf.DUMMYFUNCTION("""COMPUTED_VALUE"""),"--")</f>
        <v>--</v>
      </c>
      <c r="J359" s="190" t="str">
        <f>IFERROR(__xludf.DUMMYFUNCTION("""COMPUTED_VALUE"""),"Tier 3")</f>
        <v>Tier 3</v>
      </c>
      <c r="K359" s="174" t="b">
        <f>IFERROR(__xludf.DUMMYFUNCTION("""COMPUTED_VALUE"""),TRUE)</f>
        <v>1</v>
      </c>
      <c r="L359" s="174"/>
      <c r="M359" s="174"/>
      <c r="N359" s="174"/>
      <c r="O359" s="174"/>
      <c r="P359" s="174"/>
      <c r="Q359" s="174"/>
      <c r="R359" s="174"/>
      <c r="S359" s="174"/>
      <c r="T359" s="174"/>
      <c r="U359" s="174"/>
      <c r="V359" s="174"/>
      <c r="W359" s="174"/>
      <c r="X359" s="174"/>
      <c r="Y359" s="174"/>
      <c r="Z359" s="174"/>
    </row>
    <row r="360">
      <c r="A360" s="190" t="str">
        <f>IFERROR(__xludf.DUMMYFUNCTION("""COMPUTED_VALUE"""),"Ion Capture")</f>
        <v>Ion Capture</v>
      </c>
      <c r="B360" s="190" t="str">
        <f>IFERROR(__xludf.DUMMYFUNCTION("""COMPUTED_VALUE"""),"Electric")</f>
        <v>Electric</v>
      </c>
      <c r="C360" s="190" t="str">
        <f>IFERROR(__xludf.DUMMYFUNCTION("""COMPUTED_VALUE"""),"Status")</f>
        <v>Status</v>
      </c>
      <c r="D360" s="190" t="str">
        <f>IFERROR(__xludf.DUMMYFUNCTION("""COMPUTED_VALUE"""),"Scene x2")</f>
        <v>Scene x2</v>
      </c>
      <c r="E360" s="190" t="str">
        <f>IFERROR(__xludf.DUMMYFUNCTION("""COMPUTED_VALUE"""),"Self, Healing, Versatile")</f>
        <v>Self, Healing, Versatile</v>
      </c>
      <c r="F360" s="190" t="str">
        <f>IFERROR(__xludf.DUMMYFUNCTION("""COMPUTED_VALUE"""),"--")</f>
        <v>--</v>
      </c>
      <c r="G360" s="190" t="str">
        <f>IFERROR(__xludf.DUMMYFUNCTION("""COMPUTED_VALUE"""),"--")</f>
        <v>--</v>
      </c>
      <c r="H360" s="191" t="str">
        <f>IFERROR(__xludf.DUMMYFUNCTION("""COMPUTED_VALUE"""),"The user restores 5 Ticks of Hit Points. If the Field or Space the user is standing on is affected by an Electric Attack or the Weather is Thunderstorm, the user is also cured of a Status Affliction. This cannot be used if there is weather other than Thun"&amp;"derstorm on the Field.")</f>
        <v>The user restores 5 Ticks of Hit Points. If the Field or Space the user is standing on is affected by an Electric Attack or the Weather is Thunderstorm, the user is also cured of a Status Affliction. This cannot be used if there is weather other than Thunderstorm on the Field.</v>
      </c>
      <c r="I360" s="191" t="str">
        <f>IFERROR(__xludf.DUMMYFUNCTION("""COMPUTED_VALUE"""),"The user restores 2 Ticks of Hit Points. Ion Capture can only be used this way if the Field is affected by an Electric Attack or the Weather is Thunderstorm and there is no other Weather on the Field.")</f>
        <v>The user restores 2 Ticks of Hit Points. Ion Capture can only be used this way if the Field is affected by an Electric Attack or the Weather is Thunderstorm and there is no other Weather on the Field.</v>
      </c>
      <c r="J360" s="190" t="str">
        <f>IFERROR(__xludf.DUMMYFUNCTION("""COMPUTED_VALUE"""),"Tier 2")</f>
        <v>Tier 2</v>
      </c>
      <c r="K360" s="174" t="b">
        <f>IFERROR(__xludf.DUMMYFUNCTION("""COMPUTED_VALUE"""),TRUE)</f>
        <v>1</v>
      </c>
      <c r="L360" s="174"/>
      <c r="M360" s="174"/>
      <c r="N360" s="174"/>
      <c r="O360" s="174"/>
      <c r="P360" s="174"/>
      <c r="Q360" s="174"/>
      <c r="R360" s="174"/>
      <c r="S360" s="174"/>
      <c r="T360" s="174"/>
      <c r="U360" s="174"/>
      <c r="V360" s="174"/>
      <c r="W360" s="174"/>
      <c r="X360" s="174"/>
      <c r="Y360" s="174"/>
      <c r="Z360" s="174"/>
    </row>
    <row r="361">
      <c r="A361" s="190" t="str">
        <f>IFERROR(__xludf.DUMMYFUNCTION("""COMPUTED_VALUE"""),"Ion Deluge")</f>
        <v>Ion Deluge</v>
      </c>
      <c r="B361" s="190" t="str">
        <f>IFERROR(__xludf.DUMMYFUNCTION("""COMPUTED_VALUE"""),"Electric")</f>
        <v>Electric</v>
      </c>
      <c r="C361" s="190" t="str">
        <f>IFERROR(__xludf.DUMMYFUNCTION("""COMPUTED_VALUE"""),"Status")</f>
        <v>Status</v>
      </c>
      <c r="D361" s="190" t="str">
        <f>IFERROR(__xludf.DUMMYFUNCTION("""COMPUTED_VALUE"""),"Scene x2")</f>
        <v>Scene x2</v>
      </c>
      <c r="E361" s="190" t="str">
        <f>IFERROR(__xludf.DUMMYFUNCTION("""COMPUTED_VALUE"""),"5, Ranged Blast 3 or Burst 2, Hazard, Versatile")</f>
        <v>5, Ranged Blast 3 or Burst 2, Hazard, Versatile</v>
      </c>
      <c r="F361" s="190" t="str">
        <f>IFERROR(__xludf.DUMMYFUNCTION("""COMPUTED_VALUE"""),"--")</f>
        <v>--</v>
      </c>
      <c r="G361" s="190" t="str">
        <f>IFERROR(__xludf.DUMMYFUNCTION("""COMPUTED_VALUE"""),"--")</f>
        <v>--</v>
      </c>
      <c r="H361" s="191" t="str">
        <f>IFERROR(__xludf.DUMMYFUNCTION("""COMPUTED_VALUE"""),"Gas Hazards are created in all Spaces within the Range of this Attack. Enemies that Trigger this Hazard become Paralyzed and cannot increase their Combat Stages until the end of their next Turn.
Gas Hazards - Any Enemy who ends their Turn on or moves thr"&amp;"ough a Gas Hazard loses one Tick of Hit Points and suffers any additional effects derived from the source. This Effect is ignored by Combatants with the Breathless Capability. ")</f>
        <v>Gas Hazards are created in all Spaces within the Range of this Attack. Enemies that Trigger this Hazard become Paralyzed and cannot increase their Combat Stages until the end of their next Turn.
Gas Hazards - Any Enemy who ends their Turn on or moves through a Gas Hazard loses one Tick of Hit Points and suffers any additional effects derived from the source. This Effect is ignored by Combatants with the Breathless Capability. </v>
      </c>
      <c r="I361" s="191" t="str">
        <f>IFERROR(__xludf.DUMMYFUNCTION("""COMPUTED_VALUE"""),"Same as the normal Effects, but Ion Deluge can only be used this way if you used a non-Field or Self Status Attack this Turn. Gas Hazards are then created on each space within the Range of that Attack.")</f>
        <v>Same as the normal Effects, but Ion Deluge can only be used this way if you used a non-Field or Self Status Attack this Turn. Gas Hazards are then created on each space within the Range of that Attack.</v>
      </c>
      <c r="J361" s="190" t="str">
        <f>IFERROR(__xludf.DUMMYFUNCTION("""COMPUTED_VALUE"""),"Tier 2")</f>
        <v>Tier 2</v>
      </c>
      <c r="K361" s="174" t="b">
        <f>IFERROR(__xludf.DUMMYFUNCTION("""COMPUTED_VALUE"""),TRUE)</f>
        <v>1</v>
      </c>
      <c r="L361" s="174"/>
      <c r="M361" s="174"/>
      <c r="N361" s="174"/>
      <c r="O361" s="174"/>
      <c r="P361" s="174"/>
      <c r="Q361" s="174"/>
      <c r="R361" s="174"/>
      <c r="S361" s="174"/>
      <c r="T361" s="174"/>
      <c r="U361" s="174"/>
      <c r="V361" s="174"/>
      <c r="W361" s="174"/>
      <c r="X361" s="174"/>
      <c r="Y361" s="174"/>
      <c r="Z361" s="174"/>
    </row>
    <row r="362">
      <c r="A362" s="190" t="str">
        <f>IFERROR(__xludf.DUMMYFUNCTION("""COMPUTED_VALUE"""),"Lightning Lance")</f>
        <v>Lightning Lance</v>
      </c>
      <c r="B362" s="190" t="str">
        <f>IFERROR(__xludf.DUMMYFUNCTION("""COMPUTED_VALUE"""),"Electric")</f>
        <v>Electric</v>
      </c>
      <c r="C362" s="190" t="str">
        <f>IFERROR(__xludf.DUMMYFUNCTION("""COMPUTED_VALUE"""),"Special")</f>
        <v>Special</v>
      </c>
      <c r="D362" s="190" t="str">
        <f>IFERROR(__xludf.DUMMYFUNCTION("""COMPUTED_VALUE"""),"Scene x2")</f>
        <v>Scene x2</v>
      </c>
      <c r="E362" s="190" t="str">
        <f>IFERROR(__xludf.DUMMYFUNCTION("""COMPUTED_VALUE"""),"Line 6, Full Action, Recoil 1/3")</f>
        <v>Line 6, Full Action, Recoil 1/3</v>
      </c>
      <c r="F362" s="190">
        <f>IFERROR(__xludf.DUMMYFUNCTION("""COMPUTED_VALUE"""),6.0)</f>
        <v>6</v>
      </c>
      <c r="G362" s="190">
        <f>IFERROR(__xludf.DUMMYFUNCTION("""COMPUTED_VALUE"""),13.0)</f>
        <v>13</v>
      </c>
      <c r="H362" s="191" t="str">
        <f>IFERROR(__xludf.DUMMYFUNCTION("""COMPUTED_VALUE"""),"On a roll of 17+, all Legal Targets become Paralyzed. If the Weather is Thunderstorm, Lighting Lance ignores Special Evasion. Smite. ")</f>
        <v>On a roll of 17+, all Legal Targets become Paralyzed. If the Weather is Thunderstorm, Lighting Lance ignores Special Evasion. Smite. </v>
      </c>
      <c r="I362" s="191" t="str">
        <f>IFERROR(__xludf.DUMMYFUNCTION("""COMPUTED_VALUE"""),"--")</f>
        <v>--</v>
      </c>
      <c r="J362" s="190" t="str">
        <f>IFERROR(__xludf.DUMMYFUNCTION("""COMPUTED_VALUE"""),"Tier 3")</f>
        <v>Tier 3</v>
      </c>
      <c r="K362" s="174" t="b">
        <f>IFERROR(__xludf.DUMMYFUNCTION("""COMPUTED_VALUE"""),TRUE)</f>
        <v>1</v>
      </c>
      <c r="L362" s="174"/>
      <c r="M362" s="174"/>
      <c r="N362" s="174"/>
      <c r="O362" s="174"/>
      <c r="P362" s="174"/>
      <c r="Q362" s="174"/>
      <c r="R362" s="174"/>
      <c r="S362" s="174"/>
      <c r="T362" s="174"/>
      <c r="U362" s="174"/>
      <c r="V362" s="174"/>
      <c r="W362" s="174"/>
      <c r="X362" s="174"/>
      <c r="Y362" s="174"/>
      <c r="Z362" s="174"/>
    </row>
    <row r="363">
      <c r="A363" s="190" t="str">
        <f>IFERROR(__xludf.DUMMYFUNCTION("""COMPUTED_VALUE"""),"Magnet Rise")</f>
        <v>Magnet Rise</v>
      </c>
      <c r="B363" s="190" t="str">
        <f>IFERROR(__xludf.DUMMYFUNCTION("""COMPUTED_VALUE"""),"Electric")</f>
        <v>Electric</v>
      </c>
      <c r="C363" s="190" t="str">
        <f>IFERROR(__xludf.DUMMYFUNCTION("""COMPUTED_VALUE"""),"Status")</f>
        <v>Status</v>
      </c>
      <c r="D363" s="190" t="str">
        <f>IFERROR(__xludf.DUMMYFUNCTION("""COMPUTED_VALUE"""),"Scene")</f>
        <v>Scene</v>
      </c>
      <c r="E363" s="190" t="str">
        <f>IFERROR(__xludf.DUMMYFUNCTION("""COMPUTED_VALUE"""),"Self, Trigger, Shield, Versatile")</f>
        <v>Self, Trigger, Shield, Versatile</v>
      </c>
      <c r="F363" s="190" t="str">
        <f>IFERROR(__xludf.DUMMYFUNCTION("""COMPUTED_VALUE"""),"--")</f>
        <v>--</v>
      </c>
      <c r="G363" s="190" t="str">
        <f>IFERROR(__xludf.DUMMYFUNCTION("""COMPUTED_VALUE"""),"--")</f>
        <v>--</v>
      </c>
      <c r="H363" s="191" t="str">
        <f>IFERROR(__xludf.DUMMYFUNCTION("""COMPUTED_VALUE"""),"If the user is hit by an Groundsource or Burst Attack, the user may use Magnet Rise as a Standard Action + Reaction. The user is instead not hit by the Attack. The user does not take any damage nor is affected by any of the Attack's effects.")</f>
        <v>If the user is hit by an Groundsource or Burst Attack, the user may use Magnet Rise as a Standard Action + Reaction. The user is instead not hit by the Attack. The user does not take any damage nor is affected by any of the Attack's effects.</v>
      </c>
      <c r="I363" s="191" t="str">
        <f>IFERROR(__xludf.DUMMYFUNCTION("""COMPUTED_VALUE"""),"You ignore the effects of all Hazards until the end of your Turn. When used this way, the Frequency of this Attack is not expended.")</f>
        <v>You ignore the effects of all Hazards until the end of your Turn. When used this way, the Frequency of this Attack is not expended.</v>
      </c>
      <c r="J363" s="190" t="str">
        <f>IFERROR(__xludf.DUMMYFUNCTION("""COMPUTED_VALUE"""),"Tier 3")</f>
        <v>Tier 3</v>
      </c>
      <c r="K363" s="174" t="b">
        <f>IFERROR(__xludf.DUMMYFUNCTION("""COMPUTED_VALUE"""),TRUE)</f>
        <v>1</v>
      </c>
      <c r="L363" s="174"/>
      <c r="M363" s="174"/>
      <c r="N363" s="174"/>
      <c r="O363" s="174"/>
      <c r="P363" s="174"/>
      <c r="Q363" s="174"/>
      <c r="R363" s="174"/>
      <c r="S363" s="174"/>
      <c r="T363" s="174"/>
      <c r="U363" s="174"/>
      <c r="V363" s="174"/>
      <c r="W363" s="174"/>
      <c r="X363" s="174"/>
      <c r="Y363" s="174"/>
      <c r="Z363" s="174"/>
    </row>
    <row r="364">
      <c r="A364" s="190" t="str">
        <f>IFERROR(__xludf.DUMMYFUNCTION("""COMPUTED_VALUE"""),"Magnetic Flux")</f>
        <v>Magnetic Flux</v>
      </c>
      <c r="B364" s="190" t="str">
        <f>IFERROR(__xludf.DUMMYFUNCTION("""COMPUTED_VALUE"""),"Electric")</f>
        <v>Electric</v>
      </c>
      <c r="C364" s="190" t="str">
        <f>IFERROR(__xludf.DUMMYFUNCTION("""COMPUTED_VALUE"""),"Status")</f>
        <v>Status</v>
      </c>
      <c r="D364" s="190" t="str">
        <f>IFERROR(__xludf.DUMMYFUNCTION("""COMPUTED_VALUE"""),"Scene x2")</f>
        <v>Scene x2</v>
      </c>
      <c r="E364" s="190" t="str">
        <f>IFERROR(__xludf.DUMMYFUNCTION("""COMPUTED_VALUE"""),"Field, Versatile")</f>
        <v>Field, Versatile</v>
      </c>
      <c r="F364" s="190" t="str">
        <f>IFERROR(__xludf.DUMMYFUNCTION("""COMPUTED_VALUE"""),"--")</f>
        <v>--</v>
      </c>
      <c r="G364" s="190" t="str">
        <f>IFERROR(__xludf.DUMMYFUNCTION("""COMPUTED_VALUE"""),"--")</f>
        <v>--</v>
      </c>
      <c r="H364" s="191" t="str">
        <f>IFERROR(__xludf.DUMMYFUNCTION("""COMPUTED_VALUE"""),"The Field becomes Fluxed for the next 5 Rounds. At the start of each Round, all Combatants that are Electric Type or have the Magnetic Capability gain +1 CS to a Stat of their Choice. If the Weather is Thunderstorm, they also gain a Tick of Temporary Hit "&amp;"Points.")</f>
        <v>The Field becomes Fluxed for the next 5 Rounds. At the start of each Round, all Combatants that are Electric Type or have the Magnetic Capability gain +1 CS to a Stat of their Choice. If the Weather is Thunderstorm, they also gain a Tick of Temporary Hit Points.</v>
      </c>
      <c r="I364"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64" s="190" t="str">
        <f>IFERROR(__xludf.DUMMYFUNCTION("""COMPUTED_VALUE"""),"Tier 2")</f>
        <v>Tier 2</v>
      </c>
      <c r="K364" s="174" t="b">
        <f>IFERROR(__xludf.DUMMYFUNCTION("""COMPUTED_VALUE"""),TRUE)</f>
        <v>1</v>
      </c>
      <c r="L364" s="174"/>
      <c r="M364" s="174"/>
      <c r="N364" s="174"/>
      <c r="O364" s="174"/>
      <c r="P364" s="174"/>
      <c r="Q364" s="174"/>
      <c r="R364" s="174"/>
      <c r="S364" s="174"/>
      <c r="T364" s="174"/>
      <c r="U364" s="174"/>
      <c r="V364" s="174"/>
      <c r="W364" s="174"/>
      <c r="X364" s="174"/>
      <c r="Y364" s="174"/>
      <c r="Z364" s="174"/>
    </row>
    <row r="365">
      <c r="A365" s="190" t="str">
        <f>IFERROR(__xludf.DUMMYFUNCTION("""COMPUTED_VALUE"""),"Nuzzle")</f>
        <v>Nuzzle</v>
      </c>
      <c r="B365" s="190" t="str">
        <f>IFERROR(__xludf.DUMMYFUNCTION("""COMPUTED_VALUE"""),"Electric")</f>
        <v>Electric</v>
      </c>
      <c r="C365" s="190" t="str">
        <f>IFERROR(__xludf.DUMMYFUNCTION("""COMPUTED_VALUE"""),"Physical")</f>
        <v>Physical</v>
      </c>
      <c r="D365" s="190" t="str">
        <f>IFERROR(__xludf.DUMMYFUNCTION("""COMPUTED_VALUE"""),"Scene x2")</f>
        <v>Scene x2</v>
      </c>
      <c r="E365" s="190" t="str">
        <f>IFERROR(__xludf.DUMMYFUNCTION("""COMPUTED_VALUE"""),"Melee, 1 Target")</f>
        <v>Melee, 1 Target</v>
      </c>
      <c r="F365" s="190">
        <f>IFERROR(__xludf.DUMMYFUNCTION("""COMPUTED_VALUE"""),4.0)</f>
        <v>4</v>
      </c>
      <c r="G365" s="190">
        <f>IFERROR(__xludf.DUMMYFUNCTION("""COMPUTED_VALUE"""),2.0)</f>
        <v>2</v>
      </c>
      <c r="H365" s="191" t="str">
        <f>IFERROR(__xludf.DUMMYFUNCTION("""COMPUTED_VALUE"""),"The Target becomes Entranced or Paralyzed of your choice.")</f>
        <v>The Target becomes Entranced or Paralyzed of your choice.</v>
      </c>
      <c r="I365" s="191" t="str">
        <f>IFERROR(__xludf.DUMMYFUNCTION("""COMPUTED_VALUE"""),"--")</f>
        <v>--</v>
      </c>
      <c r="J365" s="190" t="str">
        <f>IFERROR(__xludf.DUMMYFUNCTION("""COMPUTED_VALUE"""),"Tier 2")</f>
        <v>Tier 2</v>
      </c>
      <c r="K365" s="174" t="b">
        <f>IFERROR(__xludf.DUMMYFUNCTION("""COMPUTED_VALUE"""),TRUE)</f>
        <v>1</v>
      </c>
      <c r="L365" s="174"/>
      <c r="M365" s="174"/>
      <c r="N365" s="174"/>
      <c r="O365" s="174"/>
      <c r="P365" s="174"/>
      <c r="Q365" s="174"/>
      <c r="R365" s="174"/>
      <c r="S365" s="174"/>
      <c r="T365" s="174"/>
      <c r="U365" s="174"/>
      <c r="V365" s="174"/>
      <c r="W365" s="174"/>
      <c r="X365" s="174"/>
      <c r="Y365" s="174"/>
      <c r="Z365" s="174"/>
    </row>
    <row r="366">
      <c r="A366" s="190" t="str">
        <f>IFERROR(__xludf.DUMMYFUNCTION("""COMPUTED_VALUE"""),"Overdrive")</f>
        <v>Overdrive</v>
      </c>
      <c r="B366" s="190" t="str">
        <f>IFERROR(__xludf.DUMMYFUNCTION("""COMPUTED_VALUE"""),"Electric")</f>
        <v>Electric</v>
      </c>
      <c r="C366" s="190" t="str">
        <f>IFERROR(__xludf.DUMMYFUNCTION("""COMPUTED_VALUE"""),"Special")</f>
        <v>Special</v>
      </c>
      <c r="D366" s="190" t="str">
        <f>IFERROR(__xludf.DUMMYFUNCTION("""COMPUTED_VALUE"""),"EOT")</f>
        <v>EOT</v>
      </c>
      <c r="E366" s="190" t="str">
        <f>IFERROR(__xludf.DUMMYFUNCTION("""COMPUTED_VALUE"""),"Close Blast 2, Sonic, Set-Up")</f>
        <v>Close Blast 2, Sonic, Set-Up</v>
      </c>
      <c r="F366" s="190">
        <f>IFERROR(__xludf.DUMMYFUNCTION("""COMPUTED_VALUE"""),6.0)</f>
        <v>6</v>
      </c>
      <c r="G366" s="190">
        <f>IFERROR(__xludf.DUMMYFUNCTION("""COMPUTED_VALUE"""),4.0)</f>
        <v>4</v>
      </c>
      <c r="H366" s="191" t="str">
        <f>IFERROR(__xludf.DUMMYFUNCTION("""COMPUTED_VALUE"""),"Charge Effect: While you have a Charge Token gained through this Attack, whenever your CS increases, gain a Charge Token. You cannot gain more than 3 Charge Tokens per Round for this Attack. 
Resolution Effect: After this Attack resolves, if all Targets w"&amp;"ere hit, all of the user's Stats with Positive CS are set to their Default Value. The Damage Base of this Attack is increased by +2 for each Charge Token expended. (Max 20). Smite")</f>
        <v>Charge Effect: While you have a Charge Token gained through this Attack, whenever your CS increases, gain a Charge Token. You cannot gain more than 3 Charge Tokens per Round for this Attack. 
Resolution Effect: After this Attack resolves, if all Targets were hit, all of the user's Stats with Positive CS are set to their Default Value. The Damage Base of this Attack is increased by +2 for each Charge Token expended. (Max 20). Smite</v>
      </c>
      <c r="I366" s="191" t="str">
        <f>IFERROR(__xludf.DUMMYFUNCTION("""COMPUTED_VALUE"""),"--")</f>
        <v>--</v>
      </c>
      <c r="J366" s="190" t="str">
        <f>IFERROR(__xludf.DUMMYFUNCTION("""COMPUTED_VALUE"""),"Tier 2")</f>
        <v>Tier 2</v>
      </c>
      <c r="K366" s="174" t="b">
        <f>IFERROR(__xludf.DUMMYFUNCTION("""COMPUTED_VALUE"""),TRUE)</f>
        <v>1</v>
      </c>
      <c r="L366" s="174"/>
      <c r="M366" s="174"/>
      <c r="N366" s="174"/>
      <c r="O366" s="174"/>
      <c r="P366" s="174"/>
      <c r="Q366" s="174"/>
      <c r="R366" s="174"/>
      <c r="S366" s="174"/>
      <c r="T366" s="174"/>
      <c r="U366" s="174"/>
      <c r="V366" s="174"/>
      <c r="W366" s="174"/>
      <c r="X366" s="174"/>
      <c r="Y366" s="174"/>
      <c r="Z366" s="174"/>
    </row>
    <row r="367">
      <c r="A367" s="190" t="str">
        <f>IFERROR(__xludf.DUMMYFUNCTION("""COMPUTED_VALUE"""),"Parabolic Charge")</f>
        <v>Parabolic Charge</v>
      </c>
      <c r="B367" s="190" t="str">
        <f>IFERROR(__xludf.DUMMYFUNCTION("""COMPUTED_VALUE"""),"Electric")</f>
        <v>Electric</v>
      </c>
      <c r="C367" s="190" t="str">
        <f>IFERROR(__xludf.DUMMYFUNCTION("""COMPUTED_VALUE"""),"Special")</f>
        <v>Special</v>
      </c>
      <c r="D367" s="190" t="str">
        <f>IFERROR(__xludf.DUMMYFUNCTION("""COMPUTED_VALUE"""),"Scene x2")</f>
        <v>Scene x2</v>
      </c>
      <c r="E367" s="190" t="str">
        <f>IFERROR(__xludf.DUMMYFUNCTION("""COMPUTED_VALUE"""),"Close Blast 2, Full Action ")</f>
        <v>Close Blast 2, Full Action </v>
      </c>
      <c r="F367" s="190">
        <f>IFERROR(__xludf.DUMMYFUNCTION("""COMPUTED_VALUE"""),5.0)</f>
        <v>5</v>
      </c>
      <c r="G367" s="190">
        <f>IFERROR(__xludf.DUMMYFUNCTION("""COMPUTED_VALUE"""),7.0)</f>
        <v>7</v>
      </c>
      <c r="H367" s="191" t="str">
        <f>IFERROR(__xludf.DUMMYFUNCTION("""COMPUTED_VALUE"""),"The user restores Hit Points equal to half of the total damage taken by all Targets. This Attack cannot be affected by the Drain Keyword. ")</f>
        <v>The user restores Hit Points equal to half of the total damage taken by all Targets. This Attack cannot be affected by the Drain Keyword. </v>
      </c>
      <c r="I367" s="191" t="str">
        <f>IFERROR(__xludf.DUMMYFUNCTION("""COMPUTED_VALUE"""),"--")</f>
        <v>--</v>
      </c>
      <c r="J367" s="190" t="str">
        <f>IFERROR(__xludf.DUMMYFUNCTION("""COMPUTED_VALUE"""),"Tier 2")</f>
        <v>Tier 2</v>
      </c>
      <c r="K367" s="174" t="b">
        <f>IFERROR(__xludf.DUMMYFUNCTION("""COMPUTED_VALUE"""),TRUE)</f>
        <v>1</v>
      </c>
      <c r="L367" s="174"/>
      <c r="M367" s="174"/>
      <c r="N367" s="174"/>
      <c r="O367" s="174"/>
      <c r="P367" s="174"/>
      <c r="Q367" s="174"/>
      <c r="R367" s="174"/>
      <c r="S367" s="174"/>
      <c r="T367" s="174"/>
      <c r="U367" s="174"/>
      <c r="V367" s="174"/>
      <c r="W367" s="174"/>
      <c r="X367" s="174"/>
      <c r="Y367" s="174"/>
      <c r="Z367" s="174"/>
    </row>
    <row r="368">
      <c r="A368" s="190" t="str">
        <f>IFERROR(__xludf.DUMMYFUNCTION("""COMPUTED_VALUE"""),"Plasma Bolt")</f>
        <v>Plasma Bolt</v>
      </c>
      <c r="B368" s="190" t="str">
        <f>IFERROR(__xludf.DUMMYFUNCTION("""COMPUTED_VALUE"""),"Electric")</f>
        <v>Electric</v>
      </c>
      <c r="C368" s="190" t="str">
        <f>IFERROR(__xludf.DUMMYFUNCTION("""COMPUTED_VALUE"""),"Physical")</f>
        <v>Physical</v>
      </c>
      <c r="D368" s="190" t="str">
        <f>IFERROR(__xludf.DUMMYFUNCTION("""COMPUTED_VALUE"""),"Scene")</f>
        <v>Scene</v>
      </c>
      <c r="E368" s="190" t="str">
        <f>IFERROR(__xludf.DUMMYFUNCTION("""COMPUTED_VALUE"""),"Line 6, Full Action")</f>
        <v>Line 6, Full Action</v>
      </c>
      <c r="F368" s="190">
        <f>IFERROR(__xludf.DUMMYFUNCTION("""COMPUTED_VALUE"""),6.0)</f>
        <v>6</v>
      </c>
      <c r="G368" s="190">
        <f>IFERROR(__xludf.DUMMYFUNCTION("""COMPUTED_VALUE"""),12.0)</f>
        <v>12</v>
      </c>
      <c r="H368" s="191" t="str">
        <f>IFERROR(__xludf.DUMMYFUNCTION("""COMPUTED_VALUE"""),"On a roll of 15+, all Targets become Burned. If any Targets are Paralyzed, this Effect Range automatically Triggers. Smite")</f>
        <v>On a roll of 15+, all Targets become Burned. If any Targets are Paralyzed, this Effect Range automatically Triggers. Smite</v>
      </c>
      <c r="I368" s="191" t="str">
        <f>IFERROR(__xludf.DUMMYFUNCTION("""COMPUTED_VALUE"""),"--")</f>
        <v>--</v>
      </c>
      <c r="J368" s="190" t="str">
        <f>IFERROR(__xludf.DUMMYFUNCTION("""COMPUTED_VALUE"""),"Tier 3")</f>
        <v>Tier 3</v>
      </c>
      <c r="K368" s="174" t="b">
        <f>IFERROR(__xludf.DUMMYFUNCTION("""COMPUTED_VALUE"""),TRUE)</f>
        <v>1</v>
      </c>
      <c r="L368" s="174"/>
      <c r="M368" s="174"/>
      <c r="N368" s="174"/>
      <c r="O368" s="174"/>
      <c r="P368" s="174"/>
      <c r="Q368" s="174"/>
      <c r="R368" s="174"/>
      <c r="S368" s="174"/>
      <c r="T368" s="174"/>
      <c r="U368" s="174"/>
      <c r="V368" s="174"/>
      <c r="W368" s="174"/>
      <c r="X368" s="174"/>
      <c r="Y368" s="174"/>
      <c r="Z368" s="174"/>
    </row>
    <row r="369">
      <c r="A369" s="190" t="str">
        <f>IFERROR(__xludf.DUMMYFUNCTION("""COMPUTED_VALUE"""),"Plasma Fists")</f>
        <v>Plasma Fists</v>
      </c>
      <c r="B369" s="190" t="str">
        <f>IFERROR(__xludf.DUMMYFUNCTION("""COMPUTED_VALUE"""),"Electric")</f>
        <v>Electric</v>
      </c>
      <c r="C369" s="190" t="str">
        <f>IFERROR(__xludf.DUMMYFUNCTION("""COMPUTED_VALUE"""),"Physical")</f>
        <v>Physical</v>
      </c>
      <c r="D369" s="190" t="str">
        <f>IFERROR(__xludf.DUMMYFUNCTION("""COMPUTED_VALUE"""),"Scene x2")</f>
        <v>Scene x2</v>
      </c>
      <c r="E369" s="190" t="str">
        <f>IFERROR(__xludf.DUMMYFUNCTION("""COMPUTED_VALUE"""),"Melee, 1 Target, Punch")</f>
        <v>Melee, 1 Target, Punch</v>
      </c>
      <c r="F369" s="190">
        <f>IFERROR(__xludf.DUMMYFUNCTION("""COMPUTED_VALUE"""),3.0)</f>
        <v>3</v>
      </c>
      <c r="G369" s="190">
        <f>IFERROR(__xludf.DUMMYFUNCTION("""COMPUTED_VALUE"""),10.0)</f>
        <v>10</v>
      </c>
      <c r="H369" s="191" t="str">
        <f>IFERROR(__xludf.DUMMYFUNCTION("""COMPUTED_VALUE"""),"If the Target of this Attack has a lower Speed than the user they are treated as Vulnerable against this Attack. If the Target of this Attack was already Vulnerable, they lose -2 CS in Defense after Damage Calculations.")</f>
        <v>If the Target of this Attack has a lower Speed than the user they are treated as Vulnerable against this Attack. If the Target of this Attack was already Vulnerable, they lose -2 CS in Defense after Damage Calculations.</v>
      </c>
      <c r="I369" s="191" t="str">
        <f>IFERROR(__xludf.DUMMYFUNCTION("""COMPUTED_VALUE"""),"--")</f>
        <v>--</v>
      </c>
      <c r="J369" s="190" t="str">
        <f>IFERROR(__xludf.DUMMYFUNCTION("""COMPUTED_VALUE"""),"Tier 3")</f>
        <v>Tier 3</v>
      </c>
      <c r="K369" s="174" t="b">
        <f>IFERROR(__xludf.DUMMYFUNCTION("""COMPUTED_VALUE"""),TRUE)</f>
        <v>1</v>
      </c>
      <c r="L369" s="174"/>
      <c r="M369" s="174"/>
      <c r="N369" s="174"/>
      <c r="O369" s="174"/>
      <c r="P369" s="174"/>
      <c r="Q369" s="174"/>
      <c r="R369" s="174"/>
      <c r="S369" s="174"/>
      <c r="T369" s="174"/>
      <c r="U369" s="174"/>
      <c r="V369" s="174"/>
      <c r="W369" s="174"/>
      <c r="X369" s="174"/>
      <c r="Y369" s="174"/>
      <c r="Z369" s="174"/>
    </row>
    <row r="370">
      <c r="A370" s="190" t="str">
        <f>IFERROR(__xludf.DUMMYFUNCTION("""COMPUTED_VALUE"""),"Plasma Storm")</f>
        <v>Plasma Storm</v>
      </c>
      <c r="B370" s="190" t="str">
        <f>IFERROR(__xludf.DUMMYFUNCTION("""COMPUTED_VALUE"""),"Electric")</f>
        <v>Electric</v>
      </c>
      <c r="C370" s="190" t="str">
        <f>IFERROR(__xludf.DUMMYFUNCTION("""COMPUTED_VALUE"""),"Status")</f>
        <v>Status</v>
      </c>
      <c r="D370" s="190" t="str">
        <f>IFERROR(__xludf.DUMMYFUNCTION("""COMPUTED_VALUE"""),"Scene x2")</f>
        <v>Scene x2</v>
      </c>
      <c r="E370" s="190" t="str">
        <f>IFERROR(__xludf.DUMMYFUNCTION("""COMPUTED_VALUE"""),"Field, Versatile, Weather")</f>
        <v>Field, Versatile, Weather</v>
      </c>
      <c r="F370" s="190" t="str">
        <f>IFERROR(__xludf.DUMMYFUNCTION("""COMPUTED_VALUE"""),"--")</f>
        <v>--</v>
      </c>
      <c r="G370" s="190" t="str">
        <f>IFERROR(__xludf.DUMMYFUNCTION("""COMPUTED_VALUE"""),"--")</f>
        <v>--</v>
      </c>
      <c r="H370" s="191" t="str">
        <f>IFERROR(__xludf.DUMMYFUNCTION("""COMPUTED_VALUE"""),"The Field becomes Plasmic for the next 5 Rounds. While the Field is Plasmic, non Electric Type Enemies lose a Tick of Hit Points at the start of their Turn and Electric Type Pokemon gain a Tick of Temporary Hit Points at the start of their Turn. While the"&amp;" Field is Plasmic, the Weather becomes Thunderstorm.")</f>
        <v>The Field becomes Plasmic for the next 5 Rounds. While the Field is Plasmic, non Electric Type Enemies lose a Tick of Hit Points at the start of their Turn and Electric Type Pokemon gain a Tick of Temporary Hit Points at the start of their Turn. While the Field is Plasmic, the Weather becomes Thunderstorm.</v>
      </c>
      <c r="I370"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70" s="190" t="str">
        <f>IFERROR(__xludf.DUMMYFUNCTION("""COMPUTED_VALUE"""),"Tier 2")</f>
        <v>Tier 2</v>
      </c>
      <c r="K370" s="174" t="b">
        <f>IFERROR(__xludf.DUMMYFUNCTION("""COMPUTED_VALUE"""),TRUE)</f>
        <v>1</v>
      </c>
      <c r="L370" s="174"/>
      <c r="M370" s="174"/>
      <c r="N370" s="174"/>
      <c r="O370" s="174"/>
      <c r="P370" s="174"/>
      <c r="Q370" s="174"/>
      <c r="R370" s="174"/>
      <c r="S370" s="174"/>
      <c r="T370" s="174"/>
      <c r="U370" s="174"/>
      <c r="V370" s="174"/>
      <c r="W370" s="174"/>
      <c r="X370" s="174"/>
      <c r="Y370" s="174"/>
      <c r="Z370" s="174"/>
    </row>
    <row r="371">
      <c r="A371" s="190" t="str">
        <f>IFERROR(__xludf.DUMMYFUNCTION("""COMPUTED_VALUE"""),"Plasma Tail")</f>
        <v>Plasma Tail</v>
      </c>
      <c r="B371" s="190" t="str">
        <f>IFERROR(__xludf.DUMMYFUNCTION("""COMPUTED_VALUE"""),"Electric")</f>
        <v>Electric</v>
      </c>
      <c r="C371" s="190" t="str">
        <f>IFERROR(__xludf.DUMMYFUNCTION("""COMPUTED_VALUE"""),"Physical")</f>
        <v>Physical</v>
      </c>
      <c r="D371" s="190" t="str">
        <f>IFERROR(__xludf.DUMMYFUNCTION("""COMPUTED_VALUE"""),"Scene x2")</f>
        <v>Scene x2</v>
      </c>
      <c r="E371" s="190" t="str">
        <f>IFERROR(__xludf.DUMMYFUNCTION("""COMPUTED_VALUE"""),"Melee, 1 Target")</f>
        <v>Melee, 1 Target</v>
      </c>
      <c r="F371" s="190">
        <f>IFERROR(__xludf.DUMMYFUNCTION("""COMPUTED_VALUE"""),5.0)</f>
        <v>5</v>
      </c>
      <c r="G371" s="190">
        <f>IFERROR(__xludf.DUMMYFUNCTION("""COMPUTED_VALUE"""),11.0)</f>
        <v>11</v>
      </c>
      <c r="H371" s="191" t="str">
        <f>IFERROR(__xludf.DUMMYFUNCTION("""COMPUTED_VALUE"""),"On  an Even Roll, the Target becomes Tripped. On an Odd Roll, the Target becomes Paralyzed. Smite")</f>
        <v>On  an Even Roll, the Target becomes Tripped. On an Odd Roll, the Target becomes Paralyzed. Smite</v>
      </c>
      <c r="I371" s="191" t="str">
        <f>IFERROR(__xludf.DUMMYFUNCTION("""COMPUTED_VALUE"""),"--")</f>
        <v>--</v>
      </c>
      <c r="J371" s="190" t="str">
        <f>IFERROR(__xludf.DUMMYFUNCTION("""COMPUTED_VALUE"""),"Tier 3")</f>
        <v>Tier 3</v>
      </c>
      <c r="K371" s="174" t="b">
        <f>IFERROR(__xludf.DUMMYFUNCTION("""COMPUTED_VALUE"""),TRUE)</f>
        <v>1</v>
      </c>
      <c r="L371" s="174"/>
      <c r="M371" s="174"/>
      <c r="N371" s="174"/>
      <c r="O371" s="174"/>
      <c r="P371" s="174"/>
      <c r="Q371" s="174"/>
      <c r="R371" s="174"/>
      <c r="S371" s="174"/>
      <c r="T371" s="174"/>
      <c r="U371" s="174"/>
      <c r="V371" s="174"/>
      <c r="W371" s="174"/>
      <c r="X371" s="174"/>
      <c r="Y371" s="174"/>
      <c r="Z371" s="174"/>
    </row>
    <row r="372">
      <c r="A372" s="190" t="str">
        <f>IFERROR(__xludf.DUMMYFUNCTION("""COMPUTED_VALUE"""),"Rising Voltage")</f>
        <v>Rising Voltage</v>
      </c>
      <c r="B372" s="190" t="str">
        <f>IFERROR(__xludf.DUMMYFUNCTION("""COMPUTED_VALUE"""),"Electric")</f>
        <v>Electric</v>
      </c>
      <c r="C372" s="190" t="str">
        <f>IFERROR(__xludf.DUMMYFUNCTION("""COMPUTED_VALUE"""),"Special")</f>
        <v>Special</v>
      </c>
      <c r="D372" s="190" t="str">
        <f>IFERROR(__xludf.DUMMYFUNCTION("""COMPUTED_VALUE"""),"Scene x2")</f>
        <v>Scene x2</v>
      </c>
      <c r="E372" s="190" t="str">
        <f>IFERROR(__xludf.DUMMYFUNCTION("""COMPUTED_VALUE"""),"Burst 1, Full Action, Groundsource ")</f>
        <v>Burst 1, Full Action, Groundsource </v>
      </c>
      <c r="F372" s="190">
        <f>IFERROR(__xludf.DUMMYFUNCTION("""COMPUTED_VALUE"""),5.0)</f>
        <v>5</v>
      </c>
      <c r="G372" s="190">
        <f>IFERROR(__xludf.DUMMYFUNCTION("""COMPUTED_VALUE"""),8.0)</f>
        <v>8</v>
      </c>
      <c r="H372" s="191" t="str">
        <f>IFERROR(__xludf.DUMMYFUNCTION("""COMPUTED_VALUE"""),"If the Field is affected by an Electric Attack or the Weather is Thunderstorm, Rising Voltage may increase its Burst Range by up to +2. Smite")</f>
        <v>If the Field is affected by an Electric Attack or the Weather is Thunderstorm, Rising Voltage may increase its Burst Range by up to +2. Smite</v>
      </c>
      <c r="I372" s="191" t="str">
        <f>IFERROR(__xludf.DUMMYFUNCTION("""COMPUTED_VALUE"""),"--")</f>
        <v>--</v>
      </c>
      <c r="J372" s="190" t="str">
        <f>IFERROR(__xludf.DUMMYFUNCTION("""COMPUTED_VALUE"""),"Tier 2")</f>
        <v>Tier 2</v>
      </c>
      <c r="K372" s="174" t="b">
        <f>IFERROR(__xludf.DUMMYFUNCTION("""COMPUTED_VALUE"""),TRUE)</f>
        <v>1</v>
      </c>
      <c r="L372" s="174"/>
      <c r="M372" s="174"/>
      <c r="N372" s="174"/>
      <c r="O372" s="174"/>
      <c r="P372" s="174"/>
      <c r="Q372" s="174"/>
      <c r="R372" s="174"/>
      <c r="S372" s="174"/>
      <c r="T372" s="174"/>
      <c r="U372" s="174"/>
      <c r="V372" s="174"/>
      <c r="W372" s="174"/>
      <c r="X372" s="174"/>
      <c r="Y372" s="174"/>
      <c r="Z372" s="174"/>
    </row>
    <row r="373">
      <c r="A373" s="190" t="str">
        <f>IFERROR(__xludf.DUMMYFUNCTION("""COMPUTED_VALUE"""),"Shock Wave")</f>
        <v>Shock Wave</v>
      </c>
      <c r="B373" s="190" t="str">
        <f>IFERROR(__xludf.DUMMYFUNCTION("""COMPUTED_VALUE"""),"Electric")</f>
        <v>Electric</v>
      </c>
      <c r="C373" s="190" t="str">
        <f>IFERROR(__xludf.DUMMYFUNCTION("""COMPUTED_VALUE"""),"Special")</f>
        <v>Special</v>
      </c>
      <c r="D373" s="190" t="str">
        <f>IFERROR(__xludf.DUMMYFUNCTION("""COMPUTED_VALUE"""),"EOT")</f>
        <v>EOT</v>
      </c>
      <c r="E373" s="190" t="str">
        <f>IFERROR(__xludf.DUMMYFUNCTION("""COMPUTED_VALUE"""),"6, 1 Target or Close Blast 2 ")</f>
        <v>6, 1 Target or Close Blast 2 </v>
      </c>
      <c r="F373" s="190">
        <f>IFERROR(__xludf.DUMMYFUNCTION("""COMPUTED_VALUE"""),4.0)</f>
        <v>4</v>
      </c>
      <c r="G373" s="190">
        <f>IFERROR(__xludf.DUMMYFUNCTION("""COMPUTED_VALUE"""),5.0)</f>
        <v>5</v>
      </c>
      <c r="H373" s="191" t="str">
        <f>IFERROR(__xludf.DUMMYFUNCTION("""COMPUTED_VALUE"""),"If this Attack only has one Target, it has the Sureshot Keyword.")</f>
        <v>If this Attack only has one Target, it has the Sureshot Keyword.</v>
      </c>
      <c r="I373" s="191" t="str">
        <f>IFERROR(__xludf.DUMMYFUNCTION("""COMPUTED_VALUE"""),"--")</f>
        <v>--</v>
      </c>
      <c r="J373" s="190" t="str">
        <f>IFERROR(__xludf.DUMMYFUNCTION("""COMPUTED_VALUE"""),"Tier 1")</f>
        <v>Tier 1</v>
      </c>
      <c r="K373" s="174" t="b">
        <f>IFERROR(__xludf.DUMMYFUNCTION("""COMPUTED_VALUE"""),TRUE)</f>
        <v>1</v>
      </c>
      <c r="L373" s="174"/>
      <c r="M373" s="174"/>
      <c r="N373" s="174"/>
      <c r="O373" s="174"/>
      <c r="P373" s="174"/>
      <c r="Q373" s="174"/>
      <c r="R373" s="174"/>
      <c r="S373" s="174"/>
      <c r="T373" s="174"/>
      <c r="U373" s="174"/>
      <c r="V373" s="174"/>
      <c r="W373" s="174"/>
      <c r="X373" s="174"/>
      <c r="Y373" s="174"/>
      <c r="Z373" s="174"/>
    </row>
    <row r="374">
      <c r="A374" s="190" t="str">
        <f>IFERROR(__xludf.DUMMYFUNCTION("""COMPUTED_VALUE"""),"Spark")</f>
        <v>Spark</v>
      </c>
      <c r="B374" s="190" t="str">
        <f>IFERROR(__xludf.DUMMYFUNCTION("""COMPUTED_VALUE"""),"Electric")</f>
        <v>Electric</v>
      </c>
      <c r="C374" s="190" t="str">
        <f>IFERROR(__xludf.DUMMYFUNCTION("""COMPUTED_VALUE"""),"Physical")</f>
        <v>Physical</v>
      </c>
      <c r="D374" s="190" t="str">
        <f>IFERROR(__xludf.DUMMYFUNCTION("""COMPUTED_VALUE"""),"EOT")</f>
        <v>EOT</v>
      </c>
      <c r="E374" s="190" t="str">
        <f>IFERROR(__xludf.DUMMYFUNCTION("""COMPUTED_VALUE"""),"Melee, 1 Target")</f>
        <v>Melee, 1 Target</v>
      </c>
      <c r="F374" s="190">
        <f>IFERROR(__xludf.DUMMYFUNCTION("""COMPUTED_VALUE"""),2.0)</f>
        <v>2</v>
      </c>
      <c r="G374" s="190">
        <f>IFERROR(__xludf.DUMMYFUNCTION("""COMPUTED_VALUE"""),7.0)</f>
        <v>7</v>
      </c>
      <c r="H374" s="191" t="str">
        <f>IFERROR(__xludf.DUMMYFUNCTION("""COMPUTED_VALUE"""),"On a roll of 15+, the Target becomes Paralyzed. ")</f>
        <v>On a roll of 15+, the Target becomes Paralyzed. </v>
      </c>
      <c r="I374" s="191" t="str">
        <f>IFERROR(__xludf.DUMMYFUNCTION("""COMPUTED_VALUE"""),"--")</f>
        <v>--</v>
      </c>
      <c r="J374" s="190" t="str">
        <f>IFERROR(__xludf.DUMMYFUNCTION("""COMPUTED_VALUE"""),"Tier 1")</f>
        <v>Tier 1</v>
      </c>
      <c r="K374" s="174" t="b">
        <f>IFERROR(__xludf.DUMMYFUNCTION("""COMPUTED_VALUE"""),TRUE)</f>
        <v>1</v>
      </c>
      <c r="L374" s="174"/>
      <c r="M374" s="174"/>
      <c r="N374" s="174"/>
      <c r="O374" s="174"/>
      <c r="P374" s="174"/>
      <c r="Q374" s="174"/>
      <c r="R374" s="174"/>
      <c r="S374" s="174"/>
      <c r="T374" s="174"/>
      <c r="U374" s="174"/>
      <c r="V374" s="174"/>
      <c r="W374" s="174"/>
      <c r="X374" s="174"/>
      <c r="Y374" s="174"/>
      <c r="Z374" s="174"/>
    </row>
    <row r="375">
      <c r="A375" s="190" t="str">
        <f>IFERROR(__xludf.DUMMYFUNCTION("""COMPUTED_VALUE"""),"Static Jolt")</f>
        <v>Static Jolt</v>
      </c>
      <c r="B375" s="190" t="str">
        <f>IFERROR(__xludf.DUMMYFUNCTION("""COMPUTED_VALUE"""),"Electric")</f>
        <v>Electric</v>
      </c>
      <c r="C375" s="190" t="str">
        <f>IFERROR(__xludf.DUMMYFUNCTION("""COMPUTED_VALUE"""),"Physical")</f>
        <v>Physical</v>
      </c>
      <c r="D375" s="190" t="str">
        <f>IFERROR(__xludf.DUMMYFUNCTION("""COMPUTED_VALUE"""),"At-Will")</f>
        <v>At-Will</v>
      </c>
      <c r="E375" s="190" t="str">
        <f>IFERROR(__xludf.DUMMYFUNCTION("""COMPUTED_VALUE"""),"Melee, 1 Target")</f>
        <v>Melee, 1 Target</v>
      </c>
      <c r="F375" s="190">
        <f>IFERROR(__xludf.DUMMYFUNCTION("""COMPUTED_VALUE"""),2.0)</f>
        <v>2</v>
      </c>
      <c r="G375" s="190">
        <f>IFERROR(__xludf.DUMMYFUNCTION("""COMPUTED_VALUE"""),5.0)</f>
        <v>5</v>
      </c>
      <c r="H375" s="191" t="str">
        <f>IFERROR(__xludf.DUMMYFUNCTION("""COMPUTED_VALUE"""),"On a roll of 18+, the Target becomes Paralyzed. Smite")</f>
        <v>On a roll of 18+, the Target becomes Paralyzed. Smite</v>
      </c>
      <c r="I375" s="191" t="str">
        <f>IFERROR(__xludf.DUMMYFUNCTION("""COMPUTED_VALUE"""),"--")</f>
        <v>--</v>
      </c>
      <c r="J375" s="190" t="str">
        <f>IFERROR(__xludf.DUMMYFUNCTION("""COMPUTED_VALUE"""),"Tier 1")</f>
        <v>Tier 1</v>
      </c>
      <c r="K375" s="174" t="b">
        <f>IFERROR(__xludf.DUMMYFUNCTION("""COMPUTED_VALUE"""),TRUE)</f>
        <v>1</v>
      </c>
      <c r="L375" s="174"/>
      <c r="M375" s="174"/>
      <c r="N375" s="174"/>
      <c r="O375" s="174"/>
      <c r="P375" s="174"/>
      <c r="Q375" s="174"/>
      <c r="R375" s="174"/>
      <c r="S375" s="174"/>
      <c r="T375" s="174"/>
      <c r="U375" s="174"/>
      <c r="V375" s="174"/>
      <c r="W375" s="174"/>
      <c r="X375" s="174"/>
      <c r="Y375" s="174"/>
      <c r="Z375" s="174"/>
    </row>
    <row r="376">
      <c r="A376" s="190" t="str">
        <f>IFERROR(__xludf.DUMMYFUNCTION("""COMPUTED_VALUE"""),"Thunder")</f>
        <v>Thunder</v>
      </c>
      <c r="B376" s="190" t="str">
        <f>IFERROR(__xludf.DUMMYFUNCTION("""COMPUTED_VALUE"""),"Electric")</f>
        <v>Electric</v>
      </c>
      <c r="C376" s="190" t="str">
        <f>IFERROR(__xludf.DUMMYFUNCTION("""COMPUTED_VALUE"""),"Special")</f>
        <v>Special</v>
      </c>
      <c r="D376" s="190" t="str">
        <f>IFERROR(__xludf.DUMMYFUNCTION("""COMPUTED_VALUE"""),"Scene x2")</f>
        <v>Scene x2</v>
      </c>
      <c r="E376" s="190" t="str">
        <f>IFERROR(__xludf.DUMMYFUNCTION("""COMPUTED_VALUE"""),"12, 1 Target")</f>
        <v>12, 1 Target</v>
      </c>
      <c r="F376" s="190">
        <f>IFERROR(__xludf.DUMMYFUNCTION("""COMPUTED_VALUE"""),5.0)</f>
        <v>5</v>
      </c>
      <c r="G376" s="190">
        <f>IFERROR(__xludf.DUMMYFUNCTION("""COMPUTED_VALUE"""),12.0)</f>
        <v>12</v>
      </c>
      <c r="H376" s="191" t="str">
        <f>IFERROR(__xludf.DUMMYFUNCTION("""COMPUTED_VALUE"""),"On a roll of 15+, the Target becomes Paralyzed. If the Weather is Thunderstorm, Windy or Rainy, Thunder has the Sureshot Keyword. Smite")</f>
        <v>On a roll of 15+, the Target becomes Paralyzed. If the Weather is Thunderstorm, Windy or Rainy, Thunder has the Sureshot Keyword. Smite</v>
      </c>
      <c r="I376" s="191" t="str">
        <f>IFERROR(__xludf.DUMMYFUNCTION("""COMPUTED_VALUE"""),"--")</f>
        <v>--</v>
      </c>
      <c r="J376" s="190" t="str">
        <f>IFERROR(__xludf.DUMMYFUNCTION("""COMPUTED_VALUE"""),"Tier 3")</f>
        <v>Tier 3</v>
      </c>
      <c r="K376" s="174" t="b">
        <f>IFERROR(__xludf.DUMMYFUNCTION("""COMPUTED_VALUE"""),TRUE)</f>
        <v>1</v>
      </c>
      <c r="L376" s="174"/>
      <c r="M376" s="174"/>
      <c r="N376" s="174"/>
      <c r="O376" s="174"/>
      <c r="P376" s="174"/>
      <c r="Q376" s="174"/>
      <c r="R376" s="174"/>
      <c r="S376" s="174"/>
      <c r="T376" s="174"/>
      <c r="U376" s="174"/>
      <c r="V376" s="174"/>
      <c r="W376" s="174"/>
      <c r="X376" s="174"/>
      <c r="Y376" s="174"/>
      <c r="Z376" s="174"/>
    </row>
    <row r="377">
      <c r="A377" s="190" t="str">
        <f>IFERROR(__xludf.DUMMYFUNCTION("""COMPUTED_VALUE"""),"Thunder Cage")</f>
        <v>Thunder Cage</v>
      </c>
      <c r="B377" s="190" t="str">
        <f>IFERROR(__xludf.DUMMYFUNCTION("""COMPUTED_VALUE"""),"Electric")</f>
        <v>Electric</v>
      </c>
      <c r="C377" s="190" t="str">
        <f>IFERROR(__xludf.DUMMYFUNCTION("""COMPUTED_VALUE"""),"Special")</f>
        <v>Special</v>
      </c>
      <c r="D377" s="190" t="str">
        <f>IFERROR(__xludf.DUMMYFUNCTION("""COMPUTED_VALUE"""),"Scene")</f>
        <v>Scene</v>
      </c>
      <c r="E377" s="190" t="str">
        <f>IFERROR(__xludf.DUMMYFUNCTION("""COMPUTED_VALUE"""),"Close Blast 3, Full Action")</f>
        <v>Close Blast 3, Full Action</v>
      </c>
      <c r="F377" s="190">
        <f>IFERROR(__xludf.DUMMYFUNCTION("""COMPUTED_VALUE"""),8.0)</f>
        <v>8</v>
      </c>
      <c r="G377" s="190">
        <f>IFERROR(__xludf.DUMMYFUNCTION("""COMPUTED_VALUE"""),8.0)</f>
        <v>8</v>
      </c>
      <c r="H377" s="191" t="str">
        <f>IFERROR(__xludf.DUMMYFUNCTION("""COMPUTED_VALUE"""),"After this Attack resolves, create a Zone within the Range of the Attack. If any Combatant enters the Zone or leaves the Zone, they become Paralyzed. Unless the Weather is Thunderstorm, this Zone lasts until you use a Reaction, use an Attack or Faint. Spi"&amp;"rit Surge. Smite. ")</f>
        <v>After this Attack resolves, create a Zone within the Range of the Attack. If any Combatant enters the Zone or leaves the Zone, they become Paralyzed. Unless the Weather is Thunderstorm, this Zone lasts until you use a Reaction, use an Attack or Faint. Spirit Surge. Smite. </v>
      </c>
      <c r="I377" s="191" t="str">
        <f>IFERROR(__xludf.DUMMYFUNCTION("""COMPUTED_VALUE"""),"--")</f>
        <v>--</v>
      </c>
      <c r="J377" s="190" t="str">
        <f>IFERROR(__xludf.DUMMYFUNCTION("""COMPUTED_VALUE"""),"Tier 3")</f>
        <v>Tier 3</v>
      </c>
      <c r="K377" s="174" t="b">
        <f>IFERROR(__xludf.DUMMYFUNCTION("""COMPUTED_VALUE"""),TRUE)</f>
        <v>1</v>
      </c>
      <c r="L377" s="174"/>
      <c r="M377" s="174"/>
      <c r="N377" s="174"/>
      <c r="O377" s="174"/>
      <c r="P377" s="174"/>
      <c r="Q377" s="174"/>
      <c r="R377" s="174"/>
      <c r="S377" s="174"/>
      <c r="T377" s="174"/>
      <c r="U377" s="174"/>
      <c r="V377" s="174"/>
      <c r="W377" s="174"/>
      <c r="X377" s="174"/>
      <c r="Y377" s="174"/>
      <c r="Z377" s="174"/>
    </row>
    <row r="378">
      <c r="A378" s="190" t="str">
        <f>IFERROR(__xludf.DUMMYFUNCTION("""COMPUTED_VALUE"""),"Thunder Fang")</f>
        <v>Thunder Fang</v>
      </c>
      <c r="B378" s="190" t="str">
        <f>IFERROR(__xludf.DUMMYFUNCTION("""COMPUTED_VALUE"""),"Electric")</f>
        <v>Electric</v>
      </c>
      <c r="C378" s="190" t="str">
        <f>IFERROR(__xludf.DUMMYFUNCTION("""COMPUTED_VALUE"""),"Physical")</f>
        <v>Physical</v>
      </c>
      <c r="D378" s="190" t="str">
        <f>IFERROR(__xludf.DUMMYFUNCTION("""COMPUTED_VALUE"""),"At-Will")</f>
        <v>At-Will</v>
      </c>
      <c r="E378" s="190" t="str">
        <f>IFERROR(__xludf.DUMMYFUNCTION("""COMPUTED_VALUE"""),"Melee, 1 Target, Bite")</f>
        <v>Melee, 1 Target, Bite</v>
      </c>
      <c r="F378" s="190">
        <f>IFERROR(__xludf.DUMMYFUNCTION("""COMPUTED_VALUE"""),2.0)</f>
        <v>2</v>
      </c>
      <c r="G378" s="190">
        <f>IFERROR(__xludf.DUMMYFUNCTION("""COMPUTED_VALUE"""),7.0)</f>
        <v>7</v>
      </c>
      <c r="H378" s="191" t="str">
        <f>IFERROR(__xludf.DUMMYFUNCTION("""COMPUTED_VALUE"""),"On a roll of 17+, Roll a d2. On a roll of 1, the Target becomes Paralyzed. On a 2, the Target becomes Wounded.")</f>
        <v>On a roll of 17+, Roll a d2. On a roll of 1, the Target becomes Paralyzed. On a 2, the Target becomes Wounded.</v>
      </c>
      <c r="I378" s="191" t="str">
        <f>IFERROR(__xludf.DUMMYFUNCTION("""COMPUTED_VALUE"""),"--")</f>
        <v>--</v>
      </c>
      <c r="J378" s="190" t="str">
        <f>IFERROR(__xludf.DUMMYFUNCTION("""COMPUTED_VALUE"""),"Tier 1")</f>
        <v>Tier 1</v>
      </c>
      <c r="K378" s="174" t="b">
        <f>IFERROR(__xludf.DUMMYFUNCTION("""COMPUTED_VALUE"""),TRUE)</f>
        <v>1</v>
      </c>
      <c r="L378" s="174"/>
      <c r="M378" s="174"/>
      <c r="N378" s="174"/>
      <c r="O378" s="174"/>
      <c r="P378" s="174"/>
      <c r="Q378" s="174"/>
      <c r="R378" s="174"/>
      <c r="S378" s="174"/>
      <c r="T378" s="174"/>
      <c r="U378" s="174"/>
      <c r="V378" s="174"/>
      <c r="W378" s="174"/>
      <c r="X378" s="174"/>
      <c r="Y378" s="174"/>
      <c r="Z378" s="174"/>
    </row>
    <row r="379">
      <c r="A379" s="190" t="str">
        <f>IFERROR(__xludf.DUMMYFUNCTION("""COMPUTED_VALUE"""),"Thunder Punch")</f>
        <v>Thunder Punch</v>
      </c>
      <c r="B379" s="190" t="str">
        <f>IFERROR(__xludf.DUMMYFUNCTION("""COMPUTED_VALUE"""),"Electric")</f>
        <v>Electric</v>
      </c>
      <c r="C379" s="190" t="str">
        <f>IFERROR(__xludf.DUMMYFUNCTION("""COMPUTED_VALUE"""),"Physical")</f>
        <v>Physical</v>
      </c>
      <c r="D379" s="190" t="str">
        <f>IFERROR(__xludf.DUMMYFUNCTION("""COMPUTED_VALUE"""),"At-Will")</f>
        <v>At-Will</v>
      </c>
      <c r="E379" s="190" t="str">
        <f>IFERROR(__xludf.DUMMYFUNCTION("""COMPUTED_VALUE"""),"Melee, 1 Target, Punch")</f>
        <v>Melee, 1 Target, Punch</v>
      </c>
      <c r="F379" s="190">
        <f>IFERROR(__xludf.DUMMYFUNCTION("""COMPUTED_VALUE"""),3.0)</f>
        <v>3</v>
      </c>
      <c r="G379" s="190">
        <f>IFERROR(__xludf.DUMMYFUNCTION("""COMPUTED_VALUE"""),8.0)</f>
        <v>8</v>
      </c>
      <c r="H379" s="191" t="str">
        <f>IFERROR(__xludf.DUMMYFUNCTION("""COMPUTED_VALUE"""),"Thunder Punch Paralyzes the Target on a roll of 18+.")</f>
        <v>Thunder Punch Paralyzes the Target on a roll of 18+.</v>
      </c>
      <c r="I379" s="191" t="str">
        <f>IFERROR(__xludf.DUMMYFUNCTION("""COMPUTED_VALUE"""),"--")</f>
        <v>--</v>
      </c>
      <c r="J379" s="190" t="str">
        <f>IFERROR(__xludf.DUMMYFUNCTION("""COMPUTED_VALUE"""),"Tier 2")</f>
        <v>Tier 2</v>
      </c>
      <c r="K379" s="174" t="b">
        <f>IFERROR(__xludf.DUMMYFUNCTION("""COMPUTED_VALUE"""),TRUE)</f>
        <v>1</v>
      </c>
      <c r="L379" s="174"/>
      <c r="M379" s="174"/>
      <c r="N379" s="174"/>
      <c r="O379" s="174"/>
      <c r="P379" s="174"/>
      <c r="Q379" s="174"/>
      <c r="R379" s="174"/>
      <c r="S379" s="174"/>
      <c r="T379" s="174"/>
      <c r="U379" s="174"/>
      <c r="V379" s="174"/>
      <c r="W379" s="174"/>
      <c r="X379" s="174"/>
      <c r="Y379" s="174"/>
      <c r="Z379" s="174"/>
    </row>
    <row r="380">
      <c r="A380" s="190" t="str">
        <f>IFERROR(__xludf.DUMMYFUNCTION("""COMPUTED_VALUE"""),"Thunder Shock")</f>
        <v>Thunder Shock</v>
      </c>
      <c r="B380" s="190" t="str">
        <f>IFERROR(__xludf.DUMMYFUNCTION("""COMPUTED_VALUE"""),"Electric")</f>
        <v>Electric</v>
      </c>
      <c r="C380" s="190" t="str">
        <f>IFERROR(__xludf.DUMMYFUNCTION("""COMPUTED_VALUE"""),"Special")</f>
        <v>Special</v>
      </c>
      <c r="D380" s="190" t="str">
        <f>IFERROR(__xludf.DUMMYFUNCTION("""COMPUTED_VALUE"""),"At-Will")</f>
        <v>At-Will</v>
      </c>
      <c r="E380" s="190" t="str">
        <f>IFERROR(__xludf.DUMMYFUNCTION("""COMPUTED_VALUE"""),"4, 1 Target")</f>
        <v>4, 1 Target</v>
      </c>
      <c r="F380" s="190">
        <f>IFERROR(__xludf.DUMMYFUNCTION("""COMPUTED_VALUE"""),3.0)</f>
        <v>3</v>
      </c>
      <c r="G380" s="190">
        <f>IFERROR(__xludf.DUMMYFUNCTION("""COMPUTED_VALUE"""),4.0)</f>
        <v>4</v>
      </c>
      <c r="H380" s="191" t="str">
        <f>IFERROR(__xludf.DUMMYFUNCTION("""COMPUTED_VALUE"""),"Thunder Shock Paralyzes the Target on a roll of 17+. Smite")</f>
        <v>Thunder Shock Paralyzes the Target on a roll of 17+. Smite</v>
      </c>
      <c r="I380" s="191" t="str">
        <f>IFERROR(__xludf.DUMMYFUNCTION("""COMPUTED_VALUE"""),"--")</f>
        <v>--</v>
      </c>
      <c r="J380" s="190" t="str">
        <f>IFERROR(__xludf.DUMMYFUNCTION("""COMPUTED_VALUE"""),"Tier 1")</f>
        <v>Tier 1</v>
      </c>
      <c r="K380" s="174" t="b">
        <f>IFERROR(__xludf.DUMMYFUNCTION("""COMPUTED_VALUE"""),TRUE)</f>
        <v>1</v>
      </c>
      <c r="L380" s="174"/>
      <c r="M380" s="174"/>
      <c r="N380" s="174"/>
      <c r="O380" s="174"/>
      <c r="P380" s="174"/>
      <c r="Q380" s="174"/>
      <c r="R380" s="174"/>
      <c r="S380" s="174"/>
      <c r="T380" s="174"/>
      <c r="U380" s="174"/>
      <c r="V380" s="174"/>
      <c r="W380" s="174"/>
      <c r="X380" s="174"/>
      <c r="Y380" s="174"/>
      <c r="Z380" s="174"/>
    </row>
    <row r="381">
      <c r="A381" s="190" t="str">
        <f>IFERROR(__xludf.DUMMYFUNCTION("""COMPUTED_VALUE"""),"Thunder Spear")</f>
        <v>Thunder Spear</v>
      </c>
      <c r="B381" s="190" t="str">
        <f>IFERROR(__xludf.DUMMYFUNCTION("""COMPUTED_VALUE"""),"Electric")</f>
        <v>Electric</v>
      </c>
      <c r="C381" s="190" t="str">
        <f>IFERROR(__xludf.DUMMYFUNCTION("""COMPUTED_VALUE"""),"Physical")</f>
        <v>Physical</v>
      </c>
      <c r="D381" s="190" t="str">
        <f>IFERROR(__xludf.DUMMYFUNCTION("""COMPUTED_VALUE"""),"EOT")</f>
        <v>EOT</v>
      </c>
      <c r="E381" s="190" t="str">
        <f>IFERROR(__xludf.DUMMYFUNCTION("""COMPUTED_VALUE"""),"8, 1 Target")</f>
        <v>8, 1 Target</v>
      </c>
      <c r="F381" s="190">
        <f>IFERROR(__xludf.DUMMYFUNCTION("""COMPUTED_VALUE"""),4.0)</f>
        <v>4</v>
      </c>
      <c r="G381" s="190">
        <f>IFERROR(__xludf.DUMMYFUNCTION("""COMPUTED_VALUE"""),6.0)</f>
        <v>6</v>
      </c>
      <c r="H381" s="191" t="str">
        <f>IFERROR(__xludf.DUMMYFUNCTION("""COMPUTED_VALUE"""),"If there is an Enemy within 2m of the Target that is Paralyzed, this Attack also Targets them but is resisted an additional step.")</f>
        <v>If there is an Enemy within 2m of the Target that is Paralyzed, this Attack also Targets them but is resisted an additional step.</v>
      </c>
      <c r="I381" s="191" t="str">
        <f>IFERROR(__xludf.DUMMYFUNCTION("""COMPUTED_VALUE"""),"--")</f>
        <v>--</v>
      </c>
      <c r="J381" s="190" t="str">
        <f>IFERROR(__xludf.DUMMYFUNCTION("""COMPUTED_VALUE"""),"Tier 1")</f>
        <v>Tier 1</v>
      </c>
      <c r="K381" s="174" t="b">
        <f>IFERROR(__xludf.DUMMYFUNCTION("""COMPUTED_VALUE"""),TRUE)</f>
        <v>1</v>
      </c>
      <c r="L381" s="174"/>
      <c r="M381" s="174"/>
      <c r="N381" s="174"/>
      <c r="O381" s="174"/>
      <c r="P381" s="174"/>
      <c r="Q381" s="174"/>
      <c r="R381" s="174"/>
      <c r="S381" s="174"/>
      <c r="T381" s="174"/>
      <c r="U381" s="174"/>
      <c r="V381" s="174"/>
      <c r="W381" s="174"/>
      <c r="X381" s="174"/>
      <c r="Y381" s="174"/>
      <c r="Z381" s="174"/>
    </row>
    <row r="382">
      <c r="A382" s="190" t="str">
        <f>IFERROR(__xludf.DUMMYFUNCTION("""COMPUTED_VALUE"""),"Thunder Wave")</f>
        <v>Thunder Wave</v>
      </c>
      <c r="B382" s="190" t="str">
        <f>IFERROR(__xludf.DUMMYFUNCTION("""COMPUTED_VALUE"""),"Electric")</f>
        <v>Electric</v>
      </c>
      <c r="C382" s="190" t="str">
        <f>IFERROR(__xludf.DUMMYFUNCTION("""COMPUTED_VALUE"""),"Status")</f>
        <v>Status</v>
      </c>
      <c r="D382" s="190" t="str">
        <f>IFERROR(__xludf.DUMMYFUNCTION("""COMPUTED_VALUE"""),"EOT")</f>
        <v>EOT</v>
      </c>
      <c r="E382" s="190" t="str">
        <f>IFERROR(__xludf.DUMMYFUNCTION("""COMPUTED_VALUE"""),"6, 1 Target or Close Blast 2, Versatile")</f>
        <v>6, 1 Target or Close Blast 2, Versatile</v>
      </c>
      <c r="F382" s="190">
        <f>IFERROR(__xludf.DUMMYFUNCTION("""COMPUTED_VALUE"""),6.0)</f>
        <v>6</v>
      </c>
      <c r="G382" s="190" t="str">
        <f>IFERROR(__xludf.DUMMYFUNCTION("""COMPUTED_VALUE"""),"--")</f>
        <v>--</v>
      </c>
      <c r="H382" s="191" t="str">
        <f>IFERROR(__xludf.DUMMYFUNCTION("""COMPUTED_VALUE"""),"The Target becomes Paralyzed. ")</f>
        <v>The Target becomes Paralyzed. </v>
      </c>
      <c r="I382" s="191" t="str">
        <f>IFERROR(__xludf.DUMMYFUNCTION("""COMPUTED_VALUE"""),"Same as the normal Effects, however the Range is changed to 3, 1 Target. ")</f>
        <v>Same as the normal Effects, however the Range is changed to 3, 1 Target. </v>
      </c>
      <c r="J382" s="190" t="str">
        <f>IFERROR(__xludf.DUMMYFUNCTION("""COMPUTED_VALUE"""),"Tier 1")</f>
        <v>Tier 1</v>
      </c>
      <c r="K382" s="174" t="b">
        <f>IFERROR(__xludf.DUMMYFUNCTION("""COMPUTED_VALUE"""),TRUE)</f>
        <v>1</v>
      </c>
      <c r="L382" s="174"/>
      <c r="M382" s="174"/>
      <c r="N382" s="174"/>
      <c r="O382" s="174"/>
      <c r="P382" s="174"/>
      <c r="Q382" s="174"/>
      <c r="R382" s="174"/>
      <c r="S382" s="174"/>
      <c r="T382" s="174"/>
      <c r="U382" s="174"/>
      <c r="V382" s="174"/>
      <c r="W382" s="174"/>
      <c r="X382" s="174"/>
      <c r="Y382" s="174"/>
      <c r="Z382" s="174"/>
    </row>
    <row r="383">
      <c r="A383" s="190" t="str">
        <f>IFERROR(__xludf.DUMMYFUNCTION("""COMPUTED_VALUE"""),"Thunderbolt")</f>
        <v>Thunderbolt</v>
      </c>
      <c r="B383" s="190" t="str">
        <f>IFERROR(__xludf.DUMMYFUNCTION("""COMPUTED_VALUE"""),"Electric")</f>
        <v>Electric</v>
      </c>
      <c r="C383" s="190" t="str">
        <f>IFERROR(__xludf.DUMMYFUNCTION("""COMPUTED_VALUE"""),"Special")</f>
        <v>Special</v>
      </c>
      <c r="D383" s="190" t="str">
        <f>IFERROR(__xludf.DUMMYFUNCTION("""COMPUTED_VALUE"""),"EOT")</f>
        <v>EOT</v>
      </c>
      <c r="E383" s="190" t="str">
        <f>IFERROR(__xludf.DUMMYFUNCTION("""COMPUTED_VALUE"""),"6, 1 Target")</f>
        <v>6, 1 Target</v>
      </c>
      <c r="F383" s="190">
        <f>IFERROR(__xludf.DUMMYFUNCTION("""COMPUTED_VALUE"""),4.0)</f>
        <v>4</v>
      </c>
      <c r="G383" s="190">
        <f>IFERROR(__xludf.DUMMYFUNCTION("""COMPUTED_VALUE"""),9.0)</f>
        <v>9</v>
      </c>
      <c r="H383" s="191" t="str">
        <f>IFERROR(__xludf.DUMMYFUNCTION("""COMPUTED_VALUE"""),"On a roll of 19+, the Target becomes Paralyzed. Smite")</f>
        <v>On a roll of 19+, the Target becomes Paralyzed. Smite</v>
      </c>
      <c r="I383" s="191" t="str">
        <f>IFERROR(__xludf.DUMMYFUNCTION("""COMPUTED_VALUE"""),"--")</f>
        <v>--</v>
      </c>
      <c r="J383" s="190" t="str">
        <f>IFERROR(__xludf.DUMMYFUNCTION("""COMPUTED_VALUE"""),"Tier 2")</f>
        <v>Tier 2</v>
      </c>
      <c r="K383" s="174" t="b">
        <f>IFERROR(__xludf.DUMMYFUNCTION("""COMPUTED_VALUE"""),TRUE)</f>
        <v>1</v>
      </c>
      <c r="L383" s="174"/>
      <c r="M383" s="174"/>
      <c r="N383" s="174"/>
      <c r="O383" s="174"/>
      <c r="P383" s="174"/>
      <c r="Q383" s="174"/>
      <c r="R383" s="174"/>
      <c r="S383" s="174"/>
      <c r="T383" s="174"/>
      <c r="U383" s="174"/>
      <c r="V383" s="174"/>
      <c r="W383" s="174"/>
      <c r="X383" s="174"/>
      <c r="Y383" s="174"/>
      <c r="Z383" s="174"/>
    </row>
    <row r="384">
      <c r="A384" s="190" t="str">
        <f>IFERROR(__xludf.DUMMYFUNCTION("""COMPUTED_VALUE"""),"Thunderstorm")</f>
        <v>Thunderstorm</v>
      </c>
      <c r="B384" s="190" t="str">
        <f>IFERROR(__xludf.DUMMYFUNCTION("""COMPUTED_VALUE"""),"Electric")</f>
        <v>Electric</v>
      </c>
      <c r="C384" s="190" t="str">
        <f>IFERROR(__xludf.DUMMYFUNCTION("""COMPUTED_VALUE"""),"Status")</f>
        <v>Status</v>
      </c>
      <c r="D384" s="190" t="str">
        <f>IFERROR(__xludf.DUMMYFUNCTION("""COMPUTED_VALUE"""),"Scene x2")</f>
        <v>Scene x2</v>
      </c>
      <c r="E384" s="190" t="str">
        <f>IFERROR(__xludf.DUMMYFUNCTION("""COMPUTED_VALUE"""),"Blessing, Versatile, Weather")</f>
        <v>Blessing, Versatile, Weather</v>
      </c>
      <c r="F384" s="190" t="str">
        <f>IFERROR(__xludf.DUMMYFUNCTION("""COMPUTED_VALUE"""),"--")</f>
        <v>--</v>
      </c>
      <c r="G384" s="190" t="str">
        <f>IFERROR(__xludf.DUMMYFUNCTION("""COMPUTED_VALUE"""),"--")</f>
        <v>--</v>
      </c>
      <c r="H384" s="191" t="str">
        <f>IFERROR(__xludf.DUMMYFUNCTION("""COMPUTED_VALUE"""),"Blessing - Any user affected by Thunderstorm may activate it as a Free Action when using an Electric Type Damaging Attack to grant it the Smite Keyword. If the Attack hits, it hits, it is also increased by one damage step. (Max 1.5x Effectiveness). Thunde"&amp;"rstorm may be Activated 3 times and then disappears. While this Blessing persists, the Weather becomes Thunderstorm.")</f>
        <v>Blessing - Any user affected by Thunderstorm may activate it as a Free Action when using an Electric Type Damaging Attack to grant it the Smite Keyword. If the Attack hits, it hits, it is also increased by one damage step. (Max 1.5x Effectiveness). Thunderstorm may be Activated 3 times and then disappears. While this Blessing persists, the Weather becomes Thunderstorm.</v>
      </c>
      <c r="I384" s="191" t="str">
        <f>IFERROR(__xludf.DUMMYFUNCTION("""COMPUTED_VALUE"""),"Same as the normal Effect, but it only has 1 Activation.")</f>
        <v>Same as the normal Effect, but it only has 1 Activation.</v>
      </c>
      <c r="J384" s="190" t="str">
        <f>IFERROR(__xludf.DUMMYFUNCTION("""COMPUTED_VALUE"""),"Tier 2")</f>
        <v>Tier 2</v>
      </c>
      <c r="K384" s="174" t="b">
        <f>IFERROR(__xludf.DUMMYFUNCTION("""COMPUTED_VALUE"""),TRUE)</f>
        <v>1</v>
      </c>
      <c r="L384" s="174"/>
      <c r="M384" s="174"/>
      <c r="N384" s="174"/>
      <c r="O384" s="174"/>
      <c r="P384" s="174"/>
      <c r="Q384" s="174"/>
      <c r="R384" s="174"/>
      <c r="S384" s="174"/>
      <c r="T384" s="174"/>
      <c r="U384" s="174"/>
      <c r="V384" s="174"/>
      <c r="W384" s="174"/>
      <c r="X384" s="174"/>
      <c r="Y384" s="174"/>
      <c r="Z384" s="174"/>
    </row>
    <row r="385">
      <c r="A385" s="190" t="str">
        <f>IFERROR(__xludf.DUMMYFUNCTION("""COMPUTED_VALUE"""),"Volt Crush")</f>
        <v>Volt Crush</v>
      </c>
      <c r="B385" s="190" t="str">
        <f>IFERROR(__xludf.DUMMYFUNCTION("""COMPUTED_VALUE"""),"Electric")</f>
        <v>Electric</v>
      </c>
      <c r="C385" s="190" t="str">
        <f>IFERROR(__xludf.DUMMYFUNCTION("""COMPUTED_VALUE"""),"Physical")</f>
        <v>Physical</v>
      </c>
      <c r="D385" s="190" t="str">
        <f>IFERROR(__xludf.DUMMYFUNCTION("""COMPUTED_VALUE"""),"Scene x2")</f>
        <v>Scene x2</v>
      </c>
      <c r="E385" s="190" t="str">
        <f>IFERROR(__xludf.DUMMYFUNCTION("""COMPUTED_VALUE"""),"6, 1 Target")</f>
        <v>6, 1 Target</v>
      </c>
      <c r="F385" s="190">
        <f>IFERROR(__xludf.DUMMYFUNCTION("""COMPUTED_VALUE"""),3.0)</f>
        <v>3</v>
      </c>
      <c r="G385" s="190">
        <f>IFERROR(__xludf.DUMMYFUNCTION("""COMPUTED_VALUE"""),8.0)</f>
        <v>8</v>
      </c>
      <c r="H385" s="191" t="str">
        <f>IFERROR(__xludf.DUMMYFUNCTION("""COMPUTED_VALUE"""),"If a Target hit by this Attack is Paralyzed, you may cure them of the Affliction. If they are cured this way, they lose three Ticks of Hit Points.")</f>
        <v>If a Target hit by this Attack is Paralyzed, you may cure them of the Affliction. If they are cured this way, they lose three Ticks of Hit Points.</v>
      </c>
      <c r="I385" s="191" t="str">
        <f>IFERROR(__xludf.DUMMYFUNCTION("""COMPUTED_VALUE"""),"--")</f>
        <v>--</v>
      </c>
      <c r="J385" s="190" t="str">
        <f>IFERROR(__xludf.DUMMYFUNCTION("""COMPUTED_VALUE"""),"Tier 2")</f>
        <v>Tier 2</v>
      </c>
      <c r="K385" s="174" t="b">
        <f>IFERROR(__xludf.DUMMYFUNCTION("""COMPUTED_VALUE"""),TRUE)</f>
        <v>1</v>
      </c>
      <c r="L385" s="174"/>
      <c r="M385" s="174"/>
      <c r="N385" s="174"/>
      <c r="O385" s="174"/>
      <c r="P385" s="174"/>
      <c r="Q385" s="174"/>
      <c r="R385" s="174"/>
      <c r="S385" s="174"/>
      <c r="T385" s="174"/>
      <c r="U385" s="174"/>
      <c r="V385" s="174"/>
      <c r="W385" s="174"/>
      <c r="X385" s="174"/>
      <c r="Y385" s="174"/>
      <c r="Z385" s="174"/>
    </row>
    <row r="386">
      <c r="A386" s="190" t="str">
        <f>IFERROR(__xludf.DUMMYFUNCTION("""COMPUTED_VALUE"""),"Volt Switch")</f>
        <v>Volt Switch</v>
      </c>
      <c r="B386" s="190" t="str">
        <f>IFERROR(__xludf.DUMMYFUNCTION("""COMPUTED_VALUE"""),"Electric")</f>
        <v>Electric</v>
      </c>
      <c r="C386" s="190" t="str">
        <f>IFERROR(__xludf.DUMMYFUNCTION("""COMPUTED_VALUE"""),"Special")</f>
        <v>Special</v>
      </c>
      <c r="D386" s="190" t="str">
        <f>IFERROR(__xludf.DUMMYFUNCTION("""COMPUTED_VALUE"""),"At-Will")</f>
        <v>At-Will</v>
      </c>
      <c r="E386" s="190" t="str">
        <f>IFERROR(__xludf.DUMMYFUNCTION("""COMPUTED_VALUE"""),"5, 1 Target")</f>
        <v>5, 1 Target</v>
      </c>
      <c r="F386" s="190">
        <f>IFERROR(__xludf.DUMMYFUNCTION("""COMPUTED_VALUE"""),3.0)</f>
        <v>3</v>
      </c>
      <c r="G386" s="190">
        <f>IFERROR(__xludf.DUMMYFUNCTION("""COMPUTED_VALUE"""),7.0)</f>
        <v>7</v>
      </c>
      <c r="H386" s="191" t="str">
        <f>IFERROR(__xludf.DUMMYFUNCTION("""COMPUTED_VALUE"""),"After Damage Calculations, the user may Disengage as a Free Action or they may perform a Full Switch as a Free Action.")</f>
        <v>After Damage Calculations, the user may Disengage as a Free Action or they may perform a Full Switch as a Free Action.</v>
      </c>
      <c r="I386" s="191" t="str">
        <f>IFERROR(__xludf.DUMMYFUNCTION("""COMPUTED_VALUE"""),"--")</f>
        <v>--</v>
      </c>
      <c r="J386" s="190" t="str">
        <f>IFERROR(__xludf.DUMMYFUNCTION("""COMPUTED_VALUE"""),"Tier 1")</f>
        <v>Tier 1</v>
      </c>
      <c r="K386" s="174" t="b">
        <f>IFERROR(__xludf.DUMMYFUNCTION("""COMPUTED_VALUE"""),TRUE)</f>
        <v>1</v>
      </c>
      <c r="L386" s="174"/>
      <c r="M386" s="174"/>
      <c r="N386" s="174"/>
      <c r="O386" s="174"/>
      <c r="P386" s="174"/>
      <c r="Q386" s="174"/>
      <c r="R386" s="174"/>
      <c r="S386" s="174"/>
      <c r="T386" s="174"/>
      <c r="U386" s="174"/>
      <c r="V386" s="174"/>
      <c r="W386" s="174"/>
      <c r="X386" s="174"/>
      <c r="Y386" s="174"/>
      <c r="Z386" s="174"/>
    </row>
    <row r="387">
      <c r="A387" s="192" t="str">
        <f>IFERROR(__xludf.DUMMYFUNCTION("""COMPUTED_VALUE"""),"Volt Tackle")</f>
        <v>Volt Tackle</v>
      </c>
      <c r="B387" s="190" t="str">
        <f>IFERROR(__xludf.DUMMYFUNCTION("""COMPUTED_VALUE"""),"Electric")</f>
        <v>Electric</v>
      </c>
      <c r="C387" s="190" t="str">
        <f>IFERROR(__xludf.DUMMYFUNCTION("""COMPUTED_VALUE"""),"Physical")</f>
        <v>Physical</v>
      </c>
      <c r="D387" s="190" t="str">
        <f>IFERROR(__xludf.DUMMYFUNCTION("""COMPUTED_VALUE"""),"Scene x2")</f>
        <v>Scene x2</v>
      </c>
      <c r="E387" s="190" t="str">
        <f>IFERROR(__xludf.DUMMYFUNCTION("""COMPUTED_VALUE"""),"Melee, 1 Target, Dash, Recoil 1/3")</f>
        <v>Melee, 1 Target, Dash, Recoil 1/3</v>
      </c>
      <c r="F387" s="190">
        <f>IFERROR(__xludf.DUMMYFUNCTION("""COMPUTED_VALUE"""),3.0)</f>
        <v>3</v>
      </c>
      <c r="G387" s="190">
        <f>IFERROR(__xludf.DUMMYFUNCTION("""COMPUTED_VALUE"""),12.0)</f>
        <v>12</v>
      </c>
      <c r="H387" s="191" t="str">
        <f>IFERROR(__xludf.DUMMYFUNCTION("""COMPUTED_VALUE"""),"Volt Tackle Paralyzes the Target on a roll of 19+. If the Dash Keyword is Activated, Volt Tackle instead Paralyzes the Target on a roll of 15+ and it has the Smite Keyword.")</f>
        <v>Volt Tackle Paralyzes the Target on a roll of 19+. If the Dash Keyword is Activated, Volt Tackle instead Paralyzes the Target on a roll of 15+ and it has the Smite Keyword.</v>
      </c>
      <c r="I387" s="191" t="str">
        <f>IFERROR(__xludf.DUMMYFUNCTION("""COMPUTED_VALUE"""),"--")</f>
        <v>--</v>
      </c>
      <c r="J387" s="190" t="str">
        <f>IFERROR(__xludf.DUMMYFUNCTION("""COMPUTED_VALUE"""),"Tier 3")</f>
        <v>Tier 3</v>
      </c>
      <c r="K387" s="174" t="b">
        <f>IFERROR(__xludf.DUMMYFUNCTION("""COMPUTED_VALUE"""),TRUE)</f>
        <v>1</v>
      </c>
      <c r="L387" s="174"/>
      <c r="M387" s="174"/>
      <c r="N387" s="174"/>
      <c r="O387" s="174"/>
      <c r="P387" s="174"/>
      <c r="Q387" s="174"/>
      <c r="R387" s="174"/>
      <c r="S387" s="174"/>
      <c r="T387" s="174"/>
      <c r="U387" s="174"/>
      <c r="V387" s="174"/>
      <c r="W387" s="174"/>
      <c r="X387" s="174"/>
      <c r="Y387" s="174"/>
      <c r="Z387" s="174"/>
    </row>
    <row r="388">
      <c r="A388" s="192" t="str">
        <f>IFERROR(__xludf.DUMMYFUNCTION("""COMPUTED_VALUE"""),"Wild Charge")</f>
        <v>Wild Charge</v>
      </c>
      <c r="B388" s="190" t="str">
        <f>IFERROR(__xludf.DUMMYFUNCTION("""COMPUTED_VALUE"""),"Electric")</f>
        <v>Electric</v>
      </c>
      <c r="C388" s="190" t="str">
        <f>IFERROR(__xludf.DUMMYFUNCTION("""COMPUTED_VALUE"""),"Physical")</f>
        <v>Physical</v>
      </c>
      <c r="D388" s="190" t="str">
        <f>IFERROR(__xludf.DUMMYFUNCTION("""COMPUTED_VALUE"""),"At-Will")</f>
        <v>At-Will</v>
      </c>
      <c r="E388" s="190" t="str">
        <f>IFERROR(__xludf.DUMMYFUNCTION("""COMPUTED_VALUE"""),"Melee, 1 Target, Dash, Recoil 1/4")</f>
        <v>Melee, 1 Target, Dash, Recoil 1/4</v>
      </c>
      <c r="F388" s="190">
        <f>IFERROR(__xludf.DUMMYFUNCTION("""COMPUTED_VALUE"""),2.0)</f>
        <v>2</v>
      </c>
      <c r="G388" s="190">
        <f>IFERROR(__xludf.DUMMYFUNCTION("""COMPUTED_VALUE"""),9.0)</f>
        <v>9</v>
      </c>
      <c r="H388" s="191" t="str">
        <f>IFERROR(__xludf.DUMMYFUNCTION("""COMPUTED_VALUE"""),"Wild Charge Paralyzes the Target on a roll of 18+. If the Dash Keyword is Activated, the Recoil Keyword is ignored.")</f>
        <v>Wild Charge Paralyzes the Target on a roll of 18+. If the Dash Keyword is Activated, the Recoil Keyword is ignored.</v>
      </c>
      <c r="I388" s="191" t="str">
        <f>IFERROR(__xludf.DUMMYFUNCTION("""COMPUTED_VALUE"""),"--")</f>
        <v>--</v>
      </c>
      <c r="J388" s="190" t="str">
        <f>IFERROR(__xludf.DUMMYFUNCTION("""COMPUTED_VALUE"""),"Tier 2")</f>
        <v>Tier 2</v>
      </c>
      <c r="K388" s="174" t="b">
        <f>IFERROR(__xludf.DUMMYFUNCTION("""COMPUTED_VALUE"""),TRUE)</f>
        <v>1</v>
      </c>
      <c r="L388" s="174"/>
      <c r="M388" s="174"/>
      <c r="N388" s="174"/>
      <c r="O388" s="174"/>
      <c r="P388" s="174"/>
      <c r="Q388" s="174"/>
      <c r="R388" s="174"/>
      <c r="S388" s="174"/>
      <c r="T388" s="174"/>
      <c r="U388" s="174"/>
      <c r="V388" s="174"/>
      <c r="W388" s="174"/>
      <c r="X388" s="174"/>
      <c r="Y388" s="174"/>
      <c r="Z388" s="174"/>
    </row>
    <row r="389">
      <c r="A389" s="190" t="str">
        <f>IFERROR(__xludf.DUMMYFUNCTION("""COMPUTED_VALUE"""),"Zap Cannon")</f>
        <v>Zap Cannon</v>
      </c>
      <c r="B389" s="190" t="str">
        <f>IFERROR(__xludf.DUMMYFUNCTION("""COMPUTED_VALUE"""),"Electric")</f>
        <v>Electric</v>
      </c>
      <c r="C389" s="190" t="str">
        <f>IFERROR(__xludf.DUMMYFUNCTION("""COMPUTED_VALUE"""),"Special")</f>
        <v>Special</v>
      </c>
      <c r="D389" s="190" t="str">
        <f>IFERROR(__xludf.DUMMYFUNCTION("""COMPUTED_VALUE"""),"EOT")</f>
        <v>EOT</v>
      </c>
      <c r="E389" s="190" t="str">
        <f>IFERROR(__xludf.DUMMYFUNCTION("""COMPUTED_VALUE"""),"10, 1 Target")</f>
        <v>10, 1 Target</v>
      </c>
      <c r="F389" s="190">
        <f>IFERROR(__xludf.DUMMYFUNCTION("""COMPUTED_VALUE"""),5.0)</f>
        <v>5</v>
      </c>
      <c r="G389" s="190">
        <f>IFERROR(__xludf.DUMMYFUNCTION("""COMPUTED_VALUE"""),10.0)</f>
        <v>10</v>
      </c>
      <c r="H389" s="191" t="str">
        <f>IFERROR(__xludf.DUMMYFUNCTION("""COMPUTED_VALUE"""),"Zap Cannon Paralyzes the Target. Zap Cannon treats the Target as Vulnerable if there are no Combatants or Blocking Terrain adjacent to them or if the Weather is Thunderstorm.")</f>
        <v>Zap Cannon Paralyzes the Target. Zap Cannon treats the Target as Vulnerable if there are no Combatants or Blocking Terrain adjacent to them or if the Weather is Thunderstorm.</v>
      </c>
      <c r="I389" s="191" t="str">
        <f>IFERROR(__xludf.DUMMYFUNCTION("""COMPUTED_VALUE"""),"--")</f>
        <v>--</v>
      </c>
      <c r="J389" s="190" t="str">
        <f>IFERROR(__xludf.DUMMYFUNCTION("""COMPUTED_VALUE"""),"Tier 3")</f>
        <v>Tier 3</v>
      </c>
      <c r="K389" s="174" t="b">
        <f>IFERROR(__xludf.DUMMYFUNCTION("""COMPUTED_VALUE"""),TRUE)</f>
        <v>1</v>
      </c>
      <c r="L389" s="174"/>
      <c r="M389" s="174"/>
      <c r="N389" s="174"/>
      <c r="O389" s="174"/>
      <c r="P389" s="174"/>
      <c r="Q389" s="174"/>
      <c r="R389" s="174"/>
      <c r="S389" s="174"/>
      <c r="T389" s="174"/>
      <c r="U389" s="174"/>
      <c r="V389" s="174"/>
      <c r="W389" s="174"/>
      <c r="X389" s="174"/>
      <c r="Y389" s="174"/>
      <c r="Z389" s="174"/>
    </row>
    <row r="390">
      <c r="A390" s="192" t="str">
        <f>IFERROR(__xludf.DUMMYFUNCTION("""COMPUTED_VALUE"""),"Zing Zap")</f>
        <v>Zing Zap</v>
      </c>
      <c r="B390" s="190" t="str">
        <f>IFERROR(__xludf.DUMMYFUNCTION("""COMPUTED_VALUE"""),"Electric")</f>
        <v>Electric</v>
      </c>
      <c r="C390" s="190" t="str">
        <f>IFERROR(__xludf.DUMMYFUNCTION("""COMPUTED_VALUE"""),"Physical")</f>
        <v>Physical</v>
      </c>
      <c r="D390" s="190" t="str">
        <f>IFERROR(__xludf.DUMMYFUNCTION("""COMPUTED_VALUE"""),"EOT")</f>
        <v>EOT</v>
      </c>
      <c r="E390" s="190" t="str">
        <f>IFERROR(__xludf.DUMMYFUNCTION("""COMPUTED_VALUE"""),"Melee, 1 Target")</f>
        <v>Melee, 1 Target</v>
      </c>
      <c r="F390" s="190">
        <f>IFERROR(__xludf.DUMMYFUNCTION("""COMPUTED_VALUE"""),3.0)</f>
        <v>3</v>
      </c>
      <c r="G390" s="190">
        <f>IFERROR(__xludf.DUMMYFUNCTION("""COMPUTED_VALUE"""),8.0)</f>
        <v>8</v>
      </c>
      <c r="H390" s="191" t="str">
        <f>IFERROR(__xludf.DUMMYFUNCTION("""COMPUTED_VALUE"""),"On a roll of 17+, the Target becomes Vulnerable until the end of the Round.")</f>
        <v>On a roll of 17+, the Target becomes Vulnerable until the end of the Round.</v>
      </c>
      <c r="I390" s="191" t="str">
        <f>IFERROR(__xludf.DUMMYFUNCTION("""COMPUTED_VALUE"""),"--")</f>
        <v>--</v>
      </c>
      <c r="J390" s="190" t="str">
        <f>IFERROR(__xludf.DUMMYFUNCTION("""COMPUTED_VALUE"""),"Tier 2")</f>
        <v>Tier 2</v>
      </c>
      <c r="K390" s="174" t="b">
        <f>IFERROR(__xludf.DUMMYFUNCTION("""COMPUTED_VALUE"""),TRUE)</f>
        <v>1</v>
      </c>
      <c r="L390" s="174"/>
      <c r="M390" s="174"/>
      <c r="N390" s="174"/>
      <c r="O390" s="174"/>
      <c r="P390" s="174"/>
      <c r="Q390" s="174"/>
      <c r="R390" s="174"/>
      <c r="S390" s="174"/>
      <c r="T390" s="174"/>
      <c r="U390" s="174"/>
      <c r="V390" s="174"/>
      <c r="W390" s="174"/>
      <c r="X390" s="174"/>
      <c r="Y390" s="174"/>
      <c r="Z390" s="174"/>
    </row>
    <row r="391">
      <c r="A391" s="192" t="str">
        <f>IFERROR(__xludf.DUMMYFUNCTION("""COMPUTED_VALUE"""),"Alluring Voice")</f>
        <v>Alluring Voice</v>
      </c>
      <c r="B391" s="190" t="str">
        <f>IFERROR(__xludf.DUMMYFUNCTION("""COMPUTED_VALUE"""),"Fairy")</f>
        <v>Fairy</v>
      </c>
      <c r="C391" s="190" t="str">
        <f>IFERROR(__xludf.DUMMYFUNCTION("""COMPUTED_VALUE"""),"Special")</f>
        <v>Special</v>
      </c>
      <c r="D391" s="190" t="str">
        <f>IFERROR(__xludf.DUMMYFUNCTION("""COMPUTED_VALUE"""),"Scene x2")</f>
        <v>Scene x2</v>
      </c>
      <c r="E391" s="190" t="str">
        <f>IFERROR(__xludf.DUMMYFUNCTION("""COMPUTED_VALUE"""),"6, 1 Target, Sonic")</f>
        <v>6, 1 Target, Sonic</v>
      </c>
      <c r="F391" s="190">
        <f>IFERROR(__xludf.DUMMYFUNCTION("""COMPUTED_VALUE"""),4.0)</f>
        <v>4</v>
      </c>
      <c r="G391" s="190">
        <f>IFERROR(__xludf.DUMMYFUNCTION("""COMPUTED_VALUE"""),7.0)</f>
        <v>7</v>
      </c>
      <c r="H391" s="191" t="str">
        <f>IFERROR(__xludf.DUMMYFUNCTION("""COMPUTED_VALUE"""),"On a roll of 17+, the Target becomes Entranced. All Entranced Enemies within 3m that have the User as their Fixation become Provoked until the end of their next Turn, ignoring the Entranced Limitations. Spirit Surge")</f>
        <v>On a roll of 17+, the Target becomes Entranced. All Entranced Enemies within 3m that have the User as their Fixation become Provoked until the end of their next Turn, ignoring the Entranced Limitations. Spirit Surge</v>
      </c>
      <c r="I391" s="191" t="str">
        <f>IFERROR(__xludf.DUMMYFUNCTION("""COMPUTED_VALUE"""),"--")</f>
        <v>--</v>
      </c>
      <c r="J391" s="190" t="str">
        <f>IFERROR(__xludf.DUMMYFUNCTION("""COMPUTED_VALUE"""),"Tier 2")</f>
        <v>Tier 2</v>
      </c>
      <c r="K391" s="174" t="b">
        <f>IFERROR(__xludf.DUMMYFUNCTION("""COMPUTED_VALUE"""),TRUE)</f>
        <v>1</v>
      </c>
      <c r="L391" s="174"/>
      <c r="M391" s="174"/>
      <c r="N391" s="174"/>
      <c r="O391" s="174"/>
      <c r="P391" s="174"/>
      <c r="Q391" s="174"/>
      <c r="R391" s="174"/>
      <c r="S391" s="174"/>
      <c r="T391" s="174"/>
      <c r="U391" s="174"/>
      <c r="V391" s="174"/>
      <c r="W391" s="174"/>
      <c r="X391" s="174"/>
      <c r="Y391" s="174"/>
      <c r="Z391" s="174"/>
    </row>
    <row r="392">
      <c r="A392" s="192" t="str">
        <f>IFERROR(__xludf.DUMMYFUNCTION("""COMPUTED_VALUE"""),"Aromatic Mist")</f>
        <v>Aromatic Mist</v>
      </c>
      <c r="B392" s="190" t="str">
        <f>IFERROR(__xludf.DUMMYFUNCTION("""COMPUTED_VALUE"""),"Fairy")</f>
        <v>Fairy</v>
      </c>
      <c r="C392" s="190" t="str">
        <f>IFERROR(__xludf.DUMMYFUNCTION("""COMPUTED_VALUE"""),"Status")</f>
        <v>Status</v>
      </c>
      <c r="D392" s="190" t="str">
        <f>IFERROR(__xludf.DUMMYFUNCTION("""COMPUTED_VALUE"""),"EOT")</f>
        <v>EOT</v>
      </c>
      <c r="E392" s="190" t="str">
        <f>IFERROR(__xludf.DUMMYFUNCTION("""COMPUTED_VALUE"""),"Burst 2, Healing, Versatile")</f>
        <v>Burst 2, Healing, Versatile</v>
      </c>
      <c r="F392" s="190">
        <f>IFERROR(__xludf.DUMMYFUNCTION("""COMPUTED_VALUE"""),7.0)</f>
        <v>7</v>
      </c>
      <c r="G392" s="190" t="str">
        <f>IFERROR(__xludf.DUMMYFUNCTION("""COMPUTED_VALUE"""),"--")</f>
        <v>--</v>
      </c>
      <c r="H392" s="191" t="str">
        <f>IFERROR(__xludf.DUMMYFUNCTION("""COMPUTED_VALUE"""),"All Allies within the range of this Attack are cured of a Mental Affliction and may reset Negative CS to their default CS. All Enemies hit by this Attack become Suppressed.  ")</f>
        <v>All Allies within the range of this Attack are cured of a Mental Affliction and may reset Negative CS to their default CS. All Enemies hit by this Attack become Suppressed.  </v>
      </c>
      <c r="I392" s="191" t="str">
        <f>IFERROR(__xludf.DUMMYFUNCTION("""COMPUTED_VALUE"""),"Same as the normal Effects. When used this way, the Range is changed to Melee, 1 Target and it can only Target Allies.")</f>
        <v>Same as the normal Effects. When used this way, the Range is changed to Melee, 1 Target and it can only Target Allies.</v>
      </c>
      <c r="J392" s="190" t="str">
        <f>IFERROR(__xludf.DUMMYFUNCTION("""COMPUTED_VALUE"""),"Tier 1")</f>
        <v>Tier 1</v>
      </c>
      <c r="K392" s="174" t="b">
        <f>IFERROR(__xludf.DUMMYFUNCTION("""COMPUTED_VALUE"""),TRUE)</f>
        <v>1</v>
      </c>
      <c r="L392" s="174"/>
      <c r="M392" s="174"/>
      <c r="N392" s="174"/>
      <c r="O392" s="174"/>
      <c r="P392" s="174"/>
      <c r="Q392" s="174"/>
      <c r="R392" s="174"/>
      <c r="S392" s="174"/>
      <c r="T392" s="174"/>
      <c r="U392" s="174"/>
      <c r="V392" s="174"/>
      <c r="W392" s="174"/>
      <c r="X392" s="174"/>
      <c r="Y392" s="174"/>
      <c r="Z392" s="174"/>
    </row>
    <row r="393">
      <c r="A393" s="192" t="str">
        <f>IFERROR(__xludf.DUMMYFUNCTION("""COMPUTED_VALUE"""),"Baby-Doll Eyes")</f>
        <v>Baby-Doll Eyes</v>
      </c>
      <c r="B393" s="190" t="str">
        <f>IFERROR(__xludf.DUMMYFUNCTION("""COMPUTED_VALUE"""),"Fairy")</f>
        <v>Fairy</v>
      </c>
      <c r="C393" s="190" t="str">
        <f>IFERROR(__xludf.DUMMYFUNCTION("""COMPUTED_VALUE"""),"Status")</f>
        <v>Status</v>
      </c>
      <c r="D393" s="190" t="str">
        <f>IFERROR(__xludf.DUMMYFUNCTION("""COMPUTED_VALUE"""),"EOT")</f>
        <v>EOT</v>
      </c>
      <c r="E393" s="190" t="str">
        <f>IFERROR(__xludf.DUMMYFUNCTION("""COMPUTED_VALUE"""),"Close Blast 2, Social")</f>
        <v>Close Blast 2, Social</v>
      </c>
      <c r="F393" s="190">
        <f>IFERROR(__xludf.DUMMYFUNCTION("""COMPUTED_VALUE"""),5.0)</f>
        <v>5</v>
      </c>
      <c r="G393" s="190" t="str">
        <f>IFERROR(__xludf.DUMMYFUNCTION("""COMPUTED_VALUE"""),"--")</f>
        <v>--</v>
      </c>
      <c r="H393" s="191" t="str">
        <f>IFERROR(__xludf.DUMMYFUNCTION("""COMPUTED_VALUE"""),"All Targets hit by this Attack become Entranced. Each Target loses -1 CS in Attack or Special Attack of your choice. Spirit Surge. ")</f>
        <v>All Targets hit by this Attack become Entranced. Each Target loses -1 CS in Attack or Special Attack of your choice. Spirit Surge. </v>
      </c>
      <c r="I393" s="191" t="str">
        <f>IFERROR(__xludf.DUMMYFUNCTION("""COMPUTED_VALUE"""),"--")</f>
        <v>--</v>
      </c>
      <c r="J393" s="190" t="str">
        <f>IFERROR(__xludf.DUMMYFUNCTION("""COMPUTED_VALUE"""),"Tier 1")</f>
        <v>Tier 1</v>
      </c>
      <c r="K393" s="174" t="b">
        <f>IFERROR(__xludf.DUMMYFUNCTION("""COMPUTED_VALUE"""),TRUE)</f>
        <v>1</v>
      </c>
      <c r="L393" s="174"/>
      <c r="M393" s="174"/>
      <c r="N393" s="174"/>
      <c r="O393" s="174"/>
      <c r="P393" s="174"/>
      <c r="Q393" s="174"/>
      <c r="R393" s="174"/>
      <c r="S393" s="174"/>
      <c r="T393" s="174"/>
      <c r="U393" s="174"/>
      <c r="V393" s="174"/>
      <c r="W393" s="174"/>
      <c r="X393" s="174"/>
      <c r="Y393" s="174"/>
      <c r="Z393" s="174"/>
    </row>
    <row r="394">
      <c r="A394" s="192" t="str">
        <f>IFERROR(__xludf.DUMMYFUNCTION("""COMPUTED_VALUE"""),"Charm")</f>
        <v>Charm</v>
      </c>
      <c r="B394" s="190" t="str">
        <f>IFERROR(__xludf.DUMMYFUNCTION("""COMPUTED_VALUE"""),"Fairy")</f>
        <v>Fairy</v>
      </c>
      <c r="C394" s="190" t="str">
        <f>IFERROR(__xludf.DUMMYFUNCTION("""COMPUTED_VALUE"""),"Status")</f>
        <v>Status</v>
      </c>
      <c r="D394" s="190" t="str">
        <f>IFERROR(__xludf.DUMMYFUNCTION("""COMPUTED_VALUE"""),"EOT")</f>
        <v>EOT</v>
      </c>
      <c r="E394" s="190" t="str">
        <f>IFERROR(__xludf.DUMMYFUNCTION("""COMPUTED_VALUE"""),"6, 1 Target, Social, Versatile")</f>
        <v>6, 1 Target, Social, Versatile</v>
      </c>
      <c r="F394" s="190">
        <f>IFERROR(__xludf.DUMMYFUNCTION("""COMPUTED_VALUE"""),5.0)</f>
        <v>5</v>
      </c>
      <c r="G394" s="190" t="str">
        <f>IFERROR(__xludf.DUMMYFUNCTION("""COMPUTED_VALUE"""),"--")</f>
        <v>--</v>
      </c>
      <c r="H394" s="191" t="str">
        <f>IFERROR(__xludf.DUMMYFUNCTION("""COMPUTED_VALUE"""),"All Legal Targets lose -2 CS in Attack. On a Hit, the Target also becomes Entranced. Spirit Surge.")</f>
        <v>All Legal Targets lose -2 CS in Attack. On a Hit, the Target also becomes Entranced. Spirit Surge.</v>
      </c>
      <c r="I394" s="191" t="str">
        <f>IFERROR(__xludf.DUMMYFUNCTION("""COMPUTED_VALUE"""),"All Targets have their Attack lowered by -2 CS. If this misses, it instead lowers it by -1. Spirit Surge. ")</f>
        <v>All Targets have their Attack lowered by -2 CS. If this misses, it instead lowers it by -1. Spirit Surge. </v>
      </c>
      <c r="J394" s="190" t="str">
        <f>IFERROR(__xludf.DUMMYFUNCTION("""COMPUTED_VALUE"""),"Tier 1")</f>
        <v>Tier 1</v>
      </c>
      <c r="K394" s="174" t="b">
        <f>IFERROR(__xludf.DUMMYFUNCTION("""COMPUTED_VALUE"""),TRUE)</f>
        <v>1</v>
      </c>
      <c r="L394" s="174"/>
      <c r="M394" s="174"/>
      <c r="N394" s="174"/>
      <c r="O394" s="174"/>
      <c r="P394" s="174"/>
      <c r="Q394" s="174"/>
      <c r="R394" s="174"/>
      <c r="S394" s="174"/>
      <c r="T394" s="174"/>
      <c r="U394" s="174"/>
      <c r="V394" s="174"/>
      <c r="W394" s="174"/>
      <c r="X394" s="174"/>
      <c r="Y394" s="174"/>
      <c r="Z394" s="174"/>
    </row>
    <row r="395">
      <c r="A395" s="192" t="str">
        <f>IFERROR(__xludf.DUMMYFUNCTION("""COMPUTED_VALUE"""),"Cosmic Curse")</f>
        <v>Cosmic Curse</v>
      </c>
      <c r="B395" s="190" t="str">
        <f>IFERROR(__xludf.DUMMYFUNCTION("""COMPUTED_VALUE"""),"Fairy")</f>
        <v>Fairy</v>
      </c>
      <c r="C395" s="190" t="str">
        <f>IFERROR(__xludf.DUMMYFUNCTION("""COMPUTED_VALUE"""),"Status")</f>
        <v>Status</v>
      </c>
      <c r="D395" s="190" t="str">
        <f>IFERROR(__xludf.DUMMYFUNCTION("""COMPUTED_VALUE"""),"EOT")</f>
        <v>EOT</v>
      </c>
      <c r="E395" s="190" t="str">
        <f>IFERROR(__xludf.DUMMYFUNCTION("""COMPUTED_VALUE"""),"4, 1 Target, Versatile")</f>
        <v>4, 1 Target, Versatile</v>
      </c>
      <c r="F395" s="190">
        <f>IFERROR(__xludf.DUMMYFUNCTION("""COMPUTED_VALUE"""),4.0)</f>
        <v>4</v>
      </c>
      <c r="G395" s="190" t="str">
        <f>IFERROR(__xludf.DUMMYFUNCTION("""COMPUTED_VALUE"""),"--")</f>
        <v>--</v>
      </c>
      <c r="H395" s="191" t="str">
        <f>IFERROR(__xludf.DUMMYFUNCTION("""COMPUTED_VALUE"""),"The Target loses -2 CS in a Stat of your choice. If the Target is Cursed, instead set it to -2 CS. On a roll of 17+, they also become Cursed. ")</f>
        <v>The Target loses -2 CS in a Stat of your choice. If the Target is Cursed, instead set it to -2 CS. On a roll of 17+, they also become Cursed. </v>
      </c>
      <c r="I395" s="191" t="str">
        <f>IFERROR(__xludf.DUMMYFUNCTION("""COMPUTED_VALUE"""),"The Target loses -2 CS in a Stat of your choice. When used this way, the AC becomes 6.")</f>
        <v>The Target loses -2 CS in a Stat of your choice. When used this way, the AC becomes 6.</v>
      </c>
      <c r="J395" s="190" t="str">
        <f>IFERROR(__xludf.DUMMYFUNCTION("""COMPUTED_VALUE"""),"Tier 1")</f>
        <v>Tier 1</v>
      </c>
      <c r="K395" s="174" t="b">
        <f>IFERROR(__xludf.DUMMYFUNCTION("""COMPUTED_VALUE"""),TRUE)</f>
        <v>1</v>
      </c>
      <c r="L395" s="174"/>
      <c r="M395" s="174"/>
      <c r="N395" s="174"/>
      <c r="O395" s="174"/>
      <c r="P395" s="174"/>
      <c r="Q395" s="174"/>
      <c r="R395" s="174"/>
      <c r="S395" s="174"/>
      <c r="T395" s="174"/>
      <c r="U395" s="174"/>
      <c r="V395" s="174"/>
      <c r="W395" s="174"/>
      <c r="X395" s="174"/>
      <c r="Y395" s="174"/>
      <c r="Z395" s="174"/>
    </row>
    <row r="396">
      <c r="A396" s="192" t="str">
        <f>IFERROR(__xludf.DUMMYFUNCTION("""COMPUTED_VALUE"""),"Crafty Shield")</f>
        <v>Crafty Shield</v>
      </c>
      <c r="B396" s="190" t="str">
        <f>IFERROR(__xludf.DUMMYFUNCTION("""COMPUTED_VALUE"""),"Fairy")</f>
        <v>Fairy</v>
      </c>
      <c r="C396" s="190" t="str">
        <f>IFERROR(__xludf.DUMMYFUNCTION("""COMPUTED_VALUE"""),"Status")</f>
        <v>Status</v>
      </c>
      <c r="D396" s="190" t="str">
        <f>IFERROR(__xludf.DUMMYFUNCTION("""COMPUTED_VALUE"""),"Scene x2")</f>
        <v>Scene x2</v>
      </c>
      <c r="E396" s="190" t="str">
        <f>IFERROR(__xludf.DUMMYFUNCTION("""COMPUTED_VALUE"""),"Melee, 1 Target, Coat, Versatile")</f>
        <v>Melee, 1 Target, Coat, Versatile</v>
      </c>
      <c r="F396" s="190" t="str">
        <f>IFERROR(__xludf.DUMMYFUNCTION("""COMPUTED_VALUE"""),"--")</f>
        <v>--</v>
      </c>
      <c r="G396" s="190" t="str">
        <f>IFERROR(__xludf.DUMMYFUNCTION("""COMPUTED_VALUE"""),"--")</f>
        <v>--</v>
      </c>
      <c r="H396" s="191" t="str">
        <f>IFERROR(__xludf.DUMMYFUNCTION("""COMPUTED_VALUE"""),"The Target gains a Crafty Coat. This Coat may be activated as a Free Action to resist a Special Attack by an additional Damage step or ignore a Triggered Effect Range of an Attack they're hit by. This Coat may be activated twice before being expended.")</f>
        <v>The Target gains a Crafty Coat. This Coat may be activated as a Free Action to resist a Special Attack by an additional Damage step or ignore a Triggered Effect Range of an Attack they're hit by. This Coat may be activated twice before being expended.</v>
      </c>
      <c r="I396" s="191" t="str">
        <f>IFERROR(__xludf.DUMMYFUNCTION("""COMPUTED_VALUE"""),"Same as the normal Effects but the Coat is expended at the start of the Target's next Turn and is expended as a Reaction instead of Free Action.")</f>
        <v>Same as the normal Effects but the Coat is expended at the start of the Target's next Turn and is expended as a Reaction instead of Free Action.</v>
      </c>
      <c r="J396" s="190" t="str">
        <f>IFERROR(__xludf.DUMMYFUNCTION("""COMPUTED_VALUE"""),"Tier 2")</f>
        <v>Tier 2</v>
      </c>
      <c r="K396" s="174" t="b">
        <f>IFERROR(__xludf.DUMMYFUNCTION("""COMPUTED_VALUE"""),FALSE)</f>
        <v>0</v>
      </c>
      <c r="L396" s="174"/>
      <c r="M396" s="174"/>
      <c r="N396" s="174"/>
      <c r="O396" s="174"/>
      <c r="P396" s="174"/>
      <c r="Q396" s="174"/>
      <c r="R396" s="174"/>
      <c r="S396" s="174"/>
      <c r="T396" s="174"/>
      <c r="U396" s="174"/>
      <c r="V396" s="174"/>
      <c r="W396" s="174"/>
      <c r="X396" s="174"/>
      <c r="Y396" s="174"/>
      <c r="Z396" s="174"/>
    </row>
    <row r="397">
      <c r="A397" s="192" t="str">
        <f>IFERROR(__xludf.DUMMYFUNCTION("""COMPUTED_VALUE"""),"Dazzling Gleam")</f>
        <v>Dazzling Gleam</v>
      </c>
      <c r="B397" s="190" t="str">
        <f>IFERROR(__xludf.DUMMYFUNCTION("""COMPUTED_VALUE"""),"Fairy")</f>
        <v>Fairy</v>
      </c>
      <c r="C397" s="190" t="str">
        <f>IFERROR(__xludf.DUMMYFUNCTION("""COMPUTED_VALUE"""),"Special")</f>
        <v>Special</v>
      </c>
      <c r="D397" s="190" t="str">
        <f>IFERROR(__xludf.DUMMYFUNCTION("""COMPUTED_VALUE"""),"EOT")</f>
        <v>EOT</v>
      </c>
      <c r="E397" s="190" t="str">
        <f>IFERROR(__xludf.DUMMYFUNCTION("""COMPUTED_VALUE"""),"Close Blast 2")</f>
        <v>Close Blast 2</v>
      </c>
      <c r="F397" s="190">
        <f>IFERROR(__xludf.DUMMYFUNCTION("""COMPUTED_VALUE"""),6.0)</f>
        <v>6</v>
      </c>
      <c r="G397" s="190">
        <f>IFERROR(__xludf.DUMMYFUNCTION("""COMPUTED_VALUE"""),8.0)</f>
        <v>8</v>
      </c>
      <c r="H397" s="191" t="str">
        <f>IFERROR(__xludf.DUMMYFUNCTION("""COMPUTED_VALUE"""),"If the Weather is Mystical or on a Miss, the Target has a -2 Penalty to Accuracy until the end of their next Turn. Spirit Surge")</f>
        <v>If the Weather is Mystical or on a Miss, the Target has a -2 Penalty to Accuracy until the end of their next Turn. Spirit Surge</v>
      </c>
      <c r="I397" s="191" t="str">
        <f>IFERROR(__xludf.DUMMYFUNCTION("""COMPUTED_VALUE"""),"--")</f>
        <v>--</v>
      </c>
      <c r="J397" s="190" t="str">
        <f>IFERROR(__xludf.DUMMYFUNCTION("""COMPUTED_VALUE"""),"Tier 2")</f>
        <v>Tier 2</v>
      </c>
      <c r="K397" s="174" t="b">
        <f>IFERROR(__xludf.DUMMYFUNCTION("""COMPUTED_VALUE"""),TRUE)</f>
        <v>1</v>
      </c>
      <c r="L397" s="174"/>
      <c r="M397" s="174"/>
      <c r="N397" s="174"/>
      <c r="O397" s="174"/>
      <c r="P397" s="174"/>
      <c r="Q397" s="174"/>
      <c r="R397" s="174"/>
      <c r="S397" s="174"/>
      <c r="T397" s="174"/>
      <c r="U397" s="174"/>
      <c r="V397" s="174"/>
      <c r="W397" s="174"/>
      <c r="X397" s="174"/>
      <c r="Y397" s="174"/>
      <c r="Z397" s="174"/>
    </row>
    <row r="398">
      <c r="A398" s="192" t="str">
        <f>IFERROR(__xludf.DUMMYFUNCTION("""COMPUTED_VALUE"""),"Decorate")</f>
        <v>Decorate</v>
      </c>
      <c r="B398" s="193" t="str">
        <f>IFERROR(__xludf.DUMMYFUNCTION("""COMPUTED_VALUE"""),"Fairy")</f>
        <v>Fairy</v>
      </c>
      <c r="C398" s="193" t="str">
        <f>IFERROR(__xludf.DUMMYFUNCTION("""COMPUTED_VALUE"""),"Status")</f>
        <v>Status</v>
      </c>
      <c r="D398" s="190" t="str">
        <f>IFERROR(__xludf.DUMMYFUNCTION("""COMPUTED_VALUE"""),"Scene x2")</f>
        <v>Scene x2</v>
      </c>
      <c r="E398" s="190" t="str">
        <f>IFERROR(__xludf.DUMMYFUNCTION("""COMPUTED_VALUE"""),"Melee, 1 Target, Versatile")</f>
        <v>Melee, 1 Target, Versatile</v>
      </c>
      <c r="F398" s="190" t="str">
        <f>IFERROR(__xludf.DUMMYFUNCTION("""COMPUTED_VALUE"""),"--")</f>
        <v>--</v>
      </c>
      <c r="G398" s="190" t="str">
        <f>IFERROR(__xludf.DUMMYFUNCTION("""COMPUTED_VALUE"""),"--")</f>
        <v>--</v>
      </c>
      <c r="H398" s="191" t="str">
        <f>IFERROR(__xludf.DUMMYFUNCTION("""COMPUTED_VALUE"""),"The Target gains +2 CS in both Attack and Special Attack, then gains a Tick of Temporary Hit Points.")</f>
        <v>The Target gains +2 CS in both Attack and Special Attack, then gains a Tick of Temporary Hit Points.</v>
      </c>
      <c r="I398" s="191" t="str">
        <f>IFERROR(__xludf.DUMMYFUNCTION("""COMPUTED_VALUE"""),"You may swap the CS Values of two Stats on the Targeted Ally.")</f>
        <v>You may swap the CS Values of two Stats on the Targeted Ally.</v>
      </c>
      <c r="J398" s="190" t="str">
        <f>IFERROR(__xludf.DUMMYFUNCTION("""COMPUTED_VALUE"""),"Tier 2")</f>
        <v>Tier 2</v>
      </c>
      <c r="K398" s="174" t="b">
        <f>IFERROR(__xludf.DUMMYFUNCTION("""COMPUTED_VALUE"""),TRUE)</f>
        <v>1</v>
      </c>
      <c r="L398" s="174"/>
      <c r="M398" s="174"/>
      <c r="N398" s="174"/>
      <c r="O398" s="174"/>
      <c r="P398" s="174"/>
      <c r="Q398" s="174"/>
      <c r="R398" s="174"/>
      <c r="S398" s="174"/>
      <c r="T398" s="174"/>
      <c r="U398" s="174"/>
      <c r="V398" s="174"/>
      <c r="W398" s="174"/>
      <c r="X398" s="174"/>
      <c r="Y398" s="174"/>
      <c r="Z398" s="174"/>
    </row>
    <row r="399">
      <c r="A399" s="192" t="str">
        <f>IFERROR(__xludf.DUMMYFUNCTION("""COMPUTED_VALUE"""),"Disarming Voice")</f>
        <v>Disarming Voice</v>
      </c>
      <c r="B399" s="190" t="str">
        <f>IFERROR(__xludf.DUMMYFUNCTION("""COMPUTED_VALUE"""),"Fairy")</f>
        <v>Fairy</v>
      </c>
      <c r="C399" s="190" t="str">
        <f>IFERROR(__xludf.DUMMYFUNCTION("""COMPUTED_VALUE"""),"Special")</f>
        <v>Special</v>
      </c>
      <c r="D399" s="190" t="str">
        <f>IFERROR(__xludf.DUMMYFUNCTION("""COMPUTED_VALUE"""),"At-Will")</f>
        <v>At-Will</v>
      </c>
      <c r="E399" s="190" t="str">
        <f>IFERROR(__xludf.DUMMYFUNCTION("""COMPUTED_VALUE"""),"Burst 1, Sonic")</f>
        <v>Burst 1, Sonic</v>
      </c>
      <c r="F399" s="190">
        <f>IFERROR(__xludf.DUMMYFUNCTION("""COMPUTED_VALUE"""),3.0)</f>
        <v>3</v>
      </c>
      <c r="G399" s="190">
        <f>IFERROR(__xludf.DUMMYFUNCTION("""COMPUTED_VALUE"""),4.0)</f>
        <v>4</v>
      </c>
      <c r="H399" s="191" t="str">
        <f>IFERROR(__xludf.DUMMYFUNCTION("""COMPUTED_VALUE"""),"Until the end of their turn, if the user performs the Terrorize Maneuver against a Target hit by this Attack, it gains the Sureshot Keyword and the user may use Charm instead of Command or Intimidate for the Skill Check.")</f>
        <v>Until the end of their turn, if the user performs the Terrorize Maneuver against a Target hit by this Attack, it gains the Sureshot Keyword and the user may use Charm instead of Command or Intimidate for the Skill Check.</v>
      </c>
      <c r="I399" s="191" t="str">
        <f>IFERROR(__xludf.DUMMYFUNCTION("""COMPUTED_VALUE"""),"--")</f>
        <v>--</v>
      </c>
      <c r="J399" s="190" t="str">
        <f>IFERROR(__xludf.DUMMYFUNCTION("""COMPUTED_VALUE"""),"Tier 1")</f>
        <v>Tier 1</v>
      </c>
      <c r="K399" s="174" t="b">
        <f>IFERROR(__xludf.DUMMYFUNCTION("""COMPUTED_VALUE"""),TRUE)</f>
        <v>1</v>
      </c>
      <c r="L399" s="174"/>
      <c r="M399" s="174"/>
      <c r="N399" s="174"/>
      <c r="O399" s="174"/>
      <c r="P399" s="174"/>
      <c r="Q399" s="174"/>
      <c r="R399" s="174"/>
      <c r="S399" s="174"/>
      <c r="T399" s="174"/>
      <c r="U399" s="174"/>
      <c r="V399" s="174"/>
      <c r="W399" s="174"/>
      <c r="X399" s="174"/>
      <c r="Y399" s="174"/>
      <c r="Z399" s="174"/>
    </row>
    <row r="400">
      <c r="A400" s="192" t="str">
        <f>IFERROR(__xludf.DUMMYFUNCTION("""COMPUTED_VALUE"""),"Draining Kiss")</f>
        <v>Draining Kiss</v>
      </c>
      <c r="B400" s="190" t="str">
        <f>IFERROR(__xludf.DUMMYFUNCTION("""COMPUTED_VALUE"""),"Fairy")</f>
        <v>Fairy</v>
      </c>
      <c r="C400" s="190" t="str">
        <f>IFERROR(__xludf.DUMMYFUNCTION("""COMPUTED_VALUE"""),"Special")</f>
        <v>Special</v>
      </c>
      <c r="D400" s="190" t="str">
        <f>IFERROR(__xludf.DUMMYFUNCTION("""COMPUTED_VALUE"""),"EOT")</f>
        <v>EOT</v>
      </c>
      <c r="E400" s="190" t="str">
        <f>IFERROR(__xludf.DUMMYFUNCTION("""COMPUTED_VALUE"""),"Melee, 1 Target ")</f>
        <v>Melee, 1 Target </v>
      </c>
      <c r="F400" s="190">
        <f>IFERROR(__xludf.DUMMYFUNCTION("""COMPUTED_VALUE"""),5.0)</f>
        <v>5</v>
      </c>
      <c r="G400" s="190">
        <f>IFERROR(__xludf.DUMMYFUNCTION("""COMPUTED_VALUE"""),5.0)</f>
        <v>5</v>
      </c>
      <c r="H400" s="191" t="str">
        <f>IFERROR(__xludf.DUMMYFUNCTION("""COMPUTED_VALUE"""),"If the Target is Entranced with the User as their Fixation, any excess Hit Points recovered from the Drain Keyword instead becomes Temporary Hit Points. Drain.")</f>
        <v>If the Target is Entranced with the User as their Fixation, any excess Hit Points recovered from the Drain Keyword instead becomes Temporary Hit Points. Drain.</v>
      </c>
      <c r="I400" s="191" t="str">
        <f>IFERROR(__xludf.DUMMYFUNCTION("""COMPUTED_VALUE"""),"--")</f>
        <v>--</v>
      </c>
      <c r="J400" s="190" t="str">
        <f>IFERROR(__xludf.DUMMYFUNCTION("""COMPUTED_VALUE"""),"Tier 1")</f>
        <v>Tier 1</v>
      </c>
      <c r="K400" s="174" t="b">
        <f>IFERROR(__xludf.DUMMYFUNCTION("""COMPUTED_VALUE"""),TRUE)</f>
        <v>1</v>
      </c>
      <c r="L400" s="174"/>
      <c r="M400" s="174"/>
      <c r="N400" s="174"/>
      <c r="O400" s="174"/>
      <c r="P400" s="174"/>
      <c r="Q400" s="174"/>
      <c r="R400" s="174"/>
      <c r="S400" s="174"/>
      <c r="T400" s="174"/>
      <c r="U400" s="174"/>
      <c r="V400" s="174"/>
      <c r="W400" s="174"/>
      <c r="X400" s="174"/>
      <c r="Y400" s="174"/>
      <c r="Z400" s="174"/>
    </row>
    <row r="401">
      <c r="A401" s="190" t="str">
        <f>IFERROR(__xludf.DUMMYFUNCTION("""COMPUTED_VALUE"""),"Enchanting Aria")</f>
        <v>Enchanting Aria</v>
      </c>
      <c r="B401" s="190" t="str">
        <f>IFERROR(__xludf.DUMMYFUNCTION("""COMPUTED_VALUE"""),"Fairy")</f>
        <v>Fairy</v>
      </c>
      <c r="C401" s="190" t="str">
        <f>IFERROR(__xludf.DUMMYFUNCTION("""COMPUTED_VALUE"""),"Special")</f>
        <v>Special</v>
      </c>
      <c r="D401" s="190" t="str">
        <f>IFERROR(__xludf.DUMMYFUNCTION("""COMPUTED_VALUE"""),"EOT")</f>
        <v>EOT</v>
      </c>
      <c r="E401" s="190" t="str">
        <f>IFERROR(__xludf.DUMMYFUNCTION("""COMPUTED_VALUE"""),"Burst 1, Sonic")</f>
        <v>Burst 1, Sonic</v>
      </c>
      <c r="F401" s="190">
        <f>IFERROR(__xludf.DUMMYFUNCTION("""COMPUTED_VALUE"""),6.0)</f>
        <v>6</v>
      </c>
      <c r="G401" s="190">
        <f>IFERROR(__xludf.DUMMYFUNCTION("""COMPUTED_VALUE"""),6.0)</f>
        <v>6</v>
      </c>
      <c r="H401" s="191" t="str">
        <f>IFERROR(__xludf.DUMMYFUNCTION("""COMPUTED_VALUE"""),"Each Ally within 3m of the user may roll their next Save Check this round twice, taking the higher result. Spirit Surge.")</f>
        <v>Each Ally within 3m of the user may roll their next Save Check this round twice, taking the higher result. Spirit Surge.</v>
      </c>
      <c r="I401" s="191" t="str">
        <f>IFERROR(__xludf.DUMMYFUNCTION("""COMPUTED_VALUE"""),"--")</f>
        <v>--</v>
      </c>
      <c r="J401" s="190" t="str">
        <f>IFERROR(__xludf.DUMMYFUNCTION("""COMPUTED_VALUE"""),"Tier 1")</f>
        <v>Tier 1</v>
      </c>
      <c r="K401" s="174" t="b">
        <f>IFERROR(__xludf.DUMMYFUNCTION("""COMPUTED_VALUE"""),TRUE)</f>
        <v>1</v>
      </c>
      <c r="L401" s="174"/>
      <c r="M401" s="174"/>
      <c r="N401" s="174"/>
      <c r="O401" s="174"/>
      <c r="P401" s="174"/>
      <c r="Q401" s="174"/>
      <c r="R401" s="174"/>
      <c r="S401" s="174"/>
      <c r="T401" s="174"/>
      <c r="U401" s="174"/>
      <c r="V401" s="174"/>
      <c r="W401" s="174"/>
      <c r="X401" s="174"/>
      <c r="Y401" s="174"/>
      <c r="Z401" s="174"/>
    </row>
    <row r="402">
      <c r="A402" s="190" t="str">
        <f>IFERROR(__xludf.DUMMYFUNCTION("""COMPUTED_VALUE"""),"Fae Blessing")</f>
        <v>Fae Blessing</v>
      </c>
      <c r="B402" s="190" t="str">
        <f>IFERROR(__xludf.DUMMYFUNCTION("""COMPUTED_VALUE"""),"Fairy")</f>
        <v>Fairy</v>
      </c>
      <c r="C402" s="190" t="str">
        <f>IFERROR(__xludf.DUMMYFUNCTION("""COMPUTED_VALUE"""),"Status")</f>
        <v>Status</v>
      </c>
      <c r="D402" s="190" t="str">
        <f>IFERROR(__xludf.DUMMYFUNCTION("""COMPUTED_VALUE"""),"EOT")</f>
        <v>EOT</v>
      </c>
      <c r="E402" s="190" t="str">
        <f>IFERROR(__xludf.DUMMYFUNCTION("""COMPUTED_VALUE"""),"4, 1 Target, Coat, Versatile")</f>
        <v>4, 1 Target, Coat, Versatile</v>
      </c>
      <c r="F402" s="190" t="str">
        <f>IFERROR(__xludf.DUMMYFUNCTION("""COMPUTED_VALUE"""),"--")</f>
        <v>--</v>
      </c>
      <c r="G402" s="190" t="str">
        <f>IFERROR(__xludf.DUMMYFUNCTION("""COMPUTED_VALUE"""),"--")</f>
        <v>--</v>
      </c>
      <c r="H402" s="191" t="str">
        <f>IFERROR(__xludf.DUMMYFUNCTION("""COMPUTED_VALUE"""),"The Target gains a Blessed Coat. A Blessed Coat may be Activated as a Free Action when missing an Attack in order to reroll the Accuracy Roll or when failing a Save Check to reroll it. Each Blessed Coat may be Activated thrice, then it is expended afterwa"&amp;"rds.")</f>
        <v>The Target gains a Blessed Coat. A Blessed Coat may be Activated as a Free Action when missing an Attack in order to reroll the Accuracy Roll or when failing a Save Check to reroll it. Each Blessed Coat may be Activated thrice, then it is expended afterwards.</v>
      </c>
      <c r="I402" s="191" t="str">
        <f>IFERROR(__xludf.DUMMYFUNCTION("""COMPUTED_VALUE"""),"Same as the normal Effects, however it can only be Activated as a Reaction and the Coat only has one Activation.")</f>
        <v>Same as the normal Effects, however it can only be Activated as a Reaction and the Coat only has one Activation.</v>
      </c>
      <c r="J402" s="190" t="str">
        <f>IFERROR(__xludf.DUMMYFUNCTION("""COMPUTED_VALUE"""),"Tier 1")</f>
        <v>Tier 1</v>
      </c>
      <c r="K402" s="174" t="b">
        <f>IFERROR(__xludf.DUMMYFUNCTION("""COMPUTED_VALUE"""),TRUE)</f>
        <v>1</v>
      </c>
      <c r="L402" s="174"/>
      <c r="M402" s="174"/>
      <c r="N402" s="174"/>
      <c r="O402" s="174"/>
      <c r="P402" s="174"/>
      <c r="Q402" s="174"/>
      <c r="R402" s="174"/>
      <c r="S402" s="174"/>
      <c r="T402" s="174"/>
      <c r="U402" s="174"/>
      <c r="V402" s="174"/>
      <c r="W402" s="174"/>
      <c r="X402" s="174"/>
      <c r="Y402" s="174"/>
      <c r="Z402" s="174"/>
    </row>
    <row r="403">
      <c r="A403" s="190" t="str">
        <f>IFERROR(__xludf.DUMMYFUNCTION("""COMPUTED_VALUE"""),"Fairy Lock")</f>
        <v>Fairy Lock</v>
      </c>
      <c r="B403" s="190" t="str">
        <f>IFERROR(__xludf.DUMMYFUNCTION("""COMPUTED_VALUE"""),"Fairy")</f>
        <v>Fairy</v>
      </c>
      <c r="C403" s="190" t="str">
        <f>IFERROR(__xludf.DUMMYFUNCTION("""COMPUTED_VALUE"""),"Status")</f>
        <v>Status</v>
      </c>
      <c r="D403" s="190" t="str">
        <f>IFERROR(__xludf.DUMMYFUNCTION("""COMPUTED_VALUE"""),"Scene")</f>
        <v>Scene</v>
      </c>
      <c r="E403" s="190" t="str">
        <f>IFERROR(__xludf.DUMMYFUNCTION("""COMPUTED_VALUE"""),"3, 1 Target, Versatile")</f>
        <v>3, 1 Target, Versatile</v>
      </c>
      <c r="F403" s="190" t="str">
        <f>IFERROR(__xludf.DUMMYFUNCTION("""COMPUTED_VALUE"""),"--")</f>
        <v>--</v>
      </c>
      <c r="G403" s="190" t="str">
        <f>IFERROR(__xludf.DUMMYFUNCTION("""COMPUTED_VALUE"""),"--")</f>
        <v>--</v>
      </c>
      <c r="H403" s="191" t="str">
        <f>IFERROR(__xludf.DUMMYFUNCTION("""COMPUTED_VALUE"""),"The Target becomes Marked with a Lock Mark. While a Target has a Lock Mark they are Trapped. Whenever a Combatant with the Lock Mark misses an Attack, they become Dazed. If they were already Dazed this way, they instead cannot cure it on their next Save C"&amp;"heck. Sureshot.")</f>
        <v>The Target becomes Marked with a Lock Mark. While a Target has a Lock Mark they are Trapped. Whenever a Combatant with the Lock Mark misses an Attack, they become Dazed. If they were already Dazed this way, they instead cannot cure it on their next Save Check. Sureshot.</v>
      </c>
      <c r="I403" s="191" t="str">
        <f>IFERROR(__xludf.DUMMYFUNCTION("""COMPUTED_VALUE"""),"The Target becomes Trapped. When used this way, Fairy Lock's Frequency is not expended. Sureshot.")</f>
        <v>The Target becomes Trapped. When used this way, Fairy Lock's Frequency is not expended. Sureshot.</v>
      </c>
      <c r="J403" s="190" t="str">
        <f>IFERROR(__xludf.DUMMYFUNCTION("""COMPUTED_VALUE"""),"Tier 3")</f>
        <v>Tier 3</v>
      </c>
      <c r="K403" s="174" t="b">
        <f>IFERROR(__xludf.DUMMYFUNCTION("""COMPUTED_VALUE"""),TRUE)</f>
        <v>1</v>
      </c>
      <c r="L403" s="174"/>
      <c r="M403" s="174"/>
      <c r="N403" s="174"/>
      <c r="O403" s="174"/>
      <c r="P403" s="174"/>
      <c r="Q403" s="174"/>
      <c r="R403" s="174"/>
      <c r="S403" s="174"/>
      <c r="T403" s="174"/>
      <c r="U403" s="174"/>
      <c r="V403" s="174"/>
      <c r="W403" s="174"/>
      <c r="X403" s="174"/>
      <c r="Y403" s="174"/>
      <c r="Z403" s="174"/>
    </row>
    <row r="404">
      <c r="A404" s="192" t="str">
        <f>IFERROR(__xludf.DUMMYFUNCTION("""COMPUTED_VALUE"""),"Fairy Wind")</f>
        <v>Fairy Wind</v>
      </c>
      <c r="B404" s="190" t="str">
        <f>IFERROR(__xludf.DUMMYFUNCTION("""COMPUTED_VALUE"""),"Fairy")</f>
        <v>Fairy</v>
      </c>
      <c r="C404" s="190" t="str">
        <f>IFERROR(__xludf.DUMMYFUNCTION("""COMPUTED_VALUE"""),"Special")</f>
        <v>Special</v>
      </c>
      <c r="D404" s="190" t="str">
        <f>IFERROR(__xludf.DUMMYFUNCTION("""COMPUTED_VALUE"""),"At-Will")</f>
        <v>At-Will</v>
      </c>
      <c r="E404" s="190" t="str">
        <f>IFERROR(__xludf.DUMMYFUNCTION("""COMPUTED_VALUE"""),"6, 1 Target")</f>
        <v>6, 1 Target</v>
      </c>
      <c r="F404" s="190">
        <f>IFERROR(__xludf.DUMMYFUNCTION("""COMPUTED_VALUE"""),3.0)</f>
        <v>3</v>
      </c>
      <c r="G404" s="190">
        <f>IFERROR(__xludf.DUMMYFUNCTION("""COMPUTED_VALUE"""),4.0)</f>
        <v>4</v>
      </c>
      <c r="H404" s="191" t="str">
        <f>IFERROR(__xludf.DUMMYFUNCTION("""COMPUTED_VALUE"""),"All Allies adjacent to the Target gain a Tick of Temporary Hit Points. Spirit Surge.")</f>
        <v>All Allies adjacent to the Target gain a Tick of Temporary Hit Points. Spirit Surge.</v>
      </c>
      <c r="I404" s="191" t="str">
        <f>IFERROR(__xludf.DUMMYFUNCTION("""COMPUTED_VALUE"""),"--")</f>
        <v>--</v>
      </c>
      <c r="J404" s="190" t="str">
        <f>IFERROR(__xludf.DUMMYFUNCTION("""COMPUTED_VALUE"""),"Tier 1")</f>
        <v>Tier 1</v>
      </c>
      <c r="K404" s="174" t="b">
        <f>IFERROR(__xludf.DUMMYFUNCTION("""COMPUTED_VALUE"""),TRUE)</f>
        <v>1</v>
      </c>
      <c r="L404" s="174"/>
      <c r="M404" s="174"/>
      <c r="N404" s="174"/>
      <c r="O404" s="174"/>
      <c r="P404" s="174"/>
      <c r="Q404" s="174"/>
      <c r="R404" s="174"/>
      <c r="S404" s="174"/>
      <c r="T404" s="174"/>
      <c r="U404" s="174"/>
      <c r="V404" s="174"/>
      <c r="W404" s="174"/>
      <c r="X404" s="174"/>
      <c r="Y404" s="174"/>
      <c r="Z404" s="174"/>
    </row>
    <row r="405">
      <c r="A405" s="192" t="str">
        <f>IFERROR(__xludf.DUMMYFUNCTION("""COMPUTED_VALUE"""),"Fey Storm")</f>
        <v>Fey Storm</v>
      </c>
      <c r="B405" s="190" t="str">
        <f>IFERROR(__xludf.DUMMYFUNCTION("""COMPUTED_VALUE"""),"Fairy")</f>
        <v>Fairy</v>
      </c>
      <c r="C405" s="190" t="str">
        <f>IFERROR(__xludf.DUMMYFUNCTION("""COMPUTED_VALUE"""),"Status")</f>
        <v>Status</v>
      </c>
      <c r="D405" s="190" t="str">
        <f>IFERROR(__xludf.DUMMYFUNCTION("""COMPUTED_VALUE"""),"Scene x2")</f>
        <v>Scene x2</v>
      </c>
      <c r="E405" s="190" t="str">
        <f>IFERROR(__xludf.DUMMYFUNCTION("""COMPUTED_VALUE"""),"Field, Versatile, Weather")</f>
        <v>Field, Versatile, Weather</v>
      </c>
      <c r="F405" s="190" t="str">
        <f>IFERROR(__xludf.DUMMYFUNCTION("""COMPUTED_VALUE"""),"--")</f>
        <v>--</v>
      </c>
      <c r="G405" s="190" t="str">
        <f>IFERROR(__xludf.DUMMYFUNCTION("""COMPUTED_VALUE"""),"--")</f>
        <v>--</v>
      </c>
      <c r="H405" s="191" t="str">
        <f>IFERROR(__xludf.DUMMYFUNCTION("""COMPUTED_VALUE"""),"The Field becomes Mystical for the next 5 Rounds. While the Field is Mystical, non Fairy Type Enemies lose a Tick of Hit Points at the start of their Turn and Fairy Type Pokemon gain a Tick of Temporary Hit Points at the start of their Turn. While the Fie"&amp;"ld is Mystical, the Weather becomes Mystical.")</f>
        <v>The Field becomes Mystical for the next 5 Rounds. While the Field is Mystical, non Fairy Type Enemies lose a Tick of Hit Points at the start of their Turn and Fairy Type Pokemon gain a Tick of Temporary Hit Points at the start of their Turn. While the Field is Mystical, the Weather becomes Mystical.</v>
      </c>
      <c r="I405"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05" s="190" t="str">
        <f>IFERROR(__xludf.DUMMYFUNCTION("""COMPUTED_VALUE"""),"Tier 2")</f>
        <v>Tier 2</v>
      </c>
      <c r="K405" s="174" t="b">
        <f>IFERROR(__xludf.DUMMYFUNCTION("""COMPUTED_VALUE"""),TRUE)</f>
        <v>1</v>
      </c>
      <c r="L405" s="174"/>
      <c r="M405" s="174"/>
      <c r="N405" s="174"/>
      <c r="O405" s="174"/>
      <c r="P405" s="174"/>
      <c r="Q405" s="174"/>
      <c r="R405" s="174"/>
      <c r="S405" s="174"/>
      <c r="T405" s="174"/>
      <c r="U405" s="174"/>
      <c r="V405" s="174"/>
      <c r="W405" s="174"/>
      <c r="X405" s="174"/>
      <c r="Y405" s="174"/>
      <c r="Z405" s="174"/>
    </row>
    <row r="406">
      <c r="A406" s="192" t="str">
        <f>IFERROR(__xludf.DUMMYFUNCTION("""COMPUTED_VALUE"""),"Floral Healing")</f>
        <v>Floral Healing</v>
      </c>
      <c r="B406" s="190" t="str">
        <f>IFERROR(__xludf.DUMMYFUNCTION("""COMPUTED_VALUE"""),"Fairy")</f>
        <v>Fairy</v>
      </c>
      <c r="C406" s="190" t="str">
        <f>IFERROR(__xludf.DUMMYFUNCTION("""COMPUTED_VALUE"""),"Status")</f>
        <v>Status</v>
      </c>
      <c r="D406" s="190" t="str">
        <f>IFERROR(__xludf.DUMMYFUNCTION("""COMPUTED_VALUE"""),"Scene x2")</f>
        <v>Scene x2</v>
      </c>
      <c r="E406" s="190" t="str">
        <f>IFERROR(__xludf.DUMMYFUNCTION("""COMPUTED_VALUE"""),"8, Ranged Blast 2, Healing, Versatile")</f>
        <v>8, Ranged Blast 2, Healing, Versatile</v>
      </c>
      <c r="F406" s="190" t="str">
        <f>IFERROR(__xludf.DUMMYFUNCTION("""COMPUTED_VALUE"""),"--")</f>
        <v>--</v>
      </c>
      <c r="G406" s="190" t="str">
        <f>IFERROR(__xludf.DUMMYFUNCTION("""COMPUTED_VALUE"""),"--")</f>
        <v>--</v>
      </c>
      <c r="H406" s="191" t="str">
        <f>IFERROR(__xludf.DUMMYFUNCTION("""COMPUTED_VALUE"""),"The Targets restore 3 Ticks of Hit Points. If the Field or Space the user is standing on is affected by an Fairy or Grass Attack or the Weather is Mystical, the Target is also cured of a Status Affliction. ")</f>
        <v>The Targets restore 3 Ticks of Hit Points. If the Field or Space the user is standing on is affected by an Fairy or Grass Attack or the Weather is Mystical, the Target is also cured of a Status Affliction. </v>
      </c>
      <c r="I406" s="191" t="str">
        <f>IFERROR(__xludf.DUMMYFUNCTION("""COMPUTED_VALUE"""),"The Targets restores a Tick of Hit Points. Floral Healing can only be used this way if the Field is affected by a Fairy or Grass Attack or the Weather is Mystical. When used this way, it doesn't expend the Frequency of Floral Healing.")</f>
        <v>The Targets restores a Tick of Hit Points. Floral Healing can only be used this way if the Field is affected by a Fairy or Grass Attack or the Weather is Mystical. When used this way, it doesn't expend the Frequency of Floral Healing.</v>
      </c>
      <c r="J406" s="190" t="str">
        <f>IFERROR(__xludf.DUMMYFUNCTION("""COMPUTED_VALUE"""),"Tier 2")</f>
        <v>Tier 2</v>
      </c>
      <c r="K406" s="174" t="b">
        <f>IFERROR(__xludf.DUMMYFUNCTION("""COMPUTED_VALUE"""),TRUE)</f>
        <v>1</v>
      </c>
      <c r="L406" s="174"/>
      <c r="M406" s="174"/>
      <c r="N406" s="174"/>
      <c r="O406" s="174"/>
      <c r="P406" s="174"/>
      <c r="Q406" s="174"/>
      <c r="R406" s="174"/>
      <c r="S406" s="174"/>
      <c r="T406" s="174"/>
      <c r="U406" s="174"/>
      <c r="V406" s="174"/>
      <c r="W406" s="174"/>
      <c r="X406" s="174"/>
      <c r="Y406" s="174"/>
      <c r="Z406" s="174"/>
    </row>
    <row r="407">
      <c r="A407" s="192" t="str">
        <f>IFERROR(__xludf.DUMMYFUNCTION("""COMPUTED_VALUE"""),"Flower Shield")</f>
        <v>Flower Shield</v>
      </c>
      <c r="B407" s="190" t="str">
        <f>IFERROR(__xludf.DUMMYFUNCTION("""COMPUTED_VALUE"""),"Fairy")</f>
        <v>Fairy</v>
      </c>
      <c r="C407" s="190" t="str">
        <f>IFERROR(__xludf.DUMMYFUNCTION("""COMPUTED_VALUE"""),"Status")</f>
        <v>Status</v>
      </c>
      <c r="D407" s="190" t="str">
        <f>IFERROR(__xludf.DUMMYFUNCTION("""COMPUTED_VALUE"""),"Scene x2")</f>
        <v>Scene x2</v>
      </c>
      <c r="E407" s="190" t="str">
        <f>IFERROR(__xludf.DUMMYFUNCTION("""COMPUTED_VALUE"""),"Burst 2, Coat, Versatile")</f>
        <v>Burst 2, Coat, Versatile</v>
      </c>
      <c r="F407" s="190" t="str">
        <f>IFERROR(__xludf.DUMMYFUNCTION("""COMPUTED_VALUE"""),"--")</f>
        <v>--</v>
      </c>
      <c r="G407" s="190" t="str">
        <f>IFERROR(__xludf.DUMMYFUNCTION("""COMPUTED_VALUE"""),"--")</f>
        <v>--</v>
      </c>
      <c r="H407" s="191" t="str">
        <f>IFERROR(__xludf.DUMMYFUNCTION("""COMPUTED_VALUE"""),"The user and all Allies within the Range of this Attack gain a Flower Coat. Whenever a Combatant with a Flower Coat gains a Status Affliction, they may expend the Flower Coat as a Reaction to cure it. Additionally as a Swift Action, Combatants with a Flow"&amp;"er Coat may expend it to cure one Affliction currently affecting them. ")</f>
        <v>The user and all Allies within the Range of this Attack gain a Flower Coat. Whenever a Combatant with a Flower Coat gains a Status Affliction, they may expend the Flower Coat as a Reaction to cure it. Additionally as a Swift Action, Combatants with a Flower Coat may expend it to cure one Affliction currently affecting them. </v>
      </c>
      <c r="I407" s="191" t="str">
        <f>IFERROR(__xludf.DUMMYFUNCTION("""COMPUTED_VALUE"""),"Same as the normal Effects, but its Range is changed to Melee, 1 Target. ")</f>
        <v>Same as the normal Effects, but its Range is changed to Melee, 1 Target. </v>
      </c>
      <c r="J407" s="190" t="str">
        <f>IFERROR(__xludf.DUMMYFUNCTION("""COMPUTED_VALUE"""),"Tier 2")</f>
        <v>Tier 2</v>
      </c>
      <c r="K407" s="174" t="b">
        <f>IFERROR(__xludf.DUMMYFUNCTION("""COMPUTED_VALUE"""),TRUE)</f>
        <v>1</v>
      </c>
      <c r="L407" s="174"/>
      <c r="M407" s="174"/>
      <c r="N407" s="174"/>
      <c r="O407" s="174"/>
      <c r="P407" s="174"/>
      <c r="Q407" s="174"/>
      <c r="R407" s="174"/>
      <c r="S407" s="174"/>
      <c r="T407" s="174"/>
      <c r="U407" s="174"/>
      <c r="V407" s="174"/>
      <c r="W407" s="174"/>
      <c r="X407" s="174"/>
      <c r="Y407" s="174"/>
      <c r="Z407" s="174"/>
    </row>
    <row r="408">
      <c r="A408" s="190" t="str">
        <f>IFERROR(__xludf.DUMMYFUNCTION("""COMPUTED_VALUE"""),"Glitter Bomb")</f>
        <v>Glitter Bomb</v>
      </c>
      <c r="B408" s="190" t="str">
        <f>IFERROR(__xludf.DUMMYFUNCTION("""COMPUTED_VALUE"""),"Fairy")</f>
        <v>Fairy</v>
      </c>
      <c r="C408" s="190" t="str">
        <f>IFERROR(__xludf.DUMMYFUNCTION("""COMPUTED_VALUE"""),"Physical")</f>
        <v>Physical</v>
      </c>
      <c r="D408" s="190" t="str">
        <f>IFERROR(__xludf.DUMMYFUNCTION("""COMPUTED_VALUE"""),"Scene x2")</f>
        <v>Scene x2</v>
      </c>
      <c r="E408" s="190" t="str">
        <f>IFERROR(__xludf.DUMMYFUNCTION("""COMPUTED_VALUE"""),"6, Ranged Blast 2, Full Action")</f>
        <v>6, Ranged Blast 2, Full Action</v>
      </c>
      <c r="F408" s="190">
        <f>IFERROR(__xludf.DUMMYFUNCTION("""COMPUTED_VALUE"""),5.0)</f>
        <v>5</v>
      </c>
      <c r="G408" s="190">
        <f>IFERROR(__xludf.DUMMYFUNCTION("""COMPUTED_VALUE"""),10.0)</f>
        <v>10</v>
      </c>
      <c r="H408" s="191" t="str">
        <f>IFERROR(__xludf.DUMMYFUNCTION("""COMPUTED_VALUE"""),"All Targets lose Accuracy equal to double the number of Mental Afflictions they’re affected by until the end of their next Turn. Smite")</f>
        <v>All Targets lose Accuracy equal to double the number of Mental Afflictions they’re affected by until the end of their next Turn. Smite</v>
      </c>
      <c r="I408" s="191" t="str">
        <f>IFERROR(__xludf.DUMMYFUNCTION("""COMPUTED_VALUE"""),"--")</f>
        <v>--</v>
      </c>
      <c r="J408" s="190" t="str">
        <f>IFERROR(__xludf.DUMMYFUNCTION("""COMPUTED_VALUE"""),"Tier 3")</f>
        <v>Tier 3</v>
      </c>
      <c r="K408" s="174" t="b">
        <f>IFERROR(__xludf.DUMMYFUNCTION("""COMPUTED_VALUE"""),TRUE)</f>
        <v>1</v>
      </c>
      <c r="L408" s="174"/>
      <c r="M408" s="174"/>
      <c r="N408" s="174"/>
      <c r="O408" s="174"/>
      <c r="P408" s="174"/>
      <c r="Q408" s="174"/>
      <c r="R408" s="174"/>
      <c r="S408" s="174"/>
      <c r="T408" s="174"/>
      <c r="U408" s="174"/>
      <c r="V408" s="174"/>
      <c r="W408" s="174"/>
      <c r="X408" s="174"/>
      <c r="Y408" s="174"/>
      <c r="Z408" s="174"/>
    </row>
    <row r="409">
      <c r="A409" s="190" t="str">
        <f>IFERROR(__xludf.DUMMYFUNCTION("""COMPUTED_VALUE"""),"Glitter Darts")</f>
        <v>Glitter Darts</v>
      </c>
      <c r="B409" s="190" t="str">
        <f>IFERROR(__xludf.DUMMYFUNCTION("""COMPUTED_VALUE"""),"Fairy")</f>
        <v>Fairy</v>
      </c>
      <c r="C409" s="190" t="str">
        <f>IFERROR(__xludf.DUMMYFUNCTION("""COMPUTED_VALUE"""),"Physical")</f>
        <v>Physical</v>
      </c>
      <c r="D409" s="190" t="str">
        <f>IFERROR(__xludf.DUMMYFUNCTION("""COMPUTED_VALUE"""),"At-Will")</f>
        <v>At-Will</v>
      </c>
      <c r="E409" s="190" t="str">
        <f>IFERROR(__xludf.DUMMYFUNCTION("""COMPUTED_VALUE"""),"4, 2 Targets")</f>
        <v>4, 2 Targets</v>
      </c>
      <c r="F409" s="190">
        <f>IFERROR(__xludf.DUMMYFUNCTION("""COMPUTED_VALUE"""),6.0)</f>
        <v>6</v>
      </c>
      <c r="G409" s="190">
        <f>IFERROR(__xludf.DUMMYFUNCTION("""COMPUTED_VALUE"""),4.0)</f>
        <v>4</v>
      </c>
      <c r="H409" s="191" t="str">
        <f>IFERROR(__xludf.DUMMYFUNCTION("""COMPUTED_VALUE"""),"If a Target is Dazed, this Attack has the Sureshot Keyword against them.")</f>
        <v>If a Target is Dazed, this Attack has the Sureshot Keyword against them.</v>
      </c>
      <c r="I409" s="191" t="str">
        <f>IFERROR(__xludf.DUMMYFUNCTION("""COMPUTED_VALUE"""),"--")</f>
        <v>--</v>
      </c>
      <c r="J409" s="190" t="str">
        <f>IFERROR(__xludf.DUMMYFUNCTION("""COMPUTED_VALUE"""),"Tier 1")</f>
        <v>Tier 1</v>
      </c>
      <c r="K409" s="174" t="b">
        <f>IFERROR(__xludf.DUMMYFUNCTION("""COMPUTED_VALUE"""),TRUE)</f>
        <v>1</v>
      </c>
      <c r="L409" s="174"/>
      <c r="M409" s="174"/>
      <c r="N409" s="174"/>
      <c r="O409" s="174"/>
      <c r="P409" s="174"/>
      <c r="Q409" s="174"/>
      <c r="R409" s="174"/>
      <c r="S409" s="174"/>
      <c r="T409" s="174"/>
      <c r="U409" s="174"/>
      <c r="V409" s="174"/>
      <c r="W409" s="174"/>
      <c r="X409" s="174"/>
      <c r="Y409" s="174"/>
      <c r="Z409" s="174"/>
    </row>
    <row r="410">
      <c r="A410" s="190" t="str">
        <f>IFERROR(__xludf.DUMMYFUNCTION("""COMPUTED_VALUE"""),"Glittering Mist")</f>
        <v>Glittering Mist</v>
      </c>
      <c r="B410" s="190" t="str">
        <f>IFERROR(__xludf.DUMMYFUNCTION("""COMPUTED_VALUE"""),"Fairy")</f>
        <v>Fairy</v>
      </c>
      <c r="C410" s="190" t="str">
        <f>IFERROR(__xludf.DUMMYFUNCTION("""COMPUTED_VALUE"""),"Status")</f>
        <v>Status</v>
      </c>
      <c r="D410" s="190" t="str">
        <f>IFERROR(__xludf.DUMMYFUNCTION("""COMPUTED_VALUE"""),"Scene x2")</f>
        <v>Scene x2</v>
      </c>
      <c r="E410" s="190" t="str">
        <f>IFERROR(__xludf.DUMMYFUNCTION("""COMPUTED_VALUE"""),"Blessing, Versatile, Weather")</f>
        <v>Blessing, Versatile, Weather</v>
      </c>
      <c r="F410" s="190" t="str">
        <f>IFERROR(__xludf.DUMMYFUNCTION("""COMPUTED_VALUE"""),"--")</f>
        <v>--</v>
      </c>
      <c r="G410" s="190" t="str">
        <f>IFERROR(__xludf.DUMMYFUNCTION("""COMPUTED_VALUE"""),"--")</f>
        <v>--</v>
      </c>
      <c r="H410" s="191" t="str">
        <f>IFERROR(__xludf.DUMMYFUNCTION("""COMPUTED_VALUE"""),"Blessing - Any user affected by Glittering Mist may activate it as a Free Action when using a Fairy Type Damaging Attack to grant it the Smite Keyword. If the Attack hits, it hits, it is also increased by one damage step. (Max 1.5x Effectiveness). Glitter"&amp;"ing Mist may be Activated 3 times and then disappears. While this Blessing persists, the Weather becomes Mystical.")</f>
        <v>Blessing - Any user affected by Glittering Mist may activate it as a Free Action when using a Fairy Type Damaging Attack to grant it the Smite Keyword. If the Attack hits, it hits, it is also increased by one damage step. (Max 1.5x Effectiveness). Glittering Mist may be Activated 3 times and then disappears. While this Blessing persists, the Weather becomes Mystical.</v>
      </c>
      <c r="I410" s="191" t="str">
        <f>IFERROR(__xludf.DUMMYFUNCTION("""COMPUTED_VALUE"""),"Same as the normal Effect, but it only has 1 Activation.")</f>
        <v>Same as the normal Effect, but it only has 1 Activation.</v>
      </c>
      <c r="J410" s="190" t="str">
        <f>IFERROR(__xludf.DUMMYFUNCTION("""COMPUTED_VALUE"""),"Tier 2")</f>
        <v>Tier 2</v>
      </c>
      <c r="K410" s="174" t="b">
        <f>IFERROR(__xludf.DUMMYFUNCTION("""COMPUTED_VALUE"""),TRUE)</f>
        <v>1</v>
      </c>
      <c r="L410" s="174"/>
      <c r="M410" s="174"/>
      <c r="N410" s="174"/>
      <c r="O410" s="174"/>
      <c r="P410" s="174"/>
      <c r="Q410" s="174"/>
      <c r="R410" s="174"/>
      <c r="S410" s="174"/>
      <c r="T410" s="174"/>
      <c r="U410" s="174"/>
      <c r="V410" s="174"/>
      <c r="W410" s="174"/>
      <c r="X410" s="174"/>
      <c r="Y410" s="174"/>
      <c r="Z410" s="174"/>
    </row>
    <row r="411">
      <c r="A411" s="190" t="str">
        <f>IFERROR(__xludf.DUMMYFUNCTION("""COMPUTED_VALUE"""),"Healing Wish")</f>
        <v>Healing Wish</v>
      </c>
      <c r="B411" s="190" t="str">
        <f>IFERROR(__xludf.DUMMYFUNCTION("""COMPUTED_VALUE"""),"Fairy")</f>
        <v>Fairy</v>
      </c>
      <c r="C411" s="190" t="str">
        <f>IFERROR(__xludf.DUMMYFUNCTION("""COMPUTED_VALUE"""),"Status")</f>
        <v>Status</v>
      </c>
      <c r="D411" s="190" t="str">
        <f>IFERROR(__xludf.DUMMYFUNCTION("""COMPUTED_VALUE"""),"Scene")</f>
        <v>Scene</v>
      </c>
      <c r="E411" s="190" t="str">
        <f>IFERROR(__xludf.DUMMYFUNCTION("""COMPUTED_VALUE"""),"5, 1 Target or Self; Set-Up")</f>
        <v>5, 1 Target or Self; Set-Up</v>
      </c>
      <c r="F411" s="190" t="str">
        <f>IFERROR(__xludf.DUMMYFUNCTION("""COMPUTED_VALUE"""),"--")</f>
        <v>--</v>
      </c>
      <c r="G411" s="190" t="str">
        <f>IFERROR(__xludf.DUMMYFUNCTION("""COMPUTED_VALUE"""),"--")</f>
        <v>--</v>
      </c>
      <c r="H411" s="191" t="str">
        <f>IFERROR(__xludf.DUMMYFUNCTION("""COMPUTED_VALUE"""),"Charge Effect: The user gains a Tick of Temporary Hit Points.
Resolution Effect: If the Target is fainted, they’re revived and set to 1 HP. The Target then restores two Ticks of Hit Points for each Charge Token expended. This may also Target Pokemon insid"&amp;"e a Pokeball if the Trainer is within Range. ")</f>
        <v>Charge Effect: The user gains a Tick of Temporary Hit Points.
Resolution Effect: If the Target is fainted, they’re revived and set to 1 HP. The Target then restores two Ticks of Hit Points for each Charge Token expended. This may also Target Pokemon inside a Pokeball if the Trainer is within Range. </v>
      </c>
      <c r="I411" s="191" t="str">
        <f>IFERROR(__xludf.DUMMYFUNCTION("""COMPUTED_VALUE"""),"The Target gains a Wish Coat. The Coat may be expended as a Full Action by them to have the user restore 5 Ticks of Hit Points.")</f>
        <v>The Target gains a Wish Coat. The Coat may be expended as a Full Action by them to have the user restore 5 Ticks of Hit Points.</v>
      </c>
      <c r="J411" s="190" t="str">
        <f>IFERROR(__xludf.DUMMYFUNCTION("""COMPUTED_VALUE"""),"Tier 3")</f>
        <v>Tier 3</v>
      </c>
      <c r="K411" s="174" t="b">
        <f>IFERROR(__xludf.DUMMYFUNCTION("""COMPUTED_VALUE"""),TRUE)</f>
        <v>1</v>
      </c>
      <c r="L411" s="174"/>
      <c r="M411" s="174"/>
      <c r="N411" s="174"/>
      <c r="O411" s="174"/>
      <c r="P411" s="174"/>
      <c r="Q411" s="174"/>
      <c r="R411" s="174"/>
      <c r="S411" s="174"/>
      <c r="T411" s="174"/>
      <c r="U411" s="174"/>
      <c r="V411" s="174"/>
      <c r="W411" s="174"/>
      <c r="X411" s="174"/>
      <c r="Y411" s="174"/>
      <c r="Z411" s="174"/>
    </row>
    <row r="412">
      <c r="A412" s="190" t="str">
        <f>IFERROR(__xludf.DUMMYFUNCTION("""COMPUTED_VALUE"""),"Light of Ruin")</f>
        <v>Light of Ruin</v>
      </c>
      <c r="B412" s="190" t="str">
        <f>IFERROR(__xludf.DUMMYFUNCTION("""COMPUTED_VALUE"""),"Fairy")</f>
        <v>Fairy</v>
      </c>
      <c r="C412" s="190" t="str">
        <f>IFERROR(__xludf.DUMMYFUNCTION("""COMPUTED_VALUE"""),"Special")</f>
        <v>Special</v>
      </c>
      <c r="D412" s="190" t="str">
        <f>IFERROR(__xludf.DUMMYFUNCTION("""COMPUTED_VALUE"""),"Scene")</f>
        <v>Scene</v>
      </c>
      <c r="E412" s="190" t="str">
        <f>IFERROR(__xludf.DUMMYFUNCTION("""COMPUTED_VALUE"""),"8, Ranged Blast 3, Full Action, Recoil 1/2")</f>
        <v>8, Ranged Blast 3, Full Action, Recoil 1/2</v>
      </c>
      <c r="F412" s="190">
        <f>IFERROR(__xludf.DUMMYFUNCTION("""COMPUTED_VALUE"""),8.0)</f>
        <v>8</v>
      </c>
      <c r="G412" s="190">
        <f>IFERROR(__xludf.DUMMYFUNCTION("""COMPUTED_VALUE"""),14.0)</f>
        <v>14</v>
      </c>
      <c r="H412" s="191" t="str">
        <f>IFERROR(__xludf.DUMMYFUNCTION("""COMPUTED_VALUE"""),"If the Weather is Mystical or Sunny, Light of Ruin ignores the Recoil Keyword and Special Evasion. Smite")</f>
        <v>If the Weather is Mystical or Sunny, Light of Ruin ignores the Recoil Keyword and Special Evasion. Smite</v>
      </c>
      <c r="I412" s="191" t="str">
        <f>IFERROR(__xludf.DUMMYFUNCTION("""COMPUTED_VALUE"""),"--")</f>
        <v>--</v>
      </c>
      <c r="J412" s="190" t="str">
        <f>IFERROR(__xludf.DUMMYFUNCTION("""COMPUTED_VALUE"""),"Tier 3")</f>
        <v>Tier 3</v>
      </c>
      <c r="K412" s="174" t="b">
        <f>IFERROR(__xludf.DUMMYFUNCTION("""COMPUTED_VALUE"""),TRUE)</f>
        <v>1</v>
      </c>
      <c r="L412" s="174"/>
      <c r="M412" s="174"/>
      <c r="N412" s="174"/>
      <c r="O412" s="174"/>
      <c r="P412" s="174"/>
      <c r="Q412" s="174"/>
      <c r="R412" s="174"/>
      <c r="S412" s="174"/>
      <c r="T412" s="174"/>
      <c r="U412" s="174"/>
      <c r="V412" s="174"/>
      <c r="W412" s="174"/>
      <c r="X412" s="174"/>
      <c r="Y412" s="174"/>
      <c r="Z412" s="174"/>
    </row>
    <row r="413">
      <c r="A413" s="190" t="str">
        <f>IFERROR(__xludf.DUMMYFUNCTION("""COMPUTED_VALUE"""),"Love Bite")</f>
        <v>Love Bite</v>
      </c>
      <c r="B413" s="190" t="str">
        <f>IFERROR(__xludf.DUMMYFUNCTION("""COMPUTED_VALUE"""),"Fairy")</f>
        <v>Fairy</v>
      </c>
      <c r="C413" s="190" t="str">
        <f>IFERROR(__xludf.DUMMYFUNCTION("""COMPUTED_VALUE"""),"Physical")</f>
        <v>Physical</v>
      </c>
      <c r="D413" s="190" t="str">
        <f>IFERROR(__xludf.DUMMYFUNCTION("""COMPUTED_VALUE"""),"At-Will")</f>
        <v>At-Will</v>
      </c>
      <c r="E413" s="190" t="str">
        <f>IFERROR(__xludf.DUMMYFUNCTION("""COMPUTED_VALUE"""),"Melee, 1 Target, Bite")</f>
        <v>Melee, 1 Target, Bite</v>
      </c>
      <c r="F413" s="190">
        <f>IFERROR(__xludf.DUMMYFUNCTION("""COMPUTED_VALUE"""),2.0)</f>
        <v>2</v>
      </c>
      <c r="G413" s="190">
        <f>IFERROR(__xludf.DUMMYFUNCTION("""COMPUTED_VALUE"""),7.0)</f>
        <v>7</v>
      </c>
      <c r="H413" s="191" t="str">
        <f>IFERROR(__xludf.DUMMYFUNCTION("""COMPUTED_VALUE"""),"On a roll of 18+, Roll a 1d2. On a roll of 1, the Target becomes Entranced. On a 2, the Target becomes Wounded.")</f>
        <v>On a roll of 18+, Roll a 1d2. On a roll of 1, the Target becomes Entranced. On a 2, the Target becomes Wounded.</v>
      </c>
      <c r="I413" s="191" t="str">
        <f>IFERROR(__xludf.DUMMYFUNCTION("""COMPUTED_VALUE"""),"--")</f>
        <v>--</v>
      </c>
      <c r="J413" s="190" t="str">
        <f>IFERROR(__xludf.DUMMYFUNCTION("""COMPUTED_VALUE"""),"Tier 1")</f>
        <v>Tier 1</v>
      </c>
      <c r="K413" s="174" t="b">
        <f>IFERROR(__xludf.DUMMYFUNCTION("""COMPUTED_VALUE"""),TRUE)</f>
        <v>1</v>
      </c>
      <c r="L413" s="174"/>
      <c r="M413" s="174"/>
      <c r="N413" s="174"/>
      <c r="O413" s="174"/>
      <c r="P413" s="174"/>
      <c r="Q413" s="174"/>
      <c r="R413" s="174"/>
      <c r="S413" s="174"/>
      <c r="T413" s="174"/>
      <c r="U413" s="174"/>
      <c r="V413" s="174"/>
      <c r="W413" s="174"/>
      <c r="X413" s="174"/>
      <c r="Y413" s="174"/>
      <c r="Z413" s="174"/>
    </row>
    <row r="414">
      <c r="A414" s="190" t="str">
        <f>IFERROR(__xludf.DUMMYFUNCTION("""COMPUTED_VALUE"""),"Magical Bomb")</f>
        <v>Magical Bomb</v>
      </c>
      <c r="B414" s="190" t="str">
        <f>IFERROR(__xludf.DUMMYFUNCTION("""COMPUTED_VALUE"""),"Fairy")</f>
        <v>Fairy</v>
      </c>
      <c r="C414" s="190" t="str">
        <f>IFERROR(__xludf.DUMMYFUNCTION("""COMPUTED_VALUE"""),"Special")</f>
        <v>Special</v>
      </c>
      <c r="D414" s="190" t="str">
        <f>IFERROR(__xludf.DUMMYFUNCTION("""COMPUTED_VALUE"""),"Scene")</f>
        <v>Scene</v>
      </c>
      <c r="E414" s="190" t="str">
        <f>IFERROR(__xludf.DUMMYFUNCTION("""COMPUTED_VALUE"""),"8, Ranged Blast 3")</f>
        <v>8, Ranged Blast 3</v>
      </c>
      <c r="F414" s="190">
        <f>IFERROR(__xludf.DUMMYFUNCTION("""COMPUTED_VALUE"""),8.0)</f>
        <v>8</v>
      </c>
      <c r="G414" s="190">
        <f>IFERROR(__xludf.DUMMYFUNCTION("""COMPUTED_VALUE"""),12.0)</f>
        <v>12</v>
      </c>
      <c r="H414" s="191" t="str">
        <f>IFERROR(__xludf.DUMMYFUNCTION("""COMPUTED_VALUE"""),"Targets who are affected by a Mental Affliction are treated as Vulnerable against this Attack. Smite, Friendly")</f>
        <v>Targets who are affected by a Mental Affliction are treated as Vulnerable against this Attack. Smite, Friendly</v>
      </c>
      <c r="I414" s="191" t="str">
        <f>IFERROR(__xludf.DUMMYFUNCTION("""COMPUTED_VALUE"""),"--")</f>
        <v>--</v>
      </c>
      <c r="J414" s="190" t="str">
        <f>IFERROR(__xludf.DUMMYFUNCTION("""COMPUTED_VALUE"""),"Tier 3")</f>
        <v>Tier 3</v>
      </c>
      <c r="K414" s="174" t="b">
        <f>IFERROR(__xludf.DUMMYFUNCTION("""COMPUTED_VALUE"""),TRUE)</f>
        <v>1</v>
      </c>
      <c r="L414" s="174"/>
      <c r="M414" s="174"/>
      <c r="N414" s="174"/>
      <c r="O414" s="174"/>
      <c r="P414" s="174"/>
      <c r="Q414" s="174"/>
      <c r="R414" s="174"/>
      <c r="S414" s="174"/>
      <c r="T414" s="174"/>
      <c r="U414" s="174"/>
      <c r="V414" s="174"/>
      <c r="W414" s="174"/>
      <c r="X414" s="174"/>
      <c r="Y414" s="174"/>
      <c r="Z414" s="174"/>
    </row>
    <row r="415">
      <c r="A415" s="190" t="str">
        <f>IFERROR(__xludf.DUMMYFUNCTION("""COMPUTED_VALUE"""),"Misty Eruption")</f>
        <v>Misty Eruption</v>
      </c>
      <c r="B415" s="190" t="str">
        <f>IFERROR(__xludf.DUMMYFUNCTION("""COMPUTED_VALUE"""),"Fairy")</f>
        <v>Fairy</v>
      </c>
      <c r="C415" s="190" t="str">
        <f>IFERROR(__xludf.DUMMYFUNCTION("""COMPUTED_VALUE"""),"Special")</f>
        <v>Special</v>
      </c>
      <c r="D415" s="190" t="str">
        <f>IFERROR(__xludf.DUMMYFUNCTION("""COMPUTED_VALUE"""),"Scene x2")</f>
        <v>Scene x2</v>
      </c>
      <c r="E415" s="190" t="str">
        <f>IFERROR(__xludf.DUMMYFUNCTION("""COMPUTED_VALUE"""),"Burst 1, Full Action, Groundsource ")</f>
        <v>Burst 1, Full Action, Groundsource </v>
      </c>
      <c r="F415" s="190">
        <f>IFERROR(__xludf.DUMMYFUNCTION("""COMPUTED_VALUE"""),5.0)</f>
        <v>5</v>
      </c>
      <c r="G415" s="190">
        <f>IFERROR(__xludf.DUMMYFUNCTION("""COMPUTED_VALUE"""),8.0)</f>
        <v>8</v>
      </c>
      <c r="H415" s="191" t="str">
        <f>IFERROR(__xludf.DUMMYFUNCTION("""COMPUTED_VALUE"""),"If the Field is affected by an Fairy Attack or the Weather is Mystical, Misty Eruption may increase its Burst Range by up to +2. Smite")</f>
        <v>If the Field is affected by an Fairy Attack or the Weather is Mystical, Misty Eruption may increase its Burst Range by up to +2. Smite</v>
      </c>
      <c r="I415" s="191" t="str">
        <f>IFERROR(__xludf.DUMMYFUNCTION("""COMPUTED_VALUE"""),"--")</f>
        <v>--</v>
      </c>
      <c r="J415" s="190" t="str">
        <f>IFERROR(__xludf.DUMMYFUNCTION("""COMPUTED_VALUE"""),"Tier 2")</f>
        <v>Tier 2</v>
      </c>
      <c r="K415" s="174" t="b">
        <f>IFERROR(__xludf.DUMMYFUNCTION("""COMPUTED_VALUE"""),TRUE)</f>
        <v>1</v>
      </c>
      <c r="L415" s="174"/>
      <c r="M415" s="174"/>
      <c r="N415" s="174"/>
      <c r="O415" s="174"/>
      <c r="P415" s="174"/>
      <c r="Q415" s="174"/>
      <c r="R415" s="174"/>
      <c r="S415" s="174"/>
      <c r="T415" s="174"/>
      <c r="U415" s="174"/>
      <c r="V415" s="174"/>
      <c r="W415" s="174"/>
      <c r="X415" s="174"/>
      <c r="Y415" s="174"/>
      <c r="Z415" s="174"/>
    </row>
    <row r="416">
      <c r="A416" s="190" t="str">
        <f>IFERROR(__xludf.DUMMYFUNCTION("""COMPUTED_VALUE"""),"Misty Guard")</f>
        <v>Misty Guard</v>
      </c>
      <c r="B416" s="190" t="str">
        <f>IFERROR(__xludf.DUMMYFUNCTION("""COMPUTED_VALUE"""),"Fairy")</f>
        <v>Fairy</v>
      </c>
      <c r="C416" s="190" t="str">
        <f>IFERROR(__xludf.DUMMYFUNCTION("""COMPUTED_VALUE"""),"Status")</f>
        <v>Status</v>
      </c>
      <c r="D416" s="190" t="str">
        <f>IFERROR(__xludf.DUMMYFUNCTION("""COMPUTED_VALUE"""),"Scene x2")</f>
        <v>Scene x2</v>
      </c>
      <c r="E416" s="190" t="str">
        <f>IFERROR(__xludf.DUMMYFUNCTION("""COMPUTED_VALUE"""),"Melee, 1 Target, Coat, Versatile")</f>
        <v>Melee, 1 Target, Coat, Versatile</v>
      </c>
      <c r="F416" s="190" t="str">
        <f>IFERROR(__xludf.DUMMYFUNCTION("""COMPUTED_VALUE"""),"--")</f>
        <v>--</v>
      </c>
      <c r="G416" s="190" t="str">
        <f>IFERROR(__xludf.DUMMYFUNCTION("""COMPUTED_VALUE"""),"--")</f>
        <v>--</v>
      </c>
      <c r="H416" s="191" t="str">
        <f>IFERROR(__xludf.DUMMYFUNCTION("""COMPUTED_VALUE"""),"The Target gains a Misty Coat. A Misty Coat may be expended as a Reaction when the Target is hit with an Attack to instead not be hit by it. The Target does not take any Damage nor is affected by any of the Attack's Effects.")</f>
        <v>The Target gains a Misty Coat. A Misty Coat may be expended as a Reaction when the Target is hit with an Attack to instead not be hit by it. The Target does not take any Damage nor is affected by any of the Attack's Effects.</v>
      </c>
      <c r="I416" s="191" t="str">
        <f>IFERROR(__xludf.DUMMYFUNCTION("""COMPUTED_VALUE"""),"The Target gains a Misty Coat. A Misty Coat may be expended as a Reaction when the Target is hit with an Attack to resist it by an additional Damage Step. ")</f>
        <v>The Target gains a Misty Coat. A Misty Coat may be expended as a Reaction when the Target is hit with an Attack to resist it by an additional Damage Step. </v>
      </c>
      <c r="J416" s="190" t="str">
        <f>IFERROR(__xludf.DUMMYFUNCTION("""COMPUTED_VALUE"""),"Tier 2")</f>
        <v>Tier 2</v>
      </c>
      <c r="K416" s="174" t="b">
        <f>IFERROR(__xludf.DUMMYFUNCTION("""COMPUTED_VALUE"""),TRUE)</f>
        <v>1</v>
      </c>
      <c r="L416" s="174"/>
      <c r="M416" s="174"/>
      <c r="N416" s="174"/>
      <c r="O416" s="174"/>
      <c r="P416" s="174"/>
      <c r="Q416" s="174"/>
      <c r="R416" s="174"/>
      <c r="S416" s="174"/>
      <c r="T416" s="174"/>
      <c r="U416" s="174"/>
      <c r="V416" s="174"/>
      <c r="W416" s="174"/>
      <c r="X416" s="174"/>
      <c r="Y416" s="174"/>
      <c r="Z416" s="174"/>
    </row>
    <row r="417">
      <c r="A417" s="190" t="str">
        <f>IFERROR(__xludf.DUMMYFUNCTION("""COMPUTED_VALUE"""),"Misty Terrain")</f>
        <v>Misty Terrain</v>
      </c>
      <c r="B417" s="190" t="str">
        <f>IFERROR(__xludf.DUMMYFUNCTION("""COMPUTED_VALUE"""),"Fairy")</f>
        <v>Fairy</v>
      </c>
      <c r="C417" s="190" t="str">
        <f>IFERROR(__xludf.DUMMYFUNCTION("""COMPUTED_VALUE"""),"Status")</f>
        <v>Status</v>
      </c>
      <c r="D417" s="190" t="str">
        <f>IFERROR(__xludf.DUMMYFUNCTION("""COMPUTED_VALUE"""),"Scene x2")</f>
        <v>Scene x2</v>
      </c>
      <c r="E417" s="190" t="str">
        <f>IFERROR(__xludf.DUMMYFUNCTION("""COMPUTED_VALUE"""),"Field, Versatile")</f>
        <v>Field, Versatile</v>
      </c>
      <c r="F417" s="190" t="str">
        <f>IFERROR(__xludf.DUMMYFUNCTION("""COMPUTED_VALUE"""),"--")</f>
        <v>--</v>
      </c>
      <c r="G417" s="190" t="str">
        <f>IFERROR(__xludf.DUMMYFUNCTION("""COMPUTED_VALUE"""),"--")</f>
        <v>--</v>
      </c>
      <c r="H417" s="191" t="str">
        <f>IFERROR(__xludf.DUMMYFUNCTION("""COMPUTED_VALUE"""),"The field becomes Misty for the next 5 Rounds. While the field is Misty, grounded Combatants gain +2 to Save Checks, and Fairy Type attacks ignore Speed Evasion. While the Field is Misty, the Weather may become Mystical.")</f>
        <v>The field becomes Misty for the next 5 Rounds. While the field is Misty, grounded Combatants gain +2 to Save Checks, and Fairy Type attacks ignore Speed Evasion. While the Field is Misty, the Weather may become Mystical.</v>
      </c>
      <c r="I417"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17" s="190" t="str">
        <f>IFERROR(__xludf.DUMMYFUNCTION("""COMPUTED_VALUE"""),"Tier 2")</f>
        <v>Tier 2</v>
      </c>
      <c r="K417" s="174" t="b">
        <f>IFERROR(__xludf.DUMMYFUNCTION("""COMPUTED_VALUE"""),TRUE)</f>
        <v>1</v>
      </c>
      <c r="L417" s="174"/>
      <c r="M417" s="174"/>
      <c r="N417" s="174"/>
      <c r="O417" s="174"/>
      <c r="P417" s="174"/>
      <c r="Q417" s="174"/>
      <c r="R417" s="174"/>
      <c r="S417" s="174"/>
      <c r="T417" s="174"/>
      <c r="U417" s="174"/>
      <c r="V417" s="174"/>
      <c r="W417" s="174"/>
      <c r="X417" s="174"/>
      <c r="Y417" s="174"/>
      <c r="Z417" s="174"/>
    </row>
    <row r="418">
      <c r="A418" s="190" t="str">
        <f>IFERROR(__xludf.DUMMYFUNCTION("""COMPUTED_VALUE"""),"Moonblast")</f>
        <v>Moonblast</v>
      </c>
      <c r="B418" s="190" t="str">
        <f>IFERROR(__xludf.DUMMYFUNCTION("""COMPUTED_VALUE"""),"Fairy")</f>
        <v>Fairy</v>
      </c>
      <c r="C418" s="190" t="str">
        <f>IFERROR(__xludf.DUMMYFUNCTION("""COMPUTED_VALUE"""),"Special")</f>
        <v>Special</v>
      </c>
      <c r="D418" s="190" t="str">
        <f>IFERROR(__xludf.DUMMYFUNCTION("""COMPUTED_VALUE"""),"EOT")</f>
        <v>EOT</v>
      </c>
      <c r="E418" s="190" t="str">
        <f>IFERROR(__xludf.DUMMYFUNCTION("""COMPUTED_VALUE"""),"6, 1 Target")</f>
        <v>6, 1 Target</v>
      </c>
      <c r="F418" s="190">
        <f>IFERROR(__xludf.DUMMYFUNCTION("""COMPUTED_VALUE"""),4.0)</f>
        <v>4</v>
      </c>
      <c r="G418" s="190">
        <f>IFERROR(__xludf.DUMMYFUNCTION("""COMPUTED_VALUE"""),10.0)</f>
        <v>10</v>
      </c>
      <c r="H418" s="191" t="str">
        <f>IFERROR(__xludf.DUMMYFUNCTION("""COMPUTED_VALUE"""),"If the Weather is Foggy or Mystical, Moonblast has the Sureshot Keyword.")</f>
        <v>If the Weather is Foggy or Mystical, Moonblast has the Sureshot Keyword.</v>
      </c>
      <c r="I418" s="191" t="str">
        <f>IFERROR(__xludf.DUMMYFUNCTION("""COMPUTED_VALUE"""),"--")</f>
        <v>--</v>
      </c>
      <c r="J418" s="190" t="str">
        <f>IFERROR(__xludf.DUMMYFUNCTION("""COMPUTED_VALUE"""),"Tier 3")</f>
        <v>Tier 3</v>
      </c>
      <c r="K418" s="174" t="b">
        <f>IFERROR(__xludf.DUMMYFUNCTION("""COMPUTED_VALUE"""),TRUE)</f>
        <v>1</v>
      </c>
      <c r="L418" s="174"/>
      <c r="M418" s="174"/>
      <c r="N418" s="174"/>
      <c r="O418" s="174"/>
      <c r="P418" s="174"/>
      <c r="Q418" s="174"/>
      <c r="R418" s="174"/>
      <c r="S418" s="174"/>
      <c r="T418" s="174"/>
      <c r="U418" s="174"/>
      <c r="V418" s="174"/>
      <c r="W418" s="174"/>
      <c r="X418" s="174"/>
      <c r="Y418" s="174"/>
      <c r="Z418" s="174"/>
    </row>
    <row r="419">
      <c r="A419" s="190" t="str">
        <f>IFERROR(__xludf.DUMMYFUNCTION("""COMPUTED_VALUE"""),"Moonlight")</f>
        <v>Moonlight</v>
      </c>
      <c r="B419" s="190" t="str">
        <f>IFERROR(__xludf.DUMMYFUNCTION("""COMPUTED_VALUE"""),"Fairy")</f>
        <v>Fairy</v>
      </c>
      <c r="C419" s="190" t="str">
        <f>IFERROR(__xludf.DUMMYFUNCTION("""COMPUTED_VALUE"""),"Status")</f>
        <v>Status</v>
      </c>
      <c r="D419" s="190" t="str">
        <f>IFERROR(__xludf.DUMMYFUNCTION("""COMPUTED_VALUE"""),"Scene x2")</f>
        <v>Scene x2</v>
      </c>
      <c r="E419" s="190" t="str">
        <f>IFERROR(__xludf.DUMMYFUNCTION("""COMPUTED_VALUE"""),"Self, Healing, Versatile")</f>
        <v>Self, Healing, Versatile</v>
      </c>
      <c r="F419" s="190" t="str">
        <f>IFERROR(__xludf.DUMMYFUNCTION("""COMPUTED_VALUE"""),"--")</f>
        <v>--</v>
      </c>
      <c r="G419" s="190" t="str">
        <f>IFERROR(__xludf.DUMMYFUNCTION("""COMPUTED_VALUE"""),"--")</f>
        <v>--</v>
      </c>
      <c r="H419" s="191" t="str">
        <f>IFERROR(__xludf.DUMMYFUNCTION("""COMPUTED_VALUE"""),"The user restores 5 Ticks of Hit Points. If the Weather is Foggy or Mystical, the user is also cured of a Status Affliction. This cannot be used if there is Weather other than Foggy or Mystical affecting the Field.")</f>
        <v>The user restores 5 Ticks of Hit Points. If the Weather is Foggy or Mystical, the user is also cured of a Status Affliction. This cannot be used if there is Weather other than Foggy or Mystical affecting the Field.</v>
      </c>
      <c r="I419" s="191" t="str">
        <f>IFERROR(__xludf.DUMMYFUNCTION("""COMPUTED_VALUE"""),"The user restores 2 Ticks of Hit Points. Moonlight can only be used this way if the Weather is Foggy or Mystical.")</f>
        <v>The user restores 2 Ticks of Hit Points. Moonlight can only be used this way if the Weather is Foggy or Mystical.</v>
      </c>
      <c r="J419" s="190" t="str">
        <f>IFERROR(__xludf.DUMMYFUNCTION("""COMPUTED_VALUE"""),"Tier 2")</f>
        <v>Tier 2</v>
      </c>
      <c r="K419" s="174" t="b">
        <f>IFERROR(__xludf.DUMMYFUNCTION("""COMPUTED_VALUE"""),TRUE)</f>
        <v>1</v>
      </c>
      <c r="L419" s="174"/>
      <c r="M419" s="174"/>
      <c r="N419" s="174"/>
      <c r="O419" s="174"/>
      <c r="P419" s="174"/>
      <c r="Q419" s="174"/>
      <c r="R419" s="174"/>
      <c r="S419" s="174"/>
      <c r="T419" s="174"/>
      <c r="U419" s="174"/>
      <c r="V419" s="174"/>
      <c r="W419" s="174"/>
      <c r="X419" s="174"/>
      <c r="Y419" s="174"/>
      <c r="Z419" s="174"/>
    </row>
    <row r="420">
      <c r="A420" s="190" t="str">
        <f>IFERROR(__xludf.DUMMYFUNCTION("""COMPUTED_VALUE"""),"Moral Support")</f>
        <v>Moral Support</v>
      </c>
      <c r="B420" s="190" t="str">
        <f>IFERROR(__xludf.DUMMYFUNCTION("""COMPUTED_VALUE"""),"Fairy")</f>
        <v>Fairy</v>
      </c>
      <c r="C420" s="190" t="str">
        <f>IFERROR(__xludf.DUMMYFUNCTION("""COMPUTED_VALUE"""),"Status")</f>
        <v>Status</v>
      </c>
      <c r="D420" s="190" t="str">
        <f>IFERROR(__xludf.DUMMYFUNCTION("""COMPUTED_VALUE"""),"Scene x2")</f>
        <v>Scene x2</v>
      </c>
      <c r="E420" s="190" t="str">
        <f>IFERROR(__xludf.DUMMYFUNCTION("""COMPUTED_VALUE"""),"Burst 5, Priority, Sonic, Versatile")</f>
        <v>Burst 5, Priority, Sonic, Versatile</v>
      </c>
      <c r="F420" s="190" t="str">
        <f>IFERROR(__xludf.DUMMYFUNCTION("""COMPUTED_VALUE"""),"--")</f>
        <v>--</v>
      </c>
      <c r="G420" s="190" t="str">
        <f>IFERROR(__xludf.DUMMYFUNCTION("""COMPUTED_VALUE"""),"--")</f>
        <v>--</v>
      </c>
      <c r="H420" s="191" t="str">
        <f>IFERROR(__xludf.DUMMYFUNCTION("""COMPUTED_VALUE"""),"For each Ally within Range of this Attack, choose a Combat Value below for them to gain +4 Modifier in until the end of the Round. 
■ Accuracy, Evasion or Save Checks")</f>
        <v>For each Ally within Range of this Attack, choose a Combat Value below for them to gain +4 Modifier in until the end of the Round. 
■ Accuracy, Evasion or Save Checks</v>
      </c>
      <c r="I420" s="191" t="str">
        <f>IFERROR(__xludf.DUMMYFUNCTION("""COMPUTED_VALUE"""),"Same as the normal Effects, but the Modifiers are +2 instead of +4 and the Range is Burst 2.")</f>
        <v>Same as the normal Effects, but the Modifiers are +2 instead of +4 and the Range is Burst 2.</v>
      </c>
      <c r="J420" s="190" t="str">
        <f>IFERROR(__xludf.DUMMYFUNCTION("""COMPUTED_VALUE"""),"Tier 2")</f>
        <v>Tier 2</v>
      </c>
      <c r="K420" s="174" t="b">
        <f>IFERROR(__xludf.DUMMYFUNCTION("""COMPUTED_VALUE"""),TRUE)</f>
        <v>1</v>
      </c>
      <c r="L420" s="174"/>
      <c r="M420" s="174"/>
      <c r="N420" s="174"/>
      <c r="O420" s="174"/>
      <c r="P420" s="174"/>
      <c r="Q420" s="174"/>
      <c r="R420" s="174"/>
      <c r="S420" s="174"/>
      <c r="T420" s="174"/>
      <c r="U420" s="174"/>
      <c r="V420" s="174"/>
      <c r="W420" s="174"/>
      <c r="X420" s="174"/>
      <c r="Y420" s="174"/>
      <c r="Z420" s="174"/>
    </row>
    <row r="421">
      <c r="A421" s="190" t="str">
        <f>IFERROR(__xludf.DUMMYFUNCTION("""COMPUTED_VALUE"""),"Mystic Circle")</f>
        <v>Mystic Circle</v>
      </c>
      <c r="B421" s="190" t="str">
        <f>IFERROR(__xludf.DUMMYFUNCTION("""COMPUTED_VALUE"""),"Fairy")</f>
        <v>Fairy</v>
      </c>
      <c r="C421" s="190" t="str">
        <f>IFERROR(__xludf.DUMMYFUNCTION("""COMPUTED_VALUE"""),"Status")</f>
        <v>Status</v>
      </c>
      <c r="D421" s="190" t="str">
        <f>IFERROR(__xludf.DUMMYFUNCTION("""COMPUTED_VALUE"""),"Scene x2")</f>
        <v>Scene x2</v>
      </c>
      <c r="E421" s="190" t="str">
        <f>IFERROR(__xludf.DUMMYFUNCTION("""COMPUTED_VALUE"""),"Burst 2, Healing, Versatile")</f>
        <v>Burst 2, Healing, Versatile</v>
      </c>
      <c r="F421" s="190" t="str">
        <f>IFERROR(__xludf.DUMMYFUNCTION("""COMPUTED_VALUE"""),"--")</f>
        <v>--</v>
      </c>
      <c r="G421" s="190" t="str">
        <f>IFERROR(__xludf.DUMMYFUNCTION("""COMPUTED_VALUE"""),"--")</f>
        <v>--</v>
      </c>
      <c r="H421" s="191" t="str">
        <f>IFERROR(__xludf.DUMMYFUNCTION("""COMPUTED_VALUE"""),"Create up to a 5x5 Zone centered on the user. Spaces in this Zone are treated as Blessed Terrain and being affected by the Mystical Weather. The user and Allies that start their Turn in this Zone restore a Tick of Hit Points. The user and Allies in this Z"&amp;"one have a +3 Modifier to Save Checks. If the user Faints, this Zone is removed. ")</f>
        <v>Create up to a 5x5 Zone centered on the user. Spaces in this Zone are treated as Blessed Terrain and being affected by the Mystical Weather. The user and Allies that start their Turn in this Zone restore a Tick of Hit Points. The user and Allies in this Zone have a +3 Modifier to Save Checks. If the user Faints, this Zone is removed. </v>
      </c>
      <c r="I421" s="191" t="str">
        <f>IFERROR(__xludf.DUMMYFUNCTION("""COMPUTED_VALUE"""),"Same as the normal Effects, but the Zone is removed at the end of the next Round. ")</f>
        <v>Same as the normal Effects, but the Zone is removed at the end of the next Round. </v>
      </c>
      <c r="J421" s="190" t="str">
        <f>IFERROR(__xludf.DUMMYFUNCTION("""COMPUTED_VALUE"""),"Tier 2")</f>
        <v>Tier 2</v>
      </c>
      <c r="K421" s="174" t="b">
        <f>IFERROR(__xludf.DUMMYFUNCTION("""COMPUTED_VALUE"""),TRUE)</f>
        <v>1</v>
      </c>
      <c r="L421" s="174"/>
      <c r="M421" s="174"/>
      <c r="N421" s="174"/>
      <c r="O421" s="174"/>
      <c r="P421" s="174"/>
      <c r="Q421" s="174"/>
      <c r="R421" s="174"/>
      <c r="S421" s="174"/>
      <c r="T421" s="174"/>
      <c r="U421" s="174"/>
      <c r="V421" s="174"/>
      <c r="W421" s="174"/>
      <c r="X421" s="174"/>
      <c r="Y421" s="174"/>
      <c r="Z421" s="174"/>
    </row>
    <row r="422">
      <c r="A422" s="190" t="str">
        <f>IFERROR(__xludf.DUMMYFUNCTION("""COMPUTED_VALUE"""),"Play Rough")</f>
        <v>Play Rough</v>
      </c>
      <c r="B422" s="190" t="str">
        <f>IFERROR(__xludf.DUMMYFUNCTION("""COMPUTED_VALUE"""),"Fairy")</f>
        <v>Fairy</v>
      </c>
      <c r="C422" s="190" t="str">
        <f>IFERROR(__xludf.DUMMYFUNCTION("""COMPUTED_VALUE"""),"Physical")</f>
        <v>Physical</v>
      </c>
      <c r="D422" s="190" t="str">
        <f>IFERROR(__xludf.DUMMYFUNCTION("""COMPUTED_VALUE"""),"EOT")</f>
        <v>EOT</v>
      </c>
      <c r="E422" s="190" t="str">
        <f>IFERROR(__xludf.DUMMYFUNCTION("""COMPUTED_VALUE"""),"Melee, 1 Target, Reckless")</f>
        <v>Melee, 1 Target, Reckless</v>
      </c>
      <c r="F422" s="190">
        <f>IFERROR(__xludf.DUMMYFUNCTION("""COMPUTED_VALUE"""),3.0)</f>
        <v>3</v>
      </c>
      <c r="G422" s="190">
        <f>IFERROR(__xludf.DUMMYFUNCTION("""COMPUTED_VALUE"""),9.0)</f>
        <v>9</v>
      </c>
      <c r="H422" s="191" t="str">
        <f>IFERROR(__xludf.DUMMYFUNCTION("""COMPUTED_VALUE"""),"When using Play Rough, the user may choose to become Vulnerable against the next Attack to Target them. If they do, the Target is Vulnerable against this Attack.")</f>
        <v>When using Play Rough, the user may choose to become Vulnerable against the next Attack to Target them. If they do, the Target is Vulnerable against this Attack.</v>
      </c>
      <c r="I422" s="191" t="str">
        <f>IFERROR(__xludf.DUMMYFUNCTION("""COMPUTED_VALUE"""),"--")</f>
        <v>--</v>
      </c>
      <c r="J422" s="190" t="str">
        <f>IFERROR(__xludf.DUMMYFUNCTION("""COMPUTED_VALUE"""),"Tier 2")</f>
        <v>Tier 2</v>
      </c>
      <c r="K422" s="174" t="b">
        <f>IFERROR(__xludf.DUMMYFUNCTION("""COMPUTED_VALUE"""),TRUE)</f>
        <v>1</v>
      </c>
      <c r="L422" s="174"/>
      <c r="M422" s="174"/>
      <c r="N422" s="174"/>
      <c r="O422" s="174"/>
      <c r="P422" s="174"/>
      <c r="Q422" s="174"/>
      <c r="R422" s="174"/>
      <c r="S422" s="174"/>
      <c r="T422" s="174"/>
      <c r="U422" s="174"/>
      <c r="V422" s="174"/>
      <c r="W422" s="174"/>
      <c r="X422" s="174"/>
      <c r="Y422" s="174"/>
      <c r="Z422" s="174"/>
    </row>
    <row r="423">
      <c r="A423" s="190" t="str">
        <f>IFERROR(__xludf.DUMMYFUNCTION("""COMPUTED_VALUE"""),"Pixie Dust")</f>
        <v>Pixie Dust</v>
      </c>
      <c r="B423" s="190" t="str">
        <f>IFERROR(__xludf.DUMMYFUNCTION("""COMPUTED_VALUE"""),"Fairy")</f>
        <v>Fairy</v>
      </c>
      <c r="C423" s="190" t="str">
        <f>IFERROR(__xludf.DUMMYFUNCTION("""COMPUTED_VALUE"""),"Status")</f>
        <v>Status</v>
      </c>
      <c r="D423" s="190" t="str">
        <f>IFERROR(__xludf.DUMMYFUNCTION("""COMPUTED_VALUE"""),"Scene x2")</f>
        <v>Scene x2</v>
      </c>
      <c r="E423" s="190" t="str">
        <f>IFERROR(__xludf.DUMMYFUNCTION("""COMPUTED_VALUE"""),"5, Ranged Blast 3")</f>
        <v>5, Ranged Blast 3</v>
      </c>
      <c r="F423" s="190" t="str">
        <f>IFERROR(__xludf.DUMMYFUNCTION("""COMPUTED_VALUE"""),"--")</f>
        <v>--</v>
      </c>
      <c r="G423" s="190" t="str">
        <f>IFERROR(__xludf.DUMMYFUNCTION("""COMPUTED_VALUE"""),"--")</f>
        <v>--</v>
      </c>
      <c r="H423" s="191" t="str">
        <f>IFERROR(__xludf.DUMMYFUNCTION("""COMPUTED_VALUE"""),"Choose a Mental Affliction. Powder Hazards are set on the spaces in the range of this Attack until the end of the next Round. Whenever an Enemy triggers this Hazard they gain the chosen Affliction.  
Powder Hazard - Whenever an Enemy passes through or en"&amp;"ds their turn on a Powder Hazard the Effect listed is applied. Users with the Breathless Capability ignore this Hazard.")</f>
        <v>Choose a Mental Affliction. Powder Hazards are set on the spaces in the range of this Attack until the end of the next Round. Whenever an Enemy triggers this Hazard they gain the chosen Affliction.  
Powder Hazard - Whenever an Enemy passes through or ends their turn on a Powder Hazard the Effect listed is applied. Users with the Breathless Capability ignore this Hazard.</v>
      </c>
      <c r="I423" s="191"/>
      <c r="J423" s="190" t="str">
        <f>IFERROR(__xludf.DUMMYFUNCTION("""COMPUTED_VALUE"""),"Tier 2")</f>
        <v>Tier 2</v>
      </c>
      <c r="K423" s="174" t="b">
        <f>IFERROR(__xludf.DUMMYFUNCTION("""COMPUTED_VALUE"""),TRUE)</f>
        <v>1</v>
      </c>
      <c r="L423" s="174"/>
      <c r="M423" s="174"/>
      <c r="N423" s="174"/>
      <c r="O423" s="174"/>
      <c r="P423" s="174"/>
      <c r="Q423" s="174"/>
      <c r="R423" s="174"/>
      <c r="S423" s="174"/>
      <c r="T423" s="174"/>
      <c r="U423" s="174"/>
      <c r="V423" s="174"/>
      <c r="W423" s="174"/>
      <c r="X423" s="174"/>
      <c r="Y423" s="174"/>
      <c r="Z423" s="174"/>
    </row>
    <row r="424">
      <c r="A424" s="190" t="str">
        <f>IFERROR(__xludf.DUMMYFUNCTION("""COMPUTED_VALUE"""),"Pungent Aroma")</f>
        <v>Pungent Aroma</v>
      </c>
      <c r="B424" s="190" t="str">
        <f>IFERROR(__xludf.DUMMYFUNCTION("""COMPUTED_VALUE"""),"Fairy")</f>
        <v>Fairy</v>
      </c>
      <c r="C424" s="190" t="str">
        <f>IFERROR(__xludf.DUMMYFUNCTION("""COMPUTED_VALUE"""),"Status")</f>
        <v>Status</v>
      </c>
      <c r="D424" s="190" t="str">
        <f>IFERROR(__xludf.DUMMYFUNCTION("""COMPUTED_VALUE"""),"Scene x2")</f>
        <v>Scene x2</v>
      </c>
      <c r="E424" s="190" t="str">
        <f>IFERROR(__xludf.DUMMYFUNCTION("""COMPUTED_VALUE"""),"Burst 1, Versatile")</f>
        <v>Burst 1, Versatile</v>
      </c>
      <c r="F424" s="190">
        <f>IFERROR(__xludf.DUMMYFUNCTION("""COMPUTED_VALUE"""),5.0)</f>
        <v>5</v>
      </c>
      <c r="G424" s="190" t="str">
        <f>IFERROR(__xludf.DUMMYFUNCTION("""COMPUTED_VALUE"""),"--")</f>
        <v>--</v>
      </c>
      <c r="H424" s="191" t="str">
        <f>IFERROR(__xludf.DUMMYFUNCTION("""COMPUTED_VALUE"""),"Choose Dazed, Enraged, Entranced or Suppressed. All Targets of this Attack gain that Status Affliction.")</f>
        <v>Choose Dazed, Enraged, Entranced or Suppressed. All Targets of this Attack gain that Status Affliction.</v>
      </c>
      <c r="I424" s="191" t="str">
        <f>IFERROR(__xludf.DUMMYFUNCTION("""COMPUTED_VALUE"""),"Same as the normal Effects, but the Range is changed to Melee, 1 Target.")</f>
        <v>Same as the normal Effects, but the Range is changed to Melee, 1 Target.</v>
      </c>
      <c r="J424" s="190" t="str">
        <f>IFERROR(__xludf.DUMMYFUNCTION("""COMPUTED_VALUE"""),"Tier 2")</f>
        <v>Tier 2</v>
      </c>
      <c r="K424" s="174" t="b">
        <f>IFERROR(__xludf.DUMMYFUNCTION("""COMPUTED_VALUE"""),TRUE)</f>
        <v>1</v>
      </c>
      <c r="L424" s="174"/>
      <c r="M424" s="174"/>
      <c r="N424" s="174"/>
      <c r="O424" s="174"/>
      <c r="P424" s="174"/>
      <c r="Q424" s="174"/>
      <c r="R424" s="174"/>
      <c r="S424" s="174"/>
      <c r="T424" s="174"/>
      <c r="U424" s="174"/>
      <c r="V424" s="174"/>
      <c r="W424" s="174"/>
      <c r="X424" s="174"/>
      <c r="Y424" s="174"/>
      <c r="Z424" s="174"/>
    </row>
    <row r="425">
      <c r="A425" s="190" t="str">
        <f>IFERROR(__xludf.DUMMYFUNCTION("""COMPUTED_VALUE"""),"Snuggle")</f>
        <v>Snuggle</v>
      </c>
      <c r="B425" s="190" t="str">
        <f>IFERROR(__xludf.DUMMYFUNCTION("""COMPUTED_VALUE"""),"Fairy")</f>
        <v>Fairy</v>
      </c>
      <c r="C425" s="190" t="str">
        <f>IFERROR(__xludf.DUMMYFUNCTION("""COMPUTED_VALUE"""),"Physical")</f>
        <v>Physical</v>
      </c>
      <c r="D425" s="190" t="str">
        <f>IFERROR(__xludf.DUMMYFUNCTION("""COMPUTED_VALUE"""),"At-Will")</f>
        <v>At-Will</v>
      </c>
      <c r="E425" s="190" t="str">
        <f>IFERROR(__xludf.DUMMYFUNCTION("""COMPUTED_VALUE"""),"Melee, 1 Target")</f>
        <v>Melee, 1 Target</v>
      </c>
      <c r="F425" s="190">
        <f>IFERROR(__xludf.DUMMYFUNCTION("""COMPUTED_VALUE"""),3.0)</f>
        <v>3</v>
      </c>
      <c r="G425" s="190">
        <f>IFERROR(__xludf.DUMMYFUNCTION("""COMPUTED_VALUE"""),4.0)</f>
        <v>4</v>
      </c>
      <c r="H425" s="191" t="str">
        <f>IFERROR(__xludf.DUMMYFUNCTION("""COMPUTED_VALUE"""),"If the Target is Grappled by the user, they become Entranced while Grappled.")</f>
        <v>If the Target is Grappled by the user, they become Entranced while Grappled.</v>
      </c>
      <c r="I425" s="191" t="str">
        <f>IFERROR(__xludf.DUMMYFUNCTION("""COMPUTED_VALUE"""),"--")</f>
        <v>--</v>
      </c>
      <c r="J425" s="190" t="str">
        <f>IFERROR(__xludf.DUMMYFUNCTION("""COMPUTED_VALUE"""),"Tier 1")</f>
        <v>Tier 1</v>
      </c>
      <c r="K425" s="174" t="b">
        <f>IFERROR(__xludf.DUMMYFUNCTION("""COMPUTED_VALUE"""),TRUE)</f>
        <v>1</v>
      </c>
      <c r="L425" s="174"/>
      <c r="M425" s="174"/>
      <c r="N425" s="174"/>
      <c r="O425" s="174"/>
      <c r="P425" s="174"/>
      <c r="Q425" s="174"/>
      <c r="R425" s="174"/>
      <c r="S425" s="174"/>
      <c r="T425" s="174"/>
      <c r="U425" s="174"/>
      <c r="V425" s="174"/>
      <c r="W425" s="174"/>
      <c r="X425" s="174"/>
      <c r="Y425" s="174"/>
      <c r="Z425" s="174"/>
    </row>
    <row r="426">
      <c r="A426" s="190" t="str">
        <f>IFERROR(__xludf.DUMMYFUNCTION("""COMPUTED_VALUE"""),"Sweet Kiss")</f>
        <v>Sweet Kiss</v>
      </c>
      <c r="B426" s="190" t="str">
        <f>IFERROR(__xludf.DUMMYFUNCTION("""COMPUTED_VALUE"""),"Fairy")</f>
        <v>Fairy</v>
      </c>
      <c r="C426" s="190" t="str">
        <f>IFERROR(__xludf.DUMMYFUNCTION("""COMPUTED_VALUE"""),"Status")</f>
        <v>Status</v>
      </c>
      <c r="D426" s="190" t="str">
        <f>IFERROR(__xludf.DUMMYFUNCTION("""COMPUTED_VALUE"""),"Scene x2")</f>
        <v>Scene x2</v>
      </c>
      <c r="E426" s="190" t="str">
        <f>IFERROR(__xludf.DUMMYFUNCTION("""COMPUTED_VALUE"""),"6, 1 Target, Social, Versatile")</f>
        <v>6, 1 Target, Social, Versatile</v>
      </c>
      <c r="F426" s="190">
        <f>IFERROR(__xludf.DUMMYFUNCTION("""COMPUTED_VALUE"""),5.0)</f>
        <v>5</v>
      </c>
      <c r="G426" s="190" t="str">
        <f>IFERROR(__xludf.DUMMYFUNCTION("""COMPUTED_VALUE"""),"--")</f>
        <v>--</v>
      </c>
      <c r="H426" s="191" t="str">
        <f>IFERROR(__xludf.DUMMYFUNCTION("""COMPUTED_VALUE"""),"The Target becomes Dazed or Entranced of your choice. On a Miss, the Target becomes Vulnerable until the end of the Round. Spirit Surge. ")</f>
        <v>The Target becomes Dazed or Entranced of your choice. On a Miss, the Target becomes Vulnerable until the end of the Round. Spirit Surge. </v>
      </c>
      <c r="I426" s="191" t="str">
        <f>IFERROR(__xludf.DUMMYFUNCTION("""COMPUTED_VALUE"""),"The Target becomes Entranced. When used this way, the Range is changed to Melee, 1 Target")</f>
        <v>The Target becomes Entranced. When used this way, the Range is changed to Melee, 1 Target</v>
      </c>
      <c r="J426" s="190" t="str">
        <f>IFERROR(__xludf.DUMMYFUNCTION("""COMPUTED_VALUE"""),"Tier 2")</f>
        <v>Tier 2</v>
      </c>
      <c r="K426" s="174" t="b">
        <f>IFERROR(__xludf.DUMMYFUNCTION("""COMPUTED_VALUE"""),TRUE)</f>
        <v>1</v>
      </c>
      <c r="L426" s="174"/>
      <c r="M426" s="174"/>
      <c r="N426" s="174"/>
      <c r="O426" s="174"/>
      <c r="P426" s="174"/>
      <c r="Q426" s="174"/>
      <c r="R426" s="174"/>
      <c r="S426" s="174"/>
      <c r="T426" s="174"/>
      <c r="U426" s="174"/>
      <c r="V426" s="174"/>
      <c r="W426" s="174"/>
      <c r="X426" s="174"/>
      <c r="Y426" s="174"/>
      <c r="Z426" s="174"/>
    </row>
    <row r="427">
      <c r="A427" s="190" t="str">
        <f>IFERROR(__xludf.DUMMYFUNCTION("""COMPUTED_VALUE"""),"Sparkling Slam")</f>
        <v>Sparkling Slam</v>
      </c>
      <c r="B427" s="193" t="str">
        <f>IFERROR(__xludf.DUMMYFUNCTION("""COMPUTED_VALUE"""),"Fairy")</f>
        <v>Fairy</v>
      </c>
      <c r="C427" s="193" t="str">
        <f>IFERROR(__xludf.DUMMYFUNCTION("""COMPUTED_VALUE"""),"Physical")</f>
        <v>Physical</v>
      </c>
      <c r="D427" s="190" t="str">
        <f>IFERROR(__xludf.DUMMYFUNCTION("""COMPUTED_VALUE"""),"Scene x2")</f>
        <v>Scene x2</v>
      </c>
      <c r="E427" s="190" t="str">
        <f>IFERROR(__xludf.DUMMYFUNCTION("""COMPUTED_VALUE"""),"Melee, 1 Target, Dash, Recoil 1/3")</f>
        <v>Melee, 1 Target, Dash, Recoil 1/3</v>
      </c>
      <c r="F427" s="190">
        <f>IFERROR(__xludf.DUMMYFUNCTION("""COMPUTED_VALUE"""),4.0)</f>
        <v>4</v>
      </c>
      <c r="G427" s="190">
        <f>IFERROR(__xludf.DUMMYFUNCTION("""COMPUTED_VALUE"""),12.0)</f>
        <v>12</v>
      </c>
      <c r="H427" s="191" t="str">
        <f>IFERROR(__xludf.DUMMYFUNCTION("""COMPUTED_VALUE"""),"If the Dash Keyword is Activated, the Target loses -2 CS in Defense before Damage Calculations.")</f>
        <v>If the Dash Keyword is Activated, the Target loses -2 CS in Defense before Damage Calculations.</v>
      </c>
      <c r="I427" s="191" t="str">
        <f>IFERROR(__xludf.DUMMYFUNCTION("""COMPUTED_VALUE"""),"--")</f>
        <v>--</v>
      </c>
      <c r="J427" s="190" t="str">
        <f>IFERROR(__xludf.DUMMYFUNCTION("""COMPUTED_VALUE"""),"Tier 3")</f>
        <v>Tier 3</v>
      </c>
      <c r="K427" s="174" t="b">
        <f>IFERROR(__xludf.DUMMYFUNCTION("""COMPUTED_VALUE"""),TRUE)</f>
        <v>1</v>
      </c>
      <c r="L427" s="174"/>
      <c r="M427" s="174"/>
      <c r="N427" s="174"/>
      <c r="O427" s="174"/>
      <c r="P427" s="174"/>
      <c r="Q427" s="174"/>
      <c r="R427" s="174"/>
      <c r="S427" s="174"/>
      <c r="T427" s="174"/>
      <c r="U427" s="174"/>
      <c r="V427" s="174"/>
      <c r="W427" s="174"/>
      <c r="X427" s="174"/>
      <c r="Y427" s="174"/>
      <c r="Z427" s="174"/>
    </row>
    <row r="428">
      <c r="A428" s="190" t="str">
        <f>IFERROR(__xludf.DUMMYFUNCTION("""COMPUTED_VALUE"""),"Spellbind")</f>
        <v>Spellbind</v>
      </c>
      <c r="B428" s="193" t="str">
        <f>IFERROR(__xludf.DUMMYFUNCTION("""COMPUTED_VALUE"""),"Fairy")</f>
        <v>Fairy</v>
      </c>
      <c r="C428" s="193" t="str">
        <f>IFERROR(__xludf.DUMMYFUNCTION("""COMPUTED_VALUE"""),"Special")</f>
        <v>Special</v>
      </c>
      <c r="D428" s="190" t="str">
        <f>IFERROR(__xludf.DUMMYFUNCTION("""COMPUTED_VALUE"""),"EOT")</f>
        <v>EOT</v>
      </c>
      <c r="E428" s="190" t="str">
        <f>IFERROR(__xludf.DUMMYFUNCTION("""COMPUTED_VALUE"""),"3, 1 Target")</f>
        <v>3, 1 Target</v>
      </c>
      <c r="F428" s="190">
        <f>IFERROR(__xludf.DUMMYFUNCTION("""COMPUTED_VALUE"""),5.0)</f>
        <v>5</v>
      </c>
      <c r="G428" s="190">
        <f>IFERROR(__xludf.DUMMYFUNCTION("""COMPUTED_VALUE"""),8.0)</f>
        <v>8</v>
      </c>
      <c r="H428" s="191" t="str">
        <f>IFERROR(__xludf.DUMMYFUNCTION("""COMPUTED_VALUE"""),"On a roll of 17+ or on a Miss, choose one of the following for the Target to be unable to do until the end of the Round. Spirit Surge
■ Restore Hit Points
■ Gain Combat Stages
■ Use Reactions")</f>
        <v>On a roll of 17+ or on a Miss, choose one of the following for the Target to be unable to do until the end of the Round. Spirit Surge
■ Restore Hit Points
■ Gain Combat Stages
■ Use Reactions</v>
      </c>
      <c r="I428" s="191" t="str">
        <f>IFERROR(__xludf.DUMMYFUNCTION("""COMPUTED_VALUE"""),"--")</f>
        <v>--</v>
      </c>
      <c r="J428" s="190" t="str">
        <f>IFERROR(__xludf.DUMMYFUNCTION("""COMPUTED_VALUE"""),"Tier 2")</f>
        <v>Tier 2</v>
      </c>
      <c r="K428" s="174" t="b">
        <f>IFERROR(__xludf.DUMMYFUNCTION("""COMPUTED_VALUE"""),TRUE)</f>
        <v>1</v>
      </c>
      <c r="L428" s="174"/>
      <c r="M428" s="174"/>
      <c r="N428" s="174"/>
      <c r="O428" s="174"/>
      <c r="P428" s="174"/>
      <c r="Q428" s="174"/>
      <c r="R428" s="174"/>
      <c r="S428" s="174"/>
      <c r="T428" s="174"/>
      <c r="U428" s="174"/>
      <c r="V428" s="174"/>
      <c r="W428" s="174"/>
      <c r="X428" s="174"/>
      <c r="Y428" s="174"/>
      <c r="Z428" s="174"/>
    </row>
    <row r="429">
      <c r="A429" s="190" t="str">
        <f>IFERROR(__xludf.DUMMYFUNCTION("""COMPUTED_VALUE"""),"Spirit Break")</f>
        <v>Spirit Break</v>
      </c>
      <c r="B429" s="193" t="str">
        <f>IFERROR(__xludf.DUMMYFUNCTION("""COMPUTED_VALUE"""),"Fairy")</f>
        <v>Fairy</v>
      </c>
      <c r="C429" s="193" t="str">
        <f>IFERROR(__xludf.DUMMYFUNCTION("""COMPUTED_VALUE"""),"Physical")</f>
        <v>Physical</v>
      </c>
      <c r="D429" s="190" t="str">
        <f>IFERROR(__xludf.DUMMYFUNCTION("""COMPUTED_VALUE"""),"EOT")</f>
        <v>EOT</v>
      </c>
      <c r="E429" s="190" t="str">
        <f>IFERROR(__xludf.DUMMYFUNCTION("""COMPUTED_VALUE"""),"Melee, 1 Target")</f>
        <v>Melee, 1 Target</v>
      </c>
      <c r="F429" s="190">
        <f>IFERROR(__xludf.DUMMYFUNCTION("""COMPUTED_VALUE"""),3.0)</f>
        <v>3</v>
      </c>
      <c r="G429" s="190">
        <f>IFERROR(__xludf.DUMMYFUNCTION("""COMPUTED_VALUE"""),8.0)</f>
        <v>8</v>
      </c>
      <c r="H429" s="191" t="str">
        <f>IFERROR(__xludf.DUMMYFUNCTION("""COMPUTED_VALUE"""),"If the Target has a negative CS in any Stat, this has the Sureshot Keyword.")</f>
        <v>If the Target has a negative CS in any Stat, this has the Sureshot Keyword.</v>
      </c>
      <c r="I429" s="191" t="str">
        <f>IFERROR(__xludf.DUMMYFUNCTION("""COMPUTED_VALUE"""),"--")</f>
        <v>--</v>
      </c>
      <c r="J429" s="190" t="str">
        <f>IFERROR(__xludf.DUMMYFUNCTION("""COMPUTED_VALUE"""),"Tier 2")</f>
        <v>Tier 2</v>
      </c>
      <c r="K429" s="174" t="b">
        <f>IFERROR(__xludf.DUMMYFUNCTION("""COMPUTED_VALUE"""),TRUE)</f>
        <v>1</v>
      </c>
      <c r="L429" s="174"/>
      <c r="M429" s="174"/>
      <c r="N429" s="174"/>
      <c r="O429" s="174"/>
      <c r="P429" s="174"/>
      <c r="Q429" s="174"/>
      <c r="R429" s="174"/>
      <c r="S429" s="174"/>
      <c r="T429" s="174"/>
      <c r="U429" s="174"/>
      <c r="V429" s="174"/>
      <c r="W429" s="174"/>
      <c r="X429" s="174"/>
      <c r="Y429" s="174"/>
      <c r="Z429" s="174"/>
    </row>
    <row r="430">
      <c r="A430" s="190" t="str">
        <f>IFERROR(__xludf.DUMMYFUNCTION("""COMPUTED_VALUE"""),"Stardust")</f>
        <v>Stardust</v>
      </c>
      <c r="B430" s="193" t="str">
        <f>IFERROR(__xludf.DUMMYFUNCTION("""COMPUTED_VALUE"""),"Fairy")</f>
        <v>Fairy</v>
      </c>
      <c r="C430" s="193" t="str">
        <f>IFERROR(__xludf.DUMMYFUNCTION("""COMPUTED_VALUE"""),"Status")</f>
        <v>Status</v>
      </c>
      <c r="D430" s="190" t="str">
        <f>IFERROR(__xludf.DUMMYFUNCTION("""COMPUTED_VALUE"""),"Scene x2")</f>
        <v>Scene x2</v>
      </c>
      <c r="E430" s="190" t="str">
        <f>IFERROR(__xludf.DUMMYFUNCTION("""COMPUTED_VALUE"""),"Field, Versatile, Weather")</f>
        <v>Field, Versatile, Weather</v>
      </c>
      <c r="F430" s="190" t="str">
        <f>IFERROR(__xludf.DUMMYFUNCTION("""COMPUTED_VALUE"""),"--")</f>
        <v>--</v>
      </c>
      <c r="G430" s="190" t="str">
        <f>IFERROR(__xludf.DUMMYFUNCTION("""COMPUTED_VALUE"""),"--")</f>
        <v>--</v>
      </c>
      <c r="H430" s="191" t="str">
        <f>IFERROR(__xludf.DUMMYFUNCTION("""COMPUTED_VALUE"""),"The Field becomes Stardusted until you Faint. While Stardusted, whenever a Combatant would gain CS, they gain 1 less. Enemies also suffer a -2 to Save Checks. While the Field is Stardusted, you may have the Weather become Mystical. ")</f>
        <v>The Field becomes Stardusted until you Faint. While Stardusted, whenever a Combatant would gain CS, they gain 1 less. Enemies also suffer a -2 to Save Checks. While the Field is Stardusted, you may have the Weather become Mystical. </v>
      </c>
      <c r="I430"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30" s="190" t="str">
        <f>IFERROR(__xludf.DUMMYFUNCTION("""COMPUTED_VALUE"""),"Tier 2")</f>
        <v>Tier 2</v>
      </c>
      <c r="K430" s="174" t="b">
        <f>IFERROR(__xludf.DUMMYFUNCTION("""COMPUTED_VALUE"""),TRUE)</f>
        <v>1</v>
      </c>
      <c r="L430" s="174"/>
      <c r="M430" s="174"/>
      <c r="N430" s="174"/>
      <c r="O430" s="174"/>
      <c r="P430" s="174"/>
      <c r="Q430" s="174"/>
      <c r="R430" s="174"/>
      <c r="S430" s="174"/>
      <c r="T430" s="174"/>
      <c r="U430" s="174"/>
      <c r="V430" s="174"/>
      <c r="W430" s="174"/>
      <c r="X430" s="174"/>
      <c r="Y430" s="174"/>
      <c r="Z430" s="174"/>
    </row>
    <row r="431">
      <c r="A431" s="190" t="str">
        <f>IFERROR(__xludf.DUMMYFUNCTION("""COMPUTED_VALUE"""),"Starfall")</f>
        <v>Starfall</v>
      </c>
      <c r="B431" s="193" t="str">
        <f>IFERROR(__xludf.DUMMYFUNCTION("""COMPUTED_VALUE"""),"Fairy")</f>
        <v>Fairy</v>
      </c>
      <c r="C431" s="193" t="str">
        <f>IFERROR(__xludf.DUMMYFUNCTION("""COMPUTED_VALUE"""),"Special")</f>
        <v>Special</v>
      </c>
      <c r="D431" s="190" t="str">
        <f>IFERROR(__xludf.DUMMYFUNCTION("""COMPUTED_VALUE"""),"Scene x2")</f>
        <v>Scene x2</v>
      </c>
      <c r="E431" s="190" t="str">
        <f>IFERROR(__xludf.DUMMYFUNCTION("""COMPUTED_VALUE"""),"8, Ranged Blast 2, Full Action")</f>
        <v>8, Ranged Blast 2, Full Action</v>
      </c>
      <c r="F431" s="190">
        <f>IFERROR(__xludf.DUMMYFUNCTION("""COMPUTED_VALUE"""),5.0)</f>
        <v>5</v>
      </c>
      <c r="G431" s="190">
        <f>IFERROR(__xludf.DUMMYFUNCTION("""COMPUTED_VALUE"""),10.0)</f>
        <v>10</v>
      </c>
      <c r="H431" s="191" t="str">
        <f>IFERROR(__xludf.DUMMYFUNCTION("""COMPUTED_VALUE"""),"On a roll of 15+, the Target lose -2 CS in Special Defense. If the Weather is Mystical, Starfall has the Smite Keyword.")</f>
        <v>On a roll of 15+, the Target lose -2 CS in Special Defense. If the Weather is Mystical, Starfall has the Smite Keyword.</v>
      </c>
      <c r="I431" s="191" t="str">
        <f>IFERROR(__xludf.DUMMYFUNCTION("""COMPUTED_VALUE"""),"--")</f>
        <v>--</v>
      </c>
      <c r="J431" s="190" t="str">
        <f>IFERROR(__xludf.DUMMYFUNCTION("""COMPUTED_VALUE"""),"Tier 3")</f>
        <v>Tier 3</v>
      </c>
      <c r="K431" s="174" t="b">
        <f>IFERROR(__xludf.DUMMYFUNCTION("""COMPUTED_VALUE"""),TRUE)</f>
        <v>1</v>
      </c>
      <c r="L431" s="174"/>
      <c r="M431" s="174"/>
      <c r="N431" s="174"/>
      <c r="O431" s="174"/>
      <c r="P431" s="174"/>
      <c r="Q431" s="174"/>
      <c r="R431" s="174"/>
      <c r="S431" s="174"/>
      <c r="T431" s="174"/>
      <c r="U431" s="174"/>
      <c r="V431" s="174"/>
      <c r="W431" s="174"/>
      <c r="X431" s="174"/>
      <c r="Y431" s="174"/>
      <c r="Z431" s="174"/>
    </row>
    <row r="432">
      <c r="A432" s="190" t="str">
        <f>IFERROR(__xludf.DUMMYFUNCTION("""COMPUTED_VALUE"""),"Starlight Spark")</f>
        <v>Starlight Spark</v>
      </c>
      <c r="B432" s="193" t="str">
        <f>IFERROR(__xludf.DUMMYFUNCTION("""COMPUTED_VALUE"""),"Fairy")</f>
        <v>Fairy</v>
      </c>
      <c r="C432" s="193" t="str">
        <f>IFERROR(__xludf.DUMMYFUNCTION("""COMPUTED_VALUE"""),"Special")</f>
        <v>Special</v>
      </c>
      <c r="D432" s="190" t="str">
        <f>IFERROR(__xludf.DUMMYFUNCTION("""COMPUTED_VALUE"""),"Scene")</f>
        <v>Scene</v>
      </c>
      <c r="E432" s="190" t="str">
        <f>IFERROR(__xludf.DUMMYFUNCTION("""COMPUTED_VALUE"""),"Line 6, Full Action, Reckless")</f>
        <v>Line 6, Full Action, Reckless</v>
      </c>
      <c r="F432" s="190">
        <f>IFERROR(__xludf.DUMMYFUNCTION("""COMPUTED_VALUE"""),6.0)</f>
        <v>6</v>
      </c>
      <c r="G432" s="190">
        <f>IFERROR(__xludf.DUMMYFUNCTION("""COMPUTED_VALUE"""),15.0)</f>
        <v>15</v>
      </c>
      <c r="H432" s="191" t="str">
        <f>IFERROR(__xludf.DUMMYFUNCTION("""COMPUTED_VALUE"""),"If there is no Mystical Weather on the Field, the user becomes Suppressed after Damage Calculations. Smite, Spirit Surge")</f>
        <v>If there is no Mystical Weather on the Field, the user becomes Suppressed after Damage Calculations. Smite, Spirit Surge</v>
      </c>
      <c r="I432" s="191" t="str">
        <f>IFERROR(__xludf.DUMMYFUNCTION("""COMPUTED_VALUE"""),"--")</f>
        <v>--</v>
      </c>
      <c r="J432" s="190" t="str">
        <f>IFERROR(__xludf.DUMMYFUNCTION("""COMPUTED_VALUE"""),"Tier 3")</f>
        <v>Tier 3</v>
      </c>
      <c r="K432" s="174" t="b">
        <f>IFERROR(__xludf.DUMMYFUNCTION("""COMPUTED_VALUE"""),TRUE)</f>
        <v>1</v>
      </c>
      <c r="L432" s="174"/>
      <c r="M432" s="174"/>
      <c r="N432" s="174"/>
      <c r="O432" s="174"/>
      <c r="P432" s="174"/>
      <c r="Q432" s="174"/>
      <c r="R432" s="174"/>
      <c r="S432" s="174"/>
      <c r="T432" s="174"/>
      <c r="U432" s="174"/>
      <c r="V432" s="174"/>
      <c r="W432" s="174"/>
      <c r="X432" s="174"/>
      <c r="Y432" s="174"/>
      <c r="Z432" s="174"/>
    </row>
    <row r="433">
      <c r="A433" s="190" t="str">
        <f>IFERROR(__xludf.DUMMYFUNCTION("""COMPUTED_VALUE"""),"Star Slash")</f>
        <v>Star Slash</v>
      </c>
      <c r="B433" s="193" t="str">
        <f>IFERROR(__xludf.DUMMYFUNCTION("""COMPUTED_VALUE"""),"Fairy")</f>
        <v>Fairy</v>
      </c>
      <c r="C433" s="193" t="str">
        <f>IFERROR(__xludf.DUMMYFUNCTION("""COMPUTED_VALUE"""),"Physical")</f>
        <v>Physical</v>
      </c>
      <c r="D433" s="190" t="str">
        <f>IFERROR(__xludf.DUMMYFUNCTION("""COMPUTED_VALUE"""),"EOT")</f>
        <v>EOT</v>
      </c>
      <c r="E433" s="190" t="str">
        <f>IFERROR(__xludf.DUMMYFUNCTION("""COMPUTED_VALUE"""),"Melee, Pass")</f>
        <v>Melee, Pass</v>
      </c>
      <c r="F433" s="190">
        <f>IFERROR(__xludf.DUMMYFUNCTION("""COMPUTED_VALUE"""),4.0)</f>
        <v>4</v>
      </c>
      <c r="G433" s="190">
        <f>IFERROR(__xludf.DUMMYFUNCTION("""COMPUTED_VALUE"""),5.0)</f>
        <v>5</v>
      </c>
      <c r="H433" s="191" t="str">
        <f>IFERROR(__xludf.DUMMYFUNCTION("""COMPUTED_VALUE"""),"If this Attack only has one Target, it has the Sureshot Keyword.")</f>
        <v>If this Attack only has one Target, it has the Sureshot Keyword.</v>
      </c>
      <c r="I433" s="191" t="str">
        <f>IFERROR(__xludf.DUMMYFUNCTION("""COMPUTED_VALUE"""),"--")</f>
        <v>--</v>
      </c>
      <c r="J433" s="190" t="str">
        <f>IFERROR(__xludf.DUMMYFUNCTION("""COMPUTED_VALUE"""),"Tier 1")</f>
        <v>Tier 1</v>
      </c>
      <c r="K433" s="174" t="b">
        <f>IFERROR(__xludf.DUMMYFUNCTION("""COMPUTED_VALUE"""),TRUE)</f>
        <v>1</v>
      </c>
      <c r="L433" s="174"/>
      <c r="M433" s="174"/>
      <c r="N433" s="174"/>
      <c r="O433" s="174"/>
      <c r="P433" s="174"/>
      <c r="Q433" s="174"/>
      <c r="R433" s="174"/>
      <c r="S433" s="174"/>
      <c r="T433" s="174"/>
      <c r="U433" s="174"/>
      <c r="V433" s="174"/>
      <c r="W433" s="174"/>
      <c r="X433" s="174"/>
      <c r="Y433" s="174"/>
      <c r="Z433" s="174"/>
    </row>
    <row r="434">
      <c r="A434" s="190" t="str">
        <f>IFERROR(__xludf.DUMMYFUNCTION("""COMPUTED_VALUE"""),"Star Strike")</f>
        <v>Star Strike</v>
      </c>
      <c r="B434" s="193" t="str">
        <f>IFERROR(__xludf.DUMMYFUNCTION("""COMPUTED_VALUE"""),"Fairy")</f>
        <v>Fairy</v>
      </c>
      <c r="C434" s="193" t="str">
        <f>IFERROR(__xludf.DUMMYFUNCTION("""COMPUTED_VALUE"""),"Special")</f>
        <v>Special</v>
      </c>
      <c r="D434" s="190" t="str">
        <f>IFERROR(__xludf.DUMMYFUNCTION("""COMPUTED_VALUE"""),"EOT")</f>
        <v>EOT</v>
      </c>
      <c r="E434" s="190" t="str">
        <f>IFERROR(__xludf.DUMMYFUNCTION("""COMPUTED_VALUE"""),"6, 1 Target ")</f>
        <v>6, 1 Target </v>
      </c>
      <c r="F434" s="190">
        <f>IFERROR(__xludf.DUMMYFUNCTION("""COMPUTED_VALUE"""),3.0)</f>
        <v>3</v>
      </c>
      <c r="G434" s="190">
        <f>IFERROR(__xludf.DUMMYFUNCTION("""COMPUTED_VALUE"""),6.0)</f>
        <v>6</v>
      </c>
      <c r="H434" s="191" t="str">
        <f>IFERROR(__xludf.DUMMYFUNCTION("""COMPUTED_VALUE"""),"If the Weather is Mystical, Star Strike becomes a Ranged Blast 2 Attack and gains the Friendly Keyword.")</f>
        <v>If the Weather is Mystical, Star Strike becomes a Ranged Blast 2 Attack and gains the Friendly Keyword.</v>
      </c>
      <c r="I434" s="191" t="str">
        <f>IFERROR(__xludf.DUMMYFUNCTION("""COMPUTED_VALUE"""),"--")</f>
        <v>--</v>
      </c>
      <c r="J434" s="190" t="str">
        <f>IFERROR(__xludf.DUMMYFUNCTION("""COMPUTED_VALUE"""),"Tier 1")</f>
        <v>Tier 1</v>
      </c>
      <c r="K434" s="174" t="b">
        <f>IFERROR(__xludf.DUMMYFUNCTION("""COMPUTED_VALUE"""),TRUE)</f>
        <v>1</v>
      </c>
      <c r="L434" s="174"/>
      <c r="M434" s="174"/>
      <c r="N434" s="174"/>
      <c r="O434" s="174"/>
      <c r="P434" s="174"/>
      <c r="Q434" s="174"/>
      <c r="R434" s="174"/>
      <c r="S434" s="174"/>
      <c r="T434" s="174"/>
      <c r="U434" s="174"/>
      <c r="V434" s="174"/>
      <c r="W434" s="174"/>
      <c r="X434" s="174"/>
      <c r="Y434" s="174"/>
      <c r="Z434" s="174"/>
    </row>
    <row r="435">
      <c r="A435" s="190" t="str">
        <f>IFERROR(__xludf.DUMMYFUNCTION("""COMPUTED_VALUE"""),"Strange Steam")</f>
        <v>Strange Steam</v>
      </c>
      <c r="B435" s="193" t="str">
        <f>IFERROR(__xludf.DUMMYFUNCTION("""COMPUTED_VALUE"""),"Fairy")</f>
        <v>Fairy</v>
      </c>
      <c r="C435" s="193" t="str">
        <f>IFERROR(__xludf.DUMMYFUNCTION("""COMPUTED_VALUE"""),"Special")</f>
        <v>Special</v>
      </c>
      <c r="D435" s="190" t="str">
        <f>IFERROR(__xludf.DUMMYFUNCTION("""COMPUTED_VALUE"""),"Scene x2")</f>
        <v>Scene x2</v>
      </c>
      <c r="E435" s="190" t="str">
        <f>IFERROR(__xludf.DUMMYFUNCTION("""COMPUTED_VALUE"""),"Burst 1 or Line 4")</f>
        <v>Burst 1 or Line 4</v>
      </c>
      <c r="F435" s="190">
        <f>IFERROR(__xludf.DUMMYFUNCTION("""COMPUTED_VALUE"""),5.0)</f>
        <v>5</v>
      </c>
      <c r="G435" s="190">
        <f>IFERROR(__xludf.DUMMYFUNCTION("""COMPUTED_VALUE"""),8.0)</f>
        <v>8</v>
      </c>
      <c r="H435" s="191" t="str">
        <f>IFERROR(__xludf.DUMMYFUNCTION("""COMPUTED_VALUE"""),"On a roll of 17+, the Target becomes Burned or Dazed.")</f>
        <v>On a roll of 17+, the Target becomes Burned or Dazed.</v>
      </c>
      <c r="I435" s="191" t="str">
        <f>IFERROR(__xludf.DUMMYFUNCTION("""COMPUTED_VALUE"""),"--")</f>
        <v>--</v>
      </c>
      <c r="J435" s="190" t="str">
        <f>IFERROR(__xludf.DUMMYFUNCTION("""COMPUTED_VALUE"""),"Tier 2")</f>
        <v>Tier 2</v>
      </c>
      <c r="K435" s="174" t="b">
        <f>IFERROR(__xludf.DUMMYFUNCTION("""COMPUTED_VALUE"""),TRUE)</f>
        <v>1</v>
      </c>
      <c r="L435" s="174"/>
      <c r="M435" s="174"/>
      <c r="N435" s="174"/>
      <c r="O435" s="174"/>
      <c r="P435" s="174"/>
      <c r="Q435" s="174"/>
      <c r="R435" s="174"/>
      <c r="S435" s="174"/>
      <c r="T435" s="174"/>
      <c r="U435" s="174"/>
      <c r="V435" s="174"/>
      <c r="W435" s="174"/>
      <c r="X435" s="174"/>
      <c r="Y435" s="174"/>
      <c r="Z435" s="174"/>
    </row>
    <row r="436">
      <c r="A436" s="190" t="str">
        <f>IFERROR(__xludf.DUMMYFUNCTION("""COMPUTED_VALUE"""),"Sweet Splash")</f>
        <v>Sweet Splash</v>
      </c>
      <c r="B436" s="190" t="str">
        <f>IFERROR(__xludf.DUMMYFUNCTION("""COMPUTED_VALUE"""),"Fairy")</f>
        <v>Fairy</v>
      </c>
      <c r="C436" s="190" t="str">
        <f>IFERROR(__xludf.DUMMYFUNCTION("""COMPUTED_VALUE"""),"Special")</f>
        <v>Special</v>
      </c>
      <c r="D436" s="190" t="str">
        <f>IFERROR(__xludf.DUMMYFUNCTION("""COMPUTED_VALUE"""),"EOT")</f>
        <v>EOT</v>
      </c>
      <c r="E436" s="190" t="str">
        <f>IFERROR(__xludf.DUMMYFUNCTION("""COMPUTED_VALUE"""),"8, 1 Target")</f>
        <v>8, 1 Target</v>
      </c>
      <c r="F436" s="190">
        <f>IFERROR(__xludf.DUMMYFUNCTION("""COMPUTED_VALUE"""),4.0)</f>
        <v>4</v>
      </c>
      <c r="G436" s="190">
        <f>IFERROR(__xludf.DUMMYFUNCTION("""COMPUTED_VALUE"""),8.0)</f>
        <v>8</v>
      </c>
      <c r="H436" s="191" t="str">
        <f>IFERROR(__xludf.DUMMYFUNCTION("""COMPUTED_VALUE"""),"If the Target is Entranced or Poisoned, Sweet Splash ignores Damage Reduction and cannot be Resisted. Smite")</f>
        <v>If the Target is Entranced or Poisoned, Sweet Splash ignores Damage Reduction and cannot be Resisted. Smite</v>
      </c>
      <c r="I436" s="191" t="str">
        <f>IFERROR(__xludf.DUMMYFUNCTION("""COMPUTED_VALUE"""),"--")</f>
        <v>--</v>
      </c>
      <c r="J436" s="190" t="str">
        <f>IFERROR(__xludf.DUMMYFUNCTION("""COMPUTED_VALUE"""),"Tier 2")</f>
        <v>Tier 2</v>
      </c>
      <c r="K436" s="174" t="b">
        <f>IFERROR(__xludf.DUMMYFUNCTION("""COMPUTED_VALUE"""),TRUE)</f>
        <v>1</v>
      </c>
      <c r="L436" s="174"/>
      <c r="M436" s="174"/>
      <c r="N436" s="174"/>
      <c r="O436" s="174"/>
      <c r="P436" s="174"/>
      <c r="Q436" s="174"/>
      <c r="R436" s="174"/>
      <c r="S436" s="174"/>
      <c r="T436" s="174"/>
      <c r="U436" s="174"/>
      <c r="V436" s="174"/>
      <c r="W436" s="174"/>
      <c r="X436" s="174"/>
      <c r="Y436" s="174"/>
      <c r="Z436" s="174"/>
    </row>
    <row r="437">
      <c r="A437" s="190" t="str">
        <f>IFERROR(__xludf.DUMMYFUNCTION("""COMPUTED_VALUE"""),"Wish")</f>
        <v>Wish</v>
      </c>
      <c r="B437" s="190" t="str">
        <f>IFERROR(__xludf.DUMMYFUNCTION("""COMPUTED_VALUE"""),"Fairy")</f>
        <v>Fairy</v>
      </c>
      <c r="C437" s="190" t="str">
        <f>IFERROR(__xludf.DUMMYFUNCTION("""COMPUTED_VALUE"""),"Status")</f>
        <v>Status</v>
      </c>
      <c r="D437" s="190" t="str">
        <f>IFERROR(__xludf.DUMMYFUNCTION("""COMPUTED_VALUE"""),"Scene x2")</f>
        <v>Scene x2</v>
      </c>
      <c r="E437" s="190" t="str">
        <f>IFERROR(__xludf.DUMMYFUNCTION("""COMPUTED_VALUE"""),"10, 1 Target or Self; Coat, Healing")</f>
        <v>10, 1 Target or Self; Coat, Healing</v>
      </c>
      <c r="F437" s="190" t="str">
        <f>IFERROR(__xludf.DUMMYFUNCTION("""COMPUTED_VALUE"""),"--")</f>
        <v>--</v>
      </c>
      <c r="G437" s="190" t="str">
        <f>IFERROR(__xludf.DUMMYFUNCTION("""COMPUTED_VALUE"""),"--")</f>
        <v>--</v>
      </c>
      <c r="H437" s="191" t="str">
        <f>IFERROR(__xludf.DUMMYFUNCTION("""COMPUTED_VALUE"""),"The Target gains a Wish Coat. The Coat may be expended as a Full Action by them to have the user restore 5 Ticks of Hit Points and become cured of all Status Afflictions. If a Combatant with a Wish Coat would faint while they have at least 10% Max HP, the"&amp;" Coat is expended and they are set to 1 Hit Point.")</f>
        <v>The Target gains a Wish Coat. The Coat may be expended as a Full Action by them to have the user restore 5 Ticks of Hit Points and become cured of all Status Afflictions. If a Combatant with a Wish Coat would faint while they have at least 10% Max HP, the Coat is expended and they are set to 1 Hit Point.</v>
      </c>
      <c r="I437" s="191" t="str">
        <f>IFERROR(__xludf.DUMMYFUNCTION("""COMPUTED_VALUE"""),"--")</f>
        <v>--</v>
      </c>
      <c r="J437" s="190" t="str">
        <f>IFERROR(__xludf.DUMMYFUNCTION("""COMPUTED_VALUE"""),"Tier 2")</f>
        <v>Tier 2</v>
      </c>
      <c r="K437" s="174" t="b">
        <f>IFERROR(__xludf.DUMMYFUNCTION("""COMPUTED_VALUE"""),TRUE)</f>
        <v>1</v>
      </c>
      <c r="L437" s="174"/>
      <c r="M437" s="174"/>
      <c r="N437" s="174"/>
      <c r="O437" s="174"/>
      <c r="P437" s="174"/>
      <c r="Q437" s="174"/>
      <c r="R437" s="174"/>
      <c r="S437" s="174"/>
      <c r="T437" s="174"/>
      <c r="U437" s="174"/>
      <c r="V437" s="174"/>
      <c r="W437" s="174"/>
      <c r="X437" s="174"/>
      <c r="Y437" s="174"/>
      <c r="Z437" s="174"/>
    </row>
    <row r="438">
      <c r="A438" s="190" t="str">
        <f>IFERROR(__xludf.DUMMYFUNCTION("""COMPUTED_VALUE"""),"Adrenaline Boost")</f>
        <v>Adrenaline Boost</v>
      </c>
      <c r="B438" s="190" t="str">
        <f>IFERROR(__xludf.DUMMYFUNCTION("""COMPUTED_VALUE"""),"Fighting")</f>
        <v>Fighting</v>
      </c>
      <c r="C438" s="190" t="str">
        <f>IFERROR(__xludf.DUMMYFUNCTION("""COMPUTED_VALUE"""),"Status")</f>
        <v>Status</v>
      </c>
      <c r="D438" s="190" t="str">
        <f>IFERROR(__xludf.DUMMYFUNCTION("""COMPUTED_VALUE"""),"Scene x2")</f>
        <v>Scene x2</v>
      </c>
      <c r="E438" s="190" t="str">
        <f>IFERROR(__xludf.DUMMYFUNCTION("""COMPUTED_VALUE"""),"Self, Versatile")</f>
        <v>Self, Versatile</v>
      </c>
      <c r="F438" s="190" t="str">
        <f>IFERROR(__xludf.DUMMYFUNCTION("""COMPUTED_VALUE"""),"--")</f>
        <v>--</v>
      </c>
      <c r="G438" s="190" t="str">
        <f>IFERROR(__xludf.DUMMYFUNCTION("""COMPUTED_VALUE"""),"--")</f>
        <v>--</v>
      </c>
      <c r="H438" s="191" t="str">
        <f>IFERROR(__xludf.DUMMYFUNCTION("""COMPUTED_VALUE"""),"This Attack may be used even if the user is Enraged. Choose 2 different Effects to apply. The user gains +2 CS in Attack. The user gains +2 CS in Speed. The user gains +2 Crit Range. The user gains 2 Ticks of Temporary Hit Points.")</f>
        <v>This Attack may be used even if the user is Enraged. Choose 2 different Effects to apply. The user gains +2 CS in Attack. The user gains +2 CS in Speed. The user gains +2 Crit Range. The user gains 2 Ticks of Temporary Hit Points.</v>
      </c>
      <c r="I438" s="191" t="str">
        <f>IFERROR(__xludf.DUMMYFUNCTION("""COMPUTED_VALUE"""),"Choose Attack, Defense or Speed to gain +1 CS in. This Attack may be used even if the user is Enraged.")</f>
        <v>Choose Attack, Defense or Speed to gain +1 CS in. This Attack may be used even if the user is Enraged.</v>
      </c>
      <c r="J438" s="190" t="str">
        <f>IFERROR(__xludf.DUMMYFUNCTION("""COMPUTED_VALUE"""),"Tier 2")</f>
        <v>Tier 2</v>
      </c>
      <c r="K438" s="174" t="b">
        <f>IFERROR(__xludf.DUMMYFUNCTION("""COMPUTED_VALUE"""),TRUE)</f>
        <v>1</v>
      </c>
      <c r="L438" s="174"/>
      <c r="M438" s="174"/>
      <c r="N438" s="174"/>
      <c r="O438" s="174"/>
      <c r="P438" s="174"/>
      <c r="Q438" s="174"/>
      <c r="R438" s="174"/>
      <c r="S438" s="174"/>
      <c r="T438" s="174"/>
      <c r="U438" s="174"/>
      <c r="V438" s="174"/>
      <c r="W438" s="174"/>
      <c r="X438" s="174"/>
      <c r="Y438" s="174"/>
      <c r="Z438" s="174"/>
    </row>
    <row r="439">
      <c r="A439" s="190" t="str">
        <f>IFERROR(__xludf.DUMMYFUNCTION("""COMPUTED_VALUE"""),"Arm Thrust")</f>
        <v>Arm Thrust</v>
      </c>
      <c r="B439" s="190" t="str">
        <f>IFERROR(__xludf.DUMMYFUNCTION("""COMPUTED_VALUE"""),"Fighting")</f>
        <v>Fighting</v>
      </c>
      <c r="C439" s="190" t="str">
        <f>IFERROR(__xludf.DUMMYFUNCTION("""COMPUTED_VALUE"""),"Physical")</f>
        <v>Physical</v>
      </c>
      <c r="D439" s="190" t="str">
        <f>IFERROR(__xludf.DUMMYFUNCTION("""COMPUTED_VALUE"""),"EOT")</f>
        <v>EOT</v>
      </c>
      <c r="E439" s="190" t="str">
        <f>IFERROR(__xludf.DUMMYFUNCTION("""COMPUTED_VALUE"""),"Melee, 1 Target")</f>
        <v>Melee, 1 Target</v>
      </c>
      <c r="F439" s="190">
        <f>IFERROR(__xludf.DUMMYFUNCTION("""COMPUTED_VALUE"""),4.0)</f>
        <v>4</v>
      </c>
      <c r="G439" s="190">
        <f>IFERROR(__xludf.DUMMYFUNCTION("""COMPUTED_VALUE"""),4.0)</f>
        <v>4</v>
      </c>
      <c r="H439" s="191" t="str">
        <f>IFERROR(__xludf.DUMMYFUNCTION("""COMPUTED_VALUE"""),"If Arm Thrust hits at least 4 times, the Target becomes Vulnerable for the rest of the Round. Five Strike")</f>
        <v>If Arm Thrust hits at least 4 times, the Target becomes Vulnerable for the rest of the Round. Five Strike</v>
      </c>
      <c r="I439" s="191" t="str">
        <f>IFERROR(__xludf.DUMMYFUNCTION("""COMPUTED_VALUE"""),"--")</f>
        <v>--</v>
      </c>
      <c r="J439" s="190" t="str">
        <f>IFERROR(__xludf.DUMMYFUNCTION("""COMPUTED_VALUE"""),"Tier 1")</f>
        <v>Tier 1</v>
      </c>
      <c r="K439" s="174" t="b">
        <f>IFERROR(__xludf.DUMMYFUNCTION("""COMPUTED_VALUE"""),TRUE)</f>
        <v>1</v>
      </c>
      <c r="L439" s="174"/>
      <c r="M439" s="174"/>
      <c r="N439" s="174"/>
      <c r="O439" s="174"/>
      <c r="P439" s="174"/>
      <c r="Q439" s="174"/>
      <c r="R439" s="174"/>
      <c r="S439" s="174"/>
      <c r="T439" s="174"/>
      <c r="U439" s="174"/>
      <c r="V439" s="174"/>
      <c r="W439" s="174"/>
      <c r="X439" s="174"/>
      <c r="Y439" s="174"/>
      <c r="Z439" s="174"/>
    </row>
    <row r="440">
      <c r="A440" s="190" t="str">
        <f>IFERROR(__xludf.DUMMYFUNCTION("""COMPUTED_VALUE"""),"Aura Blast")</f>
        <v>Aura Blast</v>
      </c>
      <c r="B440" s="190" t="str">
        <f>IFERROR(__xludf.DUMMYFUNCTION("""COMPUTED_VALUE"""),"Fighting")</f>
        <v>Fighting</v>
      </c>
      <c r="C440" s="190" t="str">
        <f>IFERROR(__xludf.DUMMYFUNCTION("""COMPUTED_VALUE"""),"Special")</f>
        <v>Special</v>
      </c>
      <c r="D440" s="190" t="str">
        <f>IFERROR(__xludf.DUMMYFUNCTION("""COMPUTED_VALUE"""),"EOT")</f>
        <v>EOT</v>
      </c>
      <c r="E440" s="190" t="str">
        <f>IFERROR(__xludf.DUMMYFUNCTION("""COMPUTED_VALUE"""),"6, Ranged Blast 2, Aura")</f>
        <v>6, Ranged Blast 2, Aura</v>
      </c>
      <c r="F440" s="190">
        <f>IFERROR(__xludf.DUMMYFUNCTION("""COMPUTED_VALUE"""),5.0)</f>
        <v>5</v>
      </c>
      <c r="G440" s="190">
        <f>IFERROR(__xludf.DUMMYFUNCTION("""COMPUTED_VALUE"""),5.0)</f>
        <v>5</v>
      </c>
      <c r="H440" s="191" t="str">
        <f>IFERROR(__xludf.DUMMYFUNCTION("""COMPUTED_VALUE"""),"This Attack may also be used as a Full Action to treat the Range as if it were Close Blast 3 or as if it had the Smite Keyword.")</f>
        <v>This Attack may also be used as a Full Action to treat the Range as if it were Close Blast 3 or as if it had the Smite Keyword.</v>
      </c>
      <c r="I440" s="191" t="str">
        <f>IFERROR(__xludf.DUMMYFUNCTION("""COMPUTED_VALUE"""),"--")</f>
        <v>--</v>
      </c>
      <c r="J440" s="190" t="str">
        <f>IFERROR(__xludf.DUMMYFUNCTION("""COMPUTED_VALUE"""),"Tier 1")</f>
        <v>Tier 1</v>
      </c>
      <c r="K440" s="174" t="b">
        <f>IFERROR(__xludf.DUMMYFUNCTION("""COMPUTED_VALUE"""),TRUE)</f>
        <v>1</v>
      </c>
      <c r="L440" s="174"/>
      <c r="M440" s="174"/>
      <c r="N440" s="174"/>
      <c r="O440" s="174"/>
      <c r="P440" s="174"/>
      <c r="Q440" s="174"/>
      <c r="R440" s="174"/>
      <c r="S440" s="174"/>
      <c r="T440" s="174"/>
      <c r="U440" s="174"/>
      <c r="V440" s="174"/>
      <c r="W440" s="174"/>
      <c r="X440" s="174"/>
      <c r="Y440" s="174"/>
      <c r="Z440" s="174"/>
    </row>
    <row r="441">
      <c r="A441" s="190" t="str">
        <f>IFERROR(__xludf.DUMMYFUNCTION("""COMPUTED_VALUE"""),"Aura Burst")</f>
        <v>Aura Burst</v>
      </c>
      <c r="B441" s="190" t="str">
        <f>IFERROR(__xludf.DUMMYFUNCTION("""COMPUTED_VALUE"""),"Fighting")</f>
        <v>Fighting</v>
      </c>
      <c r="C441" s="190" t="str">
        <f>IFERROR(__xludf.DUMMYFUNCTION("""COMPUTED_VALUE"""),"Special")</f>
        <v>Special</v>
      </c>
      <c r="D441" s="190" t="str">
        <f>IFERROR(__xludf.DUMMYFUNCTION("""COMPUTED_VALUE"""),"Scene")</f>
        <v>Scene</v>
      </c>
      <c r="E441" s="190" t="str">
        <f>IFERROR(__xludf.DUMMYFUNCTION("""COMPUTED_VALUE"""),"Burst 1, Set-Up, Aura")</f>
        <v>Burst 1, Set-Up, Aura</v>
      </c>
      <c r="F441" s="190">
        <f>IFERROR(__xludf.DUMMYFUNCTION("""COMPUTED_VALUE"""),6.0)</f>
        <v>6</v>
      </c>
      <c r="G441" s="190">
        <f>IFERROR(__xludf.DUMMYFUNCTION("""COMPUTED_VALUE"""),10.0)</f>
        <v>10</v>
      </c>
      <c r="H441" s="191" t="str">
        <f>IFERROR(__xludf.DUMMYFUNCTION("""COMPUTED_VALUE"""),"Charge Effect: If you used an Aura or Self Attack this Round, gain 2 Charge Tokens instead. 
Resolution Effect: For every Charge Token expended you may either increase the Burst by +1, the DB by +2 or the AC by -1. If the Burst is 3 or higher, this has th"&amp;"e Recoil 1/2  Keyword. ")</f>
        <v>Charge Effect: If you used an Aura or Self Attack this Round, gain 2 Charge Tokens instead. 
Resolution Effect: For every Charge Token expended you may either increase the Burst by +1, the DB by +2 or the AC by -1. If the Burst is 3 or higher, this has the Recoil 1/2  Keyword. </v>
      </c>
      <c r="I441" s="191" t="str">
        <f>IFERROR(__xludf.DUMMYFUNCTION("""COMPUTED_VALUE"""),"--")</f>
        <v>--</v>
      </c>
      <c r="J441" s="190" t="str">
        <f>IFERROR(__xludf.DUMMYFUNCTION("""COMPUTED_VALUE"""),"Tier 2")</f>
        <v>Tier 2</v>
      </c>
      <c r="K441" s="174" t="b">
        <f>IFERROR(__xludf.DUMMYFUNCTION("""COMPUTED_VALUE"""),TRUE)</f>
        <v>1</v>
      </c>
      <c r="L441" s="174"/>
      <c r="M441" s="174"/>
      <c r="N441" s="174"/>
      <c r="O441" s="174"/>
      <c r="P441" s="174"/>
      <c r="Q441" s="174"/>
      <c r="R441" s="174"/>
      <c r="S441" s="174"/>
      <c r="T441" s="174"/>
      <c r="U441" s="174"/>
      <c r="V441" s="174"/>
      <c r="W441" s="174"/>
      <c r="X441" s="174"/>
      <c r="Y441" s="174"/>
      <c r="Z441" s="174"/>
    </row>
    <row r="442">
      <c r="A442" s="190" t="str">
        <f>IFERROR(__xludf.DUMMYFUNCTION("""COMPUTED_VALUE"""),"Aura Sphere")</f>
        <v>Aura Sphere</v>
      </c>
      <c r="B442" s="190" t="str">
        <f>IFERROR(__xludf.DUMMYFUNCTION("""COMPUTED_VALUE"""),"Fighting")</f>
        <v>Fighting</v>
      </c>
      <c r="C442" s="190" t="str">
        <f>IFERROR(__xludf.DUMMYFUNCTION("""COMPUTED_VALUE"""),"Special")</f>
        <v>Special</v>
      </c>
      <c r="D442" s="190" t="str">
        <f>IFERROR(__xludf.DUMMYFUNCTION("""COMPUTED_VALUE"""),"EOT")</f>
        <v>EOT</v>
      </c>
      <c r="E442" s="190" t="str">
        <f>IFERROR(__xludf.DUMMYFUNCTION("""COMPUTED_VALUE"""),"8, 1 Target, Set-Up, Aura")</f>
        <v>8, 1 Target, Set-Up, Aura</v>
      </c>
      <c r="F442" s="190">
        <f>IFERROR(__xludf.DUMMYFUNCTION("""COMPUTED_VALUE"""),4.0)</f>
        <v>4</v>
      </c>
      <c r="G442" s="190">
        <f>IFERROR(__xludf.DUMMYFUNCTION("""COMPUTED_VALUE"""),8.0)</f>
        <v>8</v>
      </c>
      <c r="H442" s="191" t="str">
        <f>IFERROR(__xludf.DUMMYFUNCTION("""COMPUTED_VALUE"""),"Charge Effect: If you used an Aura or Self Attack this Round, gain 2 Charge Tokens instead. 
Resolution Effect: This Attack may ignore the Set-Up Keyword if desired and be used without expending Charge Tokens. This Attack has a +1 bonus to Crit Range for "&amp;"each Charge Token expended. If you expend at least 3 Charge Tokens, this has the Sureshot Keyword.")</f>
        <v>Charge Effect: If you used an Aura or Self Attack this Round, gain 2 Charge Tokens instead. 
Resolution Effect: This Attack may ignore the Set-Up Keyword if desired and be used without expending Charge Tokens. This Attack has a +1 bonus to Crit Range for each Charge Token expended. If you expend at least 3 Charge Tokens, this has the Sureshot Keyword.</v>
      </c>
      <c r="I442" s="191" t="str">
        <f>IFERROR(__xludf.DUMMYFUNCTION("""COMPUTED_VALUE"""),"--")</f>
        <v>--</v>
      </c>
      <c r="J442" s="190" t="str">
        <f>IFERROR(__xludf.DUMMYFUNCTION("""COMPUTED_VALUE"""),"Tier 2")</f>
        <v>Tier 2</v>
      </c>
      <c r="K442" s="174" t="b">
        <f>IFERROR(__xludf.DUMMYFUNCTION("""COMPUTED_VALUE"""),TRUE)</f>
        <v>1</v>
      </c>
      <c r="L442" s="174"/>
      <c r="M442" s="174"/>
      <c r="N442" s="174"/>
      <c r="O442" s="174"/>
      <c r="P442" s="174"/>
      <c r="Q442" s="174"/>
      <c r="R442" s="174"/>
      <c r="S442" s="174"/>
      <c r="T442" s="174"/>
      <c r="U442" s="174"/>
      <c r="V442" s="174"/>
      <c r="W442" s="174"/>
      <c r="X442" s="174"/>
      <c r="Y442" s="174"/>
      <c r="Z442" s="174"/>
    </row>
    <row r="443">
      <c r="A443" s="190" t="str">
        <f>IFERROR(__xludf.DUMMYFUNCTION("""COMPUTED_VALUE"""),"Aura Tempest")</f>
        <v>Aura Tempest</v>
      </c>
      <c r="B443" s="190" t="str">
        <f>IFERROR(__xludf.DUMMYFUNCTION("""COMPUTED_VALUE"""),"Fighting")</f>
        <v>Fighting</v>
      </c>
      <c r="C443" s="190" t="str">
        <f>IFERROR(__xludf.DUMMYFUNCTION("""COMPUTED_VALUE"""),"Status")</f>
        <v>Status</v>
      </c>
      <c r="D443" s="190" t="str">
        <f>IFERROR(__xludf.DUMMYFUNCTION("""COMPUTED_VALUE"""),"Scene x2")</f>
        <v>Scene x2</v>
      </c>
      <c r="E443" s="190" t="str">
        <f>IFERROR(__xludf.DUMMYFUNCTION("""COMPUTED_VALUE"""),"Field, Versatile")</f>
        <v>Field, Versatile</v>
      </c>
      <c r="F443" s="190" t="str">
        <f>IFERROR(__xludf.DUMMYFUNCTION("""COMPUTED_VALUE"""),"--")</f>
        <v>--</v>
      </c>
      <c r="G443" s="190" t="str">
        <f>IFERROR(__xludf.DUMMYFUNCTION("""COMPUTED_VALUE"""),"--")</f>
        <v>--</v>
      </c>
      <c r="H443" s="191" t="str">
        <f>IFERROR(__xludf.DUMMYFUNCTION("""COMPUTED_VALUE"""),"The Field becomes Aurized for the next 5 Rounds. While the Field is Aurized, non Fighting Type Enemies lose a Tick of Hit Points at the start of their Turn and Fighting Type Pokemon gain a Tick of Temporary Hit Points at the start of their Turn.")</f>
        <v>The Field becomes Aurized for the next 5 Rounds. While the Field is Aurized, non Fighting Type Enemies lose a Tick of Hit Points at the start of their Turn and Fighting Type Pokemon gain a Tick of Temporary Hit Points at the start of their Turn.</v>
      </c>
      <c r="I443"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43" s="190" t="str">
        <f>IFERROR(__xludf.DUMMYFUNCTION("""COMPUTED_VALUE"""),"Tier 2")</f>
        <v>Tier 2</v>
      </c>
      <c r="K443" s="174" t="b">
        <f>IFERROR(__xludf.DUMMYFUNCTION("""COMPUTED_VALUE"""),TRUE)</f>
        <v>1</v>
      </c>
      <c r="L443" s="174"/>
      <c r="M443" s="174"/>
      <c r="N443" s="174"/>
      <c r="O443" s="174"/>
      <c r="P443" s="174"/>
      <c r="Q443" s="174"/>
      <c r="R443" s="174"/>
      <c r="S443" s="174"/>
      <c r="T443" s="174"/>
      <c r="U443" s="174"/>
      <c r="V443" s="174"/>
      <c r="W443" s="174"/>
      <c r="X443" s="174"/>
      <c r="Y443" s="174"/>
      <c r="Z443" s="174"/>
    </row>
    <row r="444">
      <c r="A444" s="190" t="str">
        <f>IFERROR(__xludf.DUMMYFUNCTION("""COMPUTED_VALUE"""),"Axe Kick")</f>
        <v>Axe Kick</v>
      </c>
      <c r="B444" s="190" t="str">
        <f>IFERROR(__xludf.DUMMYFUNCTION("""COMPUTED_VALUE"""),"Fighting")</f>
        <v>Fighting</v>
      </c>
      <c r="C444" s="190" t="str">
        <f>IFERROR(__xludf.DUMMYFUNCTION("""COMPUTED_VALUE"""),"Physical")</f>
        <v>Physical</v>
      </c>
      <c r="D444" s="190" t="str">
        <f>IFERROR(__xludf.DUMMYFUNCTION("""COMPUTED_VALUE"""),"Scene x2")</f>
        <v>Scene x2</v>
      </c>
      <c r="E444" s="190" t="str">
        <f>IFERROR(__xludf.DUMMYFUNCTION("""COMPUTED_VALUE"""),"Melee, 1 Target, Reckless")</f>
        <v>Melee, 1 Target, Reckless</v>
      </c>
      <c r="F444" s="190">
        <f>IFERROR(__xludf.DUMMYFUNCTION("""COMPUTED_VALUE"""),3.0)</f>
        <v>3</v>
      </c>
      <c r="G444" s="190">
        <f>IFERROR(__xludf.DUMMYFUNCTION("""COMPUTED_VALUE"""),12.0)</f>
        <v>12</v>
      </c>
      <c r="H444" s="191" t="str">
        <f>IFERROR(__xludf.DUMMYFUNCTION("""COMPUTED_VALUE"""),"If Axe Kick misses, the user loses Hit Points equal to 1/4th of their Max Hit Points. On a roll of 15+, the Target becomes Dazed. A failure to hit due to an Attack with the Shield keyword does not count as a miss. ")</f>
        <v>If Axe Kick misses, the user loses Hit Points equal to 1/4th of their Max Hit Points. On a roll of 15+, the Target becomes Dazed. A failure to hit due to an Attack with the Shield keyword does not count as a miss. </v>
      </c>
      <c r="I444" s="191" t="str">
        <f>IFERROR(__xludf.DUMMYFUNCTION("""COMPUTED_VALUE"""),"--")</f>
        <v>--</v>
      </c>
      <c r="J444" s="190" t="str">
        <f>IFERROR(__xludf.DUMMYFUNCTION("""COMPUTED_VALUE"""),"Tier 3")</f>
        <v>Tier 3</v>
      </c>
      <c r="K444" s="174" t="b">
        <f>IFERROR(__xludf.DUMMYFUNCTION("""COMPUTED_VALUE"""),TRUE)</f>
        <v>1</v>
      </c>
      <c r="L444" s="174"/>
      <c r="M444" s="174"/>
      <c r="N444" s="174"/>
      <c r="O444" s="174"/>
      <c r="P444" s="174"/>
      <c r="Q444" s="174"/>
      <c r="R444" s="174"/>
      <c r="S444" s="174"/>
      <c r="T444" s="174"/>
      <c r="U444" s="174"/>
      <c r="V444" s="174"/>
      <c r="W444" s="174"/>
      <c r="X444" s="174"/>
      <c r="Y444" s="174"/>
      <c r="Z444" s="174"/>
    </row>
    <row r="445">
      <c r="A445" s="190" t="str">
        <f>IFERROR(__xludf.DUMMYFUNCTION("""COMPUTED_VALUE"""),"Body Press")</f>
        <v>Body Press</v>
      </c>
      <c r="B445" s="190" t="str">
        <f>IFERROR(__xludf.DUMMYFUNCTION("""COMPUTED_VALUE"""),"Fighting")</f>
        <v>Fighting</v>
      </c>
      <c r="C445" s="190" t="str">
        <f>IFERROR(__xludf.DUMMYFUNCTION("""COMPUTED_VALUE"""),"Physical")</f>
        <v>Physical</v>
      </c>
      <c r="D445" s="190" t="str">
        <f>IFERROR(__xludf.DUMMYFUNCTION("""COMPUTED_VALUE"""),"EOT")</f>
        <v>EOT</v>
      </c>
      <c r="E445" s="190" t="str">
        <f>IFERROR(__xludf.DUMMYFUNCTION("""COMPUTED_VALUE"""),"Melee, 1 Target")</f>
        <v>Melee, 1 Target</v>
      </c>
      <c r="F445" s="190">
        <f>IFERROR(__xludf.DUMMYFUNCTION("""COMPUTED_VALUE"""),3.0)</f>
        <v>3</v>
      </c>
      <c r="G445" s="190">
        <f>IFERROR(__xludf.DUMMYFUNCTION("""COMPUTED_VALUE"""),8.0)</f>
        <v>8</v>
      </c>
      <c r="H445" s="191" t="str">
        <f>IFERROR(__xludf.DUMMYFUNCTION("""COMPUTED_VALUE"""),"The user may use their Defense as the Offensive Stat for this Attack instead of Attack.")</f>
        <v>The user may use their Defense as the Offensive Stat for this Attack instead of Attack.</v>
      </c>
      <c r="I445" s="191" t="str">
        <f>IFERROR(__xludf.DUMMYFUNCTION("""COMPUTED_VALUE"""),"--")</f>
        <v>--</v>
      </c>
      <c r="J445" s="190" t="str">
        <f>IFERROR(__xludf.DUMMYFUNCTION("""COMPUTED_VALUE"""),"Tier 2")</f>
        <v>Tier 2</v>
      </c>
      <c r="K445" s="174" t="b">
        <f>IFERROR(__xludf.DUMMYFUNCTION("""COMPUTED_VALUE"""),TRUE)</f>
        <v>1</v>
      </c>
      <c r="L445" s="174"/>
      <c r="M445" s="174"/>
      <c r="N445" s="174"/>
      <c r="O445" s="174"/>
      <c r="P445" s="174"/>
      <c r="Q445" s="174"/>
      <c r="R445" s="174"/>
      <c r="S445" s="174"/>
      <c r="T445" s="174"/>
      <c r="U445" s="174"/>
      <c r="V445" s="174"/>
      <c r="W445" s="174"/>
      <c r="X445" s="174"/>
      <c r="Y445" s="174"/>
      <c r="Z445" s="174"/>
    </row>
    <row r="446">
      <c r="A446" s="190" t="str">
        <f>IFERROR(__xludf.DUMMYFUNCTION("""COMPUTED_VALUE"""),"Brick Break")</f>
        <v>Brick Break</v>
      </c>
      <c r="B446" s="190" t="str">
        <f>IFERROR(__xludf.DUMMYFUNCTION("""COMPUTED_VALUE"""),"Fighting")</f>
        <v>Fighting</v>
      </c>
      <c r="C446" s="190" t="str">
        <f>IFERROR(__xludf.DUMMYFUNCTION("""COMPUTED_VALUE"""),"Physical")</f>
        <v>Physical</v>
      </c>
      <c r="D446" s="190" t="str">
        <f>IFERROR(__xludf.DUMMYFUNCTION("""COMPUTED_VALUE"""),"EOT")</f>
        <v>EOT</v>
      </c>
      <c r="E446" s="190" t="str">
        <f>IFERROR(__xludf.DUMMYFUNCTION("""COMPUTED_VALUE"""),"Melee, 1 Target")</f>
        <v>Melee, 1 Target</v>
      </c>
      <c r="F446" s="190">
        <f>IFERROR(__xludf.DUMMYFUNCTION("""COMPUTED_VALUE"""),3.0)</f>
        <v>3</v>
      </c>
      <c r="G446" s="190">
        <f>IFERROR(__xludf.DUMMYFUNCTION("""COMPUTED_VALUE"""),8.0)</f>
        <v>8</v>
      </c>
      <c r="H446" s="191" t="str">
        <f>IFERROR(__xludf.DUMMYFUNCTION("""COMPUTED_VALUE"""),"Blessings cannot be Activated in response to Brick Break. On a roll of 15+, destroy a Coat the Target has applied to them.")</f>
        <v>Blessings cannot be Activated in response to Brick Break. On a roll of 15+, destroy a Coat the Target has applied to them.</v>
      </c>
      <c r="I446" s="191" t="str">
        <f>IFERROR(__xludf.DUMMYFUNCTION("""COMPUTED_VALUE"""),"--")</f>
        <v>--</v>
      </c>
      <c r="J446" s="190" t="str">
        <f>IFERROR(__xludf.DUMMYFUNCTION("""COMPUTED_VALUE"""),"Tier 2")</f>
        <v>Tier 2</v>
      </c>
      <c r="K446" s="174" t="b">
        <f>IFERROR(__xludf.DUMMYFUNCTION("""COMPUTED_VALUE"""),TRUE)</f>
        <v>1</v>
      </c>
      <c r="L446" s="174"/>
      <c r="M446" s="174"/>
      <c r="N446" s="174"/>
      <c r="O446" s="174"/>
      <c r="P446" s="174"/>
      <c r="Q446" s="174"/>
      <c r="R446" s="174"/>
      <c r="S446" s="174"/>
      <c r="T446" s="174"/>
      <c r="U446" s="174"/>
      <c r="V446" s="174"/>
      <c r="W446" s="174"/>
      <c r="X446" s="174"/>
      <c r="Y446" s="174"/>
      <c r="Z446" s="174"/>
    </row>
    <row r="447">
      <c r="A447" s="190" t="str">
        <f>IFERROR(__xludf.DUMMYFUNCTION("""COMPUTED_VALUE"""),"Bulk Up")</f>
        <v>Bulk Up</v>
      </c>
      <c r="B447" s="190" t="str">
        <f>IFERROR(__xludf.DUMMYFUNCTION("""COMPUTED_VALUE"""),"Fighting")</f>
        <v>Fighting</v>
      </c>
      <c r="C447" s="190" t="str">
        <f>IFERROR(__xludf.DUMMYFUNCTION("""COMPUTED_VALUE"""),"Status")</f>
        <v>Status</v>
      </c>
      <c r="D447" s="190" t="str">
        <f>IFERROR(__xludf.DUMMYFUNCTION("""COMPUTED_VALUE"""),"EOT")</f>
        <v>EOT</v>
      </c>
      <c r="E447" s="190" t="str">
        <f>IFERROR(__xludf.DUMMYFUNCTION("""COMPUTED_VALUE"""),"Self, Versatile")</f>
        <v>Self, Versatile</v>
      </c>
      <c r="F447" s="190" t="str">
        <f>IFERROR(__xludf.DUMMYFUNCTION("""COMPUTED_VALUE"""),"--")</f>
        <v>--</v>
      </c>
      <c r="G447" s="190" t="str">
        <f>IFERROR(__xludf.DUMMYFUNCTION("""COMPUTED_VALUE"""),"--")</f>
        <v>--</v>
      </c>
      <c r="H447" s="191" t="str">
        <f>IFERROR(__xludf.DUMMYFUNCTION("""COMPUTED_VALUE"""),"Choose two different Effects to apply to the user: The user gains +2 CS in Attack. The user gains +2 CS in Defense. The user is cured of a Physical Affliction")</f>
        <v>Choose two different Effects to apply to the user: The user gains +2 CS in Attack. The user gains +2 CS in Defense. The user is cured of a Physical Affliction</v>
      </c>
      <c r="I447" s="191" t="str">
        <f>IFERROR(__xludf.DUMMYFUNCTION("""COMPUTED_VALUE"""),"The user gains 1 Tick of Temporary Hit Points.")</f>
        <v>The user gains 1 Tick of Temporary Hit Points.</v>
      </c>
      <c r="J447" s="190" t="str">
        <f>IFERROR(__xludf.DUMMYFUNCTION("""COMPUTED_VALUE"""),"Tier 1")</f>
        <v>Tier 1</v>
      </c>
      <c r="K447" s="174" t="b">
        <f>IFERROR(__xludf.DUMMYFUNCTION("""COMPUTED_VALUE"""),TRUE)</f>
        <v>1</v>
      </c>
      <c r="L447" s="174"/>
      <c r="M447" s="174"/>
      <c r="N447" s="174"/>
      <c r="O447" s="174"/>
      <c r="P447" s="174"/>
      <c r="Q447" s="174"/>
      <c r="R447" s="174"/>
      <c r="S447" s="174"/>
      <c r="T447" s="174"/>
      <c r="U447" s="174"/>
      <c r="V447" s="174"/>
      <c r="W447" s="174"/>
      <c r="X447" s="174"/>
      <c r="Y447" s="174"/>
      <c r="Z447" s="174"/>
    </row>
    <row r="448">
      <c r="A448" s="190" t="str">
        <f>IFERROR(__xludf.DUMMYFUNCTION("""COMPUTED_VALUE"""),"Chakra Block")</f>
        <v>Chakra Block</v>
      </c>
      <c r="B448" s="190" t="str">
        <f>IFERROR(__xludf.DUMMYFUNCTION("""COMPUTED_VALUE"""),"Fighting")</f>
        <v>Fighting</v>
      </c>
      <c r="C448" s="190" t="str">
        <f>IFERROR(__xludf.DUMMYFUNCTION("""COMPUTED_VALUE"""),"Status")</f>
        <v>Status</v>
      </c>
      <c r="D448" s="190" t="str">
        <f>IFERROR(__xludf.DUMMYFUNCTION("""COMPUTED_VALUE"""),"Scene x2")</f>
        <v>Scene x2</v>
      </c>
      <c r="E448" s="190" t="str">
        <f>IFERROR(__xludf.DUMMYFUNCTION("""COMPUTED_VALUE"""),"Melee, Trigger, Aura")</f>
        <v>Melee, Trigger, Aura</v>
      </c>
      <c r="F448" s="190">
        <f>IFERROR(__xludf.DUMMYFUNCTION("""COMPUTED_VALUE"""),6.0)</f>
        <v>6</v>
      </c>
      <c r="G448" s="190" t="str">
        <f>IFERROR(__xludf.DUMMYFUNCTION("""COMPUTED_VALUE"""),"--")</f>
        <v>--</v>
      </c>
      <c r="H448" s="191" t="str">
        <f>IFERROR(__xludf.DUMMYFUNCTION("""COMPUTED_VALUE"""),"Chakra Block may be used as an Reaction when an Adjacent Enemy would gain CS. They don't gain the triggering CS. If the Attack would hit, they also become Suppressed. Spirit Surge")</f>
        <v>Chakra Block may be used as an Reaction when an Adjacent Enemy would gain CS. They don't gain the triggering CS. If the Attack would hit, they also become Suppressed. Spirit Surge</v>
      </c>
      <c r="I448" s="191" t="str">
        <f>IFERROR(__xludf.DUMMYFUNCTION("""COMPUTED_VALUE"""),"--")</f>
        <v>--</v>
      </c>
      <c r="J448" s="190" t="str">
        <f>IFERROR(__xludf.DUMMYFUNCTION("""COMPUTED_VALUE"""),"Tier 2")</f>
        <v>Tier 2</v>
      </c>
      <c r="K448" s="174" t="b">
        <f>IFERROR(__xludf.DUMMYFUNCTION("""COMPUTED_VALUE"""),TRUE)</f>
        <v>1</v>
      </c>
      <c r="L448" s="174"/>
      <c r="M448" s="174"/>
      <c r="N448" s="174"/>
      <c r="O448" s="174"/>
      <c r="P448" s="174"/>
      <c r="Q448" s="174"/>
      <c r="R448" s="174"/>
      <c r="S448" s="174"/>
      <c r="T448" s="174"/>
      <c r="U448" s="174"/>
      <c r="V448" s="174"/>
      <c r="W448" s="174"/>
      <c r="X448" s="174"/>
      <c r="Y448" s="174"/>
      <c r="Z448" s="174"/>
    </row>
    <row r="449">
      <c r="A449" s="190" t="str">
        <f>IFERROR(__xludf.DUMMYFUNCTION("""COMPUTED_VALUE"""),"Circle Throw")</f>
        <v>Circle Throw</v>
      </c>
      <c r="B449" s="190" t="str">
        <f>IFERROR(__xludf.DUMMYFUNCTION("""COMPUTED_VALUE"""),"Fighting")</f>
        <v>Fighting</v>
      </c>
      <c r="C449" s="190" t="str">
        <f>IFERROR(__xludf.DUMMYFUNCTION("""COMPUTED_VALUE"""),"Physical")</f>
        <v>Physical</v>
      </c>
      <c r="D449" s="190" t="str">
        <f>IFERROR(__xludf.DUMMYFUNCTION("""COMPUTED_VALUE"""),"At-Will")</f>
        <v>At-Will</v>
      </c>
      <c r="E449" s="190" t="str">
        <f>IFERROR(__xludf.DUMMYFUNCTION("""COMPUTED_VALUE"""),"Melee, 1 Target")</f>
        <v>Melee, 1 Target</v>
      </c>
      <c r="F449" s="190">
        <f>IFERROR(__xludf.DUMMYFUNCTION("""COMPUTED_VALUE"""),2.0)</f>
        <v>2</v>
      </c>
      <c r="G449" s="190">
        <f>IFERROR(__xludf.DUMMYFUNCTION("""COMPUTED_VALUE"""),6.0)</f>
        <v>6</v>
      </c>
      <c r="H449" s="191" t="str">
        <f>IFERROR(__xludf.DUMMYFUNCTION("""COMPUTED_VALUE"""),"If the user's Power Value is higher than the Target's Weight Class, they may Slide the Target a number of meters equal to or less than the difference. ")</f>
        <v>If the user's Power Value is higher than the Target's Weight Class, they may Slide the Target a number of meters equal to or less than the difference. </v>
      </c>
      <c r="I449" s="191" t="str">
        <f>IFERROR(__xludf.DUMMYFUNCTION("""COMPUTED_VALUE"""),"--")</f>
        <v>--</v>
      </c>
      <c r="J449" s="190" t="str">
        <f>IFERROR(__xludf.DUMMYFUNCTION("""COMPUTED_VALUE"""),"Tier 1")</f>
        <v>Tier 1</v>
      </c>
      <c r="K449" s="174" t="b">
        <f>IFERROR(__xludf.DUMMYFUNCTION("""COMPUTED_VALUE"""),TRUE)</f>
        <v>1</v>
      </c>
      <c r="L449" s="174"/>
      <c r="M449" s="174"/>
      <c r="N449" s="174"/>
      <c r="O449" s="174"/>
      <c r="P449" s="174"/>
      <c r="Q449" s="174"/>
      <c r="R449" s="174"/>
      <c r="S449" s="174"/>
      <c r="T449" s="174"/>
      <c r="U449" s="174"/>
      <c r="V449" s="174"/>
      <c r="W449" s="174"/>
      <c r="X449" s="174"/>
      <c r="Y449" s="174"/>
      <c r="Z449" s="174"/>
    </row>
    <row r="450">
      <c r="A450" s="190" t="str">
        <f>IFERROR(__xludf.DUMMYFUNCTION("""COMPUTED_VALUE"""),"Close Combat")</f>
        <v>Close Combat</v>
      </c>
      <c r="B450" s="190" t="str">
        <f>IFERROR(__xludf.DUMMYFUNCTION("""COMPUTED_VALUE"""),"Fighting")</f>
        <v>Fighting</v>
      </c>
      <c r="C450" s="190" t="str">
        <f>IFERROR(__xludf.DUMMYFUNCTION("""COMPUTED_VALUE"""),"Physical")</f>
        <v>Physical</v>
      </c>
      <c r="D450" s="190" t="str">
        <f>IFERROR(__xludf.DUMMYFUNCTION("""COMPUTED_VALUE"""),"Scene x2")</f>
        <v>Scene x2</v>
      </c>
      <c r="E450" s="190" t="str">
        <f>IFERROR(__xludf.DUMMYFUNCTION("""COMPUTED_VALUE"""),"Melee, 1 Target")</f>
        <v>Melee, 1 Target</v>
      </c>
      <c r="F450" s="190">
        <f>IFERROR(__xludf.DUMMYFUNCTION("""COMPUTED_VALUE"""),4.0)</f>
        <v>4</v>
      </c>
      <c r="G450" s="190">
        <f>IFERROR(__xludf.DUMMYFUNCTION("""COMPUTED_VALUE"""),12.0)</f>
        <v>12</v>
      </c>
      <c r="H450" s="191" t="str">
        <f>IFERROR(__xludf.DUMMYFUNCTION("""COMPUTED_VALUE"""),"The Target cannot apply Speed Evasion against Close Combat.")</f>
        <v>The Target cannot apply Speed Evasion against Close Combat.</v>
      </c>
      <c r="I450" s="191" t="str">
        <f>IFERROR(__xludf.DUMMYFUNCTION("""COMPUTED_VALUE"""),"--")</f>
        <v>--</v>
      </c>
      <c r="J450" s="190" t="str">
        <f>IFERROR(__xludf.DUMMYFUNCTION("""COMPUTED_VALUE"""),"Tier 3")</f>
        <v>Tier 3</v>
      </c>
      <c r="K450" s="174" t="b">
        <f>IFERROR(__xludf.DUMMYFUNCTION("""COMPUTED_VALUE"""),TRUE)</f>
        <v>1</v>
      </c>
      <c r="L450" s="174"/>
      <c r="M450" s="174"/>
      <c r="N450" s="174"/>
      <c r="O450" s="174"/>
      <c r="P450" s="174"/>
      <c r="Q450" s="174"/>
      <c r="R450" s="174"/>
      <c r="S450" s="174"/>
      <c r="T450" s="174"/>
      <c r="U450" s="174"/>
      <c r="V450" s="174"/>
      <c r="W450" s="174"/>
      <c r="X450" s="174"/>
      <c r="Y450" s="174"/>
      <c r="Z450" s="174"/>
    </row>
    <row r="451">
      <c r="A451" s="190" t="str">
        <f>IFERROR(__xludf.DUMMYFUNCTION("""COMPUTED_VALUE"""),"Coaching")</f>
        <v>Coaching</v>
      </c>
      <c r="B451" s="190" t="str">
        <f>IFERROR(__xludf.DUMMYFUNCTION("""COMPUTED_VALUE"""),"Fighting")</f>
        <v>Fighting</v>
      </c>
      <c r="C451" s="190" t="str">
        <f>IFERROR(__xludf.DUMMYFUNCTION("""COMPUTED_VALUE"""),"Status")</f>
        <v>Status</v>
      </c>
      <c r="D451" s="190" t="str">
        <f>IFERROR(__xludf.DUMMYFUNCTION("""COMPUTED_VALUE"""),"EOT")</f>
        <v>EOT</v>
      </c>
      <c r="E451" s="190" t="str">
        <f>IFERROR(__xludf.DUMMYFUNCTION("""COMPUTED_VALUE"""),"Melee, 1 Target, Full Action, Versatile")</f>
        <v>Melee, 1 Target, Full Action, Versatile</v>
      </c>
      <c r="F451" s="190" t="str">
        <f>IFERROR(__xludf.DUMMYFUNCTION("""COMPUTED_VALUE"""),"--")</f>
        <v>--</v>
      </c>
      <c r="G451" s="190" t="str">
        <f>IFERROR(__xludf.DUMMYFUNCTION("""COMPUTED_VALUE"""),"--")</f>
        <v>--</v>
      </c>
      <c r="H451" s="191" t="str">
        <f>IFERROR(__xludf.DUMMYFUNCTION("""COMPUTED_VALUE"""),"The Target gains +2 CS in a Stat of your Choice and +2 to their next Accuracy or Save Check of your choice.")</f>
        <v>The Target gains +2 CS in a Stat of your Choice and +2 to their next Accuracy or Save Check of your choice.</v>
      </c>
      <c r="I451" s="191" t="str">
        <f>IFERROR(__xludf.DUMMYFUNCTION("""COMPUTED_VALUE"""),"The Target gains +1 CS in a Stat of your Choice. When used this way, Coaching is not a Full Action.")</f>
        <v>The Target gains +1 CS in a Stat of your Choice. When used this way, Coaching is not a Full Action.</v>
      </c>
      <c r="J451" s="190" t="str">
        <f>IFERROR(__xludf.DUMMYFUNCTION("""COMPUTED_VALUE"""),"Tier 1")</f>
        <v>Tier 1</v>
      </c>
      <c r="K451" s="174" t="b">
        <f>IFERROR(__xludf.DUMMYFUNCTION("""COMPUTED_VALUE"""),TRUE)</f>
        <v>1</v>
      </c>
      <c r="L451" s="174"/>
      <c r="M451" s="174"/>
      <c r="N451" s="174"/>
      <c r="O451" s="174"/>
      <c r="P451" s="174"/>
      <c r="Q451" s="174"/>
      <c r="R451" s="174"/>
      <c r="S451" s="174"/>
      <c r="T451" s="174"/>
      <c r="U451" s="174"/>
      <c r="V451" s="174"/>
      <c r="W451" s="174"/>
      <c r="X451" s="174"/>
      <c r="Y451" s="174"/>
      <c r="Z451" s="174"/>
    </row>
    <row r="452">
      <c r="A452" s="190" t="str">
        <f>IFERROR(__xludf.DUMMYFUNCTION("""COMPUTED_VALUE"""),"Concentration")</f>
        <v>Concentration</v>
      </c>
      <c r="B452" s="190" t="str">
        <f>IFERROR(__xludf.DUMMYFUNCTION("""COMPUTED_VALUE"""),"Fighting")</f>
        <v>Fighting</v>
      </c>
      <c r="C452" s="190" t="str">
        <f>IFERROR(__xludf.DUMMYFUNCTION("""COMPUTED_VALUE"""),"Status")</f>
        <v>Status</v>
      </c>
      <c r="D452" s="190" t="str">
        <f>IFERROR(__xludf.DUMMYFUNCTION("""COMPUTED_VALUE"""),"EOT")</f>
        <v>EOT</v>
      </c>
      <c r="E452" s="190" t="str">
        <f>IFERROR(__xludf.DUMMYFUNCTION("""COMPUTED_VALUE"""),"Self, Versatile")</f>
        <v>Self, Versatile</v>
      </c>
      <c r="F452" s="190" t="str">
        <f>IFERROR(__xludf.DUMMYFUNCTION("""COMPUTED_VALUE"""),"--")</f>
        <v>--</v>
      </c>
      <c r="G452" s="190" t="str">
        <f>IFERROR(__xludf.DUMMYFUNCTION("""COMPUTED_VALUE"""),"--")</f>
        <v>--</v>
      </c>
      <c r="H452" s="191" t="str">
        <f>IFERROR(__xludf.DUMMYFUNCTION("""COMPUTED_VALUE"""),"Choose one of the following Effects. You pass your next Save Check, then gain +2 to Save Checks for the rest of the Scene. Your next Damaging Attack has the Sureshot Keyword, then gain +2 Accuracy.")</f>
        <v>Choose one of the following Effects. You pass your next Save Check, then gain +2 to Save Checks for the rest of the Scene. Your next Damaging Attack has the Sureshot Keyword, then gain +2 Accuracy.</v>
      </c>
      <c r="I452" s="191" t="str">
        <f>IFERROR(__xludf.DUMMYFUNCTION("""COMPUTED_VALUE"""),"Choose Accuracy or Save Checks. The next time you perform the chosen roll, roll it twice, taking the higher result.")</f>
        <v>Choose Accuracy or Save Checks. The next time you perform the chosen roll, roll it twice, taking the higher result.</v>
      </c>
      <c r="J452" s="190" t="str">
        <f>IFERROR(__xludf.DUMMYFUNCTION("""COMPUTED_VALUE"""),"Tier 1")</f>
        <v>Tier 1</v>
      </c>
      <c r="K452" s="174" t="b">
        <f>IFERROR(__xludf.DUMMYFUNCTION("""COMPUTED_VALUE"""),TRUE)</f>
        <v>1</v>
      </c>
      <c r="L452" s="174"/>
      <c r="M452" s="174"/>
      <c r="N452" s="174"/>
      <c r="O452" s="174"/>
      <c r="P452" s="174"/>
      <c r="Q452" s="174"/>
      <c r="R452" s="174"/>
      <c r="S452" s="174"/>
      <c r="T452" s="174"/>
      <c r="U452" s="174"/>
      <c r="V452" s="174"/>
      <c r="W452" s="174"/>
      <c r="X452" s="174"/>
      <c r="Y452" s="174"/>
      <c r="Z452" s="174"/>
    </row>
    <row r="453">
      <c r="A453" s="190" t="str">
        <f>IFERROR(__xludf.DUMMYFUNCTION("""COMPUTED_VALUE"""),"Counter")</f>
        <v>Counter</v>
      </c>
      <c r="B453" s="190" t="str">
        <f>IFERROR(__xludf.DUMMYFUNCTION("""COMPUTED_VALUE"""),"Fighting")</f>
        <v>Fighting</v>
      </c>
      <c r="C453" s="190" t="str">
        <f>IFERROR(__xludf.DUMMYFUNCTION("""COMPUTED_VALUE"""),"Physical")</f>
        <v>Physical</v>
      </c>
      <c r="D453" s="190" t="str">
        <f>IFERROR(__xludf.DUMMYFUNCTION("""COMPUTED_VALUE"""),"Scene x2")</f>
        <v>Scene x2</v>
      </c>
      <c r="E453" s="190" t="str">
        <f>IFERROR(__xludf.DUMMYFUNCTION("""COMPUTED_VALUE"""),"Melee, 1 Target, Trigger")</f>
        <v>Melee, 1 Target, Trigger</v>
      </c>
      <c r="F453" s="190" t="str">
        <f>IFERROR(__xludf.DUMMYFUNCTION("""COMPUTED_VALUE"""),"--")</f>
        <v>--</v>
      </c>
      <c r="G453" s="190" t="str">
        <f>IFERROR(__xludf.DUMMYFUNCTION("""COMPUTED_VALUE"""),"X")</f>
        <v>X</v>
      </c>
      <c r="H453" s="191" t="str">
        <f>IFERROR(__xludf.DUMMYFUNCTION("""COMPUTED_VALUE"""),"Counter can only be used as a Standard Action + Reaction whenever you’re hit with a Damaging Physical Attack from an Enemy in Range. After the Triggering Attack is resolved, if the user isn’t Fainted, perform this Attack against the Triggering Enemy. The "&amp;"Damage Base is equal to the Triggering Attack’s DB plus double your Tier Level. Sureshot")</f>
        <v>Counter can only be used as a Standard Action + Reaction whenever you’re hit with a Damaging Physical Attack from an Enemy in Range. After the Triggering Attack is resolved, if the user isn’t Fainted, perform this Attack against the Triggering Enemy. The Damage Base is equal to the Triggering Attack’s DB plus double your Tier Level. Sureshot</v>
      </c>
      <c r="I453" s="191" t="str">
        <f>IFERROR(__xludf.DUMMYFUNCTION("""COMPUTED_VALUE"""),"--")</f>
        <v>--</v>
      </c>
      <c r="J453" s="190" t="str">
        <f>IFERROR(__xludf.DUMMYFUNCTION("""COMPUTED_VALUE"""),"Tier 2")</f>
        <v>Tier 2</v>
      </c>
      <c r="K453" s="174" t="b">
        <f>IFERROR(__xludf.DUMMYFUNCTION("""COMPUTED_VALUE"""),FALSE)</f>
        <v>0</v>
      </c>
      <c r="L453" s="174"/>
      <c r="M453" s="174"/>
      <c r="N453" s="174"/>
      <c r="O453" s="174"/>
      <c r="P453" s="174"/>
      <c r="Q453" s="174"/>
      <c r="R453" s="174"/>
      <c r="S453" s="174"/>
      <c r="T453" s="174"/>
      <c r="U453" s="174"/>
      <c r="V453" s="174"/>
      <c r="W453" s="174"/>
      <c r="X453" s="174"/>
      <c r="Y453" s="174"/>
      <c r="Z453" s="174"/>
    </row>
    <row r="454">
      <c r="A454" s="190" t="str">
        <f>IFERROR(__xludf.DUMMYFUNCTION("""COMPUTED_VALUE"""),"Cross Chop")</f>
        <v>Cross Chop</v>
      </c>
      <c r="B454" s="190" t="str">
        <f>IFERROR(__xludf.DUMMYFUNCTION("""COMPUTED_VALUE"""),"Fighting")</f>
        <v>Fighting</v>
      </c>
      <c r="C454" s="190" t="str">
        <f>IFERROR(__xludf.DUMMYFUNCTION("""COMPUTED_VALUE"""),"Physical")</f>
        <v>Physical</v>
      </c>
      <c r="D454" s="190" t="str">
        <f>IFERROR(__xludf.DUMMYFUNCTION("""COMPUTED_VALUE"""),"Scene x2")</f>
        <v>Scene x2</v>
      </c>
      <c r="E454" s="190" t="str">
        <f>IFERROR(__xludf.DUMMYFUNCTION("""COMPUTED_VALUE"""),"Melee, 1 Target")</f>
        <v>Melee, 1 Target</v>
      </c>
      <c r="F454" s="190">
        <f>IFERROR(__xludf.DUMMYFUNCTION("""COMPUTED_VALUE"""),3.0)</f>
        <v>3</v>
      </c>
      <c r="G454" s="190">
        <f>IFERROR(__xludf.DUMMYFUNCTION("""COMPUTED_VALUE"""),10.0)</f>
        <v>10</v>
      </c>
      <c r="H454" s="191" t="str">
        <f>IFERROR(__xludf.DUMMYFUNCTION("""COMPUTED_VALUE"""),"Cross Chop is a Critical Hit on a roll of 17+. Smite.")</f>
        <v>Cross Chop is a Critical Hit on a roll of 17+. Smite.</v>
      </c>
      <c r="I454" s="191" t="str">
        <f>IFERROR(__xludf.DUMMYFUNCTION("""COMPUTED_VALUE"""),"--")</f>
        <v>--</v>
      </c>
      <c r="J454" s="190" t="str">
        <f>IFERROR(__xludf.DUMMYFUNCTION("""COMPUTED_VALUE"""),"Tier 3")</f>
        <v>Tier 3</v>
      </c>
      <c r="K454" s="174" t="b">
        <f>IFERROR(__xludf.DUMMYFUNCTION("""COMPUTED_VALUE"""),TRUE)</f>
        <v>1</v>
      </c>
      <c r="L454" s="174"/>
      <c r="M454" s="174"/>
      <c r="N454" s="174"/>
      <c r="O454" s="174"/>
      <c r="P454" s="174"/>
      <c r="Q454" s="174"/>
      <c r="R454" s="174"/>
      <c r="S454" s="174"/>
      <c r="T454" s="174"/>
      <c r="U454" s="174"/>
      <c r="V454" s="174"/>
      <c r="W454" s="174"/>
      <c r="X454" s="174"/>
      <c r="Y454" s="174"/>
      <c r="Z454" s="174"/>
    </row>
    <row r="455">
      <c r="A455" s="190" t="str">
        <f>IFERROR(__xludf.DUMMYFUNCTION("""COMPUTED_VALUE"""),"Detect")</f>
        <v>Detect</v>
      </c>
      <c r="B455" s="190" t="str">
        <f>IFERROR(__xludf.DUMMYFUNCTION("""COMPUTED_VALUE"""),"Fighting")</f>
        <v>Fighting</v>
      </c>
      <c r="C455" s="190" t="str">
        <f>IFERROR(__xludf.DUMMYFUNCTION("""COMPUTED_VALUE"""),"Status")</f>
        <v>Status</v>
      </c>
      <c r="D455" s="190" t="str">
        <f>IFERROR(__xludf.DUMMYFUNCTION("""COMPUTED_VALUE"""),"Scene x2")</f>
        <v>Scene x2</v>
      </c>
      <c r="E455" s="190" t="str">
        <f>IFERROR(__xludf.DUMMYFUNCTION("""COMPUTED_VALUE"""),"4, 1 Target, Priority, Swift Action, Aura")</f>
        <v>4, 1 Target, Priority, Swift Action, Aura</v>
      </c>
      <c r="F455" s="190" t="str">
        <f>IFERROR(__xludf.DUMMYFUNCTION("""COMPUTED_VALUE"""),"--")</f>
        <v>--</v>
      </c>
      <c r="G455" s="190" t="str">
        <f>IFERROR(__xludf.DUMMYFUNCTION("""COMPUTED_VALUE"""),"--")</f>
        <v>--</v>
      </c>
      <c r="H455" s="191" t="str">
        <f>IFERROR(__xludf.DUMMYFUNCTION("""COMPUTED_VALUE"""),"Detect must be used at the start of the Round. The Target is Marked with a Detect Mark until the start of the next Round. You are Provoked by any Enemy with your Detect Mark. You resist Attacks derrived from enemies with your Detect Mark by an additional "&amp;"Damage step and you have a Boon to any Skill Checks opposed by them. Sureshot")</f>
        <v>Detect must be used at the start of the Round. The Target is Marked with a Detect Mark until the start of the next Round. You are Provoked by any Enemy with your Detect Mark. You resist Attacks derrived from enemies with your Detect Mark by an additional Damage step and you have a Boon to any Skill Checks opposed by them. Sureshot</v>
      </c>
      <c r="I455" s="191" t="str">
        <f>IFERROR(__xludf.DUMMYFUNCTION("""COMPUTED_VALUE"""),"--")</f>
        <v>--</v>
      </c>
      <c r="J455" s="190" t="str">
        <f>IFERROR(__xludf.DUMMYFUNCTION("""COMPUTED_VALUE"""),"Tier 2")</f>
        <v>Tier 2</v>
      </c>
      <c r="K455" s="174" t="b">
        <f>IFERROR(__xludf.DUMMYFUNCTION("""COMPUTED_VALUE"""),FALSE)</f>
        <v>0</v>
      </c>
      <c r="L455" s="174"/>
      <c r="M455" s="174"/>
      <c r="N455" s="174"/>
      <c r="O455" s="174"/>
      <c r="P455" s="174"/>
      <c r="Q455" s="174"/>
      <c r="R455" s="174"/>
      <c r="S455" s="174"/>
      <c r="T455" s="174"/>
      <c r="U455" s="174"/>
      <c r="V455" s="174"/>
      <c r="W455" s="174"/>
      <c r="X455" s="174"/>
      <c r="Y455" s="174"/>
      <c r="Z455" s="174"/>
    </row>
    <row r="456">
      <c r="A456" s="190" t="str">
        <f>IFERROR(__xludf.DUMMYFUNCTION("""COMPUTED_VALUE"""),"Double Kick")</f>
        <v>Double Kick</v>
      </c>
      <c r="B456" s="190" t="str">
        <f>IFERROR(__xludf.DUMMYFUNCTION("""COMPUTED_VALUE"""),"Fighting")</f>
        <v>Fighting</v>
      </c>
      <c r="C456" s="190" t="str">
        <f>IFERROR(__xludf.DUMMYFUNCTION("""COMPUTED_VALUE"""),"Physical")</f>
        <v>Physical</v>
      </c>
      <c r="D456" s="190" t="str">
        <f>IFERROR(__xludf.DUMMYFUNCTION("""COMPUTED_VALUE"""),"At-Will")</f>
        <v>At-Will</v>
      </c>
      <c r="E456" s="190" t="str">
        <f>IFERROR(__xludf.DUMMYFUNCTION("""COMPUTED_VALUE"""),"Melee, 1 Target")</f>
        <v>Melee, 1 Target</v>
      </c>
      <c r="F456" s="190">
        <f>IFERROR(__xludf.DUMMYFUNCTION("""COMPUTED_VALUE"""),3.0)</f>
        <v>3</v>
      </c>
      <c r="G456" s="190">
        <f>IFERROR(__xludf.DUMMYFUNCTION("""COMPUTED_VALUE"""),3.0)</f>
        <v>3</v>
      </c>
      <c r="H456" s="191" t="str">
        <f>IFERROR(__xludf.DUMMYFUNCTION("""COMPUTED_VALUE"""),"Double Strike.")</f>
        <v>Double Strike.</v>
      </c>
      <c r="I456" s="191" t="str">
        <f>IFERROR(__xludf.DUMMYFUNCTION("""COMPUTED_VALUE"""),"--")</f>
        <v>--</v>
      </c>
      <c r="J456" s="190" t="str">
        <f>IFERROR(__xludf.DUMMYFUNCTION("""COMPUTED_VALUE"""),"Tier 1")</f>
        <v>Tier 1</v>
      </c>
      <c r="K456" s="174" t="b">
        <f>IFERROR(__xludf.DUMMYFUNCTION("""COMPUTED_VALUE"""),TRUE)</f>
        <v>1</v>
      </c>
      <c r="L456" s="174"/>
      <c r="M456" s="174"/>
      <c r="N456" s="174"/>
      <c r="O456" s="174"/>
      <c r="P456" s="174"/>
      <c r="Q456" s="174"/>
      <c r="R456" s="174"/>
      <c r="S456" s="174"/>
      <c r="T456" s="174"/>
      <c r="U456" s="174"/>
      <c r="V456" s="174"/>
      <c r="W456" s="174"/>
      <c r="X456" s="174"/>
      <c r="Y456" s="174"/>
      <c r="Z456" s="174"/>
    </row>
    <row r="457">
      <c r="A457" s="190" t="str">
        <f>IFERROR(__xludf.DUMMYFUNCTION("""COMPUTED_VALUE"""),"Drain Punch")</f>
        <v>Drain Punch</v>
      </c>
      <c r="B457" s="190" t="str">
        <f>IFERROR(__xludf.DUMMYFUNCTION("""COMPUTED_VALUE"""),"Fighting")</f>
        <v>Fighting</v>
      </c>
      <c r="C457" s="190" t="str">
        <f>IFERROR(__xludf.DUMMYFUNCTION("""COMPUTED_VALUE"""),"Physical")</f>
        <v>Physical</v>
      </c>
      <c r="D457" s="190" t="str">
        <f>IFERROR(__xludf.DUMMYFUNCTION("""COMPUTED_VALUE"""),"Scene x2")</f>
        <v>Scene x2</v>
      </c>
      <c r="E457" s="190" t="str">
        <f>IFERROR(__xludf.DUMMYFUNCTION("""COMPUTED_VALUE"""),"Melee, 1 Target, Punch")</f>
        <v>Melee, 1 Target, Punch</v>
      </c>
      <c r="F457" s="190">
        <f>IFERROR(__xludf.DUMMYFUNCTION("""COMPUTED_VALUE"""),4.0)</f>
        <v>4</v>
      </c>
      <c r="G457" s="190">
        <f>IFERROR(__xludf.DUMMYFUNCTION("""COMPUTED_VALUE"""),8.0)</f>
        <v>8</v>
      </c>
      <c r="H457" s="191" t="str">
        <f>IFERROR(__xludf.DUMMYFUNCTION("""COMPUTED_VALUE"""),"Drain.")</f>
        <v>Drain.</v>
      </c>
      <c r="I457" s="191" t="str">
        <f>IFERROR(__xludf.DUMMYFUNCTION("""COMPUTED_VALUE"""),"--")</f>
        <v>--</v>
      </c>
      <c r="J457" s="190" t="str">
        <f>IFERROR(__xludf.DUMMYFUNCTION("""COMPUTED_VALUE"""),"Tier 2")</f>
        <v>Tier 2</v>
      </c>
      <c r="K457" s="174" t="b">
        <f>IFERROR(__xludf.DUMMYFUNCTION("""COMPUTED_VALUE"""),TRUE)</f>
        <v>1</v>
      </c>
      <c r="L457" s="174"/>
      <c r="M457" s="174"/>
      <c r="N457" s="174"/>
      <c r="O457" s="174"/>
      <c r="P457" s="174"/>
      <c r="Q457" s="174"/>
      <c r="R457" s="174"/>
      <c r="S457" s="174"/>
      <c r="T457" s="174"/>
      <c r="U457" s="174"/>
      <c r="V457" s="174"/>
      <c r="W457" s="174"/>
      <c r="X457" s="174"/>
      <c r="Y457" s="174"/>
      <c r="Z457" s="174"/>
    </row>
    <row r="458">
      <c r="A458" s="190" t="str">
        <f>IFERROR(__xludf.DUMMYFUNCTION("""COMPUTED_VALUE"""),"Dynamic Punch")</f>
        <v>Dynamic Punch</v>
      </c>
      <c r="B458" s="190" t="str">
        <f>IFERROR(__xludf.DUMMYFUNCTION("""COMPUTED_VALUE"""),"Fighting")</f>
        <v>Fighting</v>
      </c>
      <c r="C458" s="190" t="str">
        <f>IFERROR(__xludf.DUMMYFUNCTION("""COMPUTED_VALUE"""),"Physical")</f>
        <v>Physical</v>
      </c>
      <c r="D458" s="190" t="str">
        <f>IFERROR(__xludf.DUMMYFUNCTION("""COMPUTED_VALUE"""),"EOT")</f>
        <v>EOT</v>
      </c>
      <c r="E458" s="190" t="str">
        <f>IFERROR(__xludf.DUMMYFUNCTION("""COMPUTED_VALUE"""),"Melee, 1 Target, Punch, Reckless")</f>
        <v>Melee, 1 Target, Punch, Reckless</v>
      </c>
      <c r="F458" s="190">
        <f>IFERROR(__xludf.DUMMYFUNCTION("""COMPUTED_VALUE"""),4.0)</f>
        <v>4</v>
      </c>
      <c r="G458" s="190">
        <f>IFERROR(__xludf.DUMMYFUNCTION("""COMPUTED_VALUE"""),10.0)</f>
        <v>10</v>
      </c>
      <c r="H458" s="191" t="str">
        <f>IFERROR(__xludf.DUMMYFUNCTION("""COMPUTED_VALUE"""),"Targets hit by this Attack becomes Dazed. If the user misses this Attack, they become Dazed. Smite. Spirit Surge")</f>
        <v>Targets hit by this Attack becomes Dazed. If the user misses this Attack, they become Dazed. Smite. Spirit Surge</v>
      </c>
      <c r="I458" s="191" t="str">
        <f>IFERROR(__xludf.DUMMYFUNCTION("""COMPUTED_VALUE"""),"--")</f>
        <v>--</v>
      </c>
      <c r="J458" s="190" t="str">
        <f>IFERROR(__xludf.DUMMYFUNCTION("""COMPUTED_VALUE"""),"Tier 3")</f>
        <v>Tier 3</v>
      </c>
      <c r="K458" s="174" t="b">
        <f>IFERROR(__xludf.DUMMYFUNCTION("""COMPUTED_VALUE"""),TRUE)</f>
        <v>1</v>
      </c>
      <c r="L458" s="174"/>
      <c r="M458" s="174"/>
      <c r="N458" s="174"/>
      <c r="O458" s="174"/>
      <c r="P458" s="174"/>
      <c r="Q458" s="174"/>
      <c r="R458" s="174"/>
      <c r="S458" s="174"/>
      <c r="T458" s="174"/>
      <c r="U458" s="174"/>
      <c r="V458" s="174"/>
      <c r="W458" s="174"/>
      <c r="X458" s="174"/>
      <c r="Y458" s="174"/>
      <c r="Z458" s="174"/>
    </row>
    <row r="459">
      <c r="A459" s="190" t="str">
        <f>IFERROR(__xludf.DUMMYFUNCTION("""COMPUTED_VALUE"""),"Flying Press")</f>
        <v>Flying Press</v>
      </c>
      <c r="B459" s="190" t="str">
        <f>IFERROR(__xludf.DUMMYFUNCTION("""COMPUTED_VALUE"""),"Fighting")</f>
        <v>Fighting</v>
      </c>
      <c r="C459" s="190" t="str">
        <f>IFERROR(__xludf.DUMMYFUNCTION("""COMPUTED_VALUE"""),"Physical")</f>
        <v>Physical</v>
      </c>
      <c r="D459" s="190" t="str">
        <f>IFERROR(__xludf.DUMMYFUNCTION("""COMPUTED_VALUE"""),"EOT")</f>
        <v>EOT</v>
      </c>
      <c r="E459" s="190" t="str">
        <f>IFERROR(__xludf.DUMMYFUNCTION("""COMPUTED_VALUE"""),"Melee, Dash, 1 Target")</f>
        <v>Melee, Dash, 1 Target</v>
      </c>
      <c r="F459" s="190">
        <f>IFERROR(__xludf.DUMMYFUNCTION("""COMPUTED_VALUE"""),4.0)</f>
        <v>4</v>
      </c>
      <c r="G459" s="190">
        <f>IFERROR(__xludf.DUMMYFUNCTION("""COMPUTED_VALUE"""),9.0)</f>
        <v>9</v>
      </c>
      <c r="H459" s="191" t="str">
        <f>IFERROR(__xludf.DUMMYFUNCTION("""COMPUTED_VALUE"""),"When the Dash Keyword is Activated, Flying Press has the Smite Keyword and may deal Flying Type damage if the user wishes. ")</f>
        <v>When the Dash Keyword is Activated, Flying Press has the Smite Keyword and may deal Flying Type damage if the user wishes. </v>
      </c>
      <c r="I459" s="191" t="str">
        <f>IFERROR(__xludf.DUMMYFUNCTION("""COMPUTED_VALUE"""),"--")</f>
        <v>--</v>
      </c>
      <c r="J459" s="190" t="str">
        <f>IFERROR(__xludf.DUMMYFUNCTION("""COMPUTED_VALUE"""),"Tier 2")</f>
        <v>Tier 2</v>
      </c>
      <c r="K459" s="174" t="b">
        <f>IFERROR(__xludf.DUMMYFUNCTION("""COMPUTED_VALUE"""),TRUE)</f>
        <v>1</v>
      </c>
      <c r="L459" s="174"/>
      <c r="M459" s="174"/>
      <c r="N459" s="174"/>
      <c r="O459" s="174"/>
      <c r="P459" s="174"/>
      <c r="Q459" s="174"/>
      <c r="R459" s="174"/>
      <c r="S459" s="174"/>
      <c r="T459" s="174"/>
      <c r="U459" s="174"/>
      <c r="V459" s="174"/>
      <c r="W459" s="174"/>
      <c r="X459" s="174"/>
      <c r="Y459" s="174"/>
      <c r="Z459" s="174"/>
    </row>
    <row r="460">
      <c r="A460" s="190" t="str">
        <f>IFERROR(__xludf.DUMMYFUNCTION("""COMPUTED_VALUE"""),"Focus Blast")</f>
        <v>Focus Blast</v>
      </c>
      <c r="B460" s="190" t="str">
        <f>IFERROR(__xludf.DUMMYFUNCTION("""COMPUTED_VALUE"""),"Fighting")</f>
        <v>Fighting</v>
      </c>
      <c r="C460" s="190" t="str">
        <f>IFERROR(__xludf.DUMMYFUNCTION("""COMPUTED_VALUE"""),"Special")</f>
        <v>Special</v>
      </c>
      <c r="D460" s="190" t="str">
        <f>IFERROR(__xludf.DUMMYFUNCTION("""COMPUTED_VALUE"""),"Scene x2")</f>
        <v>Scene x2</v>
      </c>
      <c r="E460" s="190" t="str">
        <f>IFERROR(__xludf.DUMMYFUNCTION("""COMPUTED_VALUE"""),"6, 1 Target, Aura")</f>
        <v>6, 1 Target, Aura</v>
      </c>
      <c r="F460" s="190">
        <f>IFERROR(__xludf.DUMMYFUNCTION("""COMPUTED_VALUE"""),5.0)</f>
        <v>5</v>
      </c>
      <c r="G460" s="190">
        <f>IFERROR(__xludf.DUMMYFUNCTION("""COMPUTED_VALUE"""),12.0)</f>
        <v>12</v>
      </c>
      <c r="H460" s="191" t="str">
        <f>IFERROR(__xludf.DUMMYFUNCTION("""COMPUTED_VALUE"""),"If the Target has Negative CS in Special Defense, they cannot apply Evasion against this Attack. Smite")</f>
        <v>If the Target has Negative CS in Special Defense, they cannot apply Evasion against this Attack. Smite</v>
      </c>
      <c r="I460" s="191" t="str">
        <f>IFERROR(__xludf.DUMMYFUNCTION("""COMPUTED_VALUE"""),"--")</f>
        <v>--</v>
      </c>
      <c r="J460" s="190" t="str">
        <f>IFERROR(__xludf.DUMMYFUNCTION("""COMPUTED_VALUE"""),"Tier 3")</f>
        <v>Tier 3</v>
      </c>
      <c r="K460" s="174" t="b">
        <f>IFERROR(__xludf.DUMMYFUNCTION("""COMPUTED_VALUE"""),TRUE)</f>
        <v>1</v>
      </c>
      <c r="L460" s="174"/>
      <c r="M460" s="174"/>
      <c r="N460" s="174"/>
      <c r="O460" s="174"/>
      <c r="P460" s="174"/>
      <c r="Q460" s="174"/>
      <c r="R460" s="174"/>
      <c r="S460" s="174"/>
      <c r="T460" s="174"/>
      <c r="U460" s="174"/>
      <c r="V460" s="174"/>
      <c r="W460" s="174"/>
      <c r="X460" s="174"/>
      <c r="Y460" s="174"/>
      <c r="Z460" s="174"/>
    </row>
    <row r="461">
      <c r="A461" s="190" t="str">
        <f>IFERROR(__xludf.DUMMYFUNCTION("""COMPUTED_VALUE"""),"Focus Punch")</f>
        <v>Focus Punch</v>
      </c>
      <c r="B461" s="190" t="str">
        <f>IFERROR(__xludf.DUMMYFUNCTION("""COMPUTED_VALUE"""),"Fighting")</f>
        <v>Fighting</v>
      </c>
      <c r="C461" s="190" t="str">
        <f>IFERROR(__xludf.DUMMYFUNCTION("""COMPUTED_VALUE"""),"Physical")</f>
        <v>Physical</v>
      </c>
      <c r="D461" s="190" t="str">
        <f>IFERROR(__xludf.DUMMYFUNCTION("""COMPUTED_VALUE"""),"Scene x2")</f>
        <v>Scene x2</v>
      </c>
      <c r="E461" s="190" t="str">
        <f>IFERROR(__xludf.DUMMYFUNCTION("""COMPUTED_VALUE"""),"Melee, 1 Target, Aura, Punch")</f>
        <v>Melee, 1 Target, Aura, Punch</v>
      </c>
      <c r="F461" s="190" t="str">
        <f>IFERROR(__xludf.DUMMYFUNCTION("""COMPUTED_VALUE"""),"--")</f>
        <v>--</v>
      </c>
      <c r="G461" s="190">
        <f>IFERROR(__xludf.DUMMYFUNCTION("""COMPUTED_VALUE"""),13.0)</f>
        <v>13</v>
      </c>
      <c r="H461" s="191" t="str">
        <f>IFERROR(__xludf.DUMMYFUNCTION("""COMPUTED_VALUE"""),"In order to use this Attack, you must declare it as a Swift Action at the start of the Round and you must be the last Combatant amongst your allies to act this Round. Whenever you're hit with a Damaging Attack during this Round, after declaring this Attac"&amp;"k, perform a CR 4 Focus Check. If this is failed, you cannot resolve this Attack during this Round. If all the prior conditions are met, you may resolve Focus Punch as a Standard Action on your Turn. Focus Punch is a Critical Hit on a 17+. Sureshot")</f>
        <v>In order to use this Attack, you must declare it as a Swift Action at the start of the Round and you must be the last Combatant amongst your allies to act this Round. Whenever you're hit with a Damaging Attack during this Round, after declaring this Attack, perform a CR 4 Focus Check. If this is failed, you cannot resolve this Attack during this Round. If all the prior conditions are met, you may resolve Focus Punch as a Standard Action on your Turn. Focus Punch is a Critical Hit on a 17+. Sureshot</v>
      </c>
      <c r="I461" s="191" t="str">
        <f>IFERROR(__xludf.DUMMYFUNCTION("""COMPUTED_VALUE"""),"--")</f>
        <v>--</v>
      </c>
      <c r="J461" s="190" t="str">
        <f>IFERROR(__xludf.DUMMYFUNCTION("""COMPUTED_VALUE"""),"Tier 3")</f>
        <v>Tier 3</v>
      </c>
      <c r="K461" s="174" t="b">
        <f>IFERROR(__xludf.DUMMYFUNCTION("""COMPUTED_VALUE"""),FALSE)</f>
        <v>0</v>
      </c>
      <c r="L461" s="174"/>
      <c r="M461" s="174"/>
      <c r="N461" s="174"/>
      <c r="O461" s="174"/>
      <c r="P461" s="174"/>
      <c r="Q461" s="174"/>
      <c r="R461" s="174"/>
      <c r="S461" s="174"/>
      <c r="T461" s="174"/>
      <c r="U461" s="174"/>
      <c r="V461" s="174"/>
      <c r="W461" s="174"/>
      <c r="X461" s="174"/>
      <c r="Y461" s="174"/>
      <c r="Z461" s="174"/>
    </row>
    <row r="462">
      <c r="A462" s="190" t="str">
        <f>IFERROR(__xludf.DUMMYFUNCTION("""COMPUTED_VALUE"""),"Force Bullet")</f>
        <v>Force Bullet</v>
      </c>
      <c r="B462" s="190" t="str">
        <f>IFERROR(__xludf.DUMMYFUNCTION("""COMPUTED_VALUE"""),"Fighting")</f>
        <v>Fighting</v>
      </c>
      <c r="C462" s="190" t="str">
        <f>IFERROR(__xludf.DUMMYFUNCTION("""COMPUTED_VALUE"""),"Special")</f>
        <v>Special</v>
      </c>
      <c r="D462" s="190" t="str">
        <f>IFERROR(__xludf.DUMMYFUNCTION("""COMPUTED_VALUE"""),"At-Will")</f>
        <v>At-Will</v>
      </c>
      <c r="E462" s="190" t="str">
        <f>IFERROR(__xludf.DUMMYFUNCTION("""COMPUTED_VALUE"""),"6, 1 Target, Aura")</f>
        <v>6, 1 Target, Aura</v>
      </c>
      <c r="F462" s="190">
        <f>IFERROR(__xludf.DUMMYFUNCTION("""COMPUTED_VALUE"""),3.0)</f>
        <v>3</v>
      </c>
      <c r="G462" s="190">
        <f>IFERROR(__xludf.DUMMYFUNCTION("""COMPUTED_VALUE"""),4.0)</f>
        <v>4</v>
      </c>
      <c r="H462" s="191" t="str">
        <f>IFERROR(__xludf.DUMMYFUNCTION("""COMPUTED_VALUE"""),"If the Target has no Combatants that are Adjacent to them, they cannot apply Evasion against this Attack. ")</f>
        <v>If the Target has no Combatants that are Adjacent to them, they cannot apply Evasion against this Attack. </v>
      </c>
      <c r="I462" s="191" t="str">
        <f>IFERROR(__xludf.DUMMYFUNCTION("""COMPUTED_VALUE"""),"--")</f>
        <v>--</v>
      </c>
      <c r="J462" s="190" t="str">
        <f>IFERROR(__xludf.DUMMYFUNCTION("""COMPUTED_VALUE"""),"Tier 1")</f>
        <v>Tier 1</v>
      </c>
      <c r="K462" s="174" t="b">
        <f>IFERROR(__xludf.DUMMYFUNCTION("""COMPUTED_VALUE"""),TRUE)</f>
        <v>1</v>
      </c>
      <c r="L462" s="174"/>
      <c r="M462" s="174"/>
      <c r="N462" s="174"/>
      <c r="O462" s="174"/>
      <c r="P462" s="174"/>
      <c r="Q462" s="174"/>
      <c r="R462" s="174"/>
      <c r="S462" s="174"/>
      <c r="T462" s="174"/>
      <c r="U462" s="174"/>
      <c r="V462" s="174"/>
      <c r="W462" s="174"/>
      <c r="X462" s="174"/>
      <c r="Y462" s="174"/>
      <c r="Z462" s="174"/>
    </row>
    <row r="463">
      <c r="A463" s="190" t="str">
        <f>IFERROR(__xludf.DUMMYFUNCTION("""COMPUTED_VALUE"""),"Force Palm")</f>
        <v>Force Palm</v>
      </c>
      <c r="B463" s="190" t="str">
        <f>IFERROR(__xludf.DUMMYFUNCTION("""COMPUTED_VALUE"""),"Fighting")</f>
        <v>Fighting</v>
      </c>
      <c r="C463" s="190" t="str">
        <f>IFERROR(__xludf.DUMMYFUNCTION("""COMPUTED_VALUE"""),"Physical")</f>
        <v>Physical</v>
      </c>
      <c r="D463" s="190" t="str">
        <f>IFERROR(__xludf.DUMMYFUNCTION("""COMPUTED_VALUE"""),"At-Will")</f>
        <v>At-Will</v>
      </c>
      <c r="E463" s="190" t="str">
        <f>IFERROR(__xludf.DUMMYFUNCTION("""COMPUTED_VALUE"""),"Melee, 1 Target")</f>
        <v>Melee, 1 Target</v>
      </c>
      <c r="F463" s="190">
        <f>IFERROR(__xludf.DUMMYFUNCTION("""COMPUTED_VALUE"""),2.0)</f>
        <v>2</v>
      </c>
      <c r="G463" s="190">
        <f>IFERROR(__xludf.DUMMYFUNCTION("""COMPUTED_VALUE"""),6.0)</f>
        <v>6</v>
      </c>
      <c r="H463" s="191" t="str">
        <f>IFERROR(__xludf.DUMMYFUNCTION("""COMPUTED_VALUE"""),"On a roll of 18+, the Target becomes Paralyzed. This may also be used as if it were a Special Category Attack. ")</f>
        <v>On a roll of 18+, the Target becomes Paralyzed. This may also be used as if it were a Special Category Attack. </v>
      </c>
      <c r="I463" s="191" t="str">
        <f>IFERROR(__xludf.DUMMYFUNCTION("""COMPUTED_VALUE"""),"--")</f>
        <v>--</v>
      </c>
      <c r="J463" s="190" t="str">
        <f>IFERROR(__xludf.DUMMYFUNCTION("""COMPUTED_VALUE"""),"Tier 1")</f>
        <v>Tier 1</v>
      </c>
      <c r="K463" s="174" t="b">
        <f>IFERROR(__xludf.DUMMYFUNCTION("""COMPUTED_VALUE"""),TRUE)</f>
        <v>1</v>
      </c>
      <c r="L463" s="174"/>
      <c r="M463" s="174"/>
      <c r="N463" s="174"/>
      <c r="O463" s="174"/>
      <c r="P463" s="174"/>
      <c r="Q463" s="174"/>
      <c r="R463" s="174"/>
      <c r="S463" s="174"/>
      <c r="T463" s="174"/>
      <c r="U463" s="174"/>
      <c r="V463" s="174"/>
      <c r="W463" s="174"/>
      <c r="X463" s="174"/>
      <c r="Y463" s="174"/>
      <c r="Z463" s="174"/>
    </row>
    <row r="464">
      <c r="A464" s="190" t="str">
        <f>IFERROR(__xludf.DUMMYFUNCTION("""COMPUTED_VALUE"""),"Hammer Arm")</f>
        <v>Hammer Arm</v>
      </c>
      <c r="B464" s="190" t="str">
        <f>IFERROR(__xludf.DUMMYFUNCTION("""COMPUTED_VALUE"""),"Fighting")</f>
        <v>Fighting</v>
      </c>
      <c r="C464" s="190" t="str">
        <f>IFERROR(__xludf.DUMMYFUNCTION("""COMPUTED_VALUE"""),"Physical")</f>
        <v>Physical</v>
      </c>
      <c r="D464" s="190" t="str">
        <f>IFERROR(__xludf.DUMMYFUNCTION("""COMPUTED_VALUE"""),"EOT")</f>
        <v>EOT</v>
      </c>
      <c r="E464" s="190" t="str">
        <f>IFERROR(__xludf.DUMMYFUNCTION("""COMPUTED_VALUE"""),"Melee, 1 Target, Recoil 1/3, Reckless, Punch")</f>
        <v>Melee, 1 Target, Recoil 1/3, Reckless, Punch</v>
      </c>
      <c r="F464" s="190">
        <f>IFERROR(__xludf.DUMMYFUNCTION("""COMPUTED_VALUE"""),4.0)</f>
        <v>4</v>
      </c>
      <c r="G464" s="190">
        <f>IFERROR(__xludf.DUMMYFUNCTION("""COMPUTED_VALUE"""),11.0)</f>
        <v>11</v>
      </c>
      <c r="H464" s="191" t="str">
        <f>IFERROR(__xludf.DUMMYFUNCTION("""COMPUTED_VALUE"""),"If the Target is smaller than the user, this has the Sureshot Keyword.")</f>
        <v>If the Target is smaller than the user, this has the Sureshot Keyword.</v>
      </c>
      <c r="I464" s="191" t="str">
        <f>IFERROR(__xludf.DUMMYFUNCTION("""COMPUTED_VALUE"""),"--")</f>
        <v>--</v>
      </c>
      <c r="J464" s="190" t="str">
        <f>IFERROR(__xludf.DUMMYFUNCTION("""COMPUTED_VALUE"""),"Tier 3")</f>
        <v>Tier 3</v>
      </c>
      <c r="K464" s="174" t="b">
        <f>IFERROR(__xludf.DUMMYFUNCTION("""COMPUTED_VALUE"""),TRUE)</f>
        <v>1</v>
      </c>
      <c r="L464" s="174"/>
      <c r="M464" s="174"/>
      <c r="N464" s="174"/>
      <c r="O464" s="174"/>
      <c r="P464" s="174"/>
      <c r="Q464" s="174"/>
      <c r="R464" s="174"/>
      <c r="S464" s="174"/>
      <c r="T464" s="174"/>
      <c r="U464" s="174"/>
      <c r="V464" s="174"/>
      <c r="W464" s="174"/>
      <c r="X464" s="174"/>
      <c r="Y464" s="174"/>
      <c r="Z464" s="174"/>
    </row>
    <row r="465">
      <c r="A465" s="190" t="str">
        <f>IFERROR(__xludf.DUMMYFUNCTION("""COMPUTED_VALUE"""),"High Jump Kick")</f>
        <v>High Jump Kick</v>
      </c>
      <c r="B465" s="190" t="str">
        <f>IFERROR(__xludf.DUMMYFUNCTION("""COMPUTED_VALUE"""),"Fighting")</f>
        <v>Fighting</v>
      </c>
      <c r="C465" s="190" t="str">
        <f>IFERROR(__xludf.DUMMYFUNCTION("""COMPUTED_VALUE"""),"Physical")</f>
        <v>Physical</v>
      </c>
      <c r="D465" s="190" t="str">
        <f>IFERROR(__xludf.DUMMYFUNCTION("""COMPUTED_VALUE"""),"EOT")</f>
        <v>EOT</v>
      </c>
      <c r="E465" s="190" t="str">
        <f>IFERROR(__xludf.DUMMYFUNCTION("""COMPUTED_VALUE"""),"Melee, Dash, 1 Target, Recoil 1/3, Reckless")</f>
        <v>Melee, Dash, 1 Target, Recoil 1/3, Reckless</v>
      </c>
      <c r="F465" s="190">
        <f>IFERROR(__xludf.DUMMYFUNCTION("""COMPUTED_VALUE"""),4.0)</f>
        <v>4</v>
      </c>
      <c r="G465" s="190">
        <f>IFERROR(__xludf.DUMMYFUNCTION("""COMPUTED_VALUE"""),12.0)</f>
        <v>12</v>
      </c>
      <c r="H465" s="191" t="str">
        <f>IFERROR(__xludf.DUMMYFUNCTION("""COMPUTED_VALUE"""),"If the Dash Keyword is Activated, the Recoil Keyword is ignored. If this Attack misses, the user loses a Tick of Hit Points. Smite")</f>
        <v>If the Dash Keyword is Activated, the Recoil Keyword is ignored. If this Attack misses, the user loses a Tick of Hit Points. Smite</v>
      </c>
      <c r="I465" s="191" t="str">
        <f>IFERROR(__xludf.DUMMYFUNCTION("""COMPUTED_VALUE"""),"--")</f>
        <v>--</v>
      </c>
      <c r="J465" s="190" t="str">
        <f>IFERROR(__xludf.DUMMYFUNCTION("""COMPUTED_VALUE"""),"Tier 3")</f>
        <v>Tier 3</v>
      </c>
      <c r="K465" s="174" t="b">
        <f>IFERROR(__xludf.DUMMYFUNCTION("""COMPUTED_VALUE"""),TRUE)</f>
        <v>1</v>
      </c>
      <c r="L465" s="174"/>
      <c r="M465" s="174"/>
      <c r="N465" s="174"/>
      <c r="O465" s="174"/>
      <c r="P465" s="174"/>
      <c r="Q465" s="174"/>
      <c r="R465" s="174"/>
      <c r="S465" s="174"/>
      <c r="T465" s="174"/>
      <c r="U465" s="174"/>
      <c r="V465" s="174"/>
      <c r="W465" s="174"/>
      <c r="X465" s="174"/>
      <c r="Y465" s="174"/>
      <c r="Z465" s="174"/>
    </row>
    <row r="466">
      <c r="A466" s="190" t="str">
        <f>IFERROR(__xludf.DUMMYFUNCTION("""COMPUTED_VALUE"""),"Intense Aura")</f>
        <v>Intense Aura</v>
      </c>
      <c r="B466" s="190" t="str">
        <f>IFERROR(__xludf.DUMMYFUNCTION("""COMPUTED_VALUE"""),"Fighting")</f>
        <v>Fighting</v>
      </c>
      <c r="C466" s="190" t="str">
        <f>IFERROR(__xludf.DUMMYFUNCTION("""COMPUTED_VALUE"""),"Status")</f>
        <v>Status</v>
      </c>
      <c r="D466" s="190" t="str">
        <f>IFERROR(__xludf.DUMMYFUNCTION("""COMPUTED_VALUE"""),"Scene x2")</f>
        <v>Scene x2</v>
      </c>
      <c r="E466" s="190" t="str">
        <f>IFERROR(__xludf.DUMMYFUNCTION("""COMPUTED_VALUE"""),"Blessing, Aura, Versatile")</f>
        <v>Blessing, Aura, Versatile</v>
      </c>
      <c r="F466" s="190" t="str">
        <f>IFERROR(__xludf.DUMMYFUNCTION("""COMPUTED_VALUE"""),"--")</f>
        <v>--</v>
      </c>
      <c r="G466" s="190" t="str">
        <f>IFERROR(__xludf.DUMMYFUNCTION("""COMPUTED_VALUE"""),"--")</f>
        <v>--</v>
      </c>
      <c r="H466" s="191" t="str">
        <f>IFERROR(__xludf.DUMMYFUNCTION("""COMPUTED_VALUE"""),"Blessing - Any user affected by Intense Aura may activate it as a Free Action when using a Fighting Type Damaging Attack to grant it the Smite Keyword. If the Attack hits, it hits, it is also increased by one damage step. (Max 1.5x Effectiveness). Intense"&amp;" Aura may be Activated 3 times and then disappears. ")</f>
        <v>Blessing - Any user affected by Intense Aura may activate it as a Free Action when using a Fighting Type Damaging Attack to grant it the Smite Keyword. If the Attack hits, it hits, it is also increased by one damage step. (Max 1.5x Effectiveness). Intense Aura may be Activated 3 times and then disappears. </v>
      </c>
      <c r="I466" s="191" t="str">
        <f>IFERROR(__xludf.DUMMYFUNCTION("""COMPUTED_VALUE"""),"Same as the normal Effect, but it only has 1 Activation.")</f>
        <v>Same as the normal Effect, but it only has 1 Activation.</v>
      </c>
      <c r="J466" s="190" t="str">
        <f>IFERROR(__xludf.DUMMYFUNCTION("""COMPUTED_VALUE"""),"Tier 2")</f>
        <v>Tier 2</v>
      </c>
      <c r="K466" s="174" t="b">
        <f>IFERROR(__xludf.DUMMYFUNCTION("""COMPUTED_VALUE"""),TRUE)</f>
        <v>1</v>
      </c>
      <c r="L466" s="174"/>
      <c r="M466" s="174"/>
      <c r="N466" s="174"/>
      <c r="O466" s="174"/>
      <c r="P466" s="174"/>
      <c r="Q466" s="174"/>
      <c r="R466" s="174"/>
      <c r="S466" s="174"/>
      <c r="T466" s="174"/>
      <c r="U466" s="174"/>
      <c r="V466" s="174"/>
      <c r="W466" s="174"/>
      <c r="X466" s="174"/>
      <c r="Y466" s="174"/>
      <c r="Z466" s="174"/>
    </row>
    <row r="467">
      <c r="A467" s="190" t="str">
        <f>IFERROR(__xludf.DUMMYFUNCTION("""COMPUTED_VALUE"""),"Jump Kick")</f>
        <v>Jump Kick</v>
      </c>
      <c r="B467" s="190" t="str">
        <f>IFERROR(__xludf.DUMMYFUNCTION("""COMPUTED_VALUE"""),"Fighting")</f>
        <v>Fighting</v>
      </c>
      <c r="C467" s="190" t="str">
        <f>IFERROR(__xludf.DUMMYFUNCTION("""COMPUTED_VALUE"""),"Physical")</f>
        <v>Physical</v>
      </c>
      <c r="D467" s="190" t="str">
        <f>IFERROR(__xludf.DUMMYFUNCTION("""COMPUTED_VALUE"""),"At-Will")</f>
        <v>At-Will</v>
      </c>
      <c r="E467" s="190" t="str">
        <f>IFERROR(__xludf.DUMMYFUNCTION("""COMPUTED_VALUE"""),"Melee, 1 Target, Dash")</f>
        <v>Melee, 1 Target, Dash</v>
      </c>
      <c r="F467" s="190">
        <f>IFERROR(__xludf.DUMMYFUNCTION("""COMPUTED_VALUE"""),3.0)</f>
        <v>3</v>
      </c>
      <c r="G467" s="190">
        <f>IFERROR(__xludf.DUMMYFUNCTION("""COMPUTED_VALUE"""),10.0)</f>
        <v>10</v>
      </c>
      <c r="H467" s="191" t="str">
        <f>IFERROR(__xludf.DUMMYFUNCTION("""COMPUTED_VALUE"""),"If the Dash Keyword is not Activated, this Attack's DB is 6 instead. ")</f>
        <v>If the Dash Keyword is not Activated, this Attack's DB is 6 instead. </v>
      </c>
      <c r="I467" s="191" t="str">
        <f>IFERROR(__xludf.DUMMYFUNCTION("""COMPUTED_VALUE"""),"--")</f>
        <v>--</v>
      </c>
      <c r="J467" s="190" t="str">
        <f>IFERROR(__xludf.DUMMYFUNCTION("""COMPUTED_VALUE"""),"Tier 2")</f>
        <v>Tier 2</v>
      </c>
      <c r="K467" s="174" t="b">
        <f>IFERROR(__xludf.DUMMYFUNCTION("""COMPUTED_VALUE"""),TRUE)</f>
        <v>1</v>
      </c>
      <c r="L467" s="174"/>
      <c r="M467" s="174"/>
      <c r="N467" s="174"/>
      <c r="O467" s="174"/>
      <c r="P467" s="174"/>
      <c r="Q467" s="174"/>
      <c r="R467" s="174"/>
      <c r="S467" s="174"/>
      <c r="T467" s="174"/>
      <c r="U467" s="174"/>
      <c r="V467" s="174"/>
      <c r="W467" s="174"/>
      <c r="X467" s="174"/>
      <c r="Y467" s="174"/>
      <c r="Z467" s="174"/>
    </row>
    <row r="468">
      <c r="A468" s="190" t="str">
        <f>IFERROR(__xludf.DUMMYFUNCTION("""COMPUTED_VALUE"""),"Karate Chop")</f>
        <v>Karate Chop</v>
      </c>
      <c r="B468" s="190" t="str">
        <f>IFERROR(__xludf.DUMMYFUNCTION("""COMPUTED_VALUE"""),"Fighting")</f>
        <v>Fighting</v>
      </c>
      <c r="C468" s="190" t="str">
        <f>IFERROR(__xludf.DUMMYFUNCTION("""COMPUTED_VALUE"""),"Physical")</f>
        <v>Physical</v>
      </c>
      <c r="D468" s="190" t="str">
        <f>IFERROR(__xludf.DUMMYFUNCTION("""COMPUTED_VALUE"""),"At-Will")</f>
        <v>At-Will</v>
      </c>
      <c r="E468" s="190" t="str">
        <f>IFERROR(__xludf.DUMMYFUNCTION("""COMPUTED_VALUE"""),"Melee, 1 Target")</f>
        <v>Melee, 1 Target</v>
      </c>
      <c r="F468" s="190">
        <f>IFERROR(__xludf.DUMMYFUNCTION("""COMPUTED_VALUE"""),2.0)</f>
        <v>2</v>
      </c>
      <c r="G468" s="190">
        <f>IFERROR(__xludf.DUMMYFUNCTION("""COMPUTED_VALUE"""),5.0)</f>
        <v>5</v>
      </c>
      <c r="H468" s="191" t="str">
        <f>IFERROR(__xludf.DUMMYFUNCTION("""COMPUTED_VALUE"""),"Karate Chop is a Critical Hit on a roll of 17+.")</f>
        <v>Karate Chop is a Critical Hit on a roll of 17+.</v>
      </c>
      <c r="I468" s="191" t="str">
        <f>IFERROR(__xludf.DUMMYFUNCTION("""COMPUTED_VALUE"""),"--")</f>
        <v>--</v>
      </c>
      <c r="J468" s="190" t="str">
        <f>IFERROR(__xludf.DUMMYFUNCTION("""COMPUTED_VALUE"""),"Tier 1")</f>
        <v>Tier 1</v>
      </c>
      <c r="K468" s="174" t="b">
        <f>IFERROR(__xludf.DUMMYFUNCTION("""COMPUTED_VALUE"""),TRUE)</f>
        <v>1</v>
      </c>
      <c r="L468" s="174"/>
      <c r="M468" s="174"/>
      <c r="N468" s="174"/>
      <c r="O468" s="174"/>
      <c r="P468" s="174"/>
      <c r="Q468" s="174"/>
      <c r="R468" s="174"/>
      <c r="S468" s="174"/>
      <c r="T468" s="174"/>
      <c r="U468" s="174"/>
      <c r="V468" s="174"/>
      <c r="W468" s="174"/>
      <c r="X468" s="174"/>
      <c r="Y468" s="174"/>
      <c r="Z468" s="174"/>
    </row>
    <row r="469">
      <c r="A469" s="190" t="str">
        <f>IFERROR(__xludf.DUMMYFUNCTION("""COMPUTED_VALUE"""),"Lotus Palm")</f>
        <v>Lotus Palm</v>
      </c>
      <c r="B469" s="190" t="str">
        <f>IFERROR(__xludf.DUMMYFUNCTION("""COMPUTED_VALUE"""),"Fighting")</f>
        <v>Fighting</v>
      </c>
      <c r="C469" s="190" t="str">
        <f>IFERROR(__xludf.DUMMYFUNCTION("""COMPUTED_VALUE"""),"Physical")</f>
        <v>Physical</v>
      </c>
      <c r="D469" s="190" t="str">
        <f>IFERROR(__xludf.DUMMYFUNCTION("""COMPUTED_VALUE"""),"EOT")</f>
        <v>EOT</v>
      </c>
      <c r="E469" s="190" t="str">
        <f>IFERROR(__xludf.DUMMYFUNCTION("""COMPUTED_VALUE"""),"Melee, 1 Target")</f>
        <v>Melee, 1 Target</v>
      </c>
      <c r="F469" s="190">
        <f>IFERROR(__xludf.DUMMYFUNCTION("""COMPUTED_VALUE"""),2.0)</f>
        <v>2</v>
      </c>
      <c r="G469" s="190">
        <f>IFERROR(__xludf.DUMMYFUNCTION("""COMPUTED_VALUE"""),6.0)</f>
        <v>6</v>
      </c>
      <c r="H469" s="191" t="str">
        <f>IFERROR(__xludf.DUMMYFUNCTION("""COMPUTED_VALUE"""),"If the Target has a Physical Affliction, they have a -2 Penalty to Save Checks until the end of their next Turn.")</f>
        <v>If the Target has a Physical Affliction, they have a -2 Penalty to Save Checks until the end of their next Turn.</v>
      </c>
      <c r="I469" s="191" t="str">
        <f>IFERROR(__xludf.DUMMYFUNCTION("""COMPUTED_VALUE"""),"--")</f>
        <v>--</v>
      </c>
      <c r="J469" s="190" t="str">
        <f>IFERROR(__xludf.DUMMYFUNCTION("""COMPUTED_VALUE"""),"Tier 1")</f>
        <v>Tier 1</v>
      </c>
      <c r="K469" s="174" t="b">
        <f>IFERROR(__xludf.DUMMYFUNCTION("""COMPUTED_VALUE"""),TRUE)</f>
        <v>1</v>
      </c>
      <c r="L469" s="174"/>
      <c r="M469" s="174"/>
      <c r="N469" s="174"/>
      <c r="O469" s="174"/>
      <c r="P469" s="174"/>
      <c r="Q469" s="174"/>
      <c r="R469" s="174"/>
      <c r="S469" s="174"/>
      <c r="T469" s="174"/>
      <c r="U469" s="174"/>
      <c r="V469" s="174"/>
      <c r="W469" s="174"/>
      <c r="X469" s="174"/>
      <c r="Y469" s="174"/>
      <c r="Z469" s="174"/>
    </row>
    <row r="470">
      <c r="A470" s="190" t="str">
        <f>IFERROR(__xludf.DUMMYFUNCTION("""COMPUTED_VALUE"""),"Low Kick")</f>
        <v>Low Kick</v>
      </c>
      <c r="B470" s="190" t="str">
        <f>IFERROR(__xludf.DUMMYFUNCTION("""COMPUTED_VALUE"""),"Fighting")</f>
        <v>Fighting</v>
      </c>
      <c r="C470" s="190" t="str">
        <f>IFERROR(__xludf.DUMMYFUNCTION("""COMPUTED_VALUE"""),"Physical")</f>
        <v>Physical</v>
      </c>
      <c r="D470" s="190" t="str">
        <f>IFERROR(__xludf.DUMMYFUNCTION("""COMPUTED_VALUE"""),"EOT")</f>
        <v>EOT</v>
      </c>
      <c r="E470" s="190" t="str">
        <f>IFERROR(__xludf.DUMMYFUNCTION("""COMPUTED_VALUE"""),"Melee, 1 Target ")</f>
        <v>Melee, 1 Target </v>
      </c>
      <c r="F470" s="190">
        <f>IFERROR(__xludf.DUMMYFUNCTION("""COMPUTED_VALUE"""),3.0)</f>
        <v>3</v>
      </c>
      <c r="G470" s="190" t="str">
        <f>IFERROR(__xludf.DUMMYFUNCTION("""COMPUTED_VALUE"""),"X")</f>
        <v>X</v>
      </c>
      <c r="H470" s="191" t="str">
        <f>IFERROR(__xludf.DUMMYFUNCTION("""COMPUTED_VALUE"""),"On a roll of 17+, the Target is Tripped. Low Kick's Damage Base is equal to 3 plus the Target's Weight Class Value. ")</f>
        <v>On a roll of 17+, the Target is Tripped. Low Kick's Damage Base is equal to 3 plus the Target's Weight Class Value. </v>
      </c>
      <c r="I470" s="191" t="str">
        <f>IFERROR(__xludf.DUMMYFUNCTION("""COMPUTED_VALUE"""),"--")</f>
        <v>--</v>
      </c>
      <c r="J470" s="190" t="str">
        <f>IFERROR(__xludf.DUMMYFUNCTION("""COMPUTED_VALUE"""),"Tier 2")</f>
        <v>Tier 2</v>
      </c>
      <c r="K470" s="174" t="b">
        <f>IFERROR(__xludf.DUMMYFUNCTION("""COMPUTED_VALUE"""),TRUE)</f>
        <v>1</v>
      </c>
      <c r="L470" s="174"/>
      <c r="M470" s="174"/>
      <c r="N470" s="174"/>
      <c r="O470" s="174"/>
      <c r="P470" s="174"/>
      <c r="Q470" s="174"/>
      <c r="R470" s="174"/>
      <c r="S470" s="174"/>
      <c r="T470" s="174"/>
      <c r="U470" s="174"/>
      <c r="V470" s="174"/>
      <c r="W470" s="174"/>
      <c r="X470" s="174"/>
      <c r="Y470" s="174"/>
      <c r="Z470" s="174"/>
    </row>
    <row r="471">
      <c r="A471" s="190" t="str">
        <f>IFERROR(__xludf.DUMMYFUNCTION("""COMPUTED_VALUE"""),"Low Sweep")</f>
        <v>Low Sweep</v>
      </c>
      <c r="B471" s="190" t="str">
        <f>IFERROR(__xludf.DUMMYFUNCTION("""COMPUTED_VALUE"""),"Fighting")</f>
        <v>Fighting</v>
      </c>
      <c r="C471" s="190" t="str">
        <f>IFERROR(__xludf.DUMMYFUNCTION("""COMPUTED_VALUE"""),"Physical")</f>
        <v>Physical</v>
      </c>
      <c r="D471" s="190" t="str">
        <f>IFERROR(__xludf.DUMMYFUNCTION("""COMPUTED_VALUE"""),"EOT")</f>
        <v>EOT</v>
      </c>
      <c r="E471" s="190" t="str">
        <f>IFERROR(__xludf.DUMMYFUNCTION("""COMPUTED_VALUE"""),"Melee, 1 Target")</f>
        <v>Melee, 1 Target</v>
      </c>
      <c r="F471" s="190">
        <f>IFERROR(__xludf.DUMMYFUNCTION("""COMPUTED_VALUE"""),2.0)</f>
        <v>2</v>
      </c>
      <c r="G471" s="190">
        <f>IFERROR(__xludf.DUMMYFUNCTION("""COMPUTED_VALUE"""),6.0)</f>
        <v>6</v>
      </c>
      <c r="H471" s="191" t="str">
        <f>IFERROR(__xludf.DUMMYFUNCTION("""COMPUTED_VALUE"""),"On a roll of 17+, the Target is Tripped. If the Target is Slowed or has Negative Speed CS, this Effect Range automatically triggers.")</f>
        <v>On a roll of 17+, the Target is Tripped. If the Target is Slowed or has Negative Speed CS, this Effect Range automatically triggers.</v>
      </c>
      <c r="I471" s="191" t="str">
        <f>IFERROR(__xludf.DUMMYFUNCTION("""COMPUTED_VALUE"""),"--")</f>
        <v>--</v>
      </c>
      <c r="J471" s="190" t="str">
        <f>IFERROR(__xludf.DUMMYFUNCTION("""COMPUTED_VALUE"""),"Tier 1")</f>
        <v>Tier 1</v>
      </c>
      <c r="K471" s="174" t="b">
        <f>IFERROR(__xludf.DUMMYFUNCTION("""COMPUTED_VALUE"""),TRUE)</f>
        <v>1</v>
      </c>
      <c r="L471" s="174"/>
      <c r="M471" s="174"/>
      <c r="N471" s="174"/>
      <c r="O471" s="174"/>
      <c r="P471" s="174"/>
      <c r="Q471" s="174"/>
      <c r="R471" s="174"/>
      <c r="S471" s="174"/>
      <c r="T471" s="174"/>
      <c r="U471" s="174"/>
      <c r="V471" s="174"/>
      <c r="W471" s="174"/>
      <c r="X471" s="174"/>
      <c r="Y471" s="174"/>
      <c r="Z471" s="174"/>
    </row>
    <row r="472">
      <c r="A472" s="190" t="str">
        <f>IFERROR(__xludf.DUMMYFUNCTION("""COMPUTED_VALUE"""),"Mach Punch")</f>
        <v>Mach Punch</v>
      </c>
      <c r="B472" s="190" t="str">
        <f>IFERROR(__xludf.DUMMYFUNCTION("""COMPUTED_VALUE"""),"Fighting")</f>
        <v>Fighting</v>
      </c>
      <c r="C472" s="190" t="str">
        <f>IFERROR(__xludf.DUMMYFUNCTION("""COMPUTED_VALUE"""),"Physical")</f>
        <v>Physical</v>
      </c>
      <c r="D472" s="190" t="str">
        <f>IFERROR(__xludf.DUMMYFUNCTION("""COMPUTED_VALUE"""),"At-Will")</f>
        <v>At-Will</v>
      </c>
      <c r="E472" s="190" t="str">
        <f>IFERROR(__xludf.DUMMYFUNCTION("""COMPUTED_VALUE"""),"Melee, 1 Target, Priority, Punch")</f>
        <v>Melee, 1 Target, Priority, Punch</v>
      </c>
      <c r="F472" s="190">
        <f>IFERROR(__xludf.DUMMYFUNCTION("""COMPUTED_VALUE"""),2.0)</f>
        <v>2</v>
      </c>
      <c r="G472" s="190">
        <f>IFERROR(__xludf.DUMMYFUNCTION("""COMPUTED_VALUE"""),4.0)</f>
        <v>4</v>
      </c>
      <c r="H472" s="191" t="str">
        <f>IFERROR(__xludf.DUMMYFUNCTION("""COMPUTED_VALUE"""),"--")</f>
        <v>--</v>
      </c>
      <c r="I472" s="191" t="str">
        <f>IFERROR(__xludf.DUMMYFUNCTION("""COMPUTED_VALUE"""),"--")</f>
        <v>--</v>
      </c>
      <c r="J472" s="190" t="str">
        <f>IFERROR(__xludf.DUMMYFUNCTION("""COMPUTED_VALUE"""),"Tier 1")</f>
        <v>Tier 1</v>
      </c>
      <c r="K472" s="174" t="b">
        <f>IFERROR(__xludf.DUMMYFUNCTION("""COMPUTED_VALUE"""),TRUE)</f>
        <v>1</v>
      </c>
      <c r="L472" s="174"/>
      <c r="M472" s="174"/>
      <c r="N472" s="174"/>
      <c r="O472" s="174"/>
      <c r="P472" s="174"/>
      <c r="Q472" s="174"/>
      <c r="R472" s="174"/>
      <c r="S472" s="174"/>
      <c r="T472" s="174"/>
      <c r="U472" s="174"/>
      <c r="V472" s="174"/>
      <c r="W472" s="174"/>
      <c r="X472" s="174"/>
      <c r="Y472" s="174"/>
      <c r="Z472" s="174"/>
    </row>
    <row r="473">
      <c r="A473" s="190" t="str">
        <f>IFERROR(__xludf.DUMMYFUNCTION("""COMPUTED_VALUE"""),"Mat Block")</f>
        <v>Mat Block</v>
      </c>
      <c r="B473" s="190" t="str">
        <f>IFERROR(__xludf.DUMMYFUNCTION("""COMPUTED_VALUE"""),"Fighting")</f>
        <v>Fighting</v>
      </c>
      <c r="C473" s="190" t="str">
        <f>IFERROR(__xludf.DUMMYFUNCTION("""COMPUTED_VALUE"""),"Status")</f>
        <v>Status</v>
      </c>
      <c r="D473" s="190" t="str">
        <f>IFERROR(__xludf.DUMMYFUNCTION("""COMPUTED_VALUE"""),"Scene x2")</f>
        <v>Scene x2</v>
      </c>
      <c r="E473" s="190" t="str">
        <f>IFERROR(__xludf.DUMMYFUNCTION("""COMPUTED_VALUE"""),"Self, Trigger, Shield")</f>
        <v>Self, Trigger, Shield</v>
      </c>
      <c r="F473" s="190" t="str">
        <f>IFERROR(__xludf.DUMMYFUNCTION("""COMPUTED_VALUE"""),"--")</f>
        <v>--</v>
      </c>
      <c r="G473" s="190" t="str">
        <f>IFERROR(__xludf.DUMMYFUNCTION("""COMPUTED_VALUE"""),"--")</f>
        <v>--</v>
      </c>
      <c r="H473" s="191" t="str">
        <f>IFERROR(__xludf.DUMMYFUNCTION("""COMPUTED_VALUE"""),"If the user or an adjacent ally is hit by a damaging attack, the user may use Mat Block as a Standard Action + Reaction. The attack instead does not hit any Targets, and it deals no damage and has no effects. The user must be adjacent to Cover or Blocking"&amp;" Terrain in order to use this Attack. ")</f>
        <v>If the user or an adjacent ally is hit by a damaging attack, the user may use Mat Block as a Standard Action + Reaction. The attack instead does not hit any Targets, and it deals no damage and has no effects. The user must be adjacent to Cover or Blocking Terrain in order to use this Attack. </v>
      </c>
      <c r="I473" s="191" t="str">
        <f>IFERROR(__xludf.DUMMYFUNCTION("""COMPUTED_VALUE"""),"--")</f>
        <v>--</v>
      </c>
      <c r="J473" s="190" t="str">
        <f>IFERROR(__xludf.DUMMYFUNCTION("""COMPUTED_VALUE"""),"Tier 2")</f>
        <v>Tier 2</v>
      </c>
      <c r="K473" s="174" t="b">
        <f>IFERROR(__xludf.DUMMYFUNCTION("""COMPUTED_VALUE"""),FALSE)</f>
        <v>0</v>
      </c>
      <c r="L473" s="174"/>
      <c r="M473" s="174"/>
      <c r="N473" s="174"/>
      <c r="O473" s="174"/>
      <c r="P473" s="174"/>
      <c r="Q473" s="174"/>
      <c r="R473" s="174"/>
      <c r="S473" s="174"/>
      <c r="T473" s="174"/>
      <c r="U473" s="174"/>
      <c r="V473" s="174"/>
      <c r="W473" s="174"/>
      <c r="X473" s="174"/>
      <c r="Y473" s="174"/>
      <c r="Z473" s="174"/>
    </row>
    <row r="474">
      <c r="A474" s="190" t="str">
        <f>IFERROR(__xludf.DUMMYFUNCTION("""COMPUTED_VALUE"""),"Megaton Shove")</f>
        <v>Megaton Shove</v>
      </c>
      <c r="B474" s="190" t="str">
        <f>IFERROR(__xludf.DUMMYFUNCTION("""COMPUTED_VALUE"""),"Fighting")</f>
        <v>Fighting</v>
      </c>
      <c r="C474" s="190" t="str">
        <f>IFERROR(__xludf.DUMMYFUNCTION("""COMPUTED_VALUE"""),"Physical")</f>
        <v>Physical</v>
      </c>
      <c r="D474" s="190" t="str">
        <f>IFERROR(__xludf.DUMMYFUNCTION("""COMPUTED_VALUE"""),"EOT")</f>
        <v>EOT</v>
      </c>
      <c r="E474" s="190" t="str">
        <f>IFERROR(__xludf.DUMMYFUNCTION("""COMPUTED_VALUE"""),"Melee, 1 Target")</f>
        <v>Melee, 1 Target</v>
      </c>
      <c r="F474" s="190">
        <f>IFERROR(__xludf.DUMMYFUNCTION("""COMPUTED_VALUE"""),3.0)</f>
        <v>3</v>
      </c>
      <c r="G474" s="190">
        <f>IFERROR(__xludf.DUMMYFUNCTION("""COMPUTED_VALUE"""),8.0)</f>
        <v>8</v>
      </c>
      <c r="H474" s="191" t="str">
        <f>IFERROR(__xludf.DUMMYFUNCTION("""COMPUTED_VALUE"""),"The Target is Tripped on a roll of 18+. When declaring Megaton Shove you may increase the AC by up to +5. If the Target is hit, they Slide X (Away), where X is the amount of AC increased. Smite. Spirit Surge")</f>
        <v>The Target is Tripped on a roll of 18+. When declaring Megaton Shove you may increase the AC by up to +5. If the Target is hit, they Slide X (Away), where X is the amount of AC increased. Smite. Spirit Surge</v>
      </c>
      <c r="I474" s="191" t="str">
        <f>IFERROR(__xludf.DUMMYFUNCTION("""COMPUTED_VALUE"""),"--")</f>
        <v>--</v>
      </c>
      <c r="J474" s="190" t="str">
        <f>IFERROR(__xludf.DUMMYFUNCTION("""COMPUTED_VALUE"""),"Tier 2")</f>
        <v>Tier 2</v>
      </c>
      <c r="K474" s="174" t="b">
        <f>IFERROR(__xludf.DUMMYFUNCTION("""COMPUTED_VALUE"""),TRUE)</f>
        <v>1</v>
      </c>
      <c r="L474" s="174"/>
      <c r="M474" s="174"/>
      <c r="N474" s="174"/>
      <c r="O474" s="174"/>
      <c r="P474" s="174"/>
      <c r="Q474" s="174"/>
      <c r="R474" s="174"/>
      <c r="S474" s="174"/>
      <c r="T474" s="174"/>
      <c r="U474" s="174"/>
      <c r="V474" s="174"/>
      <c r="W474" s="174"/>
      <c r="X474" s="174"/>
      <c r="Y474" s="174"/>
      <c r="Z474" s="174"/>
    </row>
    <row r="475">
      <c r="A475" s="190" t="str">
        <f>IFERROR(__xludf.DUMMYFUNCTION("""COMPUTED_VALUE"""),"Meteor Assault")</f>
        <v>Meteor Assault</v>
      </c>
      <c r="B475" s="190" t="str">
        <f>IFERROR(__xludf.DUMMYFUNCTION("""COMPUTED_VALUE"""),"Fighting")</f>
        <v>Fighting</v>
      </c>
      <c r="C475" s="190" t="str">
        <f>IFERROR(__xludf.DUMMYFUNCTION("""COMPUTED_VALUE"""),"Physical")</f>
        <v>Physical</v>
      </c>
      <c r="D475" s="190" t="str">
        <f>IFERROR(__xludf.DUMMYFUNCTION("""COMPUTED_VALUE"""),"Scene")</f>
        <v>Scene</v>
      </c>
      <c r="E475" s="190" t="str">
        <f>IFERROR(__xludf.DUMMYFUNCTION("""COMPUTED_VALUE"""),"Melee, Pass, Set-Up, Reckless")</f>
        <v>Melee, Pass, Set-Up, Reckless</v>
      </c>
      <c r="F475" s="190" t="str">
        <f>IFERROR(__xludf.DUMMYFUNCTION("""COMPUTED_VALUE"""),"--")</f>
        <v>--</v>
      </c>
      <c r="G475" s="190">
        <f>IFERROR(__xludf.DUMMYFUNCTION("""COMPUTED_VALUE"""),13.0)</f>
        <v>13</v>
      </c>
      <c r="H475" s="191" t="str">
        <f>IFERROR(__xludf.DUMMYFUNCTION("""COMPUTED_VALUE"""),"Charge Effect: No Effect.
Resolution Effect: Unless at least 3 Charge Tokens were expended, the user becomes Vulnerable for the rest of the Scene and Slowed. Sureshot.")</f>
        <v>Charge Effect: No Effect.
Resolution Effect: Unless at least 3 Charge Tokens were expended, the user becomes Vulnerable for the rest of the Scene and Slowed. Sureshot.</v>
      </c>
      <c r="I475" s="191" t="str">
        <f>IFERROR(__xludf.DUMMYFUNCTION("""COMPUTED_VALUE"""),"--")</f>
        <v>--</v>
      </c>
      <c r="J475" s="190" t="str">
        <f>IFERROR(__xludf.DUMMYFUNCTION("""COMPUTED_VALUE"""),"Tier 3")</f>
        <v>Tier 3</v>
      </c>
      <c r="K475" s="174" t="b">
        <f>IFERROR(__xludf.DUMMYFUNCTION("""COMPUTED_VALUE"""),TRUE)</f>
        <v>1</v>
      </c>
      <c r="L475" s="174"/>
      <c r="M475" s="174"/>
      <c r="N475" s="174"/>
      <c r="O475" s="174"/>
      <c r="P475" s="174"/>
      <c r="Q475" s="174"/>
      <c r="R475" s="174"/>
      <c r="S475" s="174"/>
      <c r="T475" s="174"/>
      <c r="U475" s="174"/>
      <c r="V475" s="174"/>
      <c r="W475" s="174"/>
      <c r="X475" s="174"/>
      <c r="Y475" s="174"/>
      <c r="Z475" s="174"/>
    </row>
    <row r="476">
      <c r="A476" s="190" t="str">
        <f>IFERROR(__xludf.DUMMYFUNCTION("""COMPUTED_VALUE"""),"No Retreat")</f>
        <v>No Retreat</v>
      </c>
      <c r="B476" s="190" t="str">
        <f>IFERROR(__xludf.DUMMYFUNCTION("""COMPUTED_VALUE"""),"Fighting")</f>
        <v>Fighting</v>
      </c>
      <c r="C476" s="190" t="str">
        <f>IFERROR(__xludf.DUMMYFUNCTION("""COMPUTED_VALUE"""),"Status")</f>
        <v>Status</v>
      </c>
      <c r="D476" s="190" t="str">
        <f>IFERROR(__xludf.DUMMYFUNCTION("""COMPUTED_VALUE"""),"Scene")</f>
        <v>Scene</v>
      </c>
      <c r="E476" s="190" t="str">
        <f>IFERROR(__xludf.DUMMYFUNCTION("""COMPUTED_VALUE"""),"Self, Coat")</f>
        <v>Self, Coat</v>
      </c>
      <c r="F476" s="190" t="str">
        <f>IFERROR(__xludf.DUMMYFUNCTION("""COMPUTED_VALUE"""),"--")</f>
        <v>--</v>
      </c>
      <c r="G476" s="190" t="str">
        <f>IFERROR(__xludf.DUMMYFUNCTION("""COMPUTED_VALUE"""),"--")</f>
        <v>--</v>
      </c>
      <c r="H476" s="191" t="str">
        <f>IFERROR(__xludf.DUMMYFUNCTION("""COMPUTED_VALUE"""),"The user gains a Bravery Coat. While the user has a Bravery Coat, at the end of their Turn they gain +1 CS in a Stat of their choice, they gain a Tick of Temporary Hit Points and they restore a Tick of Hit Points. While the user has a Bravery Coat they ca"&amp;"nnot be recalled.")</f>
        <v>The user gains a Bravery Coat. While the user has a Bravery Coat, at the end of their Turn they gain +1 CS in a Stat of their choice, they gain a Tick of Temporary Hit Points and they restore a Tick of Hit Points. While the user has a Bravery Coat they cannot be recalled.</v>
      </c>
      <c r="I476" s="191" t="str">
        <f>IFERROR(__xludf.DUMMYFUNCTION("""COMPUTED_VALUE"""),"--")</f>
        <v>--</v>
      </c>
      <c r="J476" s="190" t="str">
        <f>IFERROR(__xludf.DUMMYFUNCTION("""COMPUTED_VALUE"""),"Tier 3")</f>
        <v>Tier 3</v>
      </c>
      <c r="K476" s="174" t="b">
        <f>IFERROR(__xludf.DUMMYFUNCTION("""COMPUTED_VALUE"""),TRUE)</f>
        <v>1</v>
      </c>
      <c r="L476" s="174"/>
      <c r="M476" s="174"/>
      <c r="N476" s="174"/>
      <c r="O476" s="174"/>
      <c r="P476" s="174"/>
      <c r="Q476" s="174"/>
      <c r="R476" s="174"/>
      <c r="S476" s="174"/>
      <c r="T476" s="174"/>
      <c r="U476" s="174"/>
      <c r="V476" s="174"/>
      <c r="W476" s="174"/>
      <c r="X476" s="174"/>
      <c r="Y476" s="174"/>
      <c r="Z476" s="174"/>
    </row>
    <row r="477">
      <c r="A477" s="190" t="str">
        <f>IFERROR(__xludf.DUMMYFUNCTION("""COMPUTED_VALUE"""),"Octolock")</f>
        <v>Octolock</v>
      </c>
      <c r="B477" s="190" t="str">
        <f>IFERROR(__xludf.DUMMYFUNCTION("""COMPUTED_VALUE"""),"Fighting")</f>
        <v>Fighting</v>
      </c>
      <c r="C477" s="190" t="str">
        <f>IFERROR(__xludf.DUMMYFUNCTION("""COMPUTED_VALUE"""),"Status")</f>
        <v>Status</v>
      </c>
      <c r="D477" s="190" t="str">
        <f>IFERROR(__xludf.DUMMYFUNCTION("""COMPUTED_VALUE"""),"Scene")</f>
        <v>Scene</v>
      </c>
      <c r="E477" s="190" t="str">
        <f>IFERROR(__xludf.DUMMYFUNCTION("""COMPUTED_VALUE"""),"Melee, 1 Target")</f>
        <v>Melee, 1 Target</v>
      </c>
      <c r="F477" s="190">
        <f>IFERROR(__xludf.DUMMYFUNCTION("""COMPUTED_VALUE"""),3.0)</f>
        <v>3</v>
      </c>
      <c r="G477" s="190" t="str">
        <f>IFERROR(__xludf.DUMMYFUNCTION("""COMPUTED_VALUE"""),"--")</f>
        <v>--</v>
      </c>
      <c r="H477" s="191" t="str">
        <f>IFERROR(__xludf.DUMMYFUNCTION("""COMPUTED_VALUE"""),"The user initiates a Grapple Maneuver with the Target, which automatically hits. If successful, until the user no longer has Dominance in the grapple, the Target is Trapped and loses -1 CS in Defense and Special Defense at the end of each of their turns.")</f>
        <v>The user initiates a Grapple Maneuver with the Target, which automatically hits. If successful, until the user no longer has Dominance in the grapple, the Target is Trapped and loses -1 CS in Defense and Special Defense at the end of each of their turns.</v>
      </c>
      <c r="I477" s="191" t="str">
        <f>IFERROR(__xludf.DUMMYFUNCTION("""COMPUTED_VALUE"""),"--")</f>
        <v>--</v>
      </c>
      <c r="J477" s="190" t="str">
        <f>IFERROR(__xludf.DUMMYFUNCTION("""COMPUTED_VALUE"""),"Tier 3")</f>
        <v>Tier 3</v>
      </c>
      <c r="K477" s="174" t="b">
        <f>IFERROR(__xludf.DUMMYFUNCTION("""COMPUTED_VALUE"""),TRUE)</f>
        <v>1</v>
      </c>
      <c r="L477" s="174"/>
      <c r="M477" s="174"/>
      <c r="N477" s="174"/>
      <c r="O477" s="174"/>
      <c r="P477" s="174"/>
      <c r="Q477" s="174"/>
      <c r="R477" s="174"/>
      <c r="S477" s="174"/>
      <c r="T477" s="174"/>
      <c r="U477" s="174"/>
      <c r="V477" s="174"/>
      <c r="W477" s="174"/>
      <c r="X477" s="174"/>
      <c r="Y477" s="174"/>
      <c r="Z477" s="174"/>
    </row>
    <row r="478">
      <c r="A478" s="190" t="str">
        <f>IFERROR(__xludf.DUMMYFUNCTION("""COMPUTED_VALUE"""),"Power-Up Punch")</f>
        <v>Power-Up Punch</v>
      </c>
      <c r="B478" s="190" t="str">
        <f>IFERROR(__xludf.DUMMYFUNCTION("""COMPUTED_VALUE"""),"Fighting")</f>
        <v>Fighting</v>
      </c>
      <c r="C478" s="190" t="str">
        <f>IFERROR(__xludf.DUMMYFUNCTION("""COMPUTED_VALUE"""),"Physical")</f>
        <v>Physical</v>
      </c>
      <c r="D478" s="190" t="str">
        <f>IFERROR(__xludf.DUMMYFUNCTION("""COMPUTED_VALUE"""),"EOT")</f>
        <v>EOT</v>
      </c>
      <c r="E478" s="190" t="str">
        <f>IFERROR(__xludf.DUMMYFUNCTION("""COMPUTED_VALUE"""),"Melee, 1 Target, Full Action, Punch")</f>
        <v>Melee, 1 Target, Full Action, Punch</v>
      </c>
      <c r="F478" s="190">
        <f>IFERROR(__xludf.DUMMYFUNCTION("""COMPUTED_VALUE"""),3.0)</f>
        <v>3</v>
      </c>
      <c r="G478" s="190">
        <f>IFERROR(__xludf.DUMMYFUNCTION("""COMPUTED_VALUE"""),5.0)</f>
        <v>5</v>
      </c>
      <c r="H478" s="191" t="str">
        <f>IFERROR(__xludf.DUMMYFUNCTION("""COMPUTED_VALUE"""),"The user gains +1 CS in Attack. Spirit Surge")</f>
        <v>The user gains +1 CS in Attack. Spirit Surge</v>
      </c>
      <c r="I478" s="191" t="str">
        <f>IFERROR(__xludf.DUMMYFUNCTION("""COMPUTED_VALUE"""),"--")</f>
        <v>--</v>
      </c>
      <c r="J478" s="190" t="str">
        <f>IFERROR(__xludf.DUMMYFUNCTION("""COMPUTED_VALUE"""),"Tier 1")</f>
        <v>Tier 1</v>
      </c>
      <c r="K478" s="174" t="b">
        <f>IFERROR(__xludf.DUMMYFUNCTION("""COMPUTED_VALUE"""),TRUE)</f>
        <v>1</v>
      </c>
      <c r="L478" s="174"/>
      <c r="M478" s="174"/>
      <c r="N478" s="174"/>
      <c r="O478" s="174"/>
      <c r="P478" s="174"/>
      <c r="Q478" s="174"/>
      <c r="R478" s="174"/>
      <c r="S478" s="174"/>
      <c r="T478" s="174"/>
      <c r="U478" s="174"/>
      <c r="V478" s="174"/>
      <c r="W478" s="174"/>
      <c r="X478" s="174"/>
      <c r="Y478" s="174"/>
      <c r="Z478" s="174"/>
    </row>
    <row r="479">
      <c r="A479" s="190" t="str">
        <f>IFERROR(__xludf.DUMMYFUNCTION("""COMPUTED_VALUE"""),"Pressure Point")</f>
        <v>Pressure Point</v>
      </c>
      <c r="B479" s="190" t="str">
        <f>IFERROR(__xludf.DUMMYFUNCTION("""COMPUTED_VALUE"""),"Fighting")</f>
        <v>Fighting</v>
      </c>
      <c r="C479" s="190" t="str">
        <f>IFERROR(__xludf.DUMMYFUNCTION("""COMPUTED_VALUE"""),"Special")</f>
        <v>Special</v>
      </c>
      <c r="D479" s="190" t="str">
        <f>IFERROR(__xludf.DUMMYFUNCTION("""COMPUTED_VALUE"""),"EOT")</f>
        <v>EOT</v>
      </c>
      <c r="E479" s="190" t="str">
        <f>IFERROR(__xludf.DUMMYFUNCTION("""COMPUTED_VALUE"""),"Melee, 1 Target")</f>
        <v>Melee, 1 Target</v>
      </c>
      <c r="F479" s="190">
        <f>IFERROR(__xludf.DUMMYFUNCTION("""COMPUTED_VALUE"""),3.0)</f>
        <v>3</v>
      </c>
      <c r="G479" s="190">
        <f>IFERROR(__xludf.DUMMYFUNCTION("""COMPUTED_VALUE"""),8.0)</f>
        <v>8</v>
      </c>
      <c r="H479" s="191" t="str">
        <f>IFERROR(__xludf.DUMMYFUNCTION("""COMPUTED_VALUE"""),"On a roll of 17+, the Target becomes Weakened until the end of their next Turn. A Combatant can only be Weakened this way once per Scene.")</f>
        <v>On a roll of 17+, the Target becomes Weakened until the end of their next Turn. A Combatant can only be Weakened this way once per Scene.</v>
      </c>
      <c r="I479" s="191" t="str">
        <f>IFERROR(__xludf.DUMMYFUNCTION("""COMPUTED_VALUE"""),"--")</f>
        <v>--</v>
      </c>
      <c r="J479" s="190" t="str">
        <f>IFERROR(__xludf.DUMMYFUNCTION("""COMPUTED_VALUE"""),"Tier 2")</f>
        <v>Tier 2</v>
      </c>
      <c r="K479" s="174" t="b">
        <f>IFERROR(__xludf.DUMMYFUNCTION("""COMPUTED_VALUE"""),TRUE)</f>
        <v>1</v>
      </c>
      <c r="L479" s="174"/>
      <c r="M479" s="174"/>
      <c r="N479" s="174"/>
      <c r="O479" s="174"/>
      <c r="P479" s="174"/>
      <c r="Q479" s="174"/>
      <c r="R479" s="174"/>
      <c r="S479" s="174"/>
      <c r="T479" s="174"/>
      <c r="U479" s="174"/>
      <c r="V479" s="174"/>
      <c r="W479" s="174"/>
      <c r="X479" s="174"/>
      <c r="Y479" s="174"/>
      <c r="Z479" s="174"/>
    </row>
    <row r="480">
      <c r="A480" s="190" t="str">
        <f>IFERROR(__xludf.DUMMYFUNCTION("""COMPUTED_VALUE"""),"Quick Guard")</f>
        <v>Quick Guard</v>
      </c>
      <c r="B480" s="190" t="str">
        <f>IFERROR(__xludf.DUMMYFUNCTION("""COMPUTED_VALUE"""),"Fighting")</f>
        <v>Fighting</v>
      </c>
      <c r="C480" s="190" t="str">
        <f>IFERROR(__xludf.DUMMYFUNCTION("""COMPUTED_VALUE"""),"Status")</f>
        <v>Status</v>
      </c>
      <c r="D480" s="190" t="str">
        <f>IFERROR(__xludf.DUMMYFUNCTION("""COMPUTED_VALUE"""),"Scene x2")</f>
        <v>Scene x2</v>
      </c>
      <c r="E480" s="190" t="str">
        <f>IFERROR(__xludf.DUMMYFUNCTION("""COMPUTED_VALUE"""),"Self, Shield, Trigger")</f>
        <v>Self, Shield, Trigger</v>
      </c>
      <c r="F480" s="190" t="str">
        <f>IFERROR(__xludf.DUMMYFUNCTION("""COMPUTED_VALUE"""),"--")</f>
        <v>--</v>
      </c>
      <c r="G480" s="190" t="str">
        <f>IFERROR(__xludf.DUMMYFUNCTION("""COMPUTED_VALUE"""),"--")</f>
        <v>--</v>
      </c>
      <c r="H480" s="191" t="str">
        <f>IFERROR(__xludf.DUMMYFUNCTION("""COMPUTED_VALUE"""),"If an adjacent ally is hit by a 1-Target Attack, Quick Guard may be declared as a Swift Action + Reaction, causing the triggering attack to hit you instead. You may use your Speed Stat instead of the relevant Defense Stat when calculating damage.")</f>
        <v>If an adjacent ally is hit by a 1-Target Attack, Quick Guard may be declared as a Swift Action + Reaction, causing the triggering attack to hit you instead. You may use your Speed Stat instead of the relevant Defense Stat when calculating damage.</v>
      </c>
      <c r="I480" s="191" t="str">
        <f>IFERROR(__xludf.DUMMYFUNCTION("""COMPUTED_VALUE"""),"--")</f>
        <v>--</v>
      </c>
      <c r="J480" s="190" t="str">
        <f>IFERROR(__xludf.DUMMYFUNCTION("""COMPUTED_VALUE"""),"Tier 2")</f>
        <v>Tier 2</v>
      </c>
      <c r="K480" s="174" t="b">
        <f>IFERROR(__xludf.DUMMYFUNCTION("""COMPUTED_VALUE"""),FALSE)</f>
        <v>0</v>
      </c>
      <c r="L480" s="174"/>
      <c r="M480" s="174"/>
      <c r="N480" s="174"/>
      <c r="O480" s="174"/>
      <c r="P480" s="174"/>
      <c r="Q480" s="174"/>
      <c r="R480" s="174"/>
      <c r="S480" s="174"/>
      <c r="T480" s="174"/>
      <c r="U480" s="174"/>
      <c r="V480" s="174"/>
      <c r="W480" s="174"/>
      <c r="X480" s="174"/>
      <c r="Y480" s="174"/>
      <c r="Z480" s="174"/>
    </row>
    <row r="481">
      <c r="A481" s="190" t="str">
        <f>IFERROR(__xludf.DUMMYFUNCTION("""COMPUTED_VALUE"""),"Raging Bull")</f>
        <v>Raging Bull</v>
      </c>
      <c r="B481" s="190" t="str">
        <f>IFERROR(__xludf.DUMMYFUNCTION("""COMPUTED_VALUE"""),"Fighting")</f>
        <v>Fighting</v>
      </c>
      <c r="C481" s="190" t="str">
        <f>IFERROR(__xludf.DUMMYFUNCTION("""COMPUTED_VALUE"""),"Physical")</f>
        <v>Physical</v>
      </c>
      <c r="D481" s="190" t="str">
        <f>IFERROR(__xludf.DUMMYFUNCTION("""COMPUTED_VALUE"""),"EOT")</f>
        <v>EOT</v>
      </c>
      <c r="E481" s="190" t="str">
        <f>IFERROR(__xludf.DUMMYFUNCTION("""COMPUTED_VALUE"""),"Melee, Pass or all Adjacent Enemies")</f>
        <v>Melee, Pass or all Adjacent Enemies</v>
      </c>
      <c r="F481" s="190">
        <f>IFERROR(__xludf.DUMMYFUNCTION("""COMPUTED_VALUE"""),5.0)</f>
        <v>5</v>
      </c>
      <c r="G481" s="190">
        <f>IFERROR(__xludf.DUMMYFUNCTION("""COMPUTED_VALUE"""),9.0)</f>
        <v>9</v>
      </c>
      <c r="H481" s="191" t="str">
        <f>IFERROR(__xludf.DUMMYFUNCTION("""COMPUTED_VALUE"""),"The Target cannot use Attacks with the Shield Keyword as a response to this Attack. If the user is Enraged, Raging Bull has the Smite Keyword.")</f>
        <v>The Target cannot use Attacks with the Shield Keyword as a response to this Attack. If the user is Enraged, Raging Bull has the Smite Keyword.</v>
      </c>
      <c r="I481" s="191" t="str">
        <f>IFERROR(__xludf.DUMMYFUNCTION("""COMPUTED_VALUE"""),"--")</f>
        <v>--</v>
      </c>
      <c r="J481" s="190" t="str">
        <f>IFERROR(__xludf.DUMMYFUNCTION("""COMPUTED_VALUE"""),"Tier 2")</f>
        <v>Tier 2</v>
      </c>
      <c r="K481" s="174" t="b">
        <f>IFERROR(__xludf.DUMMYFUNCTION("""COMPUTED_VALUE"""),TRUE)</f>
        <v>1</v>
      </c>
      <c r="L481" s="174"/>
      <c r="M481" s="174"/>
      <c r="N481" s="174"/>
      <c r="O481" s="174"/>
      <c r="P481" s="174"/>
      <c r="Q481" s="174"/>
      <c r="R481" s="174"/>
      <c r="S481" s="174"/>
      <c r="T481" s="174"/>
      <c r="U481" s="174"/>
      <c r="V481" s="174"/>
      <c r="W481" s="174"/>
      <c r="X481" s="174"/>
      <c r="Y481" s="174"/>
      <c r="Z481" s="174"/>
    </row>
    <row r="482">
      <c r="A482" s="190" t="str">
        <f>IFERROR(__xludf.DUMMYFUNCTION("""COMPUTED_VALUE"""),"Revenge")</f>
        <v>Revenge</v>
      </c>
      <c r="B482" s="190" t="str">
        <f>IFERROR(__xludf.DUMMYFUNCTION("""COMPUTED_VALUE"""),"Fighting")</f>
        <v>Fighting</v>
      </c>
      <c r="C482" s="190" t="str">
        <f>IFERROR(__xludf.DUMMYFUNCTION("""COMPUTED_VALUE"""),"Physical")</f>
        <v>Physical</v>
      </c>
      <c r="D482" s="190" t="str">
        <f>IFERROR(__xludf.DUMMYFUNCTION("""COMPUTED_VALUE"""),"EOT")</f>
        <v>EOT</v>
      </c>
      <c r="E482" s="190" t="str">
        <f>IFERROR(__xludf.DUMMYFUNCTION("""COMPUTED_VALUE"""),"Melee, 1 Target")</f>
        <v>Melee, 1 Target</v>
      </c>
      <c r="F482" s="190">
        <f>IFERROR(__xludf.DUMMYFUNCTION("""COMPUTED_VALUE"""),4.0)</f>
        <v>4</v>
      </c>
      <c r="G482" s="190">
        <f>IFERROR(__xludf.DUMMYFUNCTION("""COMPUTED_VALUE"""),6.0)</f>
        <v>6</v>
      </c>
      <c r="H482" s="191" t="str">
        <f>IFERROR(__xludf.DUMMYFUNCTION("""COMPUTED_VALUE"""),"If the Target hit the user with an Attack since the user's last turn, Revenge instead has a Damage Base of 12.")</f>
        <v>If the Target hit the user with an Attack since the user's last turn, Revenge instead has a Damage Base of 12.</v>
      </c>
      <c r="I482" s="191" t="str">
        <f>IFERROR(__xludf.DUMMYFUNCTION("""COMPUTED_VALUE"""),"--")</f>
        <v>--</v>
      </c>
      <c r="J482" s="190" t="str">
        <f>IFERROR(__xludf.DUMMYFUNCTION("""COMPUTED_VALUE"""),"Tier 2")</f>
        <v>Tier 2</v>
      </c>
      <c r="K482" s="174" t="b">
        <f>IFERROR(__xludf.DUMMYFUNCTION("""COMPUTED_VALUE"""),TRUE)</f>
        <v>1</v>
      </c>
      <c r="L482" s="174"/>
      <c r="M482" s="174"/>
      <c r="N482" s="174"/>
      <c r="O482" s="174"/>
      <c r="P482" s="174"/>
      <c r="Q482" s="174"/>
      <c r="R482" s="174"/>
      <c r="S482" s="174"/>
      <c r="T482" s="174"/>
      <c r="U482" s="174"/>
      <c r="V482" s="174"/>
      <c r="W482" s="174"/>
      <c r="X482" s="174"/>
      <c r="Y482" s="174"/>
      <c r="Z482" s="174"/>
    </row>
    <row r="483">
      <c r="A483" s="190" t="str">
        <f>IFERROR(__xludf.DUMMYFUNCTION("""COMPUTED_VALUE"""),"Reversal")</f>
        <v>Reversal</v>
      </c>
      <c r="B483" s="190" t="str">
        <f>IFERROR(__xludf.DUMMYFUNCTION("""COMPUTED_VALUE"""),"Fighting")</f>
        <v>Fighting</v>
      </c>
      <c r="C483" s="190" t="str">
        <f>IFERROR(__xludf.DUMMYFUNCTION("""COMPUTED_VALUE"""),"Physical")</f>
        <v>Physical</v>
      </c>
      <c r="D483" s="190" t="str">
        <f>IFERROR(__xludf.DUMMYFUNCTION("""COMPUTED_VALUE"""),"EOT")</f>
        <v>EOT</v>
      </c>
      <c r="E483" s="190" t="str">
        <f>IFERROR(__xludf.DUMMYFUNCTION("""COMPUTED_VALUE"""),"Melee, 1 Target")</f>
        <v>Melee, 1 Target</v>
      </c>
      <c r="F483" s="190">
        <f>IFERROR(__xludf.DUMMYFUNCTION("""COMPUTED_VALUE"""),3.0)</f>
        <v>3</v>
      </c>
      <c r="G483" s="190">
        <f>IFERROR(__xludf.DUMMYFUNCTION("""COMPUTED_VALUE"""),7.0)</f>
        <v>7</v>
      </c>
      <c r="H483" s="191" t="str">
        <f>IFERROR(__xludf.DUMMYFUNCTION("""COMPUTED_VALUE"""),"If the user has less than 50% of their Maximum Hit Points, Reversal has the Sureshot Keyword and is a Critical Hit on a roll of 17+. ")</f>
        <v>If the user has less than 50% of their Maximum Hit Points, Reversal has the Sureshot Keyword and is a Critical Hit on a roll of 17+. </v>
      </c>
      <c r="I483" s="191" t="str">
        <f>IFERROR(__xludf.DUMMYFUNCTION("""COMPUTED_VALUE"""),"--")</f>
        <v>--</v>
      </c>
      <c r="J483" s="190" t="str">
        <f>IFERROR(__xludf.DUMMYFUNCTION("""COMPUTED_VALUE"""),"Tier 1")</f>
        <v>Tier 1</v>
      </c>
      <c r="K483" s="174" t="b">
        <f>IFERROR(__xludf.DUMMYFUNCTION("""COMPUTED_VALUE"""),TRUE)</f>
        <v>1</v>
      </c>
      <c r="L483" s="174"/>
      <c r="M483" s="174"/>
      <c r="N483" s="174"/>
      <c r="O483" s="174"/>
      <c r="P483" s="174"/>
      <c r="Q483" s="174"/>
      <c r="R483" s="174"/>
      <c r="S483" s="174"/>
      <c r="T483" s="174"/>
      <c r="U483" s="174"/>
      <c r="V483" s="174"/>
      <c r="W483" s="174"/>
      <c r="X483" s="174"/>
      <c r="Y483" s="174"/>
      <c r="Z483" s="174"/>
    </row>
    <row r="484">
      <c r="A484" s="190" t="str">
        <f>IFERROR(__xludf.DUMMYFUNCTION("""COMPUTED_VALUE"""),"Rock Smash")</f>
        <v>Rock Smash</v>
      </c>
      <c r="B484" s="190" t="str">
        <f>IFERROR(__xludf.DUMMYFUNCTION("""COMPUTED_VALUE"""),"Fighting")</f>
        <v>Fighting</v>
      </c>
      <c r="C484" s="190" t="str">
        <f>IFERROR(__xludf.DUMMYFUNCTION("""COMPUTED_VALUE"""),"Physical")</f>
        <v>Physical</v>
      </c>
      <c r="D484" s="190" t="str">
        <f>IFERROR(__xludf.DUMMYFUNCTION("""COMPUTED_VALUE"""),"At-Will")</f>
        <v>At-Will</v>
      </c>
      <c r="E484" s="190" t="str">
        <f>IFERROR(__xludf.DUMMYFUNCTION("""COMPUTED_VALUE"""),"Melee, 1 Target")</f>
        <v>Melee, 1 Target</v>
      </c>
      <c r="F484" s="190">
        <f>IFERROR(__xludf.DUMMYFUNCTION("""COMPUTED_VALUE"""),2.0)</f>
        <v>2</v>
      </c>
      <c r="G484" s="190">
        <f>IFERROR(__xludf.DUMMYFUNCTION("""COMPUTED_VALUE"""),4.0)</f>
        <v>4</v>
      </c>
      <c r="H484" s="191" t="str">
        <f>IFERROR(__xludf.DUMMYFUNCTION("""COMPUTED_VALUE"""),"On a roll of 15+ the Target loses -1 CS in Defense. If the Target’s highest stat is Defense, they instead lose -2 CS in Defense. ")</f>
        <v>On a roll of 15+ the Target loses -1 CS in Defense. If the Target’s highest stat is Defense, they instead lose -2 CS in Defense. </v>
      </c>
      <c r="I484" s="191" t="str">
        <f>IFERROR(__xludf.DUMMYFUNCTION("""COMPUTED_VALUE"""),"--")</f>
        <v>--</v>
      </c>
      <c r="J484" s="190" t="str">
        <f>IFERROR(__xludf.DUMMYFUNCTION("""COMPUTED_VALUE"""),"Tier 1")</f>
        <v>Tier 1</v>
      </c>
      <c r="K484" s="174" t="b">
        <f>IFERROR(__xludf.DUMMYFUNCTION("""COMPUTED_VALUE"""),TRUE)</f>
        <v>1</v>
      </c>
      <c r="L484" s="174"/>
      <c r="M484" s="174"/>
      <c r="N484" s="174"/>
      <c r="O484" s="174"/>
      <c r="P484" s="174"/>
      <c r="Q484" s="174"/>
      <c r="R484" s="174"/>
      <c r="S484" s="174"/>
      <c r="T484" s="174"/>
      <c r="U484" s="174"/>
      <c r="V484" s="174"/>
      <c r="W484" s="174"/>
      <c r="X484" s="174"/>
      <c r="Y484" s="174"/>
      <c r="Z484" s="174"/>
    </row>
    <row r="485">
      <c r="A485" s="190" t="str">
        <f>IFERROR(__xludf.DUMMYFUNCTION("""COMPUTED_VALUE"""),"Rolling Kick")</f>
        <v>Rolling Kick</v>
      </c>
      <c r="B485" s="190" t="str">
        <f>IFERROR(__xludf.DUMMYFUNCTION("""COMPUTED_VALUE"""),"Fighting")</f>
        <v>Fighting</v>
      </c>
      <c r="C485" s="190" t="str">
        <f>IFERROR(__xludf.DUMMYFUNCTION("""COMPUTED_VALUE"""),"Physical")</f>
        <v>Physical</v>
      </c>
      <c r="D485" s="190" t="str">
        <f>IFERROR(__xludf.DUMMYFUNCTION("""COMPUTED_VALUE"""),"At-Will")</f>
        <v>At-Will</v>
      </c>
      <c r="E485" s="190" t="str">
        <f>IFERROR(__xludf.DUMMYFUNCTION("""COMPUTED_VALUE"""),"Melee, 1 Target, Dash")</f>
        <v>Melee, 1 Target, Dash</v>
      </c>
      <c r="F485" s="190">
        <f>IFERROR(__xludf.DUMMYFUNCTION("""COMPUTED_VALUE"""),2.0)</f>
        <v>2</v>
      </c>
      <c r="G485" s="190">
        <f>IFERROR(__xludf.DUMMYFUNCTION("""COMPUTED_VALUE"""),6.0)</f>
        <v>6</v>
      </c>
      <c r="H485" s="191" t="str">
        <f>IFERROR(__xludf.DUMMYFUNCTION("""COMPUTED_VALUE"""),"If the Dash Keyword is Activated, this has the Smite Keyword and ignores Physical Evasion.")</f>
        <v>If the Dash Keyword is Activated, this has the Smite Keyword and ignores Physical Evasion.</v>
      </c>
      <c r="I485" s="191" t="str">
        <f>IFERROR(__xludf.DUMMYFUNCTION("""COMPUTED_VALUE"""),"--")</f>
        <v>--</v>
      </c>
      <c r="J485" s="190" t="str">
        <f>IFERROR(__xludf.DUMMYFUNCTION("""COMPUTED_VALUE"""),"Tier 1")</f>
        <v>Tier 1</v>
      </c>
      <c r="K485" s="174" t="b">
        <f>IFERROR(__xludf.DUMMYFUNCTION("""COMPUTED_VALUE"""),TRUE)</f>
        <v>1</v>
      </c>
      <c r="L485" s="174"/>
      <c r="M485" s="174"/>
      <c r="N485" s="174"/>
      <c r="O485" s="174"/>
      <c r="P485" s="174"/>
      <c r="Q485" s="174"/>
      <c r="R485" s="174"/>
      <c r="S485" s="174"/>
      <c r="T485" s="174"/>
      <c r="U485" s="174"/>
      <c r="V485" s="174"/>
      <c r="W485" s="174"/>
      <c r="X485" s="174"/>
      <c r="Y485" s="174"/>
      <c r="Z485" s="174"/>
    </row>
    <row r="486">
      <c r="A486" s="190" t="str">
        <f>IFERROR(__xludf.DUMMYFUNCTION("""COMPUTED_VALUE"""),"Sacred Sword")</f>
        <v>Sacred Sword</v>
      </c>
      <c r="B486" s="190" t="str">
        <f>IFERROR(__xludf.DUMMYFUNCTION("""COMPUTED_VALUE"""),"Fighting")</f>
        <v>Fighting</v>
      </c>
      <c r="C486" s="190" t="str">
        <f>IFERROR(__xludf.DUMMYFUNCTION("""COMPUTED_VALUE"""),"Physical")</f>
        <v>Physical</v>
      </c>
      <c r="D486" s="190" t="str">
        <f>IFERROR(__xludf.DUMMYFUNCTION("""COMPUTED_VALUE"""),"EOT")</f>
        <v>EOT</v>
      </c>
      <c r="E486" s="190" t="str">
        <f>IFERROR(__xludf.DUMMYFUNCTION("""COMPUTED_VALUE"""),"Melee, 1 Target")</f>
        <v>Melee, 1 Target</v>
      </c>
      <c r="F486" s="190" t="str">
        <f>IFERROR(__xludf.DUMMYFUNCTION("""COMPUTED_VALUE"""),"--")</f>
        <v>--</v>
      </c>
      <c r="G486" s="190">
        <f>IFERROR(__xludf.DUMMYFUNCTION("""COMPUTED_VALUE"""),8.0)</f>
        <v>8</v>
      </c>
      <c r="H486" s="191" t="str">
        <f>IFERROR(__xludf.DUMMYFUNCTION("""COMPUTED_VALUE"""),"Sureshot.")</f>
        <v>Sureshot.</v>
      </c>
      <c r="I486" s="191" t="str">
        <f>IFERROR(__xludf.DUMMYFUNCTION("""COMPUTED_VALUE"""),"--")</f>
        <v>--</v>
      </c>
      <c r="J486" s="190" t="str">
        <f>IFERROR(__xludf.DUMMYFUNCTION("""COMPUTED_VALUE"""),"Tier 2")</f>
        <v>Tier 2</v>
      </c>
      <c r="K486" s="174" t="b">
        <f>IFERROR(__xludf.DUMMYFUNCTION("""COMPUTED_VALUE"""),TRUE)</f>
        <v>1</v>
      </c>
      <c r="L486" s="174"/>
      <c r="M486" s="174"/>
      <c r="N486" s="174"/>
      <c r="O486" s="174"/>
      <c r="P486" s="174"/>
      <c r="Q486" s="174"/>
      <c r="R486" s="174"/>
      <c r="S486" s="174"/>
      <c r="T486" s="174"/>
      <c r="U486" s="174"/>
      <c r="V486" s="174"/>
      <c r="W486" s="174"/>
      <c r="X486" s="174"/>
      <c r="Y486" s="174"/>
      <c r="Z486" s="174"/>
    </row>
    <row r="487">
      <c r="A487" s="190" t="str">
        <f>IFERROR(__xludf.DUMMYFUNCTION("""COMPUTED_VALUE"""),"Seismic Toss")</f>
        <v>Seismic Toss</v>
      </c>
      <c r="B487" s="190" t="str">
        <f>IFERROR(__xludf.DUMMYFUNCTION("""COMPUTED_VALUE"""),"Fighting")</f>
        <v>Fighting</v>
      </c>
      <c r="C487" s="190" t="str">
        <f>IFERROR(__xludf.DUMMYFUNCTION("""COMPUTED_VALUE"""),"Status")</f>
        <v>Status</v>
      </c>
      <c r="D487" s="190" t="str">
        <f>IFERROR(__xludf.DUMMYFUNCTION("""COMPUTED_VALUE"""),"Scene x2")</f>
        <v>Scene x2</v>
      </c>
      <c r="E487" s="190" t="str">
        <f>IFERROR(__xludf.DUMMYFUNCTION("""COMPUTED_VALUE"""),"Melee, 1 Target, Versatile")</f>
        <v>Melee, 1 Target, Versatile</v>
      </c>
      <c r="F487" s="190">
        <f>IFERROR(__xludf.DUMMYFUNCTION("""COMPUTED_VALUE"""),3.0)</f>
        <v>3</v>
      </c>
      <c r="G487" s="190" t="str">
        <f>IFERROR(__xludf.DUMMYFUNCTION("""COMPUTED_VALUE"""),"--")</f>
        <v>--</v>
      </c>
      <c r="H487" s="191" t="str">
        <f>IFERROR(__xludf.DUMMYFUNCTION("""COMPUTED_VALUE"""),"The Target becomes Tripped. For each Size Category you are larger than the Target, add +2 to the Slide Keyword. Slide 4 (Away)")</f>
        <v>The Target becomes Tripped. For each Size Category you are larger than the Target, add +2 to the Slide Keyword. Slide 4 (Away)</v>
      </c>
      <c r="I487" s="191" t="str">
        <f>IFERROR(__xludf.DUMMYFUNCTION("""COMPUTED_VALUE"""),"You may use a Trip Maneuver against the Target as a Free Action. If they are Tripped this way, you may Slide them into any space that is Adjacent to you.")</f>
        <v>You may use a Trip Maneuver against the Target as a Free Action. If they are Tripped this way, you may Slide them into any space that is Adjacent to you.</v>
      </c>
      <c r="J487" s="190" t="str">
        <f>IFERROR(__xludf.DUMMYFUNCTION("""COMPUTED_VALUE"""),"Tier 2")</f>
        <v>Tier 2</v>
      </c>
      <c r="K487" s="174" t="b">
        <f>IFERROR(__xludf.DUMMYFUNCTION("""COMPUTED_VALUE"""),TRUE)</f>
        <v>1</v>
      </c>
      <c r="L487" s="174"/>
      <c r="M487" s="174"/>
      <c r="N487" s="174"/>
      <c r="O487" s="174"/>
      <c r="P487" s="174"/>
      <c r="Q487" s="174"/>
      <c r="R487" s="174"/>
      <c r="S487" s="174"/>
      <c r="T487" s="174"/>
      <c r="U487" s="174"/>
      <c r="V487" s="174"/>
      <c r="W487" s="174"/>
      <c r="X487" s="174"/>
      <c r="Y487" s="174"/>
      <c r="Z487" s="174"/>
    </row>
    <row r="488">
      <c r="A488" s="190" t="str">
        <f>IFERROR(__xludf.DUMMYFUNCTION("""COMPUTED_VALUE"""),"Sky Uppercut")</f>
        <v>Sky Uppercut</v>
      </c>
      <c r="B488" s="190" t="str">
        <f>IFERROR(__xludf.DUMMYFUNCTION("""COMPUTED_VALUE"""),"Fighting")</f>
        <v>Fighting</v>
      </c>
      <c r="C488" s="190" t="str">
        <f>IFERROR(__xludf.DUMMYFUNCTION("""COMPUTED_VALUE"""),"Physical")</f>
        <v>Physical</v>
      </c>
      <c r="D488" s="190" t="str">
        <f>IFERROR(__xludf.DUMMYFUNCTION("""COMPUTED_VALUE"""),"EOT")</f>
        <v>EOT</v>
      </c>
      <c r="E488" s="190" t="str">
        <f>IFERROR(__xludf.DUMMYFUNCTION("""COMPUTED_VALUE"""),"Melee, 1 Target, Punch")</f>
        <v>Melee, 1 Target, Punch</v>
      </c>
      <c r="F488" s="190">
        <f>IFERROR(__xludf.DUMMYFUNCTION("""COMPUTED_VALUE"""),3.0)</f>
        <v>3</v>
      </c>
      <c r="G488" s="190">
        <f>IFERROR(__xludf.DUMMYFUNCTION("""COMPUTED_VALUE"""),9.0)</f>
        <v>9</v>
      </c>
      <c r="H488" s="191" t="str">
        <f>IFERROR(__xludf.DUMMYFUNCTION("""COMPUTED_VALUE"""),"Sky Uppercut has the Sureshot Keyword against any Target with the Flier Capability.")</f>
        <v>Sky Uppercut has the Sureshot Keyword against any Target with the Flier Capability.</v>
      </c>
      <c r="I488" s="191" t="str">
        <f>IFERROR(__xludf.DUMMYFUNCTION("""COMPUTED_VALUE"""),"--")</f>
        <v>--</v>
      </c>
      <c r="J488" s="190" t="str">
        <f>IFERROR(__xludf.DUMMYFUNCTION("""COMPUTED_VALUE"""),"Tier 2")</f>
        <v>Tier 2</v>
      </c>
      <c r="K488" s="174" t="b">
        <f>IFERROR(__xludf.DUMMYFUNCTION("""COMPUTED_VALUE"""),TRUE)</f>
        <v>1</v>
      </c>
      <c r="L488" s="174"/>
      <c r="M488" s="174"/>
      <c r="N488" s="174"/>
      <c r="O488" s="174"/>
      <c r="P488" s="174"/>
      <c r="Q488" s="174"/>
      <c r="R488" s="174"/>
      <c r="S488" s="174"/>
      <c r="T488" s="174"/>
      <c r="U488" s="174"/>
      <c r="V488" s="174"/>
      <c r="W488" s="174"/>
      <c r="X488" s="174"/>
      <c r="Y488" s="174"/>
      <c r="Z488" s="174"/>
    </row>
    <row r="489">
      <c r="A489" s="190" t="str">
        <f>IFERROR(__xludf.DUMMYFUNCTION("""COMPUTED_VALUE"""),"Storm Throw")</f>
        <v>Storm Throw</v>
      </c>
      <c r="B489" s="190" t="str">
        <f>IFERROR(__xludf.DUMMYFUNCTION("""COMPUTED_VALUE"""),"Fighting")</f>
        <v>Fighting</v>
      </c>
      <c r="C489" s="190" t="str">
        <f>IFERROR(__xludf.DUMMYFUNCTION("""COMPUTED_VALUE"""),"Physical")</f>
        <v>Physical</v>
      </c>
      <c r="D489" s="190" t="str">
        <f>IFERROR(__xludf.DUMMYFUNCTION("""COMPUTED_VALUE"""),"EOT")</f>
        <v>EOT</v>
      </c>
      <c r="E489" s="190" t="str">
        <f>IFERROR(__xludf.DUMMYFUNCTION("""COMPUTED_VALUE"""),"Melee, 1 Target")</f>
        <v>Melee, 1 Target</v>
      </c>
      <c r="F489" s="190">
        <f>IFERROR(__xludf.DUMMYFUNCTION("""COMPUTED_VALUE"""),5.0)</f>
        <v>5</v>
      </c>
      <c r="G489" s="190">
        <f>IFERROR(__xludf.DUMMYFUNCTION("""COMPUTED_VALUE"""),6.0)</f>
        <v>6</v>
      </c>
      <c r="H489" s="191" t="str">
        <f>IFERROR(__xludf.DUMMYFUNCTION("""COMPUTED_VALUE"""),"If Storm Throw hits, it is a Critical Hit. Smite")</f>
        <v>If Storm Throw hits, it is a Critical Hit. Smite</v>
      </c>
      <c r="I489" s="191" t="str">
        <f>IFERROR(__xludf.DUMMYFUNCTION("""COMPUTED_VALUE"""),"--")</f>
        <v>--</v>
      </c>
      <c r="J489" s="190" t="str">
        <f>IFERROR(__xludf.DUMMYFUNCTION("""COMPUTED_VALUE"""),"Tier 1")</f>
        <v>Tier 1</v>
      </c>
      <c r="K489" s="174" t="b">
        <f>IFERROR(__xludf.DUMMYFUNCTION("""COMPUTED_VALUE"""),TRUE)</f>
        <v>1</v>
      </c>
      <c r="L489" s="174"/>
      <c r="M489" s="174"/>
      <c r="N489" s="174"/>
      <c r="O489" s="174"/>
      <c r="P489" s="174"/>
      <c r="Q489" s="174"/>
      <c r="R489" s="174"/>
      <c r="S489" s="174"/>
      <c r="T489" s="174"/>
      <c r="U489" s="174"/>
      <c r="V489" s="174"/>
      <c r="W489" s="174"/>
      <c r="X489" s="174"/>
      <c r="Y489" s="174"/>
      <c r="Z489" s="174"/>
    </row>
    <row r="490">
      <c r="A490" s="190" t="str">
        <f>IFERROR(__xludf.DUMMYFUNCTION("""COMPUTED_VALUE"""),"Submission")</f>
        <v>Submission</v>
      </c>
      <c r="B490" s="190" t="str">
        <f>IFERROR(__xludf.DUMMYFUNCTION("""COMPUTED_VALUE"""),"Fighting")</f>
        <v>Fighting</v>
      </c>
      <c r="C490" s="190" t="str">
        <f>IFERROR(__xludf.DUMMYFUNCTION("""COMPUTED_VALUE"""),"Physical")</f>
        <v>Physical</v>
      </c>
      <c r="D490" s="190" t="str">
        <f>IFERROR(__xludf.DUMMYFUNCTION("""COMPUTED_VALUE"""),"EOT")</f>
        <v>EOT</v>
      </c>
      <c r="E490" s="190" t="str">
        <f>IFERROR(__xludf.DUMMYFUNCTION("""COMPUTED_VALUE"""),"Melee, 1 Target, Recoil 1/3")</f>
        <v>Melee, 1 Target, Recoil 1/3</v>
      </c>
      <c r="F490" s="190">
        <f>IFERROR(__xludf.DUMMYFUNCTION("""COMPUTED_VALUE"""),4.0)</f>
        <v>4</v>
      </c>
      <c r="G490" s="190">
        <f>IFERROR(__xludf.DUMMYFUNCTION("""COMPUTED_VALUE"""),8.0)</f>
        <v>8</v>
      </c>
      <c r="H490" s="191" t="str">
        <f>IFERROR(__xludf.DUMMYFUNCTION("""COMPUTED_VALUE"""),"If Submission hits a Target smaller than the user, they may initiate a Grapple Maneuver against the Target as a Free Action.")</f>
        <v>If Submission hits a Target smaller than the user, they may initiate a Grapple Maneuver against the Target as a Free Action.</v>
      </c>
      <c r="I490" s="191" t="str">
        <f>IFERROR(__xludf.DUMMYFUNCTION("""COMPUTED_VALUE"""),"--")</f>
        <v>--</v>
      </c>
      <c r="J490" s="190" t="str">
        <f>IFERROR(__xludf.DUMMYFUNCTION("""COMPUTED_VALUE"""),"Tier 2")</f>
        <v>Tier 2</v>
      </c>
      <c r="K490" s="174" t="b">
        <f>IFERROR(__xludf.DUMMYFUNCTION("""COMPUTED_VALUE"""),TRUE)</f>
        <v>1</v>
      </c>
      <c r="L490" s="174"/>
      <c r="M490" s="174"/>
      <c r="N490" s="174"/>
      <c r="O490" s="174"/>
      <c r="P490" s="174"/>
      <c r="Q490" s="174"/>
      <c r="R490" s="174"/>
      <c r="S490" s="174"/>
      <c r="T490" s="174"/>
      <c r="U490" s="174"/>
      <c r="V490" s="174"/>
      <c r="W490" s="174"/>
      <c r="X490" s="174"/>
      <c r="Y490" s="174"/>
      <c r="Z490" s="174"/>
    </row>
    <row r="491">
      <c r="A491" s="190" t="str">
        <f>IFERROR(__xludf.DUMMYFUNCTION("""COMPUTED_VALUE"""),"Superpower")</f>
        <v>Superpower</v>
      </c>
      <c r="B491" s="190" t="str">
        <f>IFERROR(__xludf.DUMMYFUNCTION("""COMPUTED_VALUE"""),"Fighting")</f>
        <v>Fighting</v>
      </c>
      <c r="C491" s="190" t="str">
        <f>IFERROR(__xludf.DUMMYFUNCTION("""COMPUTED_VALUE"""),"Physical")</f>
        <v>Physical</v>
      </c>
      <c r="D491" s="190" t="str">
        <f>IFERROR(__xludf.DUMMYFUNCTION("""COMPUTED_VALUE"""),"Scene x2")</f>
        <v>Scene x2</v>
      </c>
      <c r="E491" s="190" t="str">
        <f>IFERROR(__xludf.DUMMYFUNCTION("""COMPUTED_VALUE"""),"Melee, 1 Target, Reckless")</f>
        <v>Melee, 1 Target, Reckless</v>
      </c>
      <c r="F491" s="190">
        <f>IFERROR(__xludf.DUMMYFUNCTION("""COMPUTED_VALUE"""),3.0)</f>
        <v>3</v>
      </c>
      <c r="G491" s="190">
        <f>IFERROR(__xludf.DUMMYFUNCTION("""COMPUTED_VALUE"""),13.0)</f>
        <v>13</v>
      </c>
      <c r="H491" s="191" t="str">
        <f>IFERROR(__xludf.DUMMYFUNCTION("""COMPUTED_VALUE"""),"After Damage Calculations, lower the Offensive Stat used for this Attack by -2 CS. Smite")</f>
        <v>After Damage Calculations, lower the Offensive Stat used for this Attack by -2 CS. Smite</v>
      </c>
      <c r="I491" s="191" t="str">
        <f>IFERROR(__xludf.DUMMYFUNCTION("""COMPUTED_VALUE"""),"--")</f>
        <v>--</v>
      </c>
      <c r="J491" s="190" t="str">
        <f>IFERROR(__xludf.DUMMYFUNCTION("""COMPUTED_VALUE"""),"Tier 3")</f>
        <v>Tier 3</v>
      </c>
      <c r="K491" s="174" t="b">
        <f>IFERROR(__xludf.DUMMYFUNCTION("""COMPUTED_VALUE"""),TRUE)</f>
        <v>1</v>
      </c>
      <c r="L491" s="174"/>
      <c r="M491" s="174"/>
      <c r="N491" s="174"/>
      <c r="O491" s="174"/>
      <c r="P491" s="174"/>
      <c r="Q491" s="174"/>
      <c r="R491" s="174"/>
      <c r="S491" s="174"/>
      <c r="T491" s="174"/>
      <c r="U491" s="174"/>
      <c r="V491" s="174"/>
      <c r="W491" s="174"/>
      <c r="X491" s="174"/>
      <c r="Y491" s="174"/>
      <c r="Z491" s="174"/>
    </row>
    <row r="492">
      <c r="A492" s="190" t="str">
        <f>IFERROR(__xludf.DUMMYFUNCTION("""COMPUTED_VALUE"""),"Triple Arrow")</f>
        <v>Triple Arrow</v>
      </c>
      <c r="B492" s="190" t="str">
        <f>IFERROR(__xludf.DUMMYFUNCTION("""COMPUTED_VALUE"""),"Fighting")</f>
        <v>Fighting</v>
      </c>
      <c r="C492" s="190" t="str">
        <f>IFERROR(__xludf.DUMMYFUNCTION("""COMPUTED_VALUE"""),"Physical")</f>
        <v>Physical</v>
      </c>
      <c r="D492" s="190" t="str">
        <f>IFERROR(__xludf.DUMMYFUNCTION("""COMPUTED_VALUE"""),"Scene x2")</f>
        <v>Scene x2</v>
      </c>
      <c r="E492" s="190" t="str">
        <f>IFERROR(__xludf.DUMMYFUNCTION("""COMPUTED_VALUE"""),"4, 1 Target; or 6, 2 Targets; or 8, 3 Targets")</f>
        <v>4, 1 Target; or 6, 2 Targets; or 8, 3 Targets</v>
      </c>
      <c r="F492" s="190">
        <f>IFERROR(__xludf.DUMMYFUNCTION("""COMPUTED_VALUE"""),7.0)</f>
        <v>7</v>
      </c>
      <c r="G492" s="190">
        <f>IFERROR(__xludf.DUMMYFUNCTION("""COMPUTED_VALUE"""),4.0)</f>
        <v>4</v>
      </c>
      <c r="H492" s="191" t="str">
        <f>IFERROR(__xludf.DUMMYFUNCTION("""COMPUTED_VALUE"""),"On a roll of 15+, the Target(s) lose -1 CS in Defense.If Triple Arrow has 1 Target, it has the Five Strike Keyword. If it has 2 Targets, it has the Double Strike and Full Action Keyword. If it has 3 Targets, it has the Full Action Keyword.")</f>
        <v>On a roll of 15+, the Target(s) lose -1 CS in Defense.If Triple Arrow has 1 Target, it has the Five Strike Keyword. If it has 2 Targets, it has the Double Strike and Full Action Keyword. If it has 3 Targets, it has the Full Action Keyword.</v>
      </c>
      <c r="I492" s="191" t="str">
        <f>IFERROR(__xludf.DUMMYFUNCTION("""COMPUTED_VALUE"""),"--")</f>
        <v>--</v>
      </c>
      <c r="J492" s="190" t="str">
        <f>IFERROR(__xludf.DUMMYFUNCTION("""COMPUTED_VALUE"""),"Tier 2")</f>
        <v>Tier 2</v>
      </c>
      <c r="K492" s="174" t="b">
        <f>IFERROR(__xludf.DUMMYFUNCTION("""COMPUTED_VALUE"""),TRUE)</f>
        <v>1</v>
      </c>
      <c r="L492" s="174"/>
      <c r="M492" s="174"/>
      <c r="N492" s="174"/>
      <c r="O492" s="174"/>
      <c r="P492" s="174"/>
      <c r="Q492" s="174"/>
      <c r="R492" s="174"/>
      <c r="S492" s="174"/>
      <c r="T492" s="174"/>
      <c r="U492" s="174"/>
      <c r="V492" s="174"/>
      <c r="W492" s="174"/>
      <c r="X492" s="174"/>
      <c r="Y492" s="174"/>
      <c r="Z492" s="174"/>
    </row>
    <row r="493">
      <c r="A493" s="190" t="str">
        <f>IFERROR(__xludf.DUMMYFUNCTION("""COMPUTED_VALUE"""),"Triple Kick")</f>
        <v>Triple Kick</v>
      </c>
      <c r="B493" s="190" t="str">
        <f>IFERROR(__xludf.DUMMYFUNCTION("""COMPUTED_VALUE"""),"Fighting")</f>
        <v>Fighting</v>
      </c>
      <c r="C493" s="190" t="str">
        <f>IFERROR(__xludf.DUMMYFUNCTION("""COMPUTED_VALUE"""),"Physical")</f>
        <v>Physical</v>
      </c>
      <c r="D493" s="190" t="str">
        <f>IFERROR(__xludf.DUMMYFUNCTION("""COMPUTED_VALUE"""),"EOT")</f>
        <v>EOT</v>
      </c>
      <c r="E493" s="190" t="str">
        <f>IFERROR(__xludf.DUMMYFUNCTION("""COMPUTED_VALUE"""),"Melee, 1 Target")</f>
        <v>Melee, 1 Target</v>
      </c>
      <c r="F493" s="190">
        <f>IFERROR(__xludf.DUMMYFUNCTION("""COMPUTED_VALUE"""),5.0)</f>
        <v>5</v>
      </c>
      <c r="G493" s="190">
        <f>IFERROR(__xludf.DUMMYFUNCTION("""COMPUTED_VALUE"""),6.0)</f>
        <v>6</v>
      </c>
      <c r="H493" s="191" t="str">
        <f>IFERROR(__xludf.DUMMYFUNCTION("""COMPUTED_VALUE"""),"After attacking with Triple Kick, hit or miss, the user may Disengage 2m and attack a different Target with Triple Kick. This effect may be repeated a second time, Targeting a combatant that has not been Targeted by either prior attack. Before making each"&amp;" attack roll, the user may choose to not trigger all remaining additional shifts and attacks. Triple Kick gains +1 Accuracy and +1 DB for each Attack that is given up. Triple Kick always benefits from the Technician Ability.")</f>
        <v>After attacking with Triple Kick, hit or miss, the user may Disengage 2m and attack a different Target with Triple Kick. This effect may be repeated a second time, Targeting a combatant that has not been Targeted by either prior attack. Before making each attack roll, the user may choose to not trigger all remaining additional shifts and attacks. Triple Kick gains +1 Accuracy and +1 DB for each Attack that is given up. Triple Kick always benefits from the Technician Ability.</v>
      </c>
      <c r="I493" s="191" t="str">
        <f>IFERROR(__xludf.DUMMYFUNCTION("""COMPUTED_VALUE"""),"--")</f>
        <v>--</v>
      </c>
      <c r="J493" s="190" t="str">
        <f>IFERROR(__xludf.DUMMYFUNCTION("""COMPUTED_VALUE"""),"Tier 2")</f>
        <v>Tier 2</v>
      </c>
      <c r="K493" s="174" t="b">
        <f>IFERROR(__xludf.DUMMYFUNCTION("""COMPUTED_VALUE"""),TRUE)</f>
        <v>1</v>
      </c>
      <c r="L493" s="174"/>
      <c r="M493" s="174"/>
      <c r="N493" s="174"/>
      <c r="O493" s="174"/>
      <c r="P493" s="174"/>
      <c r="Q493" s="174"/>
      <c r="R493" s="174"/>
      <c r="S493" s="174"/>
      <c r="T493" s="174"/>
      <c r="U493" s="174"/>
      <c r="V493" s="174"/>
      <c r="W493" s="174"/>
      <c r="X493" s="174"/>
      <c r="Y493" s="174"/>
      <c r="Z493" s="174"/>
    </row>
    <row r="494">
      <c r="A494" s="190" t="str">
        <f>IFERROR(__xludf.DUMMYFUNCTION("""COMPUTED_VALUE"""),"Vacuum Wave")</f>
        <v>Vacuum Wave</v>
      </c>
      <c r="B494" s="190" t="str">
        <f>IFERROR(__xludf.DUMMYFUNCTION("""COMPUTED_VALUE"""),"Fighting")</f>
        <v>Fighting</v>
      </c>
      <c r="C494" s="190" t="str">
        <f>IFERROR(__xludf.DUMMYFUNCTION("""COMPUTED_VALUE"""),"Special")</f>
        <v>Special</v>
      </c>
      <c r="D494" s="190" t="str">
        <f>IFERROR(__xludf.DUMMYFUNCTION("""COMPUTED_VALUE"""),"At-Will")</f>
        <v>At-Will</v>
      </c>
      <c r="E494" s="190" t="str">
        <f>IFERROR(__xludf.DUMMYFUNCTION("""COMPUTED_VALUE"""),"4, 1 Target, Priority, Aura")</f>
        <v>4, 1 Target, Priority, Aura</v>
      </c>
      <c r="F494" s="190">
        <f>IFERROR(__xludf.DUMMYFUNCTION("""COMPUTED_VALUE"""),3.0)</f>
        <v>3</v>
      </c>
      <c r="G494" s="190">
        <f>IFERROR(__xludf.DUMMYFUNCTION("""COMPUTED_VALUE"""),4.0)</f>
        <v>4</v>
      </c>
      <c r="H494" s="191" t="str">
        <f>IFERROR(__xludf.DUMMYFUNCTION("""COMPUTED_VALUE"""),"--")</f>
        <v>--</v>
      </c>
      <c r="I494" s="191" t="str">
        <f>IFERROR(__xludf.DUMMYFUNCTION("""COMPUTED_VALUE"""),"--")</f>
        <v>--</v>
      </c>
      <c r="J494" s="190" t="str">
        <f>IFERROR(__xludf.DUMMYFUNCTION("""COMPUTED_VALUE"""),"Tier 1")</f>
        <v>Tier 1</v>
      </c>
      <c r="K494" s="174" t="b">
        <f>IFERROR(__xludf.DUMMYFUNCTION("""COMPUTED_VALUE"""),TRUE)</f>
        <v>1</v>
      </c>
      <c r="L494" s="174"/>
      <c r="M494" s="174"/>
      <c r="N494" s="174"/>
      <c r="O494" s="174"/>
      <c r="P494" s="174"/>
      <c r="Q494" s="174"/>
      <c r="R494" s="174"/>
      <c r="S494" s="174"/>
      <c r="T494" s="174"/>
      <c r="U494" s="174"/>
      <c r="V494" s="174"/>
      <c r="W494" s="174"/>
      <c r="X494" s="174"/>
      <c r="Y494" s="174"/>
      <c r="Z494" s="174"/>
    </row>
    <row r="495">
      <c r="A495" s="190" t="str">
        <f>IFERROR(__xludf.DUMMYFUNCTION("""COMPUTED_VALUE"""),"Victory Dance")</f>
        <v>Victory Dance</v>
      </c>
      <c r="B495" s="190" t="str">
        <f>IFERROR(__xludf.DUMMYFUNCTION("""COMPUTED_VALUE"""),"Fighting")</f>
        <v>Fighting</v>
      </c>
      <c r="C495" s="190" t="str">
        <f>IFERROR(__xludf.DUMMYFUNCTION("""COMPUTED_VALUE"""),"Status")</f>
        <v>Status</v>
      </c>
      <c r="D495" s="190" t="str">
        <f>IFERROR(__xludf.DUMMYFUNCTION("""COMPUTED_VALUE"""),"Scene")</f>
        <v>Scene</v>
      </c>
      <c r="E495" s="190" t="str">
        <f>IFERROR(__xludf.DUMMYFUNCTION("""COMPUTED_VALUE"""),"Self, Trigger")</f>
        <v>Self, Trigger</v>
      </c>
      <c r="F495" s="190" t="str">
        <f>IFERROR(__xludf.DUMMYFUNCTION("""COMPUTED_VALUE"""),"--")</f>
        <v>--</v>
      </c>
      <c r="G495" s="190" t="str">
        <f>IFERROR(__xludf.DUMMYFUNCTION("""COMPUTED_VALUE"""),"--")</f>
        <v>--</v>
      </c>
      <c r="H495" s="191" t="str">
        <f>IFERROR(__xludf.DUMMYFUNCTION("""COMPUTED_VALUE"""),"Upon an Enemy fainting, Victory Dance may be used as a Standard Action + Reaction. The user gains a Victory Coat and +1 CS in a Stat of their choice. The user may expend a Victory Coat when successfully hitting a Fighting Damaging Attack to add its Damage"&amp;" Dice an extra time to the Damage Roll. This applies after any other Damage Base Modifiers such as a Critical Hit. 
Note: If the Damage Base would have the Attack be 2d6+8, this expended Coat turns it into 4d6+16.")</f>
        <v>Upon an Enemy fainting, Victory Dance may be used as a Standard Action + Reaction. The user gains a Victory Coat and +1 CS in a Stat of their choice. The user may expend a Victory Coat when successfully hitting a Fighting Damaging Attack to add its Damage Dice an extra time to the Damage Roll. This applies after any other Damage Base Modifiers such as a Critical Hit. 
Note: If the Damage Base would have the Attack be 2d6+8, this expended Coat turns it into 4d6+16.</v>
      </c>
      <c r="I495" s="191" t="str">
        <f>IFERROR(__xludf.DUMMYFUNCTION("""COMPUTED_VALUE"""),"--")</f>
        <v>--</v>
      </c>
      <c r="J495" s="190" t="str">
        <f>IFERROR(__xludf.DUMMYFUNCTION("""COMPUTED_VALUE"""),"Tier 2")</f>
        <v>Tier 2</v>
      </c>
      <c r="K495" s="174" t="b">
        <f>IFERROR(__xludf.DUMMYFUNCTION("""COMPUTED_VALUE"""),FALSE)</f>
        <v>0</v>
      </c>
      <c r="L495" s="174"/>
      <c r="M495" s="174"/>
      <c r="N495" s="174"/>
      <c r="O495" s="174"/>
      <c r="P495" s="174"/>
      <c r="Q495" s="174"/>
      <c r="R495" s="174"/>
      <c r="S495" s="174"/>
      <c r="T495" s="174"/>
      <c r="U495" s="174"/>
      <c r="V495" s="174"/>
      <c r="W495" s="174"/>
      <c r="X495" s="174"/>
      <c r="Y495" s="174"/>
      <c r="Z495" s="174"/>
    </row>
    <row r="496">
      <c r="A496" s="190" t="str">
        <f>IFERROR(__xludf.DUMMYFUNCTION("""COMPUTED_VALUE"""),"Vital Throw")</f>
        <v>Vital Throw</v>
      </c>
      <c r="B496" s="190" t="str">
        <f>IFERROR(__xludf.DUMMYFUNCTION("""COMPUTED_VALUE"""),"Fighting")</f>
        <v>Fighting</v>
      </c>
      <c r="C496" s="190" t="str">
        <f>IFERROR(__xludf.DUMMYFUNCTION("""COMPUTED_VALUE"""),"Physical")</f>
        <v>Physical</v>
      </c>
      <c r="D496" s="190" t="str">
        <f>IFERROR(__xludf.DUMMYFUNCTION("""COMPUTED_VALUE"""),"EOT")</f>
        <v>EOT</v>
      </c>
      <c r="E496" s="190" t="str">
        <f>IFERROR(__xludf.DUMMYFUNCTION("""COMPUTED_VALUE"""),"Melee, 1 Target, Trigger")</f>
        <v>Melee, 1 Target, Trigger</v>
      </c>
      <c r="F496" s="190" t="str">
        <f>IFERROR(__xludf.DUMMYFUNCTION("""COMPUTED_VALUE"""),"--")</f>
        <v>--</v>
      </c>
      <c r="G496" s="190">
        <f>IFERROR(__xludf.DUMMYFUNCTION("""COMPUTED_VALUE"""),7.0)</f>
        <v>7</v>
      </c>
      <c r="H496" s="191" t="str">
        <f>IFERROR(__xludf.DUMMYFUNCTION("""COMPUTED_VALUE"""),"Vital Throw can only be used as a Standard Action + Reaction when the user is hit with a Melee Attack. This resolves after the Triggering Attack. Slide 2 (Away), Sureshot.")</f>
        <v>Vital Throw can only be used as a Standard Action + Reaction when the user is hit with a Melee Attack. This resolves after the Triggering Attack. Slide 2 (Away), Sureshot.</v>
      </c>
      <c r="I496" s="191" t="str">
        <f>IFERROR(__xludf.DUMMYFUNCTION("""COMPUTED_VALUE"""),"--")</f>
        <v>--</v>
      </c>
      <c r="J496" s="190" t="str">
        <f>IFERROR(__xludf.DUMMYFUNCTION("""COMPUTED_VALUE"""),"Tier 1")</f>
        <v>Tier 1</v>
      </c>
      <c r="K496" s="174" t="b">
        <f>IFERROR(__xludf.DUMMYFUNCTION("""COMPUTED_VALUE"""),FALSE)</f>
        <v>0</v>
      </c>
      <c r="L496" s="174"/>
      <c r="M496" s="174"/>
      <c r="N496" s="174"/>
      <c r="O496" s="174"/>
      <c r="P496" s="174"/>
      <c r="Q496" s="174"/>
      <c r="R496" s="174"/>
      <c r="S496" s="174"/>
      <c r="T496" s="174"/>
      <c r="U496" s="174"/>
      <c r="V496" s="174"/>
      <c r="W496" s="174"/>
      <c r="X496" s="174"/>
      <c r="Y496" s="174"/>
      <c r="Z496" s="174"/>
    </row>
    <row r="497">
      <c r="A497" s="190" t="str">
        <f>IFERROR(__xludf.DUMMYFUNCTION("""COMPUTED_VALUE"""),"Wake-Up Slap")</f>
        <v>Wake-Up Slap</v>
      </c>
      <c r="B497" s="190" t="str">
        <f>IFERROR(__xludf.DUMMYFUNCTION("""COMPUTED_VALUE"""),"Fighting")</f>
        <v>Fighting</v>
      </c>
      <c r="C497" s="190" t="str">
        <f>IFERROR(__xludf.DUMMYFUNCTION("""COMPUTED_VALUE"""),"Physical")</f>
        <v>Physical</v>
      </c>
      <c r="D497" s="190" t="str">
        <f>IFERROR(__xludf.DUMMYFUNCTION("""COMPUTED_VALUE"""),"At-Will")</f>
        <v>At-Will</v>
      </c>
      <c r="E497" s="190" t="str">
        <f>IFERROR(__xludf.DUMMYFUNCTION("""COMPUTED_VALUE"""),"Melee, 1 Target")</f>
        <v>Melee, 1 Target</v>
      </c>
      <c r="F497" s="190">
        <f>IFERROR(__xludf.DUMMYFUNCTION("""COMPUTED_VALUE"""),3.0)</f>
        <v>3</v>
      </c>
      <c r="G497" s="190">
        <f>IFERROR(__xludf.DUMMYFUNCTION("""COMPUTED_VALUE"""),6.0)</f>
        <v>6</v>
      </c>
      <c r="H497" s="191" t="str">
        <f>IFERROR(__xludf.DUMMYFUNCTION("""COMPUTED_VALUE"""),"If the Target is Drowsy, the Damage Base for this Attack becomes 12, then it becomes a Critical Hit. After Damage Calculations the Target is cured of the Drowsy Affliction.")</f>
        <v>If the Target is Drowsy, the Damage Base for this Attack becomes 12, then it becomes a Critical Hit. After Damage Calculations the Target is cured of the Drowsy Affliction.</v>
      </c>
      <c r="I497" s="191" t="str">
        <f>IFERROR(__xludf.DUMMYFUNCTION("""COMPUTED_VALUE"""),"--")</f>
        <v>--</v>
      </c>
      <c r="J497" s="190" t="str">
        <f>IFERROR(__xludf.DUMMYFUNCTION("""COMPUTED_VALUE"""),"Tier 2")</f>
        <v>Tier 2</v>
      </c>
      <c r="K497" s="174" t="b">
        <f>IFERROR(__xludf.DUMMYFUNCTION("""COMPUTED_VALUE"""),TRUE)</f>
        <v>1</v>
      </c>
      <c r="L497" s="174"/>
      <c r="M497" s="174"/>
      <c r="N497" s="174"/>
      <c r="O497" s="174"/>
      <c r="P497" s="174"/>
      <c r="Q497" s="174"/>
      <c r="R497" s="174"/>
      <c r="S497" s="174"/>
      <c r="T497" s="174"/>
      <c r="U497" s="174"/>
      <c r="V497" s="174"/>
      <c r="W497" s="174"/>
      <c r="X497" s="174"/>
      <c r="Y497" s="174"/>
      <c r="Z497" s="174"/>
    </row>
    <row r="498">
      <c r="A498" s="190" t="str">
        <f>IFERROR(__xludf.DUMMYFUNCTION("""COMPUTED_VALUE"""),"Armor Cannon")</f>
        <v>Armor Cannon</v>
      </c>
      <c r="B498" s="190" t="str">
        <f>IFERROR(__xludf.DUMMYFUNCTION("""COMPUTED_VALUE"""),"Fire")</f>
        <v>Fire</v>
      </c>
      <c r="C498" s="190" t="str">
        <f>IFERROR(__xludf.DUMMYFUNCTION("""COMPUTED_VALUE"""),"Special")</f>
        <v>Special</v>
      </c>
      <c r="D498" s="190" t="str">
        <f>IFERROR(__xludf.DUMMYFUNCTION("""COMPUTED_VALUE"""),"Scene x2")</f>
        <v>Scene x2</v>
      </c>
      <c r="E498" s="190" t="str">
        <f>IFERROR(__xludf.DUMMYFUNCTION("""COMPUTED_VALUE"""),"8, 1 Target")</f>
        <v>8, 1 Target</v>
      </c>
      <c r="F498" s="190">
        <f>IFERROR(__xludf.DUMMYFUNCTION("""COMPUTED_VALUE"""),5.0)</f>
        <v>5</v>
      </c>
      <c r="G498" s="190">
        <f>IFERROR(__xludf.DUMMYFUNCTION("""COMPUTED_VALUE"""),12.0)</f>
        <v>12</v>
      </c>
      <c r="H498" s="191" t="str">
        <f>IFERROR(__xludf.DUMMYFUNCTION("""COMPUTED_VALUE"""),"On a roll of 18+, the Target becomes Burned. If the Target has no Adjacent Allies, this Effect Range is extended by +2")</f>
        <v>On a roll of 18+, the Target becomes Burned. If the Target has no Adjacent Allies, this Effect Range is extended by +2</v>
      </c>
      <c r="I498" s="191" t="str">
        <f>IFERROR(__xludf.DUMMYFUNCTION("""COMPUTED_VALUE"""),"--")</f>
        <v>--</v>
      </c>
      <c r="J498" s="190" t="str">
        <f>IFERROR(__xludf.DUMMYFUNCTION("""COMPUTED_VALUE"""),"Tier 3")</f>
        <v>Tier 3</v>
      </c>
      <c r="K498" s="174" t="b">
        <f>IFERROR(__xludf.DUMMYFUNCTION("""COMPUTED_VALUE"""),TRUE)</f>
        <v>1</v>
      </c>
      <c r="L498" s="174"/>
      <c r="M498" s="174"/>
      <c r="N498" s="174"/>
      <c r="O498" s="174"/>
      <c r="P498" s="174"/>
      <c r="Q498" s="174"/>
      <c r="R498" s="174"/>
      <c r="S498" s="174"/>
      <c r="T498" s="174"/>
      <c r="U498" s="174"/>
      <c r="V498" s="174"/>
      <c r="W498" s="174"/>
      <c r="X498" s="174"/>
      <c r="Y498" s="174"/>
      <c r="Z498" s="174"/>
    </row>
    <row r="499">
      <c r="A499" s="190" t="str">
        <f>IFERROR(__xludf.DUMMYFUNCTION("""COMPUTED_VALUE"""),"Bitter Blade")</f>
        <v>Bitter Blade</v>
      </c>
      <c r="B499" s="190" t="str">
        <f>IFERROR(__xludf.DUMMYFUNCTION("""COMPUTED_VALUE"""),"Fire")</f>
        <v>Fire</v>
      </c>
      <c r="C499" s="190" t="str">
        <f>IFERROR(__xludf.DUMMYFUNCTION("""COMPUTED_VALUE"""),"Physical")</f>
        <v>Physical</v>
      </c>
      <c r="D499" s="190" t="str">
        <f>IFERROR(__xludf.DUMMYFUNCTION("""COMPUTED_VALUE"""),"Scene x2")</f>
        <v>Scene x2</v>
      </c>
      <c r="E499" s="190" t="str">
        <f>IFERROR(__xludf.DUMMYFUNCTION("""COMPUTED_VALUE"""),"Melee, Pass ")</f>
        <v>Melee, Pass </v>
      </c>
      <c r="F499" s="190">
        <f>IFERROR(__xludf.DUMMYFUNCTION("""COMPUTED_VALUE"""),6.0)</f>
        <v>6</v>
      </c>
      <c r="G499" s="190">
        <f>IFERROR(__xludf.DUMMYFUNCTION("""COMPUTED_VALUE"""),9.0)</f>
        <v>9</v>
      </c>
      <c r="H499" s="191" t="str">
        <f>IFERROR(__xludf.DUMMYFUNCTION("""COMPUTED_VALUE"""),"This has the Drain Keyword against Targets who are Suppressed or Cursed. Smite")</f>
        <v>This has the Drain Keyword against Targets who are Suppressed or Cursed. Smite</v>
      </c>
      <c r="I499" s="191" t="str">
        <f>IFERROR(__xludf.DUMMYFUNCTION("""COMPUTED_VALUE"""),"--")</f>
        <v>--</v>
      </c>
      <c r="J499" s="190" t="str">
        <f>IFERROR(__xludf.DUMMYFUNCTION("""COMPUTED_VALUE"""),"Tier 2")</f>
        <v>Tier 2</v>
      </c>
      <c r="K499" s="174" t="b">
        <f>IFERROR(__xludf.DUMMYFUNCTION("""COMPUTED_VALUE"""),TRUE)</f>
        <v>1</v>
      </c>
      <c r="L499" s="174"/>
      <c r="M499" s="174"/>
      <c r="N499" s="174"/>
      <c r="O499" s="174"/>
      <c r="P499" s="174"/>
      <c r="Q499" s="174"/>
      <c r="R499" s="174"/>
      <c r="S499" s="174"/>
      <c r="T499" s="174"/>
      <c r="U499" s="174"/>
      <c r="V499" s="174"/>
      <c r="W499" s="174"/>
      <c r="X499" s="174"/>
      <c r="Y499" s="174"/>
      <c r="Z499" s="174"/>
    </row>
    <row r="500">
      <c r="A500" s="190" t="str">
        <f>IFERROR(__xludf.DUMMYFUNCTION("""COMPUTED_VALUE"""),"Blast Burn")</f>
        <v>Blast Burn</v>
      </c>
      <c r="B500" s="190" t="str">
        <f>IFERROR(__xludf.DUMMYFUNCTION("""COMPUTED_VALUE"""),"Fire")</f>
        <v>Fire</v>
      </c>
      <c r="C500" s="190" t="str">
        <f>IFERROR(__xludf.DUMMYFUNCTION("""COMPUTED_VALUE"""),"Special")</f>
        <v>Special</v>
      </c>
      <c r="D500" s="190" t="str">
        <f>IFERROR(__xludf.DUMMYFUNCTION("""COMPUTED_VALUE"""),"Scene")</f>
        <v>Scene</v>
      </c>
      <c r="E500" s="190" t="str">
        <f>IFERROR(__xludf.DUMMYFUNCTION("""COMPUTED_VALUE"""),"Close Blast 3, Full Action ")</f>
        <v>Close Blast 3, Full Action </v>
      </c>
      <c r="F500" s="190">
        <f>IFERROR(__xludf.DUMMYFUNCTION("""COMPUTED_VALUE"""),8.0)</f>
        <v>8</v>
      </c>
      <c r="G500" s="190">
        <f>IFERROR(__xludf.DUMMYFUNCTION("""COMPUTED_VALUE"""),15.0)</f>
        <v>15</v>
      </c>
      <c r="H500" s="191" t="str">
        <f>IFERROR(__xludf.DUMMYFUNCTION("""COMPUTED_VALUE"""),"All Targets hit by Blast Burn become Burned. Blast Burn created Fire Hazards in all Spaces within the Range of this Attack. Smite, Spirit Surge
Fire Hazards - Any Combatant who ends their turn on or moves through a Fire Hazard becomes Burned. Ground and "&amp;"Rock Type Pokemon  are immune to Fire Hazards and destroy them when Moving through them. Ground, Rock, and Water Type Attacks that affect these Spaces also destroy these Hazards. ")</f>
        <v>All Targets hit by Blast Burn become Burned. Blast Burn created Fire Hazards in all Spaces within the Range of this Attack. Smite, Spirit Surge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500" s="191" t="str">
        <f>IFERROR(__xludf.DUMMYFUNCTION("""COMPUTED_VALUE"""),"--")</f>
        <v>--</v>
      </c>
      <c r="J500" s="190" t="str">
        <f>IFERROR(__xludf.DUMMYFUNCTION("""COMPUTED_VALUE"""),"Tier 3")</f>
        <v>Tier 3</v>
      </c>
      <c r="K500" s="174" t="b">
        <f>IFERROR(__xludf.DUMMYFUNCTION("""COMPUTED_VALUE"""),TRUE)</f>
        <v>1</v>
      </c>
      <c r="L500" s="174"/>
      <c r="M500" s="174"/>
      <c r="N500" s="174"/>
      <c r="O500" s="174"/>
      <c r="P500" s="174"/>
      <c r="Q500" s="174"/>
      <c r="R500" s="174"/>
      <c r="S500" s="174"/>
      <c r="T500" s="174"/>
      <c r="U500" s="174"/>
      <c r="V500" s="174"/>
      <c r="W500" s="174"/>
      <c r="X500" s="174"/>
      <c r="Y500" s="174"/>
      <c r="Z500" s="174"/>
    </row>
    <row r="501">
      <c r="A501" s="190" t="str">
        <f>IFERROR(__xludf.DUMMYFUNCTION("""COMPUTED_VALUE"""),"Blaze Kick")</f>
        <v>Blaze Kick</v>
      </c>
      <c r="B501" s="190" t="str">
        <f>IFERROR(__xludf.DUMMYFUNCTION("""COMPUTED_VALUE"""),"Fire")</f>
        <v>Fire</v>
      </c>
      <c r="C501" s="190" t="str">
        <f>IFERROR(__xludf.DUMMYFUNCTION("""COMPUTED_VALUE"""),"Physical")</f>
        <v>Physical</v>
      </c>
      <c r="D501" s="190" t="str">
        <f>IFERROR(__xludf.DUMMYFUNCTION("""COMPUTED_VALUE"""),"EOT")</f>
        <v>EOT</v>
      </c>
      <c r="E501" s="190" t="str">
        <f>IFERROR(__xludf.DUMMYFUNCTION("""COMPUTED_VALUE"""),"Melee, 1 Target, Dash")</f>
        <v>Melee, 1 Target, Dash</v>
      </c>
      <c r="F501" s="190">
        <f>IFERROR(__xludf.DUMMYFUNCTION("""COMPUTED_VALUE"""),3.0)</f>
        <v>3</v>
      </c>
      <c r="G501" s="190">
        <f>IFERROR(__xludf.DUMMYFUNCTION("""COMPUTED_VALUE"""),9.0)</f>
        <v>9</v>
      </c>
      <c r="H501" s="191" t="str">
        <f>IFERROR(__xludf.DUMMYFUNCTION("""COMPUTED_VALUE"""),"Blaze Kick is a Critical Hit on a roll of 18+. If the Dash Keyword is Activated, the Target is Burned.")</f>
        <v>Blaze Kick is a Critical Hit on a roll of 18+. If the Dash Keyword is Activated, the Target is Burned.</v>
      </c>
      <c r="I501" s="191" t="str">
        <f>IFERROR(__xludf.DUMMYFUNCTION("""COMPUTED_VALUE"""),"--")</f>
        <v>--</v>
      </c>
      <c r="J501" s="190" t="str">
        <f>IFERROR(__xludf.DUMMYFUNCTION("""COMPUTED_VALUE"""),"Tier 2")</f>
        <v>Tier 2</v>
      </c>
      <c r="K501" s="174" t="b">
        <f>IFERROR(__xludf.DUMMYFUNCTION("""COMPUTED_VALUE"""),TRUE)</f>
        <v>1</v>
      </c>
      <c r="L501" s="174"/>
      <c r="M501" s="174"/>
      <c r="N501" s="174"/>
      <c r="O501" s="174"/>
      <c r="P501" s="174"/>
      <c r="Q501" s="174"/>
      <c r="R501" s="174"/>
      <c r="S501" s="174"/>
      <c r="T501" s="174"/>
      <c r="U501" s="174"/>
      <c r="V501" s="174"/>
      <c r="W501" s="174"/>
      <c r="X501" s="174"/>
      <c r="Y501" s="174"/>
      <c r="Z501" s="174"/>
    </row>
    <row r="502">
      <c r="A502" s="190" t="str">
        <f>IFERROR(__xludf.DUMMYFUNCTION("""COMPUTED_VALUE"""),"Blazing Sun")</f>
        <v>Blazing Sun</v>
      </c>
      <c r="B502" s="190" t="str">
        <f>IFERROR(__xludf.DUMMYFUNCTION("""COMPUTED_VALUE"""),"Fire")</f>
        <v>Fire</v>
      </c>
      <c r="C502" s="190" t="str">
        <f>IFERROR(__xludf.DUMMYFUNCTION("""COMPUTED_VALUE"""),"Status")</f>
        <v>Status</v>
      </c>
      <c r="D502" s="190" t="str">
        <f>IFERROR(__xludf.DUMMYFUNCTION("""COMPUTED_VALUE"""),"Scene x2")</f>
        <v>Scene x2</v>
      </c>
      <c r="E502" s="190" t="str">
        <f>IFERROR(__xludf.DUMMYFUNCTION("""COMPUTED_VALUE"""),"Field, Versatile, Weather")</f>
        <v>Field, Versatile, Weather</v>
      </c>
      <c r="F502" s="190" t="str">
        <f>IFERROR(__xludf.DUMMYFUNCTION("""COMPUTED_VALUE"""),"--")</f>
        <v>--</v>
      </c>
      <c r="G502" s="190" t="str">
        <f>IFERROR(__xludf.DUMMYFUNCTION("""COMPUTED_VALUE"""),"--")</f>
        <v>--</v>
      </c>
      <c r="H502" s="191" t="str">
        <f>IFERROR(__xludf.DUMMYFUNCTION("""COMPUTED_VALUE"""),"The Field becomes Blazing for the next 5 Rounds. While the Field is Blazing, non Fire Type Enemies lose a Tick of Hit Points at the start of their Turn and Fire Type Pokemon gain a Tick of Temporary Hit Points at the start of their Turn. While the Field i"&amp;"s Blazing, the Weather becomes Sunny.")</f>
        <v>The Field becomes Blazing for the next 5 Rounds. While the Field is Blazing, non Fire Type Enemies lose a Tick of Hit Points at the start of their Turn and Fire Type Pokemon gain a Tick of Temporary Hit Points at the start of their Turn. While the Field is Blazing, the Weather becomes Sunny.</v>
      </c>
      <c r="I502"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502" s="190" t="str">
        <f>IFERROR(__xludf.DUMMYFUNCTION("""COMPUTED_VALUE"""),"Tier 2")</f>
        <v>Tier 2</v>
      </c>
      <c r="K502" s="174" t="b">
        <f>IFERROR(__xludf.DUMMYFUNCTION("""COMPUTED_VALUE"""),TRUE)</f>
        <v>1</v>
      </c>
      <c r="L502" s="174"/>
      <c r="M502" s="174"/>
      <c r="N502" s="174"/>
      <c r="O502" s="174"/>
      <c r="P502" s="174"/>
      <c r="Q502" s="174"/>
      <c r="R502" s="174"/>
      <c r="S502" s="174"/>
      <c r="T502" s="174"/>
      <c r="U502" s="174"/>
      <c r="V502" s="174"/>
      <c r="W502" s="174"/>
      <c r="X502" s="174"/>
      <c r="Y502" s="174"/>
      <c r="Z502" s="174"/>
    </row>
    <row r="503">
      <c r="A503" s="190" t="str">
        <f>IFERROR(__xludf.DUMMYFUNCTION("""COMPUTED_VALUE"""),"Burning Jealousy")</f>
        <v>Burning Jealousy</v>
      </c>
      <c r="B503" s="190" t="str">
        <f>IFERROR(__xludf.DUMMYFUNCTION("""COMPUTED_VALUE"""),"Fire")</f>
        <v>Fire</v>
      </c>
      <c r="C503" s="190" t="str">
        <f>IFERROR(__xludf.DUMMYFUNCTION("""COMPUTED_VALUE"""),"Special")</f>
        <v>Special</v>
      </c>
      <c r="D503" s="190" t="str">
        <f>IFERROR(__xludf.DUMMYFUNCTION("""COMPUTED_VALUE"""),"Scene x2")</f>
        <v>Scene x2</v>
      </c>
      <c r="E503" s="190" t="str">
        <f>IFERROR(__xludf.DUMMYFUNCTION("""COMPUTED_VALUE"""),"Burst 1")</f>
        <v>Burst 1</v>
      </c>
      <c r="F503" s="190">
        <f>IFERROR(__xludf.DUMMYFUNCTION("""COMPUTED_VALUE"""),6.0)</f>
        <v>6</v>
      </c>
      <c r="G503" s="190">
        <f>IFERROR(__xludf.DUMMYFUNCTION("""COMPUTED_VALUE"""),8.0)</f>
        <v>8</v>
      </c>
      <c r="H503" s="191" t="str">
        <f>IFERROR(__xludf.DUMMYFUNCTION("""COMPUTED_VALUE"""),"If a Target of this Attack had their Combat Stages raised since the user's last turn, they become Burned. Spirit Surge.")</f>
        <v>If a Target of this Attack had their Combat Stages raised since the user's last turn, they become Burned. Spirit Surge.</v>
      </c>
      <c r="I503" s="191" t="str">
        <f>IFERROR(__xludf.DUMMYFUNCTION("""COMPUTED_VALUE"""),"--")</f>
        <v>--</v>
      </c>
      <c r="J503" s="190" t="str">
        <f>IFERROR(__xludf.DUMMYFUNCTION("""COMPUTED_VALUE"""),"Tier 2")</f>
        <v>Tier 2</v>
      </c>
      <c r="K503" s="174" t="b">
        <f>IFERROR(__xludf.DUMMYFUNCTION("""COMPUTED_VALUE"""),TRUE)</f>
        <v>1</v>
      </c>
      <c r="L503" s="174"/>
      <c r="M503" s="174"/>
      <c r="N503" s="174"/>
      <c r="O503" s="174"/>
      <c r="P503" s="174"/>
      <c r="Q503" s="174"/>
      <c r="R503" s="174"/>
      <c r="S503" s="174"/>
      <c r="T503" s="174"/>
      <c r="U503" s="174"/>
      <c r="V503" s="174"/>
      <c r="W503" s="174"/>
      <c r="X503" s="174"/>
      <c r="Y503" s="174"/>
      <c r="Z503" s="174"/>
    </row>
    <row r="504">
      <c r="A504" s="190" t="str">
        <f>IFERROR(__xludf.DUMMYFUNCTION("""COMPUTED_VALUE"""),"Burn Up")</f>
        <v>Burn Up</v>
      </c>
      <c r="B504" s="190" t="str">
        <f>IFERROR(__xludf.DUMMYFUNCTION("""COMPUTED_VALUE"""),"Fire")</f>
        <v>Fire</v>
      </c>
      <c r="C504" s="190" t="str">
        <f>IFERROR(__xludf.DUMMYFUNCTION("""COMPUTED_VALUE"""),"Special")</f>
        <v>Special</v>
      </c>
      <c r="D504" s="190" t="str">
        <f>IFERROR(__xludf.DUMMYFUNCTION("""COMPUTED_VALUE"""),"Scene x2")</f>
        <v>Scene x2</v>
      </c>
      <c r="E504" s="190" t="str">
        <f>IFERROR(__xludf.DUMMYFUNCTION("""COMPUTED_VALUE"""),"Burst 1, Full Action ")</f>
        <v>Burst 1, Full Action </v>
      </c>
      <c r="F504" s="190">
        <f>IFERROR(__xludf.DUMMYFUNCTION("""COMPUTED_VALUE"""),7.0)</f>
        <v>7</v>
      </c>
      <c r="G504" s="190">
        <f>IFERROR(__xludf.DUMMYFUNCTION("""COMPUTED_VALUE"""),13.0)</f>
        <v>13</v>
      </c>
      <c r="H504" s="191" t="str">
        <f>IFERROR(__xludf.DUMMYFUNCTION("""COMPUTED_VALUE"""),"Until the end of the encounter, the user loses its Fire Type (Pure Fire Types become Normal Type). The user may cure themselves of the Burned Affliction and if they do, Burn Up is a Critical Hit and the user regains its Fire Type. Smite. Spirit Surge.")</f>
        <v>Until the end of the encounter, the user loses its Fire Type (Pure Fire Types become Normal Type). The user may cure themselves of the Burned Affliction and if they do, Burn Up is a Critical Hit and the user regains its Fire Type. Smite. Spirit Surge.</v>
      </c>
      <c r="I504" s="191" t="str">
        <f>IFERROR(__xludf.DUMMYFUNCTION("""COMPUTED_VALUE"""),"--")</f>
        <v>--</v>
      </c>
      <c r="J504" s="190" t="str">
        <f>IFERROR(__xludf.DUMMYFUNCTION("""COMPUTED_VALUE"""),"Tier 3")</f>
        <v>Tier 3</v>
      </c>
      <c r="K504" s="174" t="b">
        <f>IFERROR(__xludf.DUMMYFUNCTION("""COMPUTED_VALUE"""),TRUE)</f>
        <v>1</v>
      </c>
      <c r="L504" s="174"/>
      <c r="M504" s="174"/>
      <c r="N504" s="174"/>
      <c r="O504" s="174"/>
      <c r="P504" s="174"/>
      <c r="Q504" s="174"/>
      <c r="R504" s="174"/>
      <c r="S504" s="174"/>
      <c r="T504" s="174"/>
      <c r="U504" s="174"/>
      <c r="V504" s="174"/>
      <c r="W504" s="174"/>
      <c r="X504" s="174"/>
      <c r="Y504" s="174"/>
      <c r="Z504" s="174"/>
    </row>
    <row r="505">
      <c r="A505" s="190" t="str">
        <f>IFERROR(__xludf.DUMMYFUNCTION("""COMPUTED_VALUE"""),"Cleansing Flames")</f>
        <v>Cleansing Flames</v>
      </c>
      <c r="B505" s="190" t="str">
        <f>IFERROR(__xludf.DUMMYFUNCTION("""COMPUTED_VALUE"""),"Fire")</f>
        <v>Fire</v>
      </c>
      <c r="C505" s="190" t="str">
        <f>IFERROR(__xludf.DUMMYFUNCTION("""COMPUTED_VALUE"""),"Special")</f>
        <v>Special</v>
      </c>
      <c r="D505" s="190" t="str">
        <f>IFERROR(__xludf.DUMMYFUNCTION("""COMPUTED_VALUE"""),"Scene x2")</f>
        <v>Scene x2</v>
      </c>
      <c r="E505" s="190" t="str">
        <f>IFERROR(__xludf.DUMMYFUNCTION("""COMPUTED_VALUE"""),"6, Ranged Blast 2")</f>
        <v>6, Ranged Blast 2</v>
      </c>
      <c r="F505" s="190">
        <f>IFERROR(__xludf.DUMMYFUNCTION("""COMPUTED_VALUE"""),5.0)</f>
        <v>5</v>
      </c>
      <c r="G505" s="190">
        <f>IFERROR(__xludf.DUMMYFUNCTION("""COMPUTED_VALUE"""),7.0)</f>
        <v>7</v>
      </c>
      <c r="H505" s="191" t="str">
        <f>IFERROR(__xludf.DUMMYFUNCTION("""COMPUTED_VALUE"""),"All Targets have all Physical Afflictions removed except for Burn. Any Targets that have an Affliction removed this way take one step more damage from Cleansing Flames. Allies within the range of Cleansing Flames take no damage from this Attack. ")</f>
        <v>All Targets have all Physical Afflictions removed except for Burn. Any Targets that have an Affliction removed this way take one step more damage from Cleansing Flames. Allies within the range of Cleansing Flames take no damage from this Attack. </v>
      </c>
      <c r="I505" s="191" t="str">
        <f>IFERROR(__xludf.DUMMYFUNCTION("""COMPUTED_VALUE"""),"--")</f>
        <v>--</v>
      </c>
      <c r="J505" s="190" t="str">
        <f>IFERROR(__xludf.DUMMYFUNCTION("""COMPUTED_VALUE"""),"Tier 2")</f>
        <v>Tier 2</v>
      </c>
      <c r="K505" s="174" t="b">
        <f>IFERROR(__xludf.DUMMYFUNCTION("""COMPUTED_VALUE"""),TRUE)</f>
        <v>1</v>
      </c>
      <c r="L505" s="174"/>
      <c r="M505" s="174"/>
      <c r="N505" s="174"/>
      <c r="O505" s="174"/>
      <c r="P505" s="174"/>
      <c r="Q505" s="174"/>
      <c r="R505" s="174"/>
      <c r="S505" s="174"/>
      <c r="T505" s="174"/>
      <c r="U505" s="174"/>
      <c r="V505" s="174"/>
      <c r="W505" s="174"/>
      <c r="X505" s="174"/>
      <c r="Y505" s="174"/>
      <c r="Z505" s="174"/>
    </row>
    <row r="506">
      <c r="A506" s="190" t="str">
        <f>IFERROR(__xludf.DUMMYFUNCTION("""COMPUTED_VALUE"""),"Ember")</f>
        <v>Ember</v>
      </c>
      <c r="B506" s="190" t="str">
        <f>IFERROR(__xludf.DUMMYFUNCTION("""COMPUTED_VALUE"""),"Fire")</f>
        <v>Fire</v>
      </c>
      <c r="C506" s="190" t="str">
        <f>IFERROR(__xludf.DUMMYFUNCTION("""COMPUTED_VALUE"""),"Special")</f>
        <v>Special</v>
      </c>
      <c r="D506" s="190" t="str">
        <f>IFERROR(__xludf.DUMMYFUNCTION("""COMPUTED_VALUE"""),"At-Will")</f>
        <v>At-Will</v>
      </c>
      <c r="E506" s="190" t="str">
        <f>IFERROR(__xludf.DUMMYFUNCTION("""COMPUTED_VALUE"""),"4, 1 Target or Close Blast 2")</f>
        <v>4, 1 Target or Close Blast 2</v>
      </c>
      <c r="F506" s="190">
        <f>IFERROR(__xludf.DUMMYFUNCTION("""COMPUTED_VALUE"""),3.0)</f>
        <v>3</v>
      </c>
      <c r="G506" s="190">
        <f>IFERROR(__xludf.DUMMYFUNCTION("""COMPUTED_VALUE"""),4.0)</f>
        <v>4</v>
      </c>
      <c r="H506" s="191" t="str">
        <f>IFERROR(__xludf.DUMMYFUNCTION("""COMPUTED_VALUE"""),"On a roll of 18+, the Target becomes Burned. If this is used with the Close Blast Range, the AC is increased by +2.")</f>
        <v>On a roll of 18+, the Target becomes Burned. If this is used with the Close Blast Range, the AC is increased by +2.</v>
      </c>
      <c r="I506" s="191" t="str">
        <f>IFERROR(__xludf.DUMMYFUNCTION("""COMPUTED_VALUE"""),"--")</f>
        <v>--</v>
      </c>
      <c r="J506" s="190" t="str">
        <f>IFERROR(__xludf.DUMMYFUNCTION("""COMPUTED_VALUE"""),"Tier 1")</f>
        <v>Tier 1</v>
      </c>
      <c r="K506" s="174" t="b">
        <f>IFERROR(__xludf.DUMMYFUNCTION("""COMPUTED_VALUE"""),TRUE)</f>
        <v>1</v>
      </c>
      <c r="L506" s="174"/>
      <c r="M506" s="174"/>
      <c r="N506" s="174"/>
      <c r="O506" s="174"/>
      <c r="P506" s="174"/>
      <c r="Q506" s="174"/>
      <c r="R506" s="174"/>
      <c r="S506" s="174"/>
      <c r="T506" s="174"/>
      <c r="U506" s="174"/>
      <c r="V506" s="174"/>
      <c r="W506" s="174"/>
      <c r="X506" s="174"/>
      <c r="Y506" s="174"/>
      <c r="Z506" s="174"/>
    </row>
    <row r="507">
      <c r="A507" s="190" t="str">
        <f>IFERROR(__xludf.DUMMYFUNCTION("""COMPUTED_VALUE"""),"Eruption")</f>
        <v>Eruption</v>
      </c>
      <c r="B507" s="190" t="str">
        <f>IFERROR(__xludf.DUMMYFUNCTION("""COMPUTED_VALUE"""),"Fire")</f>
        <v>Fire</v>
      </c>
      <c r="C507" s="190" t="str">
        <f>IFERROR(__xludf.DUMMYFUNCTION("""COMPUTED_VALUE"""),"Special")</f>
        <v>Special</v>
      </c>
      <c r="D507" s="190" t="str">
        <f>IFERROR(__xludf.DUMMYFUNCTION("""COMPUTED_VALUE"""),"Scene")</f>
        <v>Scene</v>
      </c>
      <c r="E507" s="190" t="str">
        <f>IFERROR(__xludf.DUMMYFUNCTION("""COMPUTED_VALUE"""),"10, Ranged Blast 3, Set-Up")</f>
        <v>10, Ranged Blast 3, Set-Up</v>
      </c>
      <c r="F507" s="190">
        <f>IFERROR(__xludf.DUMMYFUNCTION("""COMPUTED_VALUE"""),5.0)</f>
        <v>5</v>
      </c>
      <c r="G507" s="190">
        <f>IFERROR(__xludf.DUMMYFUNCTION("""COMPUTED_VALUE"""),8.0)</f>
        <v>8</v>
      </c>
      <c r="H507" s="191" t="str">
        <f>IFERROR(__xludf.DUMMYFUNCTION("""COMPUTED_VALUE"""),"Charge Effect: While the user has Eruption Charge Tokens, Combatants Adjacent to the user are Burned whenever the user is hit by an Attack.
Resolution Effect: All Targets become Burned on an 18+. For each Charge Token expended, increase the DB by +2 and t"&amp;"his Effect Range by +1. Smite")</f>
        <v>Charge Effect: While the user has Eruption Charge Tokens, Combatants Adjacent to the user are Burned whenever the user is hit by an Attack.
Resolution Effect: All Targets become Burned on an 18+. For each Charge Token expended, increase the DB by +2 and this Effect Range by +1. Smite</v>
      </c>
      <c r="I507" s="191" t="str">
        <f>IFERROR(__xludf.DUMMYFUNCTION("""COMPUTED_VALUE"""),"--")</f>
        <v>--</v>
      </c>
      <c r="J507" s="190" t="str">
        <f>IFERROR(__xludf.DUMMYFUNCTION("""COMPUTED_VALUE"""),"Tier 2")</f>
        <v>Tier 2</v>
      </c>
      <c r="K507" s="174" t="b">
        <f>IFERROR(__xludf.DUMMYFUNCTION("""COMPUTED_VALUE"""),TRUE)</f>
        <v>1</v>
      </c>
      <c r="L507" s="174"/>
      <c r="M507" s="174"/>
      <c r="N507" s="174"/>
      <c r="O507" s="174"/>
      <c r="P507" s="174"/>
      <c r="Q507" s="174"/>
      <c r="R507" s="174"/>
      <c r="S507" s="174"/>
      <c r="T507" s="174"/>
      <c r="U507" s="174"/>
      <c r="V507" s="174"/>
      <c r="W507" s="174"/>
      <c r="X507" s="174"/>
      <c r="Y507" s="174"/>
      <c r="Z507" s="174"/>
    </row>
    <row r="508">
      <c r="A508" s="190" t="str">
        <f>IFERROR(__xludf.DUMMYFUNCTION("""COMPUTED_VALUE"""),"Explosive Punch")</f>
        <v>Explosive Punch</v>
      </c>
      <c r="B508" s="190" t="str">
        <f>IFERROR(__xludf.DUMMYFUNCTION("""COMPUTED_VALUE"""),"Fire")</f>
        <v>Fire</v>
      </c>
      <c r="C508" s="190" t="str">
        <f>IFERROR(__xludf.DUMMYFUNCTION("""COMPUTED_VALUE"""),"Physical")</f>
        <v>Physical</v>
      </c>
      <c r="D508" s="190" t="str">
        <f>IFERROR(__xludf.DUMMYFUNCTION("""COMPUTED_VALUE"""),"Scene")</f>
        <v>Scene</v>
      </c>
      <c r="E508" s="190" t="str">
        <f>IFERROR(__xludf.DUMMYFUNCTION("""COMPUTED_VALUE"""),"Melee, 1 Target, Punch, Recoil 1/3")</f>
        <v>Melee, 1 Target, Punch, Recoil 1/3</v>
      </c>
      <c r="F508" s="190">
        <f>IFERROR(__xludf.DUMMYFUNCTION("""COMPUTED_VALUE"""),6.0)</f>
        <v>6</v>
      </c>
      <c r="G508" s="190">
        <f>IFERROR(__xludf.DUMMYFUNCTION("""COMPUTED_VALUE"""),12.0)</f>
        <v>12</v>
      </c>
      <c r="H508" s="191" t="str">
        <f>IFERROR(__xludf.DUMMYFUNCTION("""COMPUTED_VALUE"""),"Explosive Punch is a Critical Hit on a roll of 17+. Explosive Punch also Targets all Enemies that are Adjacent to the Target. Smite")</f>
        <v>Explosive Punch is a Critical Hit on a roll of 17+. Explosive Punch also Targets all Enemies that are Adjacent to the Target. Smite</v>
      </c>
      <c r="I508" s="191" t="str">
        <f>IFERROR(__xludf.DUMMYFUNCTION("""COMPUTED_VALUE"""),"--")</f>
        <v>--</v>
      </c>
      <c r="J508" s="190" t="str">
        <f>IFERROR(__xludf.DUMMYFUNCTION("""COMPUTED_VALUE"""),"Tier 3")</f>
        <v>Tier 3</v>
      </c>
      <c r="K508" s="174" t="b">
        <f>IFERROR(__xludf.DUMMYFUNCTION("""COMPUTED_VALUE"""),TRUE)</f>
        <v>1</v>
      </c>
      <c r="L508" s="174"/>
      <c r="M508" s="174"/>
      <c r="N508" s="174"/>
      <c r="O508" s="174"/>
      <c r="P508" s="174"/>
      <c r="Q508" s="174"/>
      <c r="R508" s="174"/>
      <c r="S508" s="174"/>
      <c r="T508" s="174"/>
      <c r="U508" s="174"/>
      <c r="V508" s="174"/>
      <c r="W508" s="174"/>
      <c r="X508" s="174"/>
      <c r="Y508" s="174"/>
      <c r="Z508" s="174"/>
    </row>
    <row r="509">
      <c r="A509" s="190" t="str">
        <f>IFERROR(__xludf.DUMMYFUNCTION("""COMPUTED_VALUE"""),"Fiery Dance")</f>
        <v>Fiery Dance</v>
      </c>
      <c r="B509" s="190" t="str">
        <f>IFERROR(__xludf.DUMMYFUNCTION("""COMPUTED_VALUE"""),"Fire")</f>
        <v>Fire</v>
      </c>
      <c r="C509" s="190" t="str">
        <f>IFERROR(__xludf.DUMMYFUNCTION("""COMPUTED_VALUE"""),"Special")</f>
        <v>Special</v>
      </c>
      <c r="D509" s="190" t="str">
        <f>IFERROR(__xludf.DUMMYFUNCTION("""COMPUTED_VALUE"""),"Scene x2")</f>
        <v>Scene x2</v>
      </c>
      <c r="E509" s="190" t="str">
        <f>IFERROR(__xludf.DUMMYFUNCTION("""COMPUTED_VALUE"""),"3, 3 Targets, Full Action + Movement Action")</f>
        <v>3, 3 Targets, Full Action + Movement Action</v>
      </c>
      <c r="F509" s="190">
        <f>IFERROR(__xludf.DUMMYFUNCTION("""COMPUTED_VALUE"""),7.0)</f>
        <v>7</v>
      </c>
      <c r="G509" s="190">
        <f>IFERROR(__xludf.DUMMYFUNCTION("""COMPUTED_VALUE"""),7.0)</f>
        <v>7</v>
      </c>
      <c r="H509" s="191" t="str">
        <f>IFERROR(__xludf.DUMMYFUNCTION("""COMPUTED_VALUE"""),"On a roll of 17+, the Target becomes Burned. If you only choose two Targets, all hit Targets become Burned. If you only choose one, all Targets become Burned and this has the Sureshot Keyword.")</f>
        <v>On a roll of 17+, the Target becomes Burned. If you only choose two Targets, all hit Targets become Burned. If you only choose one, all Targets become Burned and this has the Sureshot Keyword.</v>
      </c>
      <c r="I509" s="191" t="str">
        <f>IFERROR(__xludf.DUMMYFUNCTION("""COMPUTED_VALUE"""),"--")</f>
        <v>--</v>
      </c>
      <c r="J509" s="190" t="str">
        <f>IFERROR(__xludf.DUMMYFUNCTION("""COMPUTED_VALUE"""),"Tier 2")</f>
        <v>Tier 2</v>
      </c>
      <c r="K509" s="174" t="b">
        <f>IFERROR(__xludf.DUMMYFUNCTION("""COMPUTED_VALUE"""),TRUE)</f>
        <v>1</v>
      </c>
      <c r="L509" s="174"/>
      <c r="M509" s="174"/>
      <c r="N509" s="174"/>
      <c r="O509" s="174"/>
      <c r="P509" s="174"/>
      <c r="Q509" s="174"/>
      <c r="R509" s="174"/>
      <c r="S509" s="174"/>
      <c r="T509" s="174"/>
      <c r="U509" s="174"/>
      <c r="V509" s="174"/>
      <c r="W509" s="174"/>
      <c r="X509" s="174"/>
      <c r="Y509" s="174"/>
      <c r="Z509" s="174"/>
    </row>
    <row r="510">
      <c r="A510" s="190" t="str">
        <f>IFERROR(__xludf.DUMMYFUNCTION("""COMPUTED_VALUE"""),"Fire Blast")</f>
        <v>Fire Blast</v>
      </c>
      <c r="B510" s="190" t="str">
        <f>IFERROR(__xludf.DUMMYFUNCTION("""COMPUTED_VALUE"""),"Fire")</f>
        <v>Fire</v>
      </c>
      <c r="C510" s="190" t="str">
        <f>IFERROR(__xludf.DUMMYFUNCTION("""COMPUTED_VALUE"""),"Special")</f>
        <v>Special</v>
      </c>
      <c r="D510" s="190" t="str">
        <f>IFERROR(__xludf.DUMMYFUNCTION("""COMPUTED_VALUE"""),"Scene x2")</f>
        <v>Scene x2</v>
      </c>
      <c r="E510" s="190" t="str">
        <f>IFERROR(__xludf.DUMMYFUNCTION("""COMPUTED_VALUE"""),"6, 1 Target; or Close Blast 2, Full Action")</f>
        <v>6, 1 Target; or Close Blast 2, Full Action</v>
      </c>
      <c r="F510" s="190">
        <f>IFERROR(__xludf.DUMMYFUNCTION("""COMPUTED_VALUE"""),6.0)</f>
        <v>6</v>
      </c>
      <c r="G510" s="190">
        <f>IFERROR(__xludf.DUMMYFUNCTION("""COMPUTED_VALUE"""),11.0)</f>
        <v>11</v>
      </c>
      <c r="H510" s="191" t="str">
        <f>IFERROR(__xludf.DUMMYFUNCTION("""COMPUTED_VALUE"""),"On a roll of 17+, the Target becomes Burned. If the Weather is Sunny, Targets cannot apply Special Defense Evasion against this Attack. Smite")</f>
        <v>On a roll of 17+, the Target becomes Burned. If the Weather is Sunny, Targets cannot apply Special Defense Evasion against this Attack. Smite</v>
      </c>
      <c r="I510" s="191" t="str">
        <f>IFERROR(__xludf.DUMMYFUNCTION("""COMPUTED_VALUE"""),"--")</f>
        <v>--</v>
      </c>
      <c r="J510" s="190" t="str">
        <f>IFERROR(__xludf.DUMMYFUNCTION("""COMPUTED_VALUE"""),"Tier 3")</f>
        <v>Tier 3</v>
      </c>
      <c r="K510" s="174" t="b">
        <f>IFERROR(__xludf.DUMMYFUNCTION("""COMPUTED_VALUE"""),TRUE)</f>
        <v>1</v>
      </c>
      <c r="L510" s="174"/>
      <c r="M510" s="174"/>
      <c r="N510" s="174"/>
      <c r="O510" s="174"/>
      <c r="P510" s="174"/>
      <c r="Q510" s="174"/>
      <c r="R510" s="174"/>
      <c r="S510" s="174"/>
      <c r="T510" s="174"/>
      <c r="U510" s="174"/>
      <c r="V510" s="174"/>
      <c r="W510" s="174"/>
      <c r="X510" s="174"/>
      <c r="Y510" s="174"/>
      <c r="Z510" s="174"/>
    </row>
    <row r="511">
      <c r="A511" s="190" t="str">
        <f>IFERROR(__xludf.DUMMYFUNCTION("""COMPUTED_VALUE"""),"Fire Claw")</f>
        <v>Fire Claw</v>
      </c>
      <c r="B511" s="190" t="str">
        <f>IFERROR(__xludf.DUMMYFUNCTION("""COMPUTED_VALUE"""),"Fire")</f>
        <v>Fire</v>
      </c>
      <c r="C511" s="190" t="str">
        <f>IFERROR(__xludf.DUMMYFUNCTION("""COMPUTED_VALUE"""),"Physical")</f>
        <v>Physical</v>
      </c>
      <c r="D511" s="190" t="str">
        <f>IFERROR(__xludf.DUMMYFUNCTION("""COMPUTED_VALUE"""),"At-Will")</f>
        <v>At-Will</v>
      </c>
      <c r="E511" s="190" t="str">
        <f>IFERROR(__xludf.DUMMYFUNCTION("""COMPUTED_VALUE"""),"Melee, Pass")</f>
        <v>Melee, Pass</v>
      </c>
      <c r="F511" s="190">
        <f>IFERROR(__xludf.DUMMYFUNCTION("""COMPUTED_VALUE"""),4.0)</f>
        <v>4</v>
      </c>
      <c r="G511" s="190">
        <f>IFERROR(__xludf.DUMMYFUNCTION("""COMPUTED_VALUE"""),4.0)</f>
        <v>4</v>
      </c>
      <c r="H511" s="191" t="str">
        <f>IFERROR(__xludf.DUMMYFUNCTION("""COMPUTED_VALUE"""),"On a roll of 17+, the Target becomes Burned.  ")</f>
        <v>On a roll of 17+, the Target becomes Burned.  </v>
      </c>
      <c r="I511" s="191" t="str">
        <f>IFERROR(__xludf.DUMMYFUNCTION("""COMPUTED_VALUE"""),"--")</f>
        <v>--</v>
      </c>
      <c r="J511" s="190" t="str">
        <f>IFERROR(__xludf.DUMMYFUNCTION("""COMPUTED_VALUE"""),"Tier 1")</f>
        <v>Tier 1</v>
      </c>
      <c r="K511" s="174" t="b">
        <f>IFERROR(__xludf.DUMMYFUNCTION("""COMPUTED_VALUE"""),TRUE)</f>
        <v>1</v>
      </c>
      <c r="L511" s="174"/>
      <c r="M511" s="174"/>
      <c r="N511" s="174"/>
      <c r="O511" s="174"/>
      <c r="P511" s="174"/>
      <c r="Q511" s="174"/>
      <c r="R511" s="174"/>
      <c r="S511" s="174"/>
      <c r="T511" s="174"/>
      <c r="U511" s="174"/>
      <c r="V511" s="174"/>
      <c r="W511" s="174"/>
      <c r="X511" s="174"/>
      <c r="Y511" s="174"/>
      <c r="Z511" s="174"/>
    </row>
    <row r="512">
      <c r="A512" s="190" t="str">
        <f>IFERROR(__xludf.DUMMYFUNCTION("""COMPUTED_VALUE"""),"Fire Fang")</f>
        <v>Fire Fang</v>
      </c>
      <c r="B512" s="190" t="str">
        <f>IFERROR(__xludf.DUMMYFUNCTION("""COMPUTED_VALUE"""),"Fire")</f>
        <v>Fire</v>
      </c>
      <c r="C512" s="190" t="str">
        <f>IFERROR(__xludf.DUMMYFUNCTION("""COMPUTED_VALUE"""),"Physical")</f>
        <v>Physical</v>
      </c>
      <c r="D512" s="190" t="str">
        <f>IFERROR(__xludf.DUMMYFUNCTION("""COMPUTED_VALUE"""),"At-Will")</f>
        <v>At-Will</v>
      </c>
      <c r="E512" s="190" t="str">
        <f>IFERROR(__xludf.DUMMYFUNCTION("""COMPUTED_VALUE"""),"Melee, 1 Target, Bite")</f>
        <v>Melee, 1 Target, Bite</v>
      </c>
      <c r="F512" s="190">
        <f>IFERROR(__xludf.DUMMYFUNCTION("""COMPUTED_VALUE"""),2.0)</f>
        <v>2</v>
      </c>
      <c r="G512" s="190">
        <f>IFERROR(__xludf.DUMMYFUNCTION("""COMPUTED_VALUE"""),7.0)</f>
        <v>7</v>
      </c>
      <c r="H512" s="191" t="str">
        <f>IFERROR(__xludf.DUMMYFUNCTION("""COMPUTED_VALUE"""),"On a roll of 17+, Roll a 1d2. On a 1, the Target becomes Burned. On a 2, the Target becomes Wounded.")</f>
        <v>On a roll of 17+, Roll a 1d2. On a 1, the Target becomes Burned. On a 2, the Target becomes Wounded.</v>
      </c>
      <c r="I512" s="191" t="str">
        <f>IFERROR(__xludf.DUMMYFUNCTION("""COMPUTED_VALUE"""),"--")</f>
        <v>--</v>
      </c>
      <c r="J512" s="190" t="str">
        <f>IFERROR(__xludf.DUMMYFUNCTION("""COMPUTED_VALUE"""),"Tier 1")</f>
        <v>Tier 1</v>
      </c>
      <c r="K512" s="174" t="b">
        <f>IFERROR(__xludf.DUMMYFUNCTION("""COMPUTED_VALUE"""),TRUE)</f>
        <v>1</v>
      </c>
      <c r="L512" s="174"/>
      <c r="M512" s="174"/>
      <c r="N512" s="174"/>
      <c r="O512" s="174"/>
      <c r="P512" s="174"/>
      <c r="Q512" s="174"/>
      <c r="R512" s="174"/>
      <c r="S512" s="174"/>
      <c r="T512" s="174"/>
      <c r="U512" s="174"/>
      <c r="V512" s="174"/>
      <c r="W512" s="174"/>
      <c r="X512" s="174"/>
      <c r="Y512" s="174"/>
      <c r="Z512" s="174"/>
    </row>
    <row r="513">
      <c r="A513" s="190" t="str">
        <f>IFERROR(__xludf.DUMMYFUNCTION("""COMPUTED_VALUE"""),"Fire Lash")</f>
        <v>Fire Lash</v>
      </c>
      <c r="B513" s="190" t="str">
        <f>IFERROR(__xludf.DUMMYFUNCTION("""COMPUTED_VALUE"""),"Fire")</f>
        <v>Fire</v>
      </c>
      <c r="C513" s="190" t="str">
        <f>IFERROR(__xludf.DUMMYFUNCTION("""COMPUTED_VALUE"""),"Physical")</f>
        <v>Physical</v>
      </c>
      <c r="D513" s="190" t="str">
        <f>IFERROR(__xludf.DUMMYFUNCTION("""COMPUTED_VALUE"""),"EOT")</f>
        <v>EOT</v>
      </c>
      <c r="E513" s="190" t="str">
        <f>IFERROR(__xludf.DUMMYFUNCTION("""COMPUTED_VALUE"""),"2, 1 Target")</f>
        <v>2, 1 Target</v>
      </c>
      <c r="F513" s="190">
        <f>IFERROR(__xludf.DUMMYFUNCTION("""COMPUTED_VALUE"""),3.0)</f>
        <v>3</v>
      </c>
      <c r="G513" s="190">
        <f>IFERROR(__xludf.DUMMYFUNCTION("""COMPUTED_VALUE"""),8.0)</f>
        <v>8</v>
      </c>
      <c r="H513" s="191" t="str">
        <f>IFERROR(__xludf.DUMMYFUNCTION("""COMPUTED_VALUE"""),"The Target loses -1 CS in Defense. If the Target is Burned or the Weather is Sunny, they instead lose -2 CS in Defense.")</f>
        <v>The Target loses -1 CS in Defense. If the Target is Burned or the Weather is Sunny, they instead lose -2 CS in Defense.</v>
      </c>
      <c r="I513" s="191" t="str">
        <f>IFERROR(__xludf.DUMMYFUNCTION("""COMPUTED_VALUE"""),"--")</f>
        <v>--</v>
      </c>
      <c r="J513" s="190" t="str">
        <f>IFERROR(__xludf.DUMMYFUNCTION("""COMPUTED_VALUE"""),"Tier 2")</f>
        <v>Tier 2</v>
      </c>
      <c r="K513" s="174" t="b">
        <f>IFERROR(__xludf.DUMMYFUNCTION("""COMPUTED_VALUE"""),TRUE)</f>
        <v>1</v>
      </c>
      <c r="L513" s="174"/>
      <c r="M513" s="174"/>
      <c r="N513" s="174"/>
      <c r="O513" s="174"/>
      <c r="P513" s="174"/>
      <c r="Q513" s="174"/>
      <c r="R513" s="174"/>
      <c r="S513" s="174"/>
      <c r="T513" s="174"/>
      <c r="U513" s="174"/>
      <c r="V513" s="174"/>
      <c r="W513" s="174"/>
      <c r="X513" s="174"/>
      <c r="Y513" s="174"/>
      <c r="Z513" s="174"/>
    </row>
    <row r="514">
      <c r="A514" s="190" t="str">
        <f>IFERROR(__xludf.DUMMYFUNCTION("""COMPUTED_VALUE"""),"Fire Pledge")</f>
        <v>Fire Pledge</v>
      </c>
      <c r="B514" s="190" t="str">
        <f>IFERROR(__xludf.DUMMYFUNCTION("""COMPUTED_VALUE"""),"Fire")</f>
        <v>Fire</v>
      </c>
      <c r="C514" s="190" t="str">
        <f>IFERROR(__xludf.DUMMYFUNCTION("""COMPUTED_VALUE"""),"Special")</f>
        <v>Special</v>
      </c>
      <c r="D514" s="190" t="str">
        <f>IFERROR(__xludf.DUMMYFUNCTION("""COMPUTED_VALUE"""),"Scene x2")</f>
        <v>Scene x2</v>
      </c>
      <c r="E514" s="190" t="str">
        <f>IFERROR(__xludf.DUMMYFUNCTION("""COMPUTED_VALUE"""),"6, 1 Target")</f>
        <v>6, 1 Target</v>
      </c>
      <c r="F514" s="190">
        <f>IFERROR(__xludf.DUMMYFUNCTION("""COMPUTED_VALUE"""),4.0)</f>
        <v>4</v>
      </c>
      <c r="G514" s="190">
        <f>IFERROR(__xludf.DUMMYFUNCTION("""COMPUTED_VALUE"""),8.0)</f>
        <v>8</v>
      </c>
      <c r="H514" s="191" t="str">
        <f>IFERROR(__xludf.DUMMYFUNCTION("""COMPUTED_VALUE"""),"If an Ally has used a Fire Type Attack since your last turn, this Attack can instead used as a 6, Ranged Blast 3, Full Action, Smite Range, burns on a roll of 15+ and creates Fire Hazards in all Spaces within the Range of this Attack.
Fire Hazards - Any "&amp;"Combatant who ends their turn on or moves through a Fire Hazard becomes Burned. Ground and Rock Type Pokemon  are immune to Fire Hazards and destroy them when Moving through them. Ground, Rock, and Water Type Attacks that affect these Spaces also destroy "&amp;"these Hazards.")</f>
        <v>If an Ally has used a Fire Type Attack since your last turn, this Attack can instead used as a 6, Ranged Blast 3, Full Action, Smite Range, burns on a roll of 15+ and creates Fire Hazards in all Spaces within the Range of this Attack.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v>
      </c>
      <c r="I514" s="191" t="str">
        <f>IFERROR(__xludf.DUMMYFUNCTION("""COMPUTED_VALUE"""),"--")</f>
        <v>--</v>
      </c>
      <c r="J514" s="190" t="str">
        <f>IFERROR(__xludf.DUMMYFUNCTION("""COMPUTED_VALUE"""),"Tier 2")</f>
        <v>Tier 2</v>
      </c>
      <c r="K514" s="174" t="b">
        <f>IFERROR(__xludf.DUMMYFUNCTION("""COMPUTED_VALUE"""),TRUE)</f>
        <v>1</v>
      </c>
      <c r="L514" s="174"/>
      <c r="M514" s="174"/>
      <c r="N514" s="174"/>
      <c r="O514" s="174"/>
      <c r="P514" s="174"/>
      <c r="Q514" s="174"/>
      <c r="R514" s="174"/>
      <c r="S514" s="174"/>
      <c r="T514" s="174"/>
      <c r="U514" s="174"/>
      <c r="V514" s="174"/>
      <c r="W514" s="174"/>
      <c r="X514" s="174"/>
      <c r="Y514" s="174"/>
      <c r="Z514" s="174"/>
    </row>
    <row r="515">
      <c r="A515" s="190" t="str">
        <f>IFERROR(__xludf.DUMMYFUNCTION("""COMPUTED_VALUE"""),"Fire Punch")</f>
        <v>Fire Punch</v>
      </c>
      <c r="B515" s="190" t="str">
        <f>IFERROR(__xludf.DUMMYFUNCTION("""COMPUTED_VALUE"""),"Fire")</f>
        <v>Fire</v>
      </c>
      <c r="C515" s="190" t="str">
        <f>IFERROR(__xludf.DUMMYFUNCTION("""COMPUTED_VALUE"""),"Physical")</f>
        <v>Physical</v>
      </c>
      <c r="D515" s="190" t="str">
        <f>IFERROR(__xludf.DUMMYFUNCTION("""COMPUTED_VALUE"""),"At-Will")</f>
        <v>At-Will</v>
      </c>
      <c r="E515" s="190" t="str">
        <f>IFERROR(__xludf.DUMMYFUNCTION("""COMPUTED_VALUE"""),"Melee, 1 Target, Punch")</f>
        <v>Melee, 1 Target, Punch</v>
      </c>
      <c r="F515" s="190">
        <f>IFERROR(__xludf.DUMMYFUNCTION("""COMPUTED_VALUE"""),3.0)</f>
        <v>3</v>
      </c>
      <c r="G515" s="190">
        <f>IFERROR(__xludf.DUMMYFUNCTION("""COMPUTED_VALUE"""),8.0)</f>
        <v>8</v>
      </c>
      <c r="H515" s="191" t="str">
        <f>IFERROR(__xludf.DUMMYFUNCTION("""COMPUTED_VALUE"""),"On a roll of 17+, the Target becomes Burned.  ")</f>
        <v>On a roll of 17+, the Target becomes Burned.  </v>
      </c>
      <c r="I515" s="191" t="str">
        <f>IFERROR(__xludf.DUMMYFUNCTION("""COMPUTED_VALUE"""),"--")</f>
        <v>--</v>
      </c>
      <c r="J515" s="190" t="str">
        <f>IFERROR(__xludf.DUMMYFUNCTION("""COMPUTED_VALUE"""),"Tier 2")</f>
        <v>Tier 2</v>
      </c>
      <c r="K515" s="174" t="b">
        <f>IFERROR(__xludf.DUMMYFUNCTION("""COMPUTED_VALUE"""),TRUE)</f>
        <v>1</v>
      </c>
      <c r="L515" s="174"/>
      <c r="M515" s="174"/>
      <c r="N515" s="174"/>
      <c r="O515" s="174"/>
      <c r="P515" s="174"/>
      <c r="Q515" s="174"/>
      <c r="R515" s="174"/>
      <c r="S515" s="174"/>
      <c r="T515" s="174"/>
      <c r="U515" s="174"/>
      <c r="V515" s="174"/>
      <c r="W515" s="174"/>
      <c r="X515" s="174"/>
      <c r="Y515" s="174"/>
      <c r="Z515" s="174"/>
    </row>
    <row r="516">
      <c r="A516" s="190" t="str">
        <f>IFERROR(__xludf.DUMMYFUNCTION("""COMPUTED_VALUE"""),"Fire Spin")</f>
        <v>Fire Spin</v>
      </c>
      <c r="B516" s="190" t="str">
        <f>IFERROR(__xludf.DUMMYFUNCTION("""COMPUTED_VALUE"""),"Fire")</f>
        <v>Fire</v>
      </c>
      <c r="C516" s="190" t="str">
        <f>IFERROR(__xludf.DUMMYFUNCTION("""COMPUTED_VALUE"""),"Special")</f>
        <v>Special</v>
      </c>
      <c r="D516" s="190" t="str">
        <f>IFERROR(__xludf.DUMMYFUNCTION("""COMPUTED_VALUE"""),"Scene x2")</f>
        <v>Scene x2</v>
      </c>
      <c r="E516" s="190" t="str">
        <f>IFERROR(__xludf.DUMMYFUNCTION("""COMPUTED_VALUE"""),"4, Ranged Blast 2")</f>
        <v>4, Ranged Blast 2</v>
      </c>
      <c r="F516" s="190">
        <f>IFERROR(__xludf.DUMMYFUNCTION("""COMPUTED_VALUE"""),5.0)</f>
        <v>5</v>
      </c>
      <c r="G516" s="190">
        <f>IFERROR(__xludf.DUMMYFUNCTION("""COMPUTED_VALUE"""),6.0)</f>
        <v>6</v>
      </c>
      <c r="H516" s="191" t="str">
        <f>IFERROR(__xludf.DUMMYFUNCTION("""COMPUTED_VALUE"""),"After this Attack resolves, create a Zone within the Range of the Attack. If any Combatant enters the Zone or leaves the Zone, they become Burned. Unless the Weather is Sunny, this Zone lasts until you use a Reaction, use an Attack or Faint. Spirit Surge")</f>
        <v>After this Attack resolves, create a Zone within the Range of the Attack. If any Combatant enters the Zone or leaves the Zone, they become Burned. Unless the Weather is Sunny, this Zone lasts until you use a Reaction, use an Attack or Faint. Spirit Surge</v>
      </c>
      <c r="I516" s="191" t="str">
        <f>IFERROR(__xludf.DUMMYFUNCTION("""COMPUTED_VALUE"""),"--")</f>
        <v>--</v>
      </c>
      <c r="J516" s="190" t="str">
        <f>IFERROR(__xludf.DUMMYFUNCTION("""COMPUTED_VALUE"""),"Tier 2")</f>
        <v>Tier 2</v>
      </c>
      <c r="K516" s="174" t="b">
        <f>IFERROR(__xludf.DUMMYFUNCTION("""COMPUTED_VALUE"""),TRUE)</f>
        <v>1</v>
      </c>
      <c r="L516" s="174"/>
      <c r="M516" s="174"/>
      <c r="N516" s="174"/>
      <c r="O516" s="174"/>
      <c r="P516" s="174"/>
      <c r="Q516" s="174"/>
      <c r="R516" s="174"/>
      <c r="S516" s="174"/>
      <c r="T516" s="174"/>
      <c r="U516" s="174"/>
      <c r="V516" s="174"/>
      <c r="W516" s="174"/>
      <c r="X516" s="174"/>
      <c r="Y516" s="174"/>
      <c r="Z516" s="174"/>
    </row>
    <row r="517">
      <c r="A517" s="190" t="str">
        <f>IFERROR(__xludf.DUMMYFUNCTION("""COMPUTED_VALUE"""),"Firestorm")</f>
        <v>Firestorm</v>
      </c>
      <c r="B517" s="190" t="str">
        <f>IFERROR(__xludf.DUMMYFUNCTION("""COMPUTED_VALUE"""),"Fire")</f>
        <v>Fire</v>
      </c>
      <c r="C517" s="190" t="str">
        <f>IFERROR(__xludf.DUMMYFUNCTION("""COMPUTED_VALUE"""),"Physical")</f>
        <v>Physical</v>
      </c>
      <c r="D517" s="190" t="str">
        <f>IFERROR(__xludf.DUMMYFUNCTION("""COMPUTED_VALUE"""),"Scene x2")</f>
        <v>Scene x2</v>
      </c>
      <c r="E517" s="190" t="str">
        <f>IFERROR(__xludf.DUMMYFUNCTION("""COMPUTED_VALUE"""),"8, Ranged Blast 3, Full Action")</f>
        <v>8, Ranged Blast 3, Full Action</v>
      </c>
      <c r="F517" s="190">
        <f>IFERROR(__xludf.DUMMYFUNCTION("""COMPUTED_VALUE"""),6.0)</f>
        <v>6</v>
      </c>
      <c r="G517" s="190">
        <f>IFERROR(__xludf.DUMMYFUNCTION("""COMPUTED_VALUE"""),11.0)</f>
        <v>11</v>
      </c>
      <c r="H517" s="191" t="str">
        <f>IFERROR(__xludf.DUMMYFUNCTION("""COMPUTED_VALUE"""),"On a roll of 16+, all Targets become Burned. If the Weather is Sunny this has the Smite Keyword. If a Target is Burned, they cannot apply Evasion against this Attack. ")</f>
        <v>On a roll of 16+, all Targets become Burned. If the Weather is Sunny this has the Smite Keyword. If a Target is Burned, they cannot apply Evasion against this Attack. </v>
      </c>
      <c r="I517" s="191" t="str">
        <f>IFERROR(__xludf.DUMMYFUNCTION("""COMPUTED_VALUE"""),"--")</f>
        <v>--</v>
      </c>
      <c r="J517" s="190" t="str">
        <f>IFERROR(__xludf.DUMMYFUNCTION("""COMPUTED_VALUE"""),"Tier 3")</f>
        <v>Tier 3</v>
      </c>
      <c r="K517" s="174" t="b">
        <f>IFERROR(__xludf.DUMMYFUNCTION("""COMPUTED_VALUE"""),TRUE)</f>
        <v>1</v>
      </c>
      <c r="L517" s="174"/>
      <c r="M517" s="174"/>
      <c r="N517" s="174"/>
      <c r="O517" s="174"/>
      <c r="P517" s="174"/>
      <c r="Q517" s="174"/>
      <c r="R517" s="174"/>
      <c r="S517" s="174"/>
      <c r="T517" s="174"/>
      <c r="U517" s="174"/>
      <c r="V517" s="174"/>
      <c r="W517" s="174"/>
      <c r="X517" s="174"/>
      <c r="Y517" s="174"/>
      <c r="Z517" s="174"/>
    </row>
    <row r="518">
      <c r="A518" s="190" t="str">
        <f>IFERROR(__xludf.DUMMYFUNCTION("""COMPUTED_VALUE"""),"Fire Wall")</f>
        <v>Fire Wall</v>
      </c>
      <c r="B518" s="190" t="str">
        <f>IFERROR(__xludf.DUMMYFUNCTION("""COMPUTED_VALUE"""),"Fire")</f>
        <v>Fire</v>
      </c>
      <c r="C518" s="190" t="str">
        <f>IFERROR(__xludf.DUMMYFUNCTION("""COMPUTED_VALUE"""),"Status")</f>
        <v>Status</v>
      </c>
      <c r="D518" s="190" t="str">
        <f>IFERROR(__xludf.DUMMYFUNCTION("""COMPUTED_VALUE"""),"Scene x2")</f>
        <v>Scene x2</v>
      </c>
      <c r="E518" s="190" t="str">
        <f>IFERROR(__xludf.DUMMYFUNCTION("""COMPUTED_VALUE"""),"6, Hazard, Versatile")</f>
        <v>6, Hazard, Versatile</v>
      </c>
      <c r="F518" s="190" t="str">
        <f>IFERROR(__xludf.DUMMYFUNCTION("""COMPUTED_VALUE"""),"--")</f>
        <v>--</v>
      </c>
      <c r="G518" s="190" t="str">
        <f>IFERROR(__xludf.DUMMYFUNCTION("""COMPUTED_VALUE"""),"--")</f>
        <v>--</v>
      </c>
      <c r="H518" s="191" t="str">
        <f>IFERROR(__xludf.DUMMYFUNCTION("""COMPUTED_VALUE"""),"Choose 8 Spaces within the Range of this Attack to create Fire Hazards in, such that all 8 Spaces are Adjacent to at least one other Fire Hazard.
Fire Hazards - Any Combatant who ends their turn on or moves through a Fire Hazard becomes Burned. Ground an"&amp;"d Rock Type Pokemon  are immune to Fire Hazards and destroy them when Moving through them. Ground, Rock, and Water Type Attacks that affect these Spaces also destroy these Hazards.")</f>
        <v>Choose 8 Spaces within the Range of this Attack to create Fire Hazards in, such that all 8 Spaces are Adjacent to at least one other Fire Hazard.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v>
      </c>
      <c r="I518" s="191" t="str">
        <f>IFERROR(__xludf.DUMMYFUNCTION("""COMPUTED_VALUE"""),"Same as the normal Effects, but you can only choose 4 Spaces and they must be unoccupied.")</f>
        <v>Same as the normal Effects, but you can only choose 4 Spaces and they must be unoccupied.</v>
      </c>
      <c r="J518" s="190" t="str">
        <f>IFERROR(__xludf.DUMMYFUNCTION("""COMPUTED_VALUE"""),"Tier 2")</f>
        <v>Tier 2</v>
      </c>
      <c r="K518" s="174" t="b">
        <f>IFERROR(__xludf.DUMMYFUNCTION("""COMPUTED_VALUE"""),TRUE)</f>
        <v>1</v>
      </c>
      <c r="L518" s="174"/>
      <c r="M518" s="174"/>
      <c r="N518" s="174"/>
      <c r="O518" s="174"/>
      <c r="P518" s="174"/>
      <c r="Q518" s="174"/>
      <c r="R518" s="174"/>
      <c r="S518" s="174"/>
      <c r="T518" s="174"/>
      <c r="U518" s="174"/>
      <c r="V518" s="174"/>
      <c r="W518" s="174"/>
      <c r="X518" s="174"/>
      <c r="Y518" s="174"/>
      <c r="Z518" s="174"/>
    </row>
    <row r="519">
      <c r="A519" s="190" t="str">
        <f>IFERROR(__xludf.DUMMYFUNCTION("""COMPUTED_VALUE"""),"Flame Barrage")</f>
        <v>Flame Barrage</v>
      </c>
      <c r="B519" s="190" t="str">
        <f>IFERROR(__xludf.DUMMYFUNCTION("""COMPUTED_VALUE"""),"Fire")</f>
        <v>Fire</v>
      </c>
      <c r="C519" s="190" t="str">
        <f>IFERROR(__xludf.DUMMYFUNCTION("""COMPUTED_VALUE"""),"Special")</f>
        <v>Special</v>
      </c>
      <c r="D519" s="190" t="str">
        <f>IFERROR(__xludf.DUMMYFUNCTION("""COMPUTED_VALUE"""),"Scene x2")</f>
        <v>Scene x2</v>
      </c>
      <c r="E519" s="190" t="str">
        <f>IFERROR(__xludf.DUMMYFUNCTION("""COMPUTED_VALUE"""),"8, 1 Target; or 8, 2 Targets")</f>
        <v>8, 1 Target; or 8, 2 Targets</v>
      </c>
      <c r="F519" s="190">
        <f>IFERROR(__xludf.DUMMYFUNCTION("""COMPUTED_VALUE"""),6.0)</f>
        <v>6</v>
      </c>
      <c r="G519" s="190">
        <f>IFERROR(__xludf.DUMMYFUNCTION("""COMPUTED_VALUE"""),6.0)</f>
        <v>6</v>
      </c>
      <c r="H519" s="191" t="str">
        <f>IFERROR(__xludf.DUMMYFUNCTION("""COMPUTED_VALUE"""),"On a roll of 17+, all Targets become Burned. If Flame Barrage has 1 Target, it has the Double Strike Keyword. Smite")</f>
        <v>On a roll of 17+, all Targets become Burned. If Flame Barrage has 1 Target, it has the Double Strike Keyword. Smite</v>
      </c>
      <c r="I519" s="191" t="str">
        <f>IFERROR(__xludf.DUMMYFUNCTION("""COMPUTED_VALUE"""),"--")</f>
        <v>--</v>
      </c>
      <c r="J519" s="190" t="str">
        <f>IFERROR(__xludf.DUMMYFUNCTION("""COMPUTED_VALUE"""),"Tier 2")</f>
        <v>Tier 2</v>
      </c>
      <c r="K519" s="174" t="b">
        <f>IFERROR(__xludf.DUMMYFUNCTION("""COMPUTED_VALUE"""),TRUE)</f>
        <v>1</v>
      </c>
      <c r="L519" s="174"/>
      <c r="M519" s="174"/>
      <c r="N519" s="174"/>
      <c r="O519" s="174"/>
      <c r="P519" s="174"/>
      <c r="Q519" s="174"/>
      <c r="R519" s="174"/>
      <c r="S519" s="174"/>
      <c r="T519" s="174"/>
      <c r="U519" s="174"/>
      <c r="V519" s="174"/>
      <c r="W519" s="174"/>
      <c r="X519" s="174"/>
      <c r="Y519" s="174"/>
      <c r="Z519" s="174"/>
    </row>
    <row r="520">
      <c r="A520" s="190" t="str">
        <f>IFERROR(__xludf.DUMMYFUNCTION("""COMPUTED_VALUE"""),"Flame Burst")</f>
        <v>Flame Burst</v>
      </c>
      <c r="B520" s="190" t="str">
        <f>IFERROR(__xludf.DUMMYFUNCTION("""COMPUTED_VALUE"""),"Fire")</f>
        <v>Fire</v>
      </c>
      <c r="C520" s="190" t="str">
        <f>IFERROR(__xludf.DUMMYFUNCTION("""COMPUTED_VALUE"""),"Special")</f>
        <v>Special</v>
      </c>
      <c r="D520" s="190" t="str">
        <f>IFERROR(__xludf.DUMMYFUNCTION("""COMPUTED_VALUE"""),"EOT")</f>
        <v>EOT</v>
      </c>
      <c r="E520" s="190" t="str">
        <f>IFERROR(__xludf.DUMMYFUNCTION("""COMPUTED_VALUE"""),"6, 1 Target; or Burst 1, Full Action")</f>
        <v>6, 1 Target; or Burst 1, Full Action</v>
      </c>
      <c r="F520" s="190">
        <f>IFERROR(__xludf.DUMMYFUNCTION("""COMPUTED_VALUE"""),4.0)</f>
        <v>4</v>
      </c>
      <c r="G520" s="190">
        <f>IFERROR(__xludf.DUMMYFUNCTION("""COMPUTED_VALUE"""),7.0)</f>
        <v>7</v>
      </c>
      <c r="H520" s="191" t="str">
        <f>IFERROR(__xludf.DUMMYFUNCTION("""COMPUTED_VALUE"""),"You may originate this Attack from a Burned Combatant within 5m instead of the user. If Flame Burst is performed this way, all Targets are considered Vulnerable against it. ")</f>
        <v>You may originate this Attack from a Burned Combatant within 5m instead of the user. If Flame Burst is performed this way, all Targets are considered Vulnerable against it. </v>
      </c>
      <c r="I520" s="191" t="str">
        <f>IFERROR(__xludf.DUMMYFUNCTION("""COMPUTED_VALUE"""),"--")</f>
        <v>--</v>
      </c>
      <c r="J520" s="190" t="str">
        <f>IFERROR(__xludf.DUMMYFUNCTION("""COMPUTED_VALUE"""),"Tier 1")</f>
        <v>Tier 1</v>
      </c>
      <c r="K520" s="174" t="b">
        <f>IFERROR(__xludf.DUMMYFUNCTION("""COMPUTED_VALUE"""),TRUE)</f>
        <v>1</v>
      </c>
      <c r="L520" s="174"/>
      <c r="M520" s="174"/>
      <c r="N520" s="174"/>
      <c r="O520" s="174"/>
      <c r="P520" s="174"/>
      <c r="Q520" s="174"/>
      <c r="R520" s="174"/>
      <c r="S520" s="174"/>
      <c r="T520" s="174"/>
      <c r="U520" s="174"/>
      <c r="V520" s="174"/>
      <c r="W520" s="174"/>
      <c r="X520" s="174"/>
      <c r="Y520" s="174"/>
      <c r="Z520" s="174"/>
    </row>
    <row r="521">
      <c r="A521" s="190" t="str">
        <f>IFERROR(__xludf.DUMMYFUNCTION("""COMPUTED_VALUE"""),"Flame Charge")</f>
        <v>Flame Charge</v>
      </c>
      <c r="B521" s="190" t="str">
        <f>IFERROR(__xludf.DUMMYFUNCTION("""COMPUTED_VALUE"""),"Fire")</f>
        <v>Fire</v>
      </c>
      <c r="C521" s="190" t="str">
        <f>IFERROR(__xludf.DUMMYFUNCTION("""COMPUTED_VALUE"""),"Physical")</f>
        <v>Physical</v>
      </c>
      <c r="D521" s="190" t="str">
        <f>IFERROR(__xludf.DUMMYFUNCTION("""COMPUTED_VALUE"""),"At-Will")</f>
        <v>At-Will</v>
      </c>
      <c r="E521" s="190" t="str">
        <f>IFERROR(__xludf.DUMMYFUNCTION("""COMPUTED_VALUE"""),"Melee, 1 Target, Dash")</f>
        <v>Melee, 1 Target, Dash</v>
      </c>
      <c r="F521" s="190">
        <f>IFERROR(__xludf.DUMMYFUNCTION("""COMPUTED_VALUE"""),2.0)</f>
        <v>2</v>
      </c>
      <c r="G521" s="190">
        <f>IFERROR(__xludf.DUMMYFUNCTION("""COMPUTED_VALUE"""),5.0)</f>
        <v>5</v>
      </c>
      <c r="H521" s="191" t="str">
        <f>IFERROR(__xludf.DUMMYFUNCTION("""COMPUTED_VALUE"""),"On a roll of 17+, the Target becomes Burned. If the Dash Keyword is Activated, this Effect Range automatically triggers.")</f>
        <v>On a roll of 17+, the Target becomes Burned. If the Dash Keyword is Activated, this Effect Range automatically triggers.</v>
      </c>
      <c r="I521" s="191" t="str">
        <f>IFERROR(__xludf.DUMMYFUNCTION("""COMPUTED_VALUE"""),"--")</f>
        <v>--</v>
      </c>
      <c r="J521" s="190" t="str">
        <f>IFERROR(__xludf.DUMMYFUNCTION("""COMPUTED_VALUE"""),"Tier 1")</f>
        <v>Tier 1</v>
      </c>
      <c r="K521" s="174" t="b">
        <f>IFERROR(__xludf.DUMMYFUNCTION("""COMPUTED_VALUE"""),TRUE)</f>
        <v>1</v>
      </c>
      <c r="L521" s="174"/>
      <c r="M521" s="174"/>
      <c r="N521" s="174"/>
      <c r="O521" s="174"/>
      <c r="P521" s="174"/>
      <c r="Q521" s="174"/>
      <c r="R521" s="174"/>
      <c r="S521" s="174"/>
      <c r="T521" s="174"/>
      <c r="U521" s="174"/>
      <c r="V521" s="174"/>
      <c r="W521" s="174"/>
      <c r="X521" s="174"/>
      <c r="Y521" s="174"/>
      <c r="Z521" s="174"/>
    </row>
    <row r="522">
      <c r="A522" s="190" t="str">
        <f>IFERROR(__xludf.DUMMYFUNCTION("""COMPUTED_VALUE"""),"Flame Rush")</f>
        <v>Flame Rush</v>
      </c>
      <c r="B522" s="190" t="str">
        <f>IFERROR(__xludf.DUMMYFUNCTION("""COMPUTED_VALUE"""),"Fire")</f>
        <v>Fire</v>
      </c>
      <c r="C522" s="190" t="str">
        <f>IFERROR(__xludf.DUMMYFUNCTION("""COMPUTED_VALUE"""),"Physical")</f>
        <v>Physical</v>
      </c>
      <c r="D522" s="190" t="str">
        <f>IFERROR(__xludf.DUMMYFUNCTION("""COMPUTED_VALUE"""),"At-Will")</f>
        <v>At-Will</v>
      </c>
      <c r="E522" s="190" t="str">
        <f>IFERROR(__xludf.DUMMYFUNCTION("""COMPUTED_VALUE"""),"Melee, 1 Target, Dash, Recoil 1/3")</f>
        <v>Melee, 1 Target, Dash, Recoil 1/3</v>
      </c>
      <c r="F522" s="190">
        <f>IFERROR(__xludf.DUMMYFUNCTION("""COMPUTED_VALUE"""),2.0)</f>
        <v>2</v>
      </c>
      <c r="G522" s="190">
        <f>IFERROR(__xludf.DUMMYFUNCTION("""COMPUTED_VALUE"""),9.0)</f>
        <v>9</v>
      </c>
      <c r="H522" s="191" t="str">
        <f>IFERROR(__xludf.DUMMYFUNCTION("""COMPUTED_VALUE"""),"Flame Rush Burns the Target on a roll of 18+. If the Dash Keyword is Activated, the Recoil Keyword is ignored.")</f>
        <v>Flame Rush Burns the Target on a roll of 18+. If the Dash Keyword is Activated, the Recoil Keyword is ignored.</v>
      </c>
      <c r="I522" s="191" t="str">
        <f>IFERROR(__xludf.DUMMYFUNCTION("""COMPUTED_VALUE"""),"--")</f>
        <v>--</v>
      </c>
      <c r="J522" s="190" t="str">
        <f>IFERROR(__xludf.DUMMYFUNCTION("""COMPUTED_VALUE"""),"Tier 2")</f>
        <v>Tier 2</v>
      </c>
      <c r="K522" s="174" t="b">
        <f>IFERROR(__xludf.DUMMYFUNCTION("""COMPUTED_VALUE"""),TRUE)</f>
        <v>1</v>
      </c>
      <c r="L522" s="174"/>
      <c r="M522" s="174"/>
      <c r="N522" s="174"/>
      <c r="O522" s="174"/>
      <c r="P522" s="174"/>
      <c r="Q522" s="174"/>
      <c r="R522" s="174"/>
      <c r="S522" s="174"/>
      <c r="T522" s="174"/>
      <c r="U522" s="174"/>
      <c r="V522" s="174"/>
      <c r="W522" s="174"/>
      <c r="X522" s="174"/>
      <c r="Y522" s="174"/>
      <c r="Z522" s="174"/>
    </row>
    <row r="523">
      <c r="A523" s="190" t="str">
        <f>IFERROR(__xludf.DUMMYFUNCTION("""COMPUTED_VALUE"""),"Flame Wheel")</f>
        <v>Flame Wheel</v>
      </c>
      <c r="B523" s="190" t="str">
        <f>IFERROR(__xludf.DUMMYFUNCTION("""COMPUTED_VALUE"""),"Fire")</f>
        <v>Fire</v>
      </c>
      <c r="C523" s="190" t="str">
        <f>IFERROR(__xludf.DUMMYFUNCTION("""COMPUTED_VALUE"""),"Physical")</f>
        <v>Physical</v>
      </c>
      <c r="D523" s="190" t="str">
        <f>IFERROR(__xludf.DUMMYFUNCTION("""COMPUTED_VALUE"""),"At-Will")</f>
        <v>At-Will</v>
      </c>
      <c r="E523" s="190" t="str">
        <f>IFERROR(__xludf.DUMMYFUNCTION("""COMPUTED_VALUE"""),"Melee, 1 Target, Dash")</f>
        <v>Melee, 1 Target, Dash</v>
      </c>
      <c r="F523" s="190">
        <f>IFERROR(__xludf.DUMMYFUNCTION("""COMPUTED_VALUE"""),2.0)</f>
        <v>2</v>
      </c>
      <c r="G523" s="190">
        <f>IFERROR(__xludf.DUMMYFUNCTION("""COMPUTED_VALUE"""),6.0)</f>
        <v>6</v>
      </c>
      <c r="H523" s="191" t="str">
        <f>IFERROR(__xludf.DUMMYFUNCTION("""COMPUTED_VALUE"""),"On a roll of 17+, the Target becomes Burned. If the Dash Keyword is Activated, Flame Wheel has the Pass Keyword.")</f>
        <v>On a roll of 17+, the Target becomes Burned. If the Dash Keyword is Activated, Flame Wheel has the Pass Keyword.</v>
      </c>
      <c r="I523" s="191" t="str">
        <f>IFERROR(__xludf.DUMMYFUNCTION("""COMPUTED_VALUE"""),"--")</f>
        <v>--</v>
      </c>
      <c r="J523" s="190" t="str">
        <f>IFERROR(__xludf.DUMMYFUNCTION("""COMPUTED_VALUE"""),"Tier 1")</f>
        <v>Tier 1</v>
      </c>
      <c r="K523" s="174" t="b">
        <f>IFERROR(__xludf.DUMMYFUNCTION("""COMPUTED_VALUE"""),TRUE)</f>
        <v>1</v>
      </c>
      <c r="L523" s="174"/>
      <c r="M523" s="174"/>
      <c r="N523" s="174"/>
      <c r="O523" s="174"/>
      <c r="P523" s="174"/>
      <c r="Q523" s="174"/>
      <c r="R523" s="174"/>
      <c r="S523" s="174"/>
      <c r="T523" s="174"/>
      <c r="U523" s="174"/>
      <c r="V523" s="174"/>
      <c r="W523" s="174"/>
      <c r="X523" s="174"/>
      <c r="Y523" s="174"/>
      <c r="Z523" s="174"/>
    </row>
    <row r="524">
      <c r="A524" s="190" t="str">
        <f>IFERROR(__xludf.DUMMYFUNCTION("""COMPUTED_VALUE"""),"Flamethrower")</f>
        <v>Flamethrower</v>
      </c>
      <c r="B524" s="190" t="str">
        <f>IFERROR(__xludf.DUMMYFUNCTION("""COMPUTED_VALUE"""),"Fire")</f>
        <v>Fire</v>
      </c>
      <c r="C524" s="190" t="str">
        <f>IFERROR(__xludf.DUMMYFUNCTION("""COMPUTED_VALUE"""),"Special")</f>
        <v>Special</v>
      </c>
      <c r="D524" s="190" t="str">
        <f>IFERROR(__xludf.DUMMYFUNCTION("""COMPUTED_VALUE"""),"EOT")</f>
        <v>EOT</v>
      </c>
      <c r="E524" s="190" t="str">
        <f>IFERROR(__xludf.DUMMYFUNCTION("""COMPUTED_VALUE"""),"6, 1 Target or Line 3, Full Action")</f>
        <v>6, 1 Target or Line 3, Full Action</v>
      </c>
      <c r="F524" s="190">
        <f>IFERROR(__xludf.DUMMYFUNCTION("""COMPUTED_VALUE"""),5.0)</f>
        <v>5</v>
      </c>
      <c r="G524" s="190">
        <f>IFERROR(__xludf.DUMMYFUNCTION("""COMPUTED_VALUE"""),9.0)</f>
        <v>9</v>
      </c>
      <c r="H524" s="191" t="str">
        <f>IFERROR(__xludf.DUMMYFUNCTION("""COMPUTED_VALUE"""),"On a roll of 18+, the Target becomes Burned. If this Attack only has one Target, this has the Smite Keyword.")</f>
        <v>On a roll of 18+, the Target becomes Burned. If this Attack only has one Target, this has the Smite Keyword.</v>
      </c>
      <c r="I524" s="191" t="str">
        <f>IFERROR(__xludf.DUMMYFUNCTION("""COMPUTED_VALUE"""),"--")</f>
        <v>--</v>
      </c>
      <c r="J524" s="190" t="str">
        <f>IFERROR(__xludf.DUMMYFUNCTION("""COMPUTED_VALUE"""),"Tier 2")</f>
        <v>Tier 2</v>
      </c>
      <c r="K524" s="174" t="b">
        <f>IFERROR(__xludf.DUMMYFUNCTION("""COMPUTED_VALUE"""),TRUE)</f>
        <v>1</v>
      </c>
      <c r="L524" s="174"/>
      <c r="M524" s="174"/>
      <c r="N524" s="174"/>
      <c r="O524" s="174"/>
      <c r="P524" s="174"/>
      <c r="Q524" s="174"/>
      <c r="R524" s="174"/>
      <c r="S524" s="174"/>
      <c r="T524" s="174"/>
      <c r="U524" s="174"/>
      <c r="V524" s="174"/>
      <c r="W524" s="174"/>
      <c r="X524" s="174"/>
      <c r="Y524" s="174"/>
      <c r="Z524" s="174"/>
    </row>
    <row r="525">
      <c r="A525" s="190" t="str">
        <f>IFERROR(__xludf.DUMMYFUNCTION("""COMPUTED_VALUE"""),"Flaming Dash")</f>
        <v>Flaming Dash</v>
      </c>
      <c r="B525" s="190" t="str">
        <f>IFERROR(__xludf.DUMMYFUNCTION("""COMPUTED_VALUE"""),"Fire")</f>
        <v>Fire</v>
      </c>
      <c r="C525" s="190" t="str">
        <f>IFERROR(__xludf.DUMMYFUNCTION("""COMPUTED_VALUE"""),"Physical")</f>
        <v>Physical</v>
      </c>
      <c r="D525" s="190" t="str">
        <f>IFERROR(__xludf.DUMMYFUNCTION("""COMPUTED_VALUE"""),"EOT")</f>
        <v>EOT</v>
      </c>
      <c r="E525" s="190" t="str">
        <f>IFERROR(__xludf.DUMMYFUNCTION("""COMPUTED_VALUE"""),"Melee, 1 Target, Dash")</f>
        <v>Melee, 1 Target, Dash</v>
      </c>
      <c r="F525" s="190">
        <f>IFERROR(__xludf.DUMMYFUNCTION("""COMPUTED_VALUE"""),3.0)</f>
        <v>3</v>
      </c>
      <c r="G525" s="190">
        <f>IFERROR(__xludf.DUMMYFUNCTION("""COMPUTED_VALUE"""),8.0)</f>
        <v>8</v>
      </c>
      <c r="H525" s="191" t="str">
        <f>IFERROR(__xludf.DUMMYFUNCTION("""COMPUTED_VALUE"""),"If the Dash Keyword is Activated, all spaces the user moves through have Fire Hazards created on them.
Fire Hazards - Any Combatant who ends their turn on or moves through a Fire Hazard becomes Burned. Ground and Rock Type Pokemon  are immune to Fire Haz"&amp;"ards and destroy them when Moving through them. Ground, Rock, and Water Type Attacks that affect these Spaces also destroy these Hazards. ")</f>
        <v>If the Dash Keyword is Activated, all spaces the user moves through have Fire Hazards created on them.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525" s="191" t="str">
        <f>IFERROR(__xludf.DUMMYFUNCTION("""COMPUTED_VALUE"""),"--")</f>
        <v>--</v>
      </c>
      <c r="J525" s="190" t="str">
        <f>IFERROR(__xludf.DUMMYFUNCTION("""COMPUTED_VALUE"""),"Tier 2")</f>
        <v>Tier 2</v>
      </c>
      <c r="K525" s="174" t="b">
        <f>IFERROR(__xludf.DUMMYFUNCTION("""COMPUTED_VALUE"""),TRUE)</f>
        <v>1</v>
      </c>
      <c r="L525" s="174"/>
      <c r="M525" s="174"/>
      <c r="N525" s="174"/>
      <c r="O525" s="174"/>
      <c r="P525" s="174"/>
      <c r="Q525" s="174"/>
      <c r="R525" s="174"/>
      <c r="S525" s="174"/>
      <c r="T525" s="174"/>
      <c r="U525" s="174"/>
      <c r="V525" s="174"/>
      <c r="W525" s="174"/>
      <c r="X525" s="174"/>
      <c r="Y525" s="174"/>
      <c r="Z525" s="174"/>
    </row>
    <row r="526">
      <c r="A526" s="190" t="str">
        <f>IFERROR(__xludf.DUMMYFUNCTION("""COMPUTED_VALUE"""),"Flare Blitz")</f>
        <v>Flare Blitz</v>
      </c>
      <c r="B526" s="190" t="str">
        <f>IFERROR(__xludf.DUMMYFUNCTION("""COMPUTED_VALUE"""),"Fire")</f>
        <v>Fire</v>
      </c>
      <c r="C526" s="190" t="str">
        <f>IFERROR(__xludf.DUMMYFUNCTION("""COMPUTED_VALUE"""),"Physical")</f>
        <v>Physical</v>
      </c>
      <c r="D526" s="190" t="str">
        <f>IFERROR(__xludf.DUMMYFUNCTION("""COMPUTED_VALUE"""),"Scene x2")</f>
        <v>Scene x2</v>
      </c>
      <c r="E526" s="190" t="str">
        <f>IFERROR(__xludf.DUMMYFUNCTION("""COMPUTED_VALUE"""),"Melee, 1 Target, Dash, Reckless, Recoil 1/3")</f>
        <v>Melee, 1 Target, Dash, Reckless, Recoil 1/3</v>
      </c>
      <c r="F526" s="190">
        <f>IFERROR(__xludf.DUMMYFUNCTION("""COMPUTED_VALUE"""),3.0)</f>
        <v>3</v>
      </c>
      <c r="G526" s="190">
        <f>IFERROR(__xludf.DUMMYFUNCTION("""COMPUTED_VALUE"""),12.0)</f>
        <v>12</v>
      </c>
      <c r="H526" s="191" t="str">
        <f>IFERROR(__xludf.DUMMYFUNCTION("""COMPUTED_VALUE"""),"Flare Blitz Burns the Target on a roll of 17+. If the Dash Keyword is Activated, both the user and the Target become Burned on a hit. This bypasses Fire Type Immunity to the Burned Affliction.")</f>
        <v>Flare Blitz Burns the Target on a roll of 17+. If the Dash Keyword is Activated, both the user and the Target become Burned on a hit. This bypasses Fire Type Immunity to the Burned Affliction.</v>
      </c>
      <c r="I526" s="191" t="str">
        <f>IFERROR(__xludf.DUMMYFUNCTION("""COMPUTED_VALUE"""),"--")</f>
        <v>--</v>
      </c>
      <c r="J526" s="190" t="str">
        <f>IFERROR(__xludf.DUMMYFUNCTION("""COMPUTED_VALUE"""),"Tier 3")</f>
        <v>Tier 3</v>
      </c>
      <c r="K526" s="174" t="b">
        <f>IFERROR(__xludf.DUMMYFUNCTION("""COMPUTED_VALUE"""),TRUE)</f>
        <v>1</v>
      </c>
      <c r="L526" s="174"/>
      <c r="M526" s="174"/>
      <c r="N526" s="174"/>
      <c r="O526" s="174"/>
      <c r="P526" s="174"/>
      <c r="Q526" s="174"/>
      <c r="R526" s="174"/>
      <c r="S526" s="174"/>
      <c r="T526" s="174"/>
      <c r="U526" s="174"/>
      <c r="V526" s="174"/>
      <c r="W526" s="174"/>
      <c r="X526" s="174"/>
      <c r="Y526" s="174"/>
      <c r="Z526" s="174"/>
    </row>
    <row r="527">
      <c r="A527" s="190" t="str">
        <f>IFERROR(__xludf.DUMMYFUNCTION("""COMPUTED_VALUE"""),"Heat Crash")</f>
        <v>Heat Crash</v>
      </c>
      <c r="B527" s="190" t="str">
        <f>IFERROR(__xludf.DUMMYFUNCTION("""COMPUTED_VALUE"""),"Fire")</f>
        <v>Fire</v>
      </c>
      <c r="C527" s="190" t="str">
        <f>IFERROR(__xludf.DUMMYFUNCTION("""COMPUTED_VALUE"""),"Physical")</f>
        <v>Physical</v>
      </c>
      <c r="D527" s="190" t="str">
        <f>IFERROR(__xludf.DUMMYFUNCTION("""COMPUTED_VALUE"""),"EOT")</f>
        <v>EOT</v>
      </c>
      <c r="E527" s="190" t="str">
        <f>IFERROR(__xludf.DUMMYFUNCTION("""COMPUTED_VALUE"""),"Melee, 1 Target, Dash")</f>
        <v>Melee, 1 Target, Dash</v>
      </c>
      <c r="F527" s="190">
        <f>IFERROR(__xludf.DUMMYFUNCTION("""COMPUTED_VALUE"""),3.0)</f>
        <v>3</v>
      </c>
      <c r="G527" s="190">
        <f>IFERROR(__xludf.DUMMYFUNCTION("""COMPUTED_VALUE"""),4.0)</f>
        <v>4</v>
      </c>
      <c r="H527" s="191" t="str">
        <f>IFERROR(__xludf.DUMMYFUNCTION("""COMPUTED_VALUE"""),"For each Weight Class the user is above the Target, increase Heat Crash’s Damage Base by +2, or +3 if the Dash Keyword was Activated. ")</f>
        <v>For each Weight Class the user is above the Target, increase Heat Crash’s Damage Base by +2, or +3 if the Dash Keyword was Activated. </v>
      </c>
      <c r="I527" s="191" t="str">
        <f>IFERROR(__xludf.DUMMYFUNCTION("""COMPUTED_VALUE"""),"--")</f>
        <v>--</v>
      </c>
      <c r="J527" s="190" t="str">
        <f>IFERROR(__xludf.DUMMYFUNCTION("""COMPUTED_VALUE"""),"Tier 2")</f>
        <v>Tier 2</v>
      </c>
      <c r="K527" s="174" t="b">
        <f>IFERROR(__xludf.DUMMYFUNCTION("""COMPUTED_VALUE"""),TRUE)</f>
        <v>1</v>
      </c>
      <c r="L527" s="174"/>
      <c r="M527" s="174"/>
      <c r="N527" s="174"/>
      <c r="O527" s="174"/>
      <c r="P527" s="174"/>
      <c r="Q527" s="174"/>
      <c r="R527" s="174"/>
      <c r="S527" s="174"/>
      <c r="T527" s="174"/>
      <c r="U527" s="174"/>
      <c r="V527" s="174"/>
      <c r="W527" s="174"/>
      <c r="X527" s="174"/>
      <c r="Y527" s="174"/>
      <c r="Z527" s="174"/>
    </row>
    <row r="528">
      <c r="A528" s="190" t="str">
        <f>IFERROR(__xludf.DUMMYFUNCTION("""COMPUTED_VALUE"""),"Heat Wave")</f>
        <v>Heat Wave</v>
      </c>
      <c r="B528" s="190" t="str">
        <f>IFERROR(__xludf.DUMMYFUNCTION("""COMPUTED_VALUE"""),"Fire")</f>
        <v>Fire</v>
      </c>
      <c r="C528" s="190" t="str">
        <f>IFERROR(__xludf.DUMMYFUNCTION("""COMPUTED_VALUE"""),"Special")</f>
        <v>Special</v>
      </c>
      <c r="D528" s="190" t="str">
        <f>IFERROR(__xludf.DUMMYFUNCTION("""COMPUTED_VALUE"""),"Scene x2")</f>
        <v>Scene x2</v>
      </c>
      <c r="E528" s="190" t="str">
        <f>IFERROR(__xludf.DUMMYFUNCTION("""COMPUTED_VALUE"""),"Close Blast 3 or Burst 1; Full Action")</f>
        <v>Close Blast 3 or Burst 1; Full Action</v>
      </c>
      <c r="F528" s="190">
        <f>IFERROR(__xludf.DUMMYFUNCTION("""COMPUTED_VALUE"""),7.0)</f>
        <v>7</v>
      </c>
      <c r="G528" s="190">
        <f>IFERROR(__xludf.DUMMYFUNCTION("""COMPUTED_VALUE"""),10.0)</f>
        <v>10</v>
      </c>
      <c r="H528" s="191" t="str">
        <f>IFERROR(__xludf.DUMMYFUNCTION("""COMPUTED_VALUE"""),"On a roll of 18+, all Targets become Burned. If the Weather is Sunny, this Effect Range automatically triggers. Smite")</f>
        <v>On a roll of 18+, all Targets become Burned. If the Weather is Sunny, this Effect Range automatically triggers. Smite</v>
      </c>
      <c r="I528" s="191" t="str">
        <f>IFERROR(__xludf.DUMMYFUNCTION("""COMPUTED_VALUE"""),"--")</f>
        <v>--</v>
      </c>
      <c r="J528" s="190" t="str">
        <f>IFERROR(__xludf.DUMMYFUNCTION("""COMPUTED_VALUE"""),"Tier 3")</f>
        <v>Tier 3</v>
      </c>
      <c r="K528" s="174" t="b">
        <f>IFERROR(__xludf.DUMMYFUNCTION("""COMPUTED_VALUE"""),TRUE)</f>
        <v>1</v>
      </c>
      <c r="L528" s="174"/>
      <c r="M528" s="174"/>
      <c r="N528" s="174"/>
      <c r="O528" s="174"/>
      <c r="P528" s="174"/>
      <c r="Q528" s="174"/>
      <c r="R528" s="174"/>
      <c r="S528" s="174"/>
      <c r="T528" s="174"/>
      <c r="U528" s="174"/>
      <c r="V528" s="174"/>
      <c r="W528" s="174"/>
      <c r="X528" s="174"/>
      <c r="Y528" s="174"/>
      <c r="Z528" s="174"/>
    </row>
    <row r="529">
      <c r="A529" s="190" t="str">
        <f>IFERROR(__xludf.DUMMYFUNCTION("""COMPUTED_VALUE"""),"Heat Veil")</f>
        <v>Heat Veil</v>
      </c>
      <c r="B529" s="190" t="str">
        <f>IFERROR(__xludf.DUMMYFUNCTION("""COMPUTED_VALUE"""),"Fire")</f>
        <v>Fire</v>
      </c>
      <c r="C529" s="190" t="str">
        <f>IFERROR(__xludf.DUMMYFUNCTION("""COMPUTED_VALUE"""),"Status")</f>
        <v>Status</v>
      </c>
      <c r="D529" s="190" t="str">
        <f>IFERROR(__xludf.DUMMYFUNCTION("""COMPUTED_VALUE"""),"Scene x2")</f>
        <v>Scene x2</v>
      </c>
      <c r="E529" s="190" t="str">
        <f>IFERROR(__xludf.DUMMYFUNCTION("""COMPUTED_VALUE"""),"4, 1 Target or Self; Coat, Versatile")</f>
        <v>4, 1 Target or Self; Coat, Versatile</v>
      </c>
      <c r="F529" s="190" t="str">
        <f>IFERROR(__xludf.DUMMYFUNCTION("""COMPUTED_VALUE"""),"--")</f>
        <v>--</v>
      </c>
      <c r="G529" s="190" t="str">
        <f>IFERROR(__xludf.DUMMYFUNCTION("""COMPUTED_VALUE"""),"--")</f>
        <v>--</v>
      </c>
      <c r="H529" s="191" t="str">
        <f>IFERROR(__xludf.DUMMYFUNCTION("""COMPUTED_VALUE"""),"The Target gains a Heated Coat. While affected by a Heated Coat, the Combatant treats Water and Ice Type Attacks as if they were resisted, ignoring their Type Effectiveness. In addition, while affected by a Heated Coat, the Weather is considered to be Sun"&amp;"ny for any of their Attacks, Features or Abilities that would Reference it. After the user is hit by a Water or Ice Type Attack, this Coat is expended.")</f>
        <v>The Target gains a Heated Coat. While affected by a Heated Coat, the Combatant treats Water and Ice Type Attacks as if they were resisted, ignoring their Type Effectiveness. In addition, while affected by a Heated Coat, the Weather is considered to be Sunny for any of their Attacks, Features or Abilities that would Reference it. After the user is hit by a Water or Ice Type Attack, this Coat is expended.</v>
      </c>
      <c r="I529" s="191" t="str">
        <f>IFERROR(__xludf.DUMMYFUNCTION("""COMPUTED_VALUE"""),"Same as the normal Effects, however you don't treat Water and Ice Type Attacks as if they were Resisted.")</f>
        <v>Same as the normal Effects, however you don't treat Water and Ice Type Attacks as if they were Resisted.</v>
      </c>
      <c r="J529" s="190" t="str">
        <f>IFERROR(__xludf.DUMMYFUNCTION("""COMPUTED_VALUE"""),"Tier 2")</f>
        <v>Tier 2</v>
      </c>
      <c r="K529" s="174" t="b">
        <f>IFERROR(__xludf.DUMMYFUNCTION("""COMPUTED_VALUE"""),TRUE)</f>
        <v>1</v>
      </c>
      <c r="L529" s="174"/>
      <c r="M529" s="174"/>
      <c r="N529" s="174"/>
      <c r="O529" s="174"/>
      <c r="P529" s="174"/>
      <c r="Q529" s="174"/>
      <c r="R529" s="174"/>
      <c r="S529" s="174"/>
      <c r="T529" s="174"/>
      <c r="U529" s="174"/>
      <c r="V529" s="174"/>
      <c r="W529" s="174"/>
      <c r="X529" s="174"/>
      <c r="Y529" s="174"/>
      <c r="Z529" s="174"/>
    </row>
    <row r="530">
      <c r="A530" s="190" t="str">
        <f>IFERROR(__xludf.DUMMYFUNCTION("""COMPUTED_VALUE"""),"Hellfire")</f>
        <v>Hellfire</v>
      </c>
      <c r="B530" s="190" t="str">
        <f>IFERROR(__xludf.DUMMYFUNCTION("""COMPUTED_VALUE"""),"Fire")</f>
        <v>Fire</v>
      </c>
      <c r="C530" s="190" t="str">
        <f>IFERROR(__xludf.DUMMYFUNCTION("""COMPUTED_VALUE"""),"Special")</f>
        <v>Special</v>
      </c>
      <c r="D530" s="190" t="str">
        <f>IFERROR(__xludf.DUMMYFUNCTION("""COMPUTED_VALUE"""),"Scene x2")</f>
        <v>Scene x2</v>
      </c>
      <c r="E530" s="190" t="str">
        <f>IFERROR(__xludf.DUMMYFUNCTION("""COMPUTED_VALUE"""),"8, 1 Target ")</f>
        <v>8, 1 Target </v>
      </c>
      <c r="F530" s="190">
        <f>IFERROR(__xludf.DUMMYFUNCTION("""COMPUTED_VALUE"""),6.0)</f>
        <v>6</v>
      </c>
      <c r="G530" s="190">
        <f>IFERROR(__xludf.DUMMYFUNCTION("""COMPUTED_VALUE"""),10.0)</f>
        <v>10</v>
      </c>
      <c r="H530" s="191" t="str">
        <f>IFERROR(__xludf.DUMMYFUNCTION("""COMPUTED_VALUE"""),"When this Attack hits, Hellfire burns the Target. On a miss, the Target is Suppressed. Hellfire may be used as a Full Action to be treated as if it were a Dark Type Attack. Spirit Surge.")</f>
        <v>When this Attack hits, Hellfire burns the Target. On a miss, the Target is Suppressed. Hellfire may be used as a Full Action to be treated as if it were a Dark Type Attack. Spirit Surge.</v>
      </c>
      <c r="I530" s="191" t="str">
        <f>IFERROR(__xludf.DUMMYFUNCTION("""COMPUTED_VALUE"""),"--")</f>
        <v>--</v>
      </c>
      <c r="J530" s="190" t="str">
        <f>IFERROR(__xludf.DUMMYFUNCTION("""COMPUTED_VALUE"""),"Tier 3")</f>
        <v>Tier 3</v>
      </c>
      <c r="K530" s="174" t="b">
        <f>IFERROR(__xludf.DUMMYFUNCTION("""COMPUTED_VALUE"""),TRUE)</f>
        <v>1</v>
      </c>
      <c r="L530" s="174"/>
      <c r="M530" s="174"/>
      <c r="N530" s="174"/>
      <c r="O530" s="174"/>
      <c r="P530" s="174"/>
      <c r="Q530" s="174"/>
      <c r="R530" s="174"/>
      <c r="S530" s="174"/>
      <c r="T530" s="174"/>
      <c r="U530" s="174"/>
      <c r="V530" s="174"/>
      <c r="W530" s="174"/>
      <c r="X530" s="174"/>
      <c r="Y530" s="174"/>
      <c r="Z530" s="174"/>
    </row>
    <row r="531">
      <c r="A531" s="190" t="str">
        <f>IFERROR(__xludf.DUMMYFUNCTION("""COMPUTED_VALUE"""),"Ignition")</f>
        <v>Ignition</v>
      </c>
      <c r="B531" s="190" t="str">
        <f>IFERROR(__xludf.DUMMYFUNCTION("""COMPUTED_VALUE"""),"Fire")</f>
        <v>Fire</v>
      </c>
      <c r="C531" s="190" t="str">
        <f>IFERROR(__xludf.DUMMYFUNCTION("""COMPUTED_VALUE"""),"Special")</f>
        <v>Special</v>
      </c>
      <c r="D531" s="190" t="str">
        <f>IFERROR(__xludf.DUMMYFUNCTION("""COMPUTED_VALUE"""),"Scene x2")</f>
        <v>Scene x2</v>
      </c>
      <c r="E531" s="190" t="str">
        <f>IFERROR(__xludf.DUMMYFUNCTION("""COMPUTED_VALUE"""),"6, 1 Target")</f>
        <v>6, 1 Target</v>
      </c>
      <c r="F531" s="190">
        <f>IFERROR(__xludf.DUMMYFUNCTION("""COMPUTED_VALUE"""),3.0)</f>
        <v>3</v>
      </c>
      <c r="G531" s="190">
        <f>IFERROR(__xludf.DUMMYFUNCTION("""COMPUTED_VALUE"""),8.0)</f>
        <v>8</v>
      </c>
      <c r="H531" s="191" t="str">
        <f>IFERROR(__xludf.DUMMYFUNCTION("""COMPUTED_VALUE"""),"If a Target hit by this Attack is Burned, you may cure them of the Affliction. If they are cured this way, they lose three Ticks of Hit Points.")</f>
        <v>If a Target hit by this Attack is Burned, you may cure them of the Affliction. If they are cured this way, they lose three Ticks of Hit Points.</v>
      </c>
      <c r="I531" s="191" t="str">
        <f>IFERROR(__xludf.DUMMYFUNCTION("""COMPUTED_VALUE"""),"--")</f>
        <v>--</v>
      </c>
      <c r="J531" s="190" t="str">
        <f>IFERROR(__xludf.DUMMYFUNCTION("""COMPUTED_VALUE"""),"Tier 2")</f>
        <v>Tier 2</v>
      </c>
      <c r="K531" s="174" t="b">
        <f>IFERROR(__xludf.DUMMYFUNCTION("""COMPUTED_VALUE"""),TRUE)</f>
        <v>1</v>
      </c>
      <c r="L531" s="174"/>
      <c r="M531" s="174"/>
      <c r="N531" s="174"/>
      <c r="O531" s="174"/>
      <c r="P531" s="174"/>
      <c r="Q531" s="174"/>
      <c r="R531" s="174"/>
      <c r="S531" s="174"/>
      <c r="T531" s="174"/>
      <c r="U531" s="174"/>
      <c r="V531" s="174"/>
      <c r="W531" s="174"/>
      <c r="X531" s="174"/>
      <c r="Y531" s="174"/>
      <c r="Z531" s="174"/>
    </row>
    <row r="532">
      <c r="A532" s="190" t="str">
        <f>IFERROR(__xludf.DUMMYFUNCTION("""COMPUTED_VALUE"""),"Incinerate")</f>
        <v>Incinerate</v>
      </c>
      <c r="B532" s="190" t="str">
        <f>IFERROR(__xludf.DUMMYFUNCTION("""COMPUTED_VALUE"""),"Fire")</f>
        <v>Fire</v>
      </c>
      <c r="C532" s="190" t="str">
        <f>IFERROR(__xludf.DUMMYFUNCTION("""COMPUTED_VALUE"""),"Special")</f>
        <v>Special</v>
      </c>
      <c r="D532" s="190" t="str">
        <f>IFERROR(__xludf.DUMMYFUNCTION("""COMPUTED_VALUE"""),"At-Will")</f>
        <v>At-Will</v>
      </c>
      <c r="E532" s="190" t="str">
        <f>IFERROR(__xludf.DUMMYFUNCTION("""COMPUTED_VALUE"""),"Line 3")</f>
        <v>Line 3</v>
      </c>
      <c r="F532" s="190">
        <f>IFERROR(__xludf.DUMMYFUNCTION("""COMPUTED_VALUE"""),5.0)</f>
        <v>5</v>
      </c>
      <c r="G532" s="190">
        <f>IFERROR(__xludf.DUMMYFUNCTION("""COMPUTED_VALUE"""),5.0)</f>
        <v>5</v>
      </c>
      <c r="H532" s="191" t="str">
        <f>IFERROR(__xludf.DUMMYFUNCTION("""COMPUTED_VALUE"""),"On a Roll of 17+ or if the Target is Burned, you may destroy a Coat they're affected by.")</f>
        <v>On a Roll of 17+ or if the Target is Burned, you may destroy a Coat they're affected by.</v>
      </c>
      <c r="I532" s="191" t="str">
        <f>IFERROR(__xludf.DUMMYFUNCTION("""COMPUTED_VALUE"""),"--")</f>
        <v>--</v>
      </c>
      <c r="J532" s="190" t="str">
        <f>IFERROR(__xludf.DUMMYFUNCTION("""COMPUTED_VALUE"""),"Tier 1")</f>
        <v>Tier 1</v>
      </c>
      <c r="K532" s="174" t="b">
        <f>IFERROR(__xludf.DUMMYFUNCTION("""COMPUTED_VALUE"""),TRUE)</f>
        <v>1</v>
      </c>
      <c r="L532" s="174"/>
      <c r="M532" s="174"/>
      <c r="N532" s="174"/>
      <c r="O532" s="174"/>
      <c r="P532" s="174"/>
      <c r="Q532" s="174"/>
      <c r="R532" s="174"/>
      <c r="S532" s="174"/>
      <c r="T532" s="174"/>
      <c r="U532" s="174"/>
      <c r="V532" s="174"/>
      <c r="W532" s="174"/>
      <c r="X532" s="174"/>
      <c r="Y532" s="174"/>
      <c r="Z532" s="174"/>
    </row>
    <row r="533">
      <c r="A533" s="190" t="str">
        <f>IFERROR(__xludf.DUMMYFUNCTION("""COMPUTED_VALUE"""),"Inferno")</f>
        <v>Inferno</v>
      </c>
      <c r="B533" s="190" t="str">
        <f>IFERROR(__xludf.DUMMYFUNCTION("""COMPUTED_VALUE"""),"Fire")</f>
        <v>Fire</v>
      </c>
      <c r="C533" s="190" t="str">
        <f>IFERROR(__xludf.DUMMYFUNCTION("""COMPUTED_VALUE"""),"Special")</f>
        <v>Special</v>
      </c>
      <c r="D533" s="190" t="str">
        <f>IFERROR(__xludf.DUMMYFUNCTION("""COMPUTED_VALUE"""),"At-Will")</f>
        <v>At-Will</v>
      </c>
      <c r="E533" s="190" t="str">
        <f>IFERROR(__xludf.DUMMYFUNCTION("""COMPUTED_VALUE"""),"10, 1 Target")</f>
        <v>10, 1 Target</v>
      </c>
      <c r="F533" s="190">
        <f>IFERROR(__xludf.DUMMYFUNCTION("""COMPUTED_VALUE"""),5.0)</f>
        <v>5</v>
      </c>
      <c r="G533" s="190">
        <f>IFERROR(__xludf.DUMMYFUNCTION("""COMPUTED_VALUE"""),10.0)</f>
        <v>10</v>
      </c>
      <c r="H533" s="191" t="str">
        <f>IFERROR(__xludf.DUMMYFUNCTION("""COMPUTED_VALUE"""),"Inferno Burns the Target. Inferno treats the Target as Vulnerable if there are no Combatants or Blocking Terrain adjacent to them or if the Weather is Sunny.")</f>
        <v>Inferno Burns the Target. Inferno treats the Target as Vulnerable if there are no Combatants or Blocking Terrain adjacent to them or if the Weather is Sunny.</v>
      </c>
      <c r="I533" s="191" t="str">
        <f>IFERROR(__xludf.DUMMYFUNCTION("""COMPUTED_VALUE"""),"--")</f>
        <v>--</v>
      </c>
      <c r="J533" s="190" t="str">
        <f>IFERROR(__xludf.DUMMYFUNCTION("""COMPUTED_VALUE"""),"Tier 3")</f>
        <v>Tier 3</v>
      </c>
      <c r="K533" s="174" t="b">
        <f>IFERROR(__xludf.DUMMYFUNCTION("""COMPUTED_VALUE"""),TRUE)</f>
        <v>1</v>
      </c>
      <c r="L533" s="174"/>
      <c r="M533" s="174"/>
      <c r="N533" s="174"/>
      <c r="O533" s="174"/>
      <c r="P533" s="174"/>
      <c r="Q533" s="174"/>
      <c r="R533" s="174"/>
      <c r="S533" s="174"/>
      <c r="T533" s="174"/>
      <c r="U533" s="174"/>
      <c r="V533" s="174"/>
      <c r="W533" s="174"/>
      <c r="X533" s="174"/>
      <c r="Y533" s="174"/>
      <c r="Z533" s="174"/>
    </row>
    <row r="534">
      <c r="A534" s="190" t="str">
        <f>IFERROR(__xludf.DUMMYFUNCTION("""COMPUTED_VALUE"""),"Kindle")</f>
        <v>Kindle</v>
      </c>
      <c r="B534" s="190" t="str">
        <f>IFERROR(__xludf.DUMMYFUNCTION("""COMPUTED_VALUE"""),"Fire")</f>
        <v>Fire</v>
      </c>
      <c r="C534" s="190" t="str">
        <f>IFERROR(__xludf.DUMMYFUNCTION("""COMPUTED_VALUE"""),"Status")</f>
        <v>Status</v>
      </c>
      <c r="D534" s="190" t="str">
        <f>IFERROR(__xludf.DUMMYFUNCTION("""COMPUTED_VALUE"""),"EOT")</f>
        <v>EOT</v>
      </c>
      <c r="E534" s="190" t="str">
        <f>IFERROR(__xludf.DUMMYFUNCTION("""COMPUTED_VALUE"""),"Self, Versatile")</f>
        <v>Self, Versatile</v>
      </c>
      <c r="F534" s="190" t="str">
        <f>IFERROR(__xludf.DUMMYFUNCTION("""COMPUTED_VALUE"""),"--")</f>
        <v>--</v>
      </c>
      <c r="G534" s="190" t="str">
        <f>IFERROR(__xludf.DUMMYFUNCTION("""COMPUTED_VALUE"""),"--")</f>
        <v>--</v>
      </c>
      <c r="H534" s="191" t="str">
        <f>IFERROR(__xludf.DUMMYFUNCTION("""COMPUTED_VALUE"""),"The user gains a Kindled Coat. The user may expend a Kindled Coat when successfully hitting an Fire Damaging Attack to add its Damage Dice an extra time to the Damage Roll. This applies after any other Damage Base Modifiers such as a Critical Hit. 
Note: "&amp;"If the Damage Base would have the Attack be 2d6+8, this expended Coat turns it into 4d6+16. ")</f>
        <v>The user gains a Kindled Coat. The user may expend a Kindled Coat when successfully hitting an Fire Damaging Attack to add its Damage Dice an extra time to the Damage Roll. This applies after any other Damage Base Modifiers such as a Critical Hit. 
Note: If the Damage Base would have the Attack be 2d6+8, this expended Coat turns it into 4d6+16. </v>
      </c>
      <c r="I534" s="191" t="str">
        <f>IFERROR(__xludf.DUMMYFUNCTION("""COMPUTED_VALUE"""),"The user's next Fire Type Damaging Attack adds +2 to its Damage Base and has the Smite Keyword.")</f>
        <v>The user's next Fire Type Damaging Attack adds +2 to its Damage Base and has the Smite Keyword.</v>
      </c>
      <c r="J534" s="190" t="str">
        <f>IFERROR(__xludf.DUMMYFUNCTION("""COMPUTED_VALUE"""),"Tier 2")</f>
        <v>Tier 2</v>
      </c>
      <c r="K534" s="174" t="b">
        <f>IFERROR(__xludf.DUMMYFUNCTION("""COMPUTED_VALUE"""),TRUE)</f>
        <v>1</v>
      </c>
      <c r="L534" s="174"/>
      <c r="M534" s="174"/>
      <c r="N534" s="174"/>
      <c r="O534" s="174"/>
      <c r="P534" s="174"/>
      <c r="Q534" s="174"/>
      <c r="R534" s="174"/>
      <c r="S534" s="174"/>
      <c r="T534" s="174"/>
      <c r="U534" s="174"/>
      <c r="V534" s="174"/>
      <c r="W534" s="174"/>
      <c r="X534" s="174"/>
      <c r="Y534" s="174"/>
      <c r="Z534" s="174"/>
    </row>
    <row r="535">
      <c r="A535" s="190" t="str">
        <f>IFERROR(__xludf.DUMMYFUNCTION("""COMPUTED_VALUE"""),"Lava Armor")</f>
        <v>Lava Armor</v>
      </c>
      <c r="B535" s="190" t="str">
        <f>IFERROR(__xludf.DUMMYFUNCTION("""COMPUTED_VALUE"""),"Fire")</f>
        <v>Fire</v>
      </c>
      <c r="C535" s="190" t="str">
        <f>IFERROR(__xludf.DUMMYFUNCTION("""COMPUTED_VALUE"""),"Status")</f>
        <v>Status</v>
      </c>
      <c r="D535" s="190" t="str">
        <f>IFERROR(__xludf.DUMMYFUNCTION("""COMPUTED_VALUE"""),"Scene")</f>
        <v>Scene</v>
      </c>
      <c r="E535" s="190" t="str">
        <f>IFERROR(__xludf.DUMMYFUNCTION("""COMPUTED_VALUE"""),"Self, Coat, Versatile")</f>
        <v>Self, Coat, Versatile</v>
      </c>
      <c r="F535" s="190" t="str">
        <f>IFERROR(__xludf.DUMMYFUNCTION("""COMPUTED_VALUE"""),"--")</f>
        <v>--</v>
      </c>
      <c r="G535" s="190" t="str">
        <f>IFERROR(__xludf.DUMMYFUNCTION("""COMPUTED_VALUE"""),"--")</f>
        <v>--</v>
      </c>
      <c r="H535" s="191" t="str">
        <f>IFERROR(__xludf.DUMMYFUNCTION("""COMPUTED_VALUE"""),"The user gains a Molten Coat. While the user is affected by a Molten Coat, whenever a Melee Attack hits them, the Attacker become Burned. The Molten Coat can be expended as a Reaction to resist a Physical Attack by an additional Damage step. It also can b"&amp;"e expended when the user hits a Physical Fire Type Attack to cause all Targets to become Burned. ")</f>
        <v>The user gains a Molten Coat. While the user is affected by a Molten Coat, whenever a Melee Attack hits them, the Attacker become Burned. The Molten Coat can be expended as a Reaction to resist a Physical Attack by an additional Damage step. It also can be expended when the user hits a Physical Fire Type Attack to cause all Targets to become Burned. </v>
      </c>
      <c r="I535" s="191" t="str">
        <f>IFERROR(__xludf.DUMMYFUNCTION("""COMPUTED_VALUE"""),"The user gains a Molten Coat until the start of their next Turn. It cannot be expended through listed means. When used this way, Lava Armor's Frequency is not expended. ")</f>
        <v>The user gains a Molten Coat until the start of their next Turn. It cannot be expended through listed means. When used this way, Lava Armor's Frequency is not expended. </v>
      </c>
      <c r="J535" s="190" t="str">
        <f>IFERROR(__xludf.DUMMYFUNCTION("""COMPUTED_VALUE"""),"Tier 3")</f>
        <v>Tier 3</v>
      </c>
      <c r="K535" s="174" t="b">
        <f>IFERROR(__xludf.DUMMYFUNCTION("""COMPUTED_VALUE"""),TRUE)</f>
        <v>1</v>
      </c>
      <c r="L535" s="174"/>
      <c r="M535" s="174"/>
      <c r="N535" s="174"/>
      <c r="O535" s="174"/>
      <c r="P535" s="174"/>
      <c r="Q535" s="174"/>
      <c r="R535" s="174"/>
      <c r="S535" s="174"/>
      <c r="T535" s="174"/>
      <c r="U535" s="174"/>
      <c r="V535" s="174"/>
      <c r="W535" s="174"/>
      <c r="X535" s="174"/>
      <c r="Y535" s="174"/>
      <c r="Z535" s="174"/>
    </row>
    <row r="536">
      <c r="A536" s="190" t="str">
        <f>IFERROR(__xludf.DUMMYFUNCTION("""COMPUTED_VALUE"""),"Lava Plume")</f>
        <v>Lava Plume</v>
      </c>
      <c r="B536" s="190" t="str">
        <f>IFERROR(__xludf.DUMMYFUNCTION("""COMPUTED_VALUE"""),"Fire")</f>
        <v>Fire</v>
      </c>
      <c r="C536" s="190" t="str">
        <f>IFERROR(__xludf.DUMMYFUNCTION("""COMPUTED_VALUE"""),"Special")</f>
        <v>Special</v>
      </c>
      <c r="D536" s="190" t="str">
        <f>IFERROR(__xludf.DUMMYFUNCTION("""COMPUTED_VALUE"""),"EOT")</f>
        <v>EOT</v>
      </c>
      <c r="E536" s="190" t="str">
        <f>IFERROR(__xludf.DUMMYFUNCTION("""COMPUTED_VALUE"""),"Burst 1 ")</f>
        <v>Burst 1 </v>
      </c>
      <c r="F536" s="190">
        <f>IFERROR(__xludf.DUMMYFUNCTION("""COMPUTED_VALUE"""),6.0)</f>
        <v>6</v>
      </c>
      <c r="G536" s="190">
        <f>IFERROR(__xludf.DUMMYFUNCTION("""COMPUTED_VALUE"""),8.0)</f>
        <v>8</v>
      </c>
      <c r="H536" s="191" t="str">
        <f>IFERROR(__xludf.DUMMYFUNCTION("""COMPUTED_VALUE"""),"On a roll of 18+, all Targets become Burned. This Attack may also be used as a Full Action to treat its Range as Burst 2. Smite")</f>
        <v>On a roll of 18+, all Targets become Burned. This Attack may also be used as a Full Action to treat its Range as Burst 2. Smite</v>
      </c>
      <c r="I536" s="191" t="str">
        <f>IFERROR(__xludf.DUMMYFUNCTION("""COMPUTED_VALUE"""),"--")</f>
        <v>--</v>
      </c>
      <c r="J536" s="190" t="str">
        <f>IFERROR(__xludf.DUMMYFUNCTION("""COMPUTED_VALUE"""),"Tier 2")</f>
        <v>Tier 2</v>
      </c>
      <c r="K536" s="174" t="b">
        <f>IFERROR(__xludf.DUMMYFUNCTION("""COMPUTED_VALUE"""),TRUE)</f>
        <v>1</v>
      </c>
      <c r="L536" s="174"/>
      <c r="M536" s="174"/>
      <c r="N536" s="174"/>
      <c r="O536" s="174"/>
      <c r="P536" s="174"/>
      <c r="Q536" s="174"/>
      <c r="R536" s="174"/>
      <c r="S536" s="174"/>
      <c r="T536" s="174"/>
      <c r="U536" s="174"/>
      <c r="V536" s="174"/>
      <c r="W536" s="174"/>
      <c r="X536" s="174"/>
      <c r="Y536" s="174"/>
      <c r="Z536" s="174"/>
    </row>
    <row r="537">
      <c r="A537" s="190" t="str">
        <f>IFERROR(__xludf.DUMMYFUNCTION("""COMPUTED_VALUE"""),"Mind Blown")</f>
        <v>Mind Blown</v>
      </c>
      <c r="B537" s="190" t="str">
        <f>IFERROR(__xludf.DUMMYFUNCTION("""COMPUTED_VALUE"""),"Fire")</f>
        <v>Fire</v>
      </c>
      <c r="C537" s="190" t="str">
        <f>IFERROR(__xludf.DUMMYFUNCTION("""COMPUTED_VALUE"""),"Special")</f>
        <v>Special</v>
      </c>
      <c r="D537" s="190" t="str">
        <f>IFERROR(__xludf.DUMMYFUNCTION("""COMPUTED_VALUE"""),"Scene")</f>
        <v>Scene</v>
      </c>
      <c r="E537" s="190" t="str">
        <f>IFERROR(__xludf.DUMMYFUNCTION("""COMPUTED_VALUE"""),"6, Ranged Blast 5, Full Action")</f>
        <v>6, Ranged Blast 5, Full Action</v>
      </c>
      <c r="F537" s="190">
        <f>IFERROR(__xludf.DUMMYFUNCTION("""COMPUTED_VALUE"""),8.0)</f>
        <v>8</v>
      </c>
      <c r="G537" s="190">
        <f>IFERROR(__xludf.DUMMYFUNCTION("""COMPUTED_VALUE"""),15.0)</f>
        <v>15</v>
      </c>
      <c r="H537" s="191" t="str">
        <f>IFERROR(__xludf.DUMMYFUNCTION("""COMPUTED_VALUE"""),"The Target in the center of Mind Blown's Range resists this Attack one less Step. The user loses a Tick of Hit Points per Target hit by this Attack. Smite")</f>
        <v>The Target in the center of Mind Blown's Range resists this Attack one less Step. The user loses a Tick of Hit Points per Target hit by this Attack. Smite</v>
      </c>
      <c r="I537" s="191" t="str">
        <f>IFERROR(__xludf.DUMMYFUNCTION("""COMPUTED_VALUE"""),"--")</f>
        <v>--</v>
      </c>
      <c r="J537" s="190" t="str">
        <f>IFERROR(__xludf.DUMMYFUNCTION("""COMPUTED_VALUE"""),"Tier 3")</f>
        <v>Tier 3</v>
      </c>
      <c r="K537" s="174" t="b">
        <f>IFERROR(__xludf.DUMMYFUNCTION("""COMPUTED_VALUE"""),TRUE)</f>
        <v>1</v>
      </c>
      <c r="L537" s="174"/>
      <c r="M537" s="174"/>
      <c r="N537" s="174"/>
      <c r="O537" s="174"/>
      <c r="P537" s="174"/>
      <c r="Q537" s="174"/>
      <c r="R537" s="174"/>
      <c r="S537" s="174"/>
      <c r="T537" s="174"/>
      <c r="U537" s="174"/>
      <c r="V537" s="174"/>
      <c r="W537" s="174"/>
      <c r="X537" s="174"/>
      <c r="Y537" s="174"/>
      <c r="Z537" s="174"/>
    </row>
    <row r="538">
      <c r="A538" s="190" t="str">
        <f>IFERROR(__xludf.DUMMYFUNCTION("""COMPUTED_VALUE"""),"Molten Rupture")</f>
        <v>Molten Rupture</v>
      </c>
      <c r="B538" s="190" t="str">
        <f>IFERROR(__xludf.DUMMYFUNCTION("""COMPUTED_VALUE"""),"Fire")</f>
        <v>Fire</v>
      </c>
      <c r="C538" s="190" t="str">
        <f>IFERROR(__xludf.DUMMYFUNCTION("""COMPUTED_VALUE"""),"Physical")</f>
        <v>Physical</v>
      </c>
      <c r="D538" s="190" t="str">
        <f>IFERROR(__xludf.DUMMYFUNCTION("""COMPUTED_VALUE"""),"EOT")</f>
        <v>EOT</v>
      </c>
      <c r="E538" s="190" t="str">
        <f>IFERROR(__xludf.DUMMYFUNCTION("""COMPUTED_VALUE"""),"4, Ranged Blast 2, Groundsource")</f>
        <v>4, Ranged Blast 2, Groundsource</v>
      </c>
      <c r="F538" s="190">
        <f>IFERROR(__xludf.DUMMYFUNCTION("""COMPUTED_VALUE"""),6.0)</f>
        <v>6</v>
      </c>
      <c r="G538" s="190">
        <f>IFERROR(__xludf.DUMMYFUNCTION("""COMPUTED_VALUE"""),8.0)</f>
        <v>8</v>
      </c>
      <c r="H538" s="191" t="str">
        <f>IFERROR(__xludf.DUMMYFUNCTION("""COMPUTED_VALUE"""),"Molten Rupture may be used as a Full Action to treat it as if it were Ground Type instead. ")</f>
        <v>Molten Rupture may be used as a Full Action to treat it as if it were Ground Type instead. </v>
      </c>
      <c r="I538" s="191" t="str">
        <f>IFERROR(__xludf.DUMMYFUNCTION("""COMPUTED_VALUE"""),"--")</f>
        <v>--</v>
      </c>
      <c r="J538" s="190" t="str">
        <f>IFERROR(__xludf.DUMMYFUNCTION("""COMPUTED_VALUE"""),"Tier 2")</f>
        <v>Tier 2</v>
      </c>
      <c r="K538" s="174" t="b">
        <f>IFERROR(__xludf.DUMMYFUNCTION("""COMPUTED_VALUE"""),TRUE)</f>
        <v>1</v>
      </c>
      <c r="L538" s="174"/>
      <c r="M538" s="174"/>
      <c r="N538" s="174"/>
      <c r="O538" s="174"/>
      <c r="P538" s="174"/>
      <c r="Q538" s="174"/>
      <c r="R538" s="174"/>
      <c r="S538" s="174"/>
      <c r="T538" s="174"/>
      <c r="U538" s="174"/>
      <c r="V538" s="174"/>
      <c r="W538" s="174"/>
      <c r="X538" s="174"/>
      <c r="Y538" s="174"/>
      <c r="Z538" s="174"/>
    </row>
    <row r="539">
      <c r="A539" s="190" t="str">
        <f>IFERROR(__xludf.DUMMYFUNCTION("""COMPUTED_VALUE"""),"Mystical Fire")</f>
        <v>Mystical Fire</v>
      </c>
      <c r="B539" s="190" t="str">
        <f>IFERROR(__xludf.DUMMYFUNCTION("""COMPUTED_VALUE"""),"Fire")</f>
        <v>Fire</v>
      </c>
      <c r="C539" s="190" t="str">
        <f>IFERROR(__xludf.DUMMYFUNCTION("""COMPUTED_VALUE"""),"Special")</f>
        <v>Special</v>
      </c>
      <c r="D539" s="190" t="str">
        <f>IFERROR(__xludf.DUMMYFUNCTION("""COMPUTED_VALUE"""),"EOT")</f>
        <v>EOT</v>
      </c>
      <c r="E539" s="190" t="str">
        <f>IFERROR(__xludf.DUMMYFUNCTION("""COMPUTED_VALUE"""),"6, 1 Target")</f>
        <v>6, 1 Target</v>
      </c>
      <c r="F539" s="190">
        <f>IFERROR(__xludf.DUMMYFUNCTION("""COMPUTED_VALUE"""),5.0)</f>
        <v>5</v>
      </c>
      <c r="G539" s="190">
        <f>IFERROR(__xludf.DUMMYFUNCTION("""COMPUTED_VALUE"""),8.0)</f>
        <v>8</v>
      </c>
      <c r="H539" s="191" t="str">
        <f>IFERROR(__xludf.DUMMYFUNCTION("""COMPUTED_VALUE"""),"If the Target is suffering from a Mental Affliction, they become Burned. ")</f>
        <v>If the Target is suffering from a Mental Affliction, they become Burned. </v>
      </c>
      <c r="I539" s="191" t="str">
        <f>IFERROR(__xludf.DUMMYFUNCTION("""COMPUTED_VALUE"""),"--")</f>
        <v>--</v>
      </c>
      <c r="J539" s="190" t="str">
        <f>IFERROR(__xludf.DUMMYFUNCTION("""COMPUTED_VALUE"""),"Tier 2")</f>
        <v>Tier 2</v>
      </c>
      <c r="K539" s="174" t="b">
        <f>IFERROR(__xludf.DUMMYFUNCTION("""COMPUTED_VALUE"""),TRUE)</f>
        <v>1</v>
      </c>
      <c r="L539" s="174"/>
      <c r="M539" s="174"/>
      <c r="N539" s="174"/>
      <c r="O539" s="174"/>
      <c r="P539" s="174"/>
      <c r="Q539" s="174"/>
      <c r="R539" s="174"/>
      <c r="S539" s="174"/>
      <c r="T539" s="174"/>
      <c r="U539" s="174"/>
      <c r="V539" s="174"/>
      <c r="W539" s="174"/>
      <c r="X539" s="174"/>
      <c r="Y539" s="174"/>
      <c r="Z539" s="174"/>
    </row>
    <row r="540">
      <c r="A540" s="190" t="str">
        <f>IFERROR(__xludf.DUMMYFUNCTION("""COMPUTED_VALUE"""),"Overheat")</f>
        <v>Overheat</v>
      </c>
      <c r="B540" s="190" t="str">
        <f>IFERROR(__xludf.DUMMYFUNCTION("""COMPUTED_VALUE"""),"Fire")</f>
        <v>Fire</v>
      </c>
      <c r="C540" s="190" t="str">
        <f>IFERROR(__xludf.DUMMYFUNCTION("""COMPUTED_VALUE"""),"Special")</f>
        <v>Special</v>
      </c>
      <c r="D540" s="190" t="str">
        <f>IFERROR(__xludf.DUMMYFUNCTION("""COMPUTED_VALUE"""),"Scene")</f>
        <v>Scene</v>
      </c>
      <c r="E540" s="190" t="str">
        <f>IFERROR(__xludf.DUMMYFUNCTION("""COMPUTED_VALUE"""),"Close Blast 3, Full Action, Reckless")</f>
        <v>Close Blast 3, Full Action, Reckless</v>
      </c>
      <c r="F540" s="190">
        <f>IFERROR(__xludf.DUMMYFUNCTION("""COMPUTED_VALUE"""),6.0)</f>
        <v>6</v>
      </c>
      <c r="G540" s="190">
        <f>IFERROR(__xludf.DUMMYFUNCTION("""COMPUTED_VALUE"""),13.0)</f>
        <v>13</v>
      </c>
      <c r="H540" s="191" t="str">
        <f>IFERROR(__xludf.DUMMYFUNCTION("""COMPUTED_VALUE"""),"After Damage Calculations, lower the Offensive Stat used for this Attack by -2 CS. Smite")</f>
        <v>After Damage Calculations, lower the Offensive Stat used for this Attack by -2 CS. Smite</v>
      </c>
      <c r="I540" s="191" t="str">
        <f>IFERROR(__xludf.DUMMYFUNCTION("""COMPUTED_VALUE"""),"--")</f>
        <v>--</v>
      </c>
      <c r="J540" s="190" t="str">
        <f>IFERROR(__xludf.DUMMYFUNCTION("""COMPUTED_VALUE"""),"Tier 3")</f>
        <v>Tier 3</v>
      </c>
      <c r="K540" s="174" t="b">
        <f>IFERROR(__xludf.DUMMYFUNCTION("""COMPUTED_VALUE"""),TRUE)</f>
        <v>1</v>
      </c>
      <c r="L540" s="174"/>
      <c r="M540" s="174"/>
      <c r="N540" s="174"/>
      <c r="O540" s="174"/>
      <c r="P540" s="174"/>
      <c r="Q540" s="174"/>
      <c r="R540" s="174"/>
      <c r="S540" s="174"/>
      <c r="T540" s="174"/>
      <c r="U540" s="174"/>
      <c r="V540" s="174"/>
      <c r="W540" s="174"/>
      <c r="X540" s="174"/>
      <c r="Y540" s="174"/>
      <c r="Z540" s="174"/>
    </row>
    <row r="541">
      <c r="A541" s="190" t="str">
        <f>IFERROR(__xludf.DUMMYFUNCTION("""COMPUTED_VALUE"""),"Pyro Ball")</f>
        <v>Pyro Ball</v>
      </c>
      <c r="B541" s="190" t="str">
        <f>IFERROR(__xludf.DUMMYFUNCTION("""COMPUTED_VALUE"""),"Fire")</f>
        <v>Fire</v>
      </c>
      <c r="C541" s="190" t="str">
        <f>IFERROR(__xludf.DUMMYFUNCTION("""COMPUTED_VALUE"""),"Physical")</f>
        <v>Physical</v>
      </c>
      <c r="D541" s="190" t="str">
        <f>IFERROR(__xludf.DUMMYFUNCTION("""COMPUTED_VALUE"""),"Scene x2")</f>
        <v>Scene x2</v>
      </c>
      <c r="E541" s="190" t="str">
        <f>IFERROR(__xludf.DUMMYFUNCTION("""COMPUTED_VALUE"""),"5, 1 Target")</f>
        <v>5, 1 Target</v>
      </c>
      <c r="F541" s="190">
        <f>IFERROR(__xludf.DUMMYFUNCTION("""COMPUTED_VALUE"""),4.0)</f>
        <v>4</v>
      </c>
      <c r="G541" s="190">
        <f>IFERROR(__xludf.DUMMYFUNCTION("""COMPUTED_VALUE"""),10.0)</f>
        <v>10</v>
      </c>
      <c r="H541" s="191" t="str">
        <f>IFERROR(__xludf.DUMMYFUNCTION("""COMPUTED_VALUE"""),"If the user has at least +3 CS in Speed, this has the Sureshot Keyword. The user may perform this Attack as a Standard + Movement Action to cause the Target to become Burned on a hit. Smite")</f>
        <v>If the user has at least +3 CS in Speed, this has the Sureshot Keyword. The user may perform this Attack as a Standard + Movement Action to cause the Target to become Burned on a hit. Smite</v>
      </c>
      <c r="I541" s="191" t="str">
        <f>IFERROR(__xludf.DUMMYFUNCTION("""COMPUTED_VALUE"""),"--")</f>
        <v>--</v>
      </c>
      <c r="J541" s="190" t="str">
        <f>IFERROR(__xludf.DUMMYFUNCTION("""COMPUTED_VALUE"""),"Tier 3")</f>
        <v>Tier 3</v>
      </c>
      <c r="K541" s="174" t="b">
        <f>IFERROR(__xludf.DUMMYFUNCTION("""COMPUTED_VALUE"""),TRUE)</f>
        <v>1</v>
      </c>
      <c r="L541" s="174"/>
      <c r="M541" s="174"/>
      <c r="N541" s="174"/>
      <c r="O541" s="174"/>
      <c r="P541" s="174"/>
      <c r="Q541" s="174"/>
      <c r="R541" s="174"/>
      <c r="S541" s="174"/>
      <c r="T541" s="174"/>
      <c r="U541" s="174"/>
      <c r="V541" s="174"/>
      <c r="W541" s="174"/>
      <c r="X541" s="174"/>
      <c r="Y541" s="174"/>
      <c r="Z541" s="174"/>
    </row>
    <row r="542">
      <c r="A542" s="190" t="str">
        <f>IFERROR(__xludf.DUMMYFUNCTION("""COMPUTED_VALUE"""),"Raging Fire")</f>
        <v>Raging Fire</v>
      </c>
      <c r="B542" s="190" t="str">
        <f>IFERROR(__xludf.DUMMYFUNCTION("""COMPUTED_VALUE"""),"Fire")</f>
        <v>Fire</v>
      </c>
      <c r="C542" s="190" t="str">
        <f>IFERROR(__xludf.DUMMYFUNCTION("""COMPUTED_VALUE"""),"Physical")</f>
        <v>Physical</v>
      </c>
      <c r="D542" s="190" t="str">
        <f>IFERROR(__xludf.DUMMYFUNCTION("""COMPUTED_VALUE"""),"EOT")</f>
        <v>EOT</v>
      </c>
      <c r="E542" s="190" t="str">
        <f>IFERROR(__xludf.DUMMYFUNCTION("""COMPUTED_VALUE"""),"6, Ranged Blast 2")</f>
        <v>6, Ranged Blast 2</v>
      </c>
      <c r="F542" s="190">
        <f>IFERROR(__xludf.DUMMYFUNCTION("""COMPUTED_VALUE"""),6.0)</f>
        <v>6</v>
      </c>
      <c r="G542" s="190">
        <f>IFERROR(__xludf.DUMMYFUNCTION("""COMPUTED_VALUE"""),8.0)</f>
        <v>8</v>
      </c>
      <c r="H542" s="191" t="str">
        <f>IFERROR(__xludf.DUMMYFUNCTION("""COMPUTED_VALUE"""),"If the user is Enraged this is changed to 8, Ranged Blast 3, Full Action and Targets cannot apply Physical Evasion  against this Attack.")</f>
        <v>If the user is Enraged this is changed to 8, Ranged Blast 3, Full Action and Targets cannot apply Physical Evasion  against this Attack.</v>
      </c>
      <c r="I542" s="191" t="str">
        <f>IFERROR(__xludf.DUMMYFUNCTION("""COMPUTED_VALUE"""),"--")</f>
        <v>--</v>
      </c>
      <c r="J542" s="190" t="str">
        <f>IFERROR(__xludf.DUMMYFUNCTION("""COMPUTED_VALUE"""),"Tier 2")</f>
        <v>Tier 2</v>
      </c>
      <c r="K542" s="174" t="b">
        <f>IFERROR(__xludf.DUMMYFUNCTION("""COMPUTED_VALUE"""),TRUE)</f>
        <v>1</v>
      </c>
      <c r="L542" s="174"/>
      <c r="M542" s="174"/>
      <c r="N542" s="174"/>
      <c r="O542" s="174"/>
      <c r="P542" s="174"/>
      <c r="Q542" s="174"/>
      <c r="R542" s="174"/>
      <c r="S542" s="174"/>
      <c r="T542" s="174"/>
      <c r="U542" s="174"/>
      <c r="V542" s="174"/>
      <c r="W542" s="174"/>
      <c r="X542" s="174"/>
      <c r="Y542" s="174"/>
      <c r="Z542" s="174"/>
    </row>
    <row r="543">
      <c r="A543" s="190" t="str">
        <f>IFERROR(__xludf.DUMMYFUNCTION("""COMPUTED_VALUE"""),"Shell Trap")</f>
        <v>Shell Trap</v>
      </c>
      <c r="B543" s="190" t="str">
        <f>IFERROR(__xludf.DUMMYFUNCTION("""COMPUTED_VALUE"""),"Fire")</f>
        <v>Fire</v>
      </c>
      <c r="C543" s="190" t="str">
        <f>IFERROR(__xludf.DUMMYFUNCTION("""COMPUTED_VALUE"""),"Special")</f>
        <v>Special</v>
      </c>
      <c r="D543" s="190" t="str">
        <f>IFERROR(__xludf.DUMMYFUNCTION("""COMPUTED_VALUE"""),"Scene")</f>
        <v>Scene</v>
      </c>
      <c r="E543" s="190" t="str">
        <f>IFERROR(__xludf.DUMMYFUNCTION("""COMPUTED_VALUE"""),"Melee, 1 Target, Trigger")</f>
        <v>Melee, 1 Target, Trigger</v>
      </c>
      <c r="F543" s="190">
        <f>IFERROR(__xludf.DUMMYFUNCTION("""COMPUTED_VALUE"""),4.0)</f>
        <v>4</v>
      </c>
      <c r="G543" s="190">
        <f>IFERROR(__xludf.DUMMYFUNCTION("""COMPUTED_VALUE"""),13.0)</f>
        <v>13</v>
      </c>
      <c r="H543" s="191" t="str">
        <f>IFERROR(__xludf.DUMMYFUNCTION("""COMPUTED_VALUE"""),"Shell Trap can only be used as a Standard Action + Reaction when the user is hit by an Adjacent Enemy and it must only Target them. Shell Trap is a Critical Hit on a 17+. Smite.")</f>
        <v>Shell Trap can only be used as a Standard Action + Reaction when the user is hit by an Adjacent Enemy and it must only Target them. Shell Trap is a Critical Hit on a 17+. Smite.</v>
      </c>
      <c r="I543" s="191" t="str">
        <f>IFERROR(__xludf.DUMMYFUNCTION("""COMPUTED_VALUE"""),"--")</f>
        <v>--</v>
      </c>
      <c r="J543" s="190" t="str">
        <f>IFERROR(__xludf.DUMMYFUNCTION("""COMPUTED_VALUE"""),"Tier 3")</f>
        <v>Tier 3</v>
      </c>
      <c r="K543" s="174" t="b">
        <f>IFERROR(__xludf.DUMMYFUNCTION("""COMPUTED_VALUE"""),FALSE)</f>
        <v>0</v>
      </c>
      <c r="L543" s="174"/>
      <c r="M543" s="174"/>
      <c r="N543" s="174"/>
      <c r="O543" s="174"/>
      <c r="P543" s="174"/>
      <c r="Q543" s="174"/>
      <c r="R543" s="174"/>
      <c r="S543" s="174"/>
      <c r="T543" s="174"/>
      <c r="U543" s="174"/>
      <c r="V543" s="174"/>
      <c r="W543" s="174"/>
      <c r="X543" s="174"/>
      <c r="Y543" s="174"/>
      <c r="Z543" s="174"/>
    </row>
    <row r="544">
      <c r="A544" s="190" t="str">
        <f>IFERROR(__xludf.DUMMYFUNCTION("""COMPUTED_VALUE"""),"Sunny Day")</f>
        <v>Sunny Day</v>
      </c>
      <c r="B544" s="190" t="str">
        <f>IFERROR(__xludf.DUMMYFUNCTION("""COMPUTED_VALUE"""),"Fire")</f>
        <v>Fire</v>
      </c>
      <c r="C544" s="190" t="str">
        <f>IFERROR(__xludf.DUMMYFUNCTION("""COMPUTED_VALUE"""),"Status")</f>
        <v>Status</v>
      </c>
      <c r="D544" s="190" t="str">
        <f>IFERROR(__xludf.DUMMYFUNCTION("""COMPUTED_VALUE"""),"Scene x2")</f>
        <v>Scene x2</v>
      </c>
      <c r="E544" s="190" t="str">
        <f>IFERROR(__xludf.DUMMYFUNCTION("""COMPUTED_VALUE"""),"Blessing, Versatile, Weather")</f>
        <v>Blessing, Versatile, Weather</v>
      </c>
      <c r="F544" s="190" t="str">
        <f>IFERROR(__xludf.DUMMYFUNCTION("""COMPUTED_VALUE"""),"--")</f>
        <v>--</v>
      </c>
      <c r="G544" s="190" t="str">
        <f>IFERROR(__xludf.DUMMYFUNCTION("""COMPUTED_VALUE"""),"--")</f>
        <v>--</v>
      </c>
      <c r="H544" s="191" t="str">
        <f>IFERROR(__xludf.DUMMYFUNCTION("""COMPUTED_VALUE"""),"Blessing - Any user affected by Sunny Day may activate it as a Free Action when using a Fire Type Damaging Attack to grant it the Smite Keyword. If the Attack hits, it hits, it is also increased by one damage step. (Max 1.5x Effectiveness). Sunny Day may "&amp;"be Activated 3 times and then disappears. While this Blessing persists, the Weather becomes Sunny.")</f>
        <v>Blessing - Any user affected by Sunny Day may activate it as a Free Action when using a Fire Type Damaging Attack to grant it the Smite Keyword. If the Attack hits, it hits, it is also increased by one damage step. (Max 1.5x Effectiveness). Sunny Day may be Activated 3 times and then disappears. While this Blessing persists, the Weather becomes Sunny.</v>
      </c>
      <c r="I544" s="191" t="str">
        <f>IFERROR(__xludf.DUMMYFUNCTION("""COMPUTED_VALUE"""),"Same as the normal Effect, but it only has 1 Activation.")</f>
        <v>Same as the normal Effect, but it only has 1 Activation.</v>
      </c>
      <c r="J544" s="190" t="str">
        <f>IFERROR(__xludf.DUMMYFUNCTION("""COMPUTED_VALUE"""),"Tier 2")</f>
        <v>Tier 2</v>
      </c>
      <c r="K544" s="174" t="b">
        <f>IFERROR(__xludf.DUMMYFUNCTION("""COMPUTED_VALUE"""),TRUE)</f>
        <v>1</v>
      </c>
      <c r="L544" s="174"/>
      <c r="M544" s="174"/>
      <c r="N544" s="174"/>
      <c r="O544" s="174"/>
      <c r="P544" s="174"/>
      <c r="Q544" s="174"/>
      <c r="R544" s="174"/>
      <c r="S544" s="174"/>
      <c r="T544" s="174"/>
      <c r="U544" s="174"/>
      <c r="V544" s="174"/>
      <c r="W544" s="174"/>
      <c r="X544" s="174"/>
      <c r="Y544" s="174"/>
      <c r="Z544" s="174"/>
    </row>
    <row r="545">
      <c r="A545" s="190" t="str">
        <f>IFERROR(__xludf.DUMMYFUNCTION("""COMPUTED_VALUE"""),"Temper Flare")</f>
        <v>Temper Flare</v>
      </c>
      <c r="B545" s="190" t="str">
        <f>IFERROR(__xludf.DUMMYFUNCTION("""COMPUTED_VALUE"""),"Fire")</f>
        <v>Fire</v>
      </c>
      <c r="C545" s="190" t="str">
        <f>IFERROR(__xludf.DUMMYFUNCTION("""COMPUTED_VALUE"""),"Physical")</f>
        <v>Physical</v>
      </c>
      <c r="D545" s="190" t="str">
        <f>IFERROR(__xludf.DUMMYFUNCTION("""COMPUTED_VALUE"""),"EOT")</f>
        <v>EOT</v>
      </c>
      <c r="E545" s="190" t="str">
        <f>IFERROR(__xludf.DUMMYFUNCTION("""COMPUTED_VALUE"""),"Melee, 1 Target")</f>
        <v>Melee, 1 Target</v>
      </c>
      <c r="F545" s="190">
        <f>IFERROR(__xludf.DUMMYFUNCTION("""COMPUTED_VALUE"""),4.0)</f>
        <v>4</v>
      </c>
      <c r="G545" s="190">
        <f>IFERROR(__xludf.DUMMYFUNCTION("""COMPUTED_VALUE"""),8.0)</f>
        <v>8</v>
      </c>
      <c r="H545" s="191" t="str">
        <f>IFERROR(__xludf.DUMMYFUNCTION("""COMPUTED_VALUE"""),"If the user's last Attack missed or they are Enraged, Temper Flare is DB 13 instead.")</f>
        <v>If the user's last Attack missed or they are Enraged, Temper Flare is DB 13 instead.</v>
      </c>
      <c r="I545" s="191" t="str">
        <f>IFERROR(__xludf.DUMMYFUNCTION("""COMPUTED_VALUE"""),"--")</f>
        <v>--</v>
      </c>
      <c r="J545" s="190" t="str">
        <f>IFERROR(__xludf.DUMMYFUNCTION("""COMPUTED_VALUE"""),"Tier 2")</f>
        <v>Tier 2</v>
      </c>
      <c r="K545" s="174" t="b">
        <f>IFERROR(__xludf.DUMMYFUNCTION("""COMPUTED_VALUE"""),TRUE)</f>
        <v>1</v>
      </c>
      <c r="L545" s="174"/>
      <c r="M545" s="174"/>
      <c r="N545" s="174"/>
      <c r="O545" s="174"/>
      <c r="P545" s="174"/>
      <c r="Q545" s="174"/>
      <c r="R545" s="174"/>
      <c r="S545" s="174"/>
      <c r="T545" s="174"/>
      <c r="U545" s="174"/>
      <c r="V545" s="174"/>
      <c r="W545" s="174"/>
      <c r="X545" s="174"/>
      <c r="Y545" s="174"/>
      <c r="Z545" s="174"/>
    </row>
    <row r="546">
      <c r="A546" s="190" t="str">
        <f>IFERROR(__xludf.DUMMYFUNCTION("""COMPUTED_VALUE"""),"Torch Song")</f>
        <v>Torch Song</v>
      </c>
      <c r="B546" s="190" t="str">
        <f>IFERROR(__xludf.DUMMYFUNCTION("""COMPUTED_VALUE"""),"Fire")</f>
        <v>Fire</v>
      </c>
      <c r="C546" s="190" t="str">
        <f>IFERROR(__xludf.DUMMYFUNCTION("""COMPUTED_VALUE"""),"Special")</f>
        <v>Special</v>
      </c>
      <c r="D546" s="190" t="str">
        <f>IFERROR(__xludf.DUMMYFUNCTION("""COMPUTED_VALUE"""),"Scene x2")</f>
        <v>Scene x2</v>
      </c>
      <c r="E546" s="190" t="str">
        <f>IFERROR(__xludf.DUMMYFUNCTION("""COMPUTED_VALUE"""),"Close Blast 2, Sonic")</f>
        <v>Close Blast 2, Sonic</v>
      </c>
      <c r="F546" s="190">
        <f>IFERROR(__xludf.DUMMYFUNCTION("""COMPUTED_VALUE"""),6.0)</f>
        <v>6</v>
      </c>
      <c r="G546" s="190">
        <f>IFERROR(__xludf.DUMMYFUNCTION("""COMPUTED_VALUE"""),6.0)</f>
        <v>6</v>
      </c>
      <c r="H546" s="191" t="str">
        <f>IFERROR(__xludf.DUMMYFUNCTION("""COMPUTED_VALUE"""),"The user's Special Attack is raise by +1 CS on a Miss or 16+. Spirit Surge.")</f>
        <v>The user's Special Attack is raise by +1 CS on a Miss or 16+. Spirit Surge.</v>
      </c>
      <c r="I546" s="191" t="str">
        <f>IFERROR(__xludf.DUMMYFUNCTION("""COMPUTED_VALUE"""),"--")</f>
        <v>--</v>
      </c>
      <c r="J546" s="190" t="str">
        <f>IFERROR(__xludf.DUMMYFUNCTION("""COMPUTED_VALUE"""),"Tier 2")</f>
        <v>Tier 2</v>
      </c>
      <c r="K546" s="174" t="b">
        <f>IFERROR(__xludf.DUMMYFUNCTION("""COMPUTED_VALUE"""),TRUE)</f>
        <v>1</v>
      </c>
      <c r="L546" s="174"/>
      <c r="M546" s="174"/>
      <c r="N546" s="174"/>
      <c r="O546" s="174"/>
      <c r="P546" s="174"/>
      <c r="Q546" s="174"/>
      <c r="R546" s="174"/>
      <c r="S546" s="174"/>
      <c r="T546" s="174"/>
      <c r="U546" s="174"/>
      <c r="V546" s="174"/>
      <c r="W546" s="174"/>
      <c r="X546" s="174"/>
      <c r="Y546" s="174"/>
      <c r="Z546" s="174"/>
    </row>
    <row r="547">
      <c r="A547" s="190" t="str">
        <f>IFERROR(__xludf.DUMMYFUNCTION("""COMPUTED_VALUE"""),"Twin Flames")</f>
        <v>Twin Flames</v>
      </c>
      <c r="B547" s="190" t="str">
        <f>IFERROR(__xludf.DUMMYFUNCTION("""COMPUTED_VALUE"""),"Fire")</f>
        <v>Fire</v>
      </c>
      <c r="C547" s="190" t="str">
        <f>IFERROR(__xludf.DUMMYFUNCTION("""COMPUTED_VALUE"""),"Special")</f>
        <v>Special</v>
      </c>
      <c r="D547" s="190" t="str">
        <f>IFERROR(__xludf.DUMMYFUNCTION("""COMPUTED_VALUE"""),"EOT")</f>
        <v>EOT</v>
      </c>
      <c r="E547" s="190" t="str">
        <f>IFERROR(__xludf.DUMMYFUNCTION("""COMPUTED_VALUE"""),"6, 2 Targets")</f>
        <v>6, 2 Targets</v>
      </c>
      <c r="F547" s="190">
        <f>IFERROR(__xludf.DUMMYFUNCTION("""COMPUTED_VALUE"""),6.0)</f>
        <v>6</v>
      </c>
      <c r="G547" s="190">
        <f>IFERROR(__xludf.DUMMYFUNCTION("""COMPUTED_VALUE"""),5.0)</f>
        <v>5</v>
      </c>
      <c r="H547" s="191" t="str">
        <f>IFERROR(__xludf.DUMMYFUNCTION("""COMPUTED_VALUE"""),"Twin Flames Burns all Targets on a roll of 18+")</f>
        <v>Twin Flames Burns all Targets on a roll of 18+</v>
      </c>
      <c r="I547" s="191" t="str">
        <f>IFERROR(__xludf.DUMMYFUNCTION("""COMPUTED_VALUE"""),"--")</f>
        <v>--</v>
      </c>
      <c r="J547" s="190" t="str">
        <f>IFERROR(__xludf.DUMMYFUNCTION("""COMPUTED_VALUE"""),"Tier 1")</f>
        <v>Tier 1</v>
      </c>
      <c r="K547" s="174" t="b">
        <f>IFERROR(__xludf.DUMMYFUNCTION("""COMPUTED_VALUE"""),TRUE)</f>
        <v>1</v>
      </c>
      <c r="L547" s="174"/>
      <c r="M547" s="174"/>
      <c r="N547" s="174"/>
      <c r="O547" s="174"/>
      <c r="P547" s="174"/>
      <c r="Q547" s="174"/>
      <c r="R547" s="174"/>
      <c r="S547" s="174"/>
      <c r="T547" s="174"/>
      <c r="U547" s="174"/>
      <c r="V547" s="174"/>
      <c r="W547" s="174"/>
      <c r="X547" s="174"/>
      <c r="Y547" s="174"/>
      <c r="Z547" s="174"/>
    </row>
    <row r="548">
      <c r="A548" s="190" t="str">
        <f>IFERROR(__xludf.DUMMYFUNCTION("""COMPUTED_VALUE"""),"Wildfire")</f>
        <v>Wildfire</v>
      </c>
      <c r="B548" s="190" t="str">
        <f>IFERROR(__xludf.DUMMYFUNCTION("""COMPUTED_VALUE"""),"Fire")</f>
        <v>Fire</v>
      </c>
      <c r="C548" s="190" t="str">
        <f>IFERROR(__xludf.DUMMYFUNCTION("""COMPUTED_VALUE"""),"Status")</f>
        <v>Status</v>
      </c>
      <c r="D548" s="190" t="str">
        <f>IFERROR(__xludf.DUMMYFUNCTION("""COMPUTED_VALUE"""),"EOT")</f>
        <v>EOT</v>
      </c>
      <c r="E548" s="190" t="str">
        <f>IFERROR(__xludf.DUMMYFUNCTION("""COMPUTED_VALUE"""),"Close Blast 3, Versatile")</f>
        <v>Close Blast 3, Versatile</v>
      </c>
      <c r="F548" s="190">
        <f>IFERROR(__xludf.DUMMYFUNCTION("""COMPUTED_VALUE"""),5.0)</f>
        <v>5</v>
      </c>
      <c r="G548" s="190" t="str">
        <f>IFERROR(__xludf.DUMMYFUNCTION("""COMPUTED_VALUE"""),"--")</f>
        <v>--</v>
      </c>
      <c r="H548" s="191" t="str">
        <f>IFERROR(__xludf.DUMMYFUNCTION("""COMPUTED_VALUE"""),"All Targets become Burned. All Targets that were already Burned lose two Ticks of Hit Points and cannot cure Burn during their next Save Check. Any Fire Typed Allies within the Range of this Attack instead gain 2 Ticks of Temporary Hit Points.")</f>
        <v>All Targets become Burned. All Targets that were already Burned lose two Ticks of Hit Points and cannot cure Burn during their next Save Check. Any Fire Typed Allies within the Range of this Attack instead gain 2 Ticks of Temporary Hit Points.</v>
      </c>
      <c r="I548" s="191" t="str">
        <f>IFERROR(__xludf.DUMMYFUNCTION("""COMPUTED_VALUE"""),"All Targets become Burned. ")</f>
        <v>All Targets become Burned. </v>
      </c>
      <c r="J548" s="190" t="str">
        <f>IFERROR(__xludf.DUMMYFUNCTION("""COMPUTED_VALUE"""),"Tier 1")</f>
        <v>Tier 1</v>
      </c>
      <c r="K548" s="174" t="b">
        <f>IFERROR(__xludf.DUMMYFUNCTION("""COMPUTED_VALUE"""),TRUE)</f>
        <v>1</v>
      </c>
      <c r="L548" s="174"/>
      <c r="M548" s="174"/>
      <c r="N548" s="174"/>
      <c r="O548" s="174"/>
      <c r="P548" s="174"/>
      <c r="Q548" s="174"/>
      <c r="R548" s="174"/>
      <c r="S548" s="174"/>
      <c r="T548" s="174"/>
      <c r="U548" s="174"/>
      <c r="V548" s="174"/>
      <c r="W548" s="174"/>
      <c r="X548" s="174"/>
      <c r="Y548" s="174"/>
      <c r="Z548" s="174"/>
    </row>
    <row r="549">
      <c r="A549" s="190" t="str">
        <f>IFERROR(__xludf.DUMMYFUNCTION("""COMPUTED_VALUE"""),"Will-O-Wisp")</f>
        <v>Will-O-Wisp</v>
      </c>
      <c r="B549" s="190" t="str">
        <f>IFERROR(__xludf.DUMMYFUNCTION("""COMPUTED_VALUE"""),"Fire")</f>
        <v>Fire</v>
      </c>
      <c r="C549" s="190" t="str">
        <f>IFERROR(__xludf.DUMMYFUNCTION("""COMPUTED_VALUE"""),"Status")</f>
        <v>Status</v>
      </c>
      <c r="D549" s="190" t="str">
        <f>IFERROR(__xludf.DUMMYFUNCTION("""COMPUTED_VALUE"""),"EOT")</f>
        <v>EOT</v>
      </c>
      <c r="E549" s="190" t="str">
        <f>IFERROR(__xludf.DUMMYFUNCTION("""COMPUTED_VALUE"""),"6, 1 Target, Versatile")</f>
        <v>6, 1 Target, Versatile</v>
      </c>
      <c r="F549" s="190">
        <f>IFERROR(__xludf.DUMMYFUNCTION("""COMPUTED_VALUE"""),3.0)</f>
        <v>3</v>
      </c>
      <c r="G549" s="190" t="str">
        <f>IFERROR(__xludf.DUMMYFUNCTION("""COMPUTED_VALUE"""),"--")</f>
        <v>--</v>
      </c>
      <c r="H549" s="191" t="str">
        <f>IFERROR(__xludf.DUMMYFUNCTION("""COMPUTED_VALUE"""),"The Target becomes Burned. If the Target is already Burned, they become Cursed or Suppressed instead. ")</f>
        <v>The Target becomes Burned. If the Target is already Burned, they become Cursed or Suppressed instead. </v>
      </c>
      <c r="I549" s="191" t="str">
        <f>IFERROR(__xludf.DUMMYFUNCTION("""COMPUTED_VALUE"""),"The Target becomes Burned. When used this way, the AC becomes 5.")</f>
        <v>The Target becomes Burned. When used this way, the AC becomes 5.</v>
      </c>
      <c r="J549" s="190" t="str">
        <f>IFERROR(__xludf.DUMMYFUNCTION("""COMPUTED_VALUE"""),"Tier 1")</f>
        <v>Tier 1</v>
      </c>
      <c r="K549" s="174" t="b">
        <f>IFERROR(__xludf.DUMMYFUNCTION("""COMPUTED_VALUE"""),TRUE)</f>
        <v>1</v>
      </c>
      <c r="L549" s="174"/>
      <c r="M549" s="174"/>
      <c r="N549" s="174"/>
      <c r="O549" s="174"/>
      <c r="P549" s="174"/>
      <c r="Q549" s="174"/>
      <c r="R549" s="174"/>
      <c r="S549" s="174"/>
      <c r="T549" s="174"/>
      <c r="U549" s="174"/>
      <c r="V549" s="174"/>
      <c r="W549" s="174"/>
      <c r="X549" s="174"/>
      <c r="Y549" s="174"/>
      <c r="Z549" s="174"/>
    </row>
    <row r="550">
      <c r="A550" s="190" t="str">
        <f>IFERROR(__xludf.DUMMYFUNCTION("""COMPUTED_VALUE"""),"Acrobatics")</f>
        <v>Acrobatics</v>
      </c>
      <c r="B550" s="190" t="str">
        <f>IFERROR(__xludf.DUMMYFUNCTION("""COMPUTED_VALUE"""),"Flying")</f>
        <v>Flying</v>
      </c>
      <c r="C550" s="190" t="str">
        <f>IFERROR(__xludf.DUMMYFUNCTION("""COMPUTED_VALUE"""),"Physical")</f>
        <v>Physical</v>
      </c>
      <c r="D550" s="190" t="str">
        <f>IFERROR(__xludf.DUMMYFUNCTION("""COMPUTED_VALUE"""),"EOT")</f>
        <v>EOT</v>
      </c>
      <c r="E550" s="190" t="str">
        <f>IFERROR(__xludf.DUMMYFUNCTION("""COMPUTED_VALUE"""),"Melee, Dash, 1 Target")</f>
        <v>Melee, Dash, 1 Target</v>
      </c>
      <c r="F550" s="190">
        <f>IFERROR(__xludf.DUMMYFUNCTION("""COMPUTED_VALUE"""),3.0)</f>
        <v>3</v>
      </c>
      <c r="G550" s="190">
        <f>IFERROR(__xludf.DUMMYFUNCTION("""COMPUTED_VALUE"""),6.0)</f>
        <v>6</v>
      </c>
      <c r="H550" s="191" t="str">
        <f>IFERROR(__xludf.DUMMYFUNCTION("""COMPUTED_VALUE"""),"At the start of your Turn you may declare the usage of Acrobatics. During this Turn you do not Provoke Attacks of Opportunity. You must then use this Attack while activating the Dash Keyword. if you do so, the Damage Base becomes 10 instead. ")</f>
        <v>At the start of your Turn you may declare the usage of Acrobatics. During this Turn you do not Provoke Attacks of Opportunity. You must then use this Attack while activating the Dash Keyword. if you do so, the Damage Base becomes 10 instead. </v>
      </c>
      <c r="I550" s="191" t="str">
        <f>IFERROR(__xludf.DUMMYFUNCTION("""COMPUTED_VALUE"""),"--")</f>
        <v>--</v>
      </c>
      <c r="J550" s="190" t="str">
        <f>IFERROR(__xludf.DUMMYFUNCTION("""COMPUTED_VALUE"""),"Tier 2")</f>
        <v>Tier 2</v>
      </c>
      <c r="K550" s="174" t="b">
        <f>IFERROR(__xludf.DUMMYFUNCTION("""COMPUTED_VALUE"""),TRUE)</f>
        <v>1</v>
      </c>
      <c r="L550" s="174"/>
      <c r="M550" s="174"/>
      <c r="N550" s="174"/>
      <c r="O550" s="174"/>
      <c r="P550" s="174"/>
      <c r="Q550" s="174"/>
      <c r="R550" s="174"/>
      <c r="S550" s="174"/>
      <c r="T550" s="174"/>
      <c r="U550" s="174"/>
      <c r="V550" s="174"/>
      <c r="W550" s="174"/>
      <c r="X550" s="174"/>
      <c r="Y550" s="174"/>
      <c r="Z550" s="174"/>
    </row>
    <row r="551">
      <c r="A551" s="190" t="str">
        <f>IFERROR(__xludf.DUMMYFUNCTION("""COMPUTED_VALUE"""),"Aerial Ace")</f>
        <v>Aerial Ace</v>
      </c>
      <c r="B551" s="190" t="str">
        <f>IFERROR(__xludf.DUMMYFUNCTION("""COMPUTED_VALUE"""),"Flying")</f>
        <v>Flying</v>
      </c>
      <c r="C551" s="190" t="str">
        <f>IFERROR(__xludf.DUMMYFUNCTION("""COMPUTED_VALUE"""),"Physical")</f>
        <v>Physical</v>
      </c>
      <c r="D551" s="190" t="str">
        <f>IFERROR(__xludf.DUMMYFUNCTION("""COMPUTED_VALUE"""),"EOT")</f>
        <v>EOT</v>
      </c>
      <c r="E551" s="190" t="str">
        <f>IFERROR(__xludf.DUMMYFUNCTION("""COMPUTED_VALUE"""),"Melee, 1 Target, Dash")</f>
        <v>Melee, 1 Target, Dash</v>
      </c>
      <c r="F551" s="190" t="str">
        <f>IFERROR(__xludf.DUMMYFUNCTION("""COMPUTED_VALUE"""),"--")</f>
        <v>--</v>
      </c>
      <c r="G551" s="190">
        <f>IFERROR(__xludf.DUMMYFUNCTION("""COMPUTED_VALUE"""),6.0)</f>
        <v>6</v>
      </c>
      <c r="H551" s="191" t="str">
        <f>IFERROR(__xludf.DUMMYFUNCTION("""COMPUTED_VALUE"""),"If the Dash Keyword is Activated, Aerial Ace is a Critical hit on a roll of 18+. Sureshot.")</f>
        <v>If the Dash Keyword is Activated, Aerial Ace is a Critical hit on a roll of 18+. Sureshot.</v>
      </c>
      <c r="I551" s="191" t="str">
        <f>IFERROR(__xludf.DUMMYFUNCTION("""COMPUTED_VALUE"""),"--")</f>
        <v>--</v>
      </c>
      <c r="J551" s="190" t="str">
        <f>IFERROR(__xludf.DUMMYFUNCTION("""COMPUTED_VALUE"""),"Tier 1")</f>
        <v>Tier 1</v>
      </c>
      <c r="K551" s="174" t="b">
        <f>IFERROR(__xludf.DUMMYFUNCTION("""COMPUTED_VALUE"""),TRUE)</f>
        <v>1</v>
      </c>
      <c r="L551" s="174"/>
      <c r="M551" s="174"/>
      <c r="N551" s="174"/>
      <c r="O551" s="174"/>
      <c r="P551" s="174"/>
      <c r="Q551" s="174"/>
      <c r="R551" s="174"/>
      <c r="S551" s="174"/>
      <c r="T551" s="174"/>
      <c r="U551" s="174"/>
      <c r="V551" s="174"/>
      <c r="W551" s="174"/>
      <c r="X551" s="174"/>
      <c r="Y551" s="174"/>
      <c r="Z551" s="174"/>
    </row>
    <row r="552">
      <c r="A552" s="190" t="str">
        <f>IFERROR(__xludf.DUMMYFUNCTION("""COMPUTED_VALUE"""),"Aerial Combat")</f>
        <v>Aerial Combat</v>
      </c>
      <c r="B552" s="190" t="str">
        <f>IFERROR(__xludf.DUMMYFUNCTION("""COMPUTED_VALUE"""),"Flying")</f>
        <v>Flying</v>
      </c>
      <c r="C552" s="190" t="str">
        <f>IFERROR(__xludf.DUMMYFUNCTION("""COMPUTED_VALUE"""),"Physical")</f>
        <v>Physical</v>
      </c>
      <c r="D552" s="190" t="str">
        <f>IFERROR(__xludf.DUMMYFUNCTION("""COMPUTED_VALUE"""),"Scene x2")</f>
        <v>Scene x2</v>
      </c>
      <c r="E552" s="190" t="str">
        <f>IFERROR(__xludf.DUMMYFUNCTION("""COMPUTED_VALUE"""),"Melee, 1 Target")</f>
        <v>Melee, 1 Target</v>
      </c>
      <c r="F552" s="190">
        <f>IFERROR(__xludf.DUMMYFUNCTION("""COMPUTED_VALUE"""),4.0)</f>
        <v>4</v>
      </c>
      <c r="G552" s="190">
        <f>IFERROR(__xludf.DUMMYFUNCTION("""COMPUTED_VALUE"""),12.0)</f>
        <v>12</v>
      </c>
      <c r="H552" s="191" t="str">
        <f>IFERROR(__xludf.DUMMYFUNCTION("""COMPUTED_VALUE"""),"If the Target has the Flier Capability or the Weather is Windy, they cannot apply Evasion against this Attack. ")</f>
        <v>If the Target has the Flier Capability or the Weather is Windy, they cannot apply Evasion against this Attack. </v>
      </c>
      <c r="I552" s="191" t="str">
        <f>IFERROR(__xludf.DUMMYFUNCTION("""COMPUTED_VALUE"""),"--")</f>
        <v>--</v>
      </c>
      <c r="J552" s="190" t="str">
        <f>IFERROR(__xludf.DUMMYFUNCTION("""COMPUTED_VALUE"""),"Tier 3")</f>
        <v>Tier 3</v>
      </c>
      <c r="K552" s="174" t="b">
        <f>IFERROR(__xludf.DUMMYFUNCTION("""COMPUTED_VALUE"""),TRUE)</f>
        <v>1</v>
      </c>
      <c r="L552" s="174"/>
      <c r="M552" s="174"/>
      <c r="N552" s="174"/>
      <c r="O552" s="174"/>
      <c r="P552" s="174"/>
      <c r="Q552" s="174"/>
      <c r="R552" s="174"/>
      <c r="S552" s="174"/>
      <c r="T552" s="174"/>
      <c r="U552" s="174"/>
      <c r="V552" s="174"/>
      <c r="W552" s="174"/>
      <c r="X552" s="174"/>
      <c r="Y552" s="174"/>
      <c r="Z552" s="174"/>
    </row>
    <row r="553">
      <c r="A553" s="190" t="str">
        <f>IFERROR(__xludf.DUMMYFUNCTION("""COMPUTED_VALUE"""),"Air Cutter")</f>
        <v>Air Cutter</v>
      </c>
      <c r="B553" s="190" t="str">
        <f>IFERROR(__xludf.DUMMYFUNCTION("""COMPUTED_VALUE"""),"Flying")</f>
        <v>Flying</v>
      </c>
      <c r="C553" s="190" t="str">
        <f>IFERROR(__xludf.DUMMYFUNCTION("""COMPUTED_VALUE"""),"Special")</f>
        <v>Special</v>
      </c>
      <c r="D553" s="190" t="str">
        <f>IFERROR(__xludf.DUMMYFUNCTION("""COMPUTED_VALUE"""),"At-Will")</f>
        <v>At-Will</v>
      </c>
      <c r="E553" s="190" t="str">
        <f>IFERROR(__xludf.DUMMYFUNCTION("""COMPUTED_VALUE"""),"Close Blast 2")</f>
        <v>Close Blast 2</v>
      </c>
      <c r="F553" s="190">
        <f>IFERROR(__xludf.DUMMYFUNCTION("""COMPUTED_VALUE"""),5.0)</f>
        <v>5</v>
      </c>
      <c r="G553" s="190">
        <f>IFERROR(__xludf.DUMMYFUNCTION("""COMPUTED_VALUE"""),5.0)</f>
        <v>5</v>
      </c>
      <c r="H553" s="191" t="str">
        <f>IFERROR(__xludf.DUMMYFUNCTION("""COMPUTED_VALUE"""),"Air Cutter is a Critical Hit on a roll of 18+ or 16+ if the Weather is Windy.")</f>
        <v>Air Cutter is a Critical Hit on a roll of 18+ or 16+ if the Weather is Windy.</v>
      </c>
      <c r="I553" s="191" t="str">
        <f>IFERROR(__xludf.DUMMYFUNCTION("""COMPUTED_VALUE"""),"--")</f>
        <v>--</v>
      </c>
      <c r="J553" s="190" t="str">
        <f>IFERROR(__xludf.DUMMYFUNCTION("""COMPUTED_VALUE"""),"Tier 1")</f>
        <v>Tier 1</v>
      </c>
      <c r="K553" s="174" t="b">
        <f>IFERROR(__xludf.DUMMYFUNCTION("""COMPUTED_VALUE"""),TRUE)</f>
        <v>1</v>
      </c>
      <c r="L553" s="174"/>
      <c r="M553" s="174"/>
      <c r="N553" s="174"/>
      <c r="O553" s="174"/>
      <c r="P553" s="174"/>
      <c r="Q553" s="174"/>
      <c r="R553" s="174"/>
      <c r="S553" s="174"/>
      <c r="T553" s="174"/>
      <c r="U553" s="174"/>
      <c r="V553" s="174"/>
      <c r="W553" s="174"/>
      <c r="X553" s="174"/>
      <c r="Y553" s="174"/>
      <c r="Z553" s="174"/>
    </row>
    <row r="554">
      <c r="A554" s="190" t="str">
        <f>IFERROR(__xludf.DUMMYFUNCTION("""COMPUTED_VALUE"""),"Air Slash")</f>
        <v>Air Slash</v>
      </c>
      <c r="B554" s="190" t="str">
        <f>IFERROR(__xludf.DUMMYFUNCTION("""COMPUTED_VALUE"""),"Flying")</f>
        <v>Flying</v>
      </c>
      <c r="C554" s="190" t="str">
        <f>IFERROR(__xludf.DUMMYFUNCTION("""COMPUTED_VALUE"""),"Special")</f>
        <v>Special</v>
      </c>
      <c r="D554" s="190" t="str">
        <f>IFERROR(__xludf.DUMMYFUNCTION("""COMPUTED_VALUE"""),"EOT")</f>
        <v>EOT</v>
      </c>
      <c r="E554" s="190" t="str">
        <f>IFERROR(__xludf.DUMMYFUNCTION("""COMPUTED_VALUE"""),"6, 1 Target")</f>
        <v>6, 1 Target</v>
      </c>
      <c r="F554" s="190">
        <f>IFERROR(__xludf.DUMMYFUNCTION("""COMPUTED_VALUE"""),4.0)</f>
        <v>4</v>
      </c>
      <c r="G554" s="190">
        <f>IFERROR(__xludf.DUMMYFUNCTION("""COMPUTED_VALUE"""),8.0)</f>
        <v>8</v>
      </c>
      <c r="H554" s="191" t="str">
        <f>IFERROR(__xludf.DUMMYFUNCTION("""COMPUTED_VALUE"""),"On a roll of 17+, the Target becomes Wounded. If the Weather is Windy, the Target cannot apply Speed Evasion  against Air Slash.")</f>
        <v>On a roll of 17+, the Target becomes Wounded. If the Weather is Windy, the Target cannot apply Speed Evasion  against Air Slash.</v>
      </c>
      <c r="I554" s="191" t="str">
        <f>IFERROR(__xludf.DUMMYFUNCTION("""COMPUTED_VALUE"""),"--")</f>
        <v>--</v>
      </c>
      <c r="J554" s="190" t="str">
        <f>IFERROR(__xludf.DUMMYFUNCTION("""COMPUTED_VALUE"""),"Tier 2")</f>
        <v>Tier 2</v>
      </c>
      <c r="K554" s="174" t="b">
        <f>IFERROR(__xludf.DUMMYFUNCTION("""COMPUTED_VALUE"""),TRUE)</f>
        <v>1</v>
      </c>
      <c r="L554" s="174"/>
      <c r="M554" s="174"/>
      <c r="N554" s="174"/>
      <c r="O554" s="174"/>
      <c r="P554" s="174"/>
      <c r="Q554" s="174"/>
      <c r="R554" s="174"/>
      <c r="S554" s="174"/>
      <c r="T554" s="174"/>
      <c r="U554" s="174"/>
      <c r="V554" s="174"/>
      <c r="W554" s="174"/>
      <c r="X554" s="174"/>
      <c r="Y554" s="174"/>
      <c r="Z554" s="174"/>
    </row>
    <row r="555">
      <c r="A555" s="190" t="str">
        <f>IFERROR(__xludf.DUMMYFUNCTION("""COMPUTED_VALUE"""),"Beak Blast")</f>
        <v>Beak Blast</v>
      </c>
      <c r="B555" s="190" t="str">
        <f>IFERROR(__xludf.DUMMYFUNCTION("""COMPUTED_VALUE"""),"Flying")</f>
        <v>Flying</v>
      </c>
      <c r="C555" s="190" t="str">
        <f>IFERROR(__xludf.DUMMYFUNCTION("""COMPUTED_VALUE"""),"Physical")</f>
        <v>Physical</v>
      </c>
      <c r="D555" s="190" t="str">
        <f>IFERROR(__xludf.DUMMYFUNCTION("""COMPUTED_VALUE"""),"Scene x2")</f>
        <v>Scene x2</v>
      </c>
      <c r="E555" s="190" t="str">
        <f>IFERROR(__xludf.DUMMYFUNCTION("""COMPUTED_VALUE"""),"Close Blast 2, Full Action, Priority")</f>
        <v>Close Blast 2, Full Action, Priority</v>
      </c>
      <c r="F555" s="190">
        <f>IFERROR(__xludf.DUMMYFUNCTION("""COMPUTED_VALUE"""),6.0)</f>
        <v>6</v>
      </c>
      <c r="G555" s="190">
        <f>IFERROR(__xludf.DUMMYFUNCTION("""COMPUTED_VALUE"""),10.0)</f>
        <v>10</v>
      </c>
      <c r="H555" s="191" t="str">
        <f>IFERROR(__xludf.DUMMYFUNCTION("""COMPUTED_VALUE"""),"Beak Blast must be declared at the start of the round as a Priority Action. If the user is hit by a Melee attack this round, the triggering attacker is Burned. At the end of the round, the user may use a Movement Action, then attacks with Beak Blast.")</f>
        <v>Beak Blast must be declared at the start of the round as a Priority Action. If the user is hit by a Melee attack this round, the triggering attacker is Burned. At the end of the round, the user may use a Movement Action, then attacks with Beak Blast.</v>
      </c>
      <c r="I555" s="191" t="str">
        <f>IFERROR(__xludf.DUMMYFUNCTION("""COMPUTED_VALUE"""),"--")</f>
        <v>--</v>
      </c>
      <c r="J555" s="190" t="str">
        <f>IFERROR(__xludf.DUMMYFUNCTION("""COMPUTED_VALUE"""),"Tier 3")</f>
        <v>Tier 3</v>
      </c>
      <c r="K555" s="174" t="b">
        <f>IFERROR(__xludf.DUMMYFUNCTION("""COMPUTED_VALUE"""),FALSE)</f>
        <v>0</v>
      </c>
      <c r="L555" s="174"/>
      <c r="M555" s="174"/>
      <c r="N555" s="174"/>
      <c r="O555" s="174"/>
      <c r="P555" s="174"/>
      <c r="Q555" s="174"/>
      <c r="R555" s="174"/>
      <c r="S555" s="174"/>
      <c r="T555" s="174"/>
      <c r="U555" s="174"/>
      <c r="V555" s="174"/>
      <c r="W555" s="174"/>
      <c r="X555" s="174"/>
      <c r="Y555" s="174"/>
      <c r="Z555" s="174"/>
    </row>
    <row r="556">
      <c r="A556" s="190" t="str">
        <f>IFERROR(__xludf.DUMMYFUNCTION("""COMPUTED_VALUE"""),"Bounce")</f>
        <v>Bounce</v>
      </c>
      <c r="B556" s="190" t="str">
        <f>IFERROR(__xludf.DUMMYFUNCTION("""COMPUTED_VALUE"""),"Flying")</f>
        <v>Flying</v>
      </c>
      <c r="C556" s="190" t="str">
        <f>IFERROR(__xludf.DUMMYFUNCTION("""COMPUTED_VALUE"""),"Physical")</f>
        <v>Physical</v>
      </c>
      <c r="D556" s="190" t="str">
        <f>IFERROR(__xludf.DUMMYFUNCTION("""COMPUTED_VALUE"""),"EOT")</f>
        <v>EOT</v>
      </c>
      <c r="E556" s="190" t="str">
        <f>IFERROR(__xludf.DUMMYFUNCTION("""COMPUTED_VALUE"""),"Melee, 1 Target")</f>
        <v>Melee, 1 Target</v>
      </c>
      <c r="F556" s="190">
        <f>IFERROR(__xludf.DUMMYFUNCTION("""COMPUTED_VALUE"""),3.0)</f>
        <v>3</v>
      </c>
      <c r="G556" s="190">
        <f>IFERROR(__xludf.DUMMYFUNCTION("""COMPUTED_VALUE"""),8.0)</f>
        <v>8</v>
      </c>
      <c r="H556" s="191" t="str">
        <f>IFERROR(__xludf.DUMMYFUNCTION("""COMPUTED_VALUE"""),"The user may declare the usage of Bounce at the start of their Turn and must use this Attack after their Movement Action is used. When Moving this turn, they use the Jump Capability as a Free Action, going up to 4m in the air and ignoring Attacks of Oppor"&amp;"tunity. ")</f>
        <v>The user may declare the usage of Bounce at the start of their Turn and must use this Attack after their Movement Action is used. When Moving this turn, they use the Jump Capability as a Free Action, going up to 4m in the air and ignoring Attacks of Opportunity. </v>
      </c>
      <c r="I556" s="191" t="str">
        <f>IFERROR(__xludf.DUMMYFUNCTION("""COMPUTED_VALUE"""),"--")</f>
        <v>--</v>
      </c>
      <c r="J556" s="190" t="str">
        <f>IFERROR(__xludf.DUMMYFUNCTION("""COMPUTED_VALUE"""),"Tier 2")</f>
        <v>Tier 2</v>
      </c>
      <c r="K556" s="174" t="b">
        <f>IFERROR(__xludf.DUMMYFUNCTION("""COMPUTED_VALUE"""),TRUE)</f>
        <v>1</v>
      </c>
      <c r="L556" s="174"/>
      <c r="M556" s="174"/>
      <c r="N556" s="174"/>
      <c r="O556" s="174"/>
      <c r="P556" s="174"/>
      <c r="Q556" s="174"/>
      <c r="R556" s="174"/>
      <c r="S556" s="174"/>
      <c r="T556" s="174"/>
      <c r="U556" s="174"/>
      <c r="V556" s="174"/>
      <c r="W556" s="174"/>
      <c r="X556" s="174"/>
      <c r="Y556" s="174"/>
      <c r="Z556" s="174"/>
    </row>
    <row r="557">
      <c r="A557" s="190" t="str">
        <f>IFERROR(__xludf.DUMMYFUNCTION("""COMPUTED_VALUE"""),"Brave Bird")</f>
        <v>Brave Bird</v>
      </c>
      <c r="B557" s="190" t="str">
        <f>IFERROR(__xludf.DUMMYFUNCTION("""COMPUTED_VALUE"""),"Flying")</f>
        <v>Flying</v>
      </c>
      <c r="C557" s="190" t="str">
        <f>IFERROR(__xludf.DUMMYFUNCTION("""COMPUTED_VALUE"""),"Physical")</f>
        <v>Physical</v>
      </c>
      <c r="D557" s="190" t="str">
        <f>IFERROR(__xludf.DUMMYFUNCTION("""COMPUTED_VALUE"""),"Scene x2")</f>
        <v>Scene x2</v>
      </c>
      <c r="E557" s="190" t="str">
        <f>IFERROR(__xludf.DUMMYFUNCTION("""COMPUTED_VALUE"""),"Melee, 1 Target, Dash, Recoil 1/3")</f>
        <v>Melee, 1 Target, Dash, Recoil 1/3</v>
      </c>
      <c r="F557" s="190">
        <f>IFERROR(__xludf.DUMMYFUNCTION("""COMPUTED_VALUE"""),3.0)</f>
        <v>3</v>
      </c>
      <c r="G557" s="190">
        <f>IFERROR(__xludf.DUMMYFUNCTION("""COMPUTED_VALUE"""),12.0)</f>
        <v>12</v>
      </c>
      <c r="H557" s="191" t="str">
        <f>IFERROR(__xludf.DUMMYFUNCTION("""COMPUTED_VALUE"""),"If the Dash Keyword is Activated, Brave Bird has Sureshot against Targets with lower Speed than them. ")</f>
        <v>If the Dash Keyword is Activated, Brave Bird has Sureshot against Targets with lower Speed than them. </v>
      </c>
      <c r="I557" s="191" t="str">
        <f>IFERROR(__xludf.DUMMYFUNCTION("""COMPUTED_VALUE"""),"--")</f>
        <v>--</v>
      </c>
      <c r="J557" s="190" t="str">
        <f>IFERROR(__xludf.DUMMYFUNCTION("""COMPUTED_VALUE"""),"Tier 3")</f>
        <v>Tier 3</v>
      </c>
      <c r="K557" s="174" t="b">
        <f>IFERROR(__xludf.DUMMYFUNCTION("""COMPUTED_VALUE"""),TRUE)</f>
        <v>1</v>
      </c>
      <c r="L557" s="174"/>
      <c r="M557" s="174"/>
      <c r="N557" s="174"/>
      <c r="O557" s="174"/>
      <c r="P557" s="174"/>
      <c r="Q557" s="174"/>
      <c r="R557" s="174"/>
      <c r="S557" s="174"/>
      <c r="T557" s="174"/>
      <c r="U557" s="174"/>
      <c r="V557" s="174"/>
      <c r="W557" s="174"/>
      <c r="X557" s="174"/>
      <c r="Y557" s="174"/>
      <c r="Z557" s="174"/>
    </row>
    <row r="558">
      <c r="A558" s="190" t="str">
        <f>IFERROR(__xludf.DUMMYFUNCTION("""COMPUTED_VALUE"""),"Chatter")</f>
        <v>Chatter</v>
      </c>
      <c r="B558" s="190" t="str">
        <f>IFERROR(__xludf.DUMMYFUNCTION("""COMPUTED_VALUE"""),"Flying")</f>
        <v>Flying</v>
      </c>
      <c r="C558" s="190" t="str">
        <f>IFERROR(__xludf.DUMMYFUNCTION("""COMPUTED_VALUE"""),"Special")</f>
        <v>Special</v>
      </c>
      <c r="D558" s="190" t="str">
        <f>IFERROR(__xludf.DUMMYFUNCTION("""COMPUTED_VALUE"""),"EOT")</f>
        <v>EOT</v>
      </c>
      <c r="E558" s="190" t="str">
        <f>IFERROR(__xludf.DUMMYFUNCTION("""COMPUTED_VALUE"""),"4, 1 Target, Sonic")</f>
        <v>4, 1 Target, Sonic</v>
      </c>
      <c r="F558" s="190">
        <f>IFERROR(__xludf.DUMMYFUNCTION("""COMPUTED_VALUE"""),4.0)</f>
        <v>4</v>
      </c>
      <c r="G558" s="190">
        <f>IFERROR(__xludf.DUMMYFUNCTION("""COMPUTED_VALUE"""),7.0)</f>
        <v>7</v>
      </c>
      <c r="H558" s="191" t="str">
        <f>IFERROR(__xludf.DUMMYFUNCTION("""COMPUTED_VALUE"""),"On a roll of 16+, the Target becomes Enraged. ")</f>
        <v>On a roll of 16+, the Target becomes Enraged. </v>
      </c>
      <c r="I558" s="191" t="str">
        <f>IFERROR(__xludf.DUMMYFUNCTION("""COMPUTED_VALUE"""),"--")</f>
        <v>--</v>
      </c>
      <c r="J558" s="190" t="str">
        <f>IFERROR(__xludf.DUMMYFUNCTION("""COMPUTED_VALUE"""),"Tier 1")</f>
        <v>Tier 1</v>
      </c>
      <c r="K558" s="174" t="b">
        <f>IFERROR(__xludf.DUMMYFUNCTION("""COMPUTED_VALUE"""),TRUE)</f>
        <v>1</v>
      </c>
      <c r="L558" s="174"/>
      <c r="M558" s="174"/>
      <c r="N558" s="174"/>
      <c r="O558" s="174"/>
      <c r="P558" s="174"/>
      <c r="Q558" s="174"/>
      <c r="R558" s="174"/>
      <c r="S558" s="174"/>
      <c r="T558" s="174"/>
      <c r="U558" s="174"/>
      <c r="V558" s="174"/>
      <c r="W558" s="174"/>
      <c r="X558" s="174"/>
      <c r="Y558" s="174"/>
      <c r="Z558" s="174"/>
    </row>
    <row r="559">
      <c r="A559" s="190" t="str">
        <f>IFERROR(__xludf.DUMMYFUNCTION("""COMPUTED_VALUE"""),"Concussive Burst")</f>
        <v>Concussive Burst</v>
      </c>
      <c r="B559" s="190" t="str">
        <f>IFERROR(__xludf.DUMMYFUNCTION("""COMPUTED_VALUE"""),"Flying")</f>
        <v>Flying</v>
      </c>
      <c r="C559" s="190" t="str">
        <f>IFERROR(__xludf.DUMMYFUNCTION("""COMPUTED_VALUE"""),"Special")</f>
        <v>Special</v>
      </c>
      <c r="D559" s="190" t="str">
        <f>IFERROR(__xludf.DUMMYFUNCTION("""COMPUTED_VALUE"""),"EOT")</f>
        <v>EOT</v>
      </c>
      <c r="E559" s="190" t="str">
        <f>IFERROR(__xludf.DUMMYFUNCTION("""COMPUTED_VALUE"""),"4, 1 Target")</f>
        <v>4, 1 Target</v>
      </c>
      <c r="F559" s="190">
        <f>IFERROR(__xludf.DUMMYFUNCTION("""COMPUTED_VALUE"""),4.0)</f>
        <v>4</v>
      </c>
      <c r="G559" s="190">
        <f>IFERROR(__xludf.DUMMYFUNCTION("""COMPUTED_VALUE"""),6.0)</f>
        <v>6</v>
      </c>
      <c r="H559" s="191" t="str">
        <f>IFERROR(__xludf.DUMMYFUNCTION("""COMPUTED_VALUE"""),"Targets hit by this Attack Slide up to X Meters (Away), where X is 6 minus their Weight Class.")</f>
        <v>Targets hit by this Attack Slide up to X Meters (Away), where X is 6 minus their Weight Class.</v>
      </c>
      <c r="I559" s="191" t="str">
        <f>IFERROR(__xludf.DUMMYFUNCTION("""COMPUTED_VALUE"""),"--")</f>
        <v>--</v>
      </c>
      <c r="J559" s="190" t="str">
        <f>IFERROR(__xludf.DUMMYFUNCTION("""COMPUTED_VALUE"""),"Tier 1")</f>
        <v>Tier 1</v>
      </c>
      <c r="K559" s="174" t="b">
        <f>IFERROR(__xludf.DUMMYFUNCTION("""COMPUTED_VALUE"""),TRUE)</f>
        <v>1</v>
      </c>
      <c r="L559" s="174"/>
      <c r="M559" s="174"/>
      <c r="N559" s="174"/>
      <c r="O559" s="174"/>
      <c r="P559" s="174"/>
      <c r="Q559" s="174"/>
      <c r="R559" s="174"/>
      <c r="S559" s="174"/>
      <c r="T559" s="174"/>
      <c r="U559" s="174"/>
      <c r="V559" s="174"/>
      <c r="W559" s="174"/>
      <c r="X559" s="174"/>
      <c r="Y559" s="174"/>
      <c r="Z559" s="174"/>
    </row>
    <row r="560">
      <c r="A560" s="190" t="str">
        <f>IFERROR(__xludf.DUMMYFUNCTION("""COMPUTED_VALUE"""),"Cyclone")</f>
        <v>Cyclone</v>
      </c>
      <c r="B560" s="190" t="str">
        <f>IFERROR(__xludf.DUMMYFUNCTION("""COMPUTED_VALUE"""),"Flying")</f>
        <v>Flying</v>
      </c>
      <c r="C560" s="190" t="str">
        <f>IFERROR(__xludf.DUMMYFUNCTION("""COMPUTED_VALUE"""),"Special")</f>
        <v>Special</v>
      </c>
      <c r="D560" s="190" t="str">
        <f>IFERROR(__xludf.DUMMYFUNCTION("""COMPUTED_VALUE"""),"EOT")</f>
        <v>EOT</v>
      </c>
      <c r="E560" s="190" t="str">
        <f>IFERROR(__xludf.DUMMYFUNCTION("""COMPUTED_VALUE"""),"6, Ranged Blast 3, Full Action")</f>
        <v>6, Ranged Blast 3, Full Action</v>
      </c>
      <c r="F560" s="190">
        <f>IFERROR(__xludf.DUMMYFUNCTION("""COMPUTED_VALUE"""),6.0)</f>
        <v>6</v>
      </c>
      <c r="G560" s="190">
        <f>IFERROR(__xludf.DUMMYFUNCTION("""COMPUTED_VALUE"""),8.0)</f>
        <v>8</v>
      </c>
      <c r="H560" s="191" t="str">
        <f>IFERROR(__xludf.DUMMYFUNCTION("""COMPUTED_VALUE"""),"If the Weather is Windy, this has the Smite Keyword. After this Attack’s Resolution, you may choose to destroy all Hazards within this Range or Slide them up to 3m. Spirit Surge. ")</f>
        <v>If the Weather is Windy, this has the Smite Keyword. After this Attack’s Resolution, you may choose to destroy all Hazards within this Range or Slide them up to 3m. Spirit Surge. </v>
      </c>
      <c r="I560" s="191" t="str">
        <f>IFERROR(__xludf.DUMMYFUNCTION("""COMPUTED_VALUE"""),"--")</f>
        <v>--</v>
      </c>
      <c r="J560" s="190" t="str">
        <f>IFERROR(__xludf.DUMMYFUNCTION("""COMPUTED_VALUE"""),"Tier 2")</f>
        <v>Tier 2</v>
      </c>
      <c r="K560" s="174" t="b">
        <f>IFERROR(__xludf.DUMMYFUNCTION("""COMPUTED_VALUE"""),TRUE)</f>
        <v>1</v>
      </c>
      <c r="L560" s="174"/>
      <c r="M560" s="174"/>
      <c r="N560" s="174"/>
      <c r="O560" s="174"/>
      <c r="P560" s="174"/>
      <c r="Q560" s="174"/>
      <c r="R560" s="174"/>
      <c r="S560" s="174"/>
      <c r="T560" s="174"/>
      <c r="U560" s="174"/>
      <c r="V560" s="174"/>
      <c r="W560" s="174"/>
      <c r="X560" s="174"/>
      <c r="Y560" s="174"/>
      <c r="Z560" s="174"/>
    </row>
    <row r="561">
      <c r="A561" s="190" t="str">
        <f>IFERROR(__xludf.DUMMYFUNCTION("""COMPUTED_VALUE"""),"Defog")</f>
        <v>Defog</v>
      </c>
      <c r="B561" s="190" t="str">
        <f>IFERROR(__xludf.DUMMYFUNCTION("""COMPUTED_VALUE"""),"Flying")</f>
        <v>Flying</v>
      </c>
      <c r="C561" s="190" t="str">
        <f>IFERROR(__xludf.DUMMYFUNCTION("""COMPUTED_VALUE"""),"Status")</f>
        <v>Status</v>
      </c>
      <c r="D561" s="190" t="str">
        <f>IFERROR(__xludf.DUMMYFUNCTION("""COMPUTED_VALUE"""),"Scene x2")</f>
        <v>Scene x2</v>
      </c>
      <c r="E561" s="190" t="str">
        <f>IFERROR(__xludf.DUMMYFUNCTION("""COMPUTED_VALUE"""),"Field, Versatile")</f>
        <v>Field, Versatile</v>
      </c>
      <c r="F561" s="190" t="str">
        <f>IFERROR(__xludf.DUMMYFUNCTION("""COMPUTED_VALUE"""),"--")</f>
        <v>--</v>
      </c>
      <c r="G561" s="190" t="str">
        <f>IFERROR(__xludf.DUMMYFUNCTION("""COMPUTED_VALUE"""),"--")</f>
        <v>--</v>
      </c>
      <c r="H561" s="191" t="str">
        <f>IFERROR(__xludf.DUMMYFUNCTION("""COMPUTED_VALUE"""),"You may Destroy/Remove any amount of the following:
» Weather on the Field
» Blessings on the Field
» Coats on the Field
» Hazards on the Field ")</f>
        <v>You may Destroy/Remove any amount of the following:
» Weather on the Field
» Blessings on the Field
» Coats on the Field
» Hazards on the Field </v>
      </c>
      <c r="I561" s="191" t="str">
        <f>IFERROR(__xludf.DUMMYFUNCTION("""COMPUTED_VALUE"""),"When used this way, the range becomes Close Blast 2 and has an AC of 4. Destroy any Hazards within the Range of this Attack and any Coats on Combatants hit by this Attack.")</f>
        <v>When used this way, the range becomes Close Blast 2 and has an AC of 4. Destroy any Hazards within the Range of this Attack and any Coats on Combatants hit by this Attack.</v>
      </c>
      <c r="J561" s="190" t="str">
        <f>IFERROR(__xludf.DUMMYFUNCTION("""COMPUTED_VALUE"""),"Tier 2")</f>
        <v>Tier 2</v>
      </c>
      <c r="K561" s="174" t="b">
        <f>IFERROR(__xludf.DUMMYFUNCTION("""COMPUTED_VALUE"""),TRUE)</f>
        <v>1</v>
      </c>
      <c r="L561" s="174"/>
      <c r="M561" s="174"/>
      <c r="N561" s="174"/>
      <c r="O561" s="174"/>
      <c r="P561" s="174"/>
      <c r="Q561" s="174"/>
      <c r="R561" s="174"/>
      <c r="S561" s="174"/>
      <c r="T561" s="174"/>
      <c r="U561" s="174"/>
      <c r="V561" s="174"/>
      <c r="W561" s="174"/>
      <c r="X561" s="174"/>
      <c r="Y561" s="174"/>
      <c r="Z561" s="174"/>
    </row>
    <row r="562">
      <c r="A562" s="190" t="str">
        <f>IFERROR(__xludf.DUMMYFUNCTION("""COMPUTED_VALUE"""),"Drill Peck")</f>
        <v>Drill Peck</v>
      </c>
      <c r="B562" s="190" t="str">
        <f>IFERROR(__xludf.DUMMYFUNCTION("""COMPUTED_VALUE"""),"Flying")</f>
        <v>Flying</v>
      </c>
      <c r="C562" s="190" t="str">
        <f>IFERROR(__xludf.DUMMYFUNCTION("""COMPUTED_VALUE"""),"Physical")</f>
        <v>Physical</v>
      </c>
      <c r="D562" s="190" t="str">
        <f>IFERROR(__xludf.DUMMYFUNCTION("""COMPUTED_VALUE"""),"At-Will")</f>
        <v>At-Will</v>
      </c>
      <c r="E562" s="190" t="str">
        <f>IFERROR(__xludf.DUMMYFUNCTION("""COMPUTED_VALUE"""),"Melee, 1 Target")</f>
        <v>Melee, 1 Target</v>
      </c>
      <c r="F562" s="190">
        <f>IFERROR(__xludf.DUMMYFUNCTION("""COMPUTED_VALUE"""),3.0)</f>
        <v>3</v>
      </c>
      <c r="G562" s="190">
        <f>IFERROR(__xludf.DUMMYFUNCTION("""COMPUTED_VALUE"""),8.0)</f>
        <v>8</v>
      </c>
      <c r="H562" s="191" t="str">
        <f>IFERROR(__xludf.DUMMYFUNCTION("""COMPUTED_VALUE"""),"On a roll of 17+, the Target becomes Wounded.")</f>
        <v>On a roll of 17+, the Target becomes Wounded.</v>
      </c>
      <c r="I562" s="191" t="str">
        <f>IFERROR(__xludf.DUMMYFUNCTION("""COMPUTED_VALUE"""),"--")</f>
        <v>--</v>
      </c>
      <c r="J562" s="190" t="str">
        <f>IFERROR(__xludf.DUMMYFUNCTION("""COMPUTED_VALUE"""),"Tier 2")</f>
        <v>Tier 2</v>
      </c>
      <c r="K562" s="174" t="b">
        <f>IFERROR(__xludf.DUMMYFUNCTION("""COMPUTED_VALUE"""),TRUE)</f>
        <v>1</v>
      </c>
      <c r="L562" s="174"/>
      <c r="M562" s="174"/>
      <c r="N562" s="174"/>
      <c r="O562" s="174"/>
      <c r="P562" s="174"/>
      <c r="Q562" s="174"/>
      <c r="R562" s="174"/>
      <c r="S562" s="174"/>
      <c r="T562" s="174"/>
      <c r="U562" s="174"/>
      <c r="V562" s="174"/>
      <c r="W562" s="174"/>
      <c r="X562" s="174"/>
      <c r="Y562" s="174"/>
      <c r="Z562" s="174"/>
    </row>
    <row r="563">
      <c r="A563" s="190" t="str">
        <f>IFERROR(__xludf.DUMMYFUNCTION("""COMPUTED_VALUE"""),"Dual Wingbeat")</f>
        <v>Dual Wingbeat</v>
      </c>
      <c r="B563" s="190" t="str">
        <f>IFERROR(__xludf.DUMMYFUNCTION("""COMPUTED_VALUE"""),"Flying")</f>
        <v>Flying</v>
      </c>
      <c r="C563" s="190" t="str">
        <f>IFERROR(__xludf.DUMMYFUNCTION("""COMPUTED_VALUE"""),"Physical")</f>
        <v>Physical</v>
      </c>
      <c r="D563" s="190" t="str">
        <f>IFERROR(__xludf.DUMMYFUNCTION("""COMPUTED_VALUE"""),"EOT")</f>
        <v>EOT</v>
      </c>
      <c r="E563" s="190" t="str">
        <f>IFERROR(__xludf.DUMMYFUNCTION("""COMPUTED_VALUE"""),"4, 1 Target")</f>
        <v>4, 1 Target</v>
      </c>
      <c r="F563" s="190">
        <f>IFERROR(__xludf.DUMMYFUNCTION("""COMPUTED_VALUE"""),4.0)</f>
        <v>4</v>
      </c>
      <c r="G563" s="190">
        <f>IFERROR(__xludf.DUMMYFUNCTION("""COMPUTED_VALUE"""),4.0)</f>
        <v>4</v>
      </c>
      <c r="H563" s="191" t="str">
        <f>IFERROR(__xludf.DUMMYFUNCTION("""COMPUTED_VALUE"""),"Double Strike.")</f>
        <v>Double Strike.</v>
      </c>
      <c r="I563" s="191" t="str">
        <f>IFERROR(__xludf.DUMMYFUNCTION("""COMPUTED_VALUE"""),"--")</f>
        <v>--</v>
      </c>
      <c r="J563" s="190" t="str">
        <f>IFERROR(__xludf.DUMMYFUNCTION("""COMPUTED_VALUE"""),"Tier 1")</f>
        <v>Tier 1</v>
      </c>
      <c r="K563" s="174" t="b">
        <f>IFERROR(__xludf.DUMMYFUNCTION("""COMPUTED_VALUE"""),TRUE)</f>
        <v>1</v>
      </c>
      <c r="L563" s="174"/>
      <c r="M563" s="174"/>
      <c r="N563" s="174"/>
      <c r="O563" s="174"/>
      <c r="P563" s="174"/>
      <c r="Q563" s="174"/>
      <c r="R563" s="174"/>
      <c r="S563" s="174"/>
      <c r="T563" s="174"/>
      <c r="U563" s="174"/>
      <c r="V563" s="174"/>
      <c r="W563" s="174"/>
      <c r="X563" s="174"/>
      <c r="Y563" s="174"/>
      <c r="Z563" s="174"/>
    </row>
    <row r="564">
      <c r="A564" s="190" t="str">
        <f>IFERROR(__xludf.DUMMYFUNCTION("""COMPUTED_VALUE"""),"Feather Dance")</f>
        <v>Feather Dance</v>
      </c>
      <c r="B564" s="190" t="str">
        <f>IFERROR(__xludf.DUMMYFUNCTION("""COMPUTED_VALUE"""),"Flying")</f>
        <v>Flying</v>
      </c>
      <c r="C564" s="190" t="str">
        <f>IFERROR(__xludf.DUMMYFUNCTION("""COMPUTED_VALUE"""),"Status")</f>
        <v>Status</v>
      </c>
      <c r="D564" s="190" t="str">
        <f>IFERROR(__xludf.DUMMYFUNCTION("""COMPUTED_VALUE"""),"EOT")</f>
        <v>EOT</v>
      </c>
      <c r="E564" s="190" t="str">
        <f>IFERROR(__xludf.DUMMYFUNCTION("""COMPUTED_VALUE"""),"Burst 1, Versatile")</f>
        <v>Burst 1, Versatile</v>
      </c>
      <c r="F564" s="190">
        <f>IFERROR(__xludf.DUMMYFUNCTION("""COMPUTED_VALUE"""),4.0)</f>
        <v>4</v>
      </c>
      <c r="G564" s="190" t="str">
        <f>IFERROR(__xludf.DUMMYFUNCTION("""COMPUTED_VALUE"""),"--")</f>
        <v>--</v>
      </c>
      <c r="H564" s="191" t="str">
        <f>IFERROR(__xludf.DUMMYFUNCTION("""COMPUTED_VALUE"""),"All Enemies have their Attack lowered by -3 CS and have all Coats removed. You may choose to remove any Coats affecting Allies within this range as well. ")</f>
        <v>All Enemies have their Attack lowered by -3 CS and have all Coats removed. You may choose to remove any Coats affecting Allies within this range as well. </v>
      </c>
      <c r="I564" s="191" t="str">
        <f>IFERROR(__xludf.DUMMYFUNCTION("""COMPUTED_VALUE"""),"Remove all Coats from the Target. When used this way, the Range becomes Melee, 1 Target; or Self. ")</f>
        <v>Remove all Coats from the Target. When used this way, the Range becomes Melee, 1 Target; or Self. </v>
      </c>
      <c r="J564" s="190" t="str">
        <f>IFERROR(__xludf.DUMMYFUNCTION("""COMPUTED_VALUE"""),"Tier 1")</f>
        <v>Tier 1</v>
      </c>
      <c r="K564" s="174" t="b">
        <f>IFERROR(__xludf.DUMMYFUNCTION("""COMPUTED_VALUE"""),TRUE)</f>
        <v>1</v>
      </c>
      <c r="L564" s="174"/>
      <c r="M564" s="174"/>
      <c r="N564" s="174"/>
      <c r="O564" s="174"/>
      <c r="P564" s="174"/>
      <c r="Q564" s="174"/>
      <c r="R564" s="174"/>
      <c r="S564" s="174"/>
      <c r="T564" s="174"/>
      <c r="U564" s="174"/>
      <c r="V564" s="174"/>
      <c r="W564" s="174"/>
      <c r="X564" s="174"/>
      <c r="Y564" s="174"/>
      <c r="Z564" s="174"/>
    </row>
    <row r="565">
      <c r="A565" s="190" t="str">
        <f>IFERROR(__xludf.DUMMYFUNCTION("""COMPUTED_VALUE"""),"Feather Storm")</f>
        <v>Feather Storm</v>
      </c>
      <c r="B565" s="190" t="str">
        <f>IFERROR(__xludf.DUMMYFUNCTION("""COMPUTED_VALUE"""),"Flying")</f>
        <v>Flying</v>
      </c>
      <c r="C565" s="190" t="str">
        <f>IFERROR(__xludf.DUMMYFUNCTION("""COMPUTED_VALUE"""),"Special")</f>
        <v>Special</v>
      </c>
      <c r="D565" s="190" t="str">
        <f>IFERROR(__xludf.DUMMYFUNCTION("""COMPUTED_VALUE"""),"Scene x2")</f>
        <v>Scene x2</v>
      </c>
      <c r="E565" s="190" t="str">
        <f>IFERROR(__xludf.DUMMYFUNCTION("""COMPUTED_VALUE"""),"8, Ranged Blast 2, Full Action")</f>
        <v>8, Ranged Blast 2, Full Action</v>
      </c>
      <c r="F565" s="190">
        <f>IFERROR(__xludf.DUMMYFUNCTION("""COMPUTED_VALUE"""),5.0)</f>
        <v>5</v>
      </c>
      <c r="G565" s="190">
        <f>IFERROR(__xludf.DUMMYFUNCTION("""COMPUTED_VALUE"""),10.0)</f>
        <v>10</v>
      </c>
      <c r="H565" s="191" t="str">
        <f>IFERROR(__xludf.DUMMYFUNCTION("""COMPUTED_VALUE"""),"If the Weather is Windy, you may also use this Attack as if it’s Range was 6, 3 Targets, Full Action.")</f>
        <v>If the Weather is Windy, you may also use this Attack as if it’s Range was 6, 3 Targets, Full Action.</v>
      </c>
      <c r="I565" s="191" t="str">
        <f>IFERROR(__xludf.DUMMYFUNCTION("""COMPUTED_VALUE"""),"--")</f>
        <v>--</v>
      </c>
      <c r="J565" s="190" t="str">
        <f>IFERROR(__xludf.DUMMYFUNCTION("""COMPUTED_VALUE"""),"Tier 3")</f>
        <v>Tier 3</v>
      </c>
      <c r="K565" s="174" t="b">
        <f>IFERROR(__xludf.DUMMYFUNCTION("""COMPUTED_VALUE"""),TRUE)</f>
        <v>1</v>
      </c>
      <c r="L565" s="174"/>
      <c r="M565" s="174"/>
      <c r="N565" s="174"/>
      <c r="O565" s="174"/>
      <c r="P565" s="174"/>
      <c r="Q565" s="174"/>
      <c r="R565" s="174"/>
      <c r="S565" s="174"/>
      <c r="T565" s="174"/>
      <c r="U565" s="174"/>
      <c r="V565" s="174"/>
      <c r="W565" s="174"/>
      <c r="X565" s="174"/>
      <c r="Y565" s="174"/>
      <c r="Z565" s="174"/>
    </row>
    <row r="566">
      <c r="A566" s="190" t="str">
        <f>IFERROR(__xludf.DUMMYFUNCTION("""COMPUTED_VALUE"""),"Gale Force")</f>
        <v>Gale Force</v>
      </c>
      <c r="B566" s="190" t="str">
        <f>IFERROR(__xludf.DUMMYFUNCTION("""COMPUTED_VALUE"""),"Flying")</f>
        <v>Flying</v>
      </c>
      <c r="C566" s="190" t="str">
        <f>IFERROR(__xludf.DUMMYFUNCTION("""COMPUTED_VALUE"""),"Special")</f>
        <v>Special</v>
      </c>
      <c r="D566" s="190" t="str">
        <f>IFERROR(__xludf.DUMMYFUNCTION("""COMPUTED_VALUE"""),"EOT")</f>
        <v>EOT</v>
      </c>
      <c r="E566" s="190" t="str">
        <f>IFERROR(__xludf.DUMMYFUNCTION("""COMPUTED_VALUE"""),"6, 1 Target")</f>
        <v>6, 1 Target</v>
      </c>
      <c r="F566" s="190">
        <f>IFERROR(__xludf.DUMMYFUNCTION("""COMPUTED_VALUE"""),3.0)</f>
        <v>3</v>
      </c>
      <c r="G566" s="190">
        <f>IFERROR(__xludf.DUMMYFUNCTION("""COMPUTED_VALUE"""),6.0)</f>
        <v>6</v>
      </c>
      <c r="H566" s="191" t="str">
        <f>IFERROR(__xludf.DUMMYFUNCTION("""COMPUTED_VALUE"""),"The Target is Tripped on a roll of 16+. If the Weather is Windy, this Effect Range automatically Triggers if they fail a CR 4 Acrobatics Check. Slide 4 (Away).")</f>
        <v>The Target is Tripped on a roll of 16+. If the Weather is Windy, this Effect Range automatically Triggers if they fail a CR 4 Acrobatics Check. Slide 4 (Away).</v>
      </c>
      <c r="I566" s="191" t="str">
        <f>IFERROR(__xludf.DUMMYFUNCTION("""COMPUTED_VALUE"""),"--")</f>
        <v>--</v>
      </c>
      <c r="J566" s="190" t="str">
        <f>IFERROR(__xludf.DUMMYFUNCTION("""COMPUTED_VALUE"""),"Tier 1")</f>
        <v>Tier 1</v>
      </c>
      <c r="K566" s="174" t="b">
        <f>IFERROR(__xludf.DUMMYFUNCTION("""COMPUTED_VALUE"""),TRUE)</f>
        <v>1</v>
      </c>
      <c r="L566" s="174"/>
      <c r="M566" s="174"/>
      <c r="N566" s="174"/>
      <c r="O566" s="174"/>
      <c r="P566" s="174"/>
      <c r="Q566" s="174"/>
      <c r="R566" s="174"/>
      <c r="S566" s="174"/>
      <c r="T566" s="174"/>
      <c r="U566" s="174"/>
      <c r="V566" s="174"/>
      <c r="W566" s="174"/>
      <c r="X566" s="174"/>
      <c r="Y566" s="174"/>
      <c r="Z566" s="174"/>
    </row>
    <row r="567">
      <c r="A567" s="190" t="str">
        <f>IFERROR(__xludf.DUMMYFUNCTION("""COMPUTED_VALUE"""),"Gust")</f>
        <v>Gust</v>
      </c>
      <c r="B567" s="190" t="str">
        <f>IFERROR(__xludf.DUMMYFUNCTION("""COMPUTED_VALUE"""),"Flying")</f>
        <v>Flying</v>
      </c>
      <c r="C567" s="190" t="str">
        <f>IFERROR(__xludf.DUMMYFUNCTION("""COMPUTED_VALUE"""),"Special")</f>
        <v>Special</v>
      </c>
      <c r="D567" s="190" t="str">
        <f>IFERROR(__xludf.DUMMYFUNCTION("""COMPUTED_VALUE"""),"At-Will")</f>
        <v>At-Will</v>
      </c>
      <c r="E567" s="190" t="str">
        <f>IFERROR(__xludf.DUMMYFUNCTION("""COMPUTED_VALUE"""),"4, 1 Target")</f>
        <v>4, 1 Target</v>
      </c>
      <c r="F567" s="190">
        <f>IFERROR(__xludf.DUMMYFUNCTION("""COMPUTED_VALUE"""),3.0)</f>
        <v>3</v>
      </c>
      <c r="G567" s="190">
        <f>IFERROR(__xludf.DUMMYFUNCTION("""COMPUTED_VALUE"""),4.0)</f>
        <v>4</v>
      </c>
      <c r="H567" s="191" t="str">
        <f>IFERROR(__xludf.DUMMYFUNCTION("""COMPUTED_VALUE"""),"If the Weather is Windy, this Attack may be used as if it were 4, Ranged Blast 2.")</f>
        <v>If the Weather is Windy, this Attack may be used as if it were 4, Ranged Blast 2.</v>
      </c>
      <c r="I567" s="191" t="str">
        <f>IFERROR(__xludf.DUMMYFUNCTION("""COMPUTED_VALUE"""),"--")</f>
        <v>--</v>
      </c>
      <c r="J567" s="190" t="str">
        <f>IFERROR(__xludf.DUMMYFUNCTION("""COMPUTED_VALUE"""),"Tier 1")</f>
        <v>Tier 1</v>
      </c>
      <c r="K567" s="174" t="b">
        <f>IFERROR(__xludf.DUMMYFUNCTION("""COMPUTED_VALUE"""),TRUE)</f>
        <v>1</v>
      </c>
      <c r="L567" s="174"/>
      <c r="M567" s="174"/>
      <c r="N567" s="174"/>
      <c r="O567" s="174"/>
      <c r="P567" s="174"/>
      <c r="Q567" s="174"/>
      <c r="R567" s="174"/>
      <c r="S567" s="174"/>
      <c r="T567" s="174"/>
      <c r="U567" s="174"/>
      <c r="V567" s="174"/>
      <c r="W567" s="174"/>
      <c r="X567" s="174"/>
      <c r="Y567" s="174"/>
      <c r="Z567" s="174"/>
    </row>
    <row r="568">
      <c r="A568" s="190" t="str">
        <f>IFERROR(__xludf.DUMMYFUNCTION("""COMPUTED_VALUE"""),"Heavy Winds")</f>
        <v>Heavy Winds</v>
      </c>
      <c r="B568" s="190" t="str">
        <f>IFERROR(__xludf.DUMMYFUNCTION("""COMPUTED_VALUE"""),"Flying")</f>
        <v>Flying</v>
      </c>
      <c r="C568" s="190" t="str">
        <f>IFERROR(__xludf.DUMMYFUNCTION("""COMPUTED_VALUE"""),"Status")</f>
        <v>Status</v>
      </c>
      <c r="D568" s="190" t="str">
        <f>IFERROR(__xludf.DUMMYFUNCTION("""COMPUTED_VALUE"""),"Scene x2")</f>
        <v>Scene x2</v>
      </c>
      <c r="E568" s="190" t="str">
        <f>IFERROR(__xludf.DUMMYFUNCTION("""COMPUTED_VALUE"""),"Blessing, Versatile, Weather")</f>
        <v>Blessing, Versatile, Weather</v>
      </c>
      <c r="F568" s="190" t="str">
        <f>IFERROR(__xludf.DUMMYFUNCTION("""COMPUTED_VALUE"""),"--")</f>
        <v>--</v>
      </c>
      <c r="G568" s="190" t="str">
        <f>IFERROR(__xludf.DUMMYFUNCTION("""COMPUTED_VALUE"""),"--")</f>
        <v>--</v>
      </c>
      <c r="H568" s="191" t="str">
        <f>IFERROR(__xludf.DUMMYFUNCTION("""COMPUTED_VALUE"""),"Blessing - Any user affected by Heavy Winds may activate it as a Free Action when using a Flying Type Damaging Attack to grant it the Smite Keyword. If the Attack hits, it hits, it is also increased by one damage step. (Max 1.5x Effectiveness). Heavy Wind"&amp;"s may be Activated 3 times and then disappears. While this Blessing persists, the Weather becomes Windy.")</f>
        <v>Blessing - Any user affected by Heavy Winds may activate it as a Free Action when using a Flying Type Damaging Attack to grant it the Smite Keyword. If the Attack hits, it hits, it is also increased by one damage step. (Max 1.5x Effectiveness). Heavy Winds may be Activated 3 times and then disappears. While this Blessing persists, the Weather becomes Windy.</v>
      </c>
      <c r="I568" s="191" t="str">
        <f>IFERROR(__xludf.DUMMYFUNCTION("""COMPUTED_VALUE"""),"Same as the normal Effect, but it only has 1 Activation.")</f>
        <v>Same as the normal Effect, but it only has 1 Activation.</v>
      </c>
      <c r="J568" s="190" t="str">
        <f>IFERROR(__xludf.DUMMYFUNCTION("""COMPUTED_VALUE"""),"Tier 2")</f>
        <v>Tier 2</v>
      </c>
      <c r="K568" s="174" t="b">
        <f>IFERROR(__xludf.DUMMYFUNCTION("""COMPUTED_VALUE"""),TRUE)</f>
        <v>1</v>
      </c>
      <c r="L568" s="174"/>
      <c r="M568" s="174"/>
      <c r="N568" s="174"/>
      <c r="O568" s="174"/>
      <c r="P568" s="174"/>
      <c r="Q568" s="174"/>
      <c r="R568" s="174"/>
      <c r="S568" s="174"/>
      <c r="T568" s="174"/>
      <c r="U568" s="174"/>
      <c r="V568" s="174"/>
      <c r="W568" s="174"/>
      <c r="X568" s="174"/>
      <c r="Y568" s="174"/>
      <c r="Z568" s="174"/>
    </row>
    <row r="569">
      <c r="A569" s="190" t="str">
        <f>IFERROR(__xludf.DUMMYFUNCTION("""COMPUTED_VALUE"""),"Hurricane")</f>
        <v>Hurricane</v>
      </c>
      <c r="B569" s="190" t="str">
        <f>IFERROR(__xludf.DUMMYFUNCTION("""COMPUTED_VALUE"""),"Flying")</f>
        <v>Flying</v>
      </c>
      <c r="C569" s="190" t="str">
        <f>IFERROR(__xludf.DUMMYFUNCTION("""COMPUTED_VALUE"""),"Special")</f>
        <v>Special</v>
      </c>
      <c r="D569" s="190" t="str">
        <f>IFERROR(__xludf.DUMMYFUNCTION("""COMPUTED_VALUE"""),"Scene x2")</f>
        <v>Scene x2</v>
      </c>
      <c r="E569" s="190" t="str">
        <f>IFERROR(__xludf.DUMMYFUNCTION("""COMPUTED_VALUE"""),"6, 1 Target")</f>
        <v>6, 1 Target</v>
      </c>
      <c r="F569" s="190">
        <f>IFERROR(__xludf.DUMMYFUNCTION("""COMPUTED_VALUE"""),5.0)</f>
        <v>5</v>
      </c>
      <c r="G569" s="190">
        <f>IFERROR(__xludf.DUMMYFUNCTION("""COMPUTED_VALUE"""),12.0)</f>
        <v>12</v>
      </c>
      <c r="H569" s="191" t="str">
        <f>IFERROR(__xludf.DUMMYFUNCTION("""COMPUTED_VALUE"""),"After this Attack’s Resolution, You may Slide any number of Targets or Hazards within this Range or Adjacent to Targets up to 3m. If the Weather is Windy, the Range may be used as if it were 6, Ranged Blast 3. Spirit Surge. Smite")</f>
        <v>After this Attack’s Resolution, You may Slide any number of Targets or Hazards within this Range or Adjacent to Targets up to 3m. If the Weather is Windy, the Range may be used as if it were 6, Ranged Blast 3. Spirit Surge. Smite</v>
      </c>
      <c r="I569" s="191" t="str">
        <f>IFERROR(__xludf.DUMMYFUNCTION("""COMPUTED_VALUE"""),"--")</f>
        <v>--</v>
      </c>
      <c r="J569" s="190" t="str">
        <f>IFERROR(__xludf.DUMMYFUNCTION("""COMPUTED_VALUE"""),"Tier 3")</f>
        <v>Tier 3</v>
      </c>
      <c r="K569" s="174" t="b">
        <f>IFERROR(__xludf.DUMMYFUNCTION("""COMPUTED_VALUE"""),TRUE)</f>
        <v>1</v>
      </c>
      <c r="L569" s="174"/>
      <c r="M569" s="174"/>
      <c r="N569" s="174"/>
      <c r="O569" s="174"/>
      <c r="P569" s="174"/>
      <c r="Q569" s="174"/>
      <c r="R569" s="174"/>
      <c r="S569" s="174"/>
      <c r="T569" s="174"/>
      <c r="U569" s="174"/>
      <c r="V569" s="174"/>
      <c r="W569" s="174"/>
      <c r="X569" s="174"/>
      <c r="Y569" s="174"/>
      <c r="Z569" s="174"/>
    </row>
    <row r="570">
      <c r="A570" s="190" t="str">
        <f>IFERROR(__xludf.DUMMYFUNCTION("""COMPUTED_VALUE"""),"Mach Speed")</f>
        <v>Mach Speed</v>
      </c>
      <c r="B570" s="190" t="str">
        <f>IFERROR(__xludf.DUMMYFUNCTION("""COMPUTED_VALUE"""),"Flying")</f>
        <v>Flying</v>
      </c>
      <c r="C570" s="190" t="str">
        <f>IFERROR(__xludf.DUMMYFUNCTION("""COMPUTED_VALUE"""),"Physical")</f>
        <v>Physical</v>
      </c>
      <c r="D570" s="190" t="str">
        <f>IFERROR(__xludf.DUMMYFUNCTION("""COMPUTED_VALUE"""),"EOT")</f>
        <v>EOT</v>
      </c>
      <c r="E570" s="190" t="str">
        <f>IFERROR(__xludf.DUMMYFUNCTION("""COMPUTED_VALUE"""),"Melee, 1 Target, Dash, Priority")</f>
        <v>Melee, 1 Target, Dash, Priority</v>
      </c>
      <c r="F570" s="190">
        <f>IFERROR(__xludf.DUMMYFUNCTION("""COMPUTED_VALUE"""),3.0)</f>
        <v>3</v>
      </c>
      <c r="G570" s="190">
        <f>IFERROR(__xludf.DUMMYFUNCTION("""COMPUTED_VALUE"""),8.0)</f>
        <v>8</v>
      </c>
      <c r="H570" s="191" t="str">
        <f>IFERROR(__xludf.DUMMYFUNCTION("""COMPUTED_VALUE"""),"If the Weather is Windy or the Dash Keyword is Activated, the Target cannot apply Speed Evasion against this Attack.")</f>
        <v>If the Weather is Windy or the Dash Keyword is Activated, the Target cannot apply Speed Evasion against this Attack.</v>
      </c>
      <c r="I570" s="191" t="str">
        <f>IFERROR(__xludf.DUMMYFUNCTION("""COMPUTED_VALUE"""),"--")</f>
        <v>--</v>
      </c>
      <c r="J570" s="190" t="str">
        <f>IFERROR(__xludf.DUMMYFUNCTION("""COMPUTED_VALUE"""),"Tier 2")</f>
        <v>Tier 2</v>
      </c>
      <c r="K570" s="174" t="b">
        <f>IFERROR(__xludf.DUMMYFUNCTION("""COMPUTED_VALUE"""),TRUE)</f>
        <v>1</v>
      </c>
      <c r="L570" s="174"/>
      <c r="M570" s="174"/>
      <c r="N570" s="174"/>
      <c r="O570" s="174"/>
      <c r="P570" s="174"/>
      <c r="Q570" s="174"/>
      <c r="R570" s="174"/>
      <c r="S570" s="174"/>
      <c r="T570" s="174"/>
      <c r="U570" s="174"/>
      <c r="V570" s="174"/>
      <c r="W570" s="174"/>
      <c r="X570" s="174"/>
      <c r="Y570" s="174"/>
      <c r="Z570" s="174"/>
    </row>
    <row r="571">
      <c r="A571" s="190" t="str">
        <f>IFERROR(__xludf.DUMMYFUNCTION("""COMPUTED_VALUE"""),"Molt Feathers")</f>
        <v>Molt Feathers</v>
      </c>
      <c r="B571" s="190" t="str">
        <f>IFERROR(__xludf.DUMMYFUNCTION("""COMPUTED_VALUE"""),"Flying")</f>
        <v>Flying</v>
      </c>
      <c r="C571" s="190" t="str">
        <f>IFERROR(__xludf.DUMMYFUNCTION("""COMPUTED_VALUE"""),"Status")</f>
        <v>Status</v>
      </c>
      <c r="D571" s="190" t="str">
        <f>IFERROR(__xludf.DUMMYFUNCTION("""COMPUTED_VALUE"""),"Scene ")</f>
        <v>Scene </v>
      </c>
      <c r="E571" s="190" t="str">
        <f>IFERROR(__xludf.DUMMYFUNCTION("""COMPUTED_VALUE"""),"Self, Movement Action")</f>
        <v>Self, Movement Action</v>
      </c>
      <c r="F571" s="190" t="str">
        <f>IFERROR(__xludf.DUMMYFUNCTION("""COMPUTED_VALUE"""),"--")</f>
        <v>--</v>
      </c>
      <c r="G571" s="190" t="str">
        <f>IFERROR(__xludf.DUMMYFUNCTION("""COMPUTED_VALUE"""),"--")</f>
        <v>--</v>
      </c>
      <c r="H571" s="191" t="str">
        <f>IFERROR(__xludf.DUMMYFUNCTION("""COMPUTED_VALUE"""),"The user may cure as many Physical Afflictions as they wish that affect them, then they become Vulnerable until the end of the next Round.")</f>
        <v>The user may cure as many Physical Afflictions as they wish that affect them, then they become Vulnerable until the end of the next Round.</v>
      </c>
      <c r="I571" s="191" t="str">
        <f>IFERROR(__xludf.DUMMYFUNCTION("""COMPUTED_VALUE"""),"--")</f>
        <v>--</v>
      </c>
      <c r="J571" s="190" t="str">
        <f>IFERROR(__xludf.DUMMYFUNCTION("""COMPUTED_VALUE"""),"Tier 2")</f>
        <v>Tier 2</v>
      </c>
      <c r="K571" s="174" t="b">
        <f>IFERROR(__xludf.DUMMYFUNCTION("""COMPUTED_VALUE"""),TRUE)</f>
        <v>1</v>
      </c>
      <c r="L571" s="174"/>
      <c r="M571" s="174"/>
      <c r="N571" s="174"/>
      <c r="O571" s="174"/>
      <c r="P571" s="174"/>
      <c r="Q571" s="174"/>
      <c r="R571" s="174"/>
      <c r="S571" s="174"/>
      <c r="T571" s="174"/>
      <c r="U571" s="174"/>
      <c r="V571" s="174"/>
      <c r="W571" s="174"/>
      <c r="X571" s="174"/>
      <c r="Y571" s="174"/>
      <c r="Z571" s="174"/>
    </row>
    <row r="572">
      <c r="A572" s="190" t="str">
        <f>IFERROR(__xludf.DUMMYFUNCTION("""COMPUTED_VALUE"""),"Mirror Move")</f>
        <v>Mirror Move</v>
      </c>
      <c r="B572" s="190" t="str">
        <f>IFERROR(__xludf.DUMMYFUNCTION("""COMPUTED_VALUE"""),"Flying")</f>
        <v>Flying</v>
      </c>
      <c r="C572" s="190" t="str">
        <f>IFERROR(__xludf.DUMMYFUNCTION("""COMPUTED_VALUE"""),"Special")</f>
        <v>Special</v>
      </c>
      <c r="D572" s="190" t="str">
        <f>IFERROR(__xludf.DUMMYFUNCTION("""COMPUTED_VALUE"""),"Scene x2")</f>
        <v>Scene x2</v>
      </c>
      <c r="E572" s="190" t="str">
        <f>IFERROR(__xludf.DUMMYFUNCTION("""COMPUTED_VALUE"""),"6, 1 Target")</f>
        <v>6, 1 Target</v>
      </c>
      <c r="F572" s="190" t="str">
        <f>IFERROR(__xludf.DUMMYFUNCTION("""COMPUTED_VALUE"""),"--")</f>
        <v>--</v>
      </c>
      <c r="G572" s="190" t="str">
        <f>IFERROR(__xludf.DUMMYFUNCTION("""COMPUTED_VALUE"""),"--")</f>
        <v>--</v>
      </c>
      <c r="H572" s="191" t="str">
        <f>IFERROR(__xludf.DUMMYFUNCTION("""COMPUTED_VALUE"""),"Use the Attack the Target has used on their last turn. You may choose new Targets for the Attack. The Attack may deal Damage as if it were Physical or Special. Sureshot")</f>
        <v>Use the Attack the Target has used on their last turn. You may choose new Targets for the Attack. The Attack may deal Damage as if it were Physical or Special. Sureshot</v>
      </c>
      <c r="I572" s="191" t="str">
        <f>IFERROR(__xludf.DUMMYFUNCTION("""COMPUTED_VALUE"""),"--")</f>
        <v>--</v>
      </c>
      <c r="J572" s="190" t="str">
        <f>IFERROR(__xludf.DUMMYFUNCTION("""COMPUTED_VALUE"""),"Tier 2")</f>
        <v>Tier 2</v>
      </c>
      <c r="K572" s="174" t="b">
        <f>IFERROR(__xludf.DUMMYFUNCTION("""COMPUTED_VALUE"""),FALSE)</f>
        <v>0</v>
      </c>
      <c r="L572" s="174"/>
      <c r="M572" s="174"/>
      <c r="N572" s="174"/>
      <c r="O572" s="174"/>
      <c r="P572" s="174"/>
      <c r="Q572" s="174"/>
      <c r="R572" s="174"/>
      <c r="S572" s="174"/>
      <c r="T572" s="174"/>
      <c r="U572" s="174"/>
      <c r="V572" s="174"/>
      <c r="W572" s="174"/>
      <c r="X572" s="174"/>
      <c r="Y572" s="174"/>
      <c r="Z572" s="174"/>
    </row>
    <row r="573">
      <c r="A573" s="190" t="str">
        <f>IFERROR(__xludf.DUMMYFUNCTION("""COMPUTED_VALUE"""),"Peck")</f>
        <v>Peck</v>
      </c>
      <c r="B573" s="190" t="str">
        <f>IFERROR(__xludf.DUMMYFUNCTION("""COMPUTED_VALUE"""),"Flying")</f>
        <v>Flying</v>
      </c>
      <c r="C573" s="190" t="str">
        <f>IFERROR(__xludf.DUMMYFUNCTION("""COMPUTED_VALUE"""),"Physical")</f>
        <v>Physical</v>
      </c>
      <c r="D573" s="190" t="str">
        <f>IFERROR(__xludf.DUMMYFUNCTION("""COMPUTED_VALUE"""),"At-Will")</f>
        <v>At-Will</v>
      </c>
      <c r="E573" s="190" t="str">
        <f>IFERROR(__xludf.DUMMYFUNCTION("""COMPUTED_VALUE"""),"Melee, 1 Target")</f>
        <v>Melee, 1 Target</v>
      </c>
      <c r="F573" s="190">
        <f>IFERROR(__xludf.DUMMYFUNCTION("""COMPUTED_VALUE"""),2.0)</f>
        <v>2</v>
      </c>
      <c r="G573" s="190">
        <f>IFERROR(__xludf.DUMMYFUNCTION("""COMPUTED_VALUE"""),4.0)</f>
        <v>4</v>
      </c>
      <c r="H573" s="191" t="str">
        <f>IFERROR(__xludf.DUMMYFUNCTION("""COMPUTED_VALUE"""),"On a roll of 16+, the Target becomes Wounded.")</f>
        <v>On a roll of 16+, the Target becomes Wounded.</v>
      </c>
      <c r="I573" s="191" t="str">
        <f>IFERROR(__xludf.DUMMYFUNCTION("""COMPUTED_VALUE"""),"--")</f>
        <v>--</v>
      </c>
      <c r="J573" s="190" t="str">
        <f>IFERROR(__xludf.DUMMYFUNCTION("""COMPUTED_VALUE"""),"Tier 1")</f>
        <v>Tier 1</v>
      </c>
      <c r="K573" s="174" t="b">
        <f>IFERROR(__xludf.DUMMYFUNCTION("""COMPUTED_VALUE"""),TRUE)</f>
        <v>1</v>
      </c>
      <c r="L573" s="174"/>
      <c r="M573" s="174"/>
      <c r="N573" s="174"/>
      <c r="O573" s="174"/>
      <c r="P573" s="174"/>
      <c r="Q573" s="174"/>
      <c r="R573" s="174"/>
      <c r="S573" s="174"/>
      <c r="T573" s="174"/>
      <c r="U573" s="174"/>
      <c r="V573" s="174"/>
      <c r="W573" s="174"/>
      <c r="X573" s="174"/>
      <c r="Y573" s="174"/>
      <c r="Z573" s="174"/>
    </row>
    <row r="574">
      <c r="A574" s="190" t="str">
        <f>IFERROR(__xludf.DUMMYFUNCTION("""COMPUTED_VALUE"""),"Pluck")</f>
        <v>Pluck</v>
      </c>
      <c r="B574" s="190" t="str">
        <f>IFERROR(__xludf.DUMMYFUNCTION("""COMPUTED_VALUE"""),"Flying")</f>
        <v>Flying</v>
      </c>
      <c r="C574" s="190" t="str">
        <f>IFERROR(__xludf.DUMMYFUNCTION("""COMPUTED_VALUE"""),"Physical")</f>
        <v>Physical</v>
      </c>
      <c r="D574" s="190" t="str">
        <f>IFERROR(__xludf.DUMMYFUNCTION("""COMPUTED_VALUE"""),"At-Will")</f>
        <v>At-Will</v>
      </c>
      <c r="E574" s="190" t="str">
        <f>IFERROR(__xludf.DUMMYFUNCTION("""COMPUTED_VALUE"""),"Melee, 1 Target")</f>
        <v>Melee, 1 Target</v>
      </c>
      <c r="F574" s="190">
        <f>IFERROR(__xludf.DUMMYFUNCTION("""COMPUTED_VALUE"""),3.0)</f>
        <v>3</v>
      </c>
      <c r="G574" s="190">
        <f>IFERROR(__xludf.DUMMYFUNCTION("""COMPUTED_VALUE"""),6.0)</f>
        <v>6</v>
      </c>
      <c r="H574" s="191" t="str">
        <f>IFERROR(__xludf.DUMMYFUNCTION("""COMPUTED_VALUE"""),"The user may perform a Disarm Manuever as a Free Action against the Target. If used this way, Disarm automatically hits.")</f>
        <v>The user may perform a Disarm Manuever as a Free Action against the Target. If used this way, Disarm automatically hits.</v>
      </c>
      <c r="I574" s="191" t="str">
        <f>IFERROR(__xludf.DUMMYFUNCTION("""COMPUTED_VALUE"""),"--")</f>
        <v>--</v>
      </c>
      <c r="J574" s="190" t="str">
        <f>IFERROR(__xludf.DUMMYFUNCTION("""COMPUTED_VALUE"""),"Tier 1")</f>
        <v>Tier 1</v>
      </c>
      <c r="K574" s="174" t="b">
        <f>IFERROR(__xludf.DUMMYFUNCTION("""COMPUTED_VALUE"""),TRUE)</f>
        <v>1</v>
      </c>
      <c r="L574" s="174"/>
      <c r="M574" s="174"/>
      <c r="N574" s="174"/>
      <c r="O574" s="174"/>
      <c r="P574" s="174"/>
      <c r="Q574" s="174"/>
      <c r="R574" s="174"/>
      <c r="S574" s="174"/>
      <c r="T574" s="174"/>
      <c r="U574" s="174"/>
      <c r="V574" s="174"/>
      <c r="W574" s="174"/>
      <c r="X574" s="174"/>
      <c r="Y574" s="174"/>
      <c r="Z574" s="174"/>
    </row>
    <row r="575">
      <c r="A575" s="190" t="str">
        <f>IFERROR(__xludf.DUMMYFUNCTION("""COMPUTED_VALUE"""),"Quick Strike")</f>
        <v>Quick Strike</v>
      </c>
      <c r="B575" s="190" t="str">
        <f>IFERROR(__xludf.DUMMYFUNCTION("""COMPUTED_VALUE"""),"Flying")</f>
        <v>Flying</v>
      </c>
      <c r="C575" s="190" t="str">
        <f>IFERROR(__xludf.DUMMYFUNCTION("""COMPUTED_VALUE"""),"Physical")</f>
        <v>Physical</v>
      </c>
      <c r="D575" s="190" t="str">
        <f>IFERROR(__xludf.DUMMYFUNCTION("""COMPUTED_VALUE"""),"EOT")</f>
        <v>EOT</v>
      </c>
      <c r="E575" s="190" t="str">
        <f>IFERROR(__xludf.DUMMYFUNCTION("""COMPUTED_VALUE"""),"Melee, 1 Target, Dash")</f>
        <v>Melee, 1 Target, Dash</v>
      </c>
      <c r="F575" s="190">
        <f>IFERROR(__xludf.DUMMYFUNCTION("""COMPUTED_VALUE"""),3.0)</f>
        <v>3</v>
      </c>
      <c r="G575" s="190">
        <f>IFERROR(__xludf.DUMMYFUNCTION("""COMPUTED_VALUE"""),7.0)</f>
        <v>7</v>
      </c>
      <c r="H575" s="191" t="str">
        <f>IFERROR(__xludf.DUMMYFUNCTION("""COMPUTED_VALUE"""),"After damage Calculations the user may disengage as a Free Action. If you activate the Dash Keyword or attack a Flanked Target, this Attack has the Sureshot Keyword.")</f>
        <v>After damage Calculations the user may disengage as a Free Action. If you activate the Dash Keyword or attack a Flanked Target, this Attack has the Sureshot Keyword.</v>
      </c>
      <c r="I575" s="191" t="str">
        <f>IFERROR(__xludf.DUMMYFUNCTION("""COMPUTED_VALUE"""),"--")</f>
        <v>--</v>
      </c>
      <c r="J575" s="190" t="str">
        <f>IFERROR(__xludf.DUMMYFUNCTION("""COMPUTED_VALUE"""),"Tier 1")</f>
        <v>Tier 1</v>
      </c>
      <c r="K575" s="174" t="b">
        <f>IFERROR(__xludf.DUMMYFUNCTION("""COMPUTED_VALUE"""),TRUE)</f>
        <v>1</v>
      </c>
      <c r="L575" s="174"/>
      <c r="M575" s="174"/>
      <c r="N575" s="174"/>
      <c r="O575" s="174"/>
      <c r="P575" s="174"/>
      <c r="Q575" s="174"/>
      <c r="R575" s="174"/>
      <c r="S575" s="174"/>
      <c r="T575" s="174"/>
      <c r="U575" s="174"/>
      <c r="V575" s="174"/>
      <c r="W575" s="174"/>
      <c r="X575" s="174"/>
      <c r="Y575" s="174"/>
      <c r="Z575" s="174"/>
    </row>
    <row r="576">
      <c r="A576" s="190" t="str">
        <f>IFERROR(__xludf.DUMMYFUNCTION("""COMPUTED_VALUE"""),"Raven Claw")</f>
        <v>Raven Claw</v>
      </c>
      <c r="B576" s="190" t="str">
        <f>IFERROR(__xludf.DUMMYFUNCTION("""COMPUTED_VALUE"""),"Flying")</f>
        <v>Flying</v>
      </c>
      <c r="C576" s="190" t="str">
        <f>IFERROR(__xludf.DUMMYFUNCTION("""COMPUTED_VALUE"""),"Physical")</f>
        <v>Physical</v>
      </c>
      <c r="D576" s="190" t="str">
        <f>IFERROR(__xludf.DUMMYFUNCTION("""COMPUTED_VALUE"""),"Scene x2")</f>
        <v>Scene x2</v>
      </c>
      <c r="E576" s="190" t="str">
        <f>IFERROR(__xludf.DUMMYFUNCTION("""COMPUTED_VALUE"""),"Melee, 1 Target")</f>
        <v>Melee, 1 Target</v>
      </c>
      <c r="F576" s="190">
        <f>IFERROR(__xludf.DUMMYFUNCTION("""COMPUTED_VALUE"""),3.0)</f>
        <v>3</v>
      </c>
      <c r="G576" s="190">
        <f>IFERROR(__xludf.DUMMYFUNCTION("""COMPUTED_VALUE"""),9.0)</f>
        <v>9</v>
      </c>
      <c r="H576" s="191" t="str">
        <f>IFERROR(__xludf.DUMMYFUNCTION("""COMPUTED_VALUE"""),"Raven Claw is a Critical Hit on a roll of 18+. If the Target has any Mental Afflictions, this Crit Range is extended by +1 per Mental Affliction they have.")</f>
        <v>Raven Claw is a Critical Hit on a roll of 18+. If the Target has any Mental Afflictions, this Crit Range is extended by +1 per Mental Affliction they have.</v>
      </c>
      <c r="I576" s="191" t="str">
        <f>IFERROR(__xludf.DUMMYFUNCTION("""COMPUTED_VALUE"""),"--")</f>
        <v>--</v>
      </c>
      <c r="J576" s="190" t="str">
        <f>IFERROR(__xludf.DUMMYFUNCTION("""COMPUTED_VALUE"""),"Tier 2")</f>
        <v>Tier 2</v>
      </c>
      <c r="K576" s="174" t="b">
        <f>IFERROR(__xludf.DUMMYFUNCTION("""COMPUTED_VALUE"""),TRUE)</f>
        <v>1</v>
      </c>
      <c r="L576" s="174"/>
      <c r="M576" s="174"/>
      <c r="N576" s="174"/>
      <c r="O576" s="174"/>
      <c r="P576" s="174"/>
      <c r="Q576" s="174"/>
      <c r="R576" s="174"/>
      <c r="S576" s="174"/>
      <c r="T576" s="174"/>
      <c r="U576" s="174"/>
      <c r="V576" s="174"/>
      <c r="W576" s="174"/>
      <c r="X576" s="174"/>
      <c r="Y576" s="174"/>
      <c r="Z576" s="174"/>
    </row>
    <row r="577">
      <c r="A577" s="190" t="str">
        <f>IFERROR(__xludf.DUMMYFUNCTION("""COMPUTED_VALUE"""),"Razor Wind")</f>
        <v>Razor Wind</v>
      </c>
      <c r="B577" s="190" t="str">
        <f>IFERROR(__xludf.DUMMYFUNCTION("""COMPUTED_VALUE"""),"Flying")</f>
        <v>Flying</v>
      </c>
      <c r="C577" s="190" t="str">
        <f>IFERROR(__xludf.DUMMYFUNCTION("""COMPUTED_VALUE"""),"Special")</f>
        <v>Special</v>
      </c>
      <c r="D577" s="190" t="str">
        <f>IFERROR(__xludf.DUMMYFUNCTION("""COMPUTED_VALUE"""),"Scene x2")</f>
        <v>Scene x2</v>
      </c>
      <c r="E577" s="190" t="str">
        <f>IFERROR(__xludf.DUMMYFUNCTION("""COMPUTED_VALUE"""),"10, X Targets, Set-Up")</f>
        <v>10, X Targets, Set-Up</v>
      </c>
      <c r="F577" s="190">
        <f>IFERROR(__xludf.DUMMYFUNCTION("""COMPUTED_VALUE"""),7.0)</f>
        <v>7</v>
      </c>
      <c r="G577" s="190">
        <f>IFERROR(__xludf.DUMMYFUNCTION("""COMPUTED_VALUE"""),8.0)</f>
        <v>8</v>
      </c>
      <c r="H577" s="191" t="str">
        <f>IFERROR(__xludf.DUMMYFUNCTION("""COMPUTED_VALUE"""),"Charge Effect: You instead gain 2 Charge Tokens if the Weather is Windy. If you have at least 3 Charge Tokens, you treat the Weather as if it were Windy for any other Attack or Ability.
Resolution Effect: X is equal to 1+ the number of Charge Tokens expen"&amp;"ded. Smite")</f>
        <v>Charge Effect: You instead gain 2 Charge Tokens if the Weather is Windy. If you have at least 3 Charge Tokens, you treat the Weather as if it were Windy for any other Attack or Ability.
Resolution Effect: X is equal to 1+ the number of Charge Tokens expended. Smite</v>
      </c>
      <c r="I577" s="191" t="str">
        <f>IFERROR(__xludf.DUMMYFUNCTION("""COMPUTED_VALUE"""),"--")</f>
        <v>--</v>
      </c>
      <c r="J577" s="190" t="str">
        <f>IFERROR(__xludf.DUMMYFUNCTION("""COMPUTED_VALUE"""),"Tier 2")</f>
        <v>Tier 2</v>
      </c>
      <c r="K577" s="174" t="b">
        <f>IFERROR(__xludf.DUMMYFUNCTION("""COMPUTED_VALUE"""),TRUE)</f>
        <v>1</v>
      </c>
      <c r="L577" s="174"/>
      <c r="M577" s="174"/>
      <c r="N577" s="174"/>
      <c r="O577" s="174"/>
      <c r="P577" s="174"/>
      <c r="Q577" s="174"/>
      <c r="R577" s="174"/>
      <c r="S577" s="174"/>
      <c r="T577" s="174"/>
      <c r="U577" s="174"/>
      <c r="V577" s="174"/>
      <c r="W577" s="174"/>
      <c r="X577" s="174"/>
      <c r="Y577" s="174"/>
      <c r="Z577" s="174"/>
    </row>
    <row r="578">
      <c r="A578" s="190" t="str">
        <f>IFERROR(__xludf.DUMMYFUNCTION("""COMPUTED_VALUE"""),"Roost")</f>
        <v>Roost</v>
      </c>
      <c r="B578" s="190" t="str">
        <f>IFERROR(__xludf.DUMMYFUNCTION("""COMPUTED_VALUE"""),"Flying")</f>
        <v>Flying</v>
      </c>
      <c r="C578" s="190" t="str">
        <f>IFERROR(__xludf.DUMMYFUNCTION("""COMPUTED_VALUE"""),"Status")</f>
        <v>Status</v>
      </c>
      <c r="D578" s="190" t="str">
        <f>IFERROR(__xludf.DUMMYFUNCTION("""COMPUTED_VALUE"""),"Scene x3")</f>
        <v>Scene x3</v>
      </c>
      <c r="E578" s="190" t="str">
        <f>IFERROR(__xludf.DUMMYFUNCTION("""COMPUTED_VALUE"""),"Self, Versatile")</f>
        <v>Self, Versatile</v>
      </c>
      <c r="F578" s="190" t="str">
        <f>IFERROR(__xludf.DUMMYFUNCTION("""COMPUTED_VALUE"""),"--")</f>
        <v>--</v>
      </c>
      <c r="G578" s="190" t="str">
        <f>IFERROR(__xludf.DUMMYFUNCTION("""COMPUTED_VALUE"""),"--")</f>
        <v>--</v>
      </c>
      <c r="H578" s="191" t="str">
        <f>IFERROR(__xludf.DUMMYFUNCTION("""COMPUTED_VALUE"""),"The user restores 5 Ticks of Hit points. The user loses the Flier Capability and Ground Immunity (Treated as Neutral) until the end of the next Round if they have it.")</f>
        <v>The user restores 5 Ticks of Hit points. The user loses the Flier Capability and Ground Immunity (Treated as Neutral) until the end of the next Round if they have it.</v>
      </c>
      <c r="I578" s="191" t="str">
        <f>IFERROR(__xludf.DUMMYFUNCTION("""COMPUTED_VALUE"""),"Same as the normal Effects but it also costs a Movement Action and it only restores two Ticks of Hit Points.")</f>
        <v>Same as the normal Effects but it also costs a Movement Action and it only restores two Ticks of Hit Points.</v>
      </c>
      <c r="J578" s="190" t="str">
        <f>IFERROR(__xludf.DUMMYFUNCTION("""COMPUTED_VALUE"""),"Tier 2")</f>
        <v>Tier 2</v>
      </c>
      <c r="K578" s="174" t="b">
        <f>IFERROR(__xludf.DUMMYFUNCTION("""COMPUTED_VALUE"""),TRUE)</f>
        <v>1</v>
      </c>
      <c r="L578" s="174"/>
      <c r="M578" s="174"/>
      <c r="N578" s="174"/>
      <c r="O578" s="174"/>
      <c r="P578" s="174"/>
      <c r="Q578" s="174"/>
      <c r="R578" s="174"/>
      <c r="S578" s="174"/>
      <c r="T578" s="174"/>
      <c r="U578" s="174"/>
      <c r="V578" s="174"/>
      <c r="W578" s="174"/>
      <c r="X578" s="174"/>
      <c r="Y578" s="174"/>
      <c r="Z578" s="174"/>
    </row>
    <row r="579">
      <c r="A579" s="190" t="str">
        <f>IFERROR(__xludf.DUMMYFUNCTION("""COMPUTED_VALUE"""),"Sky Attack")</f>
        <v>Sky Attack</v>
      </c>
      <c r="B579" s="190" t="str">
        <f>IFERROR(__xludf.DUMMYFUNCTION("""COMPUTED_VALUE"""),"Flying")</f>
        <v>Flying</v>
      </c>
      <c r="C579" s="190" t="str">
        <f>IFERROR(__xludf.DUMMYFUNCTION("""COMPUTED_VALUE"""),"Physical")</f>
        <v>Physical</v>
      </c>
      <c r="D579" s="190" t="str">
        <f>IFERROR(__xludf.DUMMYFUNCTION("""COMPUTED_VALUE"""),"Scene x2")</f>
        <v>Scene x2</v>
      </c>
      <c r="E579" s="190" t="str">
        <f>IFERROR(__xludf.DUMMYFUNCTION("""COMPUTED_VALUE"""),"Melee, Pass, Set-Up")</f>
        <v>Melee, Pass, Set-Up</v>
      </c>
      <c r="F579" s="190" t="str">
        <f>IFERROR(__xludf.DUMMYFUNCTION("""COMPUTED_VALUE"""),"--")</f>
        <v>--</v>
      </c>
      <c r="G579" s="190">
        <f>IFERROR(__xludf.DUMMYFUNCTION("""COMPUTED_VALUE"""),10.0)</f>
        <v>10</v>
      </c>
      <c r="H579" s="191" t="str">
        <f>IFERROR(__xludf.DUMMYFUNCTION("""COMPUTED_VALUE"""),"Charge Effect: The user flies up, leaving the Field and becoming Untargetable. When the User starts their turn with Sky Attack Charge Tokens, they immediately use Sky Attack’s Resolution Effect as a Standard Action. If the User is unable to do so they los"&amp;"e all Sky Attack Charge Tokens, reappear anywhere on the Field, and lose Untargetable.
Resolution Effect: The user reappears anywhere on the Field. The user may then activate Sky Attack’s Pass keyword, ignoring the usual requirements, then use Sky Attack."&amp;" Sureshot.")</f>
        <v>Charge Effect: The user flies up, leaving the Field and becoming Untargetable. When the User starts their turn with Sky Attack Charge Tokens, they immediately use Sky Attack’s Resolution Effect as a Standard Action. If the User is unable to do so they lose all Sky Attack Charge Tokens, reappear anywhere on the Field, and lose Untargetable.
Resolution Effect: The user reappears anywhere on the Field. The user may then activate Sky Attack’s Pass keyword, ignoring the usual requirements, then use Sky Attack. Sureshot.</v>
      </c>
      <c r="I579" s="191" t="str">
        <f>IFERROR(__xludf.DUMMYFUNCTION("""COMPUTED_VALUE"""),"--")</f>
        <v>--</v>
      </c>
      <c r="J579" s="190" t="str">
        <f>IFERROR(__xludf.DUMMYFUNCTION("""COMPUTED_VALUE"""),"Tier 3")</f>
        <v>Tier 3</v>
      </c>
      <c r="K579" s="174" t="b">
        <f>IFERROR(__xludf.DUMMYFUNCTION("""COMPUTED_VALUE"""),TRUE)</f>
        <v>1</v>
      </c>
      <c r="L579" s="174"/>
      <c r="M579" s="174"/>
      <c r="N579" s="174"/>
      <c r="O579" s="174"/>
      <c r="P579" s="174"/>
      <c r="Q579" s="174"/>
      <c r="R579" s="174"/>
      <c r="S579" s="174"/>
      <c r="T579" s="174"/>
      <c r="U579" s="174"/>
      <c r="V579" s="174"/>
      <c r="W579" s="174"/>
      <c r="X579" s="174"/>
      <c r="Y579" s="174"/>
      <c r="Z579" s="174"/>
    </row>
    <row r="580">
      <c r="A580" s="190" t="str">
        <f>IFERROR(__xludf.DUMMYFUNCTION("""COMPUTED_VALUE"""),"Sky Bomb")</f>
        <v>Sky Bomb</v>
      </c>
      <c r="B580" s="190" t="str">
        <f>IFERROR(__xludf.DUMMYFUNCTION("""COMPUTED_VALUE"""),"Flying")</f>
        <v>Flying</v>
      </c>
      <c r="C580" s="190" t="str">
        <f>IFERROR(__xludf.DUMMYFUNCTION("""COMPUTED_VALUE"""),"Physical")</f>
        <v>Physical</v>
      </c>
      <c r="D580" s="190" t="str">
        <f>IFERROR(__xludf.DUMMYFUNCTION("""COMPUTED_VALUE"""),"Scene x2")</f>
        <v>Scene x2</v>
      </c>
      <c r="E580" s="190" t="str">
        <f>IFERROR(__xludf.DUMMYFUNCTION("""COMPUTED_VALUE"""),"Burst 2, Set-Up")</f>
        <v>Burst 2, Set-Up</v>
      </c>
      <c r="F580" s="190">
        <f>IFERROR(__xludf.DUMMYFUNCTION("""COMPUTED_VALUE"""),6.0)</f>
        <v>6</v>
      </c>
      <c r="G580" s="190">
        <f>IFERROR(__xludf.DUMMYFUNCTION("""COMPUTED_VALUE"""),10.0)</f>
        <v>10</v>
      </c>
      <c r="H580" s="191" t="str">
        <f>IFERROR(__xludf.DUMMYFUNCTION("""COMPUTED_VALUE"""),"Charge Effect: The user flies up, leaving the Field and becoming Untargetable. When the User starts their turn with Sky Bomb Charge Tokens, they immediately use Sky Bomb’s Resolution Effect as a Standard Action. If the User is unable to do so they lose al"&amp;"l Sky Bomb Charge Tokens, reappear anywhere on the Field, and lose Untargetable. 
Resolution Effect: The user reappears anywhere on the Field and uses Sky Bomb. The user then loses Untargetable. Smite.")</f>
        <v>Charge Effect: The user flies up, leaving the Field and becoming Untargetable. When the User starts their turn with Sky Bomb Charge Tokens, they immediately use Sky Bomb’s Resolution Effect as a Standard Action. If the User is unable to do so they lose all Sky Bomb Charge Tokens, reappear anywhere on the Field, and lose Untargetable. 
Resolution Effect: The user reappears anywhere on the Field and uses Sky Bomb. The user then loses Untargetable. Smite.</v>
      </c>
      <c r="I580" s="191" t="str">
        <f>IFERROR(__xludf.DUMMYFUNCTION("""COMPUTED_VALUE"""),"--")</f>
        <v>--</v>
      </c>
      <c r="J580" s="190" t="str">
        <f>IFERROR(__xludf.DUMMYFUNCTION("""COMPUTED_VALUE"""),"Tier 3")</f>
        <v>Tier 3</v>
      </c>
      <c r="K580" s="174" t="b">
        <f>IFERROR(__xludf.DUMMYFUNCTION("""COMPUTED_VALUE"""),TRUE)</f>
        <v>1</v>
      </c>
      <c r="L580" s="174"/>
      <c r="M580" s="174"/>
      <c r="N580" s="174"/>
      <c r="O580" s="174"/>
      <c r="P580" s="174"/>
      <c r="Q580" s="174"/>
      <c r="R580" s="174"/>
      <c r="S580" s="174"/>
      <c r="T580" s="174"/>
      <c r="U580" s="174"/>
      <c r="V580" s="174"/>
      <c r="W580" s="174"/>
      <c r="X580" s="174"/>
      <c r="Y580" s="174"/>
      <c r="Z580" s="174"/>
    </row>
    <row r="581">
      <c r="A581" s="190" t="str">
        <f>IFERROR(__xludf.DUMMYFUNCTION("""COMPUTED_VALUE"""),"Sky Drop")</f>
        <v>Sky Drop</v>
      </c>
      <c r="B581" s="190" t="str">
        <f>IFERROR(__xludf.DUMMYFUNCTION("""COMPUTED_VALUE"""),"Flying")</f>
        <v>Flying</v>
      </c>
      <c r="C581" s="190" t="str">
        <f>IFERROR(__xludf.DUMMYFUNCTION("""COMPUTED_VALUE"""),"Physical")</f>
        <v>Physical</v>
      </c>
      <c r="D581" s="190" t="str">
        <f>IFERROR(__xludf.DUMMYFUNCTION("""COMPUTED_VALUE"""),"Scene x2")</f>
        <v>Scene x2</v>
      </c>
      <c r="E581" s="190" t="str">
        <f>IFERROR(__xludf.DUMMYFUNCTION("""COMPUTED_VALUE"""),"Special, Set-Up")</f>
        <v>Special, Set-Up</v>
      </c>
      <c r="F581" s="190" t="str">
        <f>IFERROR(__xludf.DUMMYFUNCTION("""COMPUTED_VALUE"""),"--")</f>
        <v>--</v>
      </c>
      <c r="G581" s="190" t="str">
        <f>IFERROR(__xludf.DUMMYFUNCTION("""COMPUTED_VALUE"""),"X")</f>
        <v>X</v>
      </c>
      <c r="H581" s="191" t="str">
        <f>IFERROR(__xludf.DUMMYFUNCTION("""COMPUTED_VALUE"""),"Charge Effect: This Effect can only be used if you have Dominance in a Grapple with an Enemy. You and the Grappled Enemy ascend 20m into the air to a limit of 100m. While you have Charge Tokens for this Attack, members of the Grapple cannot Target Combata"&amp;"nts outside the Grapple or take an Action that would end the Grapple. If you start two consecutive Turns at the same height, the Grappler with Dominance uses the Resolution Effect as a Free Action on the other Grappler using both Grapplers’ combined Sky D"&amp;"rop Charge Tokens, regardless of whether it’s on their Move List.
Resolution Effect: The user reappears anywhere on the Field, placing their Target in an adjacent space before using Sky Drop on them. X is equal to triple the number of Charge Tokens expen"&amp;"ded. If at least 5 Charge Tokens were expended, this Attack instead sets the Target’s HP to 0. Sureshot, Unstoppable.")</f>
        <v>Charge Effect: This Effect can only be used if you have Dominance in a Grapple with an Enemy. You and the Grappled Enemy ascend 20m into the air to a limit of 100m. While you have Charge Tokens for this Attack, members of the Grapple cannot Target Combatants outside the Grapple or take an Action that would end the Grapple. If you start two consecutive Turns at the same height, the Grappler with Dominance uses the Resolution Effect as a Free Action on the other Grappler using both Grapplers’ combined Sky Drop Charge Tokens, regardless of whether it’s on their Move List.
Resolution Effect: The user reappears anywhere on the Field, placing their Target in an adjacent space before using Sky Drop on them. X is equal to triple the number of Charge Tokens expended. If at least 5 Charge Tokens were expended, this Attack instead sets the Target’s HP to 0. Sureshot, Unstoppable.</v>
      </c>
      <c r="I581" s="191" t="str">
        <f>IFERROR(__xludf.DUMMYFUNCTION("""COMPUTED_VALUE"""),"--")</f>
        <v>--</v>
      </c>
      <c r="J581" s="190" t="str">
        <f>IFERROR(__xludf.DUMMYFUNCTION("""COMPUTED_VALUE"""),"Tier 3")</f>
        <v>Tier 3</v>
      </c>
      <c r="K581" s="174" t="b">
        <f>IFERROR(__xludf.DUMMYFUNCTION("""COMPUTED_VALUE"""),TRUE)</f>
        <v>1</v>
      </c>
      <c r="L581" s="174"/>
      <c r="M581" s="174"/>
      <c r="N581" s="174"/>
      <c r="O581" s="174"/>
      <c r="P581" s="174"/>
      <c r="Q581" s="174"/>
      <c r="R581" s="174"/>
      <c r="S581" s="174"/>
      <c r="T581" s="174"/>
      <c r="U581" s="174"/>
      <c r="V581" s="174"/>
      <c r="W581" s="174"/>
      <c r="X581" s="174"/>
      <c r="Y581" s="174"/>
      <c r="Z581" s="174"/>
    </row>
    <row r="582">
      <c r="A582" s="190" t="str">
        <f>IFERROR(__xludf.DUMMYFUNCTION("""COMPUTED_VALUE"""),"Tailwind")</f>
        <v>Tailwind</v>
      </c>
      <c r="B582" s="190" t="str">
        <f>IFERROR(__xludf.DUMMYFUNCTION("""COMPUTED_VALUE"""),"Flying")</f>
        <v>Flying</v>
      </c>
      <c r="C582" s="190" t="str">
        <f>IFERROR(__xludf.DUMMYFUNCTION("""COMPUTED_VALUE"""),"Status")</f>
        <v>Status</v>
      </c>
      <c r="D582" s="190" t="str">
        <f>IFERROR(__xludf.DUMMYFUNCTION("""COMPUTED_VALUE"""),"Scene x2")</f>
        <v>Scene x2</v>
      </c>
      <c r="E582" s="190" t="str">
        <f>IFERROR(__xludf.DUMMYFUNCTION("""COMPUTED_VALUE"""),"3, 1 Target or Self; Coat, Versatile")</f>
        <v>3, 1 Target or Self; Coat, Versatile</v>
      </c>
      <c r="F582" s="190" t="str">
        <f>IFERROR(__xludf.DUMMYFUNCTION("""COMPUTED_VALUE"""),"--")</f>
        <v>--</v>
      </c>
      <c r="G582" s="190" t="str">
        <f>IFERROR(__xludf.DUMMYFUNCTION("""COMPUTED_VALUE"""),"--")</f>
        <v>--</v>
      </c>
      <c r="H582" s="191" t="str">
        <f>IFERROR(__xludf.DUMMYFUNCTION("""COMPUTED_VALUE"""),"The Target gains a Tailwind Coat. Combatants affected by a Tailwind Coat cannot be Slowed and have bonus Evasion equal to double their Tier Level. A Tailwind Coat can be expended as a Reaction to use an Attack as if it had the Priority Keyword or cause a "&amp;"Ranged Attack to miss them.")</f>
        <v>The Target gains a Tailwind Coat. Combatants affected by a Tailwind Coat cannot be Slowed and have bonus Evasion equal to double their Tier Level. A Tailwind Coat can be expended as a Reaction to use an Attack as if it had the Priority Keyword or cause a Ranged Attack to miss them.</v>
      </c>
      <c r="I582" s="191" t="str">
        <f>IFERROR(__xludf.DUMMYFUNCTION("""COMPUTED_VALUE"""),"The Target gains a Tailwind Coat. The Tailwind Coat can be expended as a Reaction when using an Attack to ignore Speed Evasion or when they're hit by a Ranged Attack to resist it by an additional damage step.")</f>
        <v>The Target gains a Tailwind Coat. The Tailwind Coat can be expended as a Reaction when using an Attack to ignore Speed Evasion or when they're hit by a Ranged Attack to resist it by an additional damage step.</v>
      </c>
      <c r="J582" s="190" t="str">
        <f>IFERROR(__xludf.DUMMYFUNCTION("""COMPUTED_VALUE"""),"Tier 2")</f>
        <v>Tier 2</v>
      </c>
      <c r="K582" s="174" t="b">
        <f>IFERROR(__xludf.DUMMYFUNCTION("""COMPUTED_VALUE"""),TRUE)</f>
        <v>1</v>
      </c>
      <c r="L582" s="174"/>
      <c r="M582" s="174"/>
      <c r="N582" s="174"/>
      <c r="O582" s="174"/>
      <c r="P582" s="174"/>
      <c r="Q582" s="174"/>
      <c r="R582" s="174"/>
      <c r="S582" s="174"/>
      <c r="T582" s="174"/>
      <c r="U582" s="174"/>
      <c r="V582" s="174"/>
      <c r="W582" s="174"/>
      <c r="X582" s="174"/>
      <c r="Y582" s="174"/>
      <c r="Z582" s="174"/>
    </row>
    <row r="583">
      <c r="A583" s="190" t="str">
        <f>IFERROR(__xludf.DUMMYFUNCTION("""COMPUTED_VALUE"""),"Tempest")</f>
        <v>Tempest</v>
      </c>
      <c r="B583" s="190" t="str">
        <f>IFERROR(__xludf.DUMMYFUNCTION("""COMPUTED_VALUE"""),"Flying")</f>
        <v>Flying</v>
      </c>
      <c r="C583" s="190" t="str">
        <f>IFERROR(__xludf.DUMMYFUNCTION("""COMPUTED_VALUE"""),"Status")</f>
        <v>Status</v>
      </c>
      <c r="D583" s="190" t="str">
        <f>IFERROR(__xludf.DUMMYFUNCTION("""COMPUTED_VALUE"""),"Scene x2")</f>
        <v>Scene x2</v>
      </c>
      <c r="E583" s="190" t="str">
        <f>IFERROR(__xludf.DUMMYFUNCTION("""COMPUTED_VALUE"""),"6, Ranged Blast 3, Versatile")</f>
        <v>6, Ranged Blast 3, Versatile</v>
      </c>
      <c r="F583" s="190" t="str">
        <f>IFERROR(__xludf.DUMMYFUNCTION("""COMPUTED_VALUE"""),"--")</f>
        <v>--</v>
      </c>
      <c r="G583" s="190" t="str">
        <f>IFERROR(__xludf.DUMMYFUNCTION("""COMPUTED_VALUE"""),"--")</f>
        <v>--</v>
      </c>
      <c r="H583" s="191" t="str">
        <f>IFERROR(__xludf.DUMMYFUNCTION("""COMPUTED_VALUE"""),"Tempest Hazards are created in the Range of this Attack. Whenever the user moves from their current space, the Hazards are removed. 
Tempest Hazards - When Tempest Hazards are created, note where the Attacker is on the Field, which is the direction the w"&amp;"ind is coming from. Whenever a Combatant would move into a Tempest Hazard, if they are moving against the wind, they must make a CR 5 Athletics or Acrobatics Check. If they fail this check, they cannot enter the space and Slide to the nearest Space withou"&amp;"t a Tempest Hazard. Otherwise, they treat it as Slowed Terrain. Additionally, Ranged Attacks that would cross a Tempest Hazard have a -3 Accuracy Penalty. ")</f>
        <v>Tempest Hazards are created in the Range of this Attack. Whenever the user moves from their current space, the Hazards are removed. 
Tempest Hazards - When Tempest Hazards are created, note where the Attacker is on the Field, which is the direction the wind is coming from. Whenever a Combatant would move into a Tempest Hazard, if they are moving against the wind, they must make a CR 5 Athletics or Acrobatics Check. If they fail this check, they cannot enter the space and Slide to the nearest Space without a Tempest Hazard. Otherwise, they treat it as Slowed Terrain. Additionally, Ranged Attacks that would cross a Tempest Hazard have a -3 Accuracy Penalty. </v>
      </c>
      <c r="I583" s="191" t="str">
        <f>IFERROR(__xludf.DUMMYFUNCTION("""COMPUTED_VALUE"""),"Same as the normal Effects but the Hazards are removed at the end of the Round and the CR is 3.")</f>
        <v>Same as the normal Effects but the Hazards are removed at the end of the Round and the CR is 3.</v>
      </c>
      <c r="J583" s="190" t="str">
        <f>IFERROR(__xludf.DUMMYFUNCTION("""COMPUTED_VALUE"""),"Tier 2")</f>
        <v>Tier 2</v>
      </c>
      <c r="K583" s="174" t="b">
        <f>IFERROR(__xludf.DUMMYFUNCTION("""COMPUTED_VALUE"""),TRUE)</f>
        <v>1</v>
      </c>
      <c r="L583" s="174"/>
      <c r="M583" s="174"/>
      <c r="N583" s="174"/>
      <c r="O583" s="174"/>
      <c r="P583" s="174"/>
      <c r="Q583" s="174"/>
      <c r="R583" s="174"/>
      <c r="S583" s="174"/>
      <c r="T583" s="174"/>
      <c r="U583" s="174"/>
      <c r="V583" s="174"/>
      <c r="W583" s="174"/>
      <c r="X583" s="174"/>
      <c r="Y583" s="174"/>
      <c r="Z583" s="174"/>
    </row>
    <row r="584">
      <c r="A584" s="190" t="str">
        <f>IFERROR(__xludf.DUMMYFUNCTION("""COMPUTED_VALUE"""),"Wind Blades")</f>
        <v>Wind Blades</v>
      </c>
      <c r="B584" s="190" t="str">
        <f>IFERROR(__xludf.DUMMYFUNCTION("""COMPUTED_VALUE"""),"Flying")</f>
        <v>Flying</v>
      </c>
      <c r="C584" s="190" t="str">
        <f>IFERROR(__xludf.DUMMYFUNCTION("""COMPUTED_VALUE"""),"Physical")</f>
        <v>Physical</v>
      </c>
      <c r="D584" s="190" t="str">
        <f>IFERROR(__xludf.DUMMYFUNCTION("""COMPUTED_VALUE"""),"EOT")</f>
        <v>EOT</v>
      </c>
      <c r="E584" s="190" t="str">
        <f>IFERROR(__xludf.DUMMYFUNCTION("""COMPUTED_VALUE"""),"6, 1 Target")</f>
        <v>6, 1 Target</v>
      </c>
      <c r="F584" s="190">
        <f>IFERROR(__xludf.DUMMYFUNCTION("""COMPUTED_VALUE"""),3.0)</f>
        <v>3</v>
      </c>
      <c r="G584" s="190">
        <f>IFERROR(__xludf.DUMMYFUNCTION("""COMPUTED_VALUE"""),7.0)</f>
        <v>7</v>
      </c>
      <c r="H584" s="191" t="str">
        <f>IFERROR(__xludf.DUMMYFUNCTION("""COMPUTED_VALUE"""),"Wind Blades is a Critical Hit on a roll of 18+")</f>
        <v>Wind Blades is a Critical Hit on a roll of 18+</v>
      </c>
      <c r="I584" s="191" t="str">
        <f>IFERROR(__xludf.DUMMYFUNCTION("""COMPUTED_VALUE"""),"--")</f>
        <v>--</v>
      </c>
      <c r="J584" s="190" t="str">
        <f>IFERROR(__xludf.DUMMYFUNCTION("""COMPUTED_VALUE"""),"Tier 1")</f>
        <v>Tier 1</v>
      </c>
      <c r="K584" s="174" t="b">
        <f>IFERROR(__xludf.DUMMYFUNCTION("""COMPUTED_VALUE"""),TRUE)</f>
        <v>1</v>
      </c>
      <c r="L584" s="174"/>
      <c r="M584" s="174"/>
      <c r="N584" s="174"/>
      <c r="O584" s="174"/>
      <c r="P584" s="174"/>
      <c r="Q584" s="174"/>
      <c r="R584" s="174"/>
      <c r="S584" s="174"/>
      <c r="T584" s="174"/>
      <c r="U584" s="174"/>
      <c r="V584" s="174"/>
      <c r="W584" s="174"/>
      <c r="X584" s="174"/>
      <c r="Y584" s="174"/>
      <c r="Z584" s="174"/>
    </row>
    <row r="585">
      <c r="A585" s="190" t="str">
        <f>IFERROR(__xludf.DUMMYFUNCTION("""COMPUTED_VALUE"""),"Wind Shift")</f>
        <v>Wind Shift</v>
      </c>
      <c r="B585" s="190" t="str">
        <f>IFERROR(__xludf.DUMMYFUNCTION("""COMPUTED_VALUE"""),"Flying")</f>
        <v>Flying</v>
      </c>
      <c r="C585" s="190" t="str">
        <f>IFERROR(__xludf.DUMMYFUNCTION("""COMPUTED_VALUE"""),"Status")</f>
        <v>Status</v>
      </c>
      <c r="D585" s="190" t="str">
        <f>IFERROR(__xludf.DUMMYFUNCTION("""COMPUTED_VALUE"""),"Scene x2")</f>
        <v>Scene x2</v>
      </c>
      <c r="E585" s="190" t="str">
        <f>IFERROR(__xludf.DUMMYFUNCTION("""COMPUTED_VALUE"""),"3, 1 Target, Trigger")</f>
        <v>3, 1 Target, Trigger</v>
      </c>
      <c r="F585" s="190" t="str">
        <f>IFERROR(__xludf.DUMMYFUNCTION("""COMPUTED_VALUE"""),"--")</f>
        <v>--</v>
      </c>
      <c r="G585" s="190" t="str">
        <f>IFERROR(__xludf.DUMMYFUNCTION("""COMPUTED_VALUE"""),"--")</f>
        <v>--</v>
      </c>
      <c r="H585" s="191" t="str">
        <f>IFERROR(__xludf.DUMMYFUNCTION("""COMPUTED_VALUE"""),"Wind Shift can only be used as a Swift Action + Reaction when an Enemy uses a 1 Target, Ranged Attack on an Ally within 3m of you. Choose another Ally within 3m of you or yourself to become the new Target. ")</f>
        <v>Wind Shift can only be used as a Swift Action + Reaction when an Enemy uses a 1 Target, Ranged Attack on an Ally within 3m of you. Choose another Ally within 3m of you or yourself to become the new Target. </v>
      </c>
      <c r="I585" s="191" t="str">
        <f>IFERROR(__xludf.DUMMYFUNCTION("""COMPUTED_VALUE"""),"--")</f>
        <v>--</v>
      </c>
      <c r="J585" s="190" t="str">
        <f>IFERROR(__xludf.DUMMYFUNCTION("""COMPUTED_VALUE"""),"Tier 2")</f>
        <v>Tier 2</v>
      </c>
      <c r="K585" s="174" t="b">
        <f>IFERROR(__xludf.DUMMYFUNCTION("""COMPUTED_VALUE"""),TRUE)</f>
        <v>1</v>
      </c>
      <c r="L585" s="174"/>
      <c r="M585" s="174"/>
      <c r="N585" s="174"/>
      <c r="O585" s="174"/>
      <c r="P585" s="174"/>
      <c r="Q585" s="174"/>
      <c r="R585" s="174"/>
      <c r="S585" s="174"/>
      <c r="T585" s="174"/>
      <c r="U585" s="174"/>
      <c r="V585" s="174"/>
      <c r="W585" s="174"/>
      <c r="X585" s="174"/>
      <c r="Y585" s="174"/>
      <c r="Z585" s="174"/>
    </row>
    <row r="586">
      <c r="A586" s="190" t="str">
        <f>IFERROR(__xludf.DUMMYFUNCTION("""COMPUTED_VALUE"""),"Wind Storm")</f>
        <v>Wind Storm</v>
      </c>
      <c r="B586" s="190" t="str">
        <f>IFERROR(__xludf.DUMMYFUNCTION("""COMPUTED_VALUE"""),"Flying")</f>
        <v>Flying</v>
      </c>
      <c r="C586" s="190" t="str">
        <f>IFERROR(__xludf.DUMMYFUNCTION("""COMPUTED_VALUE"""),"Status")</f>
        <v>Status</v>
      </c>
      <c r="D586" s="190" t="str">
        <f>IFERROR(__xludf.DUMMYFUNCTION("""COMPUTED_VALUE"""),"Scene x2")</f>
        <v>Scene x2</v>
      </c>
      <c r="E586" s="190" t="str">
        <f>IFERROR(__xludf.DUMMYFUNCTION("""COMPUTED_VALUE"""),"Field, Versatile, Weather")</f>
        <v>Field, Versatile, Weather</v>
      </c>
      <c r="F586" s="190" t="str">
        <f>IFERROR(__xludf.DUMMYFUNCTION("""COMPUTED_VALUE"""),"--")</f>
        <v>--</v>
      </c>
      <c r="G586" s="190" t="str">
        <f>IFERROR(__xludf.DUMMYFUNCTION("""COMPUTED_VALUE"""),"--")</f>
        <v>--</v>
      </c>
      <c r="H586" s="191" t="str">
        <f>IFERROR(__xludf.DUMMYFUNCTION("""COMPUTED_VALUE"""),"The Field becomes Storming for the next 5 Rounds. While the Field is Storming, non Flying Type Enemies lose a Tick of Hit Points at the start of their Turn and Flying Type Pokemon gain a Tick of Temporary Hit Points at the start of their Turn. While the F"&amp;"ield is Storming, the Weather becomes Windy.")</f>
        <v>The Field becomes Storming for the next 5 Rounds. While the Field is Storming, non Flying Type Enemies lose a Tick of Hit Points at the start of their Turn and Flying Type Pokemon gain a Tick of Temporary Hit Points at the start of their Turn. While the Field is Storming, the Weather becomes Windy.</v>
      </c>
      <c r="I586"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586" s="190" t="str">
        <f>IFERROR(__xludf.DUMMYFUNCTION("""COMPUTED_VALUE"""),"Tier 2")</f>
        <v>Tier 2</v>
      </c>
      <c r="K586" s="174" t="b">
        <f>IFERROR(__xludf.DUMMYFUNCTION("""COMPUTED_VALUE"""),TRUE)</f>
        <v>1</v>
      </c>
      <c r="L586" s="174"/>
      <c r="M586" s="174"/>
      <c r="N586" s="174"/>
      <c r="O586" s="174"/>
      <c r="P586" s="174"/>
      <c r="Q586" s="174"/>
      <c r="R586" s="174"/>
      <c r="S586" s="174"/>
      <c r="T586" s="174"/>
      <c r="U586" s="174"/>
      <c r="V586" s="174"/>
      <c r="W586" s="174"/>
      <c r="X586" s="174"/>
      <c r="Y586" s="174"/>
      <c r="Z586" s="174"/>
    </row>
    <row r="587">
      <c r="A587" s="190" t="str">
        <f>IFERROR(__xludf.DUMMYFUNCTION("""COMPUTED_VALUE"""),"Wind Wall")</f>
        <v>Wind Wall</v>
      </c>
      <c r="B587" s="190" t="str">
        <f>IFERROR(__xludf.DUMMYFUNCTION("""COMPUTED_VALUE"""),"Flying")</f>
        <v>Flying</v>
      </c>
      <c r="C587" s="190" t="str">
        <f>IFERROR(__xludf.DUMMYFUNCTION("""COMPUTED_VALUE"""),"Status")</f>
        <v>Status</v>
      </c>
      <c r="D587" s="190" t="str">
        <f>IFERROR(__xludf.DUMMYFUNCTION("""COMPUTED_VALUE"""),"Scene x2")</f>
        <v>Scene x2</v>
      </c>
      <c r="E587" s="190" t="str">
        <f>IFERROR(__xludf.DUMMYFUNCTION("""COMPUTED_VALUE"""),"6, Hazard, Versatile, Trigger")</f>
        <v>6, Hazard, Versatile, Trigger</v>
      </c>
      <c r="F587" s="190" t="str">
        <f>IFERROR(__xludf.DUMMYFUNCTION("""COMPUTED_VALUE"""),"--")</f>
        <v>--</v>
      </c>
      <c r="G587" s="190" t="str">
        <f>IFERROR(__xludf.DUMMYFUNCTION("""COMPUTED_VALUE"""),"--")</f>
        <v>--</v>
      </c>
      <c r="H587" s="191" t="str">
        <f>IFERROR(__xludf.DUMMYFUNCTION("""COMPUTED_VALUE"""),"Choose 8 Spaces within the Range of this Attack to create Gale Hazards in such that all 8 Spaces are Adjacent to at least one other Gale Hazard. This Attack may also be Triggered as a Standard Action + Reaction when a Ranged 1 Target or Line Attack is use"&amp;"d. If used this way and the Triggering Attack’s Line of Sight would pass through a Gale Hazard, the Attack resisted an Additional Damage Step.
Gale Hazard - Spaces with Gale Hazards are treated as Slow Terrain. Ranged Attacks that Target any Combatant in"&amp;" a Gale Hazard or derive from a Combatant in a Gale Hazard suffer a -3 Penalty to Accuracy.")</f>
        <v>Choose 8 Spaces within the Range of this Attack to create Gale Hazards in such that all 8 Spaces are Adjacent to at least one other Gale Hazard. This Attack may also be Triggered as a Standard Action + Reaction when a Ranged 1 Target or Line Attack is used. If used this way and the Triggering Attack’s Line of Sight would pass through a Gale Hazard, the Attack resisted an Additional Damage Step.
Gale Hazard - Spaces with Gale Hazards are treated as Slow Terrain. Ranged Attacks that Target any Combatant in a Gale Hazard or derive from a Combatant in a Gale Hazard suffer a -3 Penalty to Accuracy.</v>
      </c>
      <c r="I587" s="191" t="str">
        <f>IFERROR(__xludf.DUMMYFUNCTION("""COMPUTED_VALUE"""),"Same as the normal Effects, but you can only choose 4 Spaces, they must be unoccupied and this can’t use the Trigger Keyword.")</f>
        <v>Same as the normal Effects, but you can only choose 4 Spaces, they must be unoccupied and this can’t use the Trigger Keyword.</v>
      </c>
      <c r="J587" s="190" t="str">
        <f>IFERROR(__xludf.DUMMYFUNCTION("""COMPUTED_VALUE"""),"Tier 2")</f>
        <v>Tier 2</v>
      </c>
      <c r="K587" s="174" t="b">
        <f>IFERROR(__xludf.DUMMYFUNCTION("""COMPUTED_VALUE"""),TRUE)</f>
        <v>1</v>
      </c>
      <c r="L587" s="174"/>
      <c r="M587" s="174"/>
      <c r="N587" s="174"/>
      <c r="O587" s="174"/>
      <c r="P587" s="174"/>
      <c r="Q587" s="174"/>
      <c r="R587" s="174"/>
      <c r="S587" s="174"/>
      <c r="T587" s="174"/>
      <c r="U587" s="174"/>
      <c r="V587" s="174"/>
      <c r="W587" s="174"/>
      <c r="X587" s="174"/>
      <c r="Y587" s="174"/>
      <c r="Z587" s="174"/>
    </row>
    <row r="588">
      <c r="A588" s="190" t="str">
        <f>IFERROR(__xludf.DUMMYFUNCTION("""COMPUTED_VALUE"""),"Wing Attack")</f>
        <v>Wing Attack</v>
      </c>
      <c r="B588" s="190" t="str">
        <f>IFERROR(__xludf.DUMMYFUNCTION("""COMPUTED_VALUE"""),"Flying")</f>
        <v>Flying</v>
      </c>
      <c r="C588" s="190" t="str">
        <f>IFERROR(__xludf.DUMMYFUNCTION("""COMPUTED_VALUE"""),"Physical")</f>
        <v>Physical</v>
      </c>
      <c r="D588" s="190" t="str">
        <f>IFERROR(__xludf.DUMMYFUNCTION("""COMPUTED_VALUE"""),"At-Will")</f>
        <v>At-Will</v>
      </c>
      <c r="E588" s="190" t="str">
        <f>IFERROR(__xludf.DUMMYFUNCTION("""COMPUTED_VALUE"""),"Melee, 1 Target, Pass")</f>
        <v>Melee, 1 Target, Pass</v>
      </c>
      <c r="F588" s="190">
        <f>IFERROR(__xludf.DUMMYFUNCTION("""COMPUTED_VALUE"""),5.0)</f>
        <v>5</v>
      </c>
      <c r="G588" s="190">
        <f>IFERROR(__xludf.DUMMYFUNCTION("""COMPUTED_VALUE"""),6.0)</f>
        <v>6</v>
      </c>
      <c r="H588" s="191" t="str">
        <f>IFERROR(__xludf.DUMMYFUNCTION("""COMPUTED_VALUE"""),"--")</f>
        <v>--</v>
      </c>
      <c r="I588" s="191" t="str">
        <f>IFERROR(__xludf.DUMMYFUNCTION("""COMPUTED_VALUE"""),"--")</f>
        <v>--</v>
      </c>
      <c r="J588" s="190" t="str">
        <f>IFERROR(__xludf.DUMMYFUNCTION("""COMPUTED_VALUE"""),"Tier 1")</f>
        <v>Tier 1</v>
      </c>
      <c r="K588" s="174" t="b">
        <f>IFERROR(__xludf.DUMMYFUNCTION("""COMPUTED_VALUE"""),TRUE)</f>
        <v>1</v>
      </c>
      <c r="L588" s="174"/>
      <c r="M588" s="174"/>
      <c r="N588" s="174"/>
      <c r="O588" s="174"/>
      <c r="P588" s="174"/>
      <c r="Q588" s="174"/>
      <c r="R588" s="174"/>
      <c r="S588" s="174"/>
      <c r="T588" s="174"/>
      <c r="U588" s="174"/>
      <c r="V588" s="174"/>
      <c r="W588" s="174"/>
      <c r="X588" s="174"/>
      <c r="Y588" s="174"/>
      <c r="Z588" s="174"/>
    </row>
    <row r="589">
      <c r="A589" s="190" t="str">
        <f>IFERROR(__xludf.DUMMYFUNCTION("""COMPUTED_VALUE"""),"Whirlwind")</f>
        <v>Whirlwind</v>
      </c>
      <c r="B589" s="190" t="str">
        <f>IFERROR(__xludf.DUMMYFUNCTION("""COMPUTED_VALUE"""),"Flying")</f>
        <v>Flying</v>
      </c>
      <c r="C589" s="190" t="str">
        <f>IFERROR(__xludf.DUMMYFUNCTION("""COMPUTED_VALUE"""),"Status")</f>
        <v>Status</v>
      </c>
      <c r="D589" s="190" t="str">
        <f>IFERROR(__xludf.DUMMYFUNCTION("""COMPUTED_VALUE"""),"Scene x2")</f>
        <v>Scene x2</v>
      </c>
      <c r="E589" s="190" t="str">
        <f>IFERROR(__xludf.DUMMYFUNCTION("""COMPUTED_VALUE"""),"Line 6 or Burst 1 or Close Blast 3; Versatile")</f>
        <v>Line 6 or Burst 1 or Close Blast 3; Versatile</v>
      </c>
      <c r="F589" s="190">
        <f>IFERROR(__xludf.DUMMYFUNCTION("""COMPUTED_VALUE"""),3.0)</f>
        <v>3</v>
      </c>
      <c r="G589" s="190" t="str">
        <f>IFERROR(__xludf.DUMMYFUNCTION("""COMPUTED_VALUE"""),"--")</f>
        <v>--</v>
      </c>
      <c r="H589" s="191" t="str">
        <f>IFERROR(__xludf.DUMMYFUNCTION("""COMPUTED_VALUE"""),"You may destroy any Non-Blocking Hazards within the Range of this Attack. Targets hit by this Attack must perform an Acrobatics Check. You may Slide any Targets hit this way a number of meters at most equal to 6 minus their rolled successes. If they rolle"&amp;"d less than 2 Successes, they become Tripped. Spirit Surge")</f>
        <v>You may destroy any Non-Blocking Hazards within the Range of this Attack. Targets hit by this Attack must perform an Acrobatics Check. You may Slide any Targets hit this way a number of meters at most equal to 6 minus their rolled successes. If they rolled less than 2 Successes, they become Tripped. Spirit Surge</v>
      </c>
      <c r="I589" s="191" t="str">
        <f>IFERROR(__xludf.DUMMYFUNCTION("""COMPUTED_VALUE"""),"When used this way, the Range becomes Close Blast 2. You may Slide Enemies hit by this Attack up to 3m. You may destroy any non-Blocking Hazards within the Range of this Attack. Spirit Surge")</f>
        <v>When used this way, the Range becomes Close Blast 2. You may Slide Enemies hit by this Attack up to 3m. You may destroy any non-Blocking Hazards within the Range of this Attack. Spirit Surge</v>
      </c>
      <c r="J589" s="190" t="str">
        <f>IFERROR(__xludf.DUMMYFUNCTION("""COMPUTED_VALUE"""),"Tier 2")</f>
        <v>Tier 2</v>
      </c>
      <c r="K589" s="174" t="b">
        <f>IFERROR(__xludf.DUMMYFUNCTION("""COMPUTED_VALUE"""),TRUE)</f>
        <v>1</v>
      </c>
      <c r="L589" s="174"/>
      <c r="M589" s="174"/>
      <c r="N589" s="174"/>
      <c r="O589" s="174"/>
      <c r="P589" s="174"/>
      <c r="Q589" s="174"/>
      <c r="R589" s="174"/>
      <c r="S589" s="174"/>
      <c r="T589" s="174"/>
      <c r="U589" s="174"/>
      <c r="V589" s="174"/>
      <c r="W589" s="174"/>
      <c r="X589" s="174"/>
      <c r="Y589" s="174"/>
      <c r="Z589" s="174"/>
    </row>
    <row r="590">
      <c r="A590" s="190" t="str">
        <f>IFERROR(__xludf.DUMMYFUNCTION("""COMPUTED_VALUE"""),"Astonish")</f>
        <v>Astonish</v>
      </c>
      <c r="B590" s="190" t="str">
        <f>IFERROR(__xludf.DUMMYFUNCTION("""COMPUTED_VALUE"""),"Ghost")</f>
        <v>Ghost</v>
      </c>
      <c r="C590" s="190" t="str">
        <f>IFERROR(__xludf.DUMMYFUNCTION("""COMPUTED_VALUE"""),"Physical")</f>
        <v>Physical</v>
      </c>
      <c r="D590" s="190" t="str">
        <f>IFERROR(__xludf.DUMMYFUNCTION("""COMPUTED_VALUE"""),"At-Will")</f>
        <v>At-Will</v>
      </c>
      <c r="E590" s="190" t="str">
        <f>IFERROR(__xludf.DUMMYFUNCTION("""COMPUTED_VALUE"""),"Melee, 1 Target")</f>
        <v>Melee, 1 Target</v>
      </c>
      <c r="F590" s="190">
        <f>IFERROR(__xludf.DUMMYFUNCTION("""COMPUTED_VALUE"""),2.0)</f>
        <v>2</v>
      </c>
      <c r="G590" s="190">
        <f>IFERROR(__xludf.DUMMYFUNCTION("""COMPUTED_VALUE"""),5.0)</f>
        <v>5</v>
      </c>
      <c r="H590" s="191" t="str">
        <f>IFERROR(__xludf.DUMMYFUNCTION("""COMPUTED_VALUE"""),"If the Target is Flanked, they cannot use Reactions in response to this Attack.")</f>
        <v>If the Target is Flanked, they cannot use Reactions in response to this Attack.</v>
      </c>
      <c r="I590" s="191" t="str">
        <f>IFERROR(__xludf.DUMMYFUNCTION("""COMPUTED_VALUE"""),"--")</f>
        <v>--</v>
      </c>
      <c r="J590" s="190" t="str">
        <f>IFERROR(__xludf.DUMMYFUNCTION("""COMPUTED_VALUE"""),"Tier 1")</f>
        <v>Tier 1</v>
      </c>
      <c r="K590" s="174" t="b">
        <f>IFERROR(__xludf.DUMMYFUNCTION("""COMPUTED_VALUE"""),TRUE)</f>
        <v>1</v>
      </c>
      <c r="L590" s="174"/>
      <c r="M590" s="174"/>
      <c r="N590" s="174"/>
      <c r="O590" s="174"/>
      <c r="P590" s="174"/>
      <c r="Q590" s="174"/>
      <c r="R590" s="174"/>
      <c r="S590" s="174"/>
      <c r="T590" s="174"/>
      <c r="U590" s="174"/>
      <c r="V590" s="174"/>
      <c r="W590" s="174"/>
      <c r="X590" s="174"/>
      <c r="Y590" s="174"/>
      <c r="Z590" s="174"/>
    </row>
    <row r="591">
      <c r="A591" s="190" t="str">
        <f>IFERROR(__xludf.DUMMYFUNCTION("""COMPUTED_VALUE"""),"Baneful Claw")</f>
        <v>Baneful Claw</v>
      </c>
      <c r="B591" s="190" t="str">
        <f>IFERROR(__xludf.DUMMYFUNCTION("""COMPUTED_VALUE"""),"Ghost")</f>
        <v>Ghost</v>
      </c>
      <c r="C591" s="190" t="str">
        <f>IFERROR(__xludf.DUMMYFUNCTION("""COMPUTED_VALUE"""),"Physical")</f>
        <v>Physical</v>
      </c>
      <c r="D591" s="190" t="str">
        <f>IFERROR(__xludf.DUMMYFUNCTION("""COMPUTED_VALUE"""),"Scene x2")</f>
        <v>Scene x2</v>
      </c>
      <c r="E591" s="190" t="str">
        <f>IFERROR(__xludf.DUMMYFUNCTION("""COMPUTED_VALUE"""),"Close Blast 2")</f>
        <v>Close Blast 2</v>
      </c>
      <c r="F591" s="190">
        <f>IFERROR(__xludf.DUMMYFUNCTION("""COMPUTED_VALUE"""),6.0)</f>
        <v>6</v>
      </c>
      <c r="G591" s="190">
        <f>IFERROR(__xludf.DUMMYFUNCTION("""COMPUTED_VALUE"""),7.0)</f>
        <v>7</v>
      </c>
      <c r="H591" s="191" t="str">
        <f>IFERROR(__xludf.DUMMYFUNCTION("""COMPUTED_VALUE"""),"On Even rolls, all Targets become Wounded. On Odd rolls, all Targets become Suppressed")</f>
        <v>On Even rolls, all Targets become Wounded. On Odd rolls, all Targets become Suppressed</v>
      </c>
      <c r="I591" s="191" t="str">
        <f>IFERROR(__xludf.DUMMYFUNCTION("""COMPUTED_VALUE"""),"--")</f>
        <v>--</v>
      </c>
      <c r="J591" s="190" t="str">
        <f>IFERROR(__xludf.DUMMYFUNCTION("""COMPUTED_VALUE"""),"Tier 2")</f>
        <v>Tier 2</v>
      </c>
      <c r="K591" s="174" t="b">
        <f>IFERROR(__xludf.DUMMYFUNCTION("""COMPUTED_VALUE"""),TRUE)</f>
        <v>1</v>
      </c>
      <c r="L591" s="174"/>
      <c r="M591" s="174"/>
      <c r="N591" s="174"/>
      <c r="O591" s="174"/>
      <c r="P591" s="174"/>
      <c r="Q591" s="174"/>
      <c r="R591" s="174"/>
      <c r="S591" s="174"/>
      <c r="T591" s="174"/>
      <c r="U591" s="174"/>
      <c r="V591" s="174"/>
      <c r="W591" s="174"/>
      <c r="X591" s="174"/>
      <c r="Y591" s="174"/>
      <c r="Z591" s="174"/>
    </row>
    <row r="592">
      <c r="A592" s="190" t="str">
        <f>IFERROR(__xludf.DUMMYFUNCTION("""COMPUTED_VALUE"""),"Confuse Ray")</f>
        <v>Confuse Ray</v>
      </c>
      <c r="B592" s="190" t="str">
        <f>IFERROR(__xludf.DUMMYFUNCTION("""COMPUTED_VALUE"""),"Ghost")</f>
        <v>Ghost</v>
      </c>
      <c r="C592" s="190" t="str">
        <f>IFERROR(__xludf.DUMMYFUNCTION("""COMPUTED_VALUE"""),"Status")</f>
        <v>Status</v>
      </c>
      <c r="D592" s="190" t="str">
        <f>IFERROR(__xludf.DUMMYFUNCTION("""COMPUTED_VALUE"""),"EOT")</f>
        <v>EOT</v>
      </c>
      <c r="E592" s="190" t="str">
        <f>IFERROR(__xludf.DUMMYFUNCTION("""COMPUTED_VALUE"""),"6, 1 Target, Versatile")</f>
        <v>6, 1 Target, Versatile</v>
      </c>
      <c r="F592" s="190">
        <f>IFERROR(__xludf.DUMMYFUNCTION("""COMPUTED_VALUE"""),4.0)</f>
        <v>4</v>
      </c>
      <c r="G592" s="190" t="str">
        <f>IFERROR(__xludf.DUMMYFUNCTION("""COMPUTED_VALUE"""),"--")</f>
        <v>--</v>
      </c>
      <c r="H592" s="191" t="str">
        <f>IFERROR(__xludf.DUMMYFUNCTION("""COMPUTED_VALUE"""),"The Target becomes Dazed. While Dazed this way, their Damaging Attacks have the Recoil 1/2 Keyword. ")</f>
        <v>The Target becomes Dazed. While Dazed this way, their Damaging Attacks have the Recoil 1/2 Keyword. </v>
      </c>
      <c r="I592" s="191" t="str">
        <f>IFERROR(__xludf.DUMMYFUNCTION("""COMPUTED_VALUE"""),"The Target becomes Dazed.")</f>
        <v>The Target becomes Dazed.</v>
      </c>
      <c r="J592" s="190" t="str">
        <f>IFERROR(__xludf.DUMMYFUNCTION("""COMPUTED_VALUE"""),"Tier 1")</f>
        <v>Tier 1</v>
      </c>
      <c r="K592" s="174" t="b">
        <f>IFERROR(__xludf.DUMMYFUNCTION("""COMPUTED_VALUE"""),TRUE)</f>
        <v>1</v>
      </c>
      <c r="L592" s="174"/>
      <c r="M592" s="174"/>
      <c r="N592" s="174"/>
      <c r="O592" s="174"/>
      <c r="P592" s="174"/>
      <c r="Q592" s="174"/>
      <c r="R592" s="174"/>
      <c r="S592" s="174"/>
      <c r="T592" s="174"/>
      <c r="U592" s="174"/>
      <c r="V592" s="174"/>
      <c r="W592" s="174"/>
      <c r="X592" s="174"/>
      <c r="Y592" s="174"/>
      <c r="Z592" s="174"/>
    </row>
    <row r="593">
      <c r="A593" s="190" t="str">
        <f>IFERROR(__xludf.DUMMYFUNCTION("""COMPUTED_VALUE"""),"Curse")</f>
        <v>Curse</v>
      </c>
      <c r="B593" s="190" t="str">
        <f>IFERROR(__xludf.DUMMYFUNCTION("""COMPUTED_VALUE"""),"Ghost")</f>
        <v>Ghost</v>
      </c>
      <c r="C593" s="190" t="str">
        <f>IFERROR(__xludf.DUMMYFUNCTION("""COMPUTED_VALUE"""),"Status")</f>
        <v>Status</v>
      </c>
      <c r="D593" s="190" t="str">
        <f>IFERROR(__xludf.DUMMYFUNCTION("""COMPUTED_VALUE"""),"Scene x2")</f>
        <v>Scene x2</v>
      </c>
      <c r="E593" s="190" t="str">
        <f>IFERROR(__xludf.DUMMYFUNCTION("""COMPUTED_VALUE"""),"3, 1 Target, Versatile")</f>
        <v>3, 1 Target, Versatile</v>
      </c>
      <c r="F593" s="190">
        <f>IFERROR(__xludf.DUMMYFUNCTION("""COMPUTED_VALUE"""),4.0)</f>
        <v>4</v>
      </c>
      <c r="G593" s="190" t="str">
        <f>IFERROR(__xludf.DUMMYFUNCTION("""COMPUTED_VALUE"""),"--")</f>
        <v>--</v>
      </c>
      <c r="H593" s="191" t="str">
        <f>IFERROR(__xludf.DUMMYFUNCTION("""COMPUTED_VALUE"""),"The Target becomes Cursed. This may also be used as a Full Action to give it the Sureshot Keyword, but you lose 2 Ticks of Hit Points after the Attack's resolution.")</f>
        <v>The Target becomes Cursed. This may also be used as a Full Action to give it the Sureshot Keyword, but you lose 2 Ticks of Hit Points after the Attack's resolution.</v>
      </c>
      <c r="I593" s="191" t="str">
        <f>IFERROR(__xludf.DUMMYFUNCTION("""COMPUTED_VALUE"""),"On a hit, the Target becomes Cursed. The user loses a Tick of Hit Points, or two if it hits. Spirit Surge")</f>
        <v>On a hit, the Target becomes Cursed. The user loses a Tick of Hit Points, or two if it hits. Spirit Surge</v>
      </c>
      <c r="J593" s="190" t="str">
        <f>IFERROR(__xludf.DUMMYFUNCTION("""COMPUTED_VALUE"""),"Tier 2")</f>
        <v>Tier 2</v>
      </c>
      <c r="K593" s="174" t="b">
        <f>IFERROR(__xludf.DUMMYFUNCTION("""COMPUTED_VALUE"""),TRUE)</f>
        <v>1</v>
      </c>
      <c r="L593" s="174"/>
      <c r="M593" s="174"/>
      <c r="N593" s="174"/>
      <c r="O593" s="174"/>
      <c r="P593" s="174"/>
      <c r="Q593" s="174"/>
      <c r="R593" s="174"/>
      <c r="S593" s="174"/>
      <c r="T593" s="174"/>
      <c r="U593" s="174"/>
      <c r="V593" s="174"/>
      <c r="W593" s="174"/>
      <c r="X593" s="174"/>
      <c r="Y593" s="174"/>
      <c r="Z593" s="174"/>
    </row>
    <row r="594">
      <c r="A594" s="190" t="str">
        <f>IFERROR(__xludf.DUMMYFUNCTION("""COMPUTED_VALUE"""),"Dark Fog")</f>
        <v>Dark Fog</v>
      </c>
      <c r="B594" s="190" t="str">
        <f>IFERROR(__xludf.DUMMYFUNCTION("""COMPUTED_VALUE"""),"Ghost")</f>
        <v>Ghost</v>
      </c>
      <c r="C594" s="190" t="str">
        <f>IFERROR(__xludf.DUMMYFUNCTION("""COMPUTED_VALUE"""),"Status")</f>
        <v>Status</v>
      </c>
      <c r="D594" s="190" t="str">
        <f>IFERROR(__xludf.DUMMYFUNCTION("""COMPUTED_VALUE"""),"Scene x2")</f>
        <v>Scene x2</v>
      </c>
      <c r="E594" s="190" t="str">
        <f>IFERROR(__xludf.DUMMYFUNCTION("""COMPUTED_VALUE"""),"Blessing, Versatile, Weather")</f>
        <v>Blessing, Versatile, Weather</v>
      </c>
      <c r="F594" s="190" t="str">
        <f>IFERROR(__xludf.DUMMYFUNCTION("""COMPUTED_VALUE"""),"--")</f>
        <v>--</v>
      </c>
      <c r="G594" s="190" t="str">
        <f>IFERROR(__xludf.DUMMYFUNCTION("""COMPUTED_VALUE"""),"--")</f>
        <v>--</v>
      </c>
      <c r="H594" s="191" t="str">
        <f>IFERROR(__xludf.DUMMYFUNCTION("""COMPUTED_VALUE"""),"Blessing - Any user affected by Dark Fog may activate it as a Free Action when using a Ghost Type Damaging Attack to grant it the Smite Keyword. If the Attack hits, it hits, it is also increased by one damage step. (Max 1.5x Effectiveness). Dark Fog may b"&amp;"e Activated 3 times and then disappears. While this Blessing persists, the Weather becomes Foggy.")</f>
        <v>Blessing - Any user affected by Dark Fog may activate it as a Free Action when using a Ghost Type Damaging Attack to grant it the Smite Keyword. If the Attack hits, it hits, it is also increased by one damage step. (Max 1.5x Effectiveness). Dark Fog may be Activated 3 times and then disappears. While this Blessing persists, the Weather becomes Foggy.</v>
      </c>
      <c r="I594" s="191" t="str">
        <f>IFERROR(__xludf.DUMMYFUNCTION("""COMPUTED_VALUE"""),"Same as the normal Effect, but it only has 1 Activation.")</f>
        <v>Same as the normal Effect, but it only has 1 Activation.</v>
      </c>
      <c r="J594" s="190" t="str">
        <f>IFERROR(__xludf.DUMMYFUNCTION("""COMPUTED_VALUE"""),"Tier 2")</f>
        <v>Tier 2</v>
      </c>
      <c r="K594" s="174" t="b">
        <f>IFERROR(__xludf.DUMMYFUNCTION("""COMPUTED_VALUE"""),TRUE)</f>
        <v>1</v>
      </c>
      <c r="L594" s="174"/>
      <c r="M594" s="174"/>
      <c r="N594" s="174"/>
      <c r="O594" s="174"/>
      <c r="P594" s="174"/>
      <c r="Q594" s="174"/>
      <c r="R594" s="174"/>
      <c r="S594" s="174"/>
      <c r="T594" s="174"/>
      <c r="U594" s="174"/>
      <c r="V594" s="174"/>
      <c r="W594" s="174"/>
      <c r="X594" s="174"/>
      <c r="Y594" s="174"/>
      <c r="Z594" s="174"/>
    </row>
    <row r="595">
      <c r="A595" s="190" t="str">
        <f>IFERROR(__xludf.DUMMYFUNCTION("""COMPUTED_VALUE"""),"Deathly Wail")</f>
        <v>Deathly Wail</v>
      </c>
      <c r="B595" s="190" t="str">
        <f>IFERROR(__xludf.DUMMYFUNCTION("""COMPUTED_VALUE"""),"Ghost")</f>
        <v>Ghost</v>
      </c>
      <c r="C595" s="190" t="str">
        <f>IFERROR(__xludf.DUMMYFUNCTION("""COMPUTED_VALUE"""),"Special")</f>
        <v>Special</v>
      </c>
      <c r="D595" s="190" t="str">
        <f>IFERROR(__xludf.DUMMYFUNCTION("""COMPUTED_VALUE"""),"Scene")</f>
        <v>Scene</v>
      </c>
      <c r="E595" s="190" t="str">
        <f>IFERROR(__xludf.DUMMYFUNCTION("""COMPUTED_VALUE"""),"Burst 2, Full Action, Sonic")</f>
        <v>Burst 2, Full Action, Sonic</v>
      </c>
      <c r="F595" s="190">
        <f>IFERROR(__xludf.DUMMYFUNCTION("""COMPUTED_VALUE"""),8.0)</f>
        <v>8</v>
      </c>
      <c r="G595" s="190">
        <f>IFERROR(__xludf.DUMMYFUNCTION("""COMPUTED_VALUE"""),10.0)</f>
        <v>10</v>
      </c>
      <c r="H595" s="191" t="str">
        <f>IFERROR(__xludf.DUMMYFUNCTION("""COMPUTED_VALUE"""),"On Even Rolls, all Targets become Dazed. On Odd Rolls, all Targets become Cursed. Spirit Surge.")</f>
        <v>On Even Rolls, all Targets become Dazed. On Odd Rolls, all Targets become Cursed. Spirit Surge.</v>
      </c>
      <c r="I595" s="191" t="str">
        <f>IFERROR(__xludf.DUMMYFUNCTION("""COMPUTED_VALUE"""),"--")</f>
        <v>--</v>
      </c>
      <c r="J595" s="190" t="str">
        <f>IFERROR(__xludf.DUMMYFUNCTION("""COMPUTED_VALUE"""),"Tier 3")</f>
        <v>Tier 3</v>
      </c>
      <c r="K595" s="174" t="b">
        <f>IFERROR(__xludf.DUMMYFUNCTION("""COMPUTED_VALUE"""),TRUE)</f>
        <v>1</v>
      </c>
      <c r="L595" s="174"/>
      <c r="M595" s="174"/>
      <c r="N595" s="174"/>
      <c r="O595" s="174"/>
      <c r="P595" s="174"/>
      <c r="Q595" s="174"/>
      <c r="R595" s="174"/>
      <c r="S595" s="174"/>
      <c r="T595" s="174"/>
      <c r="U595" s="174"/>
      <c r="V595" s="174"/>
      <c r="W595" s="174"/>
      <c r="X595" s="174"/>
      <c r="Y595" s="174"/>
      <c r="Z595" s="174"/>
    </row>
    <row r="596">
      <c r="A596" s="190" t="str">
        <f>IFERROR(__xludf.DUMMYFUNCTION("""COMPUTED_VALUE"""),"Deception")</f>
        <v>Deception</v>
      </c>
      <c r="B596" s="190" t="str">
        <f>IFERROR(__xludf.DUMMYFUNCTION("""COMPUTED_VALUE"""),"Ghost")</f>
        <v>Ghost</v>
      </c>
      <c r="C596" s="190" t="str">
        <f>IFERROR(__xludf.DUMMYFUNCTION("""COMPUTED_VALUE"""),"Status")</f>
        <v>Status</v>
      </c>
      <c r="D596" s="190" t="str">
        <f>IFERROR(__xludf.DUMMYFUNCTION("""COMPUTED_VALUE"""),"Scene")</f>
        <v>Scene</v>
      </c>
      <c r="E596" s="190" t="str">
        <f>IFERROR(__xludf.DUMMYFUNCTION("""COMPUTED_VALUE"""),"3, 1 Target or Self; Coat")</f>
        <v>3, 1 Target or Self; Coat</v>
      </c>
      <c r="F596" s="190" t="str">
        <f>IFERROR(__xludf.DUMMYFUNCTION("""COMPUTED_VALUE"""),"--")</f>
        <v>--</v>
      </c>
      <c r="G596" s="190" t="str">
        <f>IFERROR(__xludf.DUMMYFUNCTION("""COMPUTED_VALUE"""),"--")</f>
        <v>--</v>
      </c>
      <c r="H596" s="191" t="str">
        <f>IFERROR(__xludf.DUMMYFUNCTION("""COMPUTED_VALUE"""),"The Target gains a Deception Coat. They may activate this Coat when an Enemy misses them with an Attack to cause them to become Dazed. They also may activate this Coat as a Reaction when they miss an Attack against a single Target to instead cause it to h"&amp;"it. This Coat is expended after it is activated twice.")</f>
        <v>The Target gains a Deception Coat. They may activate this Coat when an Enemy misses them with an Attack to cause them to become Dazed. They also may activate this Coat as a Reaction when they miss an Attack against a single Target to instead cause it to hit. This Coat is expended after it is activated twice.</v>
      </c>
      <c r="I596" s="191" t="str">
        <f>IFERROR(__xludf.DUMMYFUNCTION("""COMPUTED_VALUE"""),"--")</f>
        <v>--</v>
      </c>
      <c r="J596" s="190" t="str">
        <f>IFERROR(__xludf.DUMMYFUNCTION("""COMPUTED_VALUE"""),"Tier 3")</f>
        <v>Tier 3</v>
      </c>
      <c r="K596" s="174" t="b">
        <f>IFERROR(__xludf.DUMMYFUNCTION("""COMPUTED_VALUE"""),FALSE)</f>
        <v>0</v>
      </c>
      <c r="L596" s="174"/>
      <c r="M596" s="174"/>
      <c r="N596" s="174"/>
      <c r="O596" s="174"/>
      <c r="P596" s="174"/>
      <c r="Q596" s="174"/>
      <c r="R596" s="174"/>
      <c r="S596" s="174"/>
      <c r="T596" s="174"/>
      <c r="U596" s="174"/>
      <c r="V596" s="174"/>
      <c r="W596" s="174"/>
      <c r="X596" s="174"/>
      <c r="Y596" s="174"/>
      <c r="Z596" s="174"/>
    </row>
    <row r="597">
      <c r="A597" s="190" t="str">
        <f>IFERROR(__xludf.DUMMYFUNCTION("""COMPUTED_VALUE"""),"Destiny Bond")</f>
        <v>Destiny Bond</v>
      </c>
      <c r="B597" s="190" t="str">
        <f>IFERROR(__xludf.DUMMYFUNCTION("""COMPUTED_VALUE"""),"Ghost")</f>
        <v>Ghost</v>
      </c>
      <c r="C597" s="190" t="str">
        <f>IFERROR(__xludf.DUMMYFUNCTION("""COMPUTED_VALUE"""),"Status")</f>
        <v>Status</v>
      </c>
      <c r="D597" s="190" t="str">
        <f>IFERROR(__xludf.DUMMYFUNCTION("""COMPUTED_VALUE"""),"Scene")</f>
        <v>Scene</v>
      </c>
      <c r="E597" s="190" t="str">
        <f>IFERROR(__xludf.DUMMYFUNCTION("""COMPUTED_VALUE"""),"3, 1 Target")</f>
        <v>3, 1 Target</v>
      </c>
      <c r="F597" s="190" t="str">
        <f>IFERROR(__xludf.DUMMYFUNCTION("""COMPUTED_VALUE"""),"--")</f>
        <v>--</v>
      </c>
      <c r="G597" s="190" t="str">
        <f>IFERROR(__xludf.DUMMYFUNCTION("""COMPUTED_VALUE"""),"--")</f>
        <v>--</v>
      </c>
      <c r="H597" s="191" t="str">
        <f>IFERROR(__xludf.DUMMYFUNCTION("""COMPUTED_VALUE"""),"The Target becomes Marked with a Destiny Mark. Whenever the user takes damage or loses Hit Points from a source other than itself, their ally or another Destiny Mark, the Combatant with your Destiny Mark loses Hit Points equal to the amount lost. Sureshot"&amp;".")</f>
        <v>The Target becomes Marked with a Destiny Mark. Whenever the user takes damage or loses Hit Points from a source other than itself, their ally or another Destiny Mark, the Combatant with your Destiny Mark loses Hit Points equal to the amount lost. Sureshot.</v>
      </c>
      <c r="I597" s="191" t="str">
        <f>IFERROR(__xludf.DUMMYFUNCTION("""COMPUTED_VALUE"""),"--")</f>
        <v>--</v>
      </c>
      <c r="J597" s="190" t="str">
        <f>IFERROR(__xludf.DUMMYFUNCTION("""COMPUTED_VALUE"""),"Tier 3")</f>
        <v>Tier 3</v>
      </c>
      <c r="K597" s="174" t="b">
        <f>IFERROR(__xludf.DUMMYFUNCTION("""COMPUTED_VALUE"""),FALSE)</f>
        <v>0</v>
      </c>
      <c r="L597" s="174"/>
      <c r="M597" s="174"/>
      <c r="N597" s="174"/>
      <c r="O597" s="174"/>
      <c r="P597" s="174"/>
      <c r="Q597" s="174"/>
      <c r="R597" s="174"/>
      <c r="S597" s="174"/>
      <c r="T597" s="174"/>
      <c r="U597" s="174"/>
      <c r="V597" s="174"/>
      <c r="W597" s="174"/>
      <c r="X597" s="174"/>
      <c r="Y597" s="174"/>
      <c r="Z597" s="174"/>
    </row>
    <row r="598">
      <c r="A598" s="190" t="str">
        <f>IFERROR(__xludf.DUMMYFUNCTION("""COMPUTED_VALUE"""),"Devious Strike")</f>
        <v>Devious Strike</v>
      </c>
      <c r="B598" s="190" t="str">
        <f>IFERROR(__xludf.DUMMYFUNCTION("""COMPUTED_VALUE"""),"Ghost")</f>
        <v>Ghost</v>
      </c>
      <c r="C598" s="190" t="str">
        <f>IFERROR(__xludf.DUMMYFUNCTION("""COMPUTED_VALUE"""),"Physical")</f>
        <v>Physical</v>
      </c>
      <c r="D598" s="190" t="str">
        <f>IFERROR(__xludf.DUMMYFUNCTION("""COMPUTED_VALUE"""),"EOT")</f>
        <v>EOT</v>
      </c>
      <c r="E598" s="190" t="str">
        <f>IFERROR(__xludf.DUMMYFUNCTION("""COMPUTED_VALUE"""),"Melee, 1 Target")</f>
        <v>Melee, 1 Target</v>
      </c>
      <c r="F598" s="190">
        <f>IFERROR(__xludf.DUMMYFUNCTION("""COMPUTED_VALUE"""),2.0)</f>
        <v>2</v>
      </c>
      <c r="G598" s="190">
        <f>IFERROR(__xludf.DUMMYFUNCTION("""COMPUTED_VALUE"""),6.0)</f>
        <v>6</v>
      </c>
      <c r="H598" s="191" t="str">
        <f>IFERROR(__xludf.DUMMYFUNCTION("""COMPUTED_VALUE"""),"If the user performs a Distract or Hinder Maneuver against the Target this turn, they have a Boon to the opposed check.")</f>
        <v>If the user performs a Distract or Hinder Maneuver against the Target this turn, they have a Boon to the opposed check.</v>
      </c>
      <c r="I598" s="191" t="str">
        <f>IFERROR(__xludf.DUMMYFUNCTION("""COMPUTED_VALUE"""),"--")</f>
        <v>--</v>
      </c>
      <c r="J598" s="190" t="str">
        <f>IFERROR(__xludf.DUMMYFUNCTION("""COMPUTED_VALUE"""),"Tier 1")</f>
        <v>Tier 1</v>
      </c>
      <c r="K598" s="174" t="b">
        <f>IFERROR(__xludf.DUMMYFUNCTION("""COMPUTED_VALUE"""),TRUE)</f>
        <v>1</v>
      </c>
      <c r="L598" s="174"/>
      <c r="M598" s="174"/>
      <c r="N598" s="174"/>
      <c r="O598" s="174"/>
      <c r="P598" s="174"/>
      <c r="Q598" s="174"/>
      <c r="R598" s="174"/>
      <c r="S598" s="174"/>
      <c r="T598" s="174"/>
      <c r="U598" s="174"/>
      <c r="V598" s="174"/>
      <c r="W598" s="174"/>
      <c r="X598" s="174"/>
      <c r="Y598" s="174"/>
      <c r="Z598" s="174"/>
    </row>
    <row r="599">
      <c r="A599" s="190" t="str">
        <f>IFERROR(__xludf.DUMMYFUNCTION("""COMPUTED_VALUE"""),"Ghastly Scream")</f>
        <v>Ghastly Scream</v>
      </c>
      <c r="B599" s="190" t="str">
        <f>IFERROR(__xludf.DUMMYFUNCTION("""COMPUTED_VALUE"""),"Ghost")</f>
        <v>Ghost</v>
      </c>
      <c r="C599" s="190" t="str">
        <f>IFERROR(__xludf.DUMMYFUNCTION("""COMPUTED_VALUE"""),"Special")</f>
        <v>Special</v>
      </c>
      <c r="D599" s="190" t="str">
        <f>IFERROR(__xludf.DUMMYFUNCTION("""COMPUTED_VALUE"""),"At-Will")</f>
        <v>At-Will</v>
      </c>
      <c r="E599" s="190" t="str">
        <f>IFERROR(__xludf.DUMMYFUNCTION("""COMPUTED_VALUE"""),"Close Blast 2, Sonic")</f>
        <v>Close Blast 2, Sonic</v>
      </c>
      <c r="F599" s="190">
        <f>IFERROR(__xludf.DUMMYFUNCTION("""COMPUTED_VALUE"""),5.0)</f>
        <v>5</v>
      </c>
      <c r="G599" s="190">
        <f>IFERROR(__xludf.DUMMYFUNCTION("""COMPUTED_VALUE"""),5.0)</f>
        <v>5</v>
      </c>
      <c r="H599" s="191" t="str">
        <f>IFERROR(__xludf.DUMMYFUNCTION("""COMPUTED_VALUE"""),"On a roll of 18+, the Target becomes Dazed.")</f>
        <v>On a roll of 18+, the Target becomes Dazed.</v>
      </c>
      <c r="I599" s="191" t="str">
        <f>IFERROR(__xludf.DUMMYFUNCTION("""COMPUTED_VALUE"""),"--")</f>
        <v>--</v>
      </c>
      <c r="J599" s="190" t="str">
        <f>IFERROR(__xludf.DUMMYFUNCTION("""COMPUTED_VALUE"""),"Tier 1")</f>
        <v>Tier 1</v>
      </c>
      <c r="K599" s="174" t="b">
        <f>IFERROR(__xludf.DUMMYFUNCTION("""COMPUTED_VALUE"""),TRUE)</f>
        <v>1</v>
      </c>
      <c r="L599" s="174"/>
      <c r="M599" s="174"/>
      <c r="N599" s="174"/>
      <c r="O599" s="174"/>
      <c r="P599" s="174"/>
      <c r="Q599" s="174"/>
      <c r="R599" s="174"/>
      <c r="S599" s="174"/>
      <c r="T599" s="174"/>
      <c r="U599" s="174"/>
      <c r="V599" s="174"/>
      <c r="W599" s="174"/>
      <c r="X599" s="174"/>
      <c r="Y599" s="174"/>
      <c r="Z599" s="174"/>
    </row>
    <row r="600">
      <c r="A600" s="190" t="str">
        <f>IFERROR(__xludf.DUMMYFUNCTION("""COMPUTED_VALUE"""),"Grudge")</f>
        <v>Grudge</v>
      </c>
      <c r="B600" s="190" t="str">
        <f>IFERROR(__xludf.DUMMYFUNCTION("""COMPUTED_VALUE"""),"Ghost")</f>
        <v>Ghost</v>
      </c>
      <c r="C600" s="190" t="str">
        <f>IFERROR(__xludf.DUMMYFUNCTION("""COMPUTED_VALUE"""),"Status")</f>
        <v>Status</v>
      </c>
      <c r="D600" s="190" t="str">
        <f>IFERROR(__xludf.DUMMYFUNCTION("""COMPUTED_VALUE"""),"Scene")</f>
        <v>Scene</v>
      </c>
      <c r="E600" s="190" t="str">
        <f>IFERROR(__xludf.DUMMYFUNCTION("""COMPUTED_VALUE"""),"3, 1 Target, Trigger ")</f>
        <v>3, 1 Target, Trigger </v>
      </c>
      <c r="F600" s="190" t="str">
        <f>IFERROR(__xludf.DUMMYFUNCTION("""COMPUTED_VALUE"""),"--")</f>
        <v>--</v>
      </c>
      <c r="G600" s="190" t="str">
        <f>IFERROR(__xludf.DUMMYFUNCTION("""COMPUTED_VALUE"""),"--")</f>
        <v>--</v>
      </c>
      <c r="H600" s="191" t="str">
        <f>IFERROR(__xludf.DUMMYFUNCTION("""COMPUTED_VALUE"""),"You may only use Grudge as a Free Action when a Damaging Attack causes the user to faint. The Attacker becomes Cursed. An Enemy can only be affected by this Attack once per Scene. Sureshot")</f>
        <v>You may only use Grudge as a Free Action when a Damaging Attack causes the user to faint. The Attacker becomes Cursed. An Enemy can only be affected by this Attack once per Scene. Sureshot</v>
      </c>
      <c r="I600" s="191" t="str">
        <f>IFERROR(__xludf.DUMMYFUNCTION("""COMPUTED_VALUE"""),"--")</f>
        <v>--</v>
      </c>
      <c r="J600" s="190" t="str">
        <f>IFERROR(__xludf.DUMMYFUNCTION("""COMPUTED_VALUE"""),"Tier 3")</f>
        <v>Tier 3</v>
      </c>
      <c r="K600" s="174" t="b">
        <f>IFERROR(__xludf.DUMMYFUNCTION("""COMPUTED_VALUE"""),FALSE)</f>
        <v>0</v>
      </c>
      <c r="L600" s="174"/>
      <c r="M600" s="174"/>
      <c r="N600" s="174"/>
      <c r="O600" s="174"/>
      <c r="P600" s="174"/>
      <c r="Q600" s="174"/>
      <c r="R600" s="174"/>
      <c r="S600" s="174"/>
      <c r="T600" s="174"/>
      <c r="U600" s="174"/>
      <c r="V600" s="174"/>
      <c r="W600" s="174"/>
      <c r="X600" s="174"/>
      <c r="Y600" s="174"/>
      <c r="Z600" s="174"/>
    </row>
    <row r="601">
      <c r="A601" s="190" t="str">
        <f>IFERROR(__xludf.DUMMYFUNCTION("""COMPUTED_VALUE"""),"Haunted Breeze")</f>
        <v>Haunted Breeze</v>
      </c>
      <c r="B601" s="190" t="str">
        <f>IFERROR(__xludf.DUMMYFUNCTION("""COMPUTED_VALUE"""),"Ghost")</f>
        <v>Ghost</v>
      </c>
      <c r="C601" s="190" t="str">
        <f>IFERROR(__xludf.DUMMYFUNCTION("""COMPUTED_VALUE"""),"Special")</f>
        <v>Special</v>
      </c>
      <c r="D601" s="190" t="str">
        <f>IFERROR(__xludf.DUMMYFUNCTION("""COMPUTED_VALUE"""),"At-Will")</f>
        <v>At-Will</v>
      </c>
      <c r="E601" s="190" t="str">
        <f>IFERROR(__xludf.DUMMYFUNCTION("""COMPUTED_VALUE"""),"6, 1 Target")</f>
        <v>6, 1 Target</v>
      </c>
      <c r="F601" s="190">
        <f>IFERROR(__xludf.DUMMYFUNCTION("""COMPUTED_VALUE"""),3.0)</f>
        <v>3</v>
      </c>
      <c r="G601" s="190">
        <f>IFERROR(__xludf.DUMMYFUNCTION("""COMPUTED_VALUE"""),4.0)</f>
        <v>4</v>
      </c>
      <c r="H601" s="191" t="str">
        <f>IFERROR(__xludf.DUMMYFUNCTION("""COMPUTED_VALUE"""),"All Enemies adjacent to the Target lose a Tick of Hit Points. Spirit Surge")</f>
        <v>All Enemies adjacent to the Target lose a Tick of Hit Points. Spirit Surge</v>
      </c>
      <c r="I601" s="191" t="str">
        <f>IFERROR(__xludf.DUMMYFUNCTION("""COMPUTED_VALUE"""),"--")</f>
        <v>--</v>
      </c>
      <c r="J601" s="190" t="str">
        <f>IFERROR(__xludf.DUMMYFUNCTION("""COMPUTED_VALUE"""),"Tier 1")</f>
        <v>Tier 1</v>
      </c>
      <c r="K601" s="174" t="b">
        <f>IFERROR(__xludf.DUMMYFUNCTION("""COMPUTED_VALUE"""),TRUE)</f>
        <v>1</v>
      </c>
      <c r="L601" s="174"/>
      <c r="M601" s="174"/>
      <c r="N601" s="174"/>
      <c r="O601" s="174"/>
      <c r="P601" s="174"/>
      <c r="Q601" s="174"/>
      <c r="R601" s="174"/>
      <c r="S601" s="174"/>
      <c r="T601" s="174"/>
      <c r="U601" s="174"/>
      <c r="V601" s="174"/>
      <c r="W601" s="174"/>
      <c r="X601" s="174"/>
      <c r="Y601" s="174"/>
      <c r="Z601" s="174"/>
    </row>
    <row r="602">
      <c r="A602" s="190" t="str">
        <f>IFERROR(__xludf.DUMMYFUNCTION("""COMPUTED_VALUE"""),"Haunting Aura")</f>
        <v>Haunting Aura</v>
      </c>
      <c r="B602" s="190" t="str">
        <f>IFERROR(__xludf.DUMMYFUNCTION("""COMPUTED_VALUE"""),"Ghost")</f>
        <v>Ghost</v>
      </c>
      <c r="C602" s="190" t="str">
        <f>IFERROR(__xludf.DUMMYFUNCTION("""COMPUTED_VALUE"""),"Status")</f>
        <v>Status</v>
      </c>
      <c r="D602" s="190" t="str">
        <f>IFERROR(__xludf.DUMMYFUNCTION("""COMPUTED_VALUE"""),"Scene x2")</f>
        <v>Scene x2</v>
      </c>
      <c r="E602" s="190" t="str">
        <f>IFERROR(__xludf.DUMMYFUNCTION("""COMPUTED_VALUE"""),"Burst 2, Versatile")</f>
        <v>Burst 2, Versatile</v>
      </c>
      <c r="F602" s="190">
        <f>IFERROR(__xludf.DUMMYFUNCTION("""COMPUTED_VALUE"""),6.0)</f>
        <v>6</v>
      </c>
      <c r="G602" s="190" t="str">
        <f>IFERROR(__xludf.DUMMYFUNCTION("""COMPUTED_VALUE"""),"--")</f>
        <v>--</v>
      </c>
      <c r="H602" s="191" t="str">
        <f>IFERROR(__xludf.DUMMYFUNCTION("""COMPUTED_VALUE"""),"All Targets have a -3 penalty to their next Save Check. If this Attack hits, they also become Suppressed. Friendly, Spirit Surge.")</f>
        <v>All Targets have a -3 penalty to their next Save Check. If this Attack hits, they also become Suppressed. Friendly, Spirit Surge.</v>
      </c>
      <c r="I602" s="191" t="str">
        <f>IFERROR(__xludf.DUMMYFUNCTION("""COMPUTED_VALUE"""),"All Targets have a -2 penalty to their next Save Check. Friendly.")</f>
        <v>All Targets have a -2 penalty to their next Save Check. Friendly.</v>
      </c>
      <c r="J602" s="190" t="str">
        <f>IFERROR(__xludf.DUMMYFUNCTION("""COMPUTED_VALUE"""),"Tier 2")</f>
        <v>Tier 2</v>
      </c>
      <c r="K602" s="174" t="b">
        <f>IFERROR(__xludf.DUMMYFUNCTION("""COMPUTED_VALUE"""),TRUE)</f>
        <v>1</v>
      </c>
      <c r="L602" s="174"/>
      <c r="M602" s="174"/>
      <c r="N602" s="174"/>
      <c r="O602" s="174"/>
      <c r="P602" s="174"/>
      <c r="Q602" s="174"/>
      <c r="R602" s="174"/>
      <c r="S602" s="174"/>
      <c r="T602" s="174"/>
      <c r="U602" s="174"/>
      <c r="V602" s="174"/>
      <c r="W602" s="174"/>
      <c r="X602" s="174"/>
      <c r="Y602" s="174"/>
      <c r="Z602" s="174"/>
    </row>
    <row r="603">
      <c r="A603" s="190" t="str">
        <f>IFERROR(__xludf.DUMMYFUNCTION("""COMPUTED_VALUE"""),"Haunting Visage")</f>
        <v>Haunting Visage</v>
      </c>
      <c r="B603" s="190" t="str">
        <f>IFERROR(__xludf.DUMMYFUNCTION("""COMPUTED_VALUE"""),"Ghost")</f>
        <v>Ghost</v>
      </c>
      <c r="C603" s="190" t="str">
        <f>IFERROR(__xludf.DUMMYFUNCTION("""COMPUTED_VALUE"""),"Special")</f>
        <v>Special</v>
      </c>
      <c r="D603" s="190" t="str">
        <f>IFERROR(__xludf.DUMMYFUNCTION("""COMPUTED_VALUE"""),"Scene")</f>
        <v>Scene</v>
      </c>
      <c r="E603" s="190" t="str">
        <f>IFERROR(__xludf.DUMMYFUNCTION("""COMPUTED_VALUE"""),"6, 1 Target, Illusion")</f>
        <v>6, 1 Target, Illusion</v>
      </c>
      <c r="F603" s="190" t="str">
        <f>IFERROR(__xludf.DUMMYFUNCTION("""COMPUTED_VALUE"""),"--")</f>
        <v>--</v>
      </c>
      <c r="G603" s="190" t="str">
        <f>IFERROR(__xludf.DUMMYFUNCTION("""COMPUTED_VALUE"""),"--")</f>
        <v>--</v>
      </c>
      <c r="H603" s="191" t="str">
        <f>IFERROR(__xludf.DUMMYFUNCTION("""COMPUTED_VALUE"""),"Choose a Damaging Attack that has been used by the Target this Scene. You may use the chosen Attack as if it was a Ghost Type Attack and may be used as if it were Physical or Special. Sureshot")</f>
        <v>Choose a Damaging Attack that has been used by the Target this Scene. You may use the chosen Attack as if it was a Ghost Type Attack and may be used as if it were Physical or Special. Sureshot</v>
      </c>
      <c r="I603" s="191" t="str">
        <f>IFERROR(__xludf.DUMMYFUNCTION("""COMPUTED_VALUE"""),"--")</f>
        <v>--</v>
      </c>
      <c r="J603" s="190" t="str">
        <f>IFERROR(__xludf.DUMMYFUNCTION("""COMPUTED_VALUE"""),"Tier 3")</f>
        <v>Tier 3</v>
      </c>
      <c r="K603" s="174" t="b">
        <f>IFERROR(__xludf.DUMMYFUNCTION("""COMPUTED_VALUE"""),TRUE)</f>
        <v>1</v>
      </c>
      <c r="L603" s="174"/>
      <c r="M603" s="174"/>
      <c r="N603" s="174"/>
      <c r="O603" s="174"/>
      <c r="P603" s="174"/>
      <c r="Q603" s="174"/>
      <c r="R603" s="174"/>
      <c r="S603" s="174"/>
      <c r="T603" s="174"/>
      <c r="U603" s="174"/>
      <c r="V603" s="174"/>
      <c r="W603" s="174"/>
      <c r="X603" s="174"/>
      <c r="Y603" s="174"/>
      <c r="Z603" s="174"/>
    </row>
    <row r="604">
      <c r="A604" s="190" t="str">
        <f>IFERROR(__xludf.DUMMYFUNCTION("""COMPUTED_VALUE"""),"Hex")</f>
        <v>Hex</v>
      </c>
      <c r="B604" s="190" t="str">
        <f>IFERROR(__xludf.DUMMYFUNCTION("""COMPUTED_VALUE"""),"Ghost")</f>
        <v>Ghost</v>
      </c>
      <c r="C604" s="190" t="str">
        <f>IFERROR(__xludf.DUMMYFUNCTION("""COMPUTED_VALUE"""),"Special")</f>
        <v>Special</v>
      </c>
      <c r="D604" s="190" t="str">
        <f>IFERROR(__xludf.DUMMYFUNCTION("""COMPUTED_VALUE"""),"EOT")</f>
        <v>EOT</v>
      </c>
      <c r="E604" s="190" t="str">
        <f>IFERROR(__xludf.DUMMYFUNCTION("""COMPUTED_VALUE"""),"6, 1 Target")</f>
        <v>6, 1 Target</v>
      </c>
      <c r="F604" s="190">
        <f>IFERROR(__xludf.DUMMYFUNCTION("""COMPUTED_VALUE"""),4.0)</f>
        <v>4</v>
      </c>
      <c r="G604" s="190">
        <f>IFERROR(__xludf.DUMMYFUNCTION("""COMPUTED_VALUE"""),8.0)</f>
        <v>8</v>
      </c>
      <c r="H604" s="191" t="str">
        <f>IFERROR(__xludf.DUMMYFUNCTION("""COMPUTED_VALUE"""),"The Target loses a Tick of Hit Points for each Status Affliction they're affected by (Max 3).")</f>
        <v>The Target loses a Tick of Hit Points for each Status Affliction they're affected by (Max 3).</v>
      </c>
      <c r="I604" s="191" t="str">
        <f>IFERROR(__xludf.DUMMYFUNCTION("""COMPUTED_VALUE"""),"--")</f>
        <v>--</v>
      </c>
      <c r="J604" s="190" t="str">
        <f>IFERROR(__xludf.DUMMYFUNCTION("""COMPUTED_VALUE"""),"Tier 2")</f>
        <v>Tier 2</v>
      </c>
      <c r="K604" s="174" t="b">
        <f>IFERROR(__xludf.DUMMYFUNCTION("""COMPUTED_VALUE"""),TRUE)</f>
        <v>1</v>
      </c>
      <c r="L604" s="174"/>
      <c r="M604" s="174"/>
      <c r="N604" s="174"/>
      <c r="O604" s="174"/>
      <c r="P604" s="174"/>
      <c r="Q604" s="174"/>
      <c r="R604" s="174"/>
      <c r="S604" s="174"/>
      <c r="T604" s="174"/>
      <c r="U604" s="174"/>
      <c r="V604" s="174"/>
      <c r="W604" s="174"/>
      <c r="X604" s="174"/>
      <c r="Y604" s="174"/>
      <c r="Z604" s="174"/>
    </row>
    <row r="605">
      <c r="A605" s="190" t="str">
        <f>IFERROR(__xludf.DUMMYFUNCTION("""COMPUTED_VALUE"""),"Last Respects")</f>
        <v>Last Respects</v>
      </c>
      <c r="B605" s="190" t="str">
        <f>IFERROR(__xludf.DUMMYFUNCTION("""COMPUTED_VALUE"""),"Ghost")</f>
        <v>Ghost</v>
      </c>
      <c r="C605" s="190" t="str">
        <f>IFERROR(__xludf.DUMMYFUNCTION("""COMPUTED_VALUE"""),"Physical")</f>
        <v>Physical</v>
      </c>
      <c r="D605" s="190" t="str">
        <f>IFERROR(__xludf.DUMMYFUNCTION("""COMPUTED_VALUE"""),"Scene")</f>
        <v>Scene</v>
      </c>
      <c r="E605" s="190" t="str">
        <f>IFERROR(__xludf.DUMMYFUNCTION("""COMPUTED_VALUE"""),"Melee, 1 Target")</f>
        <v>Melee, 1 Target</v>
      </c>
      <c r="F605" s="190">
        <f>IFERROR(__xludf.DUMMYFUNCTION("""COMPUTED_VALUE"""),5.0)</f>
        <v>5</v>
      </c>
      <c r="G605" s="190">
        <f>IFERROR(__xludf.DUMMYFUNCTION("""COMPUTED_VALUE"""),5.0)</f>
        <v>5</v>
      </c>
      <c r="H605" s="191" t="str">
        <f>IFERROR(__xludf.DUMMYFUNCTION("""COMPUTED_VALUE"""),"This Attack’s Damage Base is increased by +5 for each allied Combatant that fainted this Scene. If all of the user’s allies are fainted or the user is the last non-Fainted Pokemon of their corresponding Trainer’s Party, Last Respects has the Sureshot Keyw"&amp;"ord.")</f>
        <v>This Attack’s Damage Base is increased by +5 for each allied Combatant that fainted this Scene. If all of the user’s allies are fainted or the user is the last non-Fainted Pokemon of their corresponding Trainer’s Party, Last Respects has the Sureshot Keyword.</v>
      </c>
      <c r="I605" s="191" t="str">
        <f>IFERROR(__xludf.DUMMYFUNCTION("""COMPUTED_VALUE"""),"--")</f>
        <v>--</v>
      </c>
      <c r="J605" s="190" t="str">
        <f>IFERROR(__xludf.DUMMYFUNCTION("""COMPUTED_VALUE"""),"Tier 2")</f>
        <v>Tier 2</v>
      </c>
      <c r="K605" s="174" t="b">
        <f>IFERROR(__xludf.DUMMYFUNCTION("""COMPUTED_VALUE"""),TRUE)</f>
        <v>1</v>
      </c>
      <c r="L605" s="174"/>
      <c r="M605" s="174"/>
      <c r="N605" s="174"/>
      <c r="O605" s="174"/>
      <c r="P605" s="174"/>
      <c r="Q605" s="174"/>
      <c r="R605" s="174"/>
      <c r="S605" s="174"/>
      <c r="T605" s="174"/>
      <c r="U605" s="174"/>
      <c r="V605" s="174"/>
      <c r="W605" s="174"/>
      <c r="X605" s="174"/>
      <c r="Y605" s="174"/>
      <c r="Z605" s="174"/>
    </row>
    <row r="606">
      <c r="A606" s="190" t="str">
        <f>IFERROR(__xludf.DUMMYFUNCTION("""COMPUTED_VALUE"""),"Lick")</f>
        <v>Lick</v>
      </c>
      <c r="B606" s="190" t="str">
        <f>IFERROR(__xludf.DUMMYFUNCTION("""COMPUTED_VALUE"""),"Ghost")</f>
        <v>Ghost</v>
      </c>
      <c r="C606" s="190" t="str">
        <f>IFERROR(__xludf.DUMMYFUNCTION("""COMPUTED_VALUE"""),"Physical")</f>
        <v>Physical</v>
      </c>
      <c r="D606" s="190" t="str">
        <f>IFERROR(__xludf.DUMMYFUNCTION("""COMPUTED_VALUE"""),"At-Will")</f>
        <v>At-Will</v>
      </c>
      <c r="E606" s="190" t="str">
        <f>IFERROR(__xludf.DUMMYFUNCTION("""COMPUTED_VALUE"""),"Melee, 1 Target")</f>
        <v>Melee, 1 Target</v>
      </c>
      <c r="F606" s="190">
        <f>IFERROR(__xludf.DUMMYFUNCTION("""COMPUTED_VALUE"""),2.0)</f>
        <v>2</v>
      </c>
      <c r="G606" s="190">
        <f>IFERROR(__xludf.DUMMYFUNCTION("""COMPUTED_VALUE"""),4.0)</f>
        <v>4</v>
      </c>
      <c r="H606" s="191" t="str">
        <f>IFERROR(__xludf.DUMMYFUNCTION("""COMPUTED_VALUE"""),"On a roll of 17+, the Target becomes Paralyzed.")</f>
        <v>On a roll of 17+, the Target becomes Paralyzed.</v>
      </c>
      <c r="I606" s="191" t="str">
        <f>IFERROR(__xludf.DUMMYFUNCTION("""COMPUTED_VALUE"""),"--")</f>
        <v>--</v>
      </c>
      <c r="J606" s="190" t="str">
        <f>IFERROR(__xludf.DUMMYFUNCTION("""COMPUTED_VALUE"""),"Tier 1")</f>
        <v>Tier 1</v>
      </c>
      <c r="K606" s="174" t="b">
        <f>IFERROR(__xludf.DUMMYFUNCTION("""COMPUTED_VALUE"""),TRUE)</f>
        <v>1</v>
      </c>
      <c r="L606" s="174"/>
      <c r="M606" s="174"/>
      <c r="N606" s="174"/>
      <c r="O606" s="174"/>
      <c r="P606" s="174"/>
      <c r="Q606" s="174"/>
      <c r="R606" s="174"/>
      <c r="S606" s="174"/>
      <c r="T606" s="174"/>
      <c r="U606" s="174"/>
      <c r="V606" s="174"/>
      <c r="W606" s="174"/>
      <c r="X606" s="174"/>
      <c r="Y606" s="174"/>
      <c r="Z606" s="174"/>
    </row>
    <row r="607">
      <c r="A607" s="190" t="str">
        <f>IFERROR(__xludf.DUMMYFUNCTION("""COMPUTED_VALUE"""),"Malice")</f>
        <v>Malice</v>
      </c>
      <c r="B607" s="190" t="str">
        <f>IFERROR(__xludf.DUMMYFUNCTION("""COMPUTED_VALUE"""),"Ghost")</f>
        <v>Ghost</v>
      </c>
      <c r="C607" s="190" t="str">
        <f>IFERROR(__xludf.DUMMYFUNCTION("""COMPUTED_VALUE"""),"Status")</f>
        <v>Status</v>
      </c>
      <c r="D607" s="190" t="str">
        <f>IFERROR(__xludf.DUMMYFUNCTION("""COMPUTED_VALUE"""),"At-Will")</f>
        <v>At-Will</v>
      </c>
      <c r="E607" s="190" t="str">
        <f>IFERROR(__xludf.DUMMYFUNCTION("""COMPUTED_VALUE"""),"6, 1 Target, Trigger")</f>
        <v>6, 1 Target, Trigger</v>
      </c>
      <c r="F607" s="190" t="str">
        <f>IFERROR(__xludf.DUMMYFUNCTION("""COMPUTED_VALUE"""),"--")</f>
        <v>--</v>
      </c>
      <c r="G607" s="190" t="str">
        <f>IFERROR(__xludf.DUMMYFUNCTION("""COMPUTED_VALUE"""),"--")</f>
        <v>--</v>
      </c>
      <c r="H607" s="191" t="str">
        <f>IFERROR(__xludf.DUMMYFUNCTION("""COMPUTED_VALUE"""),"Upon being hit by a Physical or Special Attack, the user may use Malice as a Reaction. The triggering Target loses -1 CS in Attack if it was Physical or -1 CS in Special Attack if it was Special Category. Sureshot.")</f>
        <v>Upon being hit by a Physical or Special Attack, the user may use Malice as a Reaction. The triggering Target loses -1 CS in Attack if it was Physical or -1 CS in Special Attack if it was Special Category. Sureshot.</v>
      </c>
      <c r="I607" s="191" t="str">
        <f>IFERROR(__xludf.DUMMYFUNCTION("""COMPUTED_VALUE"""),"--")</f>
        <v>--</v>
      </c>
      <c r="J607" s="190" t="str">
        <f>IFERROR(__xludf.DUMMYFUNCTION("""COMPUTED_VALUE"""),"Tier 1")</f>
        <v>Tier 1</v>
      </c>
      <c r="K607" s="174" t="b">
        <f>IFERROR(__xludf.DUMMYFUNCTION("""COMPUTED_VALUE"""),TRUE)</f>
        <v>1</v>
      </c>
      <c r="L607" s="174"/>
      <c r="M607" s="174"/>
      <c r="N607" s="174"/>
      <c r="O607" s="174"/>
      <c r="P607" s="174"/>
      <c r="Q607" s="174"/>
      <c r="R607" s="174"/>
      <c r="S607" s="174"/>
      <c r="T607" s="174"/>
      <c r="U607" s="174"/>
      <c r="V607" s="174"/>
      <c r="W607" s="174"/>
      <c r="X607" s="174"/>
      <c r="Y607" s="174"/>
      <c r="Z607" s="174"/>
    </row>
    <row r="608">
      <c r="A608" s="190" t="str">
        <f>IFERROR(__xludf.DUMMYFUNCTION("""COMPUTED_VALUE"""),"Night Shade")</f>
        <v>Night Shade</v>
      </c>
      <c r="B608" s="190" t="str">
        <f>IFERROR(__xludf.DUMMYFUNCTION("""COMPUTED_VALUE"""),"Ghost")</f>
        <v>Ghost</v>
      </c>
      <c r="C608" s="190" t="str">
        <f>IFERROR(__xludf.DUMMYFUNCTION("""COMPUTED_VALUE"""),"Status")</f>
        <v>Status</v>
      </c>
      <c r="D608" s="190" t="str">
        <f>IFERROR(__xludf.DUMMYFUNCTION("""COMPUTED_VALUE"""),"Scene x2")</f>
        <v>Scene x2</v>
      </c>
      <c r="E608" s="190" t="str">
        <f>IFERROR(__xludf.DUMMYFUNCTION("""COMPUTED_VALUE"""),"Burst 1 or Line 4; Versatile")</f>
        <v>Burst 1 or Line 4; Versatile</v>
      </c>
      <c r="F608" s="190">
        <f>IFERROR(__xludf.DUMMYFUNCTION("""COMPUTED_VALUE"""),4.0)</f>
        <v>4</v>
      </c>
      <c r="G608" s="190" t="str">
        <f>IFERROR(__xludf.DUMMYFUNCTION("""COMPUTED_VALUE"""),"--")</f>
        <v>--</v>
      </c>
      <c r="H608" s="191" t="str">
        <f>IFERROR(__xludf.DUMMYFUNCTION("""COMPUTED_VALUE"""),"The Target loses all of their Temporary Hit Points, a Tick of Hit Points, and an additional Tick for every Mental Affliction they have.  ")</f>
        <v>The Target loses all of their Temporary Hit Points, a Tick of Hit Points, and an additional Tick for every Mental Affliction they have.  </v>
      </c>
      <c r="I608" s="191" t="str">
        <f>IFERROR(__xludf.DUMMYFUNCTION("""COMPUTED_VALUE"""),"The Target loses a Tick of Hit Points for every Mental Affliction they have. This Attack can only be used this way if the Weather is Foggy.")</f>
        <v>The Target loses a Tick of Hit Points for every Mental Affliction they have. This Attack can only be used this way if the Weather is Foggy.</v>
      </c>
      <c r="J608" s="190" t="str">
        <f>IFERROR(__xludf.DUMMYFUNCTION("""COMPUTED_VALUE"""),"Tier 2")</f>
        <v>Tier 2</v>
      </c>
      <c r="K608" s="174" t="b">
        <f>IFERROR(__xludf.DUMMYFUNCTION("""COMPUTED_VALUE"""),TRUE)</f>
        <v>1</v>
      </c>
      <c r="L608" s="174"/>
      <c r="M608" s="174"/>
      <c r="N608" s="174"/>
      <c r="O608" s="174"/>
      <c r="P608" s="174"/>
      <c r="Q608" s="174"/>
      <c r="R608" s="174"/>
      <c r="S608" s="174"/>
      <c r="T608" s="174"/>
      <c r="U608" s="174"/>
      <c r="V608" s="174"/>
      <c r="W608" s="174"/>
      <c r="X608" s="174"/>
      <c r="Y608" s="174"/>
      <c r="Z608" s="174"/>
    </row>
    <row r="609">
      <c r="A609" s="190" t="str">
        <f>IFERROR(__xludf.DUMMYFUNCTION("""COMPUTED_VALUE"""),"Nightmare")</f>
        <v>Nightmare</v>
      </c>
      <c r="B609" s="190" t="str">
        <f>IFERROR(__xludf.DUMMYFUNCTION("""COMPUTED_VALUE"""),"Ghost")</f>
        <v>Ghost</v>
      </c>
      <c r="C609" s="190" t="str">
        <f>IFERROR(__xludf.DUMMYFUNCTION("""COMPUTED_VALUE"""),"Status")</f>
        <v>Status</v>
      </c>
      <c r="D609" s="190" t="str">
        <f>IFERROR(__xludf.DUMMYFUNCTION("""COMPUTED_VALUE"""),"Scene x2")</f>
        <v>Scene x2</v>
      </c>
      <c r="E609" s="190" t="str">
        <f>IFERROR(__xludf.DUMMYFUNCTION("""COMPUTED_VALUE"""),"3, 1 Target")</f>
        <v>3, 1 Target</v>
      </c>
      <c r="F609" s="190">
        <f>IFERROR(__xludf.DUMMYFUNCTION("""COMPUTED_VALUE"""),3.0)</f>
        <v>3</v>
      </c>
      <c r="G609" s="190" t="str">
        <f>IFERROR(__xludf.DUMMYFUNCTION("""COMPUTED_VALUE"""),"--")</f>
        <v>--</v>
      </c>
      <c r="H609" s="191" t="str">
        <f>IFERROR(__xludf.DUMMYFUNCTION("""COMPUTED_VALUE"""),"Nightmare can only hit Targets that are Drowsy. The Target gains a Nightmare Mark while they're Drowsy. While they have the Nightmare Mark, their Allies cannot cure them of the Drowsy Affliction. While they have the Nightmare Mark, whenever they fail a Sa"&amp;"ve Check, they lose 1d4 Ticks of Hit Points. ")</f>
        <v>Nightmare can only hit Targets that are Drowsy. The Target gains a Nightmare Mark while they're Drowsy. While they have the Nightmare Mark, their Allies cannot cure them of the Drowsy Affliction. While they have the Nightmare Mark, whenever they fail a Save Check, they lose 1d4 Ticks of Hit Points. </v>
      </c>
      <c r="I609" s="191" t="str">
        <f>IFERROR(__xludf.DUMMYFUNCTION("""COMPUTED_VALUE"""),"--")</f>
        <v>--</v>
      </c>
      <c r="J609" s="190" t="str">
        <f>IFERROR(__xludf.DUMMYFUNCTION("""COMPUTED_VALUE"""),"Tier 2")</f>
        <v>Tier 2</v>
      </c>
      <c r="K609" s="174" t="b">
        <f>IFERROR(__xludf.DUMMYFUNCTION("""COMPUTED_VALUE"""),FALSE)</f>
        <v>0</v>
      </c>
      <c r="L609" s="174"/>
      <c r="M609" s="174"/>
      <c r="N609" s="174"/>
      <c r="O609" s="174"/>
      <c r="P609" s="174"/>
      <c r="Q609" s="174"/>
      <c r="R609" s="174"/>
      <c r="S609" s="174"/>
      <c r="T609" s="174"/>
      <c r="U609" s="174"/>
      <c r="V609" s="174"/>
      <c r="W609" s="174"/>
      <c r="X609" s="174"/>
      <c r="Y609" s="174"/>
      <c r="Z609" s="174"/>
    </row>
    <row r="610">
      <c r="A610" s="190" t="str">
        <f>IFERROR(__xludf.DUMMYFUNCTION("""COMPUTED_VALUE"""),"Ominous Wind")</f>
        <v>Ominous Wind</v>
      </c>
      <c r="B610" s="190" t="str">
        <f>IFERROR(__xludf.DUMMYFUNCTION("""COMPUTED_VALUE"""),"Ghost")</f>
        <v>Ghost</v>
      </c>
      <c r="C610" s="190" t="str">
        <f>IFERROR(__xludf.DUMMYFUNCTION("""COMPUTED_VALUE"""),"Special")</f>
        <v>Special</v>
      </c>
      <c r="D610" s="190" t="str">
        <f>IFERROR(__xludf.DUMMYFUNCTION("""COMPUTED_VALUE"""),"At-Will")</f>
        <v>At-Will</v>
      </c>
      <c r="E610" s="190" t="str">
        <f>IFERROR(__xludf.DUMMYFUNCTION("""COMPUTED_VALUE"""),"4, Ranged Blast 2")</f>
        <v>4, Ranged Blast 2</v>
      </c>
      <c r="F610" s="190">
        <f>IFERROR(__xludf.DUMMYFUNCTION("""COMPUTED_VALUE"""),5.0)</f>
        <v>5</v>
      </c>
      <c r="G610" s="190">
        <f>IFERROR(__xludf.DUMMYFUNCTION("""COMPUTED_VALUE"""),5.0)</f>
        <v>5</v>
      </c>
      <c r="H610" s="191" t="str">
        <f>IFERROR(__xludf.DUMMYFUNCTION("""COMPUTED_VALUE"""),"If the Weather is Foggy, this has the Sureshot Keyword.")</f>
        <v>If the Weather is Foggy, this has the Sureshot Keyword.</v>
      </c>
      <c r="I610" s="191" t="str">
        <f>IFERROR(__xludf.DUMMYFUNCTION("""COMPUTED_VALUE"""),"--")</f>
        <v>--</v>
      </c>
      <c r="J610" s="190" t="str">
        <f>IFERROR(__xludf.DUMMYFUNCTION("""COMPUTED_VALUE"""),"Tier 1")</f>
        <v>Tier 1</v>
      </c>
      <c r="K610" s="174" t="b">
        <f>IFERROR(__xludf.DUMMYFUNCTION("""COMPUTED_VALUE"""),TRUE)</f>
        <v>1</v>
      </c>
      <c r="L610" s="174"/>
      <c r="M610" s="174"/>
      <c r="N610" s="174"/>
      <c r="O610" s="174"/>
      <c r="P610" s="174"/>
      <c r="Q610" s="174"/>
      <c r="R610" s="174"/>
      <c r="S610" s="174"/>
      <c r="T610" s="174"/>
      <c r="U610" s="174"/>
      <c r="V610" s="174"/>
      <c r="W610" s="174"/>
      <c r="X610" s="174"/>
      <c r="Y610" s="174"/>
      <c r="Z610" s="174"/>
    </row>
    <row r="611">
      <c r="A611" s="190" t="str">
        <f>IFERROR(__xludf.DUMMYFUNCTION("""COMPUTED_VALUE"""),"Phantom Force")</f>
        <v>Phantom Force</v>
      </c>
      <c r="B611" s="190" t="str">
        <f>IFERROR(__xludf.DUMMYFUNCTION("""COMPUTED_VALUE"""),"Ghost")</f>
        <v>Ghost</v>
      </c>
      <c r="C611" s="190" t="str">
        <f>IFERROR(__xludf.DUMMYFUNCTION("""COMPUTED_VALUE"""),"Physical")</f>
        <v>Physical</v>
      </c>
      <c r="D611" s="190" t="str">
        <f>IFERROR(__xludf.DUMMYFUNCTION("""COMPUTED_VALUE"""),"Scene x2")</f>
        <v>Scene x2</v>
      </c>
      <c r="E611" s="190" t="str">
        <f>IFERROR(__xludf.DUMMYFUNCTION("""COMPUTED_VALUE"""),"Melee, 1 Target, Set-Up")</f>
        <v>Melee, 1 Target, Set-Up</v>
      </c>
      <c r="F611" s="190" t="str">
        <f>IFERROR(__xludf.DUMMYFUNCTION("""COMPUTED_VALUE"""),"--")</f>
        <v>--</v>
      </c>
      <c r="G611" s="190">
        <f>IFERROR(__xludf.DUMMYFUNCTION("""COMPUTED_VALUE"""),10.0)</f>
        <v>10</v>
      </c>
      <c r="H611" s="191" t="str">
        <f>IFERROR(__xludf.DUMMYFUNCTION("""COMPUTED_VALUE"""),"Charge Effect: The user vanishes, leaving the Field and becoming Untargetable. When the User starts their turn with Charge Tokens, they immediately use Phantom Force’s Resolution Effect as a Standard Action. If they are unable to do so, they lose all Phan"&amp;"tom Force Charge Tokens, reappear within 5m of their original space, and lose Untargetable.
Resolution Effect: Unstoppable, Sureshot. ")</f>
        <v>Charge Effect: The user vanishes, leaving the Field and becoming Untargetable. When the User starts their turn with Charge Tokens, they immediately use Phantom Force’s Resolution Effect as a Standard Action. If they are unable to do so, they lose all Phantom Force Charge Tokens, reappear within 5m of their original space, and lose Untargetable.
Resolution Effect: Unstoppable, Sureshot. </v>
      </c>
      <c r="I611" s="191" t="str">
        <f>IFERROR(__xludf.DUMMYFUNCTION("""COMPUTED_VALUE"""),"--")</f>
        <v>--</v>
      </c>
      <c r="J611" s="190" t="str">
        <f>IFERROR(__xludf.DUMMYFUNCTION("""COMPUTED_VALUE"""),"Tier 3")</f>
        <v>Tier 3</v>
      </c>
      <c r="K611" s="174" t="b">
        <f>IFERROR(__xludf.DUMMYFUNCTION("""COMPUTED_VALUE"""),TRUE)</f>
        <v>1</v>
      </c>
      <c r="L611" s="174"/>
      <c r="M611" s="174"/>
      <c r="N611" s="174"/>
      <c r="O611" s="174"/>
      <c r="P611" s="174"/>
      <c r="Q611" s="174"/>
      <c r="R611" s="174"/>
      <c r="S611" s="174"/>
      <c r="T611" s="174"/>
      <c r="U611" s="174"/>
      <c r="V611" s="174"/>
      <c r="W611" s="174"/>
      <c r="X611" s="174"/>
      <c r="Y611" s="174"/>
      <c r="Z611" s="174"/>
    </row>
    <row r="612">
      <c r="A612" s="190" t="str">
        <f>IFERROR(__xludf.DUMMYFUNCTION("""COMPUTED_VALUE"""),"Phantom Fright")</f>
        <v>Phantom Fright</v>
      </c>
      <c r="B612" s="190" t="str">
        <f>IFERROR(__xludf.DUMMYFUNCTION("""COMPUTED_VALUE"""),"Ghost")</f>
        <v>Ghost</v>
      </c>
      <c r="C612" s="190" t="str">
        <f>IFERROR(__xludf.DUMMYFUNCTION("""COMPUTED_VALUE"""),"Special")</f>
        <v>Special</v>
      </c>
      <c r="D612" s="190" t="str">
        <f>IFERROR(__xludf.DUMMYFUNCTION("""COMPUTED_VALUE"""),"At-Will")</f>
        <v>At-Will</v>
      </c>
      <c r="E612" s="190" t="str">
        <f>IFERROR(__xludf.DUMMYFUNCTION("""COMPUTED_VALUE"""),"Melee, 1 Target")</f>
        <v>Melee, 1 Target</v>
      </c>
      <c r="F612" s="190">
        <f>IFERROR(__xludf.DUMMYFUNCTION("""COMPUTED_VALUE"""),3.0)</f>
        <v>3</v>
      </c>
      <c r="G612" s="190">
        <f>IFERROR(__xludf.DUMMYFUNCTION("""COMPUTED_VALUE"""),6.0)</f>
        <v>6</v>
      </c>
      <c r="H612" s="191" t="str">
        <f>IFERROR(__xludf.DUMMYFUNCTION("""COMPUTED_VALUE"""),"If the user performs a Terrorize Maneuver against the Target this Round, the Maneuver has the Sureshot Keyword.")</f>
        <v>If the user performs a Terrorize Maneuver against the Target this Round, the Maneuver has the Sureshot Keyword.</v>
      </c>
      <c r="I612" s="191" t="str">
        <f>IFERROR(__xludf.DUMMYFUNCTION("""COMPUTED_VALUE"""),"--")</f>
        <v>--</v>
      </c>
      <c r="J612" s="190" t="str">
        <f>IFERROR(__xludf.DUMMYFUNCTION("""COMPUTED_VALUE"""),"Tier 1")</f>
        <v>Tier 1</v>
      </c>
      <c r="K612" s="174" t="b">
        <f>IFERROR(__xludf.DUMMYFUNCTION("""COMPUTED_VALUE"""),TRUE)</f>
        <v>1</v>
      </c>
      <c r="L612" s="174"/>
      <c r="M612" s="174"/>
      <c r="N612" s="174"/>
      <c r="O612" s="174"/>
      <c r="P612" s="174"/>
      <c r="Q612" s="174"/>
      <c r="R612" s="174"/>
      <c r="S612" s="174"/>
      <c r="T612" s="174"/>
      <c r="U612" s="174"/>
      <c r="V612" s="174"/>
      <c r="W612" s="174"/>
      <c r="X612" s="174"/>
      <c r="Y612" s="174"/>
      <c r="Z612" s="174"/>
    </row>
    <row r="613">
      <c r="A613" s="190" t="str">
        <f>IFERROR(__xludf.DUMMYFUNCTION("""COMPUTED_VALUE"""),"Phantom Fury")</f>
        <v>Phantom Fury</v>
      </c>
      <c r="B613" s="190" t="str">
        <f>IFERROR(__xludf.DUMMYFUNCTION("""COMPUTED_VALUE"""),"Ghost")</f>
        <v>Ghost</v>
      </c>
      <c r="C613" s="190" t="str">
        <f>IFERROR(__xludf.DUMMYFUNCTION("""COMPUTED_VALUE"""),"Physical")</f>
        <v>Physical</v>
      </c>
      <c r="D613" s="190" t="str">
        <f>IFERROR(__xludf.DUMMYFUNCTION("""COMPUTED_VALUE"""),"Scene x2")</f>
        <v>Scene x2</v>
      </c>
      <c r="E613" s="190" t="str">
        <f>IFERROR(__xludf.DUMMYFUNCTION("""COMPUTED_VALUE"""),"Melee, 1 Target ")</f>
        <v>Melee, 1 Target </v>
      </c>
      <c r="F613" s="190">
        <f>IFERROR(__xludf.DUMMYFUNCTION("""COMPUTED_VALUE"""),3.0)</f>
        <v>3</v>
      </c>
      <c r="G613" s="190">
        <f>IFERROR(__xludf.DUMMYFUNCTION("""COMPUTED_VALUE"""),12.0)</f>
        <v>12</v>
      </c>
      <c r="H613" s="191" t="str">
        <f>IFERROR(__xludf.DUMMYFUNCTION("""COMPUTED_VALUE"""),"If the Target is Flanked or the Weather is Foggy, they cannot apply Evasion against Phantom Fury.")</f>
        <v>If the Target is Flanked or the Weather is Foggy, they cannot apply Evasion against Phantom Fury.</v>
      </c>
      <c r="I613" s="191" t="str">
        <f>IFERROR(__xludf.DUMMYFUNCTION("""COMPUTED_VALUE"""),"--")</f>
        <v>--</v>
      </c>
      <c r="J613" s="190" t="str">
        <f>IFERROR(__xludf.DUMMYFUNCTION("""COMPUTED_VALUE"""),"Tier 3")</f>
        <v>Tier 3</v>
      </c>
      <c r="K613" s="174" t="b">
        <f>IFERROR(__xludf.DUMMYFUNCTION("""COMPUTED_VALUE"""),TRUE)</f>
        <v>1</v>
      </c>
      <c r="L613" s="174"/>
      <c r="M613" s="174"/>
      <c r="N613" s="174"/>
      <c r="O613" s="174"/>
      <c r="P613" s="174"/>
      <c r="Q613" s="174"/>
      <c r="R613" s="174"/>
      <c r="S613" s="174"/>
      <c r="T613" s="174"/>
      <c r="U613" s="174"/>
      <c r="V613" s="174"/>
      <c r="W613" s="174"/>
      <c r="X613" s="174"/>
      <c r="Y613" s="174"/>
      <c r="Z613" s="174"/>
    </row>
    <row r="614">
      <c r="A614" s="190" t="str">
        <f>IFERROR(__xludf.DUMMYFUNCTION("""COMPUTED_VALUE"""),"Poltergeist")</f>
        <v>Poltergeist</v>
      </c>
      <c r="B614" s="190" t="str">
        <f>IFERROR(__xludf.DUMMYFUNCTION("""COMPUTED_VALUE"""),"Ghost")</f>
        <v>Ghost</v>
      </c>
      <c r="C614" s="190" t="str">
        <f>IFERROR(__xludf.DUMMYFUNCTION("""COMPUTED_VALUE"""),"Status")</f>
        <v>Status</v>
      </c>
      <c r="D614" s="190" t="str">
        <f>IFERROR(__xludf.DUMMYFUNCTION("""COMPUTED_VALUE"""),"Scene x2")</f>
        <v>Scene x2</v>
      </c>
      <c r="E614" s="190" t="str">
        <f>IFERROR(__xludf.DUMMYFUNCTION("""COMPUTED_VALUE"""),"5, Ranged Blast 3, Swift Action")</f>
        <v>5, Ranged Blast 3, Swift Action</v>
      </c>
      <c r="F614" s="190" t="str">
        <f>IFERROR(__xludf.DUMMYFUNCTION("""COMPUTED_VALUE"""),"--")</f>
        <v>--</v>
      </c>
      <c r="G614" s="190" t="str">
        <f>IFERROR(__xludf.DUMMYFUNCTION("""COMPUTED_VALUE"""),"--")</f>
        <v>--</v>
      </c>
      <c r="H614" s="191" t="str">
        <f>IFERROR(__xludf.DUMMYFUNCTION("""COMPUTED_VALUE"""),"Create a 3x3 Zone in the Range of this Attack which persists until you Faint. After this Attack resolves and at the end of each Round, You may Slide any number of Combatants, Hazards or interactable objects within GM discretion within this Zone up to 3m. "&amp;"If Combatants chosen this way pass a CR 3 Acrobatics or Athletics Check, they're unaffected.")</f>
        <v>Create a 3x3 Zone in the Range of this Attack which persists until you Faint. After this Attack resolves and at the end of each Round, You may Slide any number of Combatants, Hazards or interactable objects within GM discretion within this Zone up to 3m. If Combatants chosen this way pass a CR 3 Acrobatics or Athletics Check, they're unaffected.</v>
      </c>
      <c r="I614" s="191" t="str">
        <f>IFERROR(__xludf.DUMMYFUNCTION("""COMPUTED_VALUE"""),"--")</f>
        <v>--</v>
      </c>
      <c r="J614" s="190" t="str">
        <f>IFERROR(__xludf.DUMMYFUNCTION("""COMPUTED_VALUE"""),"Tier 2")</f>
        <v>Tier 2</v>
      </c>
      <c r="K614" s="174" t="b">
        <f>IFERROR(__xludf.DUMMYFUNCTION("""COMPUTED_VALUE"""),TRUE)</f>
        <v>1</v>
      </c>
      <c r="L614" s="174"/>
      <c r="M614" s="174"/>
      <c r="N614" s="174"/>
      <c r="O614" s="174"/>
      <c r="P614" s="174"/>
      <c r="Q614" s="174"/>
      <c r="R614" s="174"/>
      <c r="S614" s="174"/>
      <c r="T614" s="174"/>
      <c r="U614" s="174"/>
      <c r="V614" s="174"/>
      <c r="W614" s="174"/>
      <c r="X614" s="174"/>
      <c r="Y614" s="174"/>
      <c r="Z614" s="174"/>
    </row>
    <row r="615">
      <c r="A615" s="190" t="str">
        <f>IFERROR(__xludf.DUMMYFUNCTION("""COMPUTED_VALUE"""),"Rage Fist")</f>
        <v>Rage Fist</v>
      </c>
      <c r="B615" s="190" t="str">
        <f>IFERROR(__xludf.DUMMYFUNCTION("""COMPUTED_VALUE"""),"Ghost")</f>
        <v>Ghost</v>
      </c>
      <c r="C615" s="190" t="str">
        <f>IFERROR(__xludf.DUMMYFUNCTION("""COMPUTED_VALUE"""),"Physical")</f>
        <v>Physical</v>
      </c>
      <c r="D615" s="190" t="str">
        <f>IFERROR(__xludf.DUMMYFUNCTION("""COMPUTED_VALUE"""),"EOT")</f>
        <v>EOT</v>
      </c>
      <c r="E615" s="190" t="str">
        <f>IFERROR(__xludf.DUMMYFUNCTION("""COMPUTED_VALUE"""),"Melee, 1 Target")</f>
        <v>Melee, 1 Target</v>
      </c>
      <c r="F615" s="190">
        <f>IFERROR(__xludf.DUMMYFUNCTION("""COMPUTED_VALUE"""),4.0)</f>
        <v>4</v>
      </c>
      <c r="G615" s="190">
        <f>IFERROR(__xludf.DUMMYFUNCTION("""COMPUTED_VALUE"""),8.0)</f>
        <v>8</v>
      </c>
      <c r="H615" s="191" t="str">
        <f>IFERROR(__xludf.DUMMYFUNCTION("""COMPUTED_VALUE"""),"Each time the user is hit with a Damaging Attack, increase this Attack's Damage Base by +2 (Max 20) until the end of the Scene. If the user is Enraged, the Target cannot apply Physical Evasion against it.")</f>
        <v>Each time the user is hit with a Damaging Attack, increase this Attack's Damage Base by +2 (Max 20) until the end of the Scene. If the user is Enraged, the Target cannot apply Physical Evasion against it.</v>
      </c>
      <c r="I615" s="191" t="str">
        <f>IFERROR(__xludf.DUMMYFUNCTION("""COMPUTED_VALUE"""),"--")</f>
        <v>--</v>
      </c>
      <c r="J615" s="190" t="str">
        <f>IFERROR(__xludf.DUMMYFUNCTION("""COMPUTED_VALUE"""),"Tier 2")</f>
        <v>Tier 2</v>
      </c>
      <c r="K615" s="174" t="b">
        <f>IFERROR(__xludf.DUMMYFUNCTION("""COMPUTED_VALUE"""),TRUE)</f>
        <v>1</v>
      </c>
      <c r="L615" s="174"/>
      <c r="M615" s="174"/>
      <c r="N615" s="174"/>
      <c r="O615" s="174"/>
      <c r="P615" s="174"/>
      <c r="Q615" s="174"/>
      <c r="R615" s="174"/>
      <c r="S615" s="174"/>
      <c r="T615" s="174"/>
      <c r="U615" s="174"/>
      <c r="V615" s="174"/>
      <c r="W615" s="174"/>
      <c r="X615" s="174"/>
      <c r="Y615" s="174"/>
      <c r="Z615" s="174"/>
    </row>
    <row r="616">
      <c r="A616" s="190" t="str">
        <f>IFERROR(__xludf.DUMMYFUNCTION("""COMPUTED_VALUE"""),"Shadow Ball")</f>
        <v>Shadow Ball</v>
      </c>
      <c r="B616" s="190" t="str">
        <f>IFERROR(__xludf.DUMMYFUNCTION("""COMPUTED_VALUE"""),"Ghost")</f>
        <v>Ghost</v>
      </c>
      <c r="C616" s="190" t="str">
        <f>IFERROR(__xludf.DUMMYFUNCTION("""COMPUTED_VALUE"""),"Special")</f>
        <v>Special</v>
      </c>
      <c r="D616" s="190" t="str">
        <f>IFERROR(__xludf.DUMMYFUNCTION("""COMPUTED_VALUE"""),"EOT")</f>
        <v>EOT</v>
      </c>
      <c r="E616" s="190" t="str">
        <f>IFERROR(__xludf.DUMMYFUNCTION("""COMPUTED_VALUE"""),"8, 1 Target")</f>
        <v>8, 1 Target</v>
      </c>
      <c r="F616" s="190">
        <f>IFERROR(__xludf.DUMMYFUNCTION("""COMPUTED_VALUE"""),4.0)</f>
        <v>4</v>
      </c>
      <c r="G616" s="190">
        <f>IFERROR(__xludf.DUMMYFUNCTION("""COMPUTED_VALUE"""),8.0)</f>
        <v>8</v>
      </c>
      <c r="H616" s="191" t="str">
        <f>IFERROR(__xludf.DUMMYFUNCTION("""COMPUTED_VALUE"""),"On a roll of 17+, the Target loses -1 CS in Special Defense. Smite")</f>
        <v>On a roll of 17+, the Target loses -1 CS in Special Defense. Smite</v>
      </c>
      <c r="I616" s="191" t="str">
        <f>IFERROR(__xludf.DUMMYFUNCTION("""COMPUTED_VALUE"""),"--")</f>
        <v>--</v>
      </c>
      <c r="J616" s="190" t="str">
        <f>IFERROR(__xludf.DUMMYFUNCTION("""COMPUTED_VALUE"""),"Tier 2")</f>
        <v>Tier 2</v>
      </c>
      <c r="K616" s="174" t="b">
        <f>IFERROR(__xludf.DUMMYFUNCTION("""COMPUTED_VALUE"""),TRUE)</f>
        <v>1</v>
      </c>
      <c r="L616" s="174"/>
      <c r="M616" s="174"/>
      <c r="N616" s="174"/>
      <c r="O616" s="174"/>
      <c r="P616" s="174"/>
      <c r="Q616" s="174"/>
      <c r="R616" s="174"/>
      <c r="S616" s="174"/>
      <c r="T616" s="174"/>
      <c r="U616" s="174"/>
      <c r="V616" s="174"/>
      <c r="W616" s="174"/>
      <c r="X616" s="174"/>
      <c r="Y616" s="174"/>
      <c r="Z616" s="174"/>
    </row>
    <row r="617">
      <c r="A617" s="190" t="str">
        <f>IFERROR(__xludf.DUMMYFUNCTION("""COMPUTED_VALUE"""),"Shadow Bone")</f>
        <v>Shadow Bone</v>
      </c>
      <c r="B617" s="190" t="str">
        <f>IFERROR(__xludf.DUMMYFUNCTION("""COMPUTED_VALUE"""),"Ghost")</f>
        <v>Ghost</v>
      </c>
      <c r="C617" s="190" t="str">
        <f>IFERROR(__xludf.DUMMYFUNCTION("""COMPUTED_VALUE"""),"Physical")</f>
        <v>Physical</v>
      </c>
      <c r="D617" s="190" t="str">
        <f>IFERROR(__xludf.DUMMYFUNCTION("""COMPUTED_VALUE"""),"EOT")</f>
        <v>EOT</v>
      </c>
      <c r="E617" s="190" t="str">
        <f>IFERROR(__xludf.DUMMYFUNCTION("""COMPUTED_VALUE"""),"Melee, 1 Target")</f>
        <v>Melee, 1 Target</v>
      </c>
      <c r="F617" s="190">
        <f>IFERROR(__xludf.DUMMYFUNCTION("""COMPUTED_VALUE"""),3.0)</f>
        <v>3</v>
      </c>
      <c r="G617" s="190">
        <f>IFERROR(__xludf.DUMMYFUNCTION("""COMPUTED_VALUE"""),9.0)</f>
        <v>9</v>
      </c>
      <c r="H617" s="191" t="str">
        <f>IFERROR(__xludf.DUMMYFUNCTION("""COMPUTED_VALUE"""),"If the Target has an Affliction, they cannot apply Physical Evasion against this Attack.")</f>
        <v>If the Target has an Affliction, they cannot apply Physical Evasion against this Attack.</v>
      </c>
      <c r="I617" s="191" t="str">
        <f>IFERROR(__xludf.DUMMYFUNCTION("""COMPUTED_VALUE"""),"--")</f>
        <v>--</v>
      </c>
      <c r="J617" s="190" t="str">
        <f>IFERROR(__xludf.DUMMYFUNCTION("""COMPUTED_VALUE"""),"Tier 2")</f>
        <v>Tier 2</v>
      </c>
      <c r="K617" s="174" t="b">
        <f>IFERROR(__xludf.DUMMYFUNCTION("""COMPUTED_VALUE"""),TRUE)</f>
        <v>1</v>
      </c>
      <c r="L617" s="174"/>
      <c r="M617" s="174"/>
      <c r="N617" s="174"/>
      <c r="O617" s="174"/>
      <c r="P617" s="174"/>
      <c r="Q617" s="174"/>
      <c r="R617" s="174"/>
      <c r="S617" s="174"/>
      <c r="T617" s="174"/>
      <c r="U617" s="174"/>
      <c r="V617" s="174"/>
      <c r="W617" s="174"/>
      <c r="X617" s="174"/>
      <c r="Y617" s="174"/>
      <c r="Z617" s="174"/>
    </row>
    <row r="618">
      <c r="A618" s="190" t="str">
        <f>IFERROR(__xludf.DUMMYFUNCTION("""COMPUTED_VALUE"""),"Shadow Claw")</f>
        <v>Shadow Claw</v>
      </c>
      <c r="B618" s="190" t="str">
        <f>IFERROR(__xludf.DUMMYFUNCTION("""COMPUTED_VALUE"""),"Ghost")</f>
        <v>Ghost</v>
      </c>
      <c r="C618" s="190" t="str">
        <f>IFERROR(__xludf.DUMMYFUNCTION("""COMPUTED_VALUE"""),"Physical")</f>
        <v>Physical</v>
      </c>
      <c r="D618" s="190" t="str">
        <f>IFERROR(__xludf.DUMMYFUNCTION("""COMPUTED_VALUE"""),"EOT")</f>
        <v>EOT</v>
      </c>
      <c r="E618" s="190" t="str">
        <f>IFERROR(__xludf.DUMMYFUNCTION("""COMPUTED_VALUE"""),"Melee, Pass")</f>
        <v>Melee, Pass</v>
      </c>
      <c r="F618" s="190">
        <f>IFERROR(__xludf.DUMMYFUNCTION("""COMPUTED_VALUE"""),5.0)</f>
        <v>5</v>
      </c>
      <c r="G618" s="190">
        <f>IFERROR(__xludf.DUMMYFUNCTION("""COMPUTED_VALUE"""),7.0)</f>
        <v>7</v>
      </c>
      <c r="H618" s="191" t="str">
        <f>IFERROR(__xludf.DUMMYFUNCTION("""COMPUTED_VALUE"""),"Shadow Claw is a Critical Hit on a roll of 18+.")</f>
        <v>Shadow Claw is a Critical Hit on a roll of 18+.</v>
      </c>
      <c r="I618" s="191" t="str">
        <f>IFERROR(__xludf.DUMMYFUNCTION("""COMPUTED_VALUE"""),"--")</f>
        <v>--</v>
      </c>
      <c r="J618" s="190" t="str">
        <f>IFERROR(__xludf.DUMMYFUNCTION("""COMPUTED_VALUE"""),"Tier 1")</f>
        <v>Tier 1</v>
      </c>
      <c r="K618" s="174" t="b">
        <f>IFERROR(__xludf.DUMMYFUNCTION("""COMPUTED_VALUE"""),TRUE)</f>
        <v>1</v>
      </c>
      <c r="L618" s="174"/>
      <c r="M618" s="174"/>
      <c r="N618" s="174"/>
      <c r="O618" s="174"/>
      <c r="P618" s="174"/>
      <c r="Q618" s="174"/>
      <c r="R618" s="174"/>
      <c r="S618" s="174"/>
      <c r="T618" s="174"/>
      <c r="U618" s="174"/>
      <c r="V618" s="174"/>
      <c r="W618" s="174"/>
      <c r="X618" s="174"/>
      <c r="Y618" s="174"/>
      <c r="Z618" s="174"/>
    </row>
    <row r="619">
      <c r="A619" s="190" t="str">
        <f>IFERROR(__xludf.DUMMYFUNCTION("""COMPUTED_VALUE"""),"Shadow Punch")</f>
        <v>Shadow Punch</v>
      </c>
      <c r="B619" s="190" t="str">
        <f>IFERROR(__xludf.DUMMYFUNCTION("""COMPUTED_VALUE"""),"Ghost")</f>
        <v>Ghost</v>
      </c>
      <c r="C619" s="190" t="str">
        <f>IFERROR(__xludf.DUMMYFUNCTION("""COMPUTED_VALUE"""),"Physical")</f>
        <v>Physical</v>
      </c>
      <c r="D619" s="190" t="str">
        <f>IFERROR(__xludf.DUMMYFUNCTION("""COMPUTED_VALUE"""),"EOT")</f>
        <v>EOT</v>
      </c>
      <c r="E619" s="190" t="str">
        <f>IFERROR(__xludf.DUMMYFUNCTION("""COMPUTED_VALUE"""),"4, 1 Target, Punch")</f>
        <v>4, 1 Target, Punch</v>
      </c>
      <c r="F619" s="190" t="str">
        <f>IFERROR(__xludf.DUMMYFUNCTION("""COMPUTED_VALUE"""),"--")</f>
        <v>--</v>
      </c>
      <c r="G619" s="190">
        <f>IFERROR(__xludf.DUMMYFUNCTION("""COMPUTED_VALUE"""),6.0)</f>
        <v>6</v>
      </c>
      <c r="H619" s="191" t="str">
        <f>IFERROR(__xludf.DUMMYFUNCTION("""COMPUTED_VALUE"""),"Sureshot.")</f>
        <v>Sureshot.</v>
      </c>
      <c r="I619" s="191" t="str">
        <f>IFERROR(__xludf.DUMMYFUNCTION("""COMPUTED_VALUE"""),"--")</f>
        <v>--</v>
      </c>
      <c r="J619" s="190" t="str">
        <f>IFERROR(__xludf.DUMMYFUNCTION("""COMPUTED_VALUE"""),"Tier 1")</f>
        <v>Tier 1</v>
      </c>
      <c r="K619" s="174" t="b">
        <f>IFERROR(__xludf.DUMMYFUNCTION("""COMPUTED_VALUE"""),TRUE)</f>
        <v>1</v>
      </c>
      <c r="L619" s="174"/>
      <c r="M619" s="174"/>
      <c r="N619" s="174"/>
      <c r="O619" s="174"/>
      <c r="P619" s="174"/>
      <c r="Q619" s="174"/>
      <c r="R619" s="174"/>
      <c r="S619" s="174"/>
      <c r="T619" s="174"/>
      <c r="U619" s="174"/>
      <c r="V619" s="174"/>
      <c r="W619" s="174"/>
      <c r="X619" s="174"/>
      <c r="Y619" s="174"/>
      <c r="Z619" s="174"/>
    </row>
    <row r="620">
      <c r="A620" s="190" t="str">
        <f>IFERROR(__xludf.DUMMYFUNCTION("""COMPUTED_VALUE"""),"Shadow Realm")</f>
        <v>Shadow Realm</v>
      </c>
      <c r="B620" s="190" t="str">
        <f>IFERROR(__xludf.DUMMYFUNCTION("""COMPUTED_VALUE"""),"Ghost")</f>
        <v>Ghost</v>
      </c>
      <c r="C620" s="190" t="str">
        <f>IFERROR(__xludf.DUMMYFUNCTION("""COMPUTED_VALUE"""),"Status")</f>
        <v>Status</v>
      </c>
      <c r="D620" s="190" t="str">
        <f>IFERROR(__xludf.DUMMYFUNCTION("""COMPUTED_VALUE"""),"Scene x2")</f>
        <v>Scene x2</v>
      </c>
      <c r="E620" s="190" t="str">
        <f>IFERROR(__xludf.DUMMYFUNCTION("""COMPUTED_VALUE"""),"Field, Versatile, Weather")</f>
        <v>Field, Versatile, Weather</v>
      </c>
      <c r="F620" s="190" t="str">
        <f>IFERROR(__xludf.DUMMYFUNCTION("""COMPUTED_VALUE"""),"--")</f>
        <v>--</v>
      </c>
      <c r="G620" s="190" t="str">
        <f>IFERROR(__xludf.DUMMYFUNCTION("""COMPUTED_VALUE"""),"--")</f>
        <v>--</v>
      </c>
      <c r="H620" s="191" t="str">
        <f>IFERROR(__xludf.DUMMYFUNCTION("""COMPUTED_VALUE"""),"The Field becomes Shadowed for the next 5 Rounds. While the Field is Shadowed, non Ghost Type Enemies lose a Tick of Hit Points at the start of their Turn and Ghost Type Pokemon gain a Tick of Temporary Hit Points at the start of their Turn. While the Fie"&amp;"ld is Shadowed, the Weather becomes Foggy.")</f>
        <v>The Field becomes Shadowed for the next 5 Rounds. While the Field is Shadowed, non Ghost Type Enemies lose a Tick of Hit Points at the start of their Turn and Ghost Type Pokemon gain a Tick of Temporary Hit Points at the start of their Turn. While the Field is Shadowed, the Weather becomes Foggy.</v>
      </c>
      <c r="I620"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20" s="190" t="str">
        <f>IFERROR(__xludf.DUMMYFUNCTION("""COMPUTED_VALUE"""),"Tier 2")</f>
        <v>Tier 2</v>
      </c>
      <c r="K620" s="174" t="b">
        <f>IFERROR(__xludf.DUMMYFUNCTION("""COMPUTED_VALUE"""),TRUE)</f>
        <v>1</v>
      </c>
      <c r="L620" s="174"/>
      <c r="M620" s="174"/>
      <c r="N620" s="174"/>
      <c r="O620" s="174"/>
      <c r="P620" s="174"/>
      <c r="Q620" s="174"/>
      <c r="R620" s="174"/>
      <c r="S620" s="174"/>
      <c r="T620" s="174"/>
      <c r="U620" s="174"/>
      <c r="V620" s="174"/>
      <c r="W620" s="174"/>
      <c r="X620" s="174"/>
      <c r="Y620" s="174"/>
      <c r="Z620" s="174"/>
    </row>
    <row r="621">
      <c r="A621" s="190" t="str">
        <f>IFERROR(__xludf.DUMMYFUNCTION("""COMPUTED_VALUE"""),"Shadow Sneak")</f>
        <v>Shadow Sneak</v>
      </c>
      <c r="B621" s="190" t="str">
        <f>IFERROR(__xludf.DUMMYFUNCTION("""COMPUTED_VALUE"""),"Ghost")</f>
        <v>Ghost</v>
      </c>
      <c r="C621" s="190" t="str">
        <f>IFERROR(__xludf.DUMMYFUNCTION("""COMPUTED_VALUE"""),"Physical")</f>
        <v>Physical</v>
      </c>
      <c r="D621" s="190" t="str">
        <f>IFERROR(__xludf.DUMMYFUNCTION("""COMPUTED_VALUE"""),"At-Will")</f>
        <v>At-Will</v>
      </c>
      <c r="E621" s="190" t="str">
        <f>IFERROR(__xludf.DUMMYFUNCTION("""COMPUTED_VALUE"""),"Melee, 1 Target, Priority")</f>
        <v>Melee, 1 Target, Priority</v>
      </c>
      <c r="F621" s="190">
        <f>IFERROR(__xludf.DUMMYFUNCTION("""COMPUTED_VALUE"""),2.0)</f>
        <v>2</v>
      </c>
      <c r="G621" s="190">
        <f>IFERROR(__xludf.DUMMYFUNCTION("""COMPUTED_VALUE"""),4.0)</f>
        <v>4</v>
      </c>
      <c r="H621" s="191" t="str">
        <f>IFERROR(__xludf.DUMMYFUNCTION("""COMPUTED_VALUE"""),"--")</f>
        <v>--</v>
      </c>
      <c r="I621" s="191" t="str">
        <f>IFERROR(__xludf.DUMMYFUNCTION("""COMPUTED_VALUE"""),"--")</f>
        <v>--</v>
      </c>
      <c r="J621" s="190" t="str">
        <f>IFERROR(__xludf.DUMMYFUNCTION("""COMPUTED_VALUE"""),"Tier 1")</f>
        <v>Tier 1</v>
      </c>
      <c r="K621" s="174" t="b">
        <f>IFERROR(__xludf.DUMMYFUNCTION("""COMPUTED_VALUE"""),TRUE)</f>
        <v>1</v>
      </c>
      <c r="L621" s="174"/>
      <c r="M621" s="174"/>
      <c r="N621" s="174"/>
      <c r="O621" s="174"/>
      <c r="P621" s="174"/>
      <c r="Q621" s="174"/>
      <c r="R621" s="174"/>
      <c r="S621" s="174"/>
      <c r="T621" s="174"/>
      <c r="U621" s="174"/>
      <c r="V621" s="174"/>
      <c r="W621" s="174"/>
      <c r="X621" s="174"/>
      <c r="Y621" s="174"/>
      <c r="Z621" s="174"/>
    </row>
    <row r="622">
      <c r="A622" s="190" t="str">
        <f>IFERROR(__xludf.DUMMYFUNCTION("""COMPUTED_VALUE"""),"Soul Drain")</f>
        <v>Soul Drain</v>
      </c>
      <c r="B622" s="190" t="str">
        <f>IFERROR(__xludf.DUMMYFUNCTION("""COMPUTED_VALUE"""),"Ghost")</f>
        <v>Ghost</v>
      </c>
      <c r="C622" s="190" t="str">
        <f>IFERROR(__xludf.DUMMYFUNCTION("""COMPUTED_VALUE"""),"Special")</f>
        <v>Special</v>
      </c>
      <c r="D622" s="190" t="str">
        <f>IFERROR(__xludf.DUMMYFUNCTION("""COMPUTED_VALUE"""),"EOT")</f>
        <v>EOT</v>
      </c>
      <c r="E622" s="190" t="str">
        <f>IFERROR(__xludf.DUMMYFUNCTION("""COMPUTED_VALUE"""),"4, 1 Target")</f>
        <v>4, 1 Target</v>
      </c>
      <c r="F622" s="190">
        <f>IFERROR(__xludf.DUMMYFUNCTION("""COMPUTED_VALUE"""),4.0)</f>
        <v>4</v>
      </c>
      <c r="G622" s="190">
        <f>IFERROR(__xludf.DUMMYFUNCTION("""COMPUTED_VALUE"""),6.0)</f>
        <v>6</v>
      </c>
      <c r="H622" s="191" t="str">
        <f>IFERROR(__xludf.DUMMYFUNCTION("""COMPUTED_VALUE"""),"If the Target is Cursed or Suppressed, Soul Drain may be used as a Full Action. When used this way, the user is cured of a Status Affliction, then the Target is cured of one of those Afflictions of your choice. Drain.")</f>
        <v>If the Target is Cursed or Suppressed, Soul Drain may be used as a Full Action. When used this way, the user is cured of a Status Affliction, then the Target is cured of one of those Afflictions of your choice. Drain.</v>
      </c>
      <c r="I622" s="191" t="str">
        <f>IFERROR(__xludf.DUMMYFUNCTION("""COMPUTED_VALUE"""),"--")</f>
        <v>--</v>
      </c>
      <c r="J622" s="190" t="str">
        <f>IFERROR(__xludf.DUMMYFUNCTION("""COMPUTED_VALUE"""),"Tier 1")</f>
        <v>Tier 1</v>
      </c>
      <c r="K622" s="174" t="b">
        <f>IFERROR(__xludf.DUMMYFUNCTION("""COMPUTED_VALUE"""),TRUE)</f>
        <v>1</v>
      </c>
      <c r="L622" s="174"/>
      <c r="M622" s="174"/>
      <c r="N622" s="174"/>
      <c r="O622" s="174"/>
      <c r="P622" s="174"/>
      <c r="Q622" s="174"/>
      <c r="R622" s="174"/>
      <c r="S622" s="174"/>
      <c r="T622" s="174"/>
      <c r="U622" s="174"/>
      <c r="V622" s="174"/>
      <c r="W622" s="174"/>
      <c r="X622" s="174"/>
      <c r="Y622" s="174"/>
      <c r="Z622" s="174"/>
    </row>
    <row r="623">
      <c r="A623" s="190" t="str">
        <f>IFERROR(__xludf.DUMMYFUNCTION("""COMPUTED_VALUE"""),"Spectral Flame")</f>
        <v>Spectral Flame</v>
      </c>
      <c r="B623" s="190" t="str">
        <f>IFERROR(__xludf.DUMMYFUNCTION("""COMPUTED_VALUE"""),"Ghost")</f>
        <v>Ghost</v>
      </c>
      <c r="C623" s="190" t="str">
        <f>IFERROR(__xludf.DUMMYFUNCTION("""COMPUTED_VALUE"""),"Special")</f>
        <v>Special</v>
      </c>
      <c r="D623" s="190" t="str">
        <f>IFERROR(__xludf.DUMMYFUNCTION("""COMPUTED_VALUE"""),"Scene x2")</f>
        <v>Scene x2</v>
      </c>
      <c r="E623" s="190" t="str">
        <f>IFERROR(__xludf.DUMMYFUNCTION("""COMPUTED_VALUE"""),"6, 1 Target")</f>
        <v>6, 1 Target</v>
      </c>
      <c r="F623" s="190">
        <f>IFERROR(__xludf.DUMMYFUNCTION("""COMPUTED_VALUE"""),4.0)</f>
        <v>4</v>
      </c>
      <c r="G623" s="190">
        <f>IFERROR(__xludf.DUMMYFUNCTION("""COMPUTED_VALUE"""),8.0)</f>
        <v>8</v>
      </c>
      <c r="H623" s="191" t="str">
        <f>IFERROR(__xludf.DUMMYFUNCTION("""COMPUTED_VALUE"""),"On a roll of 17+, the Target becomes Burned. Spectral Flame may be used as a Full Action to be treated as if it were a Fire Type Attack.")</f>
        <v>On a roll of 17+, the Target becomes Burned. Spectral Flame may be used as a Full Action to be treated as if it were a Fire Type Attack.</v>
      </c>
      <c r="I623" s="191" t="str">
        <f>IFERROR(__xludf.DUMMYFUNCTION("""COMPUTED_VALUE"""),"--")</f>
        <v>--</v>
      </c>
      <c r="J623" s="190" t="str">
        <f>IFERROR(__xludf.DUMMYFUNCTION("""COMPUTED_VALUE"""),"Tier 2")</f>
        <v>Tier 2</v>
      </c>
      <c r="K623" s="174" t="b">
        <f>IFERROR(__xludf.DUMMYFUNCTION("""COMPUTED_VALUE"""),TRUE)</f>
        <v>1</v>
      </c>
      <c r="L623" s="174"/>
      <c r="M623" s="174"/>
      <c r="N623" s="174"/>
      <c r="O623" s="174"/>
      <c r="P623" s="174"/>
      <c r="Q623" s="174"/>
      <c r="R623" s="174"/>
      <c r="S623" s="174"/>
      <c r="T623" s="174"/>
      <c r="U623" s="174"/>
      <c r="V623" s="174"/>
      <c r="W623" s="174"/>
      <c r="X623" s="174"/>
      <c r="Y623" s="174"/>
      <c r="Z623" s="174"/>
    </row>
    <row r="624">
      <c r="A624" s="190" t="str">
        <f>IFERROR(__xludf.DUMMYFUNCTION("""COMPUTED_VALUE"""),"Spectral Storm")</f>
        <v>Spectral Storm</v>
      </c>
      <c r="B624" s="190" t="str">
        <f>IFERROR(__xludf.DUMMYFUNCTION("""COMPUTED_VALUE"""),"Ghost")</f>
        <v>Ghost</v>
      </c>
      <c r="C624" s="190" t="str">
        <f>IFERROR(__xludf.DUMMYFUNCTION("""COMPUTED_VALUE"""),"Special")</f>
        <v>Special</v>
      </c>
      <c r="D624" s="190" t="str">
        <f>IFERROR(__xludf.DUMMYFUNCTION("""COMPUTED_VALUE"""),"Scene x2")</f>
        <v>Scene x2</v>
      </c>
      <c r="E624" s="190" t="str">
        <f>IFERROR(__xludf.DUMMYFUNCTION("""COMPUTED_VALUE"""),"8, Ranged Blast 3, Full Action")</f>
        <v>8, Ranged Blast 3, Full Action</v>
      </c>
      <c r="F624" s="190">
        <f>IFERROR(__xludf.DUMMYFUNCTION("""COMPUTED_VALUE"""),6.0)</f>
        <v>6</v>
      </c>
      <c r="G624" s="190">
        <f>IFERROR(__xludf.DUMMYFUNCTION("""COMPUTED_VALUE"""),11.0)</f>
        <v>11</v>
      </c>
      <c r="H624" s="191" t="str">
        <f>IFERROR(__xludf.DUMMYFUNCTION("""COMPUTED_VALUE"""),"On a roll of 16+, all Targets become Suppressed. If the Weather is Foggy this has the Smite Keyword. If a Target is Cursed, they’ cannot apply Evasion against this Attack. ")</f>
        <v>On a roll of 16+, all Targets become Suppressed. If the Weather is Foggy this has the Smite Keyword. If a Target is Cursed, they’ cannot apply Evasion against this Attack. </v>
      </c>
      <c r="I624" s="191" t="str">
        <f>IFERROR(__xludf.DUMMYFUNCTION("""COMPUTED_VALUE"""),"--")</f>
        <v>--</v>
      </c>
      <c r="J624" s="190" t="str">
        <f>IFERROR(__xludf.DUMMYFUNCTION("""COMPUTED_VALUE"""),"Tier 3")</f>
        <v>Tier 3</v>
      </c>
      <c r="K624" s="174" t="b">
        <f>IFERROR(__xludf.DUMMYFUNCTION("""COMPUTED_VALUE"""),TRUE)</f>
        <v>1</v>
      </c>
      <c r="L624" s="174"/>
      <c r="M624" s="174"/>
      <c r="N624" s="174"/>
      <c r="O624" s="174"/>
      <c r="P624" s="174"/>
      <c r="Q624" s="174"/>
      <c r="R624" s="174"/>
      <c r="S624" s="174"/>
      <c r="T624" s="174"/>
      <c r="U624" s="174"/>
      <c r="V624" s="174"/>
      <c r="W624" s="174"/>
      <c r="X624" s="174"/>
      <c r="Y624" s="174"/>
      <c r="Z624" s="174"/>
    </row>
    <row r="625">
      <c r="A625" s="190" t="str">
        <f>IFERROR(__xludf.DUMMYFUNCTION("""COMPUTED_VALUE"""),"Spirit Shackle")</f>
        <v>Spirit Shackle</v>
      </c>
      <c r="B625" s="190" t="str">
        <f>IFERROR(__xludf.DUMMYFUNCTION("""COMPUTED_VALUE"""),"Ghost")</f>
        <v>Ghost</v>
      </c>
      <c r="C625" s="190" t="str">
        <f>IFERROR(__xludf.DUMMYFUNCTION("""COMPUTED_VALUE"""),"Physical")</f>
        <v>Physical</v>
      </c>
      <c r="D625" s="190" t="str">
        <f>IFERROR(__xludf.DUMMYFUNCTION("""COMPUTED_VALUE"""),"EOT")</f>
        <v>EOT</v>
      </c>
      <c r="E625" s="190" t="str">
        <f>IFERROR(__xludf.DUMMYFUNCTION("""COMPUTED_VALUE"""),"3, 2 Targets, Full Action")</f>
        <v>3, 2 Targets, Full Action</v>
      </c>
      <c r="F625" s="190">
        <f>IFERROR(__xludf.DUMMYFUNCTION("""COMPUTED_VALUE"""),6.0)</f>
        <v>6</v>
      </c>
      <c r="G625" s="190">
        <f>IFERROR(__xludf.DUMMYFUNCTION("""COMPUTED_VALUE"""),8.0)</f>
        <v>8</v>
      </c>
      <c r="H625" s="191" t="str">
        <f>IFERROR(__xludf.DUMMYFUNCTION("""COMPUTED_VALUE"""),"The Target becomes Trapped. If the Weather is Foggy, Spirit Shackle loses the Full Action Keyword. Spirit Surge")</f>
        <v>The Target becomes Trapped. If the Weather is Foggy, Spirit Shackle loses the Full Action Keyword. Spirit Surge</v>
      </c>
      <c r="I625" s="191" t="str">
        <f>IFERROR(__xludf.DUMMYFUNCTION("""COMPUTED_VALUE"""),"--")</f>
        <v>--</v>
      </c>
      <c r="J625" s="190" t="str">
        <f>IFERROR(__xludf.DUMMYFUNCTION("""COMPUTED_VALUE"""),"Tier 2")</f>
        <v>Tier 2</v>
      </c>
      <c r="K625" s="174" t="b">
        <f>IFERROR(__xludf.DUMMYFUNCTION("""COMPUTED_VALUE"""),TRUE)</f>
        <v>1</v>
      </c>
      <c r="L625" s="174"/>
      <c r="M625" s="174"/>
      <c r="N625" s="174"/>
      <c r="O625" s="174"/>
      <c r="P625" s="174"/>
      <c r="Q625" s="174"/>
      <c r="R625" s="174"/>
      <c r="S625" s="174"/>
      <c r="T625" s="174"/>
      <c r="U625" s="174"/>
      <c r="V625" s="174"/>
      <c r="W625" s="174"/>
      <c r="X625" s="174"/>
      <c r="Y625" s="174"/>
      <c r="Z625" s="174"/>
    </row>
    <row r="626">
      <c r="A626" s="190" t="str">
        <f>IFERROR(__xludf.DUMMYFUNCTION("""COMPUTED_VALUE"""),"Spite")</f>
        <v>Spite</v>
      </c>
      <c r="B626" s="190" t="str">
        <f>IFERROR(__xludf.DUMMYFUNCTION("""COMPUTED_VALUE"""),"Ghost")</f>
        <v>Ghost</v>
      </c>
      <c r="C626" s="190" t="str">
        <f>IFERROR(__xludf.DUMMYFUNCTION("""COMPUTED_VALUE"""),"Status")</f>
        <v>Status</v>
      </c>
      <c r="D626" s="190" t="str">
        <f>IFERROR(__xludf.DUMMYFUNCTION("""COMPUTED_VALUE"""),"Scene x2")</f>
        <v>Scene x2</v>
      </c>
      <c r="E626" s="190" t="str">
        <f>IFERROR(__xludf.DUMMYFUNCTION("""COMPUTED_VALUE"""),"4, 1 Target, Trigger ")</f>
        <v>4, 1 Target, Trigger </v>
      </c>
      <c r="F626" s="190" t="str">
        <f>IFERROR(__xludf.DUMMYFUNCTION("""COMPUTED_VALUE"""),"--")</f>
        <v>--</v>
      </c>
      <c r="G626" s="190" t="str">
        <f>IFERROR(__xludf.DUMMYFUNCTION("""COMPUTED_VALUE"""),"--")</f>
        <v>--</v>
      </c>
      <c r="H626" s="191" t="str">
        <f>IFERROR(__xludf.DUMMYFUNCTION("""COMPUTED_VALUE"""),"Spite can only be used as a Reaction whenever the user is hit by an Attack. The Triggering Enemy becomes Suppressed after the Attack’s Resolution.")</f>
        <v>Spite can only be used as a Reaction whenever the user is hit by an Attack. The Triggering Enemy becomes Suppressed after the Attack’s Resolution.</v>
      </c>
      <c r="I626" s="191" t="str">
        <f>IFERROR(__xludf.DUMMYFUNCTION("""COMPUTED_VALUE"""),"--")</f>
        <v>--</v>
      </c>
      <c r="J626" s="190" t="str">
        <f>IFERROR(__xludf.DUMMYFUNCTION("""COMPUTED_VALUE"""),"Tier 2")</f>
        <v>Tier 2</v>
      </c>
      <c r="K626" s="174" t="b">
        <f>IFERROR(__xludf.DUMMYFUNCTION("""COMPUTED_VALUE"""),FALSE)</f>
        <v>0</v>
      </c>
      <c r="L626" s="174"/>
      <c r="M626" s="174"/>
      <c r="N626" s="174"/>
      <c r="O626" s="174"/>
      <c r="P626" s="174"/>
      <c r="Q626" s="174"/>
      <c r="R626" s="174"/>
      <c r="S626" s="174"/>
      <c r="T626" s="174"/>
      <c r="U626" s="174"/>
      <c r="V626" s="174"/>
      <c r="W626" s="174"/>
      <c r="X626" s="174"/>
      <c r="Y626" s="174"/>
      <c r="Z626" s="174"/>
    </row>
    <row r="627">
      <c r="A627" s="190" t="str">
        <f>IFERROR(__xludf.DUMMYFUNCTION("""COMPUTED_VALUE"""),"Spiteful Fury")</f>
        <v>Spiteful Fury</v>
      </c>
      <c r="B627" s="190" t="str">
        <f>IFERROR(__xludf.DUMMYFUNCTION("""COMPUTED_VALUE"""),"Ghost")</f>
        <v>Ghost</v>
      </c>
      <c r="C627" s="190" t="str">
        <f>IFERROR(__xludf.DUMMYFUNCTION("""COMPUTED_VALUE"""),"Physical")</f>
        <v>Physical</v>
      </c>
      <c r="D627" s="190" t="str">
        <f>IFERROR(__xludf.DUMMYFUNCTION("""COMPUTED_VALUE"""),"EOT")</f>
        <v>EOT</v>
      </c>
      <c r="E627" s="190" t="str">
        <f>IFERROR(__xludf.DUMMYFUNCTION("""COMPUTED_VALUE"""),"Melee, 1 Target")</f>
        <v>Melee, 1 Target</v>
      </c>
      <c r="F627" s="190">
        <f>IFERROR(__xludf.DUMMYFUNCTION("""COMPUTED_VALUE"""),3.0)</f>
        <v>3</v>
      </c>
      <c r="G627" s="190">
        <f>IFERROR(__xludf.DUMMYFUNCTION("""COMPUTED_VALUE"""),4.0)</f>
        <v>4</v>
      </c>
      <c r="H627" s="191" t="str">
        <f>IFERROR(__xludf.DUMMYFUNCTION("""COMPUTED_VALUE"""),"Whenever the user misses an Attack or is hit by an Attack during this Scene, increase the Damage Base of Spiteful Fury by +2 for the rest of the Scene. (Max 12).")</f>
        <v>Whenever the user misses an Attack or is hit by an Attack during this Scene, increase the Damage Base of Spiteful Fury by +2 for the rest of the Scene. (Max 12).</v>
      </c>
      <c r="I627" s="191" t="str">
        <f>IFERROR(__xludf.DUMMYFUNCTION("""COMPUTED_VALUE"""),"--")</f>
        <v>--</v>
      </c>
      <c r="J627" s="190" t="str">
        <f>IFERROR(__xludf.DUMMYFUNCTION("""COMPUTED_VALUE"""),"Tier 2")</f>
        <v>Tier 2</v>
      </c>
      <c r="K627" s="174" t="b">
        <f>IFERROR(__xludf.DUMMYFUNCTION("""COMPUTED_VALUE"""),TRUE)</f>
        <v>1</v>
      </c>
      <c r="L627" s="174"/>
      <c r="M627" s="174"/>
      <c r="N627" s="174"/>
      <c r="O627" s="174"/>
      <c r="P627" s="174"/>
      <c r="Q627" s="174"/>
      <c r="R627" s="174"/>
      <c r="S627" s="174"/>
      <c r="T627" s="174"/>
      <c r="U627" s="174"/>
      <c r="V627" s="174"/>
      <c r="W627" s="174"/>
      <c r="X627" s="174"/>
      <c r="Y627" s="174"/>
      <c r="Z627" s="174"/>
    </row>
    <row r="628">
      <c r="A628" s="190" t="str">
        <f>IFERROR(__xludf.DUMMYFUNCTION("""COMPUTED_VALUE"""),"Terrify")</f>
        <v>Terrify</v>
      </c>
      <c r="B628" s="190" t="str">
        <f>IFERROR(__xludf.DUMMYFUNCTION("""COMPUTED_VALUE"""),"Ghost")</f>
        <v>Ghost</v>
      </c>
      <c r="C628" s="190" t="str">
        <f>IFERROR(__xludf.DUMMYFUNCTION("""COMPUTED_VALUE"""),"Special")</f>
        <v>Special</v>
      </c>
      <c r="D628" s="190" t="str">
        <f>IFERROR(__xludf.DUMMYFUNCTION("""COMPUTED_VALUE"""),"EOT")</f>
        <v>EOT</v>
      </c>
      <c r="E628" s="190" t="str">
        <f>IFERROR(__xludf.DUMMYFUNCTION("""COMPUTED_VALUE"""),"4, 1 Target")</f>
        <v>4, 1 Target</v>
      </c>
      <c r="F628" s="190">
        <f>IFERROR(__xludf.DUMMYFUNCTION("""COMPUTED_VALUE"""),4.0)</f>
        <v>4</v>
      </c>
      <c r="G628" s="190">
        <f>IFERROR(__xludf.DUMMYFUNCTION("""COMPUTED_VALUE"""),9.0)</f>
        <v>9</v>
      </c>
      <c r="H628" s="191" t="str">
        <f>IFERROR(__xludf.DUMMYFUNCTION("""COMPUTED_VALUE"""),"If the Weather is Foggy or the Target is Flanked, the user may perform a Terrorize Manuever against the target as a Free Action. If used this way, Terrorize automatically hits.")</f>
        <v>If the Weather is Foggy or the Target is Flanked, the user may perform a Terrorize Manuever against the target as a Free Action. If used this way, Terrorize automatically hits.</v>
      </c>
      <c r="I628" s="191" t="str">
        <f>IFERROR(__xludf.DUMMYFUNCTION("""COMPUTED_VALUE"""),"--")</f>
        <v>--</v>
      </c>
      <c r="J628" s="190" t="str">
        <f>IFERROR(__xludf.DUMMYFUNCTION("""COMPUTED_VALUE"""),"Tier 2")</f>
        <v>Tier 2</v>
      </c>
      <c r="K628" s="174" t="b">
        <f>IFERROR(__xludf.DUMMYFUNCTION("""COMPUTED_VALUE"""),TRUE)</f>
        <v>1</v>
      </c>
      <c r="L628" s="174"/>
      <c r="M628" s="174"/>
      <c r="N628" s="174"/>
      <c r="O628" s="174"/>
      <c r="P628" s="174"/>
      <c r="Q628" s="174"/>
      <c r="R628" s="174"/>
      <c r="S628" s="174"/>
      <c r="T628" s="174"/>
      <c r="U628" s="174"/>
      <c r="V628" s="174"/>
      <c r="W628" s="174"/>
      <c r="X628" s="174"/>
      <c r="Y628" s="174"/>
      <c r="Z628" s="174"/>
    </row>
    <row r="629">
      <c r="A629" s="190" t="str">
        <f>IFERROR(__xludf.DUMMYFUNCTION("""COMPUTED_VALUE"""),"Tormenting Spirits")</f>
        <v>Tormenting Spirits</v>
      </c>
      <c r="B629" s="190" t="str">
        <f>IFERROR(__xludf.DUMMYFUNCTION("""COMPUTED_VALUE"""),"Ghost")</f>
        <v>Ghost</v>
      </c>
      <c r="C629" s="190" t="str">
        <f>IFERROR(__xludf.DUMMYFUNCTION("""COMPUTED_VALUE"""),"Special")</f>
        <v>Special</v>
      </c>
      <c r="D629" s="190" t="str">
        <f>IFERROR(__xludf.DUMMYFUNCTION("""COMPUTED_VALUE"""),"Scene x2")</f>
        <v>Scene x2</v>
      </c>
      <c r="E629" s="190" t="str">
        <f>IFERROR(__xludf.DUMMYFUNCTION("""COMPUTED_VALUE"""),"4, Ranged Blast 2")</f>
        <v>4, Ranged Blast 2</v>
      </c>
      <c r="F629" s="190">
        <f>IFERROR(__xludf.DUMMYFUNCTION("""COMPUTED_VALUE"""),4.0)</f>
        <v>4</v>
      </c>
      <c r="G629" s="190">
        <f>IFERROR(__xludf.DUMMYFUNCTION("""COMPUTED_VALUE"""),6.0)</f>
        <v>6</v>
      </c>
      <c r="H629" s="191" t="str">
        <f>IFERROR(__xludf.DUMMYFUNCTION("""COMPUTED_VALUE"""),"After this Attack resolves, create a Zone within the Range of the Attack. Enemies within this Zone cannot cure Mental Afflictions. Unless the Weather is Foggy, this Zone lasts until you use a Reaction, use an Attack or Faint. Spirit Surge")</f>
        <v>After this Attack resolves, create a Zone within the Range of the Attack. Enemies within this Zone cannot cure Mental Afflictions. Unless the Weather is Foggy, this Zone lasts until you use a Reaction, use an Attack or Faint. Spirit Surge</v>
      </c>
      <c r="I629" s="191" t="str">
        <f>IFERROR(__xludf.DUMMYFUNCTION("""COMPUTED_VALUE"""),"--")</f>
        <v>--</v>
      </c>
      <c r="J629" s="190" t="str">
        <f>IFERROR(__xludf.DUMMYFUNCTION("""COMPUTED_VALUE"""),"Tier 2")</f>
        <v>Tier 2</v>
      </c>
      <c r="K629" s="174" t="b">
        <f>IFERROR(__xludf.DUMMYFUNCTION("""COMPUTED_VALUE"""),TRUE)</f>
        <v>1</v>
      </c>
      <c r="L629" s="174"/>
      <c r="M629" s="174"/>
      <c r="N629" s="174"/>
      <c r="O629" s="174"/>
      <c r="P629" s="174"/>
      <c r="Q629" s="174"/>
      <c r="R629" s="174"/>
      <c r="S629" s="174"/>
      <c r="T629" s="174"/>
      <c r="U629" s="174"/>
      <c r="V629" s="174"/>
      <c r="W629" s="174"/>
      <c r="X629" s="174"/>
      <c r="Y629" s="174"/>
      <c r="Z629" s="174"/>
    </row>
    <row r="630">
      <c r="A630" s="190" t="str">
        <f>IFERROR(__xludf.DUMMYFUNCTION("""COMPUTED_VALUE"""),"Trick-or-Treat")</f>
        <v>Trick-or-Treat</v>
      </c>
      <c r="B630" s="190" t="str">
        <f>IFERROR(__xludf.DUMMYFUNCTION("""COMPUTED_VALUE"""),"Ghost")</f>
        <v>Ghost</v>
      </c>
      <c r="C630" s="190" t="str">
        <f>IFERROR(__xludf.DUMMYFUNCTION("""COMPUTED_VALUE"""),"Status")</f>
        <v>Status</v>
      </c>
      <c r="D630" s="190" t="str">
        <f>IFERROR(__xludf.DUMMYFUNCTION("""COMPUTED_VALUE"""),"Scene x2 ")</f>
        <v>Scene x2 </v>
      </c>
      <c r="E630" s="190" t="str">
        <f>IFERROR(__xludf.DUMMYFUNCTION("""COMPUTED_VALUE"""),"Burst 2")</f>
        <v>Burst 2</v>
      </c>
      <c r="F630" s="190">
        <f>IFERROR(__xludf.DUMMYFUNCTION("""COMPUTED_VALUE"""),5.0)</f>
        <v>5</v>
      </c>
      <c r="G630" s="190" t="str">
        <f>IFERROR(__xludf.DUMMYFUNCTION("""COMPUTED_VALUE"""),"--")</f>
        <v>--</v>
      </c>
      <c r="H630" s="191" t="str">
        <f>IFERROR(__xludf.DUMMYFUNCTION("""COMPUTED_VALUE"""),"Choose a Trick to apply to each Enemy listed below, then choose a Treat to apply to each Ally listed below.
- The Target becomes Cursed (Trick)
- The Target sets a Stat of your choice to -1 CS (Trick)
- The Target restores 2 Ticks of Hit Points (Treat)
- "&amp;"The Target gains +1 CS in a Stat of your Choice (Treat)")</f>
        <v>Choose a Trick to apply to each Enemy listed below, then choose a Treat to apply to each Ally listed below.
- The Target becomes Cursed (Trick)
- The Target sets a Stat of your choice to -1 CS (Trick)
- The Target restores 2 Ticks of Hit Points (Treat)
- The Target gains +1 CS in a Stat of your Choice (Treat)</v>
      </c>
      <c r="I630" s="191" t="str">
        <f>IFERROR(__xludf.DUMMYFUNCTION("""COMPUTED_VALUE"""),"--")</f>
        <v>--</v>
      </c>
      <c r="J630" s="190" t="str">
        <f>IFERROR(__xludf.DUMMYFUNCTION("""COMPUTED_VALUE"""),"Tier 2")</f>
        <v>Tier 2</v>
      </c>
      <c r="K630" s="174" t="b">
        <f>IFERROR(__xludf.DUMMYFUNCTION("""COMPUTED_VALUE"""),TRUE)</f>
        <v>1</v>
      </c>
      <c r="L630" s="174"/>
      <c r="M630" s="174"/>
      <c r="N630" s="174"/>
      <c r="O630" s="174"/>
      <c r="P630" s="174"/>
      <c r="Q630" s="174"/>
      <c r="R630" s="174"/>
      <c r="S630" s="174"/>
      <c r="T630" s="174"/>
      <c r="U630" s="174"/>
      <c r="V630" s="174"/>
      <c r="W630" s="174"/>
      <c r="X630" s="174"/>
      <c r="Y630" s="174"/>
      <c r="Z630" s="174"/>
    </row>
    <row r="631">
      <c r="A631" s="190" t="str">
        <f>IFERROR(__xludf.DUMMYFUNCTION("""COMPUTED_VALUE"""),"Vengeance")</f>
        <v>Vengeance</v>
      </c>
      <c r="B631" s="190" t="str">
        <f>IFERROR(__xludf.DUMMYFUNCTION("""COMPUTED_VALUE"""),"Ghost")</f>
        <v>Ghost</v>
      </c>
      <c r="C631" s="190" t="str">
        <f>IFERROR(__xludf.DUMMYFUNCTION("""COMPUTED_VALUE"""),"Physical")</f>
        <v>Physical</v>
      </c>
      <c r="D631" s="190" t="str">
        <f>IFERROR(__xludf.DUMMYFUNCTION("""COMPUTED_VALUE"""),"Scene x2")</f>
        <v>Scene x2</v>
      </c>
      <c r="E631" s="190" t="str">
        <f>IFERROR(__xludf.DUMMYFUNCTION("""COMPUTED_VALUE"""),"Melee, 1 Target")</f>
        <v>Melee, 1 Target</v>
      </c>
      <c r="F631" s="190">
        <f>IFERROR(__xludf.DUMMYFUNCTION("""COMPUTED_VALUE"""),4.0)</f>
        <v>4</v>
      </c>
      <c r="G631" s="190">
        <f>IFERROR(__xludf.DUMMYFUNCTION("""COMPUTED_VALUE"""),7.0)</f>
        <v>7</v>
      </c>
      <c r="H631" s="191" t="str">
        <f>IFERROR(__xludf.DUMMYFUNCTION("""COMPUTED_VALUE"""),"Since your last Turn, if the Target inflicted a Status Affliction on you or caused an Ally to Faint, Vengeance's Damage Base becomes 13. ")</f>
        <v>Since your last Turn, if the Target inflicted a Status Affliction on you or caused an Ally to Faint, Vengeance's Damage Base becomes 13. </v>
      </c>
      <c r="I631" s="191" t="str">
        <f>IFERROR(__xludf.DUMMYFUNCTION("""COMPUTED_VALUE"""),"--")</f>
        <v>--</v>
      </c>
      <c r="J631" s="190" t="str">
        <f>IFERROR(__xludf.DUMMYFUNCTION("""COMPUTED_VALUE"""),"Tier 2")</f>
        <v>Tier 2</v>
      </c>
      <c r="K631" s="174" t="b">
        <f>IFERROR(__xludf.DUMMYFUNCTION("""COMPUTED_VALUE"""),TRUE)</f>
        <v>1</v>
      </c>
      <c r="L631" s="174"/>
      <c r="M631" s="174"/>
      <c r="N631" s="174"/>
      <c r="O631" s="174"/>
      <c r="P631" s="174"/>
      <c r="Q631" s="174"/>
      <c r="R631" s="174"/>
      <c r="S631" s="174"/>
      <c r="T631" s="174"/>
      <c r="U631" s="174"/>
      <c r="V631" s="174"/>
      <c r="W631" s="174"/>
      <c r="X631" s="174"/>
      <c r="Y631" s="174"/>
      <c r="Z631" s="174"/>
    </row>
    <row r="632">
      <c r="A632" s="190" t="str">
        <f>IFERROR(__xludf.DUMMYFUNCTION("""COMPUTED_VALUE"""),"Wrathful Blitz")</f>
        <v>Wrathful Blitz</v>
      </c>
      <c r="B632" s="190" t="str">
        <f>IFERROR(__xludf.DUMMYFUNCTION("""COMPUTED_VALUE"""),"Ghost")</f>
        <v>Ghost</v>
      </c>
      <c r="C632" s="190" t="str">
        <f>IFERROR(__xludf.DUMMYFUNCTION("""COMPUTED_VALUE"""),"Physical")</f>
        <v>Physical</v>
      </c>
      <c r="D632" s="190" t="str">
        <f>IFERROR(__xludf.DUMMYFUNCTION("""COMPUTED_VALUE"""),"Scene x2")</f>
        <v>Scene x2</v>
      </c>
      <c r="E632" s="190" t="str">
        <f>IFERROR(__xludf.DUMMYFUNCTION("""COMPUTED_VALUE"""),"Melee, Dash, Recoil 1/3, Reckless")</f>
        <v>Melee, Dash, Recoil 1/3, Reckless</v>
      </c>
      <c r="F632" s="190">
        <f>IFERROR(__xludf.DUMMYFUNCTION("""COMPUTED_VALUE"""),3.0)</f>
        <v>3</v>
      </c>
      <c r="G632" s="190">
        <f>IFERROR(__xludf.DUMMYFUNCTION("""COMPUTED_VALUE"""),13.0)</f>
        <v>13</v>
      </c>
      <c r="H632" s="191" t="str">
        <f>IFERROR(__xludf.DUMMYFUNCTION("""COMPUTED_VALUE"""),"If the Dash Keyword is Activated or if the user has a Mental Affliction, the Target cannot apply Physical Evasion against Wrathful Blitz.")</f>
        <v>If the Dash Keyword is Activated or if the user has a Mental Affliction, the Target cannot apply Physical Evasion against Wrathful Blitz.</v>
      </c>
      <c r="I632" s="191" t="str">
        <f>IFERROR(__xludf.DUMMYFUNCTION("""COMPUTED_VALUE"""),"--")</f>
        <v>--</v>
      </c>
      <c r="J632" s="190" t="str">
        <f>IFERROR(__xludf.DUMMYFUNCTION("""COMPUTED_VALUE"""),"Tier 3")</f>
        <v>Tier 3</v>
      </c>
      <c r="K632" s="174" t="b">
        <f>IFERROR(__xludf.DUMMYFUNCTION("""COMPUTED_VALUE"""),TRUE)</f>
        <v>1</v>
      </c>
      <c r="L632" s="174"/>
      <c r="M632" s="174"/>
      <c r="N632" s="174"/>
      <c r="O632" s="174"/>
      <c r="P632" s="174"/>
      <c r="Q632" s="174"/>
      <c r="R632" s="174"/>
      <c r="S632" s="174"/>
      <c r="T632" s="174"/>
      <c r="U632" s="174"/>
      <c r="V632" s="174"/>
      <c r="W632" s="174"/>
      <c r="X632" s="174"/>
      <c r="Y632" s="174"/>
      <c r="Z632" s="174"/>
    </row>
    <row r="633">
      <c r="A633" s="190" t="str">
        <f>IFERROR(__xludf.DUMMYFUNCTION("""COMPUTED_VALUE"""),"Absorb")</f>
        <v>Absorb</v>
      </c>
      <c r="B633" s="190" t="str">
        <f>IFERROR(__xludf.DUMMYFUNCTION("""COMPUTED_VALUE"""),"Grass")</f>
        <v>Grass</v>
      </c>
      <c r="C633" s="190" t="str">
        <f>IFERROR(__xludf.DUMMYFUNCTION("""COMPUTED_VALUE"""),"Special")</f>
        <v>Special</v>
      </c>
      <c r="D633" s="190" t="str">
        <f>IFERROR(__xludf.DUMMYFUNCTION("""COMPUTED_VALUE"""),"At-Will")</f>
        <v>At-Will</v>
      </c>
      <c r="E633" s="190" t="str">
        <f>IFERROR(__xludf.DUMMYFUNCTION("""COMPUTED_VALUE"""),"4, 1 Target ")</f>
        <v>4, 1 Target </v>
      </c>
      <c r="F633" s="190">
        <f>IFERROR(__xludf.DUMMYFUNCTION("""COMPUTED_VALUE"""),4.0)</f>
        <v>4</v>
      </c>
      <c r="G633" s="190">
        <f>IFERROR(__xludf.DUMMYFUNCTION("""COMPUTED_VALUE"""),4.0)</f>
        <v>4</v>
      </c>
      <c r="H633" s="191" t="str">
        <f>IFERROR(__xludf.DUMMYFUNCTION("""COMPUTED_VALUE"""),"Drain.")</f>
        <v>Drain.</v>
      </c>
      <c r="I633" s="191" t="str">
        <f>IFERROR(__xludf.DUMMYFUNCTION("""COMPUTED_VALUE"""),"--")</f>
        <v>--</v>
      </c>
      <c r="J633" s="190" t="str">
        <f>IFERROR(__xludf.DUMMYFUNCTION("""COMPUTED_VALUE"""),"Tier 1")</f>
        <v>Tier 1</v>
      </c>
      <c r="K633" s="174" t="b">
        <f>IFERROR(__xludf.DUMMYFUNCTION("""COMPUTED_VALUE"""),TRUE)</f>
        <v>1</v>
      </c>
      <c r="L633" s="174"/>
      <c r="M633" s="174"/>
      <c r="N633" s="174"/>
      <c r="O633" s="174"/>
      <c r="P633" s="174"/>
      <c r="Q633" s="174"/>
      <c r="R633" s="174"/>
      <c r="S633" s="174"/>
      <c r="T633" s="174"/>
      <c r="U633" s="174"/>
      <c r="V633" s="174"/>
      <c r="W633" s="174"/>
      <c r="X633" s="174"/>
      <c r="Y633" s="174"/>
      <c r="Z633" s="174"/>
    </row>
    <row r="634">
      <c r="A634" s="190" t="str">
        <f>IFERROR(__xludf.DUMMYFUNCTION("""COMPUTED_VALUE"""),"Apple Acid")</f>
        <v>Apple Acid</v>
      </c>
      <c r="B634" s="190" t="str">
        <f>IFERROR(__xludf.DUMMYFUNCTION("""COMPUTED_VALUE"""),"Grass")</f>
        <v>Grass</v>
      </c>
      <c r="C634" s="190" t="str">
        <f>IFERROR(__xludf.DUMMYFUNCTION("""COMPUTED_VALUE"""),"Special")</f>
        <v>Special</v>
      </c>
      <c r="D634" s="190" t="str">
        <f>IFERROR(__xludf.DUMMYFUNCTION("""COMPUTED_VALUE"""),"EOT")</f>
        <v>EOT</v>
      </c>
      <c r="E634" s="190" t="str">
        <f>IFERROR(__xludf.DUMMYFUNCTION("""COMPUTED_VALUE"""),"Close Blast 2 ")</f>
        <v>Close Blast 2 </v>
      </c>
      <c r="F634" s="190">
        <f>IFERROR(__xludf.DUMMYFUNCTION("""COMPUTED_VALUE"""),6.0)</f>
        <v>6</v>
      </c>
      <c r="G634" s="190">
        <f>IFERROR(__xludf.DUMMYFUNCTION("""COMPUTED_VALUE"""),8.0)</f>
        <v>8</v>
      </c>
      <c r="H634" s="191" t="str">
        <f>IFERROR(__xludf.DUMMYFUNCTION("""COMPUTED_VALUE"""),"On an Even Roll, all Targets become Poisoned. On an Odd Roll, all Targets lose -2 CS in Special Defense. Spirit Surge.")</f>
        <v>On an Even Roll, all Targets become Poisoned. On an Odd Roll, all Targets lose -2 CS in Special Defense. Spirit Surge.</v>
      </c>
      <c r="I634" s="191" t="str">
        <f>IFERROR(__xludf.DUMMYFUNCTION("""COMPUTED_VALUE"""),"--")</f>
        <v>--</v>
      </c>
      <c r="J634" s="190" t="str">
        <f>IFERROR(__xludf.DUMMYFUNCTION("""COMPUTED_VALUE"""),"Tier 2")</f>
        <v>Tier 2</v>
      </c>
      <c r="K634" s="174" t="b">
        <f>IFERROR(__xludf.DUMMYFUNCTION("""COMPUTED_VALUE"""),TRUE)</f>
        <v>1</v>
      </c>
      <c r="L634" s="174"/>
      <c r="M634" s="174"/>
      <c r="N634" s="174"/>
      <c r="O634" s="174"/>
      <c r="P634" s="174"/>
      <c r="Q634" s="174"/>
      <c r="R634" s="174"/>
      <c r="S634" s="174"/>
      <c r="T634" s="174"/>
      <c r="U634" s="174"/>
      <c r="V634" s="174"/>
      <c r="W634" s="174"/>
      <c r="X634" s="174"/>
      <c r="Y634" s="174"/>
      <c r="Z634" s="174"/>
    </row>
    <row r="635">
      <c r="A635" s="190" t="str">
        <f>IFERROR(__xludf.DUMMYFUNCTION("""COMPUTED_VALUE"""),"Aromatherapy")</f>
        <v>Aromatherapy</v>
      </c>
      <c r="B635" s="190" t="str">
        <f>IFERROR(__xludf.DUMMYFUNCTION("""COMPUTED_VALUE"""),"Grass")</f>
        <v>Grass</v>
      </c>
      <c r="C635" s="190" t="str">
        <f>IFERROR(__xludf.DUMMYFUNCTION("""COMPUTED_VALUE"""),"Status")</f>
        <v>Status</v>
      </c>
      <c r="D635" s="190" t="str">
        <f>IFERROR(__xludf.DUMMYFUNCTION("""COMPUTED_VALUE"""),"Scene x2")</f>
        <v>Scene x2</v>
      </c>
      <c r="E635" s="190" t="str">
        <f>IFERROR(__xludf.DUMMYFUNCTION("""COMPUTED_VALUE"""),"Burst 1, Healing, Versatile")</f>
        <v>Burst 1, Healing, Versatile</v>
      </c>
      <c r="F635" s="190" t="str">
        <f>IFERROR(__xludf.DUMMYFUNCTION("""COMPUTED_VALUE"""),"--")</f>
        <v>--</v>
      </c>
      <c r="G635" s="190" t="str">
        <f>IFERROR(__xludf.DUMMYFUNCTION("""COMPUTED_VALUE"""),"--")</f>
        <v>--</v>
      </c>
      <c r="H635" s="191" t="str">
        <f>IFERROR(__xludf.DUMMYFUNCTION("""COMPUTED_VALUE"""),"The user and all allies in this Range are cured of one Status Affliction of their choice. This may also be used as a Full Action to treat its range as Burst 2 instead.")</f>
        <v>The user and all allies in this Range are cured of one Status Affliction of their choice. This may also be used as a Full Action to treat its range as Burst 2 instead.</v>
      </c>
      <c r="I635" s="191" t="str">
        <f>IFERROR(__xludf.DUMMYFUNCTION("""COMPUTED_VALUE"""),"When used this way, the range becomes Melee, 1 Target or Self, Healing. The Target is cured of one Status Affliction.")</f>
        <v>When used this way, the range becomes Melee, 1 Target or Self, Healing. The Target is cured of one Status Affliction.</v>
      </c>
      <c r="J635" s="190" t="str">
        <f>IFERROR(__xludf.DUMMYFUNCTION("""COMPUTED_VALUE"""),"Tier 2")</f>
        <v>Tier 2</v>
      </c>
      <c r="K635" s="174" t="b">
        <f>IFERROR(__xludf.DUMMYFUNCTION("""COMPUTED_VALUE"""),TRUE)</f>
        <v>1</v>
      </c>
      <c r="L635" s="174"/>
      <c r="M635" s="174"/>
      <c r="N635" s="174"/>
      <c r="O635" s="174"/>
      <c r="P635" s="174"/>
      <c r="Q635" s="174"/>
      <c r="R635" s="174"/>
      <c r="S635" s="174"/>
      <c r="T635" s="174"/>
      <c r="U635" s="174"/>
      <c r="V635" s="174"/>
      <c r="W635" s="174"/>
      <c r="X635" s="174"/>
      <c r="Y635" s="174"/>
      <c r="Z635" s="174"/>
    </row>
    <row r="636">
      <c r="A636" s="190" t="str">
        <f>IFERROR(__xludf.DUMMYFUNCTION("""COMPUTED_VALUE"""),"Branch Poke")</f>
        <v>Branch Poke</v>
      </c>
      <c r="B636" s="190" t="str">
        <f>IFERROR(__xludf.DUMMYFUNCTION("""COMPUTED_VALUE"""),"Grass")</f>
        <v>Grass</v>
      </c>
      <c r="C636" s="190" t="str">
        <f>IFERROR(__xludf.DUMMYFUNCTION("""COMPUTED_VALUE"""),"Physical")</f>
        <v>Physical</v>
      </c>
      <c r="D636" s="190" t="str">
        <f>IFERROR(__xludf.DUMMYFUNCTION("""COMPUTED_VALUE"""),"At-Will")</f>
        <v>At-Will</v>
      </c>
      <c r="E636" s="190" t="str">
        <f>IFERROR(__xludf.DUMMYFUNCTION("""COMPUTED_VALUE"""),"2, 1 Target")</f>
        <v>2, 1 Target</v>
      </c>
      <c r="F636" s="190">
        <f>IFERROR(__xludf.DUMMYFUNCTION("""COMPUTED_VALUE"""),2.0)</f>
        <v>2</v>
      </c>
      <c r="G636" s="190">
        <f>IFERROR(__xludf.DUMMYFUNCTION("""COMPUTED_VALUE"""),4.0)</f>
        <v>4</v>
      </c>
      <c r="H636" s="191" t="str">
        <f>IFERROR(__xludf.DUMMYFUNCTION("""COMPUTED_VALUE"""),"On a roll of 17+, the Target becomes Wounded.")</f>
        <v>On a roll of 17+, the Target becomes Wounded.</v>
      </c>
      <c r="I636" s="191" t="str">
        <f>IFERROR(__xludf.DUMMYFUNCTION("""COMPUTED_VALUE"""),"--")</f>
        <v>--</v>
      </c>
      <c r="J636" s="190" t="str">
        <f>IFERROR(__xludf.DUMMYFUNCTION("""COMPUTED_VALUE"""),"Tier 1")</f>
        <v>Tier 1</v>
      </c>
      <c r="K636" s="174" t="b">
        <f>IFERROR(__xludf.DUMMYFUNCTION("""COMPUTED_VALUE"""),TRUE)</f>
        <v>1</v>
      </c>
      <c r="L636" s="174"/>
      <c r="M636" s="174"/>
      <c r="N636" s="174"/>
      <c r="O636" s="174"/>
      <c r="P636" s="174"/>
      <c r="Q636" s="174"/>
      <c r="R636" s="174"/>
      <c r="S636" s="174"/>
      <c r="T636" s="174"/>
      <c r="U636" s="174"/>
      <c r="V636" s="174"/>
      <c r="W636" s="174"/>
      <c r="X636" s="174"/>
      <c r="Y636" s="174"/>
      <c r="Z636" s="174"/>
    </row>
    <row r="637">
      <c r="A637" s="190" t="str">
        <f>IFERROR(__xludf.DUMMYFUNCTION("""COMPUTED_VALUE"""),"Bullet Seed")</f>
        <v>Bullet Seed</v>
      </c>
      <c r="B637" s="190" t="str">
        <f>IFERROR(__xludf.DUMMYFUNCTION("""COMPUTED_VALUE"""),"Grass")</f>
        <v>Grass</v>
      </c>
      <c r="C637" s="190" t="str">
        <f>IFERROR(__xludf.DUMMYFUNCTION("""COMPUTED_VALUE"""),"Physical")</f>
        <v>Physical</v>
      </c>
      <c r="D637" s="190" t="str">
        <f>IFERROR(__xludf.DUMMYFUNCTION("""COMPUTED_VALUE"""),"EOT")</f>
        <v>EOT</v>
      </c>
      <c r="E637" s="190" t="str">
        <f>IFERROR(__xludf.DUMMYFUNCTION("""COMPUTED_VALUE"""),"6, 1 Target")</f>
        <v>6, 1 Target</v>
      </c>
      <c r="F637" s="190">
        <f>IFERROR(__xludf.DUMMYFUNCTION("""COMPUTED_VALUE"""),5.0)</f>
        <v>5</v>
      </c>
      <c r="G637" s="190">
        <f>IFERROR(__xludf.DUMMYFUNCTION("""COMPUTED_VALUE"""),4.0)</f>
        <v>4</v>
      </c>
      <c r="H637" s="191" t="str">
        <f>IFERROR(__xludf.DUMMYFUNCTION("""COMPUTED_VALUE"""),"If Bullet Seed hits at least 4 times, the Target becomes Wounded. Five Strike")</f>
        <v>If Bullet Seed hits at least 4 times, the Target becomes Wounded. Five Strike</v>
      </c>
      <c r="I637" s="191" t="str">
        <f>IFERROR(__xludf.DUMMYFUNCTION("""COMPUTED_VALUE"""),"--")</f>
        <v>--</v>
      </c>
      <c r="J637" s="190" t="str">
        <f>IFERROR(__xludf.DUMMYFUNCTION("""COMPUTED_VALUE"""),"Tier 1")</f>
        <v>Tier 1</v>
      </c>
      <c r="K637" s="174" t="b">
        <f>IFERROR(__xludf.DUMMYFUNCTION("""COMPUTED_VALUE"""),TRUE)</f>
        <v>1</v>
      </c>
      <c r="L637" s="174"/>
      <c r="M637" s="174"/>
      <c r="N637" s="174"/>
      <c r="O637" s="174"/>
      <c r="P637" s="174"/>
      <c r="Q637" s="174"/>
      <c r="R637" s="174"/>
      <c r="S637" s="174"/>
      <c r="T637" s="174"/>
      <c r="U637" s="174"/>
      <c r="V637" s="174"/>
      <c r="W637" s="174"/>
      <c r="X637" s="174"/>
      <c r="Y637" s="174"/>
      <c r="Z637" s="174"/>
    </row>
    <row r="638">
      <c r="A638" s="190" t="str">
        <f>IFERROR(__xludf.DUMMYFUNCTION("""COMPUTED_VALUE"""),"Burn Powder")</f>
        <v>Burn Powder</v>
      </c>
      <c r="B638" s="190" t="str">
        <f>IFERROR(__xludf.DUMMYFUNCTION("""COMPUTED_VALUE"""),"Grass")</f>
        <v>Grass</v>
      </c>
      <c r="C638" s="190" t="str">
        <f>IFERROR(__xludf.DUMMYFUNCTION("""COMPUTED_VALUE"""),"Status")</f>
        <v>Status</v>
      </c>
      <c r="D638" s="190" t="str">
        <f>IFERROR(__xludf.DUMMYFUNCTION("""COMPUTED_VALUE"""),"Scene x2")</f>
        <v>Scene x2</v>
      </c>
      <c r="E638" s="190" t="str">
        <f>IFERROR(__xludf.DUMMYFUNCTION("""COMPUTED_VALUE"""),"6, Ranged Blast 2, Hazard, Versatile")</f>
        <v>6, Ranged Blast 2, Hazard, Versatile</v>
      </c>
      <c r="F638" s="190">
        <f>IFERROR(__xludf.DUMMYFUNCTION("""COMPUTED_VALUE"""),5.0)</f>
        <v>5</v>
      </c>
      <c r="G638" s="190" t="str">
        <f>IFERROR(__xludf.DUMMYFUNCTION("""COMPUTED_VALUE"""),"--")</f>
        <v>--</v>
      </c>
      <c r="H638" s="191" t="str">
        <f>IFERROR(__xludf.DUMMYFUNCTION("""COMPUTED_VALUE"""),"The Target becomes Burned. Powder Hazards may then be set on the spaces in the range of this Attack until the end of the next Round. Whenever an Enemy triggers this Hazard they become Burned or lose a Tick of Hit Points if they're already Burned. 
Powder"&amp;" Hazard - Whenever an Enemy passes through or ends their turn on a Powder Hazard the Effect listed is applied. Users with the Breathless Capability ignore this Hazard.")</f>
        <v>The Target becomes Burned. Powder Hazards may then be set on the spaces in the range of this Attack until the end of the next Round. Whenever an Enemy triggers this Hazard they become Burned or lose a Tick of Hit Points if they're already Burned. 
Powder Hazard - Whenever an Enemy passes through or ends their turn on a Powder Hazard the Effect listed is applied. Users with the Breathless Capability ignore this Hazard.</v>
      </c>
      <c r="I638" s="191" t="str">
        <f>IFERROR(__xludf.DUMMYFUNCTION("""COMPUTED_VALUE"""),"When used this way, the Attack's range becomes 4, 1 Target. The Target becomes Burned.")</f>
        <v>When used this way, the Attack's range becomes 4, 1 Target. The Target becomes Burned.</v>
      </c>
      <c r="J638" s="190" t="str">
        <f>IFERROR(__xludf.DUMMYFUNCTION("""COMPUTED_VALUE"""),"Tier 2")</f>
        <v>Tier 2</v>
      </c>
      <c r="K638" s="174" t="b">
        <f>IFERROR(__xludf.DUMMYFUNCTION("""COMPUTED_VALUE"""),TRUE)</f>
        <v>1</v>
      </c>
      <c r="L638" s="174"/>
      <c r="M638" s="174"/>
      <c r="N638" s="174"/>
      <c r="O638" s="174"/>
      <c r="P638" s="174"/>
      <c r="Q638" s="174"/>
      <c r="R638" s="174"/>
      <c r="S638" s="174"/>
      <c r="T638" s="174"/>
      <c r="U638" s="174"/>
      <c r="V638" s="174"/>
      <c r="W638" s="174"/>
      <c r="X638" s="174"/>
      <c r="Y638" s="174"/>
      <c r="Z638" s="174"/>
    </row>
    <row r="639">
      <c r="A639" s="190" t="str">
        <f>IFERROR(__xludf.DUMMYFUNCTION("""COMPUTED_VALUE"""),"Chloroblast")</f>
        <v>Chloroblast</v>
      </c>
      <c r="B639" s="190" t="str">
        <f>IFERROR(__xludf.DUMMYFUNCTION("""COMPUTED_VALUE"""),"Grass")</f>
        <v>Grass</v>
      </c>
      <c r="C639" s="190" t="str">
        <f>IFERROR(__xludf.DUMMYFUNCTION("""COMPUTED_VALUE"""),"Special")</f>
        <v>Special</v>
      </c>
      <c r="D639" s="190" t="str">
        <f>IFERROR(__xludf.DUMMYFUNCTION("""COMPUTED_VALUE"""),"Scene")</f>
        <v>Scene</v>
      </c>
      <c r="E639" s="190" t="str">
        <f>IFERROR(__xludf.DUMMYFUNCTION("""COMPUTED_VALUE"""),"Burst 2 or Close Blast 3, Full Action, Reckless")</f>
        <v>Burst 2 or Close Blast 3, Full Action, Reckless</v>
      </c>
      <c r="F639" s="190">
        <f>IFERROR(__xludf.DUMMYFUNCTION("""COMPUTED_VALUE"""),7.0)</f>
        <v>7</v>
      </c>
      <c r="G639" s="190">
        <f>IFERROR(__xludf.DUMMYFUNCTION("""COMPUTED_VALUE"""),13.0)</f>
        <v>13</v>
      </c>
      <c r="H639" s="191" t="str">
        <f>IFERROR(__xludf.DUMMYFUNCTION("""COMPUTED_VALUE"""),"Unless the Weather is Sunny, the user loses a Tick of Hit Points per Combatant that took Damage from Chloroblast. Smite. Spirit Surge.")</f>
        <v>Unless the Weather is Sunny, the user loses a Tick of Hit Points per Combatant that took Damage from Chloroblast. Smite. Spirit Surge.</v>
      </c>
      <c r="I639" s="191" t="str">
        <f>IFERROR(__xludf.DUMMYFUNCTION("""COMPUTED_VALUE"""),"--")</f>
        <v>--</v>
      </c>
      <c r="J639" s="190" t="str">
        <f>IFERROR(__xludf.DUMMYFUNCTION("""COMPUTED_VALUE"""),"Tier 3")</f>
        <v>Tier 3</v>
      </c>
      <c r="K639" s="174" t="b">
        <f>IFERROR(__xludf.DUMMYFUNCTION("""COMPUTED_VALUE"""),TRUE)</f>
        <v>1</v>
      </c>
      <c r="L639" s="174"/>
      <c r="M639" s="174"/>
      <c r="N639" s="174"/>
      <c r="O639" s="174"/>
      <c r="P639" s="174"/>
      <c r="Q639" s="174"/>
      <c r="R639" s="174"/>
      <c r="S639" s="174"/>
      <c r="T639" s="174"/>
      <c r="U639" s="174"/>
      <c r="V639" s="174"/>
      <c r="W639" s="174"/>
      <c r="X639" s="174"/>
      <c r="Y639" s="174"/>
      <c r="Z639" s="174"/>
    </row>
    <row r="640">
      <c r="A640" s="190" t="str">
        <f>IFERROR(__xludf.DUMMYFUNCTION("""COMPUTED_VALUE"""),"Cotton Cloak")</f>
        <v>Cotton Cloak</v>
      </c>
      <c r="B640" s="190" t="str">
        <f>IFERROR(__xludf.DUMMYFUNCTION("""COMPUTED_VALUE"""),"Grass")</f>
        <v>Grass</v>
      </c>
      <c r="C640" s="190" t="str">
        <f>IFERROR(__xludf.DUMMYFUNCTION("""COMPUTED_VALUE"""),"Status")</f>
        <v>Status</v>
      </c>
      <c r="D640" s="190" t="str">
        <f>IFERROR(__xludf.DUMMYFUNCTION("""COMPUTED_VALUE"""),"Scene x2")</f>
        <v>Scene x2</v>
      </c>
      <c r="E640" s="190" t="str">
        <f>IFERROR(__xludf.DUMMYFUNCTION("""COMPUTED_VALUE"""),"6, 1 Target or Self, Coat, Versatile")</f>
        <v>6, 1 Target or Self, Coat, Versatile</v>
      </c>
      <c r="F640" s="190">
        <f>IFERROR(__xludf.DUMMYFUNCTION("""COMPUTED_VALUE"""),3.0)</f>
        <v>3</v>
      </c>
      <c r="G640" s="190" t="str">
        <f>IFERROR(__xludf.DUMMYFUNCTION("""COMPUTED_VALUE"""),"--")</f>
        <v>--</v>
      </c>
      <c r="H640" s="191" t="str">
        <f>IFERROR(__xludf.DUMMYFUNCTION("""COMPUTED_VALUE"""),"The Target gains a Cotton Coat. If the Target is an enemy, the coat is automatically expended upon being hit by a Flying or Fire Type Damaging Attack, the resulting Attack is increased by one damage step. If the Target is an ally or the user, the coat may"&amp;" be expended as a Free Action to have a Physical Attack that hits the Target deal one step resisted damage.  ")</f>
        <v>The Target gains a Cotton Coat. If the Target is an enemy, the coat is automatically expended upon being hit by a Flying or Fire Type Damaging Attack, the resulting Attack is increased by one damage step. If the Target is an ally or the user, the coat may be expended as a Free Action to have a Physical Attack that hits the Target deal one step resisted damage.  </v>
      </c>
      <c r="I640" s="191" t="str">
        <f>IFERROR(__xludf.DUMMYFUNCTION("""COMPUTED_VALUE"""),"The Target gains a Cotton Coat until the end of their next Turn. If the Target is an Enemy they have a -2 penalty to Accuracy while affected by the Coat. If the Target is an Ally or the user, they have DR against Physical Attacks equal to the user's Tier "&amp;"Value while affected by the Coat.")</f>
        <v>The Target gains a Cotton Coat until the end of their next Turn. If the Target is an Enemy they have a -2 penalty to Accuracy while affected by the Coat. If the Target is an Ally or the user, they have DR against Physical Attacks equal to the user's Tier Value while affected by the Coat.</v>
      </c>
      <c r="J640" s="190" t="str">
        <f>IFERROR(__xludf.DUMMYFUNCTION("""COMPUTED_VALUE"""),"Tier 2")</f>
        <v>Tier 2</v>
      </c>
      <c r="K640" s="174" t="b">
        <f>IFERROR(__xludf.DUMMYFUNCTION("""COMPUTED_VALUE"""),TRUE)</f>
        <v>1</v>
      </c>
      <c r="L640" s="174"/>
      <c r="M640" s="174"/>
      <c r="N640" s="174"/>
      <c r="O640" s="174"/>
      <c r="P640" s="174"/>
      <c r="Q640" s="174"/>
      <c r="R640" s="174"/>
      <c r="S640" s="174"/>
      <c r="T640" s="174"/>
      <c r="U640" s="174"/>
      <c r="V640" s="174"/>
      <c r="W640" s="174"/>
      <c r="X640" s="174"/>
      <c r="Y640" s="174"/>
      <c r="Z640" s="174"/>
    </row>
    <row r="641">
      <c r="A641" s="190" t="str">
        <f>IFERROR(__xludf.DUMMYFUNCTION("""COMPUTED_VALUE"""),"Cotton Guard")</f>
        <v>Cotton Guard</v>
      </c>
      <c r="B641" s="190" t="str">
        <f>IFERROR(__xludf.DUMMYFUNCTION("""COMPUTED_VALUE"""),"Grass")</f>
        <v>Grass</v>
      </c>
      <c r="C641" s="190" t="str">
        <f>IFERROR(__xludf.DUMMYFUNCTION("""COMPUTED_VALUE"""),"Status")</f>
        <v>Status</v>
      </c>
      <c r="D641" s="190" t="str">
        <f>IFERROR(__xludf.DUMMYFUNCTION("""COMPUTED_VALUE"""),"Scene")</f>
        <v>Scene</v>
      </c>
      <c r="E641" s="190" t="str">
        <f>IFERROR(__xludf.DUMMYFUNCTION("""COMPUTED_VALUE"""),"Self, Shield, Trigger")</f>
        <v>Self, Shield, Trigger</v>
      </c>
      <c r="F641" s="190" t="str">
        <f>IFERROR(__xludf.DUMMYFUNCTION("""COMPUTED_VALUE"""),"--")</f>
        <v>--</v>
      </c>
      <c r="G641" s="190" t="str">
        <f>IFERROR(__xludf.DUMMYFUNCTION("""COMPUTED_VALUE"""),"--")</f>
        <v>--</v>
      </c>
      <c r="H641" s="191" t="str">
        <f>IFERROR(__xludf.DUMMYFUNCTION("""COMPUTED_VALUE"""),"If the user or an Adjacent Ally is hit by an Attack, the user may use Cotton Guard as a Standard Action + Reaction. The user and all Adjacent Targets resist the Attack by an additional Damage Step. Additionally if the Attacker was Adjacent to the user, th"&amp;"ey become Blinded, which can only be cured by using a Movement Action..")</f>
        <v>If the user or an Adjacent Ally is hit by an Attack, the user may use Cotton Guard as a Standard Action + Reaction. The user and all Adjacent Targets resist the Attack by an additional Damage Step. Additionally if the Attacker was Adjacent to the user, they become Blinded, which can only be cured by using a Movement Action..</v>
      </c>
      <c r="I641" s="191" t="str">
        <f>IFERROR(__xludf.DUMMYFUNCTION("""COMPUTED_VALUE"""),"--")</f>
        <v>--</v>
      </c>
      <c r="J641" s="190" t="str">
        <f>IFERROR(__xludf.DUMMYFUNCTION("""COMPUTED_VALUE"""),"Tier 3")</f>
        <v>Tier 3</v>
      </c>
      <c r="K641" s="174" t="b">
        <f>IFERROR(__xludf.DUMMYFUNCTION("""COMPUTED_VALUE"""),TRUE)</f>
        <v>1</v>
      </c>
      <c r="L641" s="174"/>
      <c r="M641" s="174"/>
      <c r="N641" s="174"/>
      <c r="O641" s="174"/>
      <c r="P641" s="174"/>
      <c r="Q641" s="174"/>
      <c r="R641" s="174"/>
      <c r="S641" s="174"/>
      <c r="T641" s="174"/>
      <c r="U641" s="174"/>
      <c r="V641" s="174"/>
      <c r="W641" s="174"/>
      <c r="X641" s="174"/>
      <c r="Y641" s="174"/>
      <c r="Z641" s="174"/>
    </row>
    <row r="642">
      <c r="A642" s="190" t="str">
        <f>IFERROR(__xludf.DUMMYFUNCTION("""COMPUTED_VALUE"""),"Cotton Shower")</f>
        <v>Cotton Shower</v>
      </c>
      <c r="B642" s="190" t="str">
        <f>IFERROR(__xludf.DUMMYFUNCTION("""COMPUTED_VALUE"""),"Grass")</f>
        <v>Grass</v>
      </c>
      <c r="C642" s="190" t="str">
        <f>IFERROR(__xludf.DUMMYFUNCTION("""COMPUTED_VALUE"""),"Status")</f>
        <v>Status</v>
      </c>
      <c r="D642" s="190" t="str">
        <f>IFERROR(__xludf.DUMMYFUNCTION("""COMPUTED_VALUE"""),"Scene x2")</f>
        <v>Scene x2</v>
      </c>
      <c r="E642" s="190" t="str">
        <f>IFERROR(__xludf.DUMMYFUNCTION("""COMPUTED_VALUE"""),"Blessing, Versatile")</f>
        <v>Blessing, Versatile</v>
      </c>
      <c r="F642" s="190" t="str">
        <f>IFERROR(__xludf.DUMMYFUNCTION("""COMPUTED_VALUE"""),"--")</f>
        <v>--</v>
      </c>
      <c r="G642" s="190" t="str">
        <f>IFERROR(__xludf.DUMMYFUNCTION("""COMPUTED_VALUE"""),"--")</f>
        <v>--</v>
      </c>
      <c r="H642" s="191" t="str">
        <f>IFERROR(__xludf.DUMMYFUNCTION("""COMPUTED_VALUE"""),"Blessing – Any user affected by Cotton Shower may activate it as a Swift Action to gain +1 Combat Stage in any Stat of their Choosing. If the benefiting combatant is Grass Type, they may instead activate it once during their Turn as a Free Action. Cotton "&amp;"Shower may be Activated 3 times, and then disappears.")</f>
        <v>Blessing – Any user affected by Cotton Shower may activate it as a Swift Action to gain +1 Combat Stage in any Stat of their Choosing. If the benefiting combatant is Grass Type, they may instead activate it once during their Turn as a Free Action. Cotton Shower may be Activated 3 times, and then disappears.</v>
      </c>
      <c r="I642" s="191" t="str">
        <f>IFERROR(__xludf.DUMMYFUNCTION("""COMPUTED_VALUE"""),"Same as the normal Effect, but it only has 2 activations. In addition, regardless of their Type, it requires a Swift + Movement Action to activate the blessing.")</f>
        <v>Same as the normal Effect, but it only has 2 activations. In addition, regardless of their Type, it requires a Swift + Movement Action to activate the blessing.</v>
      </c>
      <c r="J642" s="190" t="str">
        <f>IFERROR(__xludf.DUMMYFUNCTION("""COMPUTED_VALUE"""),"Tier 2")</f>
        <v>Tier 2</v>
      </c>
      <c r="K642" s="174" t="b">
        <f>IFERROR(__xludf.DUMMYFUNCTION("""COMPUTED_VALUE"""),TRUE)</f>
        <v>1</v>
      </c>
      <c r="L642" s="174"/>
      <c r="M642" s="174"/>
      <c r="N642" s="174"/>
      <c r="O642" s="174"/>
      <c r="P642" s="174"/>
      <c r="Q642" s="174"/>
      <c r="R642" s="174"/>
      <c r="S642" s="174"/>
      <c r="T642" s="174"/>
      <c r="U642" s="174"/>
      <c r="V642" s="174"/>
      <c r="W642" s="174"/>
      <c r="X642" s="174"/>
      <c r="Y642" s="174"/>
      <c r="Z642" s="174"/>
    </row>
    <row r="643">
      <c r="A643" s="190" t="str">
        <f>IFERROR(__xludf.DUMMYFUNCTION("""COMPUTED_VALUE"""),"Cotton Spore")</f>
        <v>Cotton Spore</v>
      </c>
      <c r="B643" s="190" t="str">
        <f>IFERROR(__xludf.DUMMYFUNCTION("""COMPUTED_VALUE"""),"Grass")</f>
        <v>Grass</v>
      </c>
      <c r="C643" s="190" t="str">
        <f>IFERROR(__xludf.DUMMYFUNCTION("""COMPUTED_VALUE"""),"Status")</f>
        <v>Status</v>
      </c>
      <c r="D643" s="190" t="str">
        <f>IFERROR(__xludf.DUMMYFUNCTION("""COMPUTED_VALUE"""),"EOT")</f>
        <v>EOT</v>
      </c>
      <c r="E643" s="190" t="str">
        <f>IFERROR(__xludf.DUMMYFUNCTION("""COMPUTED_VALUE"""),"Burst 1, Versatile")</f>
        <v>Burst 1, Versatile</v>
      </c>
      <c r="F643" s="190">
        <f>IFERROR(__xludf.DUMMYFUNCTION("""COMPUTED_VALUE"""),7.0)</f>
        <v>7</v>
      </c>
      <c r="G643" s="190" t="str">
        <f>IFERROR(__xludf.DUMMYFUNCTION("""COMPUTED_VALUE"""),"--")</f>
        <v>--</v>
      </c>
      <c r="H643" s="191" t="str">
        <f>IFERROR(__xludf.DUMMYFUNCTION("""COMPUTED_VALUE"""),"All Targets become Blinded until the end of their next Turn. A target cannot be Blinded by Cotton Spore more than once per Scene. If this Attack Misses, they instead have a -2 Penalty to their next Accuracy Roll. Spirit Surge. ")</f>
        <v>All Targets become Blinded until the end of their next Turn. A target cannot be Blinded by Cotton Spore more than once per Scene. If this Attack Misses, they instead have a -2 Penalty to their next Accuracy Roll. Spirit Surge. </v>
      </c>
      <c r="I643" s="191" t="str">
        <f>IFERROR(__xludf.DUMMYFUNCTION("""COMPUTED_VALUE"""),"All Targets have a -2 Penalty to Accuracy until the end of their next Turn. On a miss, they instead have a -1 Penalty to Accuracy until the end of their next Turn. Spirit Surge.")</f>
        <v>All Targets have a -2 Penalty to Accuracy until the end of their next Turn. On a miss, they instead have a -1 Penalty to Accuracy until the end of their next Turn. Spirit Surge.</v>
      </c>
      <c r="J643" s="190" t="str">
        <f>IFERROR(__xludf.DUMMYFUNCTION("""COMPUTED_VALUE"""),"Tier 1")</f>
        <v>Tier 1</v>
      </c>
      <c r="K643" s="174" t="b">
        <f>IFERROR(__xludf.DUMMYFUNCTION("""COMPUTED_VALUE"""),TRUE)</f>
        <v>1</v>
      </c>
      <c r="L643" s="174"/>
      <c r="M643" s="174"/>
      <c r="N643" s="174"/>
      <c r="O643" s="174"/>
      <c r="P643" s="174"/>
      <c r="Q643" s="174"/>
      <c r="R643" s="174"/>
      <c r="S643" s="174"/>
      <c r="T643" s="174"/>
      <c r="U643" s="174"/>
      <c r="V643" s="174"/>
      <c r="W643" s="174"/>
      <c r="X643" s="174"/>
      <c r="Y643" s="174"/>
      <c r="Z643" s="174"/>
    </row>
    <row r="644">
      <c r="A644" s="190" t="str">
        <f>IFERROR(__xludf.DUMMYFUNCTION("""COMPUTED_VALUE"""),"Drum Beating")</f>
        <v>Drum Beating</v>
      </c>
      <c r="B644" s="190" t="str">
        <f>IFERROR(__xludf.DUMMYFUNCTION("""COMPUTED_VALUE"""),"Grass")</f>
        <v>Grass</v>
      </c>
      <c r="C644" s="190" t="str">
        <f>IFERROR(__xludf.DUMMYFUNCTION("""COMPUTED_VALUE"""),"Physical")</f>
        <v>Physical</v>
      </c>
      <c r="D644" s="190" t="str">
        <f>IFERROR(__xludf.DUMMYFUNCTION("""COMPUTED_VALUE"""),"EOT")</f>
        <v>EOT</v>
      </c>
      <c r="E644" s="190" t="str">
        <f>IFERROR(__xludf.DUMMYFUNCTION("""COMPUTED_VALUE"""),"3, 2 Targets, Groundsource, Sonic")</f>
        <v>3, 2 Targets, Groundsource, Sonic</v>
      </c>
      <c r="F644" s="190">
        <f>IFERROR(__xludf.DUMMYFUNCTION("""COMPUTED_VALUE"""),6.0)</f>
        <v>6</v>
      </c>
      <c r="G644" s="190">
        <f>IFERROR(__xludf.DUMMYFUNCTION("""COMPUTED_VALUE"""),8.0)</f>
        <v>8</v>
      </c>
      <c r="H644" s="191" t="str">
        <f>IFERROR(__xludf.DUMMYFUNCTION("""COMPUTED_VALUE"""),"The user may expend a Movement Action to give this Attack the Smite Keyword.")</f>
        <v>The user may expend a Movement Action to give this Attack the Smite Keyword.</v>
      </c>
      <c r="I644" s="191" t="str">
        <f>IFERROR(__xludf.DUMMYFUNCTION("""COMPUTED_VALUE"""),"--")</f>
        <v>--</v>
      </c>
      <c r="J644" s="190" t="str">
        <f>IFERROR(__xludf.DUMMYFUNCTION("""COMPUTED_VALUE"""),"Tier 2")</f>
        <v>Tier 2</v>
      </c>
      <c r="K644" s="174" t="b">
        <f>IFERROR(__xludf.DUMMYFUNCTION("""COMPUTED_VALUE"""),TRUE)</f>
        <v>1</v>
      </c>
      <c r="L644" s="174"/>
      <c r="M644" s="174"/>
      <c r="N644" s="174"/>
      <c r="O644" s="174"/>
      <c r="P644" s="174"/>
      <c r="Q644" s="174"/>
      <c r="R644" s="174"/>
      <c r="S644" s="174"/>
      <c r="T644" s="174"/>
      <c r="U644" s="174"/>
      <c r="V644" s="174"/>
      <c r="W644" s="174"/>
      <c r="X644" s="174"/>
      <c r="Y644" s="174"/>
      <c r="Z644" s="174"/>
    </row>
    <row r="645">
      <c r="A645" s="190" t="str">
        <f>IFERROR(__xludf.DUMMYFUNCTION("""COMPUTED_VALUE"""),"Energy Ball")</f>
        <v>Energy Ball</v>
      </c>
      <c r="B645" s="190" t="str">
        <f>IFERROR(__xludf.DUMMYFUNCTION("""COMPUTED_VALUE"""),"Grass")</f>
        <v>Grass</v>
      </c>
      <c r="C645" s="190" t="str">
        <f>IFERROR(__xludf.DUMMYFUNCTION("""COMPUTED_VALUE"""),"Special")</f>
        <v>Special</v>
      </c>
      <c r="D645" s="190" t="str">
        <f>IFERROR(__xludf.DUMMYFUNCTION("""COMPUTED_VALUE"""),"EOT")</f>
        <v>EOT</v>
      </c>
      <c r="E645" s="190" t="str">
        <f>IFERROR(__xludf.DUMMYFUNCTION("""COMPUTED_VALUE"""),"8, 1 Target")</f>
        <v>8, 1 Target</v>
      </c>
      <c r="F645" s="190">
        <f>IFERROR(__xludf.DUMMYFUNCTION("""COMPUTED_VALUE"""),4.0)</f>
        <v>4</v>
      </c>
      <c r="G645" s="190">
        <f>IFERROR(__xludf.DUMMYFUNCTION("""COMPUTED_VALUE"""),9.0)</f>
        <v>9</v>
      </c>
      <c r="H645" s="191" t="str">
        <f>IFERROR(__xludf.DUMMYFUNCTION("""COMPUTED_VALUE"""),"On a roll of 17+, the Target loses -1 CS in Special Defense. Smite")</f>
        <v>On a roll of 17+, the Target loses -1 CS in Special Defense. Smite</v>
      </c>
      <c r="I645" s="191" t="str">
        <f>IFERROR(__xludf.DUMMYFUNCTION("""COMPUTED_VALUE"""),"--")</f>
        <v>--</v>
      </c>
      <c r="J645" s="190" t="str">
        <f>IFERROR(__xludf.DUMMYFUNCTION("""COMPUTED_VALUE"""),"Tier 2")</f>
        <v>Tier 2</v>
      </c>
      <c r="K645" s="174" t="b">
        <f>IFERROR(__xludf.DUMMYFUNCTION("""COMPUTED_VALUE"""),TRUE)</f>
        <v>1</v>
      </c>
      <c r="L645" s="174"/>
      <c r="M645" s="174"/>
      <c r="N645" s="174"/>
      <c r="O645" s="174"/>
      <c r="P645" s="174"/>
      <c r="Q645" s="174"/>
      <c r="R645" s="174"/>
      <c r="S645" s="174"/>
      <c r="T645" s="174"/>
      <c r="U645" s="174"/>
      <c r="V645" s="174"/>
      <c r="W645" s="174"/>
      <c r="X645" s="174"/>
      <c r="Y645" s="174"/>
      <c r="Z645" s="174"/>
    </row>
    <row r="646">
      <c r="A646" s="190" t="str">
        <f>IFERROR(__xludf.DUMMYFUNCTION("""COMPUTED_VALUE"""),"Floral Burst")</f>
        <v>Floral Burst</v>
      </c>
      <c r="B646" s="190" t="str">
        <f>IFERROR(__xludf.DUMMYFUNCTION("""COMPUTED_VALUE"""),"Grass")</f>
        <v>Grass</v>
      </c>
      <c r="C646" s="190" t="str">
        <f>IFERROR(__xludf.DUMMYFUNCTION("""COMPUTED_VALUE"""),"Special")</f>
        <v>Special</v>
      </c>
      <c r="D646" s="190" t="str">
        <f>IFERROR(__xludf.DUMMYFUNCTION("""COMPUTED_VALUE"""),"Scene x2")</f>
        <v>Scene x2</v>
      </c>
      <c r="E646" s="190" t="str">
        <f>IFERROR(__xludf.DUMMYFUNCTION("""COMPUTED_VALUE"""),"Burst 1, Full Action, Groundsource ")</f>
        <v>Burst 1, Full Action, Groundsource </v>
      </c>
      <c r="F646" s="190">
        <f>IFERROR(__xludf.DUMMYFUNCTION("""COMPUTED_VALUE"""),6.0)</f>
        <v>6</v>
      </c>
      <c r="G646" s="190">
        <f>IFERROR(__xludf.DUMMYFUNCTION("""COMPUTED_VALUE"""),8.0)</f>
        <v>8</v>
      </c>
      <c r="H646" s="191" t="str">
        <f>IFERROR(__xludf.DUMMYFUNCTION("""COMPUTED_VALUE"""),"If the Field is affected by an Grass Attack or the Weather is Sunny, Floral Burst may increase its Burst Range by up to +2. Smite")</f>
        <v>If the Field is affected by an Grass Attack or the Weather is Sunny, Floral Burst may increase its Burst Range by up to +2. Smite</v>
      </c>
      <c r="I646" s="191" t="str">
        <f>IFERROR(__xludf.DUMMYFUNCTION("""COMPUTED_VALUE"""),"--")</f>
        <v>--</v>
      </c>
      <c r="J646" s="190" t="str">
        <f>IFERROR(__xludf.DUMMYFUNCTION("""COMPUTED_VALUE"""),"Tier 2")</f>
        <v>Tier 2</v>
      </c>
      <c r="K646" s="174" t="b">
        <f>IFERROR(__xludf.DUMMYFUNCTION("""COMPUTED_VALUE"""),TRUE)</f>
        <v>1</v>
      </c>
      <c r="L646" s="174"/>
      <c r="M646" s="174"/>
      <c r="N646" s="174"/>
      <c r="O646" s="174"/>
      <c r="P646" s="174"/>
      <c r="Q646" s="174"/>
      <c r="R646" s="174"/>
      <c r="S646" s="174"/>
      <c r="T646" s="174"/>
      <c r="U646" s="174"/>
      <c r="V646" s="174"/>
      <c r="W646" s="174"/>
      <c r="X646" s="174"/>
      <c r="Y646" s="174"/>
      <c r="Z646" s="174"/>
    </row>
    <row r="647">
      <c r="A647" s="190" t="str">
        <f>IFERROR(__xludf.DUMMYFUNCTION("""COMPUTED_VALUE"""),"Flower Trick")</f>
        <v>Flower Trick</v>
      </c>
      <c r="B647" s="190" t="str">
        <f>IFERROR(__xludf.DUMMYFUNCTION("""COMPUTED_VALUE"""),"Grass")</f>
        <v>Grass</v>
      </c>
      <c r="C647" s="190" t="str">
        <f>IFERROR(__xludf.DUMMYFUNCTION("""COMPUTED_VALUE"""),"Physical")</f>
        <v>Physical</v>
      </c>
      <c r="D647" s="190" t="str">
        <f>IFERROR(__xludf.DUMMYFUNCTION("""COMPUTED_VALUE"""),"EOT")</f>
        <v>EOT</v>
      </c>
      <c r="E647" s="190" t="str">
        <f>IFERROR(__xludf.DUMMYFUNCTION("""COMPUTED_VALUE"""),"6, 1 Target")</f>
        <v>6, 1 Target</v>
      </c>
      <c r="F647" s="190">
        <f>IFERROR(__xludf.DUMMYFUNCTION("""COMPUTED_VALUE"""),3.0)</f>
        <v>3</v>
      </c>
      <c r="G647" s="190">
        <f>IFERROR(__xludf.DUMMYFUNCTION("""COMPUTED_VALUE"""),7.0)</f>
        <v>7</v>
      </c>
      <c r="H647" s="191" t="str">
        <f>IFERROR(__xludf.DUMMYFUNCTION("""COMPUTED_VALUE"""),"If the user hit the Target with a Maneuver this Round, this has the Sureshot Keyword. Flower Trick is a Critical Hit on a roll of 17+. ")</f>
        <v>If the user hit the Target with a Maneuver this Round, this has the Sureshot Keyword. Flower Trick is a Critical Hit on a roll of 17+. </v>
      </c>
      <c r="I647" s="191" t="str">
        <f>IFERROR(__xludf.DUMMYFUNCTION("""COMPUTED_VALUE"""),"--")</f>
        <v>--</v>
      </c>
      <c r="J647" s="190" t="str">
        <f>IFERROR(__xludf.DUMMYFUNCTION("""COMPUTED_VALUE"""),"Tier 1")</f>
        <v>Tier 1</v>
      </c>
      <c r="K647" s="174" t="b">
        <f>IFERROR(__xludf.DUMMYFUNCTION("""COMPUTED_VALUE"""),TRUE)</f>
        <v>1</v>
      </c>
      <c r="L647" s="174"/>
      <c r="M647" s="174"/>
      <c r="N647" s="174"/>
      <c r="O647" s="174"/>
      <c r="P647" s="174"/>
      <c r="Q647" s="174"/>
      <c r="R647" s="174"/>
      <c r="S647" s="174"/>
      <c r="T647" s="174"/>
      <c r="U647" s="174"/>
      <c r="V647" s="174"/>
      <c r="W647" s="174"/>
      <c r="X647" s="174"/>
      <c r="Y647" s="174"/>
      <c r="Z647" s="174"/>
    </row>
    <row r="648">
      <c r="A648" s="190" t="str">
        <f>IFERROR(__xludf.DUMMYFUNCTION("""COMPUTED_VALUE"""),"Forest's Curse")</f>
        <v>Forest's Curse</v>
      </c>
      <c r="B648" s="190" t="str">
        <f>IFERROR(__xludf.DUMMYFUNCTION("""COMPUTED_VALUE"""),"Grass")</f>
        <v>Grass</v>
      </c>
      <c r="C648" s="190" t="str">
        <f>IFERROR(__xludf.DUMMYFUNCTION("""COMPUTED_VALUE"""),"Status")</f>
        <v>Status</v>
      </c>
      <c r="D648" s="190" t="str">
        <f>IFERROR(__xludf.DUMMYFUNCTION("""COMPUTED_VALUE"""),"Scene x2")</f>
        <v>Scene x2</v>
      </c>
      <c r="E648" s="190" t="str">
        <f>IFERROR(__xludf.DUMMYFUNCTION("""COMPUTED_VALUE"""),"6, 1 Target")</f>
        <v>6, 1 Target</v>
      </c>
      <c r="F648" s="190">
        <f>IFERROR(__xludf.DUMMYFUNCTION("""COMPUTED_VALUE"""),6.0)</f>
        <v>6</v>
      </c>
      <c r="G648" s="190" t="str">
        <f>IFERROR(__xludf.DUMMYFUNCTION("""COMPUTED_VALUE"""),"--")</f>
        <v>--</v>
      </c>
      <c r="H648" s="191" t="str">
        <f>IFERROR(__xludf.DUMMYFUNCTION("""COMPUTED_VALUE"""),"The Target becomes Cursed. While Cursed this way, Grass Type Attacks have the Sureshot and Unstoppable Keyword when Targeting only them. If the Weather is Foggy, the Target cannot apply Stat Evasion against this Attack")</f>
        <v>The Target becomes Cursed. While Cursed this way, Grass Type Attacks have the Sureshot and Unstoppable Keyword when Targeting only them. If the Weather is Foggy, the Target cannot apply Stat Evasion against this Attack</v>
      </c>
      <c r="I648" s="191" t="str">
        <f>IFERROR(__xludf.DUMMYFUNCTION("""COMPUTED_VALUE"""),"--")</f>
        <v>--</v>
      </c>
      <c r="J648" s="190" t="str">
        <f>IFERROR(__xludf.DUMMYFUNCTION("""COMPUTED_VALUE"""),"Tier 2")</f>
        <v>Tier 2</v>
      </c>
      <c r="K648" s="174" t="b">
        <f>IFERROR(__xludf.DUMMYFUNCTION("""COMPUTED_VALUE"""),TRUE)</f>
        <v>1</v>
      </c>
      <c r="L648" s="174"/>
      <c r="M648" s="174"/>
      <c r="N648" s="174"/>
      <c r="O648" s="174"/>
      <c r="P648" s="174"/>
      <c r="Q648" s="174"/>
      <c r="R648" s="174"/>
      <c r="S648" s="174"/>
      <c r="T648" s="174"/>
      <c r="U648" s="174"/>
      <c r="V648" s="174"/>
      <c r="W648" s="174"/>
      <c r="X648" s="174"/>
      <c r="Y648" s="174"/>
      <c r="Z648" s="174"/>
    </row>
    <row r="649">
      <c r="A649" s="190" t="str">
        <f>IFERROR(__xludf.DUMMYFUNCTION("""COMPUTED_VALUE"""),"Frenzy Plant")</f>
        <v>Frenzy Plant</v>
      </c>
      <c r="B649" s="190" t="str">
        <f>IFERROR(__xludf.DUMMYFUNCTION("""COMPUTED_VALUE"""),"Grass")</f>
        <v>Grass</v>
      </c>
      <c r="C649" s="190" t="str">
        <f>IFERROR(__xludf.DUMMYFUNCTION("""COMPUTED_VALUE"""),"Special")</f>
        <v>Special</v>
      </c>
      <c r="D649" s="190" t="str">
        <f>IFERROR(__xludf.DUMMYFUNCTION("""COMPUTED_VALUE"""),"Scene")</f>
        <v>Scene</v>
      </c>
      <c r="E649" s="190" t="str">
        <f>IFERROR(__xludf.DUMMYFUNCTION("""COMPUTED_VALUE"""),"5, 3 Targets, Full Action, Groundsource")</f>
        <v>5, 3 Targets, Full Action, Groundsource</v>
      </c>
      <c r="F649" s="190">
        <f>IFERROR(__xludf.DUMMYFUNCTION("""COMPUTED_VALUE"""),8.0)</f>
        <v>8</v>
      </c>
      <c r="G649" s="190">
        <f>IFERROR(__xludf.DUMMYFUNCTION("""COMPUTED_VALUE"""),13.0)</f>
        <v>13</v>
      </c>
      <c r="H649" s="191" t="str">
        <f>IFERROR(__xludf.DUMMYFUNCTION("""COMPUTED_VALUE"""),"All Targets of Frenzy Plant become Slowed. On a roll of 17+, they cannot use a Movement Action during their next Turn. Smite, Spirit Surge")</f>
        <v>All Targets of Frenzy Plant become Slowed. On a roll of 17+, they cannot use a Movement Action during their next Turn. Smite, Spirit Surge</v>
      </c>
      <c r="I649" s="191" t="str">
        <f>IFERROR(__xludf.DUMMYFUNCTION("""COMPUTED_VALUE"""),"--")</f>
        <v>--</v>
      </c>
      <c r="J649" s="190" t="str">
        <f>IFERROR(__xludf.DUMMYFUNCTION("""COMPUTED_VALUE"""),"Tier 3")</f>
        <v>Tier 3</v>
      </c>
      <c r="K649" s="174" t="b">
        <f>IFERROR(__xludf.DUMMYFUNCTION("""COMPUTED_VALUE"""),TRUE)</f>
        <v>1</v>
      </c>
      <c r="L649" s="174"/>
      <c r="M649" s="174"/>
      <c r="N649" s="174"/>
      <c r="O649" s="174"/>
      <c r="P649" s="174"/>
      <c r="Q649" s="174"/>
      <c r="R649" s="174"/>
      <c r="S649" s="174"/>
      <c r="T649" s="174"/>
      <c r="U649" s="174"/>
      <c r="V649" s="174"/>
      <c r="W649" s="174"/>
      <c r="X649" s="174"/>
      <c r="Y649" s="174"/>
      <c r="Z649" s="174"/>
    </row>
    <row r="650">
      <c r="A650" s="190" t="str">
        <f>IFERROR(__xludf.DUMMYFUNCTION("""COMPUTED_VALUE"""),"Giga Drain")</f>
        <v>Giga Drain</v>
      </c>
      <c r="B650" s="190" t="str">
        <f>IFERROR(__xludf.DUMMYFUNCTION("""COMPUTED_VALUE"""),"Grass")</f>
        <v>Grass</v>
      </c>
      <c r="C650" s="190" t="str">
        <f>IFERROR(__xludf.DUMMYFUNCTION("""COMPUTED_VALUE"""),"Special")</f>
        <v>Special</v>
      </c>
      <c r="D650" s="190" t="str">
        <f>IFERROR(__xludf.DUMMYFUNCTION("""COMPUTED_VALUE"""),"Scene x2")</f>
        <v>Scene x2</v>
      </c>
      <c r="E650" s="190" t="str">
        <f>IFERROR(__xludf.DUMMYFUNCTION("""COMPUTED_VALUE"""),"6, 1 Target ")</f>
        <v>6, 1 Target </v>
      </c>
      <c r="F650" s="190">
        <f>IFERROR(__xludf.DUMMYFUNCTION("""COMPUTED_VALUE"""),5.0)</f>
        <v>5</v>
      </c>
      <c r="G650" s="190">
        <f>IFERROR(__xludf.DUMMYFUNCTION("""COMPUTED_VALUE"""),9.0)</f>
        <v>9</v>
      </c>
      <c r="H650" s="191" t="str">
        <f>IFERROR(__xludf.DUMMYFUNCTION("""COMPUTED_VALUE"""),"Drain.")</f>
        <v>Drain.</v>
      </c>
      <c r="I650" s="191" t="str">
        <f>IFERROR(__xludf.DUMMYFUNCTION("""COMPUTED_VALUE"""),"--")</f>
        <v>--</v>
      </c>
      <c r="J650" s="190" t="str">
        <f>IFERROR(__xludf.DUMMYFUNCTION("""COMPUTED_VALUE"""),"Tier 2")</f>
        <v>Tier 2</v>
      </c>
      <c r="K650" s="174" t="b">
        <f>IFERROR(__xludf.DUMMYFUNCTION("""COMPUTED_VALUE"""),TRUE)</f>
        <v>1</v>
      </c>
      <c r="L650" s="174"/>
      <c r="M650" s="174"/>
      <c r="N650" s="174"/>
      <c r="O650" s="174"/>
      <c r="P650" s="174"/>
      <c r="Q650" s="174"/>
      <c r="R650" s="174"/>
      <c r="S650" s="174"/>
      <c r="T650" s="174"/>
      <c r="U650" s="174"/>
      <c r="V650" s="174"/>
      <c r="W650" s="174"/>
      <c r="X650" s="174"/>
      <c r="Y650" s="174"/>
      <c r="Z650" s="174"/>
    </row>
    <row r="651">
      <c r="A651" s="190" t="str">
        <f>IFERROR(__xludf.DUMMYFUNCTION("""COMPUTED_VALUE"""),"Grass Knot")</f>
        <v>Grass Knot</v>
      </c>
      <c r="B651" s="190" t="str">
        <f>IFERROR(__xludf.DUMMYFUNCTION("""COMPUTED_VALUE"""),"Grass")</f>
        <v>Grass</v>
      </c>
      <c r="C651" s="190" t="str">
        <f>IFERROR(__xludf.DUMMYFUNCTION("""COMPUTED_VALUE"""),"Special")</f>
        <v>Special</v>
      </c>
      <c r="D651" s="190" t="str">
        <f>IFERROR(__xludf.DUMMYFUNCTION("""COMPUTED_VALUE"""),"EOT")</f>
        <v>EOT</v>
      </c>
      <c r="E651" s="190" t="str">
        <f>IFERROR(__xludf.DUMMYFUNCTION("""COMPUTED_VALUE"""),"6, 1 Target ")</f>
        <v>6, 1 Target </v>
      </c>
      <c r="F651" s="190">
        <f>IFERROR(__xludf.DUMMYFUNCTION("""COMPUTED_VALUE"""),3.0)</f>
        <v>3</v>
      </c>
      <c r="G651" s="190" t="str">
        <f>IFERROR(__xludf.DUMMYFUNCTION("""COMPUTED_VALUE"""),"X")</f>
        <v>X</v>
      </c>
      <c r="H651" s="191" t="str">
        <f>IFERROR(__xludf.DUMMYFUNCTION("""COMPUTED_VALUE"""),"On a roll of 18+, the Target is Tripped. Grass Knot's Damage Base is equal to 3 plus the Target's Weight Class Value. ")</f>
        <v>On a roll of 18+, the Target is Tripped. Grass Knot's Damage Base is equal to 3 plus the Target's Weight Class Value. </v>
      </c>
      <c r="I651" s="191" t="str">
        <f>IFERROR(__xludf.DUMMYFUNCTION("""COMPUTED_VALUE"""),"--")</f>
        <v>--</v>
      </c>
      <c r="J651" s="190" t="str">
        <f>IFERROR(__xludf.DUMMYFUNCTION("""COMPUTED_VALUE"""),"Tier 2")</f>
        <v>Tier 2</v>
      </c>
      <c r="K651" s="174" t="b">
        <f>IFERROR(__xludf.DUMMYFUNCTION("""COMPUTED_VALUE"""),TRUE)</f>
        <v>1</v>
      </c>
      <c r="L651" s="174"/>
      <c r="M651" s="174"/>
      <c r="N651" s="174"/>
      <c r="O651" s="174"/>
      <c r="P651" s="174"/>
      <c r="Q651" s="174"/>
      <c r="R651" s="174"/>
      <c r="S651" s="174"/>
      <c r="T651" s="174"/>
      <c r="U651" s="174"/>
      <c r="V651" s="174"/>
      <c r="W651" s="174"/>
      <c r="X651" s="174"/>
      <c r="Y651" s="174"/>
      <c r="Z651" s="174"/>
    </row>
    <row r="652">
      <c r="A652" s="190" t="str">
        <f>IFERROR(__xludf.DUMMYFUNCTION("""COMPUTED_VALUE"""),"Grass Pledge")</f>
        <v>Grass Pledge</v>
      </c>
      <c r="B652" s="190" t="str">
        <f>IFERROR(__xludf.DUMMYFUNCTION("""COMPUTED_VALUE"""),"Grass")</f>
        <v>Grass</v>
      </c>
      <c r="C652" s="190" t="str">
        <f>IFERROR(__xludf.DUMMYFUNCTION("""COMPUTED_VALUE"""),"Special")</f>
        <v>Special</v>
      </c>
      <c r="D652" s="190" t="str">
        <f>IFERROR(__xludf.DUMMYFUNCTION("""COMPUTED_VALUE"""),"Scene x2")</f>
        <v>Scene x2</v>
      </c>
      <c r="E652" s="190" t="str">
        <f>IFERROR(__xludf.DUMMYFUNCTION("""COMPUTED_VALUE"""),"Burst 1")</f>
        <v>Burst 1</v>
      </c>
      <c r="F652" s="190">
        <f>IFERROR(__xludf.DUMMYFUNCTION("""COMPUTED_VALUE"""),6.0)</f>
        <v>6</v>
      </c>
      <c r="G652" s="190">
        <f>IFERROR(__xludf.DUMMYFUNCTION("""COMPUTED_VALUE"""),8.0)</f>
        <v>8</v>
      </c>
      <c r="H652" s="191" t="str">
        <f>IFERROR(__xludf.DUMMYFUNCTION("""COMPUTED_VALUE"""),"On a roll of 15+, the Target becomes Slowed. If an Ally has used a Grass Type Attack since your last turn, this Attack’s range can become Burst 2 and has the Full Action and Friendly Keyword.")</f>
        <v>On a roll of 15+, the Target becomes Slowed. If an Ally has used a Grass Type Attack since your last turn, this Attack’s range can become Burst 2 and has the Full Action and Friendly Keyword.</v>
      </c>
      <c r="I652" s="191" t="str">
        <f>IFERROR(__xludf.DUMMYFUNCTION("""COMPUTED_VALUE"""),"--")</f>
        <v>--</v>
      </c>
      <c r="J652" s="190" t="str">
        <f>IFERROR(__xludf.DUMMYFUNCTION("""COMPUTED_VALUE"""),"Tier 2")</f>
        <v>Tier 2</v>
      </c>
      <c r="K652" s="174" t="b">
        <f>IFERROR(__xludf.DUMMYFUNCTION("""COMPUTED_VALUE"""),TRUE)</f>
        <v>1</v>
      </c>
      <c r="L652" s="174"/>
      <c r="M652" s="174"/>
      <c r="N652" s="174"/>
      <c r="O652" s="174"/>
      <c r="P652" s="174"/>
      <c r="Q652" s="174"/>
      <c r="R652" s="174"/>
      <c r="S652" s="174"/>
      <c r="T652" s="174"/>
      <c r="U652" s="174"/>
      <c r="V652" s="174"/>
      <c r="W652" s="174"/>
      <c r="X652" s="174"/>
      <c r="Y652" s="174"/>
      <c r="Z652" s="174"/>
    </row>
    <row r="653">
      <c r="A653" s="190" t="str">
        <f>IFERROR(__xludf.DUMMYFUNCTION("""COMPUTED_VALUE"""),"Grass Whistle")</f>
        <v>Grass Whistle</v>
      </c>
      <c r="B653" s="190" t="str">
        <f>IFERROR(__xludf.DUMMYFUNCTION("""COMPUTED_VALUE"""),"Grass")</f>
        <v>Grass</v>
      </c>
      <c r="C653" s="190" t="str">
        <f>IFERROR(__xludf.DUMMYFUNCTION("""COMPUTED_VALUE"""),"Status")</f>
        <v>Status</v>
      </c>
      <c r="D653" s="190" t="str">
        <f>IFERROR(__xludf.DUMMYFUNCTION("""COMPUTED_VALUE"""),"Scene x2")</f>
        <v>Scene x2</v>
      </c>
      <c r="E653" s="190" t="str">
        <f>IFERROR(__xludf.DUMMYFUNCTION("""COMPUTED_VALUE"""),"6, 1 Target, Sonic, Versatile")</f>
        <v>6, 1 Target, Sonic, Versatile</v>
      </c>
      <c r="F653" s="190">
        <f>IFERROR(__xludf.DUMMYFUNCTION("""COMPUTED_VALUE"""),5.0)</f>
        <v>5</v>
      </c>
      <c r="G653" s="190" t="str">
        <f>IFERROR(__xludf.DUMMYFUNCTION("""COMPUTED_VALUE"""),"--")</f>
        <v>--</v>
      </c>
      <c r="H653" s="191" t="str">
        <f>IFERROR(__xludf.DUMMYFUNCTION("""COMPUTED_VALUE"""),"The Target becomes Drowsy or Entranced. On a Miss, they instead become Vulnerable until the end of the Round. Spirit Surge.")</f>
        <v>The Target becomes Drowsy or Entranced. On a Miss, they instead become Vulnerable until the end of the Round. Spirit Surge.</v>
      </c>
      <c r="I653" s="191" t="str">
        <f>IFERROR(__xludf.DUMMYFUNCTION("""COMPUTED_VALUE"""),"The Target becomes Drowsy until the end of their next Turn.")</f>
        <v>The Target becomes Drowsy until the end of their next Turn.</v>
      </c>
      <c r="J653" s="190" t="str">
        <f>IFERROR(__xludf.DUMMYFUNCTION("""COMPUTED_VALUE"""),"Tier 2")</f>
        <v>Tier 2</v>
      </c>
      <c r="K653" s="174" t="b">
        <f>IFERROR(__xludf.DUMMYFUNCTION("""COMPUTED_VALUE"""),TRUE)</f>
        <v>1</v>
      </c>
      <c r="L653" s="174"/>
      <c r="M653" s="174"/>
      <c r="N653" s="174"/>
      <c r="O653" s="174"/>
      <c r="P653" s="174"/>
      <c r="Q653" s="174"/>
      <c r="R653" s="174"/>
      <c r="S653" s="174"/>
      <c r="T653" s="174"/>
      <c r="U653" s="174"/>
      <c r="V653" s="174"/>
      <c r="W653" s="174"/>
      <c r="X653" s="174"/>
      <c r="Y653" s="174"/>
      <c r="Z653" s="174"/>
    </row>
    <row r="654">
      <c r="A654" s="190" t="str">
        <f>IFERROR(__xludf.DUMMYFUNCTION("""COMPUTED_VALUE"""),"Grassy Glide")</f>
        <v>Grassy Glide</v>
      </c>
      <c r="B654" s="190" t="str">
        <f>IFERROR(__xludf.DUMMYFUNCTION("""COMPUTED_VALUE"""),"Grass")</f>
        <v>Grass</v>
      </c>
      <c r="C654" s="190" t="str">
        <f>IFERROR(__xludf.DUMMYFUNCTION("""COMPUTED_VALUE"""),"Physical")</f>
        <v>Physical</v>
      </c>
      <c r="D654" s="190" t="str">
        <f>IFERROR(__xludf.DUMMYFUNCTION("""COMPUTED_VALUE"""),"EOT")</f>
        <v>EOT</v>
      </c>
      <c r="E654" s="190" t="str">
        <f>IFERROR(__xludf.DUMMYFUNCTION("""COMPUTED_VALUE"""),"Melee, Dash ")</f>
        <v>Melee, Dash </v>
      </c>
      <c r="F654" s="190">
        <f>IFERROR(__xludf.DUMMYFUNCTION("""COMPUTED_VALUE"""),4.0)</f>
        <v>4</v>
      </c>
      <c r="G654" s="190">
        <f>IFERROR(__xludf.DUMMYFUNCTION("""COMPUTED_VALUE"""),6.0)</f>
        <v>6</v>
      </c>
      <c r="H654" s="191" t="str">
        <f>IFERROR(__xludf.DUMMYFUNCTION("""COMPUTED_VALUE"""),"If the Dash Keyword is Activated, this can gain either the Pass or Unstoppable Keyword.")</f>
        <v>If the Dash Keyword is Activated, this can gain either the Pass or Unstoppable Keyword.</v>
      </c>
      <c r="I654" s="191" t="str">
        <f>IFERROR(__xludf.DUMMYFUNCTION("""COMPUTED_VALUE"""),"--")</f>
        <v>--</v>
      </c>
      <c r="J654" s="190" t="str">
        <f>IFERROR(__xludf.DUMMYFUNCTION("""COMPUTED_VALUE"""),"Tier 1")</f>
        <v>Tier 1</v>
      </c>
      <c r="K654" s="174" t="b">
        <f>IFERROR(__xludf.DUMMYFUNCTION("""COMPUTED_VALUE"""),TRUE)</f>
        <v>1</v>
      </c>
      <c r="L654" s="174"/>
      <c r="M654" s="174"/>
      <c r="N654" s="174"/>
      <c r="O654" s="174"/>
      <c r="P654" s="174"/>
      <c r="Q654" s="174"/>
      <c r="R654" s="174"/>
      <c r="S654" s="174"/>
      <c r="T654" s="174"/>
      <c r="U654" s="174"/>
      <c r="V654" s="174"/>
      <c r="W654" s="174"/>
      <c r="X654" s="174"/>
      <c r="Y654" s="174"/>
      <c r="Z654" s="174"/>
    </row>
    <row r="655">
      <c r="A655" s="190" t="str">
        <f>IFERROR(__xludf.DUMMYFUNCTION("""COMPUTED_VALUE"""),"Grassy Terrain")</f>
        <v>Grassy Terrain</v>
      </c>
      <c r="B655" s="190" t="str">
        <f>IFERROR(__xludf.DUMMYFUNCTION("""COMPUTED_VALUE"""),"Grass")</f>
        <v>Grass</v>
      </c>
      <c r="C655" s="190" t="str">
        <f>IFERROR(__xludf.DUMMYFUNCTION("""COMPUTED_VALUE"""),"Status")</f>
        <v>Status</v>
      </c>
      <c r="D655" s="190" t="str">
        <f>IFERROR(__xludf.DUMMYFUNCTION("""COMPUTED_VALUE"""),"Scene x2")</f>
        <v>Scene x2</v>
      </c>
      <c r="E655" s="190" t="str">
        <f>IFERROR(__xludf.DUMMYFUNCTION("""COMPUTED_VALUE"""),"Field, Versatile")</f>
        <v>Field, Versatile</v>
      </c>
      <c r="F655" s="190" t="str">
        <f>IFERROR(__xludf.DUMMYFUNCTION("""COMPUTED_VALUE"""),"--")</f>
        <v>--</v>
      </c>
      <c r="G655" s="190" t="str">
        <f>IFERROR(__xludf.DUMMYFUNCTION("""COMPUTED_VALUE"""),"--")</f>
        <v>--</v>
      </c>
      <c r="H655" s="191" t="str">
        <f>IFERROR(__xludf.DUMMYFUNCTION("""COMPUTED_VALUE"""),"The field becomes Floral for the next 5 Rounds. While the field is Floral, Combatants restore a Tick of Hit Points at the start of their Turn, and Grass Type attacks ignore Speed Evasion.")</f>
        <v>The field becomes Floral for the next 5 Rounds. While the field is Floral, Combatants restore a Tick of Hit Points at the start of their Turn, and Grass Type attacks ignore Speed Evasion.</v>
      </c>
      <c r="I655"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55" s="190" t="str">
        <f>IFERROR(__xludf.DUMMYFUNCTION("""COMPUTED_VALUE"""),"Tier 2")</f>
        <v>Tier 2</v>
      </c>
      <c r="K655" s="174" t="b">
        <f>IFERROR(__xludf.DUMMYFUNCTION("""COMPUTED_VALUE"""),TRUE)</f>
        <v>1</v>
      </c>
      <c r="L655" s="174"/>
      <c r="M655" s="174"/>
      <c r="N655" s="174"/>
      <c r="O655" s="174"/>
      <c r="P655" s="174"/>
      <c r="Q655" s="174"/>
      <c r="R655" s="174"/>
      <c r="S655" s="174"/>
      <c r="T655" s="174"/>
      <c r="U655" s="174"/>
      <c r="V655" s="174"/>
      <c r="W655" s="174"/>
      <c r="X655" s="174"/>
      <c r="Y655" s="174"/>
      <c r="Z655" s="174"/>
    </row>
    <row r="656">
      <c r="A656" s="190" t="str">
        <f>IFERROR(__xludf.DUMMYFUNCTION("""COMPUTED_VALUE"""),"Grav Apple")</f>
        <v>Grav Apple</v>
      </c>
      <c r="B656" s="190" t="str">
        <f>IFERROR(__xludf.DUMMYFUNCTION("""COMPUTED_VALUE"""),"Grass")</f>
        <v>Grass</v>
      </c>
      <c r="C656" s="190" t="str">
        <f>IFERROR(__xludf.DUMMYFUNCTION("""COMPUTED_VALUE"""),"Physical")</f>
        <v>Physical</v>
      </c>
      <c r="D656" s="190" t="str">
        <f>IFERROR(__xludf.DUMMYFUNCTION("""COMPUTED_VALUE"""),"EOT")</f>
        <v>EOT</v>
      </c>
      <c r="E656" s="190" t="str">
        <f>IFERROR(__xludf.DUMMYFUNCTION("""COMPUTED_VALUE"""),"6, 1 Target")</f>
        <v>6, 1 Target</v>
      </c>
      <c r="F656" s="190">
        <f>IFERROR(__xludf.DUMMYFUNCTION("""COMPUTED_VALUE"""),4.0)</f>
        <v>4</v>
      </c>
      <c r="G656" s="190">
        <f>IFERROR(__xludf.DUMMYFUNCTION("""COMPUTED_VALUE"""),8.0)</f>
        <v>8</v>
      </c>
      <c r="H656" s="191" t="str">
        <f>IFERROR(__xludf.DUMMYFUNCTION("""COMPUTED_VALUE"""),"On an Even Roll, all Targets become Poisoned. On an Odd Roll, all Targets lose -2 CS in Defense.")</f>
        <v>On an Even Roll, all Targets become Poisoned. On an Odd Roll, all Targets lose -2 CS in Defense.</v>
      </c>
      <c r="I656" s="191" t="str">
        <f>IFERROR(__xludf.DUMMYFUNCTION("""COMPUTED_VALUE"""),"--")</f>
        <v>--</v>
      </c>
      <c r="J656" s="190" t="str">
        <f>IFERROR(__xludf.DUMMYFUNCTION("""COMPUTED_VALUE"""),"Tier 2")</f>
        <v>Tier 2</v>
      </c>
      <c r="K656" s="174" t="b">
        <f>IFERROR(__xludf.DUMMYFUNCTION("""COMPUTED_VALUE"""),TRUE)</f>
        <v>1</v>
      </c>
      <c r="L656" s="174"/>
      <c r="M656" s="174"/>
      <c r="N656" s="174"/>
      <c r="O656" s="174"/>
      <c r="P656" s="174"/>
      <c r="Q656" s="174"/>
      <c r="R656" s="174"/>
      <c r="S656" s="174"/>
      <c r="T656" s="174"/>
      <c r="U656" s="174"/>
      <c r="V656" s="174"/>
      <c r="W656" s="174"/>
      <c r="X656" s="174"/>
      <c r="Y656" s="174"/>
      <c r="Z656" s="174"/>
    </row>
    <row r="657">
      <c r="A657" s="190" t="str">
        <f>IFERROR(__xludf.DUMMYFUNCTION("""COMPUTED_VALUE"""),"Horn Leech")</f>
        <v>Horn Leech</v>
      </c>
      <c r="B657" s="190" t="str">
        <f>IFERROR(__xludf.DUMMYFUNCTION("""COMPUTED_VALUE"""),"Grass")</f>
        <v>Grass</v>
      </c>
      <c r="C657" s="190" t="str">
        <f>IFERROR(__xludf.DUMMYFUNCTION("""COMPUTED_VALUE"""),"Physical")</f>
        <v>Physical</v>
      </c>
      <c r="D657" s="190" t="str">
        <f>IFERROR(__xludf.DUMMYFUNCTION("""COMPUTED_VALUE"""),"Scene x2")</f>
        <v>Scene x2</v>
      </c>
      <c r="E657" s="190" t="str">
        <f>IFERROR(__xludf.DUMMYFUNCTION("""COMPUTED_VALUE"""),"Melee, 1 Target")</f>
        <v>Melee, 1 Target</v>
      </c>
      <c r="F657" s="190">
        <f>IFERROR(__xludf.DUMMYFUNCTION("""COMPUTED_VALUE"""),3.0)</f>
        <v>3</v>
      </c>
      <c r="G657" s="190">
        <f>IFERROR(__xludf.DUMMYFUNCTION("""COMPUTED_VALUE"""),8.0)</f>
        <v>8</v>
      </c>
      <c r="H657" s="191" t="str">
        <f>IFERROR(__xludf.DUMMYFUNCTION("""COMPUTED_VALUE"""),"Drain.")</f>
        <v>Drain.</v>
      </c>
      <c r="I657" s="191" t="str">
        <f>IFERROR(__xludf.DUMMYFUNCTION("""COMPUTED_VALUE"""),"--")</f>
        <v>--</v>
      </c>
      <c r="J657" s="190" t="str">
        <f>IFERROR(__xludf.DUMMYFUNCTION("""COMPUTED_VALUE"""),"Tier 2")</f>
        <v>Tier 2</v>
      </c>
      <c r="K657" s="174" t="b">
        <f>IFERROR(__xludf.DUMMYFUNCTION("""COMPUTED_VALUE"""),TRUE)</f>
        <v>1</v>
      </c>
      <c r="L657" s="174"/>
      <c r="M657" s="174"/>
      <c r="N657" s="174"/>
      <c r="O657" s="174"/>
      <c r="P657" s="174"/>
      <c r="Q657" s="174"/>
      <c r="R657" s="174"/>
      <c r="S657" s="174"/>
      <c r="T657" s="174"/>
      <c r="U657" s="174"/>
      <c r="V657" s="174"/>
      <c r="W657" s="174"/>
      <c r="X657" s="174"/>
      <c r="Y657" s="174"/>
      <c r="Z657" s="174"/>
    </row>
    <row r="658">
      <c r="A658" s="190" t="str">
        <f>IFERROR(__xludf.DUMMYFUNCTION("""COMPUTED_VALUE"""),"Ingrain")</f>
        <v>Ingrain</v>
      </c>
      <c r="B658" s="190" t="str">
        <f>IFERROR(__xludf.DUMMYFUNCTION("""COMPUTED_VALUE"""),"Grass")</f>
        <v>Grass</v>
      </c>
      <c r="C658" s="190" t="str">
        <f>IFERROR(__xludf.DUMMYFUNCTION("""COMPUTED_VALUE"""),"Status")</f>
        <v>Status</v>
      </c>
      <c r="D658" s="190" t="str">
        <f>IFERROR(__xludf.DUMMYFUNCTION("""COMPUTED_VALUE"""),"Scene x2")</f>
        <v>Scene x2</v>
      </c>
      <c r="E658" s="190" t="str">
        <f>IFERROR(__xludf.DUMMYFUNCTION("""COMPUTED_VALUE"""),"Self, Coat, Versatile")</f>
        <v>Self, Coat, Versatile</v>
      </c>
      <c r="F658" s="190" t="str">
        <f>IFERROR(__xludf.DUMMYFUNCTION("""COMPUTED_VALUE"""),"--")</f>
        <v>--</v>
      </c>
      <c r="G658" s="190" t="str">
        <f>IFERROR(__xludf.DUMMYFUNCTION("""COMPUTED_VALUE"""),"--")</f>
        <v>--</v>
      </c>
      <c r="H658" s="191" t="str">
        <f>IFERROR(__xludf.DUMMYFUNCTION("""COMPUTED_VALUE"""),"The user gains an Ingrain Coat. While affected by this Coat, they recover a Tick of Hit Points at the start of each Turn. This Coat may be expended as a Standard Action to gain 5 Ticks of Hit Points and become cured of a Physical Affliction.")</f>
        <v>The user gains an Ingrain Coat. While affected by this Coat, they recover a Tick of Hit Points at the start of each Turn. This Coat may be expended as a Standard Action to gain 5 Ticks of Hit Points and become cured of a Physical Affliction.</v>
      </c>
      <c r="I658" s="191" t="str">
        <f>IFERROR(__xludf.DUMMYFUNCTION("""COMPUTED_VALUE"""),"The user gains an Ingrain Coat. While affected by this Coat, they recover a Tick of Hit Points at the start of each Turn. This Coat becomes expended if the user performs a Movement Action or laves the space they used this Attack in. ")</f>
        <v>The user gains an Ingrain Coat. While affected by this Coat, they recover a Tick of Hit Points at the start of each Turn. This Coat becomes expended if the user performs a Movement Action or laves the space they used this Attack in. </v>
      </c>
      <c r="J658" s="190" t="str">
        <f>IFERROR(__xludf.DUMMYFUNCTION("""COMPUTED_VALUE"""),"Tier 2")</f>
        <v>Tier 2</v>
      </c>
      <c r="K658" s="174" t="b">
        <f>IFERROR(__xludf.DUMMYFUNCTION("""COMPUTED_VALUE"""),TRUE)</f>
        <v>1</v>
      </c>
      <c r="L658" s="174"/>
      <c r="M658" s="174"/>
      <c r="N658" s="174"/>
      <c r="O658" s="174"/>
      <c r="P658" s="174"/>
      <c r="Q658" s="174"/>
      <c r="R658" s="174"/>
      <c r="S658" s="174"/>
      <c r="T658" s="174"/>
      <c r="U658" s="174"/>
      <c r="V658" s="174"/>
      <c r="W658" s="174"/>
      <c r="X658" s="174"/>
      <c r="Y658" s="174"/>
      <c r="Z658" s="174"/>
    </row>
    <row r="659">
      <c r="A659" s="190" t="str">
        <f>IFERROR(__xludf.DUMMYFUNCTION("""COMPUTED_VALUE"""),"Ivy Leech")</f>
        <v>Ivy Leech</v>
      </c>
      <c r="B659" s="190" t="str">
        <f>IFERROR(__xludf.DUMMYFUNCTION("""COMPUTED_VALUE"""),"Grass")</f>
        <v>Grass</v>
      </c>
      <c r="C659" s="190" t="str">
        <f>IFERROR(__xludf.DUMMYFUNCTION("""COMPUTED_VALUE"""),"Status")</f>
        <v>Status</v>
      </c>
      <c r="D659" s="190" t="str">
        <f>IFERROR(__xludf.DUMMYFUNCTION("""COMPUTED_VALUE"""),"Scene")</f>
        <v>Scene</v>
      </c>
      <c r="E659" s="190" t="str">
        <f>IFERROR(__xludf.DUMMYFUNCTION("""COMPUTED_VALUE"""),"3, 3 Targets, Coat, Versatile")</f>
        <v>3, 3 Targets, Coat, Versatile</v>
      </c>
      <c r="F659" s="190">
        <f>IFERROR(__xludf.DUMMYFUNCTION("""COMPUTED_VALUE"""),6.0)</f>
        <v>6</v>
      </c>
      <c r="G659" s="190" t="str">
        <f>IFERROR(__xludf.DUMMYFUNCTION("""COMPUTED_VALUE"""),"--")</f>
        <v>--</v>
      </c>
      <c r="H659" s="191" t="str">
        <f>IFERROR(__xludf.DUMMYFUNCTION("""COMPUTED_VALUE"""),"All Targets gain an Seeded Coat. When a Combatant with an Seeded Coat ends their Turn, they lose two Ticks of Hit Points and the Combatant who inflicted the Coat gains a Tick of Temporary Hit Points.  ")</f>
        <v>All Targets gain an Seeded Coat. When a Combatant with an Seeded Coat ends their Turn, they lose two Ticks of Hit Points and the Combatant who inflicted the Coat gains a Tick of Temporary Hit Points.  </v>
      </c>
      <c r="I659" s="191" t="str">
        <f>IFERROR(__xludf.DUMMYFUNCTION("""COMPUTED_VALUE"""),"All Targets become Trapped.")</f>
        <v>All Targets become Trapped.</v>
      </c>
      <c r="J659" s="190" t="str">
        <f>IFERROR(__xludf.DUMMYFUNCTION("""COMPUTED_VALUE"""),"Tier 3")</f>
        <v>Tier 3</v>
      </c>
      <c r="K659" s="174" t="b">
        <f>IFERROR(__xludf.DUMMYFUNCTION("""COMPUTED_VALUE"""),TRUE)</f>
        <v>1</v>
      </c>
      <c r="L659" s="174"/>
      <c r="M659" s="174"/>
      <c r="N659" s="174"/>
      <c r="O659" s="174"/>
      <c r="P659" s="174"/>
      <c r="Q659" s="174"/>
      <c r="R659" s="174"/>
      <c r="S659" s="174"/>
      <c r="T659" s="174"/>
      <c r="U659" s="174"/>
      <c r="V659" s="174"/>
      <c r="W659" s="174"/>
      <c r="X659" s="174"/>
      <c r="Y659" s="174"/>
      <c r="Z659" s="174"/>
    </row>
    <row r="660">
      <c r="A660" s="190" t="str">
        <f>IFERROR(__xludf.DUMMYFUNCTION("""COMPUTED_VALUE"""),"Leaf Blade")</f>
        <v>Leaf Blade</v>
      </c>
      <c r="B660" s="190" t="str">
        <f>IFERROR(__xludf.DUMMYFUNCTION("""COMPUTED_VALUE"""),"Grass")</f>
        <v>Grass</v>
      </c>
      <c r="C660" s="190" t="str">
        <f>IFERROR(__xludf.DUMMYFUNCTION("""COMPUTED_VALUE"""),"Physical")</f>
        <v>Physical</v>
      </c>
      <c r="D660" s="190" t="str">
        <f>IFERROR(__xludf.DUMMYFUNCTION("""COMPUTED_VALUE"""),"EOT")</f>
        <v>EOT</v>
      </c>
      <c r="E660" s="190" t="str">
        <f>IFERROR(__xludf.DUMMYFUNCTION("""COMPUTED_VALUE"""),"Melee, Pass")</f>
        <v>Melee, Pass</v>
      </c>
      <c r="F660" s="190">
        <f>IFERROR(__xludf.DUMMYFUNCTION("""COMPUTED_VALUE"""),6.0)</f>
        <v>6</v>
      </c>
      <c r="G660" s="190">
        <f>IFERROR(__xludf.DUMMYFUNCTION("""COMPUTED_VALUE"""),8.0)</f>
        <v>8</v>
      </c>
      <c r="H660" s="191" t="str">
        <f>IFERROR(__xludf.DUMMYFUNCTION("""COMPUTED_VALUE"""),"Leaf Blade is a Critical Hit on a roll of 18+. If this Attack is used without activating the Pass Keyword, thiis has the Smite Keyword.")</f>
        <v>Leaf Blade is a Critical Hit on a roll of 18+. If this Attack is used without activating the Pass Keyword, thiis has the Smite Keyword.</v>
      </c>
      <c r="I660" s="191" t="str">
        <f>IFERROR(__xludf.DUMMYFUNCTION("""COMPUTED_VALUE"""),"--")</f>
        <v>--</v>
      </c>
      <c r="J660" s="190" t="str">
        <f>IFERROR(__xludf.DUMMYFUNCTION("""COMPUTED_VALUE"""),"Tier 2")</f>
        <v>Tier 2</v>
      </c>
      <c r="K660" s="174" t="b">
        <f>IFERROR(__xludf.DUMMYFUNCTION("""COMPUTED_VALUE"""),TRUE)</f>
        <v>1</v>
      </c>
      <c r="L660" s="174"/>
      <c r="M660" s="174"/>
      <c r="N660" s="174"/>
      <c r="O660" s="174"/>
      <c r="P660" s="174"/>
      <c r="Q660" s="174"/>
      <c r="R660" s="174"/>
      <c r="S660" s="174"/>
      <c r="T660" s="174"/>
      <c r="U660" s="174"/>
      <c r="V660" s="174"/>
      <c r="W660" s="174"/>
      <c r="X660" s="174"/>
      <c r="Y660" s="174"/>
      <c r="Z660" s="174"/>
    </row>
    <row r="661">
      <c r="A661" s="190" t="str">
        <f>IFERROR(__xludf.DUMMYFUNCTION("""COMPUTED_VALUE"""),"Leaf Storm")</f>
        <v>Leaf Storm</v>
      </c>
      <c r="B661" s="190" t="str">
        <f>IFERROR(__xludf.DUMMYFUNCTION("""COMPUTED_VALUE"""),"Grass")</f>
        <v>Grass</v>
      </c>
      <c r="C661" s="190" t="str">
        <f>IFERROR(__xludf.DUMMYFUNCTION("""COMPUTED_VALUE"""),"Special")</f>
        <v>Special</v>
      </c>
      <c r="D661" s="190" t="str">
        <f>IFERROR(__xludf.DUMMYFUNCTION("""COMPUTED_VALUE"""),"Scene")</f>
        <v>Scene</v>
      </c>
      <c r="E661" s="190" t="str">
        <f>IFERROR(__xludf.DUMMYFUNCTION("""COMPUTED_VALUE"""),"8, Ranged Blast 3, Full Action, Reckless")</f>
        <v>8, Ranged Blast 3, Full Action, Reckless</v>
      </c>
      <c r="F661" s="190">
        <f>IFERROR(__xludf.DUMMYFUNCTION("""COMPUTED_VALUE"""),6.0)</f>
        <v>6</v>
      </c>
      <c r="G661" s="190">
        <f>IFERROR(__xludf.DUMMYFUNCTION("""COMPUTED_VALUE"""),13.0)</f>
        <v>13</v>
      </c>
      <c r="H661" s="191" t="str">
        <f>IFERROR(__xludf.DUMMYFUNCTION("""COMPUTED_VALUE"""),"After Damage Calculations, lower the Offensive Stat used for this Attack by -2 CS. Smite")</f>
        <v>After Damage Calculations, lower the Offensive Stat used for this Attack by -2 CS. Smite</v>
      </c>
      <c r="I661" s="191" t="str">
        <f>IFERROR(__xludf.DUMMYFUNCTION("""COMPUTED_VALUE"""),"--")</f>
        <v>--</v>
      </c>
      <c r="J661" s="190" t="str">
        <f>IFERROR(__xludf.DUMMYFUNCTION("""COMPUTED_VALUE"""),"Tier 3")</f>
        <v>Tier 3</v>
      </c>
      <c r="K661" s="174" t="b">
        <f>IFERROR(__xludf.DUMMYFUNCTION("""COMPUTED_VALUE"""),TRUE)</f>
        <v>1</v>
      </c>
      <c r="L661" s="174"/>
      <c r="M661" s="174"/>
      <c r="N661" s="174"/>
      <c r="O661" s="174"/>
      <c r="P661" s="174"/>
      <c r="Q661" s="174"/>
      <c r="R661" s="174"/>
      <c r="S661" s="174"/>
      <c r="T661" s="174"/>
      <c r="U661" s="174"/>
      <c r="V661" s="174"/>
      <c r="W661" s="174"/>
      <c r="X661" s="174"/>
      <c r="Y661" s="174"/>
      <c r="Z661" s="174"/>
    </row>
    <row r="662">
      <c r="A662" s="190" t="str">
        <f>IFERROR(__xludf.DUMMYFUNCTION("""COMPUTED_VALUE"""),"Leaf Tornado")</f>
        <v>Leaf Tornado</v>
      </c>
      <c r="B662" s="190" t="str">
        <f>IFERROR(__xludf.DUMMYFUNCTION("""COMPUTED_VALUE"""),"Grass")</f>
        <v>Grass</v>
      </c>
      <c r="C662" s="190" t="str">
        <f>IFERROR(__xludf.DUMMYFUNCTION("""COMPUTED_VALUE"""),"Special")</f>
        <v>Special</v>
      </c>
      <c r="D662" s="190" t="str">
        <f>IFERROR(__xludf.DUMMYFUNCTION("""COMPUTED_VALUE"""),"EOT")</f>
        <v>EOT</v>
      </c>
      <c r="E662" s="190" t="str">
        <f>IFERROR(__xludf.DUMMYFUNCTION("""COMPUTED_VALUE"""),"6, Ranged Blast 2")</f>
        <v>6, Ranged Blast 2</v>
      </c>
      <c r="F662" s="190">
        <f>IFERROR(__xludf.DUMMYFUNCTION("""COMPUTED_VALUE"""),5.0)</f>
        <v>5</v>
      </c>
      <c r="G662" s="190">
        <f>IFERROR(__xludf.DUMMYFUNCTION("""COMPUTED_VALUE"""),6.0)</f>
        <v>6</v>
      </c>
      <c r="H662" s="191" t="str">
        <f>IFERROR(__xludf.DUMMYFUNCTION("""COMPUTED_VALUE"""),"After this Attack resolves, create a Zone within the Range of the Attack. Enemies within this Zone are Vulnerable against Grass Type Attacks. This Zone lasts until you use a Reaction, use an Attack or Faint. Spirit Surge")</f>
        <v>After this Attack resolves, create a Zone within the Range of the Attack. Enemies within this Zone are Vulnerable against Grass Type Attacks. This Zone lasts until you use a Reaction, use an Attack or Faint. Spirit Surge</v>
      </c>
      <c r="I662" s="191" t="str">
        <f>IFERROR(__xludf.DUMMYFUNCTION("""COMPUTED_VALUE"""),"--")</f>
        <v>--</v>
      </c>
      <c r="J662" s="190" t="str">
        <f>IFERROR(__xludf.DUMMYFUNCTION("""COMPUTED_VALUE"""),"Tier 1")</f>
        <v>Tier 1</v>
      </c>
      <c r="K662" s="174" t="b">
        <f>IFERROR(__xludf.DUMMYFUNCTION("""COMPUTED_VALUE"""),TRUE)</f>
        <v>1</v>
      </c>
      <c r="L662" s="174"/>
      <c r="M662" s="174"/>
      <c r="N662" s="174"/>
      <c r="O662" s="174"/>
      <c r="P662" s="174"/>
      <c r="Q662" s="174"/>
      <c r="R662" s="174"/>
      <c r="S662" s="174"/>
      <c r="T662" s="174"/>
      <c r="U662" s="174"/>
      <c r="V662" s="174"/>
      <c r="W662" s="174"/>
      <c r="X662" s="174"/>
      <c r="Y662" s="174"/>
      <c r="Z662" s="174"/>
    </row>
    <row r="663">
      <c r="A663" s="190" t="str">
        <f>IFERROR(__xludf.DUMMYFUNCTION("""COMPUTED_VALUE"""),"Leafage")</f>
        <v>Leafage</v>
      </c>
      <c r="B663" s="190" t="str">
        <f>IFERROR(__xludf.DUMMYFUNCTION("""COMPUTED_VALUE"""),"Grass")</f>
        <v>Grass</v>
      </c>
      <c r="C663" s="190" t="str">
        <f>IFERROR(__xludf.DUMMYFUNCTION("""COMPUTED_VALUE"""),"Physical")</f>
        <v>Physical</v>
      </c>
      <c r="D663" s="190" t="str">
        <f>IFERROR(__xludf.DUMMYFUNCTION("""COMPUTED_VALUE"""),"At-Will")</f>
        <v>At-Will</v>
      </c>
      <c r="E663" s="190" t="str">
        <f>IFERROR(__xludf.DUMMYFUNCTION("""COMPUTED_VALUE"""),"5, 1 Target or Close Blast 2")</f>
        <v>5, 1 Target or Close Blast 2</v>
      </c>
      <c r="F663" s="190">
        <f>IFERROR(__xludf.DUMMYFUNCTION("""COMPUTED_VALUE"""),5.0)</f>
        <v>5</v>
      </c>
      <c r="G663" s="190">
        <f>IFERROR(__xludf.DUMMYFUNCTION("""COMPUTED_VALUE"""),4.0)</f>
        <v>4</v>
      </c>
      <c r="H663" s="191" t="str">
        <f>IFERROR(__xludf.DUMMYFUNCTION("""COMPUTED_VALUE"""),"Smite")</f>
        <v>Smite</v>
      </c>
      <c r="I663" s="191" t="str">
        <f>IFERROR(__xludf.DUMMYFUNCTION("""COMPUTED_VALUE"""),"--")</f>
        <v>--</v>
      </c>
      <c r="J663" s="190" t="str">
        <f>IFERROR(__xludf.DUMMYFUNCTION("""COMPUTED_VALUE"""),"Tier 1")</f>
        <v>Tier 1</v>
      </c>
      <c r="K663" s="174" t="b">
        <f>IFERROR(__xludf.DUMMYFUNCTION("""COMPUTED_VALUE"""),TRUE)</f>
        <v>1</v>
      </c>
      <c r="L663" s="174"/>
      <c r="M663" s="174"/>
      <c r="N663" s="174"/>
      <c r="O663" s="174"/>
      <c r="P663" s="174"/>
      <c r="Q663" s="174"/>
      <c r="R663" s="174"/>
      <c r="S663" s="174"/>
      <c r="T663" s="174"/>
      <c r="U663" s="174"/>
      <c r="V663" s="174"/>
      <c r="W663" s="174"/>
      <c r="X663" s="174"/>
      <c r="Y663" s="174"/>
      <c r="Z663" s="174"/>
    </row>
    <row r="664">
      <c r="A664" s="190" t="str">
        <f>IFERROR(__xludf.DUMMYFUNCTION("""COMPUTED_VALUE"""),"Leech Seed")</f>
        <v>Leech Seed</v>
      </c>
      <c r="B664" s="190" t="str">
        <f>IFERROR(__xludf.DUMMYFUNCTION("""COMPUTED_VALUE"""),"Grass")</f>
        <v>Grass</v>
      </c>
      <c r="C664" s="190" t="str">
        <f>IFERROR(__xludf.DUMMYFUNCTION("""COMPUTED_VALUE"""),"Status")</f>
        <v>Status</v>
      </c>
      <c r="D664" s="190" t="str">
        <f>IFERROR(__xludf.DUMMYFUNCTION("""COMPUTED_VALUE"""),"Scene x2")</f>
        <v>Scene x2</v>
      </c>
      <c r="E664" s="190" t="str">
        <f>IFERROR(__xludf.DUMMYFUNCTION("""COMPUTED_VALUE"""),"6, 1 Target, Coat, Versatile")</f>
        <v>6, 1 Target, Coat, Versatile</v>
      </c>
      <c r="F664" s="190">
        <f>IFERROR(__xludf.DUMMYFUNCTION("""COMPUTED_VALUE"""),3.0)</f>
        <v>3</v>
      </c>
      <c r="G664" s="190" t="str">
        <f>IFERROR(__xludf.DUMMYFUNCTION("""COMPUTED_VALUE"""),"--")</f>
        <v>--</v>
      </c>
      <c r="H664" s="191" t="str">
        <f>IFERROR(__xludf.DUMMYFUNCTION("""COMPUTED_VALUE"""),"The Target gains a Seeded Coat. When a Combatant with an Seeded Coat ends their Turn, they lose two Ticks of Hit Points and the Combatant who inflicted the Coat gains a Tick of Temporary Hit Points.  ")</f>
        <v>The Target gains a Seeded Coat. When a Combatant with an Seeded Coat ends their Turn, they lose two Ticks of Hit Points and the Combatant who inflicted the Coat gains a Tick of Temporary Hit Points.  </v>
      </c>
      <c r="I664" s="191" t="str">
        <f>IFERROR(__xludf.DUMMYFUNCTION("""COMPUTED_VALUE"""),"Same as the normal Effects, but the Seeded Combatant only loses one Tick.")</f>
        <v>Same as the normal Effects, but the Seeded Combatant only loses one Tick.</v>
      </c>
      <c r="J664" s="190" t="str">
        <f>IFERROR(__xludf.DUMMYFUNCTION("""COMPUTED_VALUE"""),"Tier 2")</f>
        <v>Tier 2</v>
      </c>
      <c r="K664" s="174" t="b">
        <f>IFERROR(__xludf.DUMMYFUNCTION("""COMPUTED_VALUE"""),TRUE)</f>
        <v>1</v>
      </c>
      <c r="L664" s="174"/>
      <c r="M664" s="174"/>
      <c r="N664" s="174"/>
      <c r="O664" s="174"/>
      <c r="P664" s="174"/>
      <c r="Q664" s="174"/>
      <c r="R664" s="174"/>
      <c r="S664" s="174"/>
      <c r="T664" s="174"/>
      <c r="U664" s="174"/>
      <c r="V664" s="174"/>
      <c r="W664" s="174"/>
      <c r="X664" s="174"/>
      <c r="Y664" s="174"/>
      <c r="Z664" s="174"/>
    </row>
    <row r="665">
      <c r="A665" s="190" t="str">
        <f>IFERROR(__xludf.DUMMYFUNCTION("""COMPUTED_VALUE"""),"Magical Leaf")</f>
        <v>Magical Leaf</v>
      </c>
      <c r="B665" s="190" t="str">
        <f>IFERROR(__xludf.DUMMYFUNCTION("""COMPUTED_VALUE"""),"Grass")</f>
        <v>Grass</v>
      </c>
      <c r="C665" s="190" t="str">
        <f>IFERROR(__xludf.DUMMYFUNCTION("""COMPUTED_VALUE"""),"Special")</f>
        <v>Special</v>
      </c>
      <c r="D665" s="190" t="str">
        <f>IFERROR(__xludf.DUMMYFUNCTION("""COMPUTED_VALUE"""),"EOT")</f>
        <v>EOT</v>
      </c>
      <c r="E665" s="190" t="str">
        <f>IFERROR(__xludf.DUMMYFUNCTION("""COMPUTED_VALUE"""),"8, 1 Target or Close Blast 2")</f>
        <v>8, 1 Target or Close Blast 2</v>
      </c>
      <c r="F665" s="190">
        <f>IFERROR(__xludf.DUMMYFUNCTION("""COMPUTED_VALUE"""),5.0)</f>
        <v>5</v>
      </c>
      <c r="G665" s="190">
        <f>IFERROR(__xludf.DUMMYFUNCTION("""COMPUTED_VALUE"""),6.0)</f>
        <v>6</v>
      </c>
      <c r="H665" s="191" t="str">
        <f>IFERROR(__xludf.DUMMYFUNCTION("""COMPUTED_VALUE"""),"If this Attack only has one Target, it has the Sureshot Keyword.")</f>
        <v>If this Attack only has one Target, it has the Sureshot Keyword.</v>
      </c>
      <c r="I665" s="191" t="str">
        <f>IFERROR(__xludf.DUMMYFUNCTION("""COMPUTED_VALUE"""),"--")</f>
        <v>--</v>
      </c>
      <c r="J665" s="190" t="str">
        <f>IFERROR(__xludf.DUMMYFUNCTION("""COMPUTED_VALUE"""),"Tier 1")</f>
        <v>Tier 1</v>
      </c>
      <c r="K665" s="174" t="b">
        <f>IFERROR(__xludf.DUMMYFUNCTION("""COMPUTED_VALUE"""),TRUE)</f>
        <v>1</v>
      </c>
      <c r="L665" s="174"/>
      <c r="M665" s="174"/>
      <c r="N665" s="174"/>
      <c r="O665" s="174"/>
      <c r="P665" s="174"/>
      <c r="Q665" s="174"/>
      <c r="R665" s="174"/>
      <c r="S665" s="174"/>
      <c r="T665" s="174"/>
      <c r="U665" s="174"/>
      <c r="V665" s="174"/>
      <c r="W665" s="174"/>
      <c r="X665" s="174"/>
      <c r="Y665" s="174"/>
      <c r="Z665" s="174"/>
    </row>
    <row r="666">
      <c r="A666" s="190" t="str">
        <f>IFERROR(__xludf.DUMMYFUNCTION("""COMPUTED_VALUE"""),"Matcha Gotcha")</f>
        <v>Matcha Gotcha</v>
      </c>
      <c r="B666" s="190" t="str">
        <f>IFERROR(__xludf.DUMMYFUNCTION("""COMPUTED_VALUE"""),"Grass")</f>
        <v>Grass</v>
      </c>
      <c r="C666" s="190" t="str">
        <f>IFERROR(__xludf.DUMMYFUNCTION("""COMPUTED_VALUE"""),"Special")</f>
        <v>Special</v>
      </c>
      <c r="D666" s="190" t="str">
        <f>IFERROR(__xludf.DUMMYFUNCTION("""COMPUTED_VALUE"""),"Scene x2")</f>
        <v>Scene x2</v>
      </c>
      <c r="E666" s="190" t="str">
        <f>IFERROR(__xludf.DUMMYFUNCTION("""COMPUTED_VALUE"""),"4, 1 Target")</f>
        <v>4, 1 Target</v>
      </c>
      <c r="F666" s="190">
        <f>IFERROR(__xludf.DUMMYFUNCTION("""COMPUTED_VALUE"""),4.0)</f>
        <v>4</v>
      </c>
      <c r="G666" s="190">
        <f>IFERROR(__xludf.DUMMYFUNCTION("""COMPUTED_VALUE"""),8.0)</f>
        <v>8</v>
      </c>
      <c r="H666" s="191" t="str">
        <f>IFERROR(__xludf.DUMMYFUNCTION("""COMPUTED_VALUE"""),"On a roll of 15+, the Target becomes Burned. If the Target is Burned, this Attack has the Drain Keyword.")</f>
        <v>On a roll of 15+, the Target becomes Burned. If the Target is Burned, this Attack has the Drain Keyword.</v>
      </c>
      <c r="I666" s="191"/>
      <c r="J666" s="190" t="str">
        <f>IFERROR(__xludf.DUMMYFUNCTION("""COMPUTED_VALUE"""),"Tier 2")</f>
        <v>Tier 2</v>
      </c>
      <c r="K666" s="174" t="b">
        <f>IFERROR(__xludf.DUMMYFUNCTION("""COMPUTED_VALUE"""),TRUE)</f>
        <v>1</v>
      </c>
      <c r="L666" s="174"/>
      <c r="M666" s="174"/>
      <c r="N666" s="174"/>
      <c r="O666" s="174"/>
      <c r="P666" s="174"/>
      <c r="Q666" s="174"/>
      <c r="R666" s="174"/>
      <c r="S666" s="174"/>
      <c r="T666" s="174"/>
      <c r="U666" s="174"/>
      <c r="V666" s="174"/>
      <c r="W666" s="174"/>
      <c r="X666" s="174"/>
      <c r="Y666" s="174"/>
      <c r="Z666" s="174"/>
    </row>
    <row r="667">
      <c r="A667" s="190" t="str">
        <f>IFERROR(__xludf.DUMMYFUNCTION("""COMPUTED_VALUE"""),"Mega Drain")</f>
        <v>Mega Drain</v>
      </c>
      <c r="B667" s="190" t="str">
        <f>IFERROR(__xludf.DUMMYFUNCTION("""COMPUTED_VALUE"""),"Grass")</f>
        <v>Grass</v>
      </c>
      <c r="C667" s="190" t="str">
        <f>IFERROR(__xludf.DUMMYFUNCTION("""COMPUTED_VALUE"""),"Special")</f>
        <v>Special</v>
      </c>
      <c r="D667" s="190" t="str">
        <f>IFERROR(__xludf.DUMMYFUNCTION("""COMPUTED_VALUE"""),"EOT")</f>
        <v>EOT</v>
      </c>
      <c r="E667" s="190" t="str">
        <f>IFERROR(__xludf.DUMMYFUNCTION("""COMPUTED_VALUE"""),"6, 1 Target ")</f>
        <v>6, 1 Target </v>
      </c>
      <c r="F667" s="190">
        <f>IFERROR(__xludf.DUMMYFUNCTION("""COMPUTED_VALUE"""),4.0)</f>
        <v>4</v>
      </c>
      <c r="G667" s="190">
        <f>IFERROR(__xludf.DUMMYFUNCTION("""COMPUTED_VALUE"""),6.0)</f>
        <v>6</v>
      </c>
      <c r="H667" s="191" t="str">
        <f>IFERROR(__xludf.DUMMYFUNCTION("""COMPUTED_VALUE"""),"Drain.")</f>
        <v>Drain.</v>
      </c>
      <c r="I667" s="191" t="str">
        <f>IFERROR(__xludf.DUMMYFUNCTION("""COMPUTED_VALUE"""),"--")</f>
        <v>--</v>
      </c>
      <c r="J667" s="190" t="str">
        <f>IFERROR(__xludf.DUMMYFUNCTION("""COMPUTED_VALUE"""),"Tier 1")</f>
        <v>Tier 1</v>
      </c>
      <c r="K667" s="174" t="b">
        <f>IFERROR(__xludf.DUMMYFUNCTION("""COMPUTED_VALUE"""),TRUE)</f>
        <v>1</v>
      </c>
      <c r="L667" s="174"/>
      <c r="M667" s="174"/>
      <c r="N667" s="174"/>
      <c r="O667" s="174"/>
      <c r="P667" s="174"/>
      <c r="Q667" s="174"/>
      <c r="R667" s="174"/>
      <c r="S667" s="174"/>
      <c r="T667" s="174"/>
      <c r="U667" s="174"/>
      <c r="V667" s="174"/>
      <c r="W667" s="174"/>
      <c r="X667" s="174"/>
      <c r="Y667" s="174"/>
      <c r="Z667" s="174"/>
    </row>
    <row r="668">
      <c r="A668" s="190" t="str">
        <f>IFERROR(__xludf.DUMMYFUNCTION("""COMPUTED_VALUE"""),"Mystic Powder")</f>
        <v>Mystic Powder</v>
      </c>
      <c r="B668" s="190" t="str">
        <f>IFERROR(__xludf.DUMMYFUNCTION("""COMPUTED_VALUE"""),"Grass")</f>
        <v>Grass</v>
      </c>
      <c r="C668" s="190" t="str">
        <f>IFERROR(__xludf.DUMMYFUNCTION("""COMPUTED_VALUE"""),"Status")</f>
        <v>Status</v>
      </c>
      <c r="D668" s="190" t="str">
        <f>IFERROR(__xludf.DUMMYFUNCTION("""COMPUTED_VALUE"""),"Scene x2")</f>
        <v>Scene x2</v>
      </c>
      <c r="E668" s="190" t="str">
        <f>IFERROR(__xludf.DUMMYFUNCTION("""COMPUTED_VALUE"""),"6, Ranged Blast 2, Hazard, Versatile")</f>
        <v>6, Ranged Blast 2, Hazard, Versatile</v>
      </c>
      <c r="F668" s="190">
        <f>IFERROR(__xludf.DUMMYFUNCTION("""COMPUTED_VALUE"""),6.0)</f>
        <v>6</v>
      </c>
      <c r="G668" s="190" t="str">
        <f>IFERROR(__xludf.DUMMYFUNCTION("""COMPUTED_VALUE"""),"--")</f>
        <v>--</v>
      </c>
      <c r="H668" s="191" t="str">
        <f>IFERROR(__xludf.DUMMYFUNCTION("""COMPUTED_VALUE"""),"All Targets hit by this Attack become Dazed. Powder Hazards may then be set on the spaces in the range of this Attack until the end of the next Round. Whenever an Enemy triggers this Hazard they become Dazed or lose a Tick of Hit Points if they're already"&amp;" Dazed. 
Powder Hazard - Whenever an Enemy passes through or ends their turn on a Powder Hazard the Effect listed is applied. Users with the Breathless Capability ignore this Hazard.")</f>
        <v>All Targets hit by this Attack become Dazed. Powder Hazards may then be set on the spaces in the range of this Attack until the end of the next Round. Whenever an Enemy triggers this Hazard they become Dazed or lose a Tick of Hit Points if they're already Dazed. 
Powder Hazard - Whenever an Enemy passes through or ends their turn on a Powder Hazard the Effect listed is applied. Users with the Breathless Capability ignore this Hazard.</v>
      </c>
      <c r="I668" s="191" t="str">
        <f>IFERROR(__xludf.DUMMYFUNCTION("""COMPUTED_VALUE"""),"When used this way, the Attack's range becomes 4, 1 Target. The Target becomes Dazed.")</f>
        <v>When used this way, the Attack's range becomes 4, 1 Target. The Target becomes Dazed.</v>
      </c>
      <c r="J668" s="190" t="str">
        <f>IFERROR(__xludf.DUMMYFUNCTION("""COMPUTED_VALUE"""),"Tier 2")</f>
        <v>Tier 2</v>
      </c>
      <c r="K668" s="174" t="b">
        <f>IFERROR(__xludf.DUMMYFUNCTION("""COMPUTED_VALUE"""),TRUE)</f>
        <v>1</v>
      </c>
      <c r="L668" s="174"/>
      <c r="M668" s="174"/>
      <c r="N668" s="174"/>
      <c r="O668" s="174"/>
      <c r="P668" s="174"/>
      <c r="Q668" s="174"/>
      <c r="R668" s="174"/>
      <c r="S668" s="174"/>
      <c r="T668" s="174"/>
      <c r="U668" s="174"/>
      <c r="V668" s="174"/>
      <c r="W668" s="174"/>
      <c r="X668" s="174"/>
      <c r="Y668" s="174"/>
      <c r="Z668" s="174"/>
    </row>
    <row r="669">
      <c r="A669" s="190" t="str">
        <f>IFERROR(__xludf.DUMMYFUNCTION("""COMPUTED_VALUE"""),"Needle Arm")</f>
        <v>Needle Arm</v>
      </c>
      <c r="B669" s="190" t="str">
        <f>IFERROR(__xludf.DUMMYFUNCTION("""COMPUTED_VALUE"""),"Grass")</f>
        <v>Grass</v>
      </c>
      <c r="C669" s="190" t="str">
        <f>IFERROR(__xludf.DUMMYFUNCTION("""COMPUTED_VALUE"""),"Physical")</f>
        <v>Physical</v>
      </c>
      <c r="D669" s="190" t="str">
        <f>IFERROR(__xludf.DUMMYFUNCTION("""COMPUTED_VALUE"""),"At-Will")</f>
        <v>At-Will</v>
      </c>
      <c r="E669" s="190" t="str">
        <f>IFERROR(__xludf.DUMMYFUNCTION("""COMPUTED_VALUE"""),"Melee, 1 Target")</f>
        <v>Melee, 1 Target</v>
      </c>
      <c r="F669" s="190">
        <f>IFERROR(__xludf.DUMMYFUNCTION("""COMPUTED_VALUE"""),2.0)</f>
        <v>2</v>
      </c>
      <c r="G669" s="190">
        <f>IFERROR(__xludf.DUMMYFUNCTION("""COMPUTED_VALUE"""),6.0)</f>
        <v>6</v>
      </c>
      <c r="H669" s="191" t="str">
        <f>IFERROR(__xludf.DUMMYFUNCTION("""COMPUTED_VALUE"""),"On a roll of 15+, the Target becomes Wounded.")</f>
        <v>On a roll of 15+, the Target becomes Wounded.</v>
      </c>
      <c r="I669" s="191" t="str">
        <f>IFERROR(__xludf.DUMMYFUNCTION("""COMPUTED_VALUE"""),"--")</f>
        <v>--</v>
      </c>
      <c r="J669" s="190" t="str">
        <f>IFERROR(__xludf.DUMMYFUNCTION("""COMPUTED_VALUE"""),"Tier 1")</f>
        <v>Tier 1</v>
      </c>
      <c r="K669" s="174" t="b">
        <f>IFERROR(__xludf.DUMMYFUNCTION("""COMPUTED_VALUE"""),TRUE)</f>
        <v>1</v>
      </c>
      <c r="L669" s="174"/>
      <c r="M669" s="174"/>
      <c r="N669" s="174"/>
      <c r="O669" s="174"/>
      <c r="P669" s="174"/>
      <c r="Q669" s="174"/>
      <c r="R669" s="174"/>
      <c r="S669" s="174"/>
      <c r="T669" s="174"/>
      <c r="U669" s="174"/>
      <c r="V669" s="174"/>
      <c r="W669" s="174"/>
      <c r="X669" s="174"/>
      <c r="Y669" s="174"/>
      <c r="Z669" s="174"/>
    </row>
    <row r="670">
      <c r="A670" s="190" t="str">
        <f>IFERROR(__xludf.DUMMYFUNCTION("""COMPUTED_VALUE"""),"Petal Blizzard")</f>
        <v>Petal Blizzard</v>
      </c>
      <c r="B670" s="190" t="str">
        <f>IFERROR(__xludf.DUMMYFUNCTION("""COMPUTED_VALUE"""),"Grass")</f>
        <v>Grass</v>
      </c>
      <c r="C670" s="190" t="str">
        <f>IFERROR(__xludf.DUMMYFUNCTION("""COMPUTED_VALUE"""),"Physical")</f>
        <v>Physical</v>
      </c>
      <c r="D670" s="190" t="str">
        <f>IFERROR(__xludf.DUMMYFUNCTION("""COMPUTED_VALUE"""),"EOT")</f>
        <v>EOT</v>
      </c>
      <c r="E670" s="190" t="str">
        <f>IFERROR(__xludf.DUMMYFUNCTION("""COMPUTED_VALUE"""),"Burst 1")</f>
        <v>Burst 1</v>
      </c>
      <c r="F670" s="190">
        <f>IFERROR(__xludf.DUMMYFUNCTION("""COMPUTED_VALUE"""),6.0)</f>
        <v>6</v>
      </c>
      <c r="G670" s="190">
        <f>IFERROR(__xludf.DUMMYFUNCTION("""COMPUTED_VALUE"""),8.0)</f>
        <v>8</v>
      </c>
      <c r="H670" s="191" t="str">
        <f>IFERROR(__xludf.DUMMYFUNCTION("""COMPUTED_VALUE"""),"When Declaring Petal Blizzard, as a Movement Action you may change this Attack's Range to Burst 2. ")</f>
        <v>When Declaring Petal Blizzard, as a Movement Action you may change this Attack's Range to Burst 2. </v>
      </c>
      <c r="I670" s="191" t="str">
        <f>IFERROR(__xludf.DUMMYFUNCTION("""COMPUTED_VALUE"""),"--")</f>
        <v>--</v>
      </c>
      <c r="J670" s="190" t="str">
        <f>IFERROR(__xludf.DUMMYFUNCTION("""COMPUTED_VALUE"""),"Tier 2")</f>
        <v>Tier 2</v>
      </c>
      <c r="K670" s="174" t="b">
        <f>IFERROR(__xludf.DUMMYFUNCTION("""COMPUTED_VALUE"""),TRUE)</f>
        <v>1</v>
      </c>
      <c r="L670" s="174"/>
      <c r="M670" s="174"/>
      <c r="N670" s="174"/>
      <c r="O670" s="174"/>
      <c r="P670" s="174"/>
      <c r="Q670" s="174"/>
      <c r="R670" s="174"/>
      <c r="S670" s="174"/>
      <c r="T670" s="174"/>
      <c r="U670" s="174"/>
      <c r="V670" s="174"/>
      <c r="W670" s="174"/>
      <c r="X670" s="174"/>
      <c r="Y670" s="174"/>
      <c r="Z670" s="174"/>
    </row>
    <row r="671">
      <c r="A671" s="190" t="str">
        <f>IFERROR(__xludf.DUMMYFUNCTION("""COMPUTED_VALUE"""),"Petal Dance")</f>
        <v>Petal Dance</v>
      </c>
      <c r="B671" s="190" t="str">
        <f>IFERROR(__xludf.DUMMYFUNCTION("""COMPUTED_VALUE"""),"Grass")</f>
        <v>Grass</v>
      </c>
      <c r="C671" s="190" t="str">
        <f>IFERROR(__xludf.DUMMYFUNCTION("""COMPUTED_VALUE"""),"Special")</f>
        <v>Special</v>
      </c>
      <c r="D671" s="190" t="str">
        <f>IFERROR(__xludf.DUMMYFUNCTION("""COMPUTED_VALUE"""),"Scene x2")</f>
        <v>Scene x2</v>
      </c>
      <c r="E671" s="190" t="str">
        <f>IFERROR(__xludf.DUMMYFUNCTION("""COMPUTED_VALUE"""),"Melee, All Adjacent Enemies, Full Action, Reckless ")</f>
        <v>Melee, All Adjacent Enemies, Full Action, Reckless </v>
      </c>
      <c r="F671" s="190">
        <f>IFERROR(__xludf.DUMMYFUNCTION("""COMPUTED_VALUE"""),6.0)</f>
        <v>6</v>
      </c>
      <c r="G671" s="190">
        <f>IFERROR(__xludf.DUMMYFUNCTION("""COMPUTED_VALUE"""),12.0)</f>
        <v>12</v>
      </c>
      <c r="H671" s="191" t="str">
        <f>IFERROR(__xludf.DUMMYFUNCTION("""COMPUTED_VALUE"""),"When Declaring Petal Dance, as a Movement Action you may change this Attack's Range from Melee, All Adjacent Enemies to Burst 2. After Damage Calculations the user becomes Dazed. Smite")</f>
        <v>When Declaring Petal Dance, as a Movement Action you may change this Attack's Range from Melee, All Adjacent Enemies to Burst 2. After Damage Calculations the user becomes Dazed. Smite</v>
      </c>
      <c r="I671" s="191" t="str">
        <f>IFERROR(__xludf.DUMMYFUNCTION("""COMPUTED_VALUE"""),"--")</f>
        <v>--</v>
      </c>
      <c r="J671" s="190" t="str">
        <f>IFERROR(__xludf.DUMMYFUNCTION("""COMPUTED_VALUE"""),"Tier 3")</f>
        <v>Tier 3</v>
      </c>
      <c r="K671" s="174" t="b">
        <f>IFERROR(__xludf.DUMMYFUNCTION("""COMPUTED_VALUE"""),TRUE)</f>
        <v>1</v>
      </c>
      <c r="L671" s="174"/>
      <c r="M671" s="174"/>
      <c r="N671" s="174"/>
      <c r="O671" s="174"/>
      <c r="P671" s="174"/>
      <c r="Q671" s="174"/>
      <c r="R671" s="174"/>
      <c r="S671" s="174"/>
      <c r="T671" s="174"/>
      <c r="U671" s="174"/>
      <c r="V671" s="174"/>
      <c r="W671" s="174"/>
      <c r="X671" s="174"/>
      <c r="Y671" s="174"/>
      <c r="Z671" s="174"/>
    </row>
    <row r="672">
      <c r="A672" s="190" t="str">
        <f>IFERROR(__xludf.DUMMYFUNCTION("""COMPUTED_VALUE"""),"Pollen Storm")</f>
        <v>Pollen Storm</v>
      </c>
      <c r="B672" s="190" t="str">
        <f>IFERROR(__xludf.DUMMYFUNCTION("""COMPUTED_VALUE"""),"Grass")</f>
        <v>Grass</v>
      </c>
      <c r="C672" s="190" t="str">
        <f>IFERROR(__xludf.DUMMYFUNCTION("""COMPUTED_VALUE"""),"Status")</f>
        <v>Status</v>
      </c>
      <c r="D672" s="190" t="str">
        <f>IFERROR(__xludf.DUMMYFUNCTION("""COMPUTED_VALUE"""),"Scene x2")</f>
        <v>Scene x2</v>
      </c>
      <c r="E672" s="190" t="str">
        <f>IFERROR(__xludf.DUMMYFUNCTION("""COMPUTED_VALUE"""),"Field, Versatile")</f>
        <v>Field, Versatile</v>
      </c>
      <c r="F672" s="190" t="str">
        <f>IFERROR(__xludf.DUMMYFUNCTION("""COMPUTED_VALUE"""),"--")</f>
        <v>--</v>
      </c>
      <c r="G672" s="190" t="str">
        <f>IFERROR(__xludf.DUMMYFUNCTION("""COMPUTED_VALUE"""),"--")</f>
        <v>--</v>
      </c>
      <c r="H672" s="191" t="str">
        <f>IFERROR(__xludf.DUMMYFUNCTION("""COMPUTED_VALUE"""),"The Field becomes Pollenized for the next 5 Rounds. While the Field is Pollenized, non Grass Type Enemies lose a Tick of Hit Points at the start of their Turn and Grass Type Pokemon gain a Tick of Temporary Hit Points at the start of their Turn.")</f>
        <v>The Field becomes Pollenized for the next 5 Rounds. While the Field is Pollenized, non Grass Type Enemies lose a Tick of Hit Points at the start of their Turn and Grass Type Pokemon gain a Tick of Temporary Hit Points at the start of their Turn.</v>
      </c>
      <c r="I672"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72" s="190" t="str">
        <f>IFERROR(__xludf.DUMMYFUNCTION("""COMPUTED_VALUE"""),"Tier 2")</f>
        <v>Tier 2</v>
      </c>
      <c r="K672" s="174" t="b">
        <f>IFERROR(__xludf.DUMMYFUNCTION("""COMPUTED_VALUE"""),TRUE)</f>
        <v>1</v>
      </c>
      <c r="L672" s="174"/>
      <c r="M672" s="174"/>
      <c r="N672" s="174"/>
      <c r="O672" s="174"/>
      <c r="P672" s="174"/>
      <c r="Q672" s="174"/>
      <c r="R672" s="174"/>
      <c r="S672" s="174"/>
      <c r="T672" s="174"/>
      <c r="U672" s="174"/>
      <c r="V672" s="174"/>
      <c r="W672" s="174"/>
      <c r="X672" s="174"/>
      <c r="Y672" s="174"/>
      <c r="Z672" s="174"/>
    </row>
    <row r="673">
      <c r="A673" s="190" t="str">
        <f>IFERROR(__xludf.DUMMYFUNCTION("""COMPUTED_VALUE"""),"Power Whip")</f>
        <v>Power Whip</v>
      </c>
      <c r="B673" s="190" t="str">
        <f>IFERROR(__xludf.DUMMYFUNCTION("""COMPUTED_VALUE"""),"Grass")</f>
        <v>Grass</v>
      </c>
      <c r="C673" s="190" t="str">
        <f>IFERROR(__xludf.DUMMYFUNCTION("""COMPUTED_VALUE"""),"Physical")</f>
        <v>Physical</v>
      </c>
      <c r="D673" s="190" t="str">
        <f>IFERROR(__xludf.DUMMYFUNCTION("""COMPUTED_VALUE"""),"Scene x2")</f>
        <v>Scene x2</v>
      </c>
      <c r="E673" s="190" t="str">
        <f>IFERROR(__xludf.DUMMYFUNCTION("""COMPUTED_VALUE"""),"8, 1 Target ")</f>
        <v>8, 1 Target </v>
      </c>
      <c r="F673" s="190">
        <f>IFERROR(__xludf.DUMMYFUNCTION("""COMPUTED_VALUE"""),5.0)</f>
        <v>5</v>
      </c>
      <c r="G673" s="190">
        <f>IFERROR(__xludf.DUMMYFUNCTION("""COMPUTED_VALUE"""),12.0)</f>
        <v>12</v>
      </c>
      <c r="H673" s="191" t="str">
        <f>IFERROR(__xludf.DUMMYFUNCTION("""COMPUTED_VALUE"""),"Power Whip is a Critical Hit on a roll of 18+. Smite. *Grants Threaded")</f>
        <v>Power Whip is a Critical Hit on a roll of 18+. Smite. *Grants Threaded</v>
      </c>
      <c r="I673" s="191" t="str">
        <f>IFERROR(__xludf.DUMMYFUNCTION("""COMPUTED_VALUE"""),"--")</f>
        <v>--</v>
      </c>
      <c r="J673" s="190" t="str">
        <f>IFERROR(__xludf.DUMMYFUNCTION("""COMPUTED_VALUE"""),"Tier 3")</f>
        <v>Tier 3</v>
      </c>
      <c r="K673" s="174" t="b">
        <f>IFERROR(__xludf.DUMMYFUNCTION("""COMPUTED_VALUE"""),TRUE)</f>
        <v>1</v>
      </c>
      <c r="L673" s="174"/>
      <c r="M673" s="174"/>
      <c r="N673" s="174"/>
      <c r="O673" s="174"/>
      <c r="P673" s="174"/>
      <c r="Q673" s="174"/>
      <c r="R673" s="174"/>
      <c r="S673" s="174"/>
      <c r="T673" s="174"/>
      <c r="U673" s="174"/>
      <c r="V673" s="174"/>
      <c r="W673" s="174"/>
      <c r="X673" s="174"/>
      <c r="Y673" s="174"/>
      <c r="Z673" s="174"/>
    </row>
    <row r="674">
      <c r="A674" s="190" t="str">
        <f>IFERROR(__xludf.DUMMYFUNCTION("""COMPUTED_VALUE"""),"Razor Leaf")</f>
        <v>Razor Leaf</v>
      </c>
      <c r="B674" s="190" t="str">
        <f>IFERROR(__xludf.DUMMYFUNCTION("""COMPUTED_VALUE"""),"Grass")</f>
        <v>Grass</v>
      </c>
      <c r="C674" s="190" t="str">
        <f>IFERROR(__xludf.DUMMYFUNCTION("""COMPUTED_VALUE"""),"Physical")</f>
        <v>Physical</v>
      </c>
      <c r="D674" s="190" t="str">
        <f>IFERROR(__xludf.DUMMYFUNCTION("""COMPUTED_VALUE"""),"At-Will")</f>
        <v>At-Will</v>
      </c>
      <c r="E674" s="190" t="str">
        <f>IFERROR(__xludf.DUMMYFUNCTION("""COMPUTED_VALUE"""),"Close Blast 2")</f>
        <v>Close Blast 2</v>
      </c>
      <c r="F674" s="190">
        <f>IFERROR(__xludf.DUMMYFUNCTION("""COMPUTED_VALUE"""),5.0)</f>
        <v>5</v>
      </c>
      <c r="G674" s="190">
        <f>IFERROR(__xludf.DUMMYFUNCTION("""COMPUTED_VALUE"""),6.0)</f>
        <v>6</v>
      </c>
      <c r="H674" s="191" t="str">
        <f>IFERROR(__xludf.DUMMYFUNCTION("""COMPUTED_VALUE"""),"Razor Leaf is a Critical Hit on a roll of 18+.")</f>
        <v>Razor Leaf is a Critical Hit on a roll of 18+.</v>
      </c>
      <c r="I674" s="191" t="str">
        <f>IFERROR(__xludf.DUMMYFUNCTION("""COMPUTED_VALUE"""),"--")</f>
        <v>--</v>
      </c>
      <c r="J674" s="190" t="str">
        <f>IFERROR(__xludf.DUMMYFUNCTION("""COMPUTED_VALUE"""),"Tier 1")</f>
        <v>Tier 1</v>
      </c>
      <c r="K674" s="174" t="b">
        <f>IFERROR(__xludf.DUMMYFUNCTION("""COMPUTED_VALUE"""),TRUE)</f>
        <v>1</v>
      </c>
      <c r="L674" s="174"/>
      <c r="M674" s="174"/>
      <c r="N674" s="174"/>
      <c r="O674" s="174"/>
      <c r="P674" s="174"/>
      <c r="Q674" s="174"/>
      <c r="R674" s="174"/>
      <c r="S674" s="174"/>
      <c r="T674" s="174"/>
      <c r="U674" s="174"/>
      <c r="V674" s="174"/>
      <c r="W674" s="174"/>
      <c r="X674" s="174"/>
      <c r="Y674" s="174"/>
      <c r="Z674" s="174"/>
    </row>
    <row r="675">
      <c r="A675" s="190" t="str">
        <f>IFERROR(__xludf.DUMMYFUNCTION("""COMPUTED_VALUE"""),"Seed Bomb")</f>
        <v>Seed Bomb</v>
      </c>
      <c r="B675" s="190" t="str">
        <f>IFERROR(__xludf.DUMMYFUNCTION("""COMPUTED_VALUE"""),"Grass")</f>
        <v>Grass</v>
      </c>
      <c r="C675" s="190" t="str">
        <f>IFERROR(__xludf.DUMMYFUNCTION("""COMPUTED_VALUE"""),"Physical")</f>
        <v>Physical</v>
      </c>
      <c r="D675" s="190" t="str">
        <f>IFERROR(__xludf.DUMMYFUNCTION("""COMPUTED_VALUE"""),"EOT")</f>
        <v>EOT</v>
      </c>
      <c r="E675" s="190" t="str">
        <f>IFERROR(__xludf.DUMMYFUNCTION("""COMPUTED_VALUE"""),"8, 1 Target")</f>
        <v>8, 1 Target</v>
      </c>
      <c r="F675" s="190">
        <f>IFERROR(__xludf.DUMMYFUNCTION("""COMPUTED_VALUE"""),4.0)</f>
        <v>4</v>
      </c>
      <c r="G675" s="190">
        <f>IFERROR(__xludf.DUMMYFUNCTION("""COMPUTED_VALUE"""),8.0)</f>
        <v>8</v>
      </c>
      <c r="H675" s="191" t="str">
        <f>IFERROR(__xludf.DUMMYFUNCTION("""COMPUTED_VALUE"""),"On a roll of 15+, you may choose to destroy a Coat on the Target. If they have Negative CS in Defense, this automatically triggers.")</f>
        <v>On a roll of 15+, you may choose to destroy a Coat on the Target. If they have Negative CS in Defense, this automatically triggers.</v>
      </c>
      <c r="I675" s="191" t="str">
        <f>IFERROR(__xludf.DUMMYFUNCTION("""COMPUTED_VALUE"""),"--")</f>
        <v>--</v>
      </c>
      <c r="J675" s="190" t="str">
        <f>IFERROR(__xludf.DUMMYFUNCTION("""COMPUTED_VALUE"""),"Tier 2")</f>
        <v>Tier 2</v>
      </c>
      <c r="K675" s="174" t="b">
        <f>IFERROR(__xludf.DUMMYFUNCTION("""COMPUTED_VALUE"""),TRUE)</f>
        <v>1</v>
      </c>
      <c r="L675" s="174"/>
      <c r="M675" s="174"/>
      <c r="N675" s="174"/>
      <c r="O675" s="174"/>
      <c r="P675" s="174"/>
      <c r="Q675" s="174"/>
      <c r="R675" s="174"/>
      <c r="S675" s="174"/>
      <c r="T675" s="174"/>
      <c r="U675" s="174"/>
      <c r="V675" s="174"/>
      <c r="W675" s="174"/>
      <c r="X675" s="174"/>
      <c r="Y675" s="174"/>
      <c r="Z675" s="174"/>
    </row>
    <row r="676">
      <c r="A676" s="190" t="str">
        <f>IFERROR(__xludf.DUMMYFUNCTION("""COMPUTED_VALUE"""),"Sleep Powder")</f>
        <v>Sleep Powder</v>
      </c>
      <c r="B676" s="190" t="str">
        <f>IFERROR(__xludf.DUMMYFUNCTION("""COMPUTED_VALUE"""),"Grass")</f>
        <v>Grass</v>
      </c>
      <c r="C676" s="190" t="str">
        <f>IFERROR(__xludf.DUMMYFUNCTION("""COMPUTED_VALUE"""),"Status")</f>
        <v>Status</v>
      </c>
      <c r="D676" s="190" t="str">
        <f>IFERROR(__xludf.DUMMYFUNCTION("""COMPUTED_VALUE"""),"Scene x2")</f>
        <v>Scene x2</v>
      </c>
      <c r="E676" s="190" t="str">
        <f>IFERROR(__xludf.DUMMYFUNCTION("""COMPUTED_VALUE"""),"6, Ranged Blast 2, Hazard, Versatile")</f>
        <v>6, Ranged Blast 2, Hazard, Versatile</v>
      </c>
      <c r="F676" s="190">
        <f>IFERROR(__xludf.DUMMYFUNCTION("""COMPUTED_VALUE"""),7.0)</f>
        <v>7</v>
      </c>
      <c r="G676" s="190" t="str">
        <f>IFERROR(__xludf.DUMMYFUNCTION("""COMPUTED_VALUE"""),"--")</f>
        <v>--</v>
      </c>
      <c r="H676" s="191" t="str">
        <f>IFERROR(__xludf.DUMMYFUNCTION("""COMPUTED_VALUE"""),"All Targets hit by this Attack become Drowsy. Powder Hazards may then be set on the spaces in the range of this Attack until the end of the next Round. Whenever an Enemy triggers this Hazard they become Drowsy or lose a Tick of Hit Points if they're alrea"&amp;"dy Drowsy. 
Powder Hazard - Whenever an Enemy passes through or ends their turn on a Powder Hazard the Effect listed is applied. Users with the Breathless Capability ignore this Hazard.")</f>
        <v>All Targets hit by this Attack become Drowsy. Powder Hazards may then be set on the spaces in the range of this Attack until the end of the next Round. Whenever an Enemy triggers this Hazard they become Drowsy or lose a Tick of Hit Points if they're already Drowsy. 
Powder Hazard - Whenever an Enemy passes through or ends their turn on a Powder Hazard the Effect listed is applied. Users with the Breathless Capability ignore this Hazard.</v>
      </c>
      <c r="I676" s="191" t="str">
        <f>IFERROR(__xludf.DUMMYFUNCTION("""COMPUTED_VALUE"""),"When used this way, the Attack's range becomes 4, 1 Target. The Target becomes Drowsy.")</f>
        <v>When used this way, the Attack's range becomes 4, 1 Target. The Target becomes Drowsy.</v>
      </c>
      <c r="J676" s="190" t="str">
        <f>IFERROR(__xludf.DUMMYFUNCTION("""COMPUTED_VALUE"""),"Tier 2")</f>
        <v>Tier 2</v>
      </c>
      <c r="K676" s="174" t="b">
        <f>IFERROR(__xludf.DUMMYFUNCTION("""COMPUTED_VALUE"""),TRUE)</f>
        <v>1</v>
      </c>
      <c r="L676" s="174"/>
      <c r="M676" s="174"/>
      <c r="N676" s="174"/>
      <c r="O676" s="174"/>
      <c r="P676" s="174"/>
      <c r="Q676" s="174"/>
      <c r="R676" s="174"/>
      <c r="S676" s="174"/>
      <c r="T676" s="174"/>
      <c r="U676" s="174"/>
      <c r="V676" s="174"/>
      <c r="W676" s="174"/>
      <c r="X676" s="174"/>
      <c r="Y676" s="174"/>
      <c r="Z676" s="174"/>
    </row>
    <row r="677">
      <c r="A677" s="190" t="str">
        <f>IFERROR(__xludf.DUMMYFUNCTION("""COMPUTED_VALUE"""),"Snap Trap")</f>
        <v>Snap Trap</v>
      </c>
      <c r="B677" s="190" t="str">
        <f>IFERROR(__xludf.DUMMYFUNCTION("""COMPUTED_VALUE"""),"Grass")</f>
        <v>Grass</v>
      </c>
      <c r="C677" s="190" t="str">
        <f>IFERROR(__xludf.DUMMYFUNCTION("""COMPUTED_VALUE"""),"Physical")</f>
        <v>Physical</v>
      </c>
      <c r="D677" s="190" t="str">
        <f>IFERROR(__xludf.DUMMYFUNCTION("""COMPUTED_VALUE"""),"Scene x2")</f>
        <v>Scene x2</v>
      </c>
      <c r="E677" s="190" t="str">
        <f>IFERROR(__xludf.DUMMYFUNCTION("""COMPUTED_VALUE"""),"Melee, 1 Target")</f>
        <v>Melee, 1 Target</v>
      </c>
      <c r="F677" s="190">
        <f>IFERROR(__xludf.DUMMYFUNCTION("""COMPUTED_VALUE"""),3.0)</f>
        <v>3</v>
      </c>
      <c r="G677" s="190">
        <f>IFERROR(__xludf.DUMMYFUNCTION("""COMPUTED_VALUE"""),8.0)</f>
        <v>8</v>
      </c>
      <c r="H677" s="191" t="str">
        <f>IFERROR(__xludf.DUMMYFUNCTION("""COMPUTED_VALUE"""),"On a 15+, the Target cannot perform a Movement Action during their next Turn. You may perform a Grapple Maneuver against the Target as a Swift Action if desired.")</f>
        <v>On a 15+, the Target cannot perform a Movement Action during their next Turn. You may perform a Grapple Maneuver against the Target as a Swift Action if desired.</v>
      </c>
      <c r="I677" s="191" t="str">
        <f>IFERROR(__xludf.DUMMYFUNCTION("""COMPUTED_VALUE"""),"--")</f>
        <v>--</v>
      </c>
      <c r="J677" s="190" t="str">
        <f>IFERROR(__xludf.DUMMYFUNCTION("""COMPUTED_VALUE"""),"Tier 2")</f>
        <v>Tier 2</v>
      </c>
      <c r="K677" s="174" t="b">
        <f>IFERROR(__xludf.DUMMYFUNCTION("""COMPUTED_VALUE"""),TRUE)</f>
        <v>1</v>
      </c>
      <c r="L677" s="174"/>
      <c r="M677" s="174"/>
      <c r="N677" s="174"/>
      <c r="O677" s="174"/>
      <c r="P677" s="174"/>
      <c r="Q677" s="174"/>
      <c r="R677" s="174"/>
      <c r="S677" s="174"/>
      <c r="T677" s="174"/>
      <c r="U677" s="174"/>
      <c r="V677" s="174"/>
      <c r="W677" s="174"/>
      <c r="X677" s="174"/>
      <c r="Y677" s="174"/>
      <c r="Z677" s="174"/>
    </row>
    <row r="678">
      <c r="A678" s="190" t="str">
        <f>IFERROR(__xludf.DUMMYFUNCTION("""COMPUTED_VALUE"""),"Solar Beam")</f>
        <v>Solar Beam</v>
      </c>
      <c r="B678" s="190" t="str">
        <f>IFERROR(__xludf.DUMMYFUNCTION("""COMPUTED_VALUE"""),"Grass")</f>
        <v>Grass</v>
      </c>
      <c r="C678" s="190" t="str">
        <f>IFERROR(__xludf.DUMMYFUNCTION("""COMPUTED_VALUE"""),"Special")</f>
        <v>Special</v>
      </c>
      <c r="D678" s="190" t="str">
        <f>IFERROR(__xludf.DUMMYFUNCTION("""COMPUTED_VALUE"""),"Scene")</f>
        <v>Scene</v>
      </c>
      <c r="E678" s="190" t="str">
        <f>IFERROR(__xludf.DUMMYFUNCTION("""COMPUTED_VALUE"""),"Line X, Set-Up")</f>
        <v>Line X, Set-Up</v>
      </c>
      <c r="F678" s="190">
        <f>IFERROR(__xludf.DUMMYFUNCTION("""COMPUTED_VALUE"""),4.0)</f>
        <v>4</v>
      </c>
      <c r="G678" s="190">
        <f>IFERROR(__xludf.DUMMYFUNCTION("""COMPUTED_VALUE"""),8.0)</f>
        <v>8</v>
      </c>
      <c r="H678" s="191" t="str">
        <f>IFERROR(__xludf.DUMMYFUNCTION("""COMPUTED_VALUE"""),"Charge Effect: If the Weather is Foggy, you cannot use this Charge Effect. If the Weather is Sunny, you instead gain 2 Charge Tokens. 
Resolution Effect: X is equal to 4 plus the number of Charge Tokens you expend. This Attack’s Damage Base is increased b"&amp;"y +2 for each Charge Token you expend. Smite")</f>
        <v>Charge Effect: If the Weather is Foggy, you cannot use this Charge Effect. If the Weather is Sunny, you instead gain 2 Charge Tokens. 
Resolution Effect: X is equal to 4 plus the number of Charge Tokens you expend. This Attack’s Damage Base is increased by +2 for each Charge Token you expend. Smite</v>
      </c>
      <c r="I678" s="191" t="str">
        <f>IFERROR(__xludf.DUMMYFUNCTION("""COMPUTED_VALUE"""),"--")</f>
        <v>--</v>
      </c>
      <c r="J678" s="190" t="str">
        <f>IFERROR(__xludf.DUMMYFUNCTION("""COMPUTED_VALUE"""),"Tier 2")</f>
        <v>Tier 2</v>
      </c>
      <c r="K678" s="174" t="b">
        <f>IFERROR(__xludf.DUMMYFUNCTION("""COMPUTED_VALUE"""),TRUE)</f>
        <v>1</v>
      </c>
      <c r="L678" s="174"/>
      <c r="M678" s="174"/>
      <c r="N678" s="174"/>
      <c r="O678" s="174"/>
      <c r="P678" s="174"/>
      <c r="Q678" s="174"/>
      <c r="R678" s="174"/>
      <c r="S678" s="174"/>
      <c r="T678" s="174"/>
      <c r="U678" s="174"/>
      <c r="V678" s="174"/>
      <c r="W678" s="174"/>
      <c r="X678" s="174"/>
      <c r="Y678" s="174"/>
      <c r="Z678" s="174"/>
    </row>
    <row r="679">
      <c r="A679" s="190" t="str">
        <f>IFERROR(__xludf.DUMMYFUNCTION("""COMPUTED_VALUE"""),"Solar Blade")</f>
        <v>Solar Blade</v>
      </c>
      <c r="B679" s="190" t="str">
        <f>IFERROR(__xludf.DUMMYFUNCTION("""COMPUTED_VALUE"""),"Grass")</f>
        <v>Grass</v>
      </c>
      <c r="C679" s="190" t="str">
        <f>IFERROR(__xludf.DUMMYFUNCTION("""COMPUTED_VALUE"""),"Physical")</f>
        <v>Physical</v>
      </c>
      <c r="D679" s="190" t="str">
        <f>IFERROR(__xludf.DUMMYFUNCTION("""COMPUTED_VALUE"""),"Scene")</f>
        <v>Scene</v>
      </c>
      <c r="E679" s="190" t="str">
        <f>IFERROR(__xludf.DUMMYFUNCTION("""COMPUTED_VALUE"""),"Melee, Pass, Set-Up")</f>
        <v>Melee, Pass, Set-Up</v>
      </c>
      <c r="F679" s="190">
        <f>IFERROR(__xludf.DUMMYFUNCTION("""COMPUTED_VALUE"""),5.0)</f>
        <v>5</v>
      </c>
      <c r="G679" s="190">
        <f>IFERROR(__xludf.DUMMYFUNCTION("""COMPUTED_VALUE"""),10.0)</f>
        <v>10</v>
      </c>
      <c r="H679" s="191" t="str">
        <f>IFERROR(__xludf.DUMMYFUNCTION("""COMPUTED_VALUE"""),"Charge Effect: If the Weather is Sunny, you instead gain 2 Charge Tokens. 
Resolution Effect: For each Charge Token you expend when using this Attack, extend the Pass Range by +1 Space. If you expend at least 3 Charge Tokens and Pass is used, you may chan"&amp;"ge your direction once during the movement. Smite")</f>
        <v>Charge Effect: If the Weather is Sunny, you instead gain 2 Charge Tokens. 
Resolution Effect: For each Charge Token you expend when using this Attack, extend the Pass Range by +1 Space. If you expend at least 3 Charge Tokens and Pass is used, you may change your direction once during the movement. Smite</v>
      </c>
      <c r="I679" s="191" t="str">
        <f>IFERROR(__xludf.DUMMYFUNCTION("""COMPUTED_VALUE"""),"--")</f>
        <v>--</v>
      </c>
      <c r="J679" s="190" t="str">
        <f>IFERROR(__xludf.DUMMYFUNCTION("""COMPUTED_VALUE"""),"Tier 3")</f>
        <v>Tier 3</v>
      </c>
      <c r="K679" s="174" t="b">
        <f>IFERROR(__xludf.DUMMYFUNCTION("""COMPUTED_VALUE"""),TRUE)</f>
        <v>1</v>
      </c>
      <c r="L679" s="174"/>
      <c r="M679" s="174"/>
      <c r="N679" s="174"/>
      <c r="O679" s="174"/>
      <c r="P679" s="174"/>
      <c r="Q679" s="174"/>
      <c r="R679" s="174"/>
      <c r="S679" s="174"/>
      <c r="T679" s="174"/>
      <c r="U679" s="174"/>
      <c r="V679" s="174"/>
      <c r="W679" s="174"/>
      <c r="X679" s="174"/>
      <c r="Y679" s="174"/>
      <c r="Z679" s="174"/>
    </row>
    <row r="680">
      <c r="A680" s="190" t="str">
        <f>IFERROR(__xludf.DUMMYFUNCTION("""COMPUTED_VALUE"""),"Spicy Extract")</f>
        <v>Spicy Extract</v>
      </c>
      <c r="B680" s="190" t="str">
        <f>IFERROR(__xludf.DUMMYFUNCTION("""COMPUTED_VALUE"""),"Grass")</f>
        <v>Grass</v>
      </c>
      <c r="C680" s="190" t="str">
        <f>IFERROR(__xludf.DUMMYFUNCTION("""COMPUTED_VALUE"""),"Status")</f>
        <v>Status</v>
      </c>
      <c r="D680" s="190" t="str">
        <f>IFERROR(__xludf.DUMMYFUNCTION("""COMPUTED_VALUE"""),"Scene x2")</f>
        <v>Scene x2</v>
      </c>
      <c r="E680" s="190" t="str">
        <f>IFERROR(__xludf.DUMMYFUNCTION("""COMPUTED_VALUE"""),"Melee, 1 Target, Versatile")</f>
        <v>Melee, 1 Target, Versatile</v>
      </c>
      <c r="F680" s="190" t="str">
        <f>IFERROR(__xludf.DUMMYFUNCTION("""COMPUTED_VALUE"""),"--")</f>
        <v>--</v>
      </c>
      <c r="G680" s="190" t="str">
        <f>IFERROR(__xludf.DUMMYFUNCTION("""COMPUTED_VALUE"""),"--")</f>
        <v>--</v>
      </c>
      <c r="H680" s="191" t="str">
        <f>IFERROR(__xludf.DUMMYFUNCTION("""COMPUTED_VALUE"""),"The Target gains +2 CS in Attack or Special Attack. Their Damaging Attacks also gain a 15+ Effect Range to Burn their Targets. This Effect Range is removed after it is Triggered.  ")</f>
        <v>The Target gains +2 CS in Attack or Special Attack. Their Damaging Attacks also gain a 15+ Effect Range to Burn their Targets. This Effect Range is removed after it is Triggered.  </v>
      </c>
      <c r="I680" s="191" t="str">
        <f>IFERROR(__xludf.DUMMYFUNCTION("""COMPUTED_VALUE"""),"The Target's next Effect Range that would burn is automatically Triggered if it hits a Target. This may also target the user when used this way.  ")</f>
        <v>The Target's next Effect Range that would burn is automatically Triggered if it hits a Target. This may also target the user when used this way.  </v>
      </c>
      <c r="J680" s="190" t="str">
        <f>IFERROR(__xludf.DUMMYFUNCTION("""COMPUTED_VALUE"""),"Tier 2")</f>
        <v>Tier 2</v>
      </c>
      <c r="K680" s="174" t="b">
        <f>IFERROR(__xludf.DUMMYFUNCTION("""COMPUTED_VALUE"""),TRUE)</f>
        <v>1</v>
      </c>
      <c r="L680" s="174"/>
      <c r="M680" s="174"/>
      <c r="N680" s="174"/>
      <c r="O680" s="174"/>
      <c r="P680" s="174"/>
      <c r="Q680" s="174"/>
      <c r="R680" s="174"/>
      <c r="S680" s="174"/>
      <c r="T680" s="174"/>
      <c r="U680" s="174"/>
      <c r="V680" s="174"/>
      <c r="W680" s="174"/>
      <c r="X680" s="174"/>
      <c r="Y680" s="174"/>
      <c r="Z680" s="174"/>
    </row>
    <row r="681">
      <c r="A681" s="190" t="str">
        <f>IFERROR(__xludf.DUMMYFUNCTION("""COMPUTED_VALUE"""),"Spiky Shield")</f>
        <v>Spiky Shield</v>
      </c>
      <c r="B681" s="190" t="str">
        <f>IFERROR(__xludf.DUMMYFUNCTION("""COMPUTED_VALUE"""),"Grass")</f>
        <v>Grass</v>
      </c>
      <c r="C681" s="190" t="str">
        <f>IFERROR(__xludf.DUMMYFUNCTION("""COMPUTED_VALUE"""),"Status")</f>
        <v>Status</v>
      </c>
      <c r="D681" s="190" t="str">
        <f>IFERROR(__xludf.DUMMYFUNCTION("""COMPUTED_VALUE"""),"Scene")</f>
        <v>Scene</v>
      </c>
      <c r="E681" s="190" t="str">
        <f>IFERROR(__xludf.DUMMYFUNCTION("""COMPUTED_VALUE"""),"Self, Shield, Trigger")</f>
        <v>Self, Shield, Trigger</v>
      </c>
      <c r="F681" s="190" t="str">
        <f>IFERROR(__xludf.DUMMYFUNCTION("""COMPUTED_VALUE"""),"--")</f>
        <v>--</v>
      </c>
      <c r="G681" s="190" t="str">
        <f>IFERROR(__xludf.DUMMYFUNCTION("""COMPUTED_VALUE"""),"--")</f>
        <v>--</v>
      </c>
      <c r="H681" s="191" t="str">
        <f>IFERROR(__xludf.DUMMYFUNCTION("""COMPUTED_VALUE"""),"If the user is hit by an Attack, the user may use Spiky Shield as a Standard Action + Reaction. The user and all Adjacent Targets resist the Attack by an additional Damage Step. Additionally if the Attacker was Adjacent to the user, they become Wounded.")</f>
        <v>If the user is hit by an Attack, the user may use Spiky Shield as a Standard Action + Reaction. The user and all Adjacent Targets resist the Attack by an additional Damage Step. Additionally if the Attacker was Adjacent to the user, they become Wounded.</v>
      </c>
      <c r="I681" s="191" t="str">
        <f>IFERROR(__xludf.DUMMYFUNCTION("""COMPUTED_VALUE"""),"--")</f>
        <v>--</v>
      </c>
      <c r="J681" s="190" t="str">
        <f>IFERROR(__xludf.DUMMYFUNCTION("""COMPUTED_VALUE"""),"Tier 3")</f>
        <v>Tier 3</v>
      </c>
      <c r="K681" s="174" t="b">
        <f>IFERROR(__xludf.DUMMYFUNCTION("""COMPUTED_VALUE"""),FALSE)</f>
        <v>0</v>
      </c>
      <c r="L681" s="174"/>
      <c r="M681" s="174"/>
      <c r="N681" s="174"/>
      <c r="O681" s="174"/>
      <c r="P681" s="174"/>
      <c r="Q681" s="174"/>
      <c r="R681" s="174"/>
      <c r="S681" s="174"/>
      <c r="T681" s="174"/>
      <c r="U681" s="174"/>
      <c r="V681" s="174"/>
      <c r="W681" s="174"/>
      <c r="X681" s="174"/>
      <c r="Y681" s="174"/>
      <c r="Z681" s="174"/>
    </row>
    <row r="682">
      <c r="A682" s="190" t="str">
        <f>IFERROR(__xludf.DUMMYFUNCTION("""COMPUTED_VALUE"""),"Spore")</f>
        <v>Spore</v>
      </c>
      <c r="B682" s="190" t="str">
        <f>IFERROR(__xludf.DUMMYFUNCTION("""COMPUTED_VALUE"""),"Grass")</f>
        <v>Grass</v>
      </c>
      <c r="C682" s="190" t="str">
        <f>IFERROR(__xludf.DUMMYFUNCTION("""COMPUTED_VALUE"""),"Status")</f>
        <v>Status</v>
      </c>
      <c r="D682" s="190" t="str">
        <f>IFERROR(__xludf.DUMMYFUNCTION("""COMPUTED_VALUE"""),"Scene")</f>
        <v>Scene</v>
      </c>
      <c r="E682" s="190" t="str">
        <f>IFERROR(__xludf.DUMMYFUNCTION("""COMPUTED_VALUE"""),"4, 1 Target")</f>
        <v>4, 1 Target</v>
      </c>
      <c r="F682" s="190" t="str">
        <f>IFERROR(__xludf.DUMMYFUNCTION("""COMPUTED_VALUE"""),"--")</f>
        <v>--</v>
      </c>
      <c r="G682" s="190" t="str">
        <f>IFERROR(__xludf.DUMMYFUNCTION("""COMPUTED_VALUE"""),"--")</f>
        <v>--</v>
      </c>
      <c r="H682" s="191" t="str">
        <f>IFERROR(__xludf.DUMMYFUNCTION("""COMPUTED_VALUE"""),"The Target becomes Drowsy. Sureshot.")</f>
        <v>The Target becomes Drowsy. Sureshot.</v>
      </c>
      <c r="I682" s="191" t="str">
        <f>IFERROR(__xludf.DUMMYFUNCTION("""COMPUTED_VALUE"""),"The Target becomes Drowsy. When used this way, its AC becomes 8 and it loses the Sureshot Keyword. If this Attack misses, its Frequency is not expended. ")</f>
        <v>The Target becomes Drowsy. When used this way, its AC becomes 8 and it loses the Sureshot Keyword. If this Attack misses, its Frequency is not expended. </v>
      </c>
      <c r="J682" s="190" t="str">
        <f>IFERROR(__xludf.DUMMYFUNCTION("""COMPUTED_VALUE"""),"Tier 3")</f>
        <v>Tier 3</v>
      </c>
      <c r="K682" s="174" t="b">
        <f>IFERROR(__xludf.DUMMYFUNCTION("""COMPUTED_VALUE"""),TRUE)</f>
        <v>1</v>
      </c>
      <c r="L682" s="174"/>
      <c r="M682" s="174"/>
      <c r="N682" s="174"/>
      <c r="O682" s="174"/>
      <c r="P682" s="174"/>
      <c r="Q682" s="174"/>
      <c r="R682" s="174"/>
      <c r="S682" s="174"/>
      <c r="T682" s="174"/>
      <c r="U682" s="174"/>
      <c r="V682" s="174"/>
      <c r="W682" s="174"/>
      <c r="X682" s="174"/>
      <c r="Y682" s="174"/>
      <c r="Z682" s="174"/>
    </row>
    <row r="683">
      <c r="A683" s="190" t="str">
        <f>IFERROR(__xludf.DUMMYFUNCTION("""COMPUTED_VALUE"""),"Strength Sap")</f>
        <v>Strength Sap</v>
      </c>
      <c r="B683" s="190" t="str">
        <f>IFERROR(__xludf.DUMMYFUNCTION("""COMPUTED_VALUE"""),"Grass")</f>
        <v>Grass</v>
      </c>
      <c r="C683" s="190" t="str">
        <f>IFERROR(__xludf.DUMMYFUNCTION("""COMPUTED_VALUE"""),"Status")</f>
        <v>Status</v>
      </c>
      <c r="D683" s="190" t="str">
        <f>IFERROR(__xludf.DUMMYFUNCTION("""COMPUTED_VALUE"""),"Scene x2")</f>
        <v>Scene x2</v>
      </c>
      <c r="E683" s="190" t="str">
        <f>IFERROR(__xludf.DUMMYFUNCTION("""COMPUTED_VALUE"""),"Melee, 1 Target, Versatile")</f>
        <v>Melee, 1 Target, Versatile</v>
      </c>
      <c r="F683" s="190">
        <f>IFERROR(__xludf.DUMMYFUNCTION("""COMPUTED_VALUE"""),4.0)</f>
        <v>4</v>
      </c>
      <c r="G683" s="190" t="str">
        <f>IFERROR(__xludf.DUMMYFUNCTION("""COMPUTED_VALUE"""),"--")</f>
        <v>--</v>
      </c>
      <c r="H683" s="191" t="str">
        <f>IFERROR(__xludf.DUMMYFUNCTION("""COMPUTED_VALUE"""),"On a hit, the user restores Hit Points or gains Temporary Hit Points equal to the higher of the Target's Attack or Special Attack. The Target loses -2 CS in Attack or Special Attack. Spirit Surge.")</f>
        <v>On a hit, the user restores Hit Points or gains Temporary Hit Points equal to the higher of the Target's Attack or Special Attack. The Target loses -2 CS in Attack or Special Attack. Spirit Surge.</v>
      </c>
      <c r="I683" s="191" t="str">
        <f>IFERROR(__xludf.DUMMYFUNCTION("""COMPUTED_VALUE"""),"The Target becomes Weakened until the end of their next Turn.")</f>
        <v>The Target becomes Weakened until the end of their next Turn.</v>
      </c>
      <c r="J683" s="190" t="str">
        <f>IFERROR(__xludf.DUMMYFUNCTION("""COMPUTED_VALUE"""),"Tier 2")</f>
        <v>Tier 2</v>
      </c>
      <c r="K683" s="174" t="b">
        <f>IFERROR(__xludf.DUMMYFUNCTION("""COMPUTED_VALUE"""),TRUE)</f>
        <v>1</v>
      </c>
      <c r="L683" s="174"/>
      <c r="M683" s="174"/>
      <c r="N683" s="174"/>
      <c r="O683" s="174"/>
      <c r="P683" s="174"/>
      <c r="Q683" s="174"/>
      <c r="R683" s="174"/>
      <c r="S683" s="174"/>
      <c r="T683" s="174"/>
      <c r="U683" s="174"/>
      <c r="V683" s="174"/>
      <c r="W683" s="174"/>
      <c r="X683" s="174"/>
      <c r="Y683" s="174"/>
      <c r="Z683" s="174"/>
    </row>
    <row r="684">
      <c r="A684" s="190" t="str">
        <f>IFERROR(__xludf.DUMMYFUNCTION("""COMPUTED_VALUE"""),"Stun Spore")</f>
        <v>Stun Spore</v>
      </c>
      <c r="B684" s="190" t="str">
        <f>IFERROR(__xludf.DUMMYFUNCTION("""COMPUTED_VALUE"""),"Grass")</f>
        <v>Grass</v>
      </c>
      <c r="C684" s="190" t="str">
        <f>IFERROR(__xludf.DUMMYFUNCTION("""COMPUTED_VALUE"""),"Status")</f>
        <v>Status</v>
      </c>
      <c r="D684" s="190" t="str">
        <f>IFERROR(__xludf.DUMMYFUNCTION("""COMPUTED_VALUE"""),"Scene x2")</f>
        <v>Scene x2</v>
      </c>
      <c r="E684" s="190" t="str">
        <f>IFERROR(__xludf.DUMMYFUNCTION("""COMPUTED_VALUE"""),"6, Ranged Blast 2, Hazard, Versatile")</f>
        <v>6, Ranged Blast 2, Hazard, Versatile</v>
      </c>
      <c r="F684" s="190">
        <f>IFERROR(__xludf.DUMMYFUNCTION("""COMPUTED_VALUE"""),6.0)</f>
        <v>6</v>
      </c>
      <c r="G684" s="190" t="str">
        <f>IFERROR(__xludf.DUMMYFUNCTION("""COMPUTED_VALUE"""),"--")</f>
        <v>--</v>
      </c>
      <c r="H684" s="191" t="str">
        <f>IFERROR(__xludf.DUMMYFUNCTION("""COMPUTED_VALUE"""),"All Targets hit by this Attack become Paralyzed. Powder Hazards may then be set on the spaces in the range of this Attack until the end of the next Round Whenever an Enemy triggers this Hazard they become Paralyzed or lose a Tick of Hit Points if they're "&amp;"already Paralyzed. 
Powder Hazard - Whenever an Enemy passes through or ends their turn on a Powder Hazard the Effect listed is applied. Users with the Breathless Capability ignore this Hazard.")</f>
        <v>All Targets hit by this Attack become Paralyzed. Powder Hazards may then be set on the spaces in the range of this Attack until the end of the next Round Whenever an Enemy triggers this Hazard they become Paralyzed or lose a Tick of Hit Points if they're already Paralyzed. 
Powder Hazard - Whenever an Enemy passes through or ends their turn on a Powder Hazard the Effect listed is applied. Users with the Breathless Capability ignore this Hazard.</v>
      </c>
      <c r="I684" s="191" t="str">
        <f>IFERROR(__xludf.DUMMYFUNCTION("""COMPUTED_VALUE"""),"When used this way, the Attack's range becomes 4, 1 Target. The Target becomes Paralyzed.")</f>
        <v>When used this way, the Attack's range becomes 4, 1 Target. The Target becomes Paralyzed.</v>
      </c>
      <c r="J684" s="190" t="str">
        <f>IFERROR(__xludf.DUMMYFUNCTION("""COMPUTED_VALUE"""),"Tier 2")</f>
        <v>Tier 2</v>
      </c>
      <c r="K684" s="174" t="b">
        <f>IFERROR(__xludf.DUMMYFUNCTION("""COMPUTED_VALUE"""),TRUE)</f>
        <v>1</v>
      </c>
      <c r="L684" s="174"/>
      <c r="M684" s="174"/>
      <c r="N684" s="174"/>
      <c r="O684" s="174"/>
      <c r="P684" s="174"/>
      <c r="Q684" s="174"/>
      <c r="R684" s="174"/>
      <c r="S684" s="174"/>
      <c r="T684" s="174"/>
      <c r="U684" s="174"/>
      <c r="V684" s="174"/>
      <c r="W684" s="174"/>
      <c r="X684" s="174"/>
      <c r="Y684" s="174"/>
      <c r="Z684" s="174"/>
    </row>
    <row r="685">
      <c r="A685" s="190" t="str">
        <f>IFERROR(__xludf.DUMMYFUNCTION("""COMPUTED_VALUE"""),"Synthesis")</f>
        <v>Synthesis</v>
      </c>
      <c r="B685" s="190" t="str">
        <f>IFERROR(__xludf.DUMMYFUNCTION("""COMPUTED_VALUE"""),"Grass")</f>
        <v>Grass</v>
      </c>
      <c r="C685" s="190" t="str">
        <f>IFERROR(__xludf.DUMMYFUNCTION("""COMPUTED_VALUE"""),"Status")</f>
        <v>Status</v>
      </c>
      <c r="D685" s="190" t="str">
        <f>IFERROR(__xludf.DUMMYFUNCTION("""COMPUTED_VALUE"""),"Scene x2")</f>
        <v>Scene x2</v>
      </c>
      <c r="E685" s="190" t="str">
        <f>IFERROR(__xludf.DUMMYFUNCTION("""COMPUTED_VALUE"""),"Self, Healing, Versatile")</f>
        <v>Self, Healing, Versatile</v>
      </c>
      <c r="F685" s="190" t="str">
        <f>IFERROR(__xludf.DUMMYFUNCTION("""COMPUTED_VALUE"""),"--")</f>
        <v>--</v>
      </c>
      <c r="G685" s="190" t="str">
        <f>IFERROR(__xludf.DUMMYFUNCTION("""COMPUTED_VALUE"""),"--")</f>
        <v>--</v>
      </c>
      <c r="H685" s="191" t="str">
        <f>IFERROR(__xludf.DUMMYFUNCTION("""COMPUTED_VALUE"""),"The user restores 5 Ticks of Hit Points. If the Field or Space the user is standing on is affected by an Grass Attack or the Weather is Sunny, the user is also cured of a Status Affliction. This cannot be used if there is Weather other than Sunny on the F"&amp;"ield.")</f>
        <v>The user restores 5 Ticks of Hit Points. If the Field or Space the user is standing on is affected by an Grass Attack or the Weather is Sunny, the user is also cured of a Status Affliction. This cannot be used if there is Weather other than Sunny on the Field.</v>
      </c>
      <c r="I685" s="191" t="str">
        <f>IFERROR(__xludf.DUMMYFUNCTION("""COMPUTED_VALUE"""),"The user restores 2 Ticks of Hit Points.Synthesis can only be used this way if the Field is affected by an Grass Attack or the Weather is Sunny and there is no other Weather on the Field.")</f>
        <v>The user restores 2 Ticks of Hit Points.Synthesis can only be used this way if the Field is affected by an Grass Attack or the Weather is Sunny and there is no other Weather on the Field.</v>
      </c>
      <c r="J685" s="190" t="str">
        <f>IFERROR(__xludf.DUMMYFUNCTION("""COMPUTED_VALUE"""),"Tier 2")</f>
        <v>Tier 2</v>
      </c>
      <c r="K685" s="174" t="b">
        <f>IFERROR(__xludf.DUMMYFUNCTION("""COMPUTED_VALUE"""),TRUE)</f>
        <v>1</v>
      </c>
      <c r="L685" s="174"/>
      <c r="M685" s="174"/>
      <c r="N685" s="174"/>
      <c r="O685" s="174"/>
      <c r="P685" s="174"/>
      <c r="Q685" s="174"/>
      <c r="R685" s="174"/>
      <c r="S685" s="174"/>
      <c r="T685" s="174"/>
      <c r="U685" s="174"/>
      <c r="V685" s="174"/>
      <c r="W685" s="174"/>
      <c r="X685" s="174"/>
      <c r="Y685" s="174"/>
      <c r="Z685" s="174"/>
    </row>
    <row r="686">
      <c r="A686" s="190" t="str">
        <f>IFERROR(__xludf.DUMMYFUNCTION("""COMPUTED_VALUE"""),"Syrup Bomb")</f>
        <v>Syrup Bomb</v>
      </c>
      <c r="B686" s="190" t="str">
        <f>IFERROR(__xludf.DUMMYFUNCTION("""COMPUTED_VALUE"""),"Grass")</f>
        <v>Grass</v>
      </c>
      <c r="C686" s="190" t="str">
        <f>IFERROR(__xludf.DUMMYFUNCTION("""COMPUTED_VALUE"""),"Special")</f>
        <v>Special</v>
      </c>
      <c r="D686" s="190" t="str">
        <f>IFERROR(__xludf.DUMMYFUNCTION("""COMPUTED_VALUE"""),"EOT")</f>
        <v>EOT</v>
      </c>
      <c r="E686" s="190" t="str">
        <f>IFERROR(__xludf.DUMMYFUNCTION("""COMPUTED_VALUE"""),"5, 1 Target; or Close Blast 2")</f>
        <v>5, 1 Target; or Close Blast 2</v>
      </c>
      <c r="F686" s="190">
        <f>IFERROR(__xludf.DUMMYFUNCTION("""COMPUTED_VALUE"""),5.0)</f>
        <v>5</v>
      </c>
      <c r="G686" s="190">
        <f>IFERROR(__xludf.DUMMYFUNCTION("""COMPUTED_VALUE"""),7.0)</f>
        <v>7</v>
      </c>
      <c r="H686" s="191" t="str">
        <f>IFERROR(__xludf.DUMMYFUNCTION("""COMPUTED_VALUE"""),"On a roll of 17+, the Target becomes Slowed. If this Attack only has one Target, the AC becomes 3.")</f>
        <v>On a roll of 17+, the Target becomes Slowed. If this Attack only has one Target, the AC becomes 3.</v>
      </c>
      <c r="I686" s="191" t="str">
        <f>IFERROR(__xludf.DUMMYFUNCTION("""COMPUTED_VALUE"""),"--")</f>
        <v>--</v>
      </c>
      <c r="J686" s="190" t="str">
        <f>IFERROR(__xludf.DUMMYFUNCTION("""COMPUTED_VALUE"""),"Tier 1")</f>
        <v>Tier 1</v>
      </c>
      <c r="K686" s="174" t="b">
        <f>IFERROR(__xludf.DUMMYFUNCTION("""COMPUTED_VALUE"""),TRUE)</f>
        <v>1</v>
      </c>
      <c r="L686" s="174"/>
      <c r="M686" s="174"/>
      <c r="N686" s="174"/>
      <c r="O686" s="174"/>
      <c r="P686" s="174"/>
      <c r="Q686" s="174"/>
      <c r="R686" s="174"/>
      <c r="S686" s="174"/>
      <c r="T686" s="174"/>
      <c r="U686" s="174"/>
      <c r="V686" s="174"/>
      <c r="W686" s="174"/>
      <c r="X686" s="174"/>
      <c r="Y686" s="174"/>
      <c r="Z686" s="174"/>
    </row>
    <row r="687">
      <c r="A687" s="190" t="str">
        <f>IFERROR(__xludf.DUMMYFUNCTION("""COMPUTED_VALUE"""),"Trop Kick")</f>
        <v>Trop Kick</v>
      </c>
      <c r="B687" s="190" t="str">
        <f>IFERROR(__xludf.DUMMYFUNCTION("""COMPUTED_VALUE"""),"Grass")</f>
        <v>Grass</v>
      </c>
      <c r="C687" s="190" t="str">
        <f>IFERROR(__xludf.DUMMYFUNCTION("""COMPUTED_VALUE"""),"Physical")</f>
        <v>Physical</v>
      </c>
      <c r="D687" s="190" t="str">
        <f>IFERROR(__xludf.DUMMYFUNCTION("""COMPUTED_VALUE"""),"EOT")</f>
        <v>EOT</v>
      </c>
      <c r="E687" s="190" t="str">
        <f>IFERROR(__xludf.DUMMYFUNCTION("""COMPUTED_VALUE"""),"Melee, 1 Target, Dash")</f>
        <v>Melee, 1 Target, Dash</v>
      </c>
      <c r="F687" s="190">
        <f>IFERROR(__xludf.DUMMYFUNCTION("""COMPUTED_VALUE"""),2.0)</f>
        <v>2</v>
      </c>
      <c r="G687" s="190">
        <f>IFERROR(__xludf.DUMMYFUNCTION("""COMPUTED_VALUE"""),6.0)</f>
        <v>6</v>
      </c>
      <c r="H687" s="191" t="str">
        <f>IFERROR(__xludf.DUMMYFUNCTION("""COMPUTED_VALUE"""),"If the Dash Keyword is Activated, the Target loses -2 CS in Defense.")</f>
        <v>If the Dash Keyword is Activated, the Target loses -2 CS in Defense.</v>
      </c>
      <c r="I687" s="191" t="str">
        <f>IFERROR(__xludf.DUMMYFUNCTION("""COMPUTED_VALUE"""),"--")</f>
        <v>--</v>
      </c>
      <c r="J687" s="190" t="str">
        <f>IFERROR(__xludf.DUMMYFUNCTION("""COMPUTED_VALUE"""),"Tier 1")</f>
        <v>Tier 1</v>
      </c>
      <c r="K687" s="174" t="b">
        <f>IFERROR(__xludf.DUMMYFUNCTION("""COMPUTED_VALUE"""),TRUE)</f>
        <v>1</v>
      </c>
      <c r="L687" s="174"/>
      <c r="M687" s="174"/>
      <c r="N687" s="174"/>
      <c r="O687" s="174"/>
      <c r="P687" s="174"/>
      <c r="Q687" s="174"/>
      <c r="R687" s="174"/>
      <c r="S687" s="174"/>
      <c r="T687" s="174"/>
      <c r="U687" s="174"/>
      <c r="V687" s="174"/>
      <c r="W687" s="174"/>
      <c r="X687" s="174"/>
      <c r="Y687" s="174"/>
      <c r="Z687" s="174"/>
    </row>
    <row r="688">
      <c r="A688" s="190" t="str">
        <f>IFERROR(__xludf.DUMMYFUNCTION("""COMPUTED_VALUE"""),"Vine Whip")</f>
        <v>Vine Whip</v>
      </c>
      <c r="B688" s="190" t="str">
        <f>IFERROR(__xludf.DUMMYFUNCTION("""COMPUTED_VALUE"""),"Grass")</f>
        <v>Grass</v>
      </c>
      <c r="C688" s="190" t="str">
        <f>IFERROR(__xludf.DUMMYFUNCTION("""COMPUTED_VALUE"""),"Physical")</f>
        <v>Physical</v>
      </c>
      <c r="D688" s="190" t="str">
        <f>IFERROR(__xludf.DUMMYFUNCTION("""COMPUTED_VALUE"""),"At-Will")</f>
        <v>At-Will</v>
      </c>
      <c r="E688" s="190" t="str">
        <f>IFERROR(__xludf.DUMMYFUNCTION("""COMPUTED_VALUE"""),"4, 1 Target")</f>
        <v>4, 1 Target</v>
      </c>
      <c r="F688" s="190">
        <f>IFERROR(__xludf.DUMMYFUNCTION("""COMPUTED_VALUE"""),3.0)</f>
        <v>3</v>
      </c>
      <c r="G688" s="190">
        <f>IFERROR(__xludf.DUMMYFUNCTION("""COMPUTED_VALUE"""),4.0)</f>
        <v>4</v>
      </c>
      <c r="H688" s="191" t="str">
        <f>IFERROR(__xludf.DUMMYFUNCTION("""COMPUTED_VALUE"""),"Smite. Grants Threaded")</f>
        <v>Smite. Grants Threaded</v>
      </c>
      <c r="I688" s="191" t="str">
        <f>IFERROR(__xludf.DUMMYFUNCTION("""COMPUTED_VALUE"""),"--")</f>
        <v>--</v>
      </c>
      <c r="J688" s="190" t="str">
        <f>IFERROR(__xludf.DUMMYFUNCTION("""COMPUTED_VALUE"""),"Tier 1")</f>
        <v>Tier 1</v>
      </c>
      <c r="K688" s="174" t="b">
        <f>IFERROR(__xludf.DUMMYFUNCTION("""COMPUTED_VALUE"""),TRUE)</f>
        <v>1</v>
      </c>
      <c r="L688" s="174"/>
      <c r="M688" s="174"/>
      <c r="N688" s="174"/>
      <c r="O688" s="174"/>
      <c r="P688" s="174"/>
      <c r="Q688" s="174"/>
      <c r="R688" s="174"/>
      <c r="S688" s="174"/>
      <c r="T688" s="174"/>
      <c r="U688" s="174"/>
      <c r="V688" s="174"/>
      <c r="W688" s="174"/>
      <c r="X688" s="174"/>
      <c r="Y688" s="174"/>
      <c r="Z688" s="174"/>
    </row>
    <row r="689">
      <c r="A689" s="190" t="str">
        <f>IFERROR(__xludf.DUMMYFUNCTION("""COMPUTED_VALUE"""),"Twin Rose Beam")</f>
        <v>Twin Rose Beam</v>
      </c>
      <c r="B689" s="190" t="str">
        <f>IFERROR(__xludf.DUMMYFUNCTION("""COMPUTED_VALUE"""),"Grass")</f>
        <v>Grass</v>
      </c>
      <c r="C689" s="190" t="str">
        <f>IFERROR(__xludf.DUMMYFUNCTION("""COMPUTED_VALUE"""),"Special")</f>
        <v>Special</v>
      </c>
      <c r="D689" s="190" t="str">
        <f>IFERROR(__xludf.DUMMYFUNCTION("""COMPUTED_VALUE"""),"Scene x2")</f>
        <v>Scene x2</v>
      </c>
      <c r="E689" s="190" t="str">
        <f>IFERROR(__xludf.DUMMYFUNCTION("""COMPUTED_VALUE"""),"8, 1 Target")</f>
        <v>8, 1 Target</v>
      </c>
      <c r="F689" s="190">
        <f>IFERROR(__xludf.DUMMYFUNCTION("""COMPUTED_VALUE"""),4.0)</f>
        <v>4</v>
      </c>
      <c r="G689" s="190">
        <f>IFERROR(__xludf.DUMMYFUNCTION("""COMPUTED_VALUE"""),9.0)</f>
        <v>9</v>
      </c>
      <c r="H689" s="191" t="str">
        <f>IFERROR(__xludf.DUMMYFUNCTION("""COMPUTED_VALUE"""),"On a roll of 15+, the Target gains a Status Affliction. If this effect is triggered, roll a 1d3; on a 1 the Target is Paralyzed; on a 2 the Target is Poisoned; on a 3 the Target becomes Drowsy.")</f>
        <v>On a roll of 15+, the Target gains a Status Affliction. If this effect is triggered, roll a 1d3; on a 1 the Target is Paralyzed; on a 2 the Target is Poisoned; on a 3 the Target becomes Drowsy.</v>
      </c>
      <c r="I689" s="191" t="str">
        <f>IFERROR(__xludf.DUMMYFUNCTION("""COMPUTED_VALUE"""),"--")</f>
        <v>--</v>
      </c>
      <c r="J689" s="190" t="str">
        <f>IFERROR(__xludf.DUMMYFUNCTION("""COMPUTED_VALUE"""),"Tier 2")</f>
        <v>Tier 2</v>
      </c>
      <c r="K689" s="174" t="b">
        <f>IFERROR(__xludf.DUMMYFUNCTION("""COMPUTED_VALUE"""),TRUE)</f>
        <v>1</v>
      </c>
      <c r="L689" s="174"/>
      <c r="M689" s="174"/>
      <c r="N689" s="174"/>
      <c r="O689" s="174"/>
      <c r="P689" s="174"/>
      <c r="Q689" s="174"/>
      <c r="R689" s="174"/>
      <c r="S689" s="174"/>
      <c r="T689" s="174"/>
      <c r="U689" s="174"/>
      <c r="V689" s="174"/>
      <c r="W689" s="174"/>
      <c r="X689" s="174"/>
      <c r="Y689" s="174"/>
      <c r="Z689" s="174"/>
    </row>
    <row r="690">
      <c r="A690" s="190" t="str">
        <f>IFERROR(__xludf.DUMMYFUNCTION("""COMPUTED_VALUE"""),"Wild Growth")</f>
        <v>Wild Growth</v>
      </c>
      <c r="B690" s="190" t="str">
        <f>IFERROR(__xludf.DUMMYFUNCTION("""COMPUTED_VALUE"""),"Grass")</f>
        <v>Grass</v>
      </c>
      <c r="C690" s="190" t="str">
        <f>IFERROR(__xludf.DUMMYFUNCTION("""COMPUTED_VALUE"""),"Status")</f>
        <v>Status</v>
      </c>
      <c r="D690" s="190" t="str">
        <f>IFERROR(__xludf.DUMMYFUNCTION("""COMPUTED_VALUE"""),"Scene x2")</f>
        <v>Scene x2</v>
      </c>
      <c r="E690" s="190" t="str">
        <f>IFERROR(__xludf.DUMMYFUNCTION("""COMPUTED_VALUE"""),"Blessing, Versatile")</f>
        <v>Blessing, Versatile</v>
      </c>
      <c r="F690" s="190" t="str">
        <f>IFERROR(__xludf.DUMMYFUNCTION("""COMPUTED_VALUE"""),"--")</f>
        <v>--</v>
      </c>
      <c r="G690" s="190" t="str">
        <f>IFERROR(__xludf.DUMMYFUNCTION("""COMPUTED_VALUE"""),"--")</f>
        <v>--</v>
      </c>
      <c r="H690" s="191" t="str">
        <f>IFERROR(__xludf.DUMMYFUNCTION("""COMPUTED_VALUE"""),"Blessing - Any user affected by Wild Growth may activate it as a Free Action when using a Grass Type Damaging Attack to grant it the Smite Keyword. If the Attack hits, it hits, it is also increased by one damage step. (Max 1.5x Effectiveness). Wild Growth"&amp;" may be Activated 3 times and then disappears. ")</f>
        <v>Blessing - Any user affected by Wild Growth may activate it as a Free Action when using a Grass Type Damaging Attack to grant it the Smite Keyword. If the Attack hits, it hits, it is also increased by one damage step. (Max 1.5x Effectiveness). Wild Growth may be Activated 3 times and then disappears. </v>
      </c>
      <c r="I690" s="191" t="str">
        <f>IFERROR(__xludf.DUMMYFUNCTION("""COMPUTED_VALUE"""),"Same as the normal Effect, but it only has 1 Activation.")</f>
        <v>Same as the normal Effect, but it only has 1 Activation.</v>
      </c>
      <c r="J690" s="190" t="str">
        <f>IFERROR(__xludf.DUMMYFUNCTION("""COMPUTED_VALUE"""),"Tier 2")</f>
        <v>Tier 2</v>
      </c>
      <c r="K690" s="174" t="b">
        <f>IFERROR(__xludf.DUMMYFUNCTION("""COMPUTED_VALUE"""),TRUE)</f>
        <v>1</v>
      </c>
      <c r="L690" s="174"/>
      <c r="M690" s="174"/>
      <c r="N690" s="174"/>
      <c r="O690" s="174"/>
      <c r="P690" s="174"/>
      <c r="Q690" s="174"/>
      <c r="R690" s="174"/>
      <c r="S690" s="174"/>
      <c r="T690" s="174"/>
      <c r="U690" s="174"/>
      <c r="V690" s="174"/>
      <c r="W690" s="174"/>
      <c r="X690" s="174"/>
      <c r="Y690" s="174"/>
      <c r="Z690" s="174"/>
    </row>
    <row r="691">
      <c r="A691" s="190" t="str">
        <f>IFERROR(__xludf.DUMMYFUNCTION("""COMPUTED_VALUE"""),"Wood Hammer")</f>
        <v>Wood Hammer</v>
      </c>
      <c r="B691" s="190" t="str">
        <f>IFERROR(__xludf.DUMMYFUNCTION("""COMPUTED_VALUE"""),"Grass")</f>
        <v>Grass</v>
      </c>
      <c r="C691" s="190" t="str">
        <f>IFERROR(__xludf.DUMMYFUNCTION("""COMPUTED_VALUE"""),"Physical")</f>
        <v>Physical</v>
      </c>
      <c r="D691" s="190" t="str">
        <f>IFERROR(__xludf.DUMMYFUNCTION("""COMPUTED_VALUE"""),"Scene x2")</f>
        <v>Scene x2</v>
      </c>
      <c r="E691" s="190" t="str">
        <f>IFERROR(__xludf.DUMMYFUNCTION("""COMPUTED_VALUE"""),"Melee, 1 Target, Recoil 1/3, Reckless")</f>
        <v>Melee, 1 Target, Recoil 1/3, Reckless</v>
      </c>
      <c r="F691" s="190">
        <f>IFERROR(__xludf.DUMMYFUNCTION("""COMPUTED_VALUE"""),2.0)</f>
        <v>2</v>
      </c>
      <c r="G691" s="190">
        <f>IFERROR(__xludf.DUMMYFUNCTION("""COMPUTED_VALUE"""),11.0)</f>
        <v>11</v>
      </c>
      <c r="H691" s="191" t="str">
        <f>IFERROR(__xludf.DUMMYFUNCTION("""COMPUTED_VALUE"""),"If the Target is smaller than the user, they cannot Trigger Reactions against this Attack.")</f>
        <v>If the Target is smaller than the user, they cannot Trigger Reactions against this Attack.</v>
      </c>
      <c r="I691" s="191" t="str">
        <f>IFERROR(__xludf.DUMMYFUNCTION("""COMPUTED_VALUE"""),"--")</f>
        <v>--</v>
      </c>
      <c r="J691" s="190" t="str">
        <f>IFERROR(__xludf.DUMMYFUNCTION("""COMPUTED_VALUE"""),"Tier 3")</f>
        <v>Tier 3</v>
      </c>
      <c r="K691" s="174" t="b">
        <f>IFERROR(__xludf.DUMMYFUNCTION("""COMPUTED_VALUE"""),TRUE)</f>
        <v>1</v>
      </c>
      <c r="L691" s="174"/>
      <c r="M691" s="174"/>
      <c r="N691" s="174"/>
      <c r="O691" s="174"/>
      <c r="P691" s="174"/>
      <c r="Q691" s="174"/>
      <c r="R691" s="174"/>
      <c r="S691" s="174"/>
      <c r="T691" s="174"/>
      <c r="U691" s="174"/>
      <c r="V691" s="174"/>
      <c r="W691" s="174"/>
      <c r="X691" s="174"/>
      <c r="Y691" s="174"/>
      <c r="Z691" s="174"/>
    </row>
    <row r="692">
      <c r="A692" s="190" t="str">
        <f>IFERROR(__xludf.DUMMYFUNCTION("""COMPUTED_VALUE"""),"Worry Seed")</f>
        <v>Worry Seed</v>
      </c>
      <c r="B692" s="190" t="str">
        <f>IFERROR(__xludf.DUMMYFUNCTION("""COMPUTED_VALUE"""),"Grass")</f>
        <v>Grass</v>
      </c>
      <c r="C692" s="190" t="str">
        <f>IFERROR(__xludf.DUMMYFUNCTION("""COMPUTED_VALUE"""),"Status")</f>
        <v>Status</v>
      </c>
      <c r="D692" s="190" t="str">
        <f>IFERROR(__xludf.DUMMYFUNCTION("""COMPUTED_VALUE"""),"Scene x2")</f>
        <v>Scene x2</v>
      </c>
      <c r="E692" s="190" t="str">
        <f>IFERROR(__xludf.DUMMYFUNCTION("""COMPUTED_VALUE"""),"8, 1 Target")</f>
        <v>8, 1 Target</v>
      </c>
      <c r="F692" s="190">
        <f>IFERROR(__xludf.DUMMYFUNCTION("""COMPUTED_VALUE"""),3.0)</f>
        <v>3</v>
      </c>
      <c r="G692" s="190" t="str">
        <f>IFERROR(__xludf.DUMMYFUNCTION("""COMPUTED_VALUE"""),"--")</f>
        <v>--</v>
      </c>
      <c r="H692" s="191" t="str">
        <f>IFERROR(__xludf.DUMMYFUNCTION("""COMPUTED_VALUE"""),"The Target becomes Worried. Worried is considered a Mental Affliction that makes the user immune to becoming Drowsy. While Worried, a Combatant has all of their Abilities Disabled. ")</f>
        <v>The Target becomes Worried. Worried is considered a Mental Affliction that makes the user immune to becoming Drowsy. While Worried, a Combatant has all of their Abilities Disabled. </v>
      </c>
      <c r="I692" s="191" t="str">
        <f>IFERROR(__xludf.DUMMYFUNCTION("""COMPUTED_VALUE"""),"The Target becomes Worried until the end of the next Round.")</f>
        <v>The Target becomes Worried until the end of the next Round.</v>
      </c>
      <c r="J692" s="190" t="str">
        <f>IFERROR(__xludf.DUMMYFUNCTION("""COMPUTED_VALUE"""),"Tier 2")</f>
        <v>Tier 2</v>
      </c>
      <c r="K692" s="174" t="b">
        <f>IFERROR(__xludf.DUMMYFUNCTION("""COMPUTED_VALUE"""),TRUE)</f>
        <v>1</v>
      </c>
      <c r="L692" s="174"/>
      <c r="M692" s="174"/>
      <c r="N692" s="174"/>
      <c r="O692" s="174"/>
      <c r="P692" s="174"/>
      <c r="Q692" s="174"/>
      <c r="R692" s="174"/>
      <c r="S692" s="174"/>
      <c r="T692" s="174"/>
      <c r="U692" s="174"/>
      <c r="V692" s="174"/>
      <c r="W692" s="174"/>
      <c r="X692" s="174"/>
      <c r="Y692" s="174"/>
      <c r="Z692" s="174"/>
    </row>
    <row r="693">
      <c r="A693" s="190" t="str">
        <f>IFERROR(__xludf.DUMMYFUNCTION("""COMPUTED_VALUE"""),"Vine Shield")</f>
        <v>Vine Shield</v>
      </c>
      <c r="B693" s="190" t="str">
        <f>IFERROR(__xludf.DUMMYFUNCTION("""COMPUTED_VALUE"""),"Grass")</f>
        <v>Grass</v>
      </c>
      <c r="C693" s="190" t="str">
        <f>IFERROR(__xludf.DUMMYFUNCTION("""COMPUTED_VALUE"""),"Status")</f>
        <v>Status</v>
      </c>
      <c r="D693" s="190" t="str">
        <f>IFERROR(__xludf.DUMMYFUNCTION("""COMPUTED_VALUE"""),"Scene")</f>
        <v>Scene</v>
      </c>
      <c r="E693" s="190" t="str">
        <f>IFERROR(__xludf.DUMMYFUNCTION("""COMPUTED_VALUE"""),"Self, Shield, Trigger")</f>
        <v>Self, Shield, Trigger</v>
      </c>
      <c r="F693" s="190" t="str">
        <f>IFERROR(__xludf.DUMMYFUNCTION("""COMPUTED_VALUE"""),"--")</f>
        <v>--</v>
      </c>
      <c r="G693" s="190" t="str">
        <f>IFERROR(__xludf.DUMMYFUNCTION("""COMPUTED_VALUE"""),"--")</f>
        <v>--</v>
      </c>
      <c r="H693" s="191" t="str">
        <f>IFERROR(__xludf.DUMMYFUNCTION("""COMPUTED_VALUE"""),"If the user is hit by an attack, the user may use Vine Shield as a Standard Action + Reaction. The user is instead not hit by the Attack. The user does not take any damage nor are they affected by any of the Attack’s effects. In addition, if the Weather i"&amp;"s Sunny, the user restores two Ticks of Hit Points.  ")</f>
        <v>If the user is hit by an attack, the user may use Vine Shield as a Standard Action + Reaction. The user is instead not hit by the Attack. The user does not take any damage nor are they affected by any of the Attack’s effects. In addition, if the Weather is Sunny, the user restores two Ticks of Hit Points.  </v>
      </c>
      <c r="I693" s="191" t="str">
        <f>IFERROR(__xludf.DUMMYFUNCTION("""COMPUTED_VALUE"""),"--")</f>
        <v>--</v>
      </c>
      <c r="J693" s="190" t="str">
        <f>IFERROR(__xludf.DUMMYFUNCTION("""COMPUTED_VALUE"""),"Tier 3")</f>
        <v>Tier 3</v>
      </c>
      <c r="K693" s="174" t="b">
        <f>IFERROR(__xludf.DUMMYFUNCTION("""COMPUTED_VALUE"""),TRUE)</f>
        <v>1</v>
      </c>
      <c r="L693" s="174"/>
      <c r="M693" s="174"/>
      <c r="N693" s="174"/>
      <c r="O693" s="174"/>
      <c r="P693" s="174"/>
      <c r="Q693" s="174"/>
      <c r="R693" s="174"/>
      <c r="S693" s="174"/>
      <c r="T693" s="174"/>
      <c r="U693" s="174"/>
      <c r="V693" s="174"/>
      <c r="W693" s="174"/>
      <c r="X693" s="174"/>
      <c r="Y693" s="174"/>
      <c r="Z693" s="174"/>
    </row>
    <row r="694">
      <c r="A694" s="190" t="str">
        <f>IFERROR(__xludf.DUMMYFUNCTION("""COMPUTED_VALUE"""),"Aftershock")</f>
        <v>Aftershock</v>
      </c>
      <c r="B694" s="190" t="str">
        <f>IFERROR(__xludf.DUMMYFUNCTION("""COMPUTED_VALUE"""),"Ground")</f>
        <v>Ground</v>
      </c>
      <c r="C694" s="190" t="str">
        <f>IFERROR(__xludf.DUMMYFUNCTION("""COMPUTED_VALUE"""),"Special")</f>
        <v>Special</v>
      </c>
      <c r="D694" s="190" t="str">
        <f>IFERROR(__xludf.DUMMYFUNCTION("""COMPUTED_VALUE"""),"EOT")</f>
        <v>EOT</v>
      </c>
      <c r="E694" s="190" t="str">
        <f>IFERROR(__xludf.DUMMYFUNCTION("""COMPUTED_VALUE"""),"Burst 1, Groundsource")</f>
        <v>Burst 1, Groundsource</v>
      </c>
      <c r="F694" s="190">
        <f>IFERROR(__xludf.DUMMYFUNCTION("""COMPUTED_VALUE"""),5.0)</f>
        <v>5</v>
      </c>
      <c r="G694" s="190">
        <f>IFERROR(__xludf.DUMMYFUNCTION("""COMPUTED_VALUE"""),8.0)</f>
        <v>8</v>
      </c>
      <c r="H694" s="191" t="str">
        <f>IFERROR(__xludf.DUMMYFUNCTION("""COMPUTED_VALUE"""),"If a Groundsource Attack has been used in this round or the previous round, all Targets cannot apply Evasion against this Attack.")</f>
        <v>If a Groundsource Attack has been used in this round or the previous round, all Targets cannot apply Evasion against this Attack.</v>
      </c>
      <c r="I694" s="191" t="str">
        <f>IFERROR(__xludf.DUMMYFUNCTION("""COMPUTED_VALUE"""),"--")</f>
        <v>--</v>
      </c>
      <c r="J694" s="190" t="str">
        <f>IFERROR(__xludf.DUMMYFUNCTION("""COMPUTED_VALUE"""),"Tier 2")</f>
        <v>Tier 2</v>
      </c>
      <c r="K694" s="174" t="b">
        <f>IFERROR(__xludf.DUMMYFUNCTION("""COMPUTED_VALUE"""),TRUE)</f>
        <v>1</v>
      </c>
      <c r="L694" s="174"/>
      <c r="M694" s="174"/>
      <c r="N694" s="174"/>
      <c r="O694" s="174"/>
      <c r="P694" s="174"/>
      <c r="Q694" s="174"/>
      <c r="R694" s="174"/>
      <c r="S694" s="174"/>
      <c r="T694" s="174"/>
      <c r="U694" s="174"/>
      <c r="V694" s="174"/>
      <c r="W694" s="174"/>
      <c r="X694" s="174"/>
      <c r="Y694" s="174"/>
      <c r="Z694" s="174"/>
    </row>
    <row r="695">
      <c r="A695" s="190" t="str">
        <f>IFERROR(__xludf.DUMMYFUNCTION("""COMPUTED_VALUE"""),"Bone Club")</f>
        <v>Bone Club</v>
      </c>
      <c r="B695" s="190" t="str">
        <f>IFERROR(__xludf.DUMMYFUNCTION("""COMPUTED_VALUE"""),"Ground")</f>
        <v>Ground</v>
      </c>
      <c r="C695" s="190" t="str">
        <f>IFERROR(__xludf.DUMMYFUNCTION("""COMPUTED_VALUE"""),"Physical")</f>
        <v>Physical</v>
      </c>
      <c r="D695" s="190" t="str">
        <f>IFERROR(__xludf.DUMMYFUNCTION("""COMPUTED_VALUE"""),"At-Will")</f>
        <v>At-Will</v>
      </c>
      <c r="E695" s="190" t="str">
        <f>IFERROR(__xludf.DUMMYFUNCTION("""COMPUTED_VALUE"""),"Melee, 1 Target")</f>
        <v>Melee, 1 Target</v>
      </c>
      <c r="F695" s="190">
        <f>IFERROR(__xludf.DUMMYFUNCTION("""COMPUTED_VALUE"""),2.0)</f>
        <v>2</v>
      </c>
      <c r="G695" s="190">
        <f>IFERROR(__xludf.DUMMYFUNCTION("""COMPUTED_VALUE"""),7.0)</f>
        <v>7</v>
      </c>
      <c r="H695" s="191" t="str">
        <f>IFERROR(__xludf.DUMMYFUNCTION("""COMPUTED_VALUE"""),"On a roll of 18+, the Target becomes Wounded.")</f>
        <v>On a roll of 18+, the Target becomes Wounded.</v>
      </c>
      <c r="I695" s="191" t="str">
        <f>IFERROR(__xludf.DUMMYFUNCTION("""COMPUTED_VALUE"""),"--")</f>
        <v>--</v>
      </c>
      <c r="J695" s="190" t="str">
        <f>IFERROR(__xludf.DUMMYFUNCTION("""COMPUTED_VALUE"""),"Tier 1")</f>
        <v>Tier 1</v>
      </c>
      <c r="K695" s="174" t="b">
        <f>IFERROR(__xludf.DUMMYFUNCTION("""COMPUTED_VALUE"""),TRUE)</f>
        <v>1</v>
      </c>
      <c r="L695" s="174"/>
      <c r="M695" s="174"/>
      <c r="N695" s="174"/>
      <c r="O695" s="174"/>
      <c r="P695" s="174"/>
      <c r="Q695" s="174"/>
      <c r="R695" s="174"/>
      <c r="S695" s="174"/>
      <c r="T695" s="174"/>
      <c r="U695" s="174"/>
      <c r="V695" s="174"/>
      <c r="W695" s="174"/>
      <c r="X695" s="174"/>
      <c r="Y695" s="174"/>
      <c r="Z695" s="174"/>
    </row>
    <row r="696">
      <c r="A696" s="190" t="str">
        <f>IFERROR(__xludf.DUMMYFUNCTION("""COMPUTED_VALUE"""),"Bone Rush")</f>
        <v>Bone Rush</v>
      </c>
      <c r="B696" s="190" t="str">
        <f>IFERROR(__xludf.DUMMYFUNCTION("""COMPUTED_VALUE"""),"Ground")</f>
        <v>Ground</v>
      </c>
      <c r="C696" s="190" t="str">
        <f>IFERROR(__xludf.DUMMYFUNCTION("""COMPUTED_VALUE"""),"Physical")</f>
        <v>Physical</v>
      </c>
      <c r="D696" s="190" t="str">
        <f>IFERROR(__xludf.DUMMYFUNCTION("""COMPUTED_VALUE"""),"EOT")</f>
        <v>EOT</v>
      </c>
      <c r="E696" s="190" t="str">
        <f>IFERROR(__xludf.DUMMYFUNCTION("""COMPUTED_VALUE"""),"Melee, 1 Target")</f>
        <v>Melee, 1 Target</v>
      </c>
      <c r="F696" s="190">
        <f>IFERROR(__xludf.DUMMYFUNCTION("""COMPUTED_VALUE"""),4.0)</f>
        <v>4</v>
      </c>
      <c r="G696" s="190">
        <f>IFERROR(__xludf.DUMMYFUNCTION("""COMPUTED_VALUE"""),4.0)</f>
        <v>4</v>
      </c>
      <c r="H696" s="191" t="str">
        <f>IFERROR(__xludf.DUMMYFUNCTION("""COMPUTED_VALUE"""),"If Bone Rush hits at least 4 times, the Target becomes Wounded. Five Strike")</f>
        <v>If Bone Rush hits at least 4 times, the Target becomes Wounded. Five Strike</v>
      </c>
      <c r="I696" s="191" t="str">
        <f>IFERROR(__xludf.DUMMYFUNCTION("""COMPUTED_VALUE"""),"--")</f>
        <v>--</v>
      </c>
      <c r="J696" s="190" t="str">
        <f>IFERROR(__xludf.DUMMYFUNCTION("""COMPUTED_VALUE"""),"Tier 1")</f>
        <v>Tier 1</v>
      </c>
      <c r="K696" s="174" t="b">
        <f>IFERROR(__xludf.DUMMYFUNCTION("""COMPUTED_VALUE"""),TRUE)</f>
        <v>1</v>
      </c>
      <c r="L696" s="174"/>
      <c r="M696" s="174"/>
      <c r="N696" s="174"/>
      <c r="O696" s="174"/>
      <c r="P696" s="174"/>
      <c r="Q696" s="174"/>
      <c r="R696" s="174"/>
      <c r="S696" s="174"/>
      <c r="T696" s="174"/>
      <c r="U696" s="174"/>
      <c r="V696" s="174"/>
      <c r="W696" s="174"/>
      <c r="X696" s="174"/>
      <c r="Y696" s="174"/>
      <c r="Z696" s="174"/>
    </row>
    <row r="697">
      <c r="A697" s="190" t="str">
        <f>IFERROR(__xludf.DUMMYFUNCTION("""COMPUTED_VALUE"""),"Bonemerang")</f>
        <v>Bonemerang</v>
      </c>
      <c r="B697" s="190" t="str">
        <f>IFERROR(__xludf.DUMMYFUNCTION("""COMPUTED_VALUE"""),"Ground")</f>
        <v>Ground</v>
      </c>
      <c r="C697" s="190" t="str">
        <f>IFERROR(__xludf.DUMMYFUNCTION("""COMPUTED_VALUE"""),"Physical")</f>
        <v>Physical</v>
      </c>
      <c r="D697" s="190" t="str">
        <f>IFERROR(__xludf.DUMMYFUNCTION("""COMPUTED_VALUE"""),"EOT")</f>
        <v>EOT</v>
      </c>
      <c r="E697" s="190" t="str">
        <f>IFERROR(__xludf.DUMMYFUNCTION("""COMPUTED_VALUE"""),"6, 1 Target or 3, 2 Targets")</f>
        <v>6, 1 Target or 3, 2 Targets</v>
      </c>
      <c r="F697" s="190">
        <f>IFERROR(__xludf.DUMMYFUNCTION("""COMPUTED_VALUE"""),5.0)</f>
        <v>5</v>
      </c>
      <c r="G697" s="190">
        <f>IFERROR(__xludf.DUMMYFUNCTION("""COMPUTED_VALUE"""),5.0)</f>
        <v>5</v>
      </c>
      <c r="H697" s="191" t="str">
        <f>IFERROR(__xludf.DUMMYFUNCTION("""COMPUTED_VALUE"""),"If this Attack only has one Target, it has the Double Strike Keyword. ")</f>
        <v>If this Attack only has one Target, it has the Double Strike Keyword. </v>
      </c>
      <c r="I697" s="191" t="str">
        <f>IFERROR(__xludf.DUMMYFUNCTION("""COMPUTED_VALUE"""),"--")</f>
        <v>--</v>
      </c>
      <c r="J697" s="190" t="str">
        <f>IFERROR(__xludf.DUMMYFUNCTION("""COMPUTED_VALUE"""),"Tier 1")</f>
        <v>Tier 1</v>
      </c>
      <c r="K697" s="174" t="b">
        <f>IFERROR(__xludf.DUMMYFUNCTION("""COMPUTED_VALUE"""),TRUE)</f>
        <v>1</v>
      </c>
      <c r="L697" s="174"/>
      <c r="M697" s="174"/>
      <c r="N697" s="174"/>
      <c r="O697" s="174"/>
      <c r="P697" s="174"/>
      <c r="Q697" s="174"/>
      <c r="R697" s="174"/>
      <c r="S697" s="174"/>
      <c r="T697" s="174"/>
      <c r="U697" s="174"/>
      <c r="V697" s="174"/>
      <c r="W697" s="174"/>
      <c r="X697" s="174"/>
      <c r="Y697" s="174"/>
      <c r="Z697" s="174"/>
    </row>
    <row r="698">
      <c r="A698" s="190" t="str">
        <f>IFERROR(__xludf.DUMMYFUNCTION("""COMPUTED_VALUE"""),"Bulldoze")</f>
        <v>Bulldoze</v>
      </c>
      <c r="B698" s="190" t="str">
        <f>IFERROR(__xludf.DUMMYFUNCTION("""COMPUTED_VALUE"""),"Ground")</f>
        <v>Ground</v>
      </c>
      <c r="C698" s="190" t="str">
        <f>IFERROR(__xludf.DUMMYFUNCTION("""COMPUTED_VALUE"""),"Physical")</f>
        <v>Physical</v>
      </c>
      <c r="D698" s="190" t="str">
        <f>IFERROR(__xludf.DUMMYFUNCTION("""COMPUTED_VALUE"""),"EOT")</f>
        <v>EOT</v>
      </c>
      <c r="E698" s="190" t="str">
        <f>IFERROR(__xludf.DUMMYFUNCTION("""COMPUTED_VALUE"""),"Burst 1, Groundsource")</f>
        <v>Burst 1, Groundsource</v>
      </c>
      <c r="F698" s="190">
        <f>IFERROR(__xludf.DUMMYFUNCTION("""COMPUTED_VALUE"""),5.0)</f>
        <v>5</v>
      </c>
      <c r="G698" s="190">
        <f>IFERROR(__xludf.DUMMYFUNCTION("""COMPUTED_VALUE"""),6.0)</f>
        <v>6</v>
      </c>
      <c r="H698" s="191" t="str">
        <f>IFERROR(__xludf.DUMMYFUNCTION("""COMPUTED_VALUE"""),"All Cover Terrain within 3m may be destroyed. Within GM Discretion, Blocking Terrain within 3m may become Cover Terrain instead.")</f>
        <v>All Cover Terrain within 3m may be destroyed. Within GM Discretion, Blocking Terrain within 3m may become Cover Terrain instead.</v>
      </c>
      <c r="I698" s="191" t="str">
        <f>IFERROR(__xludf.DUMMYFUNCTION("""COMPUTED_VALUE"""),"--")</f>
        <v>--</v>
      </c>
      <c r="J698" s="190" t="str">
        <f>IFERROR(__xludf.DUMMYFUNCTION("""COMPUTED_VALUE"""),"Tier 1")</f>
        <v>Tier 1</v>
      </c>
      <c r="K698" s="174" t="b">
        <f>IFERROR(__xludf.DUMMYFUNCTION("""COMPUTED_VALUE"""),TRUE)</f>
        <v>1</v>
      </c>
      <c r="L698" s="174"/>
      <c r="M698" s="174"/>
      <c r="N698" s="174"/>
      <c r="O698" s="174"/>
      <c r="P698" s="174"/>
      <c r="Q698" s="174"/>
      <c r="R698" s="174"/>
      <c r="S698" s="174"/>
      <c r="T698" s="174"/>
      <c r="U698" s="174"/>
      <c r="V698" s="174"/>
      <c r="W698" s="174"/>
      <c r="X698" s="174"/>
      <c r="Y698" s="174"/>
      <c r="Z698" s="174"/>
    </row>
    <row r="699">
      <c r="A699" s="190" t="str">
        <f>IFERROR(__xludf.DUMMYFUNCTION("""COMPUTED_VALUE"""),"Drill Run")</f>
        <v>Drill Run</v>
      </c>
      <c r="B699" s="190" t="str">
        <f>IFERROR(__xludf.DUMMYFUNCTION("""COMPUTED_VALUE"""),"Ground")</f>
        <v>Ground</v>
      </c>
      <c r="C699" s="190" t="str">
        <f>IFERROR(__xludf.DUMMYFUNCTION("""COMPUTED_VALUE"""),"Physical")</f>
        <v>Physical</v>
      </c>
      <c r="D699" s="190" t="str">
        <f>IFERROR(__xludf.DUMMYFUNCTION("""COMPUTED_VALUE"""),"EOT")</f>
        <v>EOT</v>
      </c>
      <c r="E699" s="190" t="str">
        <f>IFERROR(__xludf.DUMMYFUNCTION("""COMPUTED_VALUE"""),"Melee, 1 Target, Dash")</f>
        <v>Melee, 1 Target, Dash</v>
      </c>
      <c r="F699" s="190">
        <f>IFERROR(__xludf.DUMMYFUNCTION("""COMPUTED_VALUE"""),3.0)</f>
        <v>3</v>
      </c>
      <c r="G699" s="190">
        <f>IFERROR(__xludf.DUMMYFUNCTION("""COMPUTED_VALUE"""),8.0)</f>
        <v>8</v>
      </c>
      <c r="H699" s="191" t="str">
        <f>IFERROR(__xludf.DUMMYFUNCTION("""COMPUTED_VALUE"""),"Drill Run is a Critical Hit on a roll of 18+. If the Dash Keyword is Activated, on a roll of 15+, the Target becomes Wounded.")</f>
        <v>Drill Run is a Critical Hit on a roll of 18+. If the Dash Keyword is Activated, on a roll of 15+, the Target becomes Wounded.</v>
      </c>
      <c r="I699" s="191" t="str">
        <f>IFERROR(__xludf.DUMMYFUNCTION("""COMPUTED_VALUE"""),"--")</f>
        <v>--</v>
      </c>
      <c r="J699" s="190" t="str">
        <f>IFERROR(__xludf.DUMMYFUNCTION("""COMPUTED_VALUE"""),"Tier 2")</f>
        <v>Tier 2</v>
      </c>
      <c r="K699" s="174" t="b">
        <f>IFERROR(__xludf.DUMMYFUNCTION("""COMPUTED_VALUE"""),TRUE)</f>
        <v>1</v>
      </c>
      <c r="L699" s="174"/>
      <c r="M699" s="174"/>
      <c r="N699" s="174"/>
      <c r="O699" s="174"/>
      <c r="P699" s="174"/>
      <c r="Q699" s="174"/>
      <c r="R699" s="174"/>
      <c r="S699" s="174"/>
      <c r="T699" s="174"/>
      <c r="U699" s="174"/>
      <c r="V699" s="174"/>
      <c r="W699" s="174"/>
      <c r="X699" s="174"/>
      <c r="Y699" s="174"/>
      <c r="Z699" s="174"/>
    </row>
    <row r="700">
      <c r="A700" s="190" t="str">
        <f>IFERROR(__xludf.DUMMYFUNCTION("""COMPUTED_VALUE"""),"Dual Quake")</f>
        <v>Dual Quake</v>
      </c>
      <c r="B700" s="190" t="str">
        <f>IFERROR(__xludf.DUMMYFUNCTION("""COMPUTED_VALUE"""),"Ground")</f>
        <v>Ground</v>
      </c>
      <c r="C700" s="190" t="str">
        <f>IFERROR(__xludf.DUMMYFUNCTION("""COMPUTED_VALUE"""),"Physical")</f>
        <v>Physical</v>
      </c>
      <c r="D700" s="190" t="str">
        <f>IFERROR(__xludf.DUMMYFUNCTION("""COMPUTED_VALUE"""),"Scene x2")</f>
        <v>Scene x2</v>
      </c>
      <c r="E700" s="190" t="str">
        <f>IFERROR(__xludf.DUMMYFUNCTION("""COMPUTED_VALUE"""),"3, 2 Targets, Full Action, Groundsource")</f>
        <v>3, 2 Targets, Full Action, Groundsource</v>
      </c>
      <c r="F700" s="190">
        <f>IFERROR(__xludf.DUMMYFUNCTION("""COMPUTED_VALUE"""),5.0)</f>
        <v>5</v>
      </c>
      <c r="G700" s="190">
        <f>IFERROR(__xludf.DUMMYFUNCTION("""COMPUTED_VALUE"""),9.0)</f>
        <v>9</v>
      </c>
      <c r="H700" s="191" t="str">
        <f>IFERROR(__xludf.DUMMYFUNCTION("""COMPUTED_VALUE"""),"Smite. *Grants Groundshaper")</f>
        <v>Smite. *Grants Groundshaper</v>
      </c>
      <c r="I700" s="191" t="str">
        <f>IFERROR(__xludf.DUMMYFUNCTION("""COMPUTED_VALUE"""),"--")</f>
        <v>--</v>
      </c>
      <c r="J700" s="190" t="str">
        <f>IFERROR(__xludf.DUMMYFUNCTION("""COMPUTED_VALUE"""),"Tier 2")</f>
        <v>Tier 2</v>
      </c>
      <c r="K700" s="174" t="b">
        <f>IFERROR(__xludf.DUMMYFUNCTION("""COMPUTED_VALUE"""),TRUE)</f>
        <v>1</v>
      </c>
      <c r="L700" s="174"/>
      <c r="M700" s="174"/>
      <c r="N700" s="174"/>
      <c r="O700" s="174"/>
      <c r="P700" s="174"/>
      <c r="Q700" s="174"/>
      <c r="R700" s="174"/>
      <c r="S700" s="174"/>
      <c r="T700" s="174"/>
      <c r="U700" s="174"/>
      <c r="V700" s="174"/>
      <c r="W700" s="174"/>
      <c r="X700" s="174"/>
      <c r="Y700" s="174"/>
      <c r="Z700" s="174"/>
    </row>
    <row r="701">
      <c r="A701" s="190" t="str">
        <f>IFERROR(__xludf.DUMMYFUNCTION("""COMPUTED_VALUE"""),"Dust Cloud")</f>
        <v>Dust Cloud</v>
      </c>
      <c r="B701" s="190" t="str">
        <f>IFERROR(__xludf.DUMMYFUNCTION("""COMPUTED_VALUE"""),"Ground")</f>
        <v>Ground</v>
      </c>
      <c r="C701" s="190" t="str">
        <f>IFERROR(__xludf.DUMMYFUNCTION("""COMPUTED_VALUE"""),"Status")</f>
        <v>Status</v>
      </c>
      <c r="D701" s="190" t="str">
        <f>IFERROR(__xludf.DUMMYFUNCTION("""COMPUTED_VALUE"""),"EOT")</f>
        <v>EOT</v>
      </c>
      <c r="E701" s="190" t="str">
        <f>IFERROR(__xludf.DUMMYFUNCTION("""COMPUTED_VALUE"""),"5, Ranged Blast 3, Hazard, Versatile")</f>
        <v>5, Ranged Blast 3, Hazard, Versatile</v>
      </c>
      <c r="F701" s="190" t="str">
        <f>IFERROR(__xludf.DUMMYFUNCTION("""COMPUTED_VALUE"""),"--")</f>
        <v>--</v>
      </c>
      <c r="G701" s="190" t="str">
        <f>IFERROR(__xludf.DUMMYFUNCTION("""COMPUTED_VALUE"""),"--")</f>
        <v>--</v>
      </c>
      <c r="H701" s="191" t="str">
        <f>IFERROR(__xludf.DUMMYFUNCTION("""COMPUTED_VALUE"""),"Dust Cloud creates Smoke Hazards within the Range of this Attack. All Non-Ground and Rock Type Combatants are Vulnerable while on Smoke Hazards created this way
Smoke Hazard - Smoke Hazards break line of sight. Combatants on a Smoke Hazards are treated a"&amp;"s Untargetable by all other Combatants that aren't in a contiguous Smoke Hazard. Combatants on a Smoke Hazard treat all Combatants that aren't in a contigous Smoke Hazard as if they were Untargetable. These Effects are ignored by Combatants with Tremorsen"&amp;"se or Blindsense. You can still be Untargetable this way even if you were last Round.")</f>
        <v>Dust Cloud creates Smoke Hazards within the Range of this Attack. All Non-Ground and Rock Type Combatants are Vulnerable while on Smoke Hazards created this way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701" s="191" t="str">
        <f>IFERROR(__xludf.DUMMYFUNCTION("""COMPUTED_VALUE"""),"Same as the normal Effects but the Hazards are removed at the end of the Round unless the Weather is Sandstorm")</f>
        <v>Same as the normal Effects but the Hazards are removed at the end of the Round unless the Weather is Sandstorm</v>
      </c>
      <c r="J701" s="190" t="str">
        <f>IFERROR(__xludf.DUMMYFUNCTION("""COMPUTED_VALUE"""),"Tier 1")</f>
        <v>Tier 1</v>
      </c>
      <c r="K701" s="174" t="b">
        <f>IFERROR(__xludf.DUMMYFUNCTION("""COMPUTED_VALUE"""),TRUE)</f>
        <v>1</v>
      </c>
      <c r="L701" s="174"/>
      <c r="M701" s="174"/>
      <c r="N701" s="174"/>
      <c r="O701" s="174"/>
      <c r="P701" s="174"/>
      <c r="Q701" s="174"/>
      <c r="R701" s="174"/>
      <c r="S701" s="174"/>
      <c r="T701" s="174"/>
      <c r="U701" s="174"/>
      <c r="V701" s="174"/>
      <c r="W701" s="174"/>
      <c r="X701" s="174"/>
      <c r="Y701" s="174"/>
      <c r="Z701" s="174"/>
    </row>
    <row r="702">
      <c r="A702" s="190" t="str">
        <f>IFERROR(__xludf.DUMMYFUNCTION("""COMPUTED_VALUE"""),"Dust Storm")</f>
        <v>Dust Storm</v>
      </c>
      <c r="B702" s="190" t="str">
        <f>IFERROR(__xludf.DUMMYFUNCTION("""COMPUTED_VALUE"""),"Ground")</f>
        <v>Ground</v>
      </c>
      <c r="C702" s="190" t="str">
        <f>IFERROR(__xludf.DUMMYFUNCTION("""COMPUTED_VALUE"""),"Status")</f>
        <v>Status</v>
      </c>
      <c r="D702" s="190" t="str">
        <f>IFERROR(__xludf.DUMMYFUNCTION("""COMPUTED_VALUE"""),"Scene x2")</f>
        <v>Scene x2</v>
      </c>
      <c r="E702" s="190" t="str">
        <f>IFERROR(__xludf.DUMMYFUNCTION("""COMPUTED_VALUE"""),"Field, Versatile, Weather")</f>
        <v>Field, Versatile, Weather</v>
      </c>
      <c r="F702" s="190" t="str">
        <f>IFERROR(__xludf.DUMMYFUNCTION("""COMPUTED_VALUE"""),"--")</f>
        <v>--</v>
      </c>
      <c r="G702" s="190" t="str">
        <f>IFERROR(__xludf.DUMMYFUNCTION("""COMPUTED_VALUE"""),"--")</f>
        <v>--</v>
      </c>
      <c r="H702" s="191" t="str">
        <f>IFERROR(__xludf.DUMMYFUNCTION("""COMPUTED_VALUE"""),"The Field becomes Dusty for the next 5 Rounds. While the Field is Dusty, non Ground Type Enemies lose a Tick of Hit Points at the start of their Turn and Ground Type Pokemon gain a Tick of Temporary Hit Points at the start of their Turn. While the Field i"&amp;"s Dusty, the Weather becomes Sandstorm.")</f>
        <v>The Field becomes Dusty for the next 5 Rounds. While the Field is Dusty, non Ground Type Enemies lose a Tick of Hit Points at the start of their Turn and Ground Type Pokemon gain a Tick of Temporary Hit Points at the start of their Turn. While the Field is Dusty, the Weather becomes Sandstorm.</v>
      </c>
      <c r="I702"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02" s="190" t="str">
        <f>IFERROR(__xludf.DUMMYFUNCTION("""COMPUTED_VALUE"""),"Tier 2")</f>
        <v>Tier 2</v>
      </c>
      <c r="K702" s="174" t="b">
        <f>IFERROR(__xludf.DUMMYFUNCTION("""COMPUTED_VALUE"""),TRUE)</f>
        <v>1</v>
      </c>
      <c r="L702" s="174"/>
      <c r="M702" s="174"/>
      <c r="N702" s="174"/>
      <c r="O702" s="174"/>
      <c r="P702" s="174"/>
      <c r="Q702" s="174"/>
      <c r="R702" s="174"/>
      <c r="S702" s="174"/>
      <c r="T702" s="174"/>
      <c r="U702" s="174"/>
      <c r="V702" s="174"/>
      <c r="W702" s="174"/>
      <c r="X702" s="174"/>
      <c r="Y702" s="174"/>
      <c r="Z702" s="174"/>
    </row>
    <row r="703">
      <c r="A703" s="190" t="str">
        <f>IFERROR(__xludf.DUMMYFUNCTION("""COMPUTED_VALUE"""),"Dusty Day")</f>
        <v>Dusty Day</v>
      </c>
      <c r="B703" s="190" t="str">
        <f>IFERROR(__xludf.DUMMYFUNCTION("""COMPUTED_VALUE"""),"Ground")</f>
        <v>Ground</v>
      </c>
      <c r="C703" s="190" t="str">
        <f>IFERROR(__xludf.DUMMYFUNCTION("""COMPUTED_VALUE"""),"Status")</f>
        <v>Status</v>
      </c>
      <c r="D703" s="190" t="str">
        <f>IFERROR(__xludf.DUMMYFUNCTION("""COMPUTED_VALUE"""),"Scene x2")</f>
        <v>Scene x2</v>
      </c>
      <c r="E703" s="190" t="str">
        <f>IFERROR(__xludf.DUMMYFUNCTION("""COMPUTED_VALUE"""),"Field, Blessing, Versatile, Weather")</f>
        <v>Field, Blessing, Versatile, Weather</v>
      </c>
      <c r="F703" s="190" t="str">
        <f>IFERROR(__xludf.DUMMYFUNCTION("""COMPUTED_VALUE"""),"--")</f>
        <v>--</v>
      </c>
      <c r="G703" s="190" t="str">
        <f>IFERROR(__xludf.DUMMYFUNCTION("""COMPUTED_VALUE"""),"--")</f>
        <v>--</v>
      </c>
      <c r="H703" s="191" t="str">
        <f>IFERROR(__xludf.DUMMYFUNCTION("""COMPUTED_VALUE"""),"Blessing - Any user affected by Dusty Day may activate it as a Free Action when using a Ground Type Damaging Attack to grant it the Smite Keyword. If the Attack hits, it hits, it is also increased by one damage step. (Max 1.5x Effectiveness). Dusty Day ma"&amp;"y be Activated 3 times and then disappears. While this Blessing persists, the Weather becomes Sandstorm.")</f>
        <v>Blessing - Any user affected by Dusty Day may activate it as a Free Action when using a Ground Type Damaging Attack to grant it the Smite Keyword. If the Attack hits, it hits, it is also increased by one damage step. (Max 1.5x Effectiveness). Dusty Day may be Activated 3 times and then disappears. While this Blessing persists, the Weather becomes Sandstorm.</v>
      </c>
      <c r="I703" s="191" t="str">
        <f>IFERROR(__xludf.DUMMYFUNCTION("""COMPUTED_VALUE"""),"Same as the normal Effect, but it only has 1 Activation.")</f>
        <v>Same as the normal Effect, but it only has 1 Activation.</v>
      </c>
      <c r="J703" s="190" t="str">
        <f>IFERROR(__xludf.DUMMYFUNCTION("""COMPUTED_VALUE"""),"Tier 2")</f>
        <v>Tier 2</v>
      </c>
      <c r="K703" s="174" t="b">
        <f>IFERROR(__xludf.DUMMYFUNCTION("""COMPUTED_VALUE"""),TRUE)</f>
        <v>1</v>
      </c>
      <c r="L703" s="174"/>
      <c r="M703" s="174"/>
      <c r="N703" s="174"/>
      <c r="O703" s="174"/>
      <c r="P703" s="174"/>
      <c r="Q703" s="174"/>
      <c r="R703" s="174"/>
      <c r="S703" s="174"/>
      <c r="T703" s="174"/>
      <c r="U703" s="174"/>
      <c r="V703" s="174"/>
      <c r="W703" s="174"/>
      <c r="X703" s="174"/>
      <c r="Y703" s="174"/>
      <c r="Z703" s="174"/>
    </row>
    <row r="704">
      <c r="A704" s="190" t="str">
        <f>IFERROR(__xludf.DUMMYFUNCTION("""COMPUTED_VALUE"""),"Earth Power")</f>
        <v>Earth Power</v>
      </c>
      <c r="B704" s="190" t="str">
        <f>IFERROR(__xludf.DUMMYFUNCTION("""COMPUTED_VALUE"""),"Ground")</f>
        <v>Ground</v>
      </c>
      <c r="C704" s="190" t="str">
        <f>IFERROR(__xludf.DUMMYFUNCTION("""COMPUTED_VALUE"""),"Special")</f>
        <v>Special</v>
      </c>
      <c r="D704" s="190" t="str">
        <f>IFERROR(__xludf.DUMMYFUNCTION("""COMPUTED_VALUE"""),"EOT")</f>
        <v>EOT</v>
      </c>
      <c r="E704" s="190" t="str">
        <f>IFERROR(__xludf.DUMMYFUNCTION("""COMPUTED_VALUE"""),"6, 1 Target, Groundsource")</f>
        <v>6, 1 Target, Groundsource</v>
      </c>
      <c r="F704" s="190">
        <f>IFERROR(__xludf.DUMMYFUNCTION("""COMPUTED_VALUE"""),4.0)</f>
        <v>4</v>
      </c>
      <c r="G704" s="190">
        <f>IFERROR(__xludf.DUMMYFUNCTION("""COMPUTED_VALUE"""),9.0)</f>
        <v>9</v>
      </c>
      <c r="H704" s="191" t="str">
        <f>IFERROR(__xludf.DUMMYFUNCTION("""COMPUTED_VALUE"""),"On a roll of 17+, the Target becomes Tripped. *Grants Groundshaper")</f>
        <v>On a roll of 17+, the Target becomes Tripped. *Grants Groundshaper</v>
      </c>
      <c r="I704" s="191" t="str">
        <f>IFERROR(__xludf.DUMMYFUNCTION("""COMPUTED_VALUE"""),"--")</f>
        <v>--</v>
      </c>
      <c r="J704" s="190" t="str">
        <f>IFERROR(__xludf.DUMMYFUNCTION("""COMPUTED_VALUE"""),"Tier 2")</f>
        <v>Tier 2</v>
      </c>
      <c r="K704" s="174" t="b">
        <f>IFERROR(__xludf.DUMMYFUNCTION("""COMPUTED_VALUE"""),TRUE)</f>
        <v>1</v>
      </c>
      <c r="L704" s="174"/>
      <c r="M704" s="174"/>
      <c r="N704" s="174"/>
      <c r="O704" s="174"/>
      <c r="P704" s="174"/>
      <c r="Q704" s="174"/>
      <c r="R704" s="174"/>
      <c r="S704" s="174"/>
      <c r="T704" s="174"/>
      <c r="U704" s="174"/>
      <c r="V704" s="174"/>
      <c r="W704" s="174"/>
      <c r="X704" s="174"/>
      <c r="Y704" s="174"/>
      <c r="Z704" s="174"/>
    </row>
    <row r="705">
      <c r="A705" s="190" t="str">
        <f>IFERROR(__xludf.DUMMYFUNCTION("""COMPUTED_VALUE"""),"Earth Shard")</f>
        <v>Earth Shard</v>
      </c>
      <c r="B705" s="190" t="str">
        <f>IFERROR(__xludf.DUMMYFUNCTION("""COMPUTED_VALUE"""),"Ground")</f>
        <v>Ground</v>
      </c>
      <c r="C705" s="190" t="str">
        <f>IFERROR(__xludf.DUMMYFUNCTION("""COMPUTED_VALUE"""),"Physical")</f>
        <v>Physical</v>
      </c>
      <c r="D705" s="190" t="str">
        <f>IFERROR(__xludf.DUMMYFUNCTION("""COMPUTED_VALUE"""),"At-Will")</f>
        <v>At-Will</v>
      </c>
      <c r="E705" s="190" t="str">
        <f>IFERROR(__xludf.DUMMYFUNCTION("""COMPUTED_VALUE"""),"6, 1 Target, Priority")</f>
        <v>6, 1 Target, Priority</v>
      </c>
      <c r="F705" s="190">
        <f>IFERROR(__xludf.DUMMYFUNCTION("""COMPUTED_VALUE"""),3.0)</f>
        <v>3</v>
      </c>
      <c r="G705" s="190">
        <f>IFERROR(__xludf.DUMMYFUNCTION("""COMPUTED_VALUE"""),4.0)</f>
        <v>4</v>
      </c>
      <c r="H705" s="191" t="str">
        <f>IFERROR(__xludf.DUMMYFUNCTION("""COMPUTED_VALUE"""),"--")</f>
        <v>--</v>
      </c>
      <c r="I705" s="191" t="str">
        <f>IFERROR(__xludf.DUMMYFUNCTION("""COMPUTED_VALUE"""),"--")</f>
        <v>--</v>
      </c>
      <c r="J705" s="190" t="str">
        <f>IFERROR(__xludf.DUMMYFUNCTION("""COMPUTED_VALUE"""),"Tier 1")</f>
        <v>Tier 1</v>
      </c>
      <c r="K705" s="174" t="b">
        <f>IFERROR(__xludf.DUMMYFUNCTION("""COMPUTED_VALUE"""),TRUE)</f>
        <v>1</v>
      </c>
      <c r="L705" s="174"/>
      <c r="M705" s="174"/>
      <c r="N705" s="174"/>
      <c r="O705" s="174"/>
      <c r="P705" s="174"/>
      <c r="Q705" s="174"/>
      <c r="R705" s="174"/>
      <c r="S705" s="174"/>
      <c r="T705" s="174"/>
      <c r="U705" s="174"/>
      <c r="V705" s="174"/>
      <c r="W705" s="174"/>
      <c r="X705" s="174"/>
      <c r="Y705" s="174"/>
      <c r="Z705" s="174"/>
    </row>
    <row r="706">
      <c r="A706" s="190" t="str">
        <f>IFERROR(__xludf.DUMMYFUNCTION("""COMPUTED_VALUE"""),"Earthquake")</f>
        <v>Earthquake</v>
      </c>
      <c r="B706" s="190" t="str">
        <f>IFERROR(__xludf.DUMMYFUNCTION("""COMPUTED_VALUE"""),"Ground")</f>
        <v>Ground</v>
      </c>
      <c r="C706" s="190" t="str">
        <f>IFERROR(__xludf.DUMMYFUNCTION("""COMPUTED_VALUE"""),"Physical")</f>
        <v>Physical</v>
      </c>
      <c r="D706" s="190" t="str">
        <f>IFERROR(__xludf.DUMMYFUNCTION("""COMPUTED_VALUE"""),"Scene x2")</f>
        <v>Scene x2</v>
      </c>
      <c r="E706" s="190" t="str">
        <f>IFERROR(__xludf.DUMMYFUNCTION("""COMPUTED_VALUE"""),"Burst 1 or Burst 2 or Burst 3; Full Action, Groundsource")</f>
        <v>Burst 1 or Burst 2 or Burst 3; Full Action, Groundsource</v>
      </c>
      <c r="F706" s="190">
        <f>IFERROR(__xludf.DUMMYFUNCTION("""COMPUTED_VALUE"""),7.0)</f>
        <v>7</v>
      </c>
      <c r="G706" s="190">
        <f>IFERROR(__xludf.DUMMYFUNCTION("""COMPUTED_VALUE"""),10.0)</f>
        <v>10</v>
      </c>
      <c r="H706" s="191" t="str">
        <f>IFERROR(__xludf.DUMMYFUNCTION("""COMPUTED_VALUE"""),"Smite. *Grants Groundshaper")</f>
        <v>Smite. *Grants Groundshaper</v>
      </c>
      <c r="I706" s="191" t="str">
        <f>IFERROR(__xludf.DUMMYFUNCTION("""COMPUTED_VALUE"""),"--")</f>
        <v>--</v>
      </c>
      <c r="J706" s="190" t="str">
        <f>IFERROR(__xludf.DUMMYFUNCTION("""COMPUTED_VALUE"""),"Tier 3")</f>
        <v>Tier 3</v>
      </c>
      <c r="K706" s="174" t="b">
        <f>IFERROR(__xludf.DUMMYFUNCTION("""COMPUTED_VALUE"""),TRUE)</f>
        <v>1</v>
      </c>
      <c r="L706" s="174"/>
      <c r="M706" s="174"/>
      <c r="N706" s="174"/>
      <c r="O706" s="174"/>
      <c r="P706" s="174"/>
      <c r="Q706" s="174"/>
      <c r="R706" s="174"/>
      <c r="S706" s="174"/>
      <c r="T706" s="174"/>
      <c r="U706" s="174"/>
      <c r="V706" s="174"/>
      <c r="W706" s="174"/>
      <c r="X706" s="174"/>
      <c r="Y706" s="174"/>
      <c r="Z706" s="174"/>
    </row>
    <row r="707">
      <c r="A707" s="190" t="str">
        <f>IFERROR(__xludf.DUMMYFUNCTION("""COMPUTED_VALUE"""),"Headlong Rush")</f>
        <v>Headlong Rush</v>
      </c>
      <c r="B707" s="190" t="str">
        <f>IFERROR(__xludf.DUMMYFUNCTION("""COMPUTED_VALUE"""),"Ground")</f>
        <v>Ground</v>
      </c>
      <c r="C707" s="190" t="str">
        <f>IFERROR(__xludf.DUMMYFUNCTION("""COMPUTED_VALUE"""),"Physical")</f>
        <v>Physical</v>
      </c>
      <c r="D707" s="190" t="str">
        <f>IFERROR(__xludf.DUMMYFUNCTION("""COMPUTED_VALUE"""),"Scene x2")</f>
        <v>Scene x2</v>
      </c>
      <c r="E707" s="190" t="str">
        <f>IFERROR(__xludf.DUMMYFUNCTION("""COMPUTED_VALUE"""),"Melee, 1 Target, Dash, Reckless")</f>
        <v>Melee, 1 Target, Dash, Reckless</v>
      </c>
      <c r="F707" s="190">
        <f>IFERROR(__xludf.DUMMYFUNCTION("""COMPUTED_VALUE"""),4.0)</f>
        <v>4</v>
      </c>
      <c r="G707" s="190">
        <f>IFERROR(__xludf.DUMMYFUNCTION("""COMPUTED_VALUE"""),12.0)</f>
        <v>12</v>
      </c>
      <c r="H707" s="191" t="str">
        <f>IFERROR(__xludf.DUMMYFUNCTION("""COMPUTED_VALUE"""),"If the Dash Keyword is Activated, both the user and the Target lose -3 CS in Defense. Smite. ")</f>
        <v>If the Dash Keyword is Activated, both the user and the Target lose -3 CS in Defense. Smite. </v>
      </c>
      <c r="I707" s="191" t="str">
        <f>IFERROR(__xludf.DUMMYFUNCTION("""COMPUTED_VALUE"""),"--")</f>
        <v>--</v>
      </c>
      <c r="J707" s="190" t="str">
        <f>IFERROR(__xludf.DUMMYFUNCTION("""COMPUTED_VALUE"""),"Tier 3")</f>
        <v>Tier 3</v>
      </c>
      <c r="K707" s="174" t="b">
        <f>IFERROR(__xludf.DUMMYFUNCTION("""COMPUTED_VALUE"""),TRUE)</f>
        <v>1</v>
      </c>
      <c r="L707" s="174"/>
      <c r="M707" s="174"/>
      <c r="N707" s="174"/>
      <c r="O707" s="174"/>
      <c r="P707" s="174"/>
      <c r="Q707" s="174"/>
      <c r="R707" s="174"/>
      <c r="S707" s="174"/>
      <c r="T707" s="174"/>
      <c r="U707" s="174"/>
      <c r="V707" s="174"/>
      <c r="W707" s="174"/>
      <c r="X707" s="174"/>
      <c r="Y707" s="174"/>
      <c r="Z707" s="174"/>
    </row>
    <row r="708">
      <c r="A708" s="190" t="str">
        <f>IFERROR(__xludf.DUMMYFUNCTION("""COMPUTED_VALUE"""),"High Horsepower")</f>
        <v>High Horsepower</v>
      </c>
      <c r="B708" s="190" t="str">
        <f>IFERROR(__xludf.DUMMYFUNCTION("""COMPUTED_VALUE"""),"Ground")</f>
        <v>Ground</v>
      </c>
      <c r="C708" s="190" t="str">
        <f>IFERROR(__xludf.DUMMYFUNCTION("""COMPUTED_VALUE"""),"Physical")</f>
        <v>Physical</v>
      </c>
      <c r="D708" s="190" t="str">
        <f>IFERROR(__xludf.DUMMYFUNCTION("""COMPUTED_VALUE"""),"Scene x2")</f>
        <v>Scene x2</v>
      </c>
      <c r="E708" s="190" t="str">
        <f>IFERROR(__xludf.DUMMYFUNCTION("""COMPUTED_VALUE"""),"Melee, 1 Target, Dash")</f>
        <v>Melee, 1 Target, Dash</v>
      </c>
      <c r="F708" s="190">
        <f>IFERROR(__xludf.DUMMYFUNCTION("""COMPUTED_VALUE"""),3.0)</f>
        <v>3</v>
      </c>
      <c r="G708" s="190">
        <f>IFERROR(__xludf.DUMMYFUNCTION("""COMPUTED_VALUE"""),10.0)</f>
        <v>10</v>
      </c>
      <c r="H708" s="191" t="str">
        <f>IFERROR(__xludf.DUMMYFUNCTION("""COMPUTED_VALUE"""),"If the Dash Keyword is Activated, High Horsepower has the Smite Keyword.")</f>
        <v>If the Dash Keyword is Activated, High Horsepower has the Smite Keyword.</v>
      </c>
      <c r="I708" s="191" t="str">
        <f>IFERROR(__xludf.DUMMYFUNCTION("""COMPUTED_VALUE"""),"--")</f>
        <v>--</v>
      </c>
      <c r="J708" s="190" t="str">
        <f>IFERROR(__xludf.DUMMYFUNCTION("""COMPUTED_VALUE"""),"Tier 3")</f>
        <v>Tier 3</v>
      </c>
      <c r="K708" s="174" t="b">
        <f>IFERROR(__xludf.DUMMYFUNCTION("""COMPUTED_VALUE"""),TRUE)</f>
        <v>1</v>
      </c>
      <c r="L708" s="174"/>
      <c r="M708" s="174"/>
      <c r="N708" s="174"/>
      <c r="O708" s="174"/>
      <c r="P708" s="174"/>
      <c r="Q708" s="174"/>
      <c r="R708" s="174"/>
      <c r="S708" s="174"/>
      <c r="T708" s="174"/>
      <c r="U708" s="174"/>
      <c r="V708" s="174"/>
      <c r="W708" s="174"/>
      <c r="X708" s="174"/>
      <c r="Y708" s="174"/>
      <c r="Z708" s="174"/>
    </row>
    <row r="709">
      <c r="A709" s="190" t="str">
        <f>IFERROR(__xludf.DUMMYFUNCTION("""COMPUTED_VALUE"""),"Landslide")</f>
        <v>Landslide</v>
      </c>
      <c r="B709" s="190" t="str">
        <f>IFERROR(__xludf.DUMMYFUNCTION("""COMPUTED_VALUE"""),"Ground")</f>
        <v>Ground</v>
      </c>
      <c r="C709" s="190" t="str">
        <f>IFERROR(__xludf.DUMMYFUNCTION("""COMPUTED_VALUE"""),"Physical")</f>
        <v>Physical</v>
      </c>
      <c r="D709" s="190" t="str">
        <f>IFERROR(__xludf.DUMMYFUNCTION("""COMPUTED_VALUE"""),"EOT")</f>
        <v>EOT</v>
      </c>
      <c r="E709" s="190" t="str">
        <f>IFERROR(__xludf.DUMMYFUNCTION("""COMPUTED_VALUE"""),"6, Ranged Blast 2, Full Action")</f>
        <v>6, Ranged Blast 2, Full Action</v>
      </c>
      <c r="F709" s="190">
        <f>IFERROR(__xludf.DUMMYFUNCTION("""COMPUTED_VALUE"""),5.0)</f>
        <v>5</v>
      </c>
      <c r="G709" s="190">
        <f>IFERROR(__xludf.DUMMYFUNCTION("""COMPUTED_VALUE"""),8.0)</f>
        <v>8</v>
      </c>
      <c r="H709" s="191" t="str">
        <f>IFERROR(__xludf.DUMMYFUNCTION("""COMPUTED_VALUE"""),"You may create Blocking Terrain [Breakable - Dense], in all unoccupied spaces in the Range of this Attack. If the user is Large Size+, the Blocking Terrain created this way is Large, otherside it is Small. Spirit Surge.")</f>
        <v>You may create Blocking Terrain [Breakable - Dense], in all unoccupied spaces in the Range of this Attack. If the user is Large Size+, the Blocking Terrain created this way is Large, otherside it is Small. Spirit Surge.</v>
      </c>
      <c r="I709" s="191" t="str">
        <f>IFERROR(__xludf.DUMMYFUNCTION("""COMPUTED_VALUE"""),"--")</f>
        <v>--</v>
      </c>
      <c r="J709" s="190" t="str">
        <f>IFERROR(__xludf.DUMMYFUNCTION("""COMPUTED_VALUE"""),"Tier 2")</f>
        <v>Tier 2</v>
      </c>
      <c r="K709" s="174" t="b">
        <f>IFERROR(__xludf.DUMMYFUNCTION("""COMPUTED_VALUE"""),TRUE)</f>
        <v>1</v>
      </c>
      <c r="L709" s="174"/>
      <c r="M709" s="174"/>
      <c r="N709" s="174"/>
      <c r="O709" s="174"/>
      <c r="P709" s="174"/>
      <c r="Q709" s="174"/>
      <c r="R709" s="174"/>
      <c r="S709" s="174"/>
      <c r="T709" s="174"/>
      <c r="U709" s="174"/>
      <c r="V709" s="174"/>
      <c r="W709" s="174"/>
      <c r="X709" s="174"/>
      <c r="Y709" s="174"/>
      <c r="Z709" s="174"/>
    </row>
    <row r="710">
      <c r="A710" s="190" t="str">
        <f>IFERROR(__xludf.DUMMYFUNCTION("""COMPUTED_VALUE"""),"Magnitude")</f>
        <v>Magnitude</v>
      </c>
      <c r="B710" s="190" t="str">
        <f>IFERROR(__xludf.DUMMYFUNCTION("""COMPUTED_VALUE"""),"Ground")</f>
        <v>Ground</v>
      </c>
      <c r="C710" s="190" t="str">
        <f>IFERROR(__xludf.DUMMYFUNCTION("""COMPUTED_VALUE"""),"Physical")</f>
        <v>Physical</v>
      </c>
      <c r="D710" s="190" t="str">
        <f>IFERROR(__xludf.DUMMYFUNCTION("""COMPUTED_VALUE"""),"EOT")</f>
        <v>EOT</v>
      </c>
      <c r="E710" s="190" t="str">
        <f>IFERROR(__xludf.DUMMYFUNCTION("""COMPUTED_VALUE"""),"Burst 1 or Burst 2; Full Action, Groundsource")</f>
        <v>Burst 1 or Burst 2; Full Action, Groundsource</v>
      </c>
      <c r="F710" s="190">
        <f>IFERROR(__xludf.DUMMYFUNCTION("""COMPUTED_VALUE"""),6.0)</f>
        <v>6</v>
      </c>
      <c r="G710" s="190" t="str">
        <f>IFERROR(__xludf.DUMMYFUNCTION("""COMPUTED_VALUE"""),"X, See Effect")</f>
        <v>X, See Effect</v>
      </c>
      <c r="H710" s="191" t="str">
        <f>IFERROR(__xludf.DUMMYFUNCTION("""COMPUTED_VALUE"""),"When you use Magnitude, roll a d10. Magnitude’s Damage Base is equal to 3+X, where X is the value of the d10.  *Grants: Groundshaper")</f>
        <v>When you use Magnitude, roll a d10. Magnitude’s Damage Base is equal to 3+X, where X is the value of the d10.  *Grants: Groundshaper</v>
      </c>
      <c r="I710" s="191" t="str">
        <f>IFERROR(__xludf.DUMMYFUNCTION("""COMPUTED_VALUE"""),"--")</f>
        <v>--</v>
      </c>
      <c r="J710" s="190" t="str">
        <f>IFERROR(__xludf.DUMMYFUNCTION("""COMPUTED_VALUE"""),"Tier 2")</f>
        <v>Tier 2</v>
      </c>
      <c r="K710" s="174" t="b">
        <f>IFERROR(__xludf.DUMMYFUNCTION("""COMPUTED_VALUE"""),TRUE)</f>
        <v>1</v>
      </c>
      <c r="L710" s="174"/>
      <c r="M710" s="174"/>
      <c r="N710" s="174"/>
      <c r="O710" s="174"/>
      <c r="P710" s="174"/>
      <c r="Q710" s="174"/>
      <c r="R710" s="174"/>
      <c r="S710" s="174"/>
      <c r="T710" s="174"/>
      <c r="U710" s="174"/>
      <c r="V710" s="174"/>
      <c r="W710" s="174"/>
      <c r="X710" s="174"/>
      <c r="Y710" s="174"/>
      <c r="Z710" s="174"/>
    </row>
    <row r="711">
      <c r="A711" s="190" t="str">
        <f>IFERROR(__xludf.DUMMYFUNCTION("""COMPUTED_VALUE"""),"Mud Bomb")</f>
        <v>Mud Bomb</v>
      </c>
      <c r="B711" s="190" t="str">
        <f>IFERROR(__xludf.DUMMYFUNCTION("""COMPUTED_VALUE"""),"Ground")</f>
        <v>Ground</v>
      </c>
      <c r="C711" s="190" t="str">
        <f>IFERROR(__xludf.DUMMYFUNCTION("""COMPUTED_VALUE"""),"Special")</f>
        <v>Special</v>
      </c>
      <c r="D711" s="190" t="str">
        <f>IFERROR(__xludf.DUMMYFUNCTION("""COMPUTED_VALUE"""),"EOT")</f>
        <v>EOT</v>
      </c>
      <c r="E711" s="190" t="str">
        <f>IFERROR(__xludf.DUMMYFUNCTION("""COMPUTED_VALUE"""),"4, 1 Target or Burst 1")</f>
        <v>4, 1 Target or Burst 1</v>
      </c>
      <c r="F711" s="190">
        <f>IFERROR(__xludf.DUMMYFUNCTION("""COMPUTED_VALUE"""),4.0)</f>
        <v>4</v>
      </c>
      <c r="G711" s="190">
        <f>IFERROR(__xludf.DUMMYFUNCTION("""COMPUTED_VALUE"""),7.0)</f>
        <v>7</v>
      </c>
      <c r="H711" s="191" t="str">
        <f>IFERROR(__xludf.DUMMYFUNCTION("""COMPUTED_VALUE"""),"This Attack may originate from any Enemy with a Mud Coat. If it does, the Mud Coat is destroyed and they lose a Tick of Hit Points per Mud Counter they had. Spirit Surge")</f>
        <v>This Attack may originate from any Enemy with a Mud Coat. If it does, the Mud Coat is destroyed and they lose a Tick of Hit Points per Mud Counter they had. Spirit Surge</v>
      </c>
      <c r="I711" s="191" t="str">
        <f>IFERROR(__xludf.DUMMYFUNCTION("""COMPUTED_VALUE"""),"--")</f>
        <v>--</v>
      </c>
      <c r="J711" s="190" t="str">
        <f>IFERROR(__xludf.DUMMYFUNCTION("""COMPUTED_VALUE"""),"Tier 1")</f>
        <v>Tier 1</v>
      </c>
      <c r="K711" s="174" t="b">
        <f>IFERROR(__xludf.DUMMYFUNCTION("""COMPUTED_VALUE"""),TRUE)</f>
        <v>1</v>
      </c>
      <c r="L711" s="174"/>
      <c r="M711" s="174"/>
      <c r="N711" s="174"/>
      <c r="O711" s="174"/>
      <c r="P711" s="174"/>
      <c r="Q711" s="174"/>
      <c r="R711" s="174"/>
      <c r="S711" s="174"/>
      <c r="T711" s="174"/>
      <c r="U711" s="174"/>
      <c r="V711" s="174"/>
      <c r="W711" s="174"/>
      <c r="X711" s="174"/>
      <c r="Y711" s="174"/>
      <c r="Z711" s="174"/>
    </row>
    <row r="712">
      <c r="A712" s="190" t="str">
        <f>IFERROR(__xludf.DUMMYFUNCTION("""COMPUTED_VALUE"""),"Mud Hurl")</f>
        <v>Mud Hurl</v>
      </c>
      <c r="B712" s="190" t="str">
        <f>IFERROR(__xludf.DUMMYFUNCTION("""COMPUTED_VALUE"""),"Ground")</f>
        <v>Ground</v>
      </c>
      <c r="C712" s="190" t="str">
        <f>IFERROR(__xludf.DUMMYFUNCTION("""COMPUTED_VALUE"""),"Special")</f>
        <v>Special</v>
      </c>
      <c r="D712" s="190" t="str">
        <f>IFERROR(__xludf.DUMMYFUNCTION("""COMPUTED_VALUE"""),"At-Will")</f>
        <v>At-Will</v>
      </c>
      <c r="E712" s="190" t="str">
        <f>IFERROR(__xludf.DUMMYFUNCTION("""COMPUTED_VALUE"""),"4, 1 Target, Coat")</f>
        <v>4, 1 Target, Coat</v>
      </c>
      <c r="F712" s="190">
        <f>IFERROR(__xludf.DUMMYFUNCTION("""COMPUTED_VALUE"""),2.0)</f>
        <v>2</v>
      </c>
      <c r="G712" s="190">
        <f>IFERROR(__xludf.DUMMYFUNCTION("""COMPUTED_VALUE"""),4.0)</f>
        <v>4</v>
      </c>
      <c r="H712" s="191"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2" s="191" t="str">
        <f>IFERROR(__xludf.DUMMYFUNCTION("""COMPUTED_VALUE"""),"--")</f>
        <v>--</v>
      </c>
      <c r="J712" s="190" t="str">
        <f>IFERROR(__xludf.DUMMYFUNCTION("""COMPUTED_VALUE"""),"Tier 1")</f>
        <v>Tier 1</v>
      </c>
      <c r="K712" s="174" t="b">
        <f>IFERROR(__xludf.DUMMYFUNCTION("""COMPUTED_VALUE"""),TRUE)</f>
        <v>1</v>
      </c>
      <c r="L712" s="174"/>
      <c r="M712" s="174"/>
      <c r="N712" s="174"/>
      <c r="O712" s="174"/>
      <c r="P712" s="174"/>
      <c r="Q712" s="174"/>
      <c r="R712" s="174"/>
      <c r="S712" s="174"/>
      <c r="T712" s="174"/>
      <c r="U712" s="174"/>
      <c r="V712" s="174"/>
      <c r="W712" s="174"/>
      <c r="X712" s="174"/>
      <c r="Y712" s="174"/>
      <c r="Z712" s="174"/>
    </row>
    <row r="713">
      <c r="A713" s="190" t="str">
        <f>IFERROR(__xludf.DUMMYFUNCTION("""COMPUTED_VALUE"""),"Mud Shot")</f>
        <v>Mud Shot</v>
      </c>
      <c r="B713" s="190" t="str">
        <f>IFERROR(__xludf.DUMMYFUNCTION("""COMPUTED_VALUE"""),"Ground")</f>
        <v>Ground</v>
      </c>
      <c r="C713" s="190" t="str">
        <f>IFERROR(__xludf.DUMMYFUNCTION("""COMPUTED_VALUE"""),"Special")</f>
        <v>Special</v>
      </c>
      <c r="D713" s="190" t="str">
        <f>IFERROR(__xludf.DUMMYFUNCTION("""COMPUTED_VALUE"""),"At-Will")</f>
        <v>At-Will</v>
      </c>
      <c r="E713" s="190" t="str">
        <f>IFERROR(__xludf.DUMMYFUNCTION("""COMPUTED_VALUE"""),"Line 3, Coat")</f>
        <v>Line 3, Coat</v>
      </c>
      <c r="F713" s="190">
        <f>IFERROR(__xludf.DUMMYFUNCTION("""COMPUTED_VALUE"""),5.0)</f>
        <v>5</v>
      </c>
      <c r="G713" s="190">
        <f>IFERROR(__xludf.DUMMYFUNCTION("""COMPUTED_VALUE"""),6.0)</f>
        <v>6</v>
      </c>
      <c r="H713" s="191"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3" s="191" t="str">
        <f>IFERROR(__xludf.DUMMYFUNCTION("""COMPUTED_VALUE"""),"--")</f>
        <v>--</v>
      </c>
      <c r="J713" s="190" t="str">
        <f>IFERROR(__xludf.DUMMYFUNCTION("""COMPUTED_VALUE"""),"Tier 1")</f>
        <v>Tier 1</v>
      </c>
      <c r="K713" s="174" t="b">
        <f>IFERROR(__xludf.DUMMYFUNCTION("""COMPUTED_VALUE"""),TRUE)</f>
        <v>1</v>
      </c>
      <c r="L713" s="174"/>
      <c r="M713" s="174"/>
      <c r="N713" s="174"/>
      <c r="O713" s="174"/>
      <c r="P713" s="174"/>
      <c r="Q713" s="174"/>
      <c r="R713" s="174"/>
      <c r="S713" s="174"/>
      <c r="T713" s="174"/>
      <c r="U713" s="174"/>
      <c r="V713" s="174"/>
      <c r="W713" s="174"/>
      <c r="X713" s="174"/>
      <c r="Y713" s="174"/>
      <c r="Z713" s="174"/>
    </row>
    <row r="714">
      <c r="A714" s="190" t="str">
        <f>IFERROR(__xludf.DUMMYFUNCTION("""COMPUTED_VALUE"""),"Mud Sport")</f>
        <v>Mud Sport</v>
      </c>
      <c r="B714" s="190" t="str">
        <f>IFERROR(__xludf.DUMMYFUNCTION("""COMPUTED_VALUE"""),"Ground")</f>
        <v>Ground</v>
      </c>
      <c r="C714" s="190" t="str">
        <f>IFERROR(__xludf.DUMMYFUNCTION("""COMPUTED_VALUE"""),"Status")</f>
        <v>Status</v>
      </c>
      <c r="D714" s="190" t="str">
        <f>IFERROR(__xludf.DUMMYFUNCTION("""COMPUTED_VALUE"""),"EOT")</f>
        <v>EOT</v>
      </c>
      <c r="E714" s="190" t="str">
        <f>IFERROR(__xludf.DUMMYFUNCTION("""COMPUTED_VALUE"""),"Burst 1 or Burst 2; Coat, Versatile")</f>
        <v>Burst 1 or Burst 2; Coat, Versatile</v>
      </c>
      <c r="F714" s="190">
        <f>IFERROR(__xludf.DUMMYFUNCTION("""COMPUTED_VALUE"""),5.0)</f>
        <v>5</v>
      </c>
      <c r="G714" s="190" t="str">
        <f>IFERROR(__xludf.DUMMYFUNCTION("""COMPUTED_VALUE"""),"--")</f>
        <v>--</v>
      </c>
      <c r="H714" s="191" t="str">
        <f>IFERROR(__xludf.DUMMYFUNCTION("""COMPUTED_VALUE"""),"All Targets gain a Mud Coat. If this Attack hits and they already had a Mud Coat, roll 1d4 and they gain that many Mud Counters instead.  
Combatants with a Mud Coat start with 1 Mud Counter and gain 1 more each time they would gain a Mud Coat while alre"&amp;"ady having one. They have a -1 Penalty to Accuracy for each Mud Counter they have. As a Swift+Movement Action, they may remove 2 of their Mud Counters. If they would ever result in 0 Mud Counters, the Mud Coat is expended. Spirit Surge")</f>
        <v>All Targets gain a Mud Coat. If this Attack hits and they already had a Mud Coat, roll 1d4 and they gain that many Mud Counters instead.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 Spirit Surge</v>
      </c>
      <c r="I714" s="191" t="str">
        <f>IFERROR(__xludf.DUMMYFUNCTION("""COMPUTED_VALUE"""),"All Targets gain a Mud Coat. When used this way, the Range becomes Burst 1.")</f>
        <v>All Targets gain a Mud Coat. When used this way, the Range becomes Burst 1.</v>
      </c>
      <c r="J714" s="190" t="str">
        <f>IFERROR(__xludf.DUMMYFUNCTION("""COMPUTED_VALUE"""),"Tier 1")</f>
        <v>Tier 1</v>
      </c>
      <c r="K714" s="174" t="b">
        <f>IFERROR(__xludf.DUMMYFUNCTION("""COMPUTED_VALUE"""),TRUE)</f>
        <v>1</v>
      </c>
      <c r="L714" s="174"/>
      <c r="M714" s="174"/>
      <c r="N714" s="174"/>
      <c r="O714" s="174"/>
      <c r="P714" s="174"/>
      <c r="Q714" s="174"/>
      <c r="R714" s="174"/>
      <c r="S714" s="174"/>
      <c r="T714" s="174"/>
      <c r="U714" s="174"/>
      <c r="V714" s="174"/>
      <c r="W714" s="174"/>
      <c r="X714" s="174"/>
      <c r="Y714" s="174"/>
      <c r="Z714" s="174"/>
    </row>
    <row r="715">
      <c r="A715" s="190" t="str">
        <f>IFERROR(__xludf.DUMMYFUNCTION("""COMPUTED_VALUE"""),"Mud-Slap")</f>
        <v>Mud-Slap</v>
      </c>
      <c r="B715" s="190" t="str">
        <f>IFERROR(__xludf.DUMMYFUNCTION("""COMPUTED_VALUE"""),"Ground")</f>
        <v>Ground</v>
      </c>
      <c r="C715" s="190" t="str">
        <f>IFERROR(__xludf.DUMMYFUNCTION("""COMPUTED_VALUE"""),"Special")</f>
        <v>Special</v>
      </c>
      <c r="D715" s="190" t="str">
        <f>IFERROR(__xludf.DUMMYFUNCTION("""COMPUTED_VALUE"""),"At-Will")</f>
        <v>At-Will</v>
      </c>
      <c r="E715" s="190" t="str">
        <f>IFERROR(__xludf.DUMMYFUNCTION("""COMPUTED_VALUE"""),"Close Blast 2, Coat")</f>
        <v>Close Blast 2, Coat</v>
      </c>
      <c r="F715" s="190">
        <f>IFERROR(__xludf.DUMMYFUNCTION("""COMPUTED_VALUE"""),5.0)</f>
        <v>5</v>
      </c>
      <c r="G715" s="190">
        <f>IFERROR(__xludf.DUMMYFUNCTION("""COMPUTED_VALUE"""),4.0)</f>
        <v>4</v>
      </c>
      <c r="H715" s="191"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5" s="191" t="str">
        <f>IFERROR(__xludf.DUMMYFUNCTION("""COMPUTED_VALUE"""),"--")</f>
        <v>--</v>
      </c>
      <c r="J715" s="190" t="str">
        <f>IFERROR(__xludf.DUMMYFUNCTION("""COMPUTED_VALUE"""),"Tier 1")</f>
        <v>Tier 1</v>
      </c>
      <c r="K715" s="174" t="b">
        <f>IFERROR(__xludf.DUMMYFUNCTION("""COMPUTED_VALUE"""),TRUE)</f>
        <v>1</v>
      </c>
      <c r="L715" s="174"/>
      <c r="M715" s="174"/>
      <c r="N715" s="174"/>
      <c r="O715" s="174"/>
      <c r="P715" s="174"/>
      <c r="Q715" s="174"/>
      <c r="R715" s="174"/>
      <c r="S715" s="174"/>
      <c r="T715" s="174"/>
      <c r="U715" s="174"/>
      <c r="V715" s="174"/>
      <c r="W715" s="174"/>
      <c r="X715" s="174"/>
      <c r="Y715" s="174"/>
      <c r="Z715" s="174"/>
    </row>
    <row r="716">
      <c r="A716" s="190" t="str">
        <f>IFERROR(__xludf.DUMMYFUNCTION("""COMPUTED_VALUE"""),"Quicksand")</f>
        <v>Quicksand</v>
      </c>
      <c r="B716" s="190" t="str">
        <f>IFERROR(__xludf.DUMMYFUNCTION("""COMPUTED_VALUE"""),"Ground")</f>
        <v>Ground</v>
      </c>
      <c r="C716" s="190" t="str">
        <f>IFERROR(__xludf.DUMMYFUNCTION("""COMPUTED_VALUE"""),"Special")</f>
        <v>Special</v>
      </c>
      <c r="D716" s="190" t="str">
        <f>IFERROR(__xludf.DUMMYFUNCTION("""COMPUTED_VALUE"""),"EOT")</f>
        <v>EOT</v>
      </c>
      <c r="E716" s="190" t="str">
        <f>IFERROR(__xludf.DUMMYFUNCTION("""COMPUTED_VALUE"""),"3, 1 Target, Groundsource")</f>
        <v>3, 1 Target, Groundsource</v>
      </c>
      <c r="F716" s="190">
        <f>IFERROR(__xludf.DUMMYFUNCTION("""COMPUTED_VALUE"""),4.0)</f>
        <v>4</v>
      </c>
      <c r="G716" s="190">
        <f>IFERROR(__xludf.DUMMYFUNCTION("""COMPUTED_VALUE"""),8.0)</f>
        <v>8</v>
      </c>
      <c r="H716" s="191" t="str">
        <f>IFERROR(__xludf.DUMMYFUNCTION("""COMPUTED_VALUE"""),"On a roll of 15+, the Target becomes Slowed. The Target's Movement Speed is halved until the end of their next Turn. Spirit Surge")</f>
        <v>On a roll of 15+, the Target becomes Slowed. The Target's Movement Speed is halved until the end of their next Turn. Spirit Surge</v>
      </c>
      <c r="I716" s="191" t="str">
        <f>IFERROR(__xludf.DUMMYFUNCTION("""COMPUTED_VALUE"""),"--")</f>
        <v>--</v>
      </c>
      <c r="J716" s="190" t="str">
        <f>IFERROR(__xludf.DUMMYFUNCTION("""COMPUTED_VALUE"""),"Tier 2")</f>
        <v>Tier 2</v>
      </c>
      <c r="K716" s="174" t="b">
        <f>IFERROR(__xludf.DUMMYFUNCTION("""COMPUTED_VALUE"""),TRUE)</f>
        <v>1</v>
      </c>
      <c r="L716" s="174"/>
      <c r="M716" s="174"/>
      <c r="N716" s="174"/>
      <c r="O716" s="174"/>
      <c r="P716" s="174"/>
      <c r="Q716" s="174"/>
      <c r="R716" s="174"/>
      <c r="S716" s="174"/>
      <c r="T716" s="174"/>
      <c r="U716" s="174"/>
      <c r="V716" s="174"/>
      <c r="W716" s="174"/>
      <c r="X716" s="174"/>
      <c r="Y716" s="174"/>
      <c r="Z716" s="174"/>
    </row>
    <row r="717">
      <c r="A717" s="190" t="str">
        <f>IFERROR(__xludf.DUMMYFUNCTION("""COMPUTED_VALUE"""),"Rototiller")</f>
        <v>Rototiller</v>
      </c>
      <c r="B717" s="190" t="str">
        <f>IFERROR(__xludf.DUMMYFUNCTION("""COMPUTED_VALUE"""),"Ground")</f>
        <v>Ground</v>
      </c>
      <c r="C717" s="190" t="str">
        <f>IFERROR(__xludf.DUMMYFUNCTION("""COMPUTED_VALUE"""),"Status")</f>
        <v>Status</v>
      </c>
      <c r="D717" s="190" t="str">
        <f>IFERROR(__xludf.DUMMYFUNCTION("""COMPUTED_VALUE"""),"Scene x2")</f>
        <v>Scene x2</v>
      </c>
      <c r="E717" s="190" t="str">
        <f>IFERROR(__xludf.DUMMYFUNCTION("""COMPUTED_VALUE"""),"Burst 2, Versatile")</f>
        <v>Burst 2, Versatile</v>
      </c>
      <c r="F717" s="190" t="str">
        <f>IFERROR(__xludf.DUMMYFUNCTION("""COMPUTED_VALUE"""),"--")</f>
        <v>--</v>
      </c>
      <c r="G717" s="190" t="str">
        <f>IFERROR(__xludf.DUMMYFUNCTION("""COMPUTED_VALUE"""),"--")</f>
        <v>--</v>
      </c>
      <c r="H717" s="191" t="str">
        <f>IFERROR(__xludf.DUMMYFUNCTION("""COMPUTED_VALUE"""),"Create a 5x5 Zone centered on the user. Whenever you or a Bug or Grass Type Ally end their Turn in this Zone, they gain +1 CS to a Stat of their Choice. Spaces in this Zone that were Slow or Rough Terrain become Normal Terrain.")</f>
        <v>Create a 5x5 Zone centered on the user. Whenever you or a Bug or Grass Type Ally end their Turn in this Zone, they gain +1 CS to a Stat of their Choice. Spaces in this Zone that were Slow or Rough Terrain become Normal Terrain.</v>
      </c>
      <c r="I717" s="191" t="str">
        <f>IFERROR(__xludf.DUMMYFUNCTION("""COMPUTED_VALUE"""),"Same as the normal Effects, but the Zone becomes 3x3 and the user cannot benefit from Terrain created this way.")</f>
        <v>Same as the normal Effects, but the Zone becomes 3x3 and the user cannot benefit from Terrain created this way.</v>
      </c>
      <c r="J717" s="190" t="str">
        <f>IFERROR(__xludf.DUMMYFUNCTION("""COMPUTED_VALUE"""),"Tier 2")</f>
        <v>Tier 2</v>
      </c>
      <c r="K717" s="174" t="b">
        <f>IFERROR(__xludf.DUMMYFUNCTION("""COMPUTED_VALUE"""),TRUE)</f>
        <v>1</v>
      </c>
      <c r="L717" s="174"/>
      <c r="M717" s="174"/>
      <c r="N717" s="174"/>
      <c r="O717" s="174"/>
      <c r="P717" s="174"/>
      <c r="Q717" s="174"/>
      <c r="R717" s="174"/>
      <c r="S717" s="174"/>
      <c r="T717" s="174"/>
      <c r="U717" s="174"/>
      <c r="V717" s="174"/>
      <c r="W717" s="174"/>
      <c r="X717" s="174"/>
      <c r="Y717" s="174"/>
      <c r="Z717" s="174"/>
    </row>
    <row r="718">
      <c r="A718" s="190" t="str">
        <f>IFERROR(__xludf.DUMMYFUNCTION("""COMPUTED_VALUE"""),"Sand Attack")</f>
        <v>Sand Attack</v>
      </c>
      <c r="B718" s="190" t="str">
        <f>IFERROR(__xludf.DUMMYFUNCTION("""COMPUTED_VALUE"""),"Ground")</f>
        <v>Ground</v>
      </c>
      <c r="C718" s="190" t="str">
        <f>IFERROR(__xludf.DUMMYFUNCTION("""COMPUTED_VALUE"""),"Status")</f>
        <v>Status</v>
      </c>
      <c r="D718" s="190" t="str">
        <f>IFERROR(__xludf.DUMMYFUNCTION("""COMPUTED_VALUE"""),"EOT")</f>
        <v>EOT</v>
      </c>
      <c r="E718" s="190" t="str">
        <f>IFERROR(__xludf.DUMMYFUNCTION("""COMPUTED_VALUE"""),"2, 1 Target, Versatile")</f>
        <v>2, 1 Target, Versatile</v>
      </c>
      <c r="F718" s="190" t="str">
        <f>IFERROR(__xludf.DUMMYFUNCTION("""COMPUTED_VALUE"""),"--")</f>
        <v>--</v>
      </c>
      <c r="G718" s="190" t="str">
        <f>IFERROR(__xludf.DUMMYFUNCTION("""COMPUTED_VALUE"""),"--")</f>
        <v>--</v>
      </c>
      <c r="H718" s="191" t="str">
        <f>IFERROR(__xludf.DUMMYFUNCTION("""COMPUTED_VALUE"""),"The Target becomes Blinded until the end of their next Turn. The Target loses -1 Accuracy. Sureshot.")</f>
        <v>The Target becomes Blinded until the end of their next Turn. The Target loses -1 Accuracy. Sureshot.</v>
      </c>
      <c r="I718" s="191" t="str">
        <f>IFERROR(__xludf.DUMMYFUNCTION("""COMPUTED_VALUE"""),"The Target loses -1 Accuracy. Sureshot.")</f>
        <v>The Target loses -1 Accuracy. Sureshot.</v>
      </c>
      <c r="J718" s="190" t="str">
        <f>IFERROR(__xludf.DUMMYFUNCTION("""COMPUTED_VALUE"""),"Tier 1")</f>
        <v>Tier 1</v>
      </c>
      <c r="K718" s="174" t="b">
        <f>IFERROR(__xludf.DUMMYFUNCTION("""COMPUTED_VALUE"""),TRUE)</f>
        <v>1</v>
      </c>
      <c r="L718" s="174"/>
      <c r="M718" s="174"/>
      <c r="N718" s="174"/>
      <c r="O718" s="174"/>
      <c r="P718" s="174"/>
      <c r="Q718" s="174"/>
      <c r="R718" s="174"/>
      <c r="S718" s="174"/>
      <c r="T718" s="174"/>
      <c r="U718" s="174"/>
      <c r="V718" s="174"/>
      <c r="W718" s="174"/>
      <c r="X718" s="174"/>
      <c r="Y718" s="174"/>
      <c r="Z718" s="174"/>
    </row>
    <row r="719">
      <c r="A719" s="190" t="str">
        <f>IFERROR(__xludf.DUMMYFUNCTION("""COMPUTED_VALUE"""),"Sand Cannon")</f>
        <v>Sand Cannon</v>
      </c>
      <c r="B719" s="190" t="str">
        <f>IFERROR(__xludf.DUMMYFUNCTION("""COMPUTED_VALUE"""),"Ground")</f>
        <v>Ground</v>
      </c>
      <c r="C719" s="190" t="str">
        <f>IFERROR(__xludf.DUMMYFUNCTION("""COMPUTED_VALUE"""),"Physical")</f>
        <v>Physical</v>
      </c>
      <c r="D719" s="190" t="str">
        <f>IFERROR(__xludf.DUMMYFUNCTION("""COMPUTED_VALUE"""),"EOT")</f>
        <v>EOT</v>
      </c>
      <c r="E719" s="190" t="str">
        <f>IFERROR(__xludf.DUMMYFUNCTION("""COMPUTED_VALUE"""),"6, 1 Target")</f>
        <v>6, 1 Target</v>
      </c>
      <c r="F719" s="190">
        <f>IFERROR(__xludf.DUMMYFUNCTION("""COMPUTED_VALUE"""),4.0)</f>
        <v>4</v>
      </c>
      <c r="G719" s="190">
        <f>IFERROR(__xludf.DUMMYFUNCTION("""COMPUTED_VALUE"""),8.0)</f>
        <v>8</v>
      </c>
      <c r="H719" s="191" t="str">
        <f>IFERROR(__xludf.DUMMYFUNCTION("""COMPUTED_VALUE"""),"On a roll of 17+, the Target loses -1 Accuracy. If the Weather is Sandstorm, Sand Cannon has the Smite Keyword.")</f>
        <v>On a roll of 17+, the Target loses -1 Accuracy. If the Weather is Sandstorm, Sand Cannon has the Smite Keyword.</v>
      </c>
      <c r="I719" s="191" t="str">
        <f>IFERROR(__xludf.DUMMYFUNCTION("""COMPUTED_VALUE"""),"--")</f>
        <v>--</v>
      </c>
      <c r="J719" s="190" t="str">
        <f>IFERROR(__xludf.DUMMYFUNCTION("""COMPUTED_VALUE"""),"Tier 2")</f>
        <v>Tier 2</v>
      </c>
      <c r="K719" s="174" t="b">
        <f>IFERROR(__xludf.DUMMYFUNCTION("""COMPUTED_VALUE"""),TRUE)</f>
        <v>1</v>
      </c>
      <c r="L719" s="174"/>
      <c r="M719" s="174"/>
      <c r="N719" s="174"/>
      <c r="O719" s="174"/>
      <c r="P719" s="174"/>
      <c r="Q719" s="174"/>
      <c r="R719" s="174"/>
      <c r="S719" s="174"/>
      <c r="T719" s="174"/>
      <c r="U719" s="174"/>
      <c r="V719" s="174"/>
      <c r="W719" s="174"/>
      <c r="X719" s="174"/>
      <c r="Y719" s="174"/>
      <c r="Z719" s="174"/>
    </row>
    <row r="720">
      <c r="A720" s="190" t="str">
        <f>IFERROR(__xludf.DUMMYFUNCTION("""COMPUTED_VALUE"""),"Sand Pit")</f>
        <v>Sand Pit</v>
      </c>
      <c r="B720" s="190" t="str">
        <f>IFERROR(__xludf.DUMMYFUNCTION("""COMPUTED_VALUE"""),"Ground")</f>
        <v>Ground</v>
      </c>
      <c r="C720" s="190" t="str">
        <f>IFERROR(__xludf.DUMMYFUNCTION("""COMPUTED_VALUE"""),"Status")</f>
        <v>Status</v>
      </c>
      <c r="D720" s="190" t="str">
        <f>IFERROR(__xludf.DUMMYFUNCTION("""COMPUTED_VALUE"""),"EOT")</f>
        <v>EOT</v>
      </c>
      <c r="E720" s="190" t="str">
        <f>IFERROR(__xludf.DUMMYFUNCTION("""COMPUTED_VALUE"""),"4, 1 Target, Groundsource, Versatile")</f>
        <v>4, 1 Target, Groundsource, Versatile</v>
      </c>
      <c r="F720" s="190">
        <f>IFERROR(__xludf.DUMMYFUNCTION("""COMPUTED_VALUE"""),4.0)</f>
        <v>4</v>
      </c>
      <c r="G720" s="190" t="str">
        <f>IFERROR(__xludf.DUMMYFUNCTION("""COMPUTED_VALUE"""),"--")</f>
        <v>--</v>
      </c>
      <c r="H720" s="191" t="str">
        <f>IFERROR(__xludf.DUMMYFUNCTION("""COMPUTED_VALUE"""),"The Target becomes Slowed and is Vulnerable while Slowed this way. On a roll of 15+, they lose -3 Evasion.")</f>
        <v>The Target becomes Slowed and is Vulnerable while Slowed this way. On a roll of 15+, they lose -3 Evasion.</v>
      </c>
      <c r="I720" s="191" t="str">
        <f>IFERROR(__xludf.DUMMYFUNCTION("""COMPUTED_VALUE"""),"The Target loses -3 Evasion.")</f>
        <v>The Target loses -3 Evasion.</v>
      </c>
      <c r="J720" s="190" t="str">
        <f>IFERROR(__xludf.DUMMYFUNCTION("""COMPUTED_VALUE"""),"Tier 1")</f>
        <v>Tier 1</v>
      </c>
      <c r="K720" s="174" t="b">
        <f>IFERROR(__xludf.DUMMYFUNCTION("""COMPUTED_VALUE"""),TRUE)</f>
        <v>1</v>
      </c>
      <c r="L720" s="174"/>
      <c r="M720" s="174"/>
      <c r="N720" s="174"/>
      <c r="O720" s="174"/>
      <c r="P720" s="174"/>
      <c r="Q720" s="174"/>
      <c r="R720" s="174"/>
      <c r="S720" s="174"/>
      <c r="T720" s="174"/>
      <c r="U720" s="174"/>
      <c r="V720" s="174"/>
      <c r="W720" s="174"/>
      <c r="X720" s="174"/>
      <c r="Y720" s="174"/>
      <c r="Z720" s="174"/>
    </row>
    <row r="721">
      <c r="A721" s="190" t="str">
        <f>IFERROR(__xludf.DUMMYFUNCTION("""COMPUTED_VALUE"""),"Sand Tomb")</f>
        <v>Sand Tomb</v>
      </c>
      <c r="B721" s="190" t="str">
        <f>IFERROR(__xludf.DUMMYFUNCTION("""COMPUTED_VALUE"""),"Ground")</f>
        <v>Ground</v>
      </c>
      <c r="C721" s="190" t="str">
        <f>IFERROR(__xludf.DUMMYFUNCTION("""COMPUTED_VALUE"""),"Physical")</f>
        <v>Physical</v>
      </c>
      <c r="D721" s="190" t="str">
        <f>IFERROR(__xludf.DUMMYFUNCTION("""COMPUTED_VALUE"""),"Scene x2")</f>
        <v>Scene x2</v>
      </c>
      <c r="E721" s="190" t="str">
        <f>IFERROR(__xludf.DUMMYFUNCTION("""COMPUTED_VALUE"""),"4, Ranged Blast 2")</f>
        <v>4, Ranged Blast 2</v>
      </c>
      <c r="F721" s="190">
        <f>IFERROR(__xludf.DUMMYFUNCTION("""COMPUTED_VALUE"""),5.0)</f>
        <v>5</v>
      </c>
      <c r="G721" s="190">
        <f>IFERROR(__xludf.DUMMYFUNCTION("""COMPUTED_VALUE"""),6.0)</f>
        <v>6</v>
      </c>
      <c r="H721" s="191" t="str">
        <f>IFERROR(__xludf.DUMMYFUNCTION("""COMPUTED_VALUE"""),"After this Attack resolves, create a Zone within the Range of this Attack. All Combatants are Blinded while they’re within this Zone. Unless the Weather is Sandstorm, the Zone lasts until you use a Reaction, use an Attack or Faint. Spirit Surge")</f>
        <v>After this Attack resolves, create a Zone within the Range of this Attack. All Combatants are Blinded while they’re within this Zone. Unless the Weather is Sandstorm, the Zone lasts until you use a Reaction, use an Attack or Faint. Spirit Surge</v>
      </c>
      <c r="I721" s="191" t="str">
        <f>IFERROR(__xludf.DUMMYFUNCTION("""COMPUTED_VALUE"""),"--")</f>
        <v>--</v>
      </c>
      <c r="J721" s="190" t="str">
        <f>IFERROR(__xludf.DUMMYFUNCTION("""COMPUTED_VALUE"""),"Tier 2")</f>
        <v>Tier 2</v>
      </c>
      <c r="K721" s="174" t="b">
        <f>IFERROR(__xludf.DUMMYFUNCTION("""COMPUTED_VALUE"""),TRUE)</f>
        <v>1</v>
      </c>
      <c r="L721" s="174"/>
      <c r="M721" s="174"/>
      <c r="N721" s="174"/>
      <c r="O721" s="174"/>
      <c r="P721" s="174"/>
      <c r="Q721" s="174"/>
      <c r="R721" s="174"/>
      <c r="S721" s="174"/>
      <c r="T721" s="174"/>
      <c r="U721" s="174"/>
      <c r="V721" s="174"/>
      <c r="W721" s="174"/>
      <c r="X721" s="174"/>
      <c r="Y721" s="174"/>
      <c r="Z721" s="174"/>
    </row>
    <row r="722">
      <c r="A722" s="190" t="str">
        <f>IFERROR(__xludf.DUMMYFUNCTION("""COMPUTED_VALUE"""),"Sandy Terrain")</f>
        <v>Sandy Terrain</v>
      </c>
      <c r="B722" s="190" t="str">
        <f>IFERROR(__xludf.DUMMYFUNCTION("""COMPUTED_VALUE"""),"Ground")</f>
        <v>Ground</v>
      </c>
      <c r="C722" s="190" t="str">
        <f>IFERROR(__xludf.DUMMYFUNCTION("""COMPUTED_VALUE"""),"Status")</f>
        <v>Status</v>
      </c>
      <c r="D722" s="190" t="str">
        <f>IFERROR(__xludf.DUMMYFUNCTION("""COMPUTED_VALUE"""),"Scene x2")</f>
        <v>Scene x2</v>
      </c>
      <c r="E722" s="190" t="str">
        <f>IFERROR(__xludf.DUMMYFUNCTION("""COMPUTED_VALUE"""),"Field, Versatile, Weather")</f>
        <v>Field, Versatile, Weather</v>
      </c>
      <c r="F722" s="190" t="str">
        <f>IFERROR(__xludf.DUMMYFUNCTION("""COMPUTED_VALUE"""),"--")</f>
        <v>--</v>
      </c>
      <c r="G722" s="190" t="str">
        <f>IFERROR(__xludf.DUMMYFUNCTION("""COMPUTED_VALUE"""),"--")</f>
        <v>--</v>
      </c>
      <c r="H722" s="191" t="str">
        <f>IFERROR(__xludf.DUMMYFUNCTION("""COMPUTED_VALUE"""),"The field becomes Sandy for the next 5 Rounds. While the field is Sandy, all spaces are treated as Slow Terrain for Combatants without the Naturewalk (Desert) Capability, and Ground Type attacks ignore Speed Evasion. While the Field is Sandy, the Weather "&amp;"may become Sandstorm.")</f>
        <v>The field becomes Sandy for the next 5 Rounds. While the field is Sandy, all spaces are treated as Slow Terrain for Combatants without the Naturewalk (Desert) Capability, and Ground Type attacks ignore Speed Evasion. While the Field is Sandy, the Weather may become Sandstorm.</v>
      </c>
      <c r="I722"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22" s="190" t="str">
        <f>IFERROR(__xludf.DUMMYFUNCTION("""COMPUTED_VALUE"""),"Tier 2")</f>
        <v>Tier 2</v>
      </c>
      <c r="K722" s="174" t="b">
        <f>IFERROR(__xludf.DUMMYFUNCTION("""COMPUTED_VALUE"""),TRUE)</f>
        <v>1</v>
      </c>
      <c r="L722" s="174"/>
      <c r="M722" s="174"/>
      <c r="N722" s="174"/>
      <c r="O722" s="174"/>
      <c r="P722" s="174"/>
      <c r="Q722" s="174"/>
      <c r="R722" s="174"/>
      <c r="S722" s="174"/>
      <c r="T722" s="174"/>
      <c r="U722" s="174"/>
      <c r="V722" s="174"/>
      <c r="W722" s="174"/>
      <c r="X722" s="174"/>
      <c r="Y722" s="174"/>
      <c r="Z722" s="174"/>
    </row>
    <row r="723">
      <c r="A723" s="190" t="str">
        <f>IFERROR(__xludf.DUMMYFUNCTION("""COMPUTED_VALUE"""),"Scorching Sands")</f>
        <v>Scorching Sands</v>
      </c>
      <c r="B723" s="190" t="str">
        <f>IFERROR(__xludf.DUMMYFUNCTION("""COMPUTED_VALUE"""),"Ground")</f>
        <v>Ground</v>
      </c>
      <c r="C723" s="190" t="str">
        <f>IFERROR(__xludf.DUMMYFUNCTION("""COMPUTED_VALUE"""),"Special")</f>
        <v>Special</v>
      </c>
      <c r="D723" s="190" t="str">
        <f>IFERROR(__xludf.DUMMYFUNCTION("""COMPUTED_VALUE"""),"EOT")</f>
        <v>EOT</v>
      </c>
      <c r="E723" s="190" t="str">
        <f>IFERROR(__xludf.DUMMYFUNCTION("""COMPUTED_VALUE"""),"4, 1 Target")</f>
        <v>4, 1 Target</v>
      </c>
      <c r="F723" s="190">
        <f>IFERROR(__xludf.DUMMYFUNCTION("""COMPUTED_VALUE"""),4.0)</f>
        <v>4</v>
      </c>
      <c r="G723" s="190">
        <f>IFERROR(__xludf.DUMMYFUNCTION("""COMPUTED_VALUE"""),8.0)</f>
        <v>8</v>
      </c>
      <c r="H723" s="191" t="str">
        <f>IFERROR(__xludf.DUMMYFUNCTION("""COMPUTED_VALUE"""),"On a roll of 15+, the Target becomes Burned. If the Weather is Sandstorm, this Effect Range automatically triggers.")</f>
        <v>On a roll of 15+, the Target becomes Burned. If the Weather is Sandstorm, this Effect Range automatically triggers.</v>
      </c>
      <c r="I723" s="191" t="str">
        <f>IFERROR(__xludf.DUMMYFUNCTION("""COMPUTED_VALUE"""),"--")</f>
        <v>--</v>
      </c>
      <c r="J723" s="190" t="str">
        <f>IFERROR(__xludf.DUMMYFUNCTION("""COMPUTED_VALUE"""),"Tier 2")</f>
        <v>Tier 2</v>
      </c>
      <c r="K723" s="174" t="b">
        <f>IFERROR(__xludf.DUMMYFUNCTION("""COMPUTED_VALUE"""),TRUE)</f>
        <v>1</v>
      </c>
      <c r="L723" s="174"/>
      <c r="M723" s="174"/>
      <c r="N723" s="174"/>
      <c r="O723" s="174"/>
      <c r="P723" s="174"/>
      <c r="Q723" s="174"/>
      <c r="R723" s="174"/>
      <c r="S723" s="174"/>
      <c r="T723" s="174"/>
      <c r="U723" s="174"/>
      <c r="V723" s="174"/>
      <c r="W723" s="174"/>
      <c r="X723" s="174"/>
      <c r="Y723" s="174"/>
      <c r="Z723" s="174"/>
    </row>
    <row r="724">
      <c r="A724" s="190" t="str">
        <f>IFERROR(__xludf.DUMMYFUNCTION("""COMPUTED_VALUE"""),"Shifting Soil")</f>
        <v>Shifting Soil</v>
      </c>
      <c r="B724" s="190" t="str">
        <f>IFERROR(__xludf.DUMMYFUNCTION("""COMPUTED_VALUE"""),"Ground")</f>
        <v>Ground</v>
      </c>
      <c r="C724" s="190" t="str">
        <f>IFERROR(__xludf.DUMMYFUNCTION("""COMPUTED_VALUE"""),"Special")</f>
        <v>Special</v>
      </c>
      <c r="D724" s="190" t="str">
        <f>IFERROR(__xludf.DUMMYFUNCTION("""COMPUTED_VALUE"""),"Scene x2")</f>
        <v>Scene x2</v>
      </c>
      <c r="E724" s="190" t="str">
        <f>IFERROR(__xludf.DUMMYFUNCTION("""COMPUTED_VALUE"""),"6, 1 Target, Groundsource")</f>
        <v>6, 1 Target, Groundsource</v>
      </c>
      <c r="F724" s="190">
        <f>IFERROR(__xludf.DUMMYFUNCTION("""COMPUTED_VALUE"""),4.0)</f>
        <v>4</v>
      </c>
      <c r="G724" s="190">
        <f>IFERROR(__xludf.DUMMYFUNCTION("""COMPUTED_VALUE"""),10.0)</f>
        <v>10</v>
      </c>
      <c r="H724" s="191" t="str">
        <f>IFERROR(__xludf.DUMMYFUNCTION("""COMPUTED_VALUE"""),"Slide 2.")</f>
        <v>Slide 2.</v>
      </c>
      <c r="I724" s="191" t="str">
        <f>IFERROR(__xludf.DUMMYFUNCTION("""COMPUTED_VALUE"""),"--")</f>
        <v>--</v>
      </c>
      <c r="J724" s="190" t="str">
        <f>IFERROR(__xludf.DUMMYFUNCTION("""COMPUTED_VALUE"""),"Tier 3")</f>
        <v>Tier 3</v>
      </c>
      <c r="K724" s="174" t="b">
        <f>IFERROR(__xludf.DUMMYFUNCTION("""COMPUTED_VALUE"""),TRUE)</f>
        <v>1</v>
      </c>
      <c r="L724" s="174"/>
      <c r="M724" s="174"/>
      <c r="N724" s="174"/>
      <c r="O724" s="174"/>
      <c r="P724" s="174"/>
      <c r="Q724" s="174"/>
      <c r="R724" s="174"/>
      <c r="S724" s="174"/>
      <c r="T724" s="174"/>
      <c r="U724" s="174"/>
      <c r="V724" s="174"/>
      <c r="W724" s="174"/>
      <c r="X724" s="174"/>
      <c r="Y724" s="174"/>
      <c r="Z724" s="174"/>
    </row>
    <row r="725">
      <c r="A725" s="190" t="str">
        <f>IFERROR(__xludf.DUMMYFUNCTION("""COMPUTED_VALUE"""),"Shore Up")</f>
        <v>Shore Up</v>
      </c>
      <c r="B725" s="190" t="str">
        <f>IFERROR(__xludf.DUMMYFUNCTION("""COMPUTED_VALUE"""),"Ground")</f>
        <v>Ground</v>
      </c>
      <c r="C725" s="190" t="str">
        <f>IFERROR(__xludf.DUMMYFUNCTION("""COMPUTED_VALUE"""),"Status")</f>
        <v>Status</v>
      </c>
      <c r="D725" s="190" t="str">
        <f>IFERROR(__xludf.DUMMYFUNCTION("""COMPUTED_VALUE"""),"Scene x2")</f>
        <v>Scene x2</v>
      </c>
      <c r="E725" s="190" t="str">
        <f>IFERROR(__xludf.DUMMYFUNCTION("""COMPUTED_VALUE"""),"Self, Healing, Versatile")</f>
        <v>Self, Healing, Versatile</v>
      </c>
      <c r="F725" s="190" t="str">
        <f>IFERROR(__xludf.DUMMYFUNCTION("""COMPUTED_VALUE"""),"--")</f>
        <v>--</v>
      </c>
      <c r="G725" s="190" t="str">
        <f>IFERROR(__xludf.DUMMYFUNCTION("""COMPUTED_VALUE"""),"--")</f>
        <v>--</v>
      </c>
      <c r="H725" s="191" t="str">
        <f>IFERROR(__xludf.DUMMYFUNCTION("""COMPUTED_VALUE"""),"The user restores 5 Ticks of Hit Points. If the Field or Space the user is standing on is affected by an Ground Attack or the Weather is Sandstorm, the user is also cured of a Status Affliction. This cannot be used if there is weather other than Sandstorm"&amp;" on the Field.")</f>
        <v>The user restores 5 Ticks of Hit Points. If the Field or Space the user is standing on is affected by an Ground Attack or the Weather is Sandstorm, the user is also cured of a Status Affliction. This cannot be used if there is weather other than Sandstorm on the Field.</v>
      </c>
      <c r="I725" s="191" t="str">
        <f>IFERROR(__xludf.DUMMYFUNCTION("""COMPUTED_VALUE"""),"The user restores 2 Ticks of Hit Points. Shore Up can only be used this way if the Field is affected by an Ground Attack or the Weather is Sanstorm and there is no other Weather on the Field.")</f>
        <v>The user restores 2 Ticks of Hit Points. Shore Up can only be used this way if the Field is affected by an Ground Attack or the Weather is Sanstorm and there is no other Weather on the Field.</v>
      </c>
      <c r="J725" s="190" t="str">
        <f>IFERROR(__xludf.DUMMYFUNCTION("""COMPUTED_VALUE"""),"Tier 2")</f>
        <v>Tier 2</v>
      </c>
      <c r="K725" s="174" t="b">
        <f>IFERROR(__xludf.DUMMYFUNCTION("""COMPUTED_VALUE"""),TRUE)</f>
        <v>1</v>
      </c>
      <c r="L725" s="174"/>
      <c r="M725" s="174"/>
      <c r="N725" s="174"/>
      <c r="O725" s="174"/>
      <c r="P725" s="174"/>
      <c r="Q725" s="174"/>
      <c r="R725" s="174"/>
      <c r="S725" s="174"/>
      <c r="T725" s="174"/>
      <c r="U725" s="174"/>
      <c r="V725" s="174"/>
      <c r="W725" s="174"/>
      <c r="X725" s="174"/>
      <c r="Y725" s="174"/>
      <c r="Z725" s="174"/>
    </row>
    <row r="726">
      <c r="A726" s="190" t="str">
        <f>IFERROR(__xludf.DUMMYFUNCTION("""COMPUTED_VALUE"""),"Sinkhole")</f>
        <v>Sinkhole</v>
      </c>
      <c r="B726" s="190" t="str">
        <f>IFERROR(__xludf.DUMMYFUNCTION("""COMPUTED_VALUE"""),"Ground")</f>
        <v>Ground</v>
      </c>
      <c r="C726" s="190" t="str">
        <f>IFERROR(__xludf.DUMMYFUNCTION("""COMPUTED_VALUE"""),"Status")</f>
        <v>Status</v>
      </c>
      <c r="D726" s="190" t="str">
        <f>IFERROR(__xludf.DUMMYFUNCTION("""COMPUTED_VALUE"""),"EOT")</f>
        <v>EOT</v>
      </c>
      <c r="E726" s="190" t="str">
        <f>IFERROR(__xludf.DUMMYFUNCTION("""COMPUTED_VALUE"""),"6, Ranged Blast 3, Hazard, Versatile")</f>
        <v>6, Ranged Blast 3, Hazard, Versatile</v>
      </c>
      <c r="F726" s="190" t="str">
        <f>IFERROR(__xludf.DUMMYFUNCTION("""COMPUTED_VALUE"""),"--")</f>
        <v>--</v>
      </c>
      <c r="G726" s="190" t="str">
        <f>IFERROR(__xludf.DUMMYFUNCTION("""COMPUTED_VALUE"""),"--")</f>
        <v>--</v>
      </c>
      <c r="H726" s="191" t="str">
        <f>IFERROR(__xludf.DUMMYFUNCTION("""COMPUTED_VALUE"""),"Sinkhole creates Sinking Hazards within each Space of this Attack's Range. Combatants with the Naturewalk (Desert) or Naturewalk (Wetlands) Capability are Immune to the Effects of Sinking Hazards created this way.
Sinking Hazards - Spaces with Sinking Ha"&amp;"zards are treated as Slow Terrain. Any Combatant who ends their Turn on a Sinking Hazard becomes Slowed and cannot use Bolster Maneuvers while Slowed this way. The Slowed Affliction cannot be cured by Combatants on this Hazard. If any Combatant ends their"&amp;" Turn within 1m of this Hazard, they are Slid into a Space affected by this Hazard.")</f>
        <v>Sinkhole creates Sinking Hazards within each Space of this Attack's Range. Combatants with the Naturewalk (Desert) or Naturewalk (Wetlands) Capability are Immune to the Effects of Sinking Hazards created this way.
Sinking Hazards - Spaces with Sinking Hazards are treated as Slow Terrain. Any Combatant who ends their Turn on a Sinking Hazard becomes Slowed and cannot use Bolster Maneuvers while Slowed this way. The Slowed Affliction cannot be cured by Combatants on this Hazard. If any Combatant ends their Turn within 1m of this Hazard, they are Slid into a Space affected by this Hazard.</v>
      </c>
      <c r="I726" s="191" t="str">
        <f>IFERROR(__xludf.DUMMYFUNCTION("""COMPUTED_VALUE"""),"Same as the normal Effects, but the range instead becomes 6, Ranged Blast 2, Hazard.")</f>
        <v>Same as the normal Effects, but the range instead becomes 6, Ranged Blast 2, Hazard.</v>
      </c>
      <c r="J726" s="190" t="str">
        <f>IFERROR(__xludf.DUMMYFUNCTION("""COMPUTED_VALUE"""),"Tier 1")</f>
        <v>Tier 1</v>
      </c>
      <c r="K726" s="174" t="b">
        <f>IFERROR(__xludf.DUMMYFUNCTION("""COMPUTED_VALUE"""),TRUE)</f>
        <v>1</v>
      </c>
      <c r="L726" s="174"/>
      <c r="M726" s="174"/>
      <c r="N726" s="174"/>
      <c r="O726" s="174"/>
      <c r="P726" s="174"/>
      <c r="Q726" s="174"/>
      <c r="R726" s="174"/>
      <c r="S726" s="174"/>
      <c r="T726" s="174"/>
      <c r="U726" s="174"/>
      <c r="V726" s="174"/>
      <c r="W726" s="174"/>
      <c r="X726" s="174"/>
      <c r="Y726" s="174"/>
      <c r="Z726" s="174"/>
    </row>
    <row r="727">
      <c r="A727" s="190" t="str">
        <f>IFERROR(__xludf.DUMMYFUNCTION("""COMPUTED_VALUE"""),"Spikes")</f>
        <v>Spikes</v>
      </c>
      <c r="B727" s="190" t="str">
        <f>IFERROR(__xludf.DUMMYFUNCTION("""COMPUTED_VALUE"""),"Ground")</f>
        <v>Ground</v>
      </c>
      <c r="C727" s="190" t="str">
        <f>IFERROR(__xludf.DUMMYFUNCTION("""COMPUTED_VALUE"""),"Status")</f>
        <v>Status</v>
      </c>
      <c r="D727" s="190" t="str">
        <f>IFERROR(__xludf.DUMMYFUNCTION("""COMPUTED_VALUE"""),"At-Will")</f>
        <v>At-Will</v>
      </c>
      <c r="E727" s="190" t="str">
        <f>IFERROR(__xludf.DUMMYFUNCTION("""COMPUTED_VALUE"""),"6, Hazard, Swift Action")</f>
        <v>6, Hazard, Swift Action</v>
      </c>
      <c r="F727" s="190" t="str">
        <f>IFERROR(__xludf.DUMMYFUNCTION("""COMPUTED_VALUE"""),"--")</f>
        <v>--</v>
      </c>
      <c r="G727" s="190" t="str">
        <f>IFERROR(__xludf.DUMMYFUNCTION("""COMPUTED_VALUE"""),"--")</f>
        <v>--</v>
      </c>
      <c r="H727" s="191" t="str">
        <f>IFERROR(__xludf.DUMMYFUNCTION("""COMPUTED_VALUE"""),"Choose 8 Spaces within the Range of this Attack to create Spike Hazards in, such that all 8 Spaces are Adjacent to at least one other Spike Hazard.
Spike Hazards - Spaces with Spike Hazards are treated as Slow Terrain. Any Enemy that passes through a Spi"&amp;"ke Hazard loses one Tick of Hit Points and cannot gain Hit Points or Temporary Hit Points until the end of the Round.")</f>
        <v>Choose 8 Spaces within the Range of this Attack to create Spike Hazards in, such that all 8 Spaces are Adjacent to at least one other Spike Hazard.
Spike Hazards - Spaces with Spike Hazards are treated as Slow Terrain. Any Enemy that passes through a Spike Hazard loses one Tick of Hit Points and cannot gain Hit Points or Temporary Hit Points until the end of the Round.</v>
      </c>
      <c r="I727" s="191" t="str">
        <f>IFERROR(__xludf.DUMMYFUNCTION("""COMPUTED_VALUE"""),"--")</f>
        <v>--</v>
      </c>
      <c r="J727" s="190" t="str">
        <f>IFERROR(__xludf.DUMMYFUNCTION("""COMPUTED_VALUE"""),"Tier 1")</f>
        <v>Tier 1</v>
      </c>
      <c r="K727" s="174" t="b">
        <f>IFERROR(__xludf.DUMMYFUNCTION("""COMPUTED_VALUE"""),TRUE)</f>
        <v>1</v>
      </c>
      <c r="L727" s="174"/>
      <c r="M727" s="174"/>
      <c r="N727" s="174"/>
      <c r="O727" s="174"/>
      <c r="P727" s="174"/>
      <c r="Q727" s="174"/>
      <c r="R727" s="174"/>
      <c r="S727" s="174"/>
      <c r="T727" s="174"/>
      <c r="U727" s="174"/>
      <c r="V727" s="174"/>
      <c r="W727" s="174"/>
      <c r="X727" s="174"/>
      <c r="Y727" s="174"/>
      <c r="Z727" s="174"/>
    </row>
    <row r="728">
      <c r="A728" s="190" t="str">
        <f>IFERROR(__xludf.DUMMYFUNCTION("""COMPUTED_VALUE"""),"Stomping Tantrum")</f>
        <v>Stomping Tantrum</v>
      </c>
      <c r="B728" s="190" t="str">
        <f>IFERROR(__xludf.DUMMYFUNCTION("""COMPUTED_VALUE"""),"Ground")</f>
        <v>Ground</v>
      </c>
      <c r="C728" s="190" t="str">
        <f>IFERROR(__xludf.DUMMYFUNCTION("""COMPUTED_VALUE"""),"Physical")</f>
        <v>Physical</v>
      </c>
      <c r="D728" s="190" t="str">
        <f>IFERROR(__xludf.DUMMYFUNCTION("""COMPUTED_VALUE"""),"EOT")</f>
        <v>EOT</v>
      </c>
      <c r="E728" s="190" t="str">
        <f>IFERROR(__xludf.DUMMYFUNCTION("""COMPUTED_VALUE"""),"Melee, 1 Target")</f>
        <v>Melee, 1 Target</v>
      </c>
      <c r="F728" s="190">
        <f>IFERROR(__xludf.DUMMYFUNCTION("""COMPUTED_VALUE"""),4.0)</f>
        <v>4</v>
      </c>
      <c r="G728" s="190">
        <f>IFERROR(__xludf.DUMMYFUNCTION("""COMPUTED_VALUE"""),8.0)</f>
        <v>8</v>
      </c>
      <c r="H728" s="191" t="str">
        <f>IFERROR(__xludf.DUMMYFUNCTION("""COMPUTED_VALUE"""),"If the user's last Attack missed or they are Enraged, Stomping Tantrum is DB 13 instead.")</f>
        <v>If the user's last Attack missed or they are Enraged, Stomping Tantrum is DB 13 instead.</v>
      </c>
      <c r="I728" s="191" t="str">
        <f>IFERROR(__xludf.DUMMYFUNCTION("""COMPUTED_VALUE"""),"--")</f>
        <v>--</v>
      </c>
      <c r="J728" s="190" t="str">
        <f>IFERROR(__xludf.DUMMYFUNCTION("""COMPUTED_VALUE"""),"Tier 2")</f>
        <v>Tier 2</v>
      </c>
      <c r="K728" s="174" t="b">
        <f>IFERROR(__xludf.DUMMYFUNCTION("""COMPUTED_VALUE"""),TRUE)</f>
        <v>1</v>
      </c>
      <c r="L728" s="174"/>
      <c r="M728" s="174"/>
      <c r="N728" s="174"/>
      <c r="O728" s="174"/>
      <c r="P728" s="174"/>
      <c r="Q728" s="174"/>
      <c r="R728" s="174"/>
      <c r="S728" s="174"/>
      <c r="T728" s="174"/>
      <c r="U728" s="174"/>
      <c r="V728" s="174"/>
      <c r="W728" s="174"/>
      <c r="X728" s="174"/>
      <c r="Y728" s="174"/>
      <c r="Z728" s="174"/>
    </row>
    <row r="729">
      <c r="A729" s="190" t="str">
        <f>IFERROR(__xludf.DUMMYFUNCTION("""COMPUTED_VALUE"""),"Tectonic Burst")</f>
        <v>Tectonic Burst</v>
      </c>
      <c r="B729" s="190" t="str">
        <f>IFERROR(__xludf.DUMMYFUNCTION("""COMPUTED_VALUE"""),"Ground")</f>
        <v>Ground</v>
      </c>
      <c r="C729" s="190" t="str">
        <f>IFERROR(__xludf.DUMMYFUNCTION("""COMPUTED_VALUE"""),"Physical")</f>
        <v>Physical</v>
      </c>
      <c r="D729" s="190" t="str">
        <f>IFERROR(__xludf.DUMMYFUNCTION("""COMPUTED_VALUE"""),"Scene")</f>
        <v>Scene</v>
      </c>
      <c r="E729" s="190" t="str">
        <f>IFERROR(__xludf.DUMMYFUNCTION("""COMPUTED_VALUE"""),"8, Ranged Blast 3, Full Action, Groundsource")</f>
        <v>8, Ranged Blast 3, Full Action, Groundsource</v>
      </c>
      <c r="F729" s="190">
        <f>IFERROR(__xludf.DUMMYFUNCTION("""COMPUTED_VALUE"""),7.0)</f>
        <v>7</v>
      </c>
      <c r="G729" s="190">
        <f>IFERROR(__xludf.DUMMYFUNCTION("""COMPUTED_VALUE"""),10.0)</f>
        <v>10</v>
      </c>
      <c r="H729" s="191" t="str">
        <f>IFERROR(__xludf.DUMMYFUNCTION("""COMPUTED_VALUE"""),"Tectonic Burst has the Sureshot Keyword against Targets that are Vulnerable, Tripped, Trapped or Slowed. Smite")</f>
        <v>Tectonic Burst has the Sureshot Keyword against Targets that are Vulnerable, Tripped, Trapped or Slowed. Smite</v>
      </c>
      <c r="I729" s="191" t="str">
        <f>IFERROR(__xludf.DUMMYFUNCTION("""COMPUTED_VALUE"""),"--")</f>
        <v>--</v>
      </c>
      <c r="J729" s="190" t="str">
        <f>IFERROR(__xludf.DUMMYFUNCTION("""COMPUTED_VALUE"""),"Tier 3")</f>
        <v>Tier 3</v>
      </c>
      <c r="K729" s="174" t="b">
        <f>IFERROR(__xludf.DUMMYFUNCTION("""COMPUTED_VALUE"""),TRUE)</f>
        <v>1</v>
      </c>
      <c r="L729" s="174"/>
      <c r="M729" s="174"/>
      <c r="N729" s="174"/>
      <c r="O729" s="174"/>
      <c r="P729" s="174"/>
      <c r="Q729" s="174"/>
      <c r="R729" s="174"/>
      <c r="S729" s="174"/>
      <c r="T729" s="174"/>
      <c r="U729" s="174"/>
      <c r="V729" s="174"/>
      <c r="W729" s="174"/>
      <c r="X729" s="174"/>
      <c r="Y729" s="174"/>
      <c r="Z729" s="174"/>
    </row>
    <row r="730">
      <c r="A730" s="190" t="str">
        <f>IFERROR(__xludf.DUMMYFUNCTION("""COMPUTED_VALUE"""),"Terraform")</f>
        <v>Terraform</v>
      </c>
      <c r="B730" s="190" t="str">
        <f>IFERROR(__xludf.DUMMYFUNCTION("""COMPUTED_VALUE"""),"Ground")</f>
        <v>Ground</v>
      </c>
      <c r="C730" s="190" t="str">
        <f>IFERROR(__xludf.DUMMYFUNCTION("""COMPUTED_VALUE"""),"Status")</f>
        <v>Status</v>
      </c>
      <c r="D730" s="190" t="str">
        <f>IFERROR(__xludf.DUMMYFUNCTION("""COMPUTED_VALUE"""),"Scene x2")</f>
        <v>Scene x2</v>
      </c>
      <c r="E730" s="190" t="str">
        <f>IFERROR(__xludf.DUMMYFUNCTION("""COMPUTED_VALUE"""),"6, Trigger, Groundsource, Versatile")</f>
        <v>6, Trigger, Groundsource, Versatile</v>
      </c>
      <c r="F730" s="190" t="str">
        <f>IFERROR(__xludf.DUMMYFUNCTION("""COMPUTED_VALUE"""),"--")</f>
        <v>--</v>
      </c>
      <c r="G730" s="190" t="str">
        <f>IFERROR(__xludf.DUMMYFUNCTION("""COMPUTED_VALUE"""),"--")</f>
        <v>--</v>
      </c>
      <c r="H730" s="191" t="str">
        <f>IFERROR(__xludf.DUMMYFUNCTION("""COMPUTED_VALUE"""),"Choose 6 Unoccupied Spaces within the Range of this Attack to create Blocking Terrain in, such that all 6 Spaces are Adjacent to at least one other Blocking Terrain. Blocking Terrain created this way is [Breakable - Fragile]. Terraform may also be used as"&amp;" an Standard Action + Reaction when an Enemy uses a Physical Ranged Attack, in which you must place the Terrain in a way to block the Line of Sight for that Attack. *Grants Groundshaper ")</f>
        <v>Choose 6 Unoccupied Spaces within the Range of this Attack to create Blocking Terrain in, such that all 6 Spaces are Adjacent to at least one other Blocking Terrain. Blocking Terrain created this way is [Breakable - Fragile]. Terraform may also be used as an Standard Action + Reaction when an Enemy uses a Physical Ranged Attack, in which you must place the Terrain in a way to block the Line of Sight for that Attack. *Grants Groundshaper </v>
      </c>
      <c r="I730" s="191" t="str">
        <f>IFERROR(__xludf.DUMMYFUNCTION("""COMPUTED_VALUE"""),"Same as the normal Effects but you may only choose 2 Unoccupied Spaces and this can't be used as an Reaction.")</f>
        <v>Same as the normal Effects but you may only choose 2 Unoccupied Spaces and this can't be used as an Reaction.</v>
      </c>
      <c r="J730" s="190" t="str">
        <f>IFERROR(__xludf.DUMMYFUNCTION("""COMPUTED_VALUE"""),"Tier 2")</f>
        <v>Tier 2</v>
      </c>
      <c r="K730" s="174" t="b">
        <f>IFERROR(__xludf.DUMMYFUNCTION("""COMPUTED_VALUE"""),TRUE)</f>
        <v>1</v>
      </c>
      <c r="L730" s="174"/>
      <c r="M730" s="174"/>
      <c r="N730" s="174"/>
      <c r="O730" s="174"/>
      <c r="P730" s="174"/>
      <c r="Q730" s="174"/>
      <c r="R730" s="174"/>
      <c r="S730" s="174"/>
      <c r="T730" s="174"/>
      <c r="U730" s="174"/>
      <c r="V730" s="174"/>
      <c r="W730" s="174"/>
      <c r="X730" s="174"/>
      <c r="Y730" s="174"/>
      <c r="Z730" s="174"/>
    </row>
    <row r="731">
      <c r="A731" s="190" t="str">
        <f>IFERROR(__xludf.DUMMYFUNCTION("""COMPUTED_VALUE"""),"Tremor")</f>
        <v>Tremor</v>
      </c>
      <c r="B731" s="190" t="str">
        <f>IFERROR(__xludf.DUMMYFUNCTION("""COMPUTED_VALUE"""),"Ground")</f>
        <v>Ground</v>
      </c>
      <c r="C731" s="190" t="str">
        <f>IFERROR(__xludf.DUMMYFUNCTION("""COMPUTED_VALUE"""),"Physical")</f>
        <v>Physical</v>
      </c>
      <c r="D731" s="190" t="str">
        <f>IFERROR(__xludf.DUMMYFUNCTION("""COMPUTED_VALUE"""),"At-Will")</f>
        <v>At-Will</v>
      </c>
      <c r="E731" s="190" t="str">
        <f>IFERROR(__xludf.DUMMYFUNCTION("""COMPUTED_VALUE"""),"6, 1 Target, Groundsource")</f>
        <v>6, 1 Target, Groundsource</v>
      </c>
      <c r="F731" s="190">
        <f>IFERROR(__xludf.DUMMYFUNCTION("""COMPUTED_VALUE"""),3.0)</f>
        <v>3</v>
      </c>
      <c r="G731" s="190">
        <f>IFERROR(__xludf.DUMMYFUNCTION("""COMPUTED_VALUE"""),4.0)</f>
        <v>4</v>
      </c>
      <c r="H731" s="191" t="str">
        <f>IFERROR(__xludf.DUMMYFUNCTION("""COMPUTED_VALUE"""),"On a roll of 17+, the Target becomes Tripped. *Grants Groundshaper")</f>
        <v>On a roll of 17+, the Target becomes Tripped. *Grants Groundshaper</v>
      </c>
      <c r="I731" s="191" t="str">
        <f>IFERROR(__xludf.DUMMYFUNCTION("""COMPUTED_VALUE"""),"--")</f>
        <v>--</v>
      </c>
      <c r="J731" s="190" t="str">
        <f>IFERROR(__xludf.DUMMYFUNCTION("""COMPUTED_VALUE"""),"Tier 1")</f>
        <v>Tier 1</v>
      </c>
      <c r="K731" s="174" t="b">
        <f>IFERROR(__xludf.DUMMYFUNCTION("""COMPUTED_VALUE"""),TRUE)</f>
        <v>1</v>
      </c>
      <c r="L731" s="174"/>
      <c r="M731" s="174"/>
      <c r="N731" s="174"/>
      <c r="O731" s="174"/>
      <c r="P731" s="174"/>
      <c r="Q731" s="174"/>
      <c r="R731" s="174"/>
      <c r="S731" s="174"/>
      <c r="T731" s="174"/>
      <c r="U731" s="174"/>
      <c r="V731" s="174"/>
      <c r="W731" s="174"/>
      <c r="X731" s="174"/>
      <c r="Y731" s="174"/>
      <c r="Z731" s="174"/>
    </row>
    <row r="732">
      <c r="A732" s="190" t="str">
        <f>IFERROR(__xludf.DUMMYFUNCTION("""COMPUTED_VALUE"""),"Arctic Quake")</f>
        <v>Arctic Quake</v>
      </c>
      <c r="B732" s="190" t="str">
        <f>IFERROR(__xludf.DUMMYFUNCTION("""COMPUTED_VALUE"""),"Ice")</f>
        <v>Ice</v>
      </c>
      <c r="C732" s="190" t="str">
        <f>IFERROR(__xludf.DUMMYFUNCTION("""COMPUTED_VALUE"""),"Physical")</f>
        <v>Physical</v>
      </c>
      <c r="D732" s="190" t="str">
        <f>IFERROR(__xludf.DUMMYFUNCTION("""COMPUTED_VALUE"""),"Scene x2")</f>
        <v>Scene x2</v>
      </c>
      <c r="E732" s="190" t="str">
        <f>IFERROR(__xludf.DUMMYFUNCTION("""COMPUTED_VALUE"""),"Burst 2, Full Action, Groundsource")</f>
        <v>Burst 2, Full Action, Groundsource</v>
      </c>
      <c r="F732" s="190">
        <f>IFERROR(__xludf.DUMMYFUNCTION("""COMPUTED_VALUE"""),7.0)</f>
        <v>7</v>
      </c>
      <c r="G732" s="190">
        <f>IFERROR(__xludf.DUMMYFUNCTION("""COMPUTED_VALUE"""),10.0)</f>
        <v>10</v>
      </c>
      <c r="H732" s="191" t="str">
        <f>IFERROR(__xludf.DUMMYFUNCTION("""COMPUTED_VALUE"""),"If desired, the user may turn all spaces within the range of this Attack into rough terrain. Terrain created this way can be ignored by any combatant with the Naturewalk (Tundra) Capability. Smite. Spirit Surge.")</f>
        <v>If desired, the user may turn all spaces within the range of this Attack into rough terrain. Terrain created this way can be ignored by any combatant with the Naturewalk (Tundra) Capability. Smite. Spirit Surge.</v>
      </c>
      <c r="I732" s="191" t="str">
        <f>IFERROR(__xludf.DUMMYFUNCTION("""COMPUTED_VALUE"""),"--")</f>
        <v>--</v>
      </c>
      <c r="J732" s="190" t="str">
        <f>IFERROR(__xludf.DUMMYFUNCTION("""COMPUTED_VALUE"""),"Tier 3")</f>
        <v>Tier 3</v>
      </c>
      <c r="K732" s="174" t="b">
        <f>IFERROR(__xludf.DUMMYFUNCTION("""COMPUTED_VALUE"""),TRUE)</f>
        <v>1</v>
      </c>
      <c r="L732" s="174"/>
      <c r="M732" s="174"/>
      <c r="N732" s="174"/>
      <c r="O732" s="174"/>
      <c r="P732" s="174"/>
      <c r="Q732" s="174"/>
      <c r="R732" s="174"/>
      <c r="S732" s="174"/>
      <c r="T732" s="174"/>
      <c r="U732" s="174"/>
      <c r="V732" s="174"/>
      <c r="W732" s="174"/>
      <c r="X732" s="174"/>
      <c r="Y732" s="174"/>
      <c r="Z732" s="174"/>
    </row>
    <row r="733">
      <c r="A733" s="190" t="str">
        <f>IFERROR(__xludf.DUMMYFUNCTION("""COMPUTED_VALUE"""),"Aurora Beam")</f>
        <v>Aurora Beam</v>
      </c>
      <c r="B733" s="190" t="str">
        <f>IFERROR(__xludf.DUMMYFUNCTION("""COMPUTED_VALUE"""),"Ice")</f>
        <v>Ice</v>
      </c>
      <c r="C733" s="190" t="str">
        <f>IFERROR(__xludf.DUMMYFUNCTION("""COMPUTED_VALUE"""),"Special")</f>
        <v>Special</v>
      </c>
      <c r="D733" s="190" t="str">
        <f>IFERROR(__xludf.DUMMYFUNCTION("""COMPUTED_VALUE"""),"EOT")</f>
        <v>EOT</v>
      </c>
      <c r="E733" s="190" t="str">
        <f>IFERROR(__xludf.DUMMYFUNCTION("""COMPUTED_VALUE"""),"4, 1 Target")</f>
        <v>4, 1 Target</v>
      </c>
      <c r="F733" s="190">
        <f>IFERROR(__xludf.DUMMYFUNCTION("""COMPUTED_VALUE"""),3.0)</f>
        <v>3</v>
      </c>
      <c r="G733" s="190">
        <f>IFERROR(__xludf.DUMMYFUNCTION("""COMPUTED_VALUE"""),7.0)</f>
        <v>7</v>
      </c>
      <c r="H733" s="191" t="str">
        <f>IFERROR(__xludf.DUMMYFUNCTION("""COMPUTED_VALUE"""),"The user may use their Special Defense as the Offensive Stat for this Attack instead of Special Attack.")</f>
        <v>The user may use their Special Defense as the Offensive Stat for this Attack instead of Special Attack.</v>
      </c>
      <c r="I733" s="191" t="str">
        <f>IFERROR(__xludf.DUMMYFUNCTION("""COMPUTED_VALUE"""),"--")</f>
        <v>--</v>
      </c>
      <c r="J733" s="190" t="str">
        <f>IFERROR(__xludf.DUMMYFUNCTION("""COMPUTED_VALUE"""),"Tier 1")</f>
        <v>Tier 1</v>
      </c>
      <c r="K733" s="174" t="b">
        <f>IFERROR(__xludf.DUMMYFUNCTION("""COMPUTED_VALUE"""),TRUE)</f>
        <v>1</v>
      </c>
      <c r="L733" s="174"/>
      <c r="M733" s="174"/>
      <c r="N733" s="174"/>
      <c r="O733" s="174"/>
      <c r="P733" s="174"/>
      <c r="Q733" s="174"/>
      <c r="R733" s="174"/>
      <c r="S733" s="174"/>
      <c r="T733" s="174"/>
      <c r="U733" s="174"/>
      <c r="V733" s="174"/>
      <c r="W733" s="174"/>
      <c r="X733" s="174"/>
      <c r="Y733" s="174"/>
      <c r="Z733" s="174"/>
    </row>
    <row r="734">
      <c r="A734" s="190" t="str">
        <f>IFERROR(__xludf.DUMMYFUNCTION("""COMPUTED_VALUE"""),"Aurora Veil")</f>
        <v>Aurora Veil</v>
      </c>
      <c r="B734" s="190" t="str">
        <f>IFERROR(__xludf.DUMMYFUNCTION("""COMPUTED_VALUE"""),"Ice")</f>
        <v>Ice</v>
      </c>
      <c r="C734" s="190" t="str">
        <f>IFERROR(__xludf.DUMMYFUNCTION("""COMPUTED_VALUE"""),"Status")</f>
        <v>Status</v>
      </c>
      <c r="D734" s="190" t="str">
        <f>IFERROR(__xludf.DUMMYFUNCTION("""COMPUTED_VALUE"""),"Scene x2")</f>
        <v>Scene x2</v>
      </c>
      <c r="E734" s="190" t="str">
        <f>IFERROR(__xludf.DUMMYFUNCTION("""COMPUTED_VALUE"""),"Blessing, Versatile")</f>
        <v>Blessing, Versatile</v>
      </c>
      <c r="F734" s="190" t="str">
        <f>IFERROR(__xludf.DUMMYFUNCTION("""COMPUTED_VALUE"""),"--")</f>
        <v>--</v>
      </c>
      <c r="G734" s="190" t="str">
        <f>IFERROR(__xludf.DUMMYFUNCTION("""COMPUTED_VALUE"""),"--")</f>
        <v>--</v>
      </c>
      <c r="H734" s="191" t="str">
        <f>IFERROR(__xludf.DUMMYFUNCTION("""COMPUTED_VALUE"""),"Blessing – Any user affected by Aurora Veil may activate it as a Free Action when receiving Damage to gain DR against it equal to their Tier Value. Aurora Veil may be Activated 3 times, and then disappears. ")</f>
        <v>Blessing – Any user affected by Aurora Veil may activate it as a Free Action when receiving Damage to gain DR against it equal to their Tier Value. Aurora Veil may be Activated 3 times, and then disappears. </v>
      </c>
      <c r="I734" s="191" t="str">
        <f>IFERROR(__xludf.DUMMYFUNCTION("""COMPUTED_VALUE"""),"The Weather must be Snowy or Mystical in order to use this Attack this way. Same as the normal Effect, but it only has one Activation.")</f>
        <v>The Weather must be Snowy or Mystical in order to use this Attack this way. Same as the normal Effect, but it only has one Activation.</v>
      </c>
      <c r="J734" s="190" t="str">
        <f>IFERROR(__xludf.DUMMYFUNCTION("""COMPUTED_VALUE"""),"Tier 2")</f>
        <v>Tier 2</v>
      </c>
      <c r="K734" s="174" t="b">
        <f>IFERROR(__xludf.DUMMYFUNCTION("""COMPUTED_VALUE"""),FALSE)</f>
        <v>0</v>
      </c>
      <c r="L734" s="174"/>
      <c r="M734" s="174"/>
      <c r="N734" s="174"/>
      <c r="O734" s="174"/>
      <c r="P734" s="174"/>
      <c r="Q734" s="174"/>
      <c r="R734" s="174"/>
      <c r="S734" s="174"/>
      <c r="T734" s="174"/>
      <c r="U734" s="174"/>
      <c r="V734" s="174"/>
      <c r="W734" s="174"/>
      <c r="X734" s="174"/>
      <c r="Y734" s="174"/>
      <c r="Z734" s="174"/>
    </row>
    <row r="735">
      <c r="A735" s="190" t="str">
        <f>IFERROR(__xludf.DUMMYFUNCTION("""COMPUTED_VALUE"""),"Avalanche")</f>
        <v>Avalanche</v>
      </c>
      <c r="B735" s="190" t="str">
        <f>IFERROR(__xludf.DUMMYFUNCTION("""COMPUTED_VALUE"""),"Ice")</f>
        <v>Ice</v>
      </c>
      <c r="C735" s="190" t="str">
        <f>IFERROR(__xludf.DUMMYFUNCTION("""COMPUTED_VALUE"""),"Physical")</f>
        <v>Physical</v>
      </c>
      <c r="D735" s="190" t="str">
        <f>IFERROR(__xludf.DUMMYFUNCTION("""COMPUTED_VALUE"""),"EOT")</f>
        <v>EOT</v>
      </c>
      <c r="E735" s="190" t="str">
        <f>IFERROR(__xludf.DUMMYFUNCTION("""COMPUTED_VALUE"""),"6, Ranged Blast 2, Full Action")</f>
        <v>6, Ranged Blast 2, Full Action</v>
      </c>
      <c r="F735" s="190">
        <f>IFERROR(__xludf.DUMMYFUNCTION("""COMPUTED_VALUE"""),5.0)</f>
        <v>5</v>
      </c>
      <c r="G735" s="190">
        <f>IFERROR(__xludf.DUMMYFUNCTION("""COMPUTED_VALUE"""),8.0)</f>
        <v>8</v>
      </c>
      <c r="H735" s="191" t="str">
        <f>IFERROR(__xludf.DUMMYFUNCTION("""COMPUTED_VALUE"""),"You may create Blocking Terrain [Breakable - Dense], in all unoccupied spaces in the Range of this Attack. If the user is Large Size+, the Blocking Terrain created this way is Large, otherside it is Small. Spirit Surge.")</f>
        <v>You may create Blocking Terrain [Breakable - Dense], in all unoccupied spaces in the Range of this Attack. If the user is Large Size+, the Blocking Terrain created this way is Large, otherside it is Small. Spirit Surge.</v>
      </c>
      <c r="I735" s="191" t="str">
        <f>IFERROR(__xludf.DUMMYFUNCTION("""COMPUTED_VALUE"""),"--")</f>
        <v>--</v>
      </c>
      <c r="J735" s="190" t="str">
        <f>IFERROR(__xludf.DUMMYFUNCTION("""COMPUTED_VALUE"""),"Tier 2")</f>
        <v>Tier 2</v>
      </c>
      <c r="K735" s="174" t="b">
        <f>IFERROR(__xludf.DUMMYFUNCTION("""COMPUTED_VALUE"""),TRUE)</f>
        <v>1</v>
      </c>
      <c r="L735" s="174"/>
      <c r="M735" s="174"/>
      <c r="N735" s="174"/>
      <c r="O735" s="174"/>
      <c r="P735" s="174"/>
      <c r="Q735" s="174"/>
      <c r="R735" s="174"/>
      <c r="S735" s="174"/>
      <c r="T735" s="174"/>
      <c r="U735" s="174"/>
      <c r="V735" s="174"/>
      <c r="W735" s="174"/>
      <c r="X735" s="174"/>
      <c r="Y735" s="174"/>
      <c r="Z735" s="174"/>
    </row>
    <row r="736">
      <c r="A736" s="190" t="str">
        <f>IFERROR(__xludf.DUMMYFUNCTION("""COMPUTED_VALUE"""),"Blizzard")</f>
        <v>Blizzard</v>
      </c>
      <c r="B736" s="190" t="str">
        <f>IFERROR(__xludf.DUMMYFUNCTION("""COMPUTED_VALUE"""),"Ice")</f>
        <v>Ice</v>
      </c>
      <c r="C736" s="190" t="str">
        <f>IFERROR(__xludf.DUMMYFUNCTION("""COMPUTED_VALUE"""),"Special")</f>
        <v>Special</v>
      </c>
      <c r="D736" s="190" t="str">
        <f>IFERROR(__xludf.DUMMYFUNCTION("""COMPUTED_VALUE"""),"Scene x2")</f>
        <v>Scene x2</v>
      </c>
      <c r="E736" s="190" t="str">
        <f>IFERROR(__xludf.DUMMYFUNCTION("""COMPUTED_VALUE"""),"5, Ranged Blast 3, Full Action")</f>
        <v>5, Ranged Blast 3, Full Action</v>
      </c>
      <c r="F736" s="190">
        <f>IFERROR(__xludf.DUMMYFUNCTION("""COMPUTED_VALUE"""),7.0)</f>
        <v>7</v>
      </c>
      <c r="G736" s="190">
        <f>IFERROR(__xludf.DUMMYFUNCTION("""COMPUTED_VALUE"""),11.0)</f>
        <v>11</v>
      </c>
      <c r="H736" s="191" t="str">
        <f>IFERROR(__xludf.DUMMYFUNCTION("""COMPUTED_VALUE"""),"Blizzard Chills all Targets on a roll of 15+. If the Weather is Snowy, Blizzard has the Sureshot Keyword. Smite")</f>
        <v>Blizzard Chills all Targets on a roll of 15+. If the Weather is Snowy, Blizzard has the Sureshot Keyword. Smite</v>
      </c>
      <c r="I736" s="191" t="str">
        <f>IFERROR(__xludf.DUMMYFUNCTION("""COMPUTED_VALUE"""),"--")</f>
        <v>--</v>
      </c>
      <c r="J736" s="190" t="str">
        <f>IFERROR(__xludf.DUMMYFUNCTION("""COMPUTED_VALUE"""),"Tier 3")</f>
        <v>Tier 3</v>
      </c>
      <c r="K736" s="174" t="b">
        <f>IFERROR(__xludf.DUMMYFUNCTION("""COMPUTED_VALUE"""),TRUE)</f>
        <v>1</v>
      </c>
      <c r="L736" s="174"/>
      <c r="M736" s="174"/>
      <c r="N736" s="174"/>
      <c r="O736" s="174"/>
      <c r="P736" s="174"/>
      <c r="Q736" s="174"/>
      <c r="R736" s="174"/>
      <c r="S736" s="174"/>
      <c r="T736" s="174"/>
      <c r="U736" s="174"/>
      <c r="V736" s="174"/>
      <c r="W736" s="174"/>
      <c r="X736" s="174"/>
      <c r="Y736" s="174"/>
      <c r="Z736" s="174"/>
    </row>
    <row r="737">
      <c r="A737" s="190" t="str">
        <f>IFERROR(__xludf.DUMMYFUNCTION("""COMPUTED_VALUE"""),"Cleansing Aurora")</f>
        <v>Cleansing Aurora</v>
      </c>
      <c r="B737" s="190" t="str">
        <f>IFERROR(__xludf.DUMMYFUNCTION("""COMPUTED_VALUE"""),"Ice")</f>
        <v>Ice</v>
      </c>
      <c r="C737" s="190" t="str">
        <f>IFERROR(__xludf.DUMMYFUNCTION("""COMPUTED_VALUE"""),"Status")</f>
        <v>Status</v>
      </c>
      <c r="D737" s="190" t="str">
        <f>IFERROR(__xludf.DUMMYFUNCTION("""COMPUTED_VALUE"""),"Scene x2")</f>
        <v>Scene x2</v>
      </c>
      <c r="E737" s="190" t="str">
        <f>IFERROR(__xludf.DUMMYFUNCTION("""COMPUTED_VALUE"""),"Blessing, Versatile")</f>
        <v>Blessing, Versatile</v>
      </c>
      <c r="F737" s="190" t="str">
        <f>IFERROR(__xludf.DUMMYFUNCTION("""COMPUTED_VALUE"""),"--")</f>
        <v>--</v>
      </c>
      <c r="G737" s="190" t="str">
        <f>IFERROR(__xludf.DUMMYFUNCTION("""COMPUTED_VALUE"""),"--")</f>
        <v>--</v>
      </c>
      <c r="H737" s="191" t="str">
        <f>IFERROR(__xludf.DUMMYFUNCTION("""COMPUTED_VALUE"""),"Blessing - Any user affected by Cleansing Aurora may activate it as a Free Action when gaining a Status Affliction to instead not gain that affliction. Cleansing Aurora may also be Activated as a Swift Action to restore 2 Ticks of Hit Points to the activa"&amp;"tor or cure an affliction they have. Cleansing Aurora may be Activated three times before disappearing. ")</f>
        <v>Blessing - Any user affected by Cleansing Aurora may activate it as a Free Action when gaining a Status Affliction to instead not gain that affliction. Cleansing Aurora may also be Activated as a Swift Action to restore 2 Ticks of Hit Points to the activator or cure an affliction they have. Cleansing Aurora may be Activated three times before disappearing. </v>
      </c>
      <c r="I737" s="191" t="str">
        <f>IFERROR(__xludf.DUMMYFUNCTION("""COMPUTED_VALUE"""),"The Weather must be Snowy or Mystical in order to use this Attack this way. Same as the normal Effect, but it only has one Activation.")</f>
        <v>The Weather must be Snowy or Mystical in order to use this Attack this way. Same as the normal Effect, but it only has one Activation.</v>
      </c>
      <c r="J737" s="190" t="str">
        <f>IFERROR(__xludf.DUMMYFUNCTION("""COMPUTED_VALUE"""),"Tier 2")</f>
        <v>Tier 2</v>
      </c>
      <c r="K737" s="174" t="b">
        <f>IFERROR(__xludf.DUMMYFUNCTION("""COMPUTED_VALUE"""),TRUE)</f>
        <v>1</v>
      </c>
      <c r="L737" s="174"/>
      <c r="M737" s="174"/>
      <c r="N737" s="174"/>
      <c r="O737" s="174"/>
      <c r="P737" s="174"/>
      <c r="Q737" s="174"/>
      <c r="R737" s="174"/>
      <c r="S737" s="174"/>
      <c r="T737" s="174"/>
      <c r="U737" s="174"/>
      <c r="V737" s="174"/>
      <c r="W737" s="174"/>
      <c r="X737" s="174"/>
      <c r="Y737" s="174"/>
      <c r="Z737" s="174"/>
    </row>
    <row r="738">
      <c r="A738" s="190" t="str">
        <f>IFERROR(__xludf.DUMMYFUNCTION("""COMPUTED_VALUE"""),"Crystal Slash")</f>
        <v>Crystal Slash</v>
      </c>
      <c r="B738" s="190" t="str">
        <f>IFERROR(__xludf.DUMMYFUNCTION("""COMPUTED_VALUE"""),"Ice")</f>
        <v>Ice</v>
      </c>
      <c r="C738" s="190" t="str">
        <f>IFERROR(__xludf.DUMMYFUNCTION("""COMPUTED_VALUE"""),"Physical")</f>
        <v>Physical</v>
      </c>
      <c r="D738" s="190" t="str">
        <f>IFERROR(__xludf.DUMMYFUNCTION("""COMPUTED_VALUE"""),"EOT")</f>
        <v>EOT</v>
      </c>
      <c r="E738" s="190" t="str">
        <f>IFERROR(__xludf.DUMMYFUNCTION("""COMPUTED_VALUE"""),"Melee, Pass")</f>
        <v>Melee, Pass</v>
      </c>
      <c r="F738" s="190">
        <f>IFERROR(__xludf.DUMMYFUNCTION("""COMPUTED_VALUE"""),6.0)</f>
        <v>6</v>
      </c>
      <c r="G738" s="190">
        <f>IFERROR(__xludf.DUMMYFUNCTION("""COMPUTED_VALUE"""),8.0)</f>
        <v>8</v>
      </c>
      <c r="H738" s="191" t="str">
        <f>IFERROR(__xludf.DUMMYFUNCTION("""COMPUTED_VALUE"""),"Crystal Slash is a Critical Hit on a roll of 18+. If this Attack is used without activating the Pass Keyword, thiis has the Smite Keyword.")</f>
        <v>Crystal Slash is a Critical Hit on a roll of 18+. If this Attack is used without activating the Pass Keyword, thiis has the Smite Keyword.</v>
      </c>
      <c r="I738" s="191" t="str">
        <f>IFERROR(__xludf.DUMMYFUNCTION("""COMPUTED_VALUE"""),"--")</f>
        <v>--</v>
      </c>
      <c r="J738" s="190" t="str">
        <f>IFERROR(__xludf.DUMMYFUNCTION("""COMPUTED_VALUE"""),"Tier 2")</f>
        <v>Tier 2</v>
      </c>
      <c r="K738" s="174" t="b">
        <f>IFERROR(__xludf.DUMMYFUNCTION("""COMPUTED_VALUE"""),TRUE)</f>
        <v>1</v>
      </c>
      <c r="L738" s="174"/>
      <c r="M738" s="174"/>
      <c r="N738" s="174"/>
      <c r="O738" s="174"/>
      <c r="P738" s="174"/>
      <c r="Q738" s="174"/>
      <c r="R738" s="174"/>
      <c r="S738" s="174"/>
      <c r="T738" s="174"/>
      <c r="U738" s="174"/>
      <c r="V738" s="174"/>
      <c r="W738" s="174"/>
      <c r="X738" s="174"/>
      <c r="Y738" s="174"/>
      <c r="Z738" s="174"/>
    </row>
    <row r="739">
      <c r="A739" s="190" t="str">
        <f>IFERROR(__xludf.DUMMYFUNCTION("""COMPUTED_VALUE"""),"Freeze-Dry")</f>
        <v>Freeze-Dry</v>
      </c>
      <c r="B739" s="190" t="str">
        <f>IFERROR(__xludf.DUMMYFUNCTION("""COMPUTED_VALUE"""),"Ice")</f>
        <v>Ice</v>
      </c>
      <c r="C739" s="190" t="str">
        <f>IFERROR(__xludf.DUMMYFUNCTION("""COMPUTED_VALUE"""),"Special")</f>
        <v>Special</v>
      </c>
      <c r="D739" s="190" t="str">
        <f>IFERROR(__xludf.DUMMYFUNCTION("""COMPUTED_VALUE"""),"EOT")</f>
        <v>EOT</v>
      </c>
      <c r="E739" s="190" t="str">
        <f>IFERROR(__xludf.DUMMYFUNCTION("""COMPUTED_VALUE"""),"6, 1 Target")</f>
        <v>6, 1 Target</v>
      </c>
      <c r="F739" s="190">
        <f>IFERROR(__xludf.DUMMYFUNCTION("""COMPUTED_VALUE"""),3.0)</f>
        <v>3</v>
      </c>
      <c r="G739" s="190">
        <f>IFERROR(__xludf.DUMMYFUNCTION("""COMPUTED_VALUE"""),7.0)</f>
        <v>7</v>
      </c>
      <c r="H739" s="191" t="str">
        <f>IFERROR(__xludf.DUMMYFUNCTION("""COMPUTED_VALUE"""),"When calculating Weakness and Resistance for Freeze-Dry, Water Typed Targets calculate damage as if Water was weak to Ice. If the Weather is Snowy or the Target is Water Type, on a Roll of 16+, the Target becomes Chilled.")</f>
        <v>When calculating Weakness and Resistance for Freeze-Dry, Water Typed Targets calculate damage as if Water was weak to Ice. If the Weather is Snowy or the Target is Water Type, on a Roll of 16+, the Target becomes Chilled.</v>
      </c>
      <c r="I739" s="191" t="str">
        <f>IFERROR(__xludf.DUMMYFUNCTION("""COMPUTED_VALUE"""),"--")</f>
        <v>--</v>
      </c>
      <c r="J739" s="190" t="str">
        <f>IFERROR(__xludf.DUMMYFUNCTION("""COMPUTED_VALUE"""),"Tier 1")</f>
        <v>Tier 1</v>
      </c>
      <c r="K739" s="174" t="b">
        <f>IFERROR(__xludf.DUMMYFUNCTION("""COMPUTED_VALUE"""),TRUE)</f>
        <v>1</v>
      </c>
      <c r="L739" s="174"/>
      <c r="M739" s="174"/>
      <c r="N739" s="174"/>
      <c r="O739" s="174"/>
      <c r="P739" s="174"/>
      <c r="Q739" s="174"/>
      <c r="R739" s="174"/>
      <c r="S739" s="174"/>
      <c r="T739" s="174"/>
      <c r="U739" s="174"/>
      <c r="V739" s="174"/>
      <c r="W739" s="174"/>
      <c r="X739" s="174"/>
      <c r="Y739" s="174"/>
      <c r="Z739" s="174"/>
    </row>
    <row r="740">
      <c r="A740" s="190" t="str">
        <f>IFERROR(__xludf.DUMMYFUNCTION("""COMPUTED_VALUE"""),"Frostbite")</f>
        <v>Frostbite</v>
      </c>
      <c r="B740" s="190" t="str">
        <f>IFERROR(__xludf.DUMMYFUNCTION("""COMPUTED_VALUE"""),"Ice")</f>
        <v>Ice</v>
      </c>
      <c r="C740" s="190" t="str">
        <f>IFERROR(__xludf.DUMMYFUNCTION("""COMPUTED_VALUE"""),"Status")</f>
        <v>Status</v>
      </c>
      <c r="D740" s="190" t="str">
        <f>IFERROR(__xludf.DUMMYFUNCTION("""COMPUTED_VALUE"""),"Scene x2")</f>
        <v>Scene x2</v>
      </c>
      <c r="E740" s="190" t="str">
        <f>IFERROR(__xludf.DUMMYFUNCTION("""COMPUTED_VALUE"""),"Melee, 1 Target, Versatile")</f>
        <v>Melee, 1 Target, Versatile</v>
      </c>
      <c r="F740" s="190">
        <f>IFERROR(__xludf.DUMMYFUNCTION("""COMPUTED_VALUE"""),6.0)</f>
        <v>6</v>
      </c>
      <c r="G740" s="190" t="str">
        <f>IFERROR(__xludf.DUMMYFUNCTION("""COMPUTED_VALUE"""),"--")</f>
        <v>--</v>
      </c>
      <c r="H740" s="191" t="str">
        <f>IFERROR(__xludf.DUMMYFUNCTION("""COMPUTED_VALUE"""),"On a Hit, the Target becomes Chilled. On a Miss, the Target becomes Wounded. On a roll of 18+, they gain both. Spirit Surge.")</f>
        <v>On a Hit, the Target becomes Chilled. On a Miss, the Target becomes Wounded. On a roll of 18+, they gain both. Spirit Surge.</v>
      </c>
      <c r="I740" s="191" t="str">
        <f>IFERROR(__xludf.DUMMYFUNCTION("""COMPUTED_VALUE"""),"The Target becomes Wounded. If the Target is already Wounded, they become Chilled instead.")</f>
        <v>The Target becomes Wounded. If the Target is already Wounded, they become Chilled instead.</v>
      </c>
      <c r="J740" s="190" t="str">
        <f>IFERROR(__xludf.DUMMYFUNCTION("""COMPUTED_VALUE"""),"Tier 2")</f>
        <v>Tier 2</v>
      </c>
      <c r="K740" s="174" t="b">
        <f>IFERROR(__xludf.DUMMYFUNCTION("""COMPUTED_VALUE"""),TRUE)</f>
        <v>1</v>
      </c>
      <c r="L740" s="174"/>
      <c r="M740" s="174"/>
      <c r="N740" s="174"/>
      <c r="O740" s="174"/>
      <c r="P740" s="174"/>
      <c r="Q740" s="174"/>
      <c r="R740" s="174"/>
      <c r="S740" s="174"/>
      <c r="T740" s="174"/>
      <c r="U740" s="174"/>
      <c r="V740" s="174"/>
      <c r="W740" s="174"/>
      <c r="X740" s="174"/>
      <c r="Y740" s="174"/>
      <c r="Z740" s="174"/>
    </row>
    <row r="741">
      <c r="A741" s="190" t="str">
        <f>IFERROR(__xludf.DUMMYFUNCTION("""COMPUTED_VALUE"""),"Frost Blast")</f>
        <v>Frost Blast</v>
      </c>
      <c r="B741" s="190" t="str">
        <f>IFERROR(__xludf.DUMMYFUNCTION("""COMPUTED_VALUE"""),"Ice")</f>
        <v>Ice</v>
      </c>
      <c r="C741" s="190" t="str">
        <f>IFERROR(__xludf.DUMMYFUNCTION("""COMPUTED_VALUE"""),"Special")</f>
        <v>Special</v>
      </c>
      <c r="D741" s="190" t="str">
        <f>IFERROR(__xludf.DUMMYFUNCTION("""COMPUTED_VALUE"""),"EOT")</f>
        <v>EOT</v>
      </c>
      <c r="E741" s="190" t="str">
        <f>IFERROR(__xludf.DUMMYFUNCTION("""COMPUTED_VALUE"""),"Close Blast 2")</f>
        <v>Close Blast 2</v>
      </c>
      <c r="F741" s="190">
        <f>IFERROR(__xludf.DUMMYFUNCTION("""COMPUTED_VALUE"""),6.0)</f>
        <v>6</v>
      </c>
      <c r="G741" s="190">
        <f>IFERROR(__xludf.DUMMYFUNCTION("""COMPUTED_VALUE"""),8.0)</f>
        <v>8</v>
      </c>
      <c r="H741" s="191" t="str">
        <f>IFERROR(__xludf.DUMMYFUNCTION("""COMPUTED_VALUE"""),"On a roll of 16+, all Targets becomes Slowed. If the Weather is Snowy, this may also be used as if it were Close Blast 3.")</f>
        <v>On a roll of 16+, all Targets becomes Slowed. If the Weather is Snowy, this may also be used as if it were Close Blast 3.</v>
      </c>
      <c r="I741" s="191" t="str">
        <f>IFERROR(__xludf.DUMMYFUNCTION("""COMPUTED_VALUE"""),"--")</f>
        <v>--</v>
      </c>
      <c r="J741" s="190" t="str">
        <f>IFERROR(__xludf.DUMMYFUNCTION("""COMPUTED_VALUE"""),"Tier 2")</f>
        <v>Tier 2</v>
      </c>
      <c r="K741" s="174" t="b">
        <f>IFERROR(__xludf.DUMMYFUNCTION("""COMPUTED_VALUE"""),TRUE)</f>
        <v>1</v>
      </c>
      <c r="L741" s="174"/>
      <c r="M741" s="174"/>
      <c r="N741" s="174"/>
      <c r="O741" s="174"/>
      <c r="P741" s="174"/>
      <c r="Q741" s="174"/>
      <c r="R741" s="174"/>
      <c r="S741" s="174"/>
      <c r="T741" s="174"/>
      <c r="U741" s="174"/>
      <c r="V741" s="174"/>
      <c r="W741" s="174"/>
      <c r="X741" s="174"/>
      <c r="Y741" s="174"/>
      <c r="Z741" s="174"/>
    </row>
    <row r="742">
      <c r="A742" s="190" t="str">
        <f>IFERROR(__xludf.DUMMYFUNCTION("""COMPUTED_VALUE"""),"Frost Breath")</f>
        <v>Frost Breath</v>
      </c>
      <c r="B742" s="190" t="str">
        <f>IFERROR(__xludf.DUMMYFUNCTION("""COMPUTED_VALUE"""),"Ice")</f>
        <v>Ice</v>
      </c>
      <c r="C742" s="190" t="str">
        <f>IFERROR(__xludf.DUMMYFUNCTION("""COMPUTED_VALUE"""),"Special")</f>
        <v>Special</v>
      </c>
      <c r="D742" s="190" t="str">
        <f>IFERROR(__xludf.DUMMYFUNCTION("""COMPUTED_VALUE"""),"EOT")</f>
        <v>EOT</v>
      </c>
      <c r="E742" s="190" t="str">
        <f>IFERROR(__xludf.DUMMYFUNCTION("""COMPUTED_VALUE"""),"Line 4")</f>
        <v>Line 4</v>
      </c>
      <c r="F742" s="190">
        <f>IFERROR(__xludf.DUMMYFUNCTION("""COMPUTED_VALUE"""),5.0)</f>
        <v>5</v>
      </c>
      <c r="G742" s="190">
        <f>IFERROR(__xludf.DUMMYFUNCTION("""COMPUTED_VALUE"""),6.0)</f>
        <v>6</v>
      </c>
      <c r="H742" s="191" t="str">
        <f>IFERROR(__xludf.DUMMYFUNCTION("""COMPUTED_VALUE"""),"On a roll of 18+, all Targets become Chilled. If the Weather is Snowy or as a Swift+Movement Action, this Attack gains the Smite Keyword.")</f>
        <v>On a roll of 18+, all Targets become Chilled. If the Weather is Snowy or as a Swift+Movement Action, this Attack gains the Smite Keyword.</v>
      </c>
      <c r="I742" s="191" t="str">
        <f>IFERROR(__xludf.DUMMYFUNCTION("""COMPUTED_VALUE"""),"--")</f>
        <v>--</v>
      </c>
      <c r="J742" s="190" t="str">
        <f>IFERROR(__xludf.DUMMYFUNCTION("""COMPUTED_VALUE"""),"Tier 1")</f>
        <v>Tier 1</v>
      </c>
      <c r="K742" s="174" t="b">
        <f>IFERROR(__xludf.DUMMYFUNCTION("""COMPUTED_VALUE"""),TRUE)</f>
        <v>1</v>
      </c>
      <c r="L742" s="174"/>
      <c r="M742" s="174"/>
      <c r="N742" s="174"/>
      <c r="O742" s="174"/>
      <c r="P742" s="174"/>
      <c r="Q742" s="174"/>
      <c r="R742" s="174"/>
      <c r="S742" s="174"/>
      <c r="T742" s="174"/>
      <c r="U742" s="174"/>
      <c r="V742" s="174"/>
      <c r="W742" s="174"/>
      <c r="X742" s="174"/>
      <c r="Y742" s="174"/>
      <c r="Z742" s="174"/>
    </row>
    <row r="743">
      <c r="A743" s="190" t="str">
        <f>IFERROR(__xludf.DUMMYFUNCTION("""COMPUTED_VALUE"""),"Frost Typhoon")</f>
        <v>Frost Typhoon</v>
      </c>
      <c r="B743" s="190" t="str">
        <f>IFERROR(__xludf.DUMMYFUNCTION("""COMPUTED_VALUE"""),"Ice")</f>
        <v>Ice</v>
      </c>
      <c r="C743" s="190" t="str">
        <f>IFERROR(__xludf.DUMMYFUNCTION("""COMPUTED_VALUE"""),"Special")</f>
        <v>Special</v>
      </c>
      <c r="D743" s="190" t="str">
        <f>IFERROR(__xludf.DUMMYFUNCTION("""COMPUTED_VALUE"""),"Scene")</f>
        <v>Scene</v>
      </c>
      <c r="E743" s="190" t="str">
        <f>IFERROR(__xludf.DUMMYFUNCTION("""COMPUTED_VALUE"""),"8, Ranged Blast 3, Full Action")</f>
        <v>8, Ranged Blast 3, Full Action</v>
      </c>
      <c r="F743" s="190">
        <f>IFERROR(__xludf.DUMMYFUNCTION("""COMPUTED_VALUE"""),7.0)</f>
        <v>7</v>
      </c>
      <c r="G743" s="190">
        <f>IFERROR(__xludf.DUMMYFUNCTION("""COMPUTED_VALUE"""),12.0)</f>
        <v>12</v>
      </c>
      <c r="H743" s="191" t="str">
        <f>IFERROR(__xludf.DUMMYFUNCTION("""COMPUTED_VALUE"""),"On a roll of 16+, all Targets become Chilled. If the Weather is Snowy this has the Smite Keyword. This Attack is a Critical hit on a 17+ against Chilled Targets. ")</f>
        <v>On a roll of 16+, all Targets become Chilled. If the Weather is Snowy this has the Smite Keyword. This Attack is a Critical hit on a 17+ against Chilled Targets. </v>
      </c>
      <c r="I743" s="191" t="str">
        <f>IFERROR(__xludf.DUMMYFUNCTION("""COMPUTED_VALUE"""),"--")</f>
        <v>--</v>
      </c>
      <c r="J743" s="190" t="str">
        <f>IFERROR(__xludf.DUMMYFUNCTION("""COMPUTED_VALUE"""),"Tier 3")</f>
        <v>Tier 3</v>
      </c>
      <c r="K743" s="174" t="b">
        <f>IFERROR(__xludf.DUMMYFUNCTION("""COMPUTED_VALUE"""),TRUE)</f>
        <v>1</v>
      </c>
      <c r="L743" s="174"/>
      <c r="M743" s="174"/>
      <c r="N743" s="174"/>
      <c r="O743" s="174"/>
      <c r="P743" s="174"/>
      <c r="Q743" s="174"/>
      <c r="R743" s="174"/>
      <c r="S743" s="174"/>
      <c r="T743" s="174"/>
      <c r="U743" s="174"/>
      <c r="V743" s="174"/>
      <c r="W743" s="174"/>
      <c r="X743" s="174"/>
      <c r="Y743" s="174"/>
      <c r="Z743" s="174"/>
    </row>
    <row r="744">
      <c r="A744" s="190" t="str">
        <f>IFERROR(__xludf.DUMMYFUNCTION("""COMPUTED_VALUE"""),"Frozen Claw")</f>
        <v>Frozen Claw</v>
      </c>
      <c r="B744" s="190" t="str">
        <f>IFERROR(__xludf.DUMMYFUNCTION("""COMPUTED_VALUE"""),"Ice")</f>
        <v>Ice</v>
      </c>
      <c r="C744" s="190" t="str">
        <f>IFERROR(__xludf.DUMMYFUNCTION("""COMPUTED_VALUE"""),"Physical")</f>
        <v>Physical</v>
      </c>
      <c r="D744" s="190" t="str">
        <f>IFERROR(__xludf.DUMMYFUNCTION("""COMPUTED_VALUE"""),"EOT")</f>
        <v>EOT</v>
      </c>
      <c r="E744" s="190" t="str">
        <f>IFERROR(__xludf.DUMMYFUNCTION("""COMPUTED_VALUE"""),"Melee, 1 Target")</f>
        <v>Melee, 1 Target</v>
      </c>
      <c r="F744" s="190">
        <f>IFERROR(__xludf.DUMMYFUNCTION("""COMPUTED_VALUE"""),3.0)</f>
        <v>3</v>
      </c>
      <c r="G744" s="190">
        <f>IFERROR(__xludf.DUMMYFUNCTION("""COMPUTED_VALUE"""),8.0)</f>
        <v>8</v>
      </c>
      <c r="H744" s="191" t="str">
        <f>IFERROR(__xludf.DUMMYFUNCTION("""COMPUTED_VALUE"""),"On a roll of 17+, the Target gains the Wounded or Chilled Affliction.")</f>
        <v>On a roll of 17+, the Target gains the Wounded or Chilled Affliction.</v>
      </c>
      <c r="I744" s="191" t="str">
        <f>IFERROR(__xludf.DUMMYFUNCTION("""COMPUTED_VALUE"""),"--")</f>
        <v>--</v>
      </c>
      <c r="J744" s="190" t="str">
        <f>IFERROR(__xludf.DUMMYFUNCTION("""COMPUTED_VALUE"""),"Tier 2")</f>
        <v>Tier 2</v>
      </c>
      <c r="K744" s="174" t="b">
        <f>IFERROR(__xludf.DUMMYFUNCTION("""COMPUTED_VALUE"""),TRUE)</f>
        <v>1</v>
      </c>
      <c r="L744" s="174"/>
      <c r="M744" s="174"/>
      <c r="N744" s="174"/>
      <c r="O744" s="174"/>
      <c r="P744" s="174"/>
      <c r="Q744" s="174"/>
      <c r="R744" s="174"/>
      <c r="S744" s="174"/>
      <c r="T744" s="174"/>
      <c r="U744" s="174"/>
      <c r="V744" s="174"/>
      <c r="W744" s="174"/>
      <c r="X744" s="174"/>
      <c r="Y744" s="174"/>
      <c r="Z744" s="174"/>
    </row>
    <row r="745">
      <c r="A745" s="190" t="str">
        <f>IFERROR(__xludf.DUMMYFUNCTION("""COMPUTED_VALUE"""),"Frozen Rush")</f>
        <v>Frozen Rush</v>
      </c>
      <c r="B745" s="190" t="str">
        <f>IFERROR(__xludf.DUMMYFUNCTION("""COMPUTED_VALUE"""),"Ice")</f>
        <v>Ice</v>
      </c>
      <c r="C745" s="190" t="str">
        <f>IFERROR(__xludf.DUMMYFUNCTION("""COMPUTED_VALUE"""),"Physical")</f>
        <v>Physical</v>
      </c>
      <c r="D745" s="190" t="str">
        <f>IFERROR(__xludf.DUMMYFUNCTION("""COMPUTED_VALUE"""),"EOT")</f>
        <v>EOT</v>
      </c>
      <c r="E745" s="190" t="str">
        <f>IFERROR(__xludf.DUMMYFUNCTION("""COMPUTED_VALUE"""),"Melee, 1 Target, Dash")</f>
        <v>Melee, 1 Target, Dash</v>
      </c>
      <c r="F745" s="190">
        <f>IFERROR(__xludf.DUMMYFUNCTION("""COMPUTED_VALUE"""),3.0)</f>
        <v>3</v>
      </c>
      <c r="G745" s="190">
        <f>IFERROR(__xludf.DUMMYFUNCTION("""COMPUTED_VALUE"""),8.0)</f>
        <v>8</v>
      </c>
      <c r="H745" s="191" t="str">
        <f>IFERROR(__xludf.DUMMYFUNCTION("""COMPUTED_VALUE"""),"If the Weather is Snowy, or the Dash Keyword is Activated, Frozen Rush has Sureshot against Targets that are Medium or Small Sized.")</f>
        <v>If the Weather is Snowy, or the Dash Keyword is Activated, Frozen Rush has Sureshot against Targets that are Medium or Small Sized.</v>
      </c>
      <c r="I745" s="191" t="str">
        <f>IFERROR(__xludf.DUMMYFUNCTION("""COMPUTED_VALUE"""),"--")</f>
        <v>--</v>
      </c>
      <c r="J745" s="190" t="str">
        <f>IFERROR(__xludf.DUMMYFUNCTION("""COMPUTED_VALUE"""),"Tier 2")</f>
        <v>Tier 2</v>
      </c>
      <c r="K745" s="174" t="b">
        <f>IFERROR(__xludf.DUMMYFUNCTION("""COMPUTED_VALUE"""),TRUE)</f>
        <v>1</v>
      </c>
      <c r="L745" s="174"/>
      <c r="M745" s="174"/>
      <c r="N745" s="174"/>
      <c r="O745" s="174"/>
      <c r="P745" s="174"/>
      <c r="Q745" s="174"/>
      <c r="R745" s="174"/>
      <c r="S745" s="174"/>
      <c r="T745" s="174"/>
      <c r="U745" s="174"/>
      <c r="V745" s="174"/>
      <c r="W745" s="174"/>
      <c r="X745" s="174"/>
      <c r="Y745" s="174"/>
      <c r="Z745" s="174"/>
    </row>
    <row r="746">
      <c r="A746" s="190" t="str">
        <f>IFERROR(__xludf.DUMMYFUNCTION("""COMPUTED_VALUE"""),"Frozen Terrain")</f>
        <v>Frozen Terrain</v>
      </c>
      <c r="B746" s="190" t="str">
        <f>IFERROR(__xludf.DUMMYFUNCTION("""COMPUTED_VALUE"""),"Ice")</f>
        <v>Ice</v>
      </c>
      <c r="C746" s="190" t="str">
        <f>IFERROR(__xludf.DUMMYFUNCTION("""COMPUTED_VALUE"""),"Status")</f>
        <v>Status</v>
      </c>
      <c r="D746" s="190" t="str">
        <f>IFERROR(__xludf.DUMMYFUNCTION("""COMPUTED_VALUE"""),"Scene x2")</f>
        <v>Scene x2</v>
      </c>
      <c r="E746" s="190" t="str">
        <f>IFERROR(__xludf.DUMMYFUNCTION("""COMPUTED_VALUE"""),"Field, Versatile, Weather")</f>
        <v>Field, Versatile, Weather</v>
      </c>
      <c r="F746" s="190" t="str">
        <f>IFERROR(__xludf.DUMMYFUNCTION("""COMPUTED_VALUE"""),"--")</f>
        <v>--</v>
      </c>
      <c r="G746" s="190" t="str">
        <f>IFERROR(__xludf.DUMMYFUNCTION("""COMPUTED_VALUE"""),"--")</f>
        <v>--</v>
      </c>
      <c r="H746" s="191" t="str">
        <f>IFERROR(__xludf.DUMMYFUNCTION("""COMPUTED_VALUE"""),"The field becomes Frozen for the next 5 Rounds. While the field is Frozen, Melee Attacks have a 16+ Effect Range to Trip their Target, and Ice Type attacks ignore Speed Evasion. While the Field is Frozen, the Weather may become Snowy.")</f>
        <v>The field becomes Frozen for the next 5 Rounds. While the field is Frozen, Melee Attacks have a 16+ Effect Range to Trip their Target, and Ice Type attacks ignore Speed Evasion. While the Field is Frozen, the Weather may become Snowy.</v>
      </c>
      <c r="I746"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46" s="190" t="str">
        <f>IFERROR(__xludf.DUMMYFUNCTION("""COMPUTED_VALUE"""),"Tier 2")</f>
        <v>Tier 2</v>
      </c>
      <c r="K746" s="174" t="b">
        <f>IFERROR(__xludf.DUMMYFUNCTION("""COMPUTED_VALUE"""),TRUE)</f>
        <v>1</v>
      </c>
      <c r="L746" s="174"/>
      <c r="M746" s="174"/>
      <c r="N746" s="174"/>
      <c r="O746" s="174"/>
      <c r="P746" s="174"/>
      <c r="Q746" s="174"/>
      <c r="R746" s="174"/>
      <c r="S746" s="174"/>
      <c r="T746" s="174"/>
      <c r="U746" s="174"/>
      <c r="V746" s="174"/>
      <c r="W746" s="174"/>
      <c r="X746" s="174"/>
      <c r="Y746" s="174"/>
      <c r="Z746" s="174"/>
    </row>
    <row r="747">
      <c r="A747" s="190" t="str">
        <f>IFERROR(__xludf.DUMMYFUNCTION("""COMPUTED_VALUE"""),"Glaciate")</f>
        <v>Glaciate</v>
      </c>
      <c r="B747" s="190" t="str">
        <f>IFERROR(__xludf.DUMMYFUNCTION("""COMPUTED_VALUE"""),"Ice")</f>
        <v>Ice</v>
      </c>
      <c r="C747" s="190" t="str">
        <f>IFERROR(__xludf.DUMMYFUNCTION("""COMPUTED_VALUE"""),"Special")</f>
        <v>Special</v>
      </c>
      <c r="D747" s="190" t="str">
        <f>IFERROR(__xludf.DUMMYFUNCTION("""COMPUTED_VALUE"""),"EOT")</f>
        <v>EOT</v>
      </c>
      <c r="E747" s="190" t="str">
        <f>IFERROR(__xludf.DUMMYFUNCTION("""COMPUTED_VALUE"""),"Burst 1 or Burst 2; Full Action")</f>
        <v>Burst 1 or Burst 2; Full Action</v>
      </c>
      <c r="F747" s="190">
        <f>IFERROR(__xludf.DUMMYFUNCTION("""COMPUTED_VALUE"""),6.0)</f>
        <v>6</v>
      </c>
      <c r="G747" s="190">
        <f>IFERROR(__xludf.DUMMYFUNCTION("""COMPUTED_VALUE"""),9.0)</f>
        <v>9</v>
      </c>
      <c r="H747" s="191" t="str">
        <f>IFERROR(__xludf.DUMMYFUNCTION("""COMPUTED_VALUE"""),"All Targets hit by this Attack have their Movement Value halved until the end of their next Turn. Spirit Surge")</f>
        <v>All Targets hit by this Attack have their Movement Value halved until the end of their next Turn. Spirit Surge</v>
      </c>
      <c r="I747" s="191" t="str">
        <f>IFERROR(__xludf.DUMMYFUNCTION("""COMPUTED_VALUE"""),"--")</f>
        <v>--</v>
      </c>
      <c r="J747" s="190" t="str">
        <f>IFERROR(__xludf.DUMMYFUNCTION("""COMPUTED_VALUE"""),"Tier 2")</f>
        <v>Tier 2</v>
      </c>
      <c r="K747" s="174" t="b">
        <f>IFERROR(__xludf.DUMMYFUNCTION("""COMPUTED_VALUE"""),TRUE)</f>
        <v>1</v>
      </c>
      <c r="L747" s="174"/>
      <c r="M747" s="174"/>
      <c r="N747" s="174"/>
      <c r="O747" s="174"/>
      <c r="P747" s="174"/>
      <c r="Q747" s="174"/>
      <c r="R747" s="174"/>
      <c r="S747" s="174"/>
      <c r="T747" s="174"/>
      <c r="U747" s="174"/>
      <c r="V747" s="174"/>
      <c r="W747" s="174"/>
      <c r="X747" s="174"/>
      <c r="Y747" s="174"/>
      <c r="Z747" s="174"/>
    </row>
    <row r="748">
      <c r="A748" s="190" t="str">
        <f>IFERROR(__xludf.DUMMYFUNCTION("""COMPUTED_VALUE"""),"Hail")</f>
        <v>Hail</v>
      </c>
      <c r="B748" s="190" t="str">
        <f>IFERROR(__xludf.DUMMYFUNCTION("""COMPUTED_VALUE"""),"Ice")</f>
        <v>Ice</v>
      </c>
      <c r="C748" s="190" t="str">
        <f>IFERROR(__xludf.DUMMYFUNCTION("""COMPUTED_VALUE"""),"Status")</f>
        <v>Status</v>
      </c>
      <c r="D748" s="190" t="str">
        <f>IFERROR(__xludf.DUMMYFUNCTION("""COMPUTED_VALUE"""),"Scene x2")</f>
        <v>Scene x2</v>
      </c>
      <c r="E748" s="190" t="str">
        <f>IFERROR(__xludf.DUMMYFUNCTION("""COMPUTED_VALUE"""),"Field, Versatile, Weather")</f>
        <v>Field, Versatile, Weather</v>
      </c>
      <c r="F748" s="190" t="str">
        <f>IFERROR(__xludf.DUMMYFUNCTION("""COMPUTED_VALUE"""),"--")</f>
        <v>--</v>
      </c>
      <c r="G748" s="190" t="str">
        <f>IFERROR(__xludf.DUMMYFUNCTION("""COMPUTED_VALUE"""),"--")</f>
        <v>--</v>
      </c>
      <c r="H748" s="191" t="str">
        <f>IFERROR(__xludf.DUMMYFUNCTION("""COMPUTED_VALUE"""),"The Field becomes Hailing for the next 5 Rounds. While the Field is Hailing, non Ice Type Enemies lose a Tick of Hit Points at the start of their Turn and Ice Type Pokemon gain a Tick of Temporary Hit Points at the start of their Turn. While the Field is "&amp;"Hailing, the Weather becomes Snowy.")</f>
        <v>The Field becomes Hailing for the next 5 Rounds. While the Field is Hailing, non Ice Type Enemies lose a Tick of Hit Points at the start of their Turn and Ice Type Pokemon gain a Tick of Temporary Hit Points at the start of their Turn. While the Field is Hailing, the Weather becomes Snowy.</v>
      </c>
      <c r="I748"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48" s="190" t="str">
        <f>IFERROR(__xludf.DUMMYFUNCTION("""COMPUTED_VALUE"""),"Tier 2")</f>
        <v>Tier 2</v>
      </c>
      <c r="K748" s="174" t="b">
        <f>IFERROR(__xludf.DUMMYFUNCTION("""COMPUTED_VALUE"""),TRUE)</f>
        <v>1</v>
      </c>
      <c r="L748" s="174"/>
      <c r="M748" s="174"/>
      <c r="N748" s="174"/>
      <c r="O748" s="174"/>
      <c r="P748" s="174"/>
      <c r="Q748" s="174"/>
      <c r="R748" s="174"/>
      <c r="S748" s="174"/>
      <c r="T748" s="174"/>
      <c r="U748" s="174"/>
      <c r="V748" s="174"/>
      <c r="W748" s="174"/>
      <c r="X748" s="174"/>
      <c r="Y748" s="174"/>
      <c r="Z748" s="174"/>
    </row>
    <row r="749">
      <c r="A749" s="190" t="str">
        <f>IFERROR(__xludf.DUMMYFUNCTION("""COMPUTED_VALUE"""),"Haze")</f>
        <v>Haze</v>
      </c>
      <c r="B749" s="190" t="str">
        <f>IFERROR(__xludf.DUMMYFUNCTION("""COMPUTED_VALUE"""),"Ice")</f>
        <v>Ice</v>
      </c>
      <c r="C749" s="190" t="str">
        <f>IFERROR(__xludf.DUMMYFUNCTION("""COMPUTED_VALUE"""),"Status")</f>
        <v>Status</v>
      </c>
      <c r="D749" s="190" t="str">
        <f>IFERROR(__xludf.DUMMYFUNCTION("""COMPUTED_VALUE"""),"Scene x2")</f>
        <v>Scene x2</v>
      </c>
      <c r="E749" s="190" t="str">
        <f>IFERROR(__xludf.DUMMYFUNCTION("""COMPUTED_VALUE"""),"Burst 5, Versatile")</f>
        <v>Burst 5, Versatile</v>
      </c>
      <c r="F749" s="190">
        <f>IFERROR(__xludf.DUMMYFUNCTION("""COMPUTED_VALUE"""),5.0)</f>
        <v>5</v>
      </c>
      <c r="G749" s="190" t="str">
        <f>IFERROR(__xludf.DUMMYFUNCTION("""COMPUTED_VALUE"""),"--")</f>
        <v>--</v>
      </c>
      <c r="H749" s="191" t="str">
        <f>IFERROR(__xludf.DUMMYFUNCTION("""COMPUTED_VALUE"""),"Enemies and any Allies of your choice within the Range of this Attack have all of their Stats increased or lowered to their Default CS Value. On a hit, the Target cannot increase their CS for the rest of the Round. Spirit Surge")</f>
        <v>Enemies and any Allies of your choice within the Range of this Attack have all of their Stats increased or lowered to their Default CS Value. On a hit, the Target cannot increase their CS for the rest of the Round. Spirit Surge</v>
      </c>
      <c r="I749" s="191" t="str">
        <f>IFERROR(__xludf.DUMMYFUNCTION("""COMPUTED_VALUE"""),"Powder Hazards are created in a Ranged Blast 3 centered on the User, which last until the end of the next Round. Enemies who Trigger this Hazard have their Stats increased or lowered to their Default Value. 
Powder Hazard - Whenever an Enemy passes throu"&amp;"gh or ends their turn on a Powder Hazard the Effect listed is applied. Users with the Breathless Capability ignore this Hazard.")</f>
        <v>Powder Hazards are created in a Ranged Blast 3 centered on the User, which last until the end of the next Round. Enemies who Trigger this Hazard have their Stats increased or lowered to their Default Value. 
Powder Hazard - Whenever an Enemy passes through or ends their turn on a Powder Hazard the Effect listed is applied. Users with the Breathless Capability ignore this Hazard.</v>
      </c>
      <c r="J749" s="190" t="str">
        <f>IFERROR(__xludf.DUMMYFUNCTION("""COMPUTED_VALUE"""),"Tier 2")</f>
        <v>Tier 2</v>
      </c>
      <c r="K749" s="174" t="b">
        <f>IFERROR(__xludf.DUMMYFUNCTION("""COMPUTED_VALUE"""),TRUE)</f>
        <v>1</v>
      </c>
      <c r="L749" s="174"/>
      <c r="M749" s="174"/>
      <c r="N749" s="174"/>
      <c r="O749" s="174"/>
      <c r="P749" s="174"/>
      <c r="Q749" s="174"/>
      <c r="R749" s="174"/>
      <c r="S749" s="174"/>
      <c r="T749" s="174"/>
      <c r="U749" s="174"/>
      <c r="V749" s="174"/>
      <c r="W749" s="174"/>
      <c r="X749" s="174"/>
      <c r="Y749" s="174"/>
      <c r="Z749" s="174"/>
    </row>
    <row r="750">
      <c r="A750" s="190" t="str">
        <f>IFERROR(__xludf.DUMMYFUNCTION("""COMPUTED_VALUE"""),"Ice Ball")</f>
        <v>Ice Ball</v>
      </c>
      <c r="B750" s="190" t="str">
        <f>IFERROR(__xludf.DUMMYFUNCTION("""COMPUTED_VALUE"""),"Ice")</f>
        <v>Ice</v>
      </c>
      <c r="C750" s="190" t="str">
        <f>IFERROR(__xludf.DUMMYFUNCTION("""COMPUTED_VALUE"""),"Physical")</f>
        <v>Physical</v>
      </c>
      <c r="D750" s="190" t="str">
        <f>IFERROR(__xludf.DUMMYFUNCTION("""COMPUTED_VALUE"""),"At-Will")</f>
        <v>At-Will</v>
      </c>
      <c r="E750" s="190" t="str">
        <f>IFERROR(__xludf.DUMMYFUNCTION("""COMPUTED_VALUE"""),"Melee, Pass, Dash ")</f>
        <v>Melee, Pass, Dash </v>
      </c>
      <c r="F750" s="190">
        <f>IFERROR(__xludf.DUMMYFUNCTION("""COMPUTED_VALUE"""),5.0)</f>
        <v>5</v>
      </c>
      <c r="G750" s="190">
        <f>IFERROR(__xludf.DUMMYFUNCTION("""COMPUTED_VALUE"""),5.0)</f>
        <v>5</v>
      </c>
      <c r="H750" s="191" t="str">
        <f>IFERROR(__xludf.DUMMYFUNCTION("""COMPUTED_VALUE"""),"The user gains 2 Rolled Counters. The user has a bonus to Damage Base for their Dash Attacks equal to their Rolled Counters. While they have Rolled Counters, they do not trigger Attacks of Opportunity when moving. The user loses all Rolled Counters if the"&amp;"y miss a Dash Attack. Spirit Surge.")</f>
        <v>The user gains 2 Rolled Counters. The user has a bonus to Damage Base for their Dash Attacks equal to their Rolled Counters. While they have Rolled Counters, they do not trigger Attacks of Opportunity when moving. The user loses all Rolled Counters if they miss a Dash Attack. Spirit Surge.</v>
      </c>
      <c r="I750" s="191" t="str">
        <f>IFERROR(__xludf.DUMMYFUNCTION("""COMPUTED_VALUE"""),"--")</f>
        <v>--</v>
      </c>
      <c r="J750" s="190" t="str">
        <f>IFERROR(__xludf.DUMMYFUNCTION("""COMPUTED_VALUE"""),"Tier 2")</f>
        <v>Tier 2</v>
      </c>
      <c r="K750" s="174" t="b">
        <f>IFERROR(__xludf.DUMMYFUNCTION("""COMPUTED_VALUE"""),TRUE)</f>
        <v>1</v>
      </c>
      <c r="L750" s="174"/>
      <c r="M750" s="174"/>
      <c r="N750" s="174"/>
      <c r="O750" s="174"/>
      <c r="P750" s="174"/>
      <c r="Q750" s="174"/>
      <c r="R750" s="174"/>
      <c r="S750" s="174"/>
      <c r="T750" s="174"/>
      <c r="U750" s="174"/>
      <c r="V750" s="174"/>
      <c r="W750" s="174"/>
      <c r="X750" s="174"/>
      <c r="Y750" s="174"/>
      <c r="Z750" s="174"/>
    </row>
    <row r="751">
      <c r="A751" s="190" t="str">
        <f>IFERROR(__xludf.DUMMYFUNCTION("""COMPUTED_VALUE"""),"Ice Beam")</f>
        <v>Ice Beam</v>
      </c>
      <c r="B751" s="190" t="str">
        <f>IFERROR(__xludf.DUMMYFUNCTION("""COMPUTED_VALUE"""),"Ice")</f>
        <v>Ice</v>
      </c>
      <c r="C751" s="190" t="str">
        <f>IFERROR(__xludf.DUMMYFUNCTION("""COMPUTED_VALUE"""),"Special")</f>
        <v>Special</v>
      </c>
      <c r="D751" s="190" t="str">
        <f>IFERROR(__xludf.DUMMYFUNCTION("""COMPUTED_VALUE"""),"EOT")</f>
        <v>EOT</v>
      </c>
      <c r="E751" s="190" t="str">
        <f>IFERROR(__xludf.DUMMYFUNCTION("""COMPUTED_VALUE"""),"6, 1 Target")</f>
        <v>6, 1 Target</v>
      </c>
      <c r="F751" s="190">
        <f>IFERROR(__xludf.DUMMYFUNCTION("""COMPUTED_VALUE"""),4.0)</f>
        <v>4</v>
      </c>
      <c r="G751" s="190">
        <f>IFERROR(__xludf.DUMMYFUNCTION("""COMPUTED_VALUE"""),9.0)</f>
        <v>9</v>
      </c>
      <c r="H751" s="191" t="str">
        <f>IFERROR(__xludf.DUMMYFUNCTION("""COMPUTED_VALUE"""),"On a roll of 19+, the Target becomes Chilled. Smite")</f>
        <v>On a roll of 19+, the Target becomes Chilled. Smite</v>
      </c>
      <c r="I751" s="191" t="str">
        <f>IFERROR(__xludf.DUMMYFUNCTION("""COMPUTED_VALUE"""),"--")</f>
        <v>--</v>
      </c>
      <c r="J751" s="190" t="str">
        <f>IFERROR(__xludf.DUMMYFUNCTION("""COMPUTED_VALUE"""),"Tier 2")</f>
        <v>Tier 2</v>
      </c>
      <c r="K751" s="174" t="b">
        <f>IFERROR(__xludf.DUMMYFUNCTION("""COMPUTED_VALUE"""),TRUE)</f>
        <v>1</v>
      </c>
      <c r="L751" s="174"/>
      <c r="M751" s="174"/>
      <c r="N751" s="174"/>
      <c r="O751" s="174"/>
      <c r="P751" s="174"/>
      <c r="Q751" s="174"/>
      <c r="R751" s="174"/>
      <c r="S751" s="174"/>
      <c r="T751" s="174"/>
      <c r="U751" s="174"/>
      <c r="V751" s="174"/>
      <c r="W751" s="174"/>
      <c r="X751" s="174"/>
      <c r="Y751" s="174"/>
      <c r="Z751" s="174"/>
    </row>
    <row r="752">
      <c r="A752" s="190" t="str">
        <f>IFERROR(__xludf.DUMMYFUNCTION("""COMPUTED_VALUE"""),"Ice Fang")</f>
        <v>Ice Fang</v>
      </c>
      <c r="B752" s="190" t="str">
        <f>IFERROR(__xludf.DUMMYFUNCTION("""COMPUTED_VALUE"""),"Ice")</f>
        <v>Ice</v>
      </c>
      <c r="C752" s="190" t="str">
        <f>IFERROR(__xludf.DUMMYFUNCTION("""COMPUTED_VALUE"""),"Physical")</f>
        <v>Physical</v>
      </c>
      <c r="D752" s="190" t="str">
        <f>IFERROR(__xludf.DUMMYFUNCTION("""COMPUTED_VALUE"""),"At-Will")</f>
        <v>At-Will</v>
      </c>
      <c r="E752" s="190" t="str">
        <f>IFERROR(__xludf.DUMMYFUNCTION("""COMPUTED_VALUE"""),"Melee, 1 Target, Bite")</f>
        <v>Melee, 1 Target, Bite</v>
      </c>
      <c r="F752" s="190">
        <f>IFERROR(__xludf.DUMMYFUNCTION("""COMPUTED_VALUE"""),2.0)</f>
        <v>2</v>
      </c>
      <c r="G752" s="190">
        <f>IFERROR(__xludf.DUMMYFUNCTION("""COMPUTED_VALUE"""),7.0)</f>
        <v>7</v>
      </c>
      <c r="H752" s="191" t="str">
        <f>IFERROR(__xludf.DUMMYFUNCTION("""COMPUTED_VALUE"""),"On a roll of 18+, Roll a d2. On a 1, the Target becomes Chilled. On a 2, the Target becomes Wounded.")</f>
        <v>On a roll of 18+, Roll a d2. On a 1, the Target becomes Chilled. On a 2, the Target becomes Wounded.</v>
      </c>
      <c r="I752" s="191" t="str">
        <f>IFERROR(__xludf.DUMMYFUNCTION("""COMPUTED_VALUE"""),"--")</f>
        <v>--</v>
      </c>
      <c r="J752" s="190" t="str">
        <f>IFERROR(__xludf.DUMMYFUNCTION("""COMPUTED_VALUE"""),"Tier 1")</f>
        <v>Tier 1</v>
      </c>
      <c r="K752" s="174" t="b">
        <f>IFERROR(__xludf.DUMMYFUNCTION("""COMPUTED_VALUE"""),TRUE)</f>
        <v>1</v>
      </c>
      <c r="L752" s="174"/>
      <c r="M752" s="174"/>
      <c r="N752" s="174"/>
      <c r="O752" s="174"/>
      <c r="P752" s="174"/>
      <c r="Q752" s="174"/>
      <c r="R752" s="174"/>
      <c r="S752" s="174"/>
      <c r="T752" s="174"/>
      <c r="U752" s="174"/>
      <c r="V752" s="174"/>
      <c r="W752" s="174"/>
      <c r="X752" s="174"/>
      <c r="Y752" s="174"/>
      <c r="Z752" s="174"/>
    </row>
    <row r="753">
      <c r="A753" s="190" t="str">
        <f>IFERROR(__xludf.DUMMYFUNCTION("""COMPUTED_VALUE"""),"Ice Hammer")</f>
        <v>Ice Hammer</v>
      </c>
      <c r="B753" s="190" t="str">
        <f>IFERROR(__xludf.DUMMYFUNCTION("""COMPUTED_VALUE"""),"Ice")</f>
        <v>Ice</v>
      </c>
      <c r="C753" s="190" t="str">
        <f>IFERROR(__xludf.DUMMYFUNCTION("""COMPUTED_VALUE"""),"Physical")</f>
        <v>Physical</v>
      </c>
      <c r="D753" s="190" t="str">
        <f>IFERROR(__xludf.DUMMYFUNCTION("""COMPUTED_VALUE"""),"Scene x2")</f>
        <v>Scene x2</v>
      </c>
      <c r="E753" s="190" t="str">
        <f>IFERROR(__xludf.DUMMYFUNCTION("""COMPUTED_VALUE"""),"Melee, 1 Target, Recoil 1/3, Reckless")</f>
        <v>Melee, 1 Target, Recoil 1/3, Reckless</v>
      </c>
      <c r="F753" s="190">
        <f>IFERROR(__xludf.DUMMYFUNCTION("""COMPUTED_VALUE"""),4.0)</f>
        <v>4</v>
      </c>
      <c r="G753" s="190">
        <f>IFERROR(__xludf.DUMMYFUNCTION("""COMPUTED_VALUE"""),11.0)</f>
        <v>11</v>
      </c>
      <c r="H753" s="191" t="str">
        <f>IFERROR(__xludf.DUMMYFUNCTION("""COMPUTED_VALUE"""),"If the Target is smaller than the user, this has the Sureshot Keyword. Smite")</f>
        <v>If the Target is smaller than the user, this has the Sureshot Keyword. Smite</v>
      </c>
      <c r="I753" s="191" t="str">
        <f>IFERROR(__xludf.DUMMYFUNCTION("""COMPUTED_VALUE"""),"--")</f>
        <v>--</v>
      </c>
      <c r="J753" s="190" t="str">
        <f>IFERROR(__xludf.DUMMYFUNCTION("""COMPUTED_VALUE"""),"Tier 3")</f>
        <v>Tier 3</v>
      </c>
      <c r="K753" s="174" t="b">
        <f>IFERROR(__xludf.DUMMYFUNCTION("""COMPUTED_VALUE"""),TRUE)</f>
        <v>1</v>
      </c>
      <c r="L753" s="174"/>
      <c r="M753" s="174"/>
      <c r="N753" s="174"/>
      <c r="O753" s="174"/>
      <c r="P753" s="174"/>
      <c r="Q753" s="174"/>
      <c r="R753" s="174"/>
      <c r="S753" s="174"/>
      <c r="T753" s="174"/>
      <c r="U753" s="174"/>
      <c r="V753" s="174"/>
      <c r="W753" s="174"/>
      <c r="X753" s="174"/>
      <c r="Y753" s="174"/>
      <c r="Z753" s="174"/>
    </row>
    <row r="754">
      <c r="A754" s="190" t="str">
        <f>IFERROR(__xludf.DUMMYFUNCTION("""COMPUTED_VALUE"""),"Ice Punch")</f>
        <v>Ice Punch</v>
      </c>
      <c r="B754" s="190" t="str">
        <f>IFERROR(__xludf.DUMMYFUNCTION("""COMPUTED_VALUE"""),"Ice")</f>
        <v>Ice</v>
      </c>
      <c r="C754" s="190" t="str">
        <f>IFERROR(__xludf.DUMMYFUNCTION("""COMPUTED_VALUE"""),"Physical")</f>
        <v>Physical</v>
      </c>
      <c r="D754" s="190" t="str">
        <f>IFERROR(__xludf.DUMMYFUNCTION("""COMPUTED_VALUE"""),"At-Will")</f>
        <v>At-Will</v>
      </c>
      <c r="E754" s="190" t="str">
        <f>IFERROR(__xludf.DUMMYFUNCTION("""COMPUTED_VALUE"""),"Melee, 1 Target, Punch")</f>
        <v>Melee, 1 Target, Punch</v>
      </c>
      <c r="F754" s="190">
        <f>IFERROR(__xludf.DUMMYFUNCTION("""COMPUTED_VALUE"""),3.0)</f>
        <v>3</v>
      </c>
      <c r="G754" s="190">
        <f>IFERROR(__xludf.DUMMYFUNCTION("""COMPUTED_VALUE"""),8.0)</f>
        <v>8</v>
      </c>
      <c r="H754" s="191" t="str">
        <f>IFERROR(__xludf.DUMMYFUNCTION("""COMPUTED_VALUE"""),"On a roll of 18+, the Target becomes Chilled.")</f>
        <v>On a roll of 18+, the Target becomes Chilled.</v>
      </c>
      <c r="I754" s="191" t="str">
        <f>IFERROR(__xludf.DUMMYFUNCTION("""COMPUTED_VALUE"""),"--")</f>
        <v>--</v>
      </c>
      <c r="J754" s="190" t="str">
        <f>IFERROR(__xludf.DUMMYFUNCTION("""COMPUTED_VALUE"""),"Tier 2")</f>
        <v>Tier 2</v>
      </c>
      <c r="K754" s="174" t="b">
        <f>IFERROR(__xludf.DUMMYFUNCTION("""COMPUTED_VALUE"""),TRUE)</f>
        <v>1</v>
      </c>
      <c r="L754" s="174"/>
      <c r="M754" s="174"/>
      <c r="N754" s="174"/>
      <c r="O754" s="174"/>
      <c r="P754" s="174"/>
      <c r="Q754" s="174"/>
      <c r="R754" s="174"/>
      <c r="S754" s="174"/>
      <c r="T754" s="174"/>
      <c r="U754" s="174"/>
      <c r="V754" s="174"/>
      <c r="W754" s="174"/>
      <c r="X754" s="174"/>
      <c r="Y754" s="174"/>
      <c r="Z754" s="174"/>
    </row>
    <row r="755">
      <c r="A755" s="190" t="str">
        <f>IFERROR(__xludf.DUMMYFUNCTION("""COMPUTED_VALUE"""),"Ice Shard")</f>
        <v>Ice Shard</v>
      </c>
      <c r="B755" s="190" t="str">
        <f>IFERROR(__xludf.DUMMYFUNCTION("""COMPUTED_VALUE"""),"Ice")</f>
        <v>Ice</v>
      </c>
      <c r="C755" s="190" t="str">
        <f>IFERROR(__xludf.DUMMYFUNCTION("""COMPUTED_VALUE"""),"Physical")</f>
        <v>Physical</v>
      </c>
      <c r="D755" s="190" t="str">
        <f>IFERROR(__xludf.DUMMYFUNCTION("""COMPUTED_VALUE"""),"At-Will")</f>
        <v>At-Will</v>
      </c>
      <c r="E755" s="190" t="str">
        <f>IFERROR(__xludf.DUMMYFUNCTION("""COMPUTED_VALUE"""),"4, 1 Target, Priority ")</f>
        <v>4, 1 Target, Priority </v>
      </c>
      <c r="F755" s="190">
        <f>IFERROR(__xludf.DUMMYFUNCTION("""COMPUTED_VALUE"""),3.0)</f>
        <v>3</v>
      </c>
      <c r="G755" s="190">
        <f>IFERROR(__xludf.DUMMYFUNCTION("""COMPUTED_VALUE"""),4.0)</f>
        <v>4</v>
      </c>
      <c r="H755" s="191" t="str">
        <f>IFERROR(__xludf.DUMMYFUNCTION("""COMPUTED_VALUE"""),"--")</f>
        <v>--</v>
      </c>
      <c r="I755" s="191" t="str">
        <f>IFERROR(__xludf.DUMMYFUNCTION("""COMPUTED_VALUE"""),"--")</f>
        <v>--</v>
      </c>
      <c r="J755" s="190" t="str">
        <f>IFERROR(__xludf.DUMMYFUNCTION("""COMPUTED_VALUE"""),"Tier 1")</f>
        <v>Tier 1</v>
      </c>
      <c r="K755" s="174" t="b">
        <f>IFERROR(__xludf.DUMMYFUNCTION("""COMPUTED_VALUE"""),TRUE)</f>
        <v>1</v>
      </c>
      <c r="L755" s="174"/>
      <c r="M755" s="174"/>
      <c r="N755" s="174"/>
      <c r="O755" s="174"/>
      <c r="P755" s="174"/>
      <c r="Q755" s="174"/>
      <c r="R755" s="174"/>
      <c r="S755" s="174"/>
      <c r="T755" s="174"/>
      <c r="U755" s="174"/>
      <c r="V755" s="174"/>
      <c r="W755" s="174"/>
      <c r="X755" s="174"/>
      <c r="Y755" s="174"/>
      <c r="Z755" s="174"/>
    </row>
    <row r="756">
      <c r="A756" s="190" t="str">
        <f>IFERROR(__xludf.DUMMYFUNCTION("""COMPUTED_VALUE"""),"Ice Spinner")</f>
        <v>Ice Spinner</v>
      </c>
      <c r="B756" s="190" t="str">
        <f>IFERROR(__xludf.DUMMYFUNCTION("""COMPUTED_VALUE"""),"Ice")</f>
        <v>Ice</v>
      </c>
      <c r="C756" s="190" t="str">
        <f>IFERROR(__xludf.DUMMYFUNCTION("""COMPUTED_VALUE"""),"Physical")</f>
        <v>Physical</v>
      </c>
      <c r="D756" s="190" t="str">
        <f>IFERROR(__xludf.DUMMYFUNCTION("""COMPUTED_VALUE"""),"EOT")</f>
        <v>EOT</v>
      </c>
      <c r="E756" s="190" t="str">
        <f>IFERROR(__xludf.DUMMYFUNCTION("""COMPUTED_VALUE"""),"Burst 1, Dash")</f>
        <v>Burst 1, Dash</v>
      </c>
      <c r="F756" s="190">
        <f>IFERROR(__xludf.DUMMYFUNCTION("""COMPUTED_VALUE"""),5.0)</f>
        <v>5</v>
      </c>
      <c r="G756" s="190">
        <f>IFERROR(__xludf.DUMMYFUNCTION("""COMPUTED_VALUE"""),7.0)</f>
        <v>7</v>
      </c>
      <c r="H756" s="191" t="str">
        <f>IFERROR(__xludf.DUMMYFUNCTION("""COMPUTED_VALUE"""),"If the Dash Keyword is Activated, the user destroys any Cover or Rough Terrain or Hazards they move through or are adjacent to while moving, ignoring their Effects and turning them to Basic Terrain or destroying them.")</f>
        <v>If the Dash Keyword is Activated, the user destroys any Cover or Rough Terrain or Hazards they move through or are adjacent to while moving, ignoring their Effects and turning them to Basic Terrain or destroying them.</v>
      </c>
      <c r="I756" s="191" t="str">
        <f>IFERROR(__xludf.DUMMYFUNCTION("""COMPUTED_VALUE"""),"--")</f>
        <v>--</v>
      </c>
      <c r="J756" s="190" t="str">
        <f>IFERROR(__xludf.DUMMYFUNCTION("""COMPUTED_VALUE"""),"Tier 1")</f>
        <v>Tier 1</v>
      </c>
      <c r="K756" s="174" t="b">
        <f>IFERROR(__xludf.DUMMYFUNCTION("""COMPUTED_VALUE"""),TRUE)</f>
        <v>1</v>
      </c>
      <c r="L756" s="174"/>
      <c r="M756" s="174"/>
      <c r="N756" s="174"/>
      <c r="O756" s="174"/>
      <c r="P756" s="174"/>
      <c r="Q756" s="174"/>
      <c r="R756" s="174"/>
      <c r="S756" s="174"/>
      <c r="T756" s="174"/>
      <c r="U756" s="174"/>
      <c r="V756" s="174"/>
      <c r="W756" s="174"/>
      <c r="X756" s="174"/>
      <c r="Y756" s="174"/>
      <c r="Z756" s="174"/>
    </row>
    <row r="757">
      <c r="A757" s="190" t="str">
        <f>IFERROR(__xludf.DUMMYFUNCTION("""COMPUTED_VALUE"""),"Icicle Crash")</f>
        <v>Icicle Crash</v>
      </c>
      <c r="B757" s="190" t="str">
        <f>IFERROR(__xludf.DUMMYFUNCTION("""COMPUTED_VALUE"""),"Ice")</f>
        <v>Ice</v>
      </c>
      <c r="C757" s="190" t="str">
        <f>IFERROR(__xludf.DUMMYFUNCTION("""COMPUTED_VALUE"""),"Physical")</f>
        <v>Physical</v>
      </c>
      <c r="D757" s="190" t="str">
        <f>IFERROR(__xludf.DUMMYFUNCTION("""COMPUTED_VALUE"""),"EOT")</f>
        <v>EOT</v>
      </c>
      <c r="E757" s="190" t="str">
        <f>IFERROR(__xludf.DUMMYFUNCTION("""COMPUTED_VALUE"""),"6, 1 Target")</f>
        <v>6, 1 Target</v>
      </c>
      <c r="F757" s="190">
        <f>IFERROR(__xludf.DUMMYFUNCTION("""COMPUTED_VALUE"""),4.0)</f>
        <v>4</v>
      </c>
      <c r="G757" s="190">
        <f>IFERROR(__xludf.DUMMYFUNCTION("""COMPUTED_VALUE"""),9.0)</f>
        <v>9</v>
      </c>
      <c r="H757" s="191" t="str">
        <f>IFERROR(__xludf.DUMMYFUNCTION("""COMPUTED_VALUE"""),"This may be used as a Full Action to treat its Range as if it were 6, Ranged Blast 2.")</f>
        <v>This may be used as a Full Action to treat its Range as if it were 6, Ranged Blast 2.</v>
      </c>
      <c r="I757" s="191" t="str">
        <f>IFERROR(__xludf.DUMMYFUNCTION("""COMPUTED_VALUE"""),"--")</f>
        <v>--</v>
      </c>
      <c r="J757" s="190" t="str">
        <f>IFERROR(__xludf.DUMMYFUNCTION("""COMPUTED_VALUE"""),"Tier 2")</f>
        <v>Tier 2</v>
      </c>
      <c r="K757" s="174" t="b">
        <f>IFERROR(__xludf.DUMMYFUNCTION("""COMPUTED_VALUE"""),TRUE)</f>
        <v>1</v>
      </c>
      <c r="L757" s="174"/>
      <c r="M757" s="174"/>
      <c r="N757" s="174"/>
      <c r="O757" s="174"/>
      <c r="P757" s="174"/>
      <c r="Q757" s="174"/>
      <c r="R757" s="174"/>
      <c r="S757" s="174"/>
      <c r="T757" s="174"/>
      <c r="U757" s="174"/>
      <c r="V757" s="174"/>
      <c r="W757" s="174"/>
      <c r="X757" s="174"/>
      <c r="Y757" s="174"/>
      <c r="Z757" s="174"/>
    </row>
    <row r="758">
      <c r="A758" s="190" t="str">
        <f>IFERROR(__xludf.DUMMYFUNCTION("""COMPUTED_VALUE"""),"Icicle Spear")</f>
        <v>Icicle Spear</v>
      </c>
      <c r="B758" s="190" t="str">
        <f>IFERROR(__xludf.DUMMYFUNCTION("""COMPUTED_VALUE"""),"Ice")</f>
        <v>Ice</v>
      </c>
      <c r="C758" s="190" t="str">
        <f>IFERROR(__xludf.DUMMYFUNCTION("""COMPUTED_VALUE"""),"Physical")</f>
        <v>Physical</v>
      </c>
      <c r="D758" s="190" t="str">
        <f>IFERROR(__xludf.DUMMYFUNCTION("""COMPUTED_VALUE"""),"EOT")</f>
        <v>EOT</v>
      </c>
      <c r="E758" s="190" t="str">
        <f>IFERROR(__xludf.DUMMYFUNCTION("""COMPUTED_VALUE"""),"6, 1 Target")</f>
        <v>6, 1 Target</v>
      </c>
      <c r="F758" s="190">
        <f>IFERROR(__xludf.DUMMYFUNCTION("""COMPUTED_VALUE"""),5.0)</f>
        <v>5</v>
      </c>
      <c r="G758" s="190">
        <f>IFERROR(__xludf.DUMMYFUNCTION("""COMPUTED_VALUE"""),4.0)</f>
        <v>4</v>
      </c>
      <c r="H758" s="191" t="str">
        <f>IFERROR(__xludf.DUMMYFUNCTION("""COMPUTED_VALUE"""),"If Icicle Spear hits 5 times, the Target becomes Chilled. Five Strike")</f>
        <v>If Icicle Spear hits 5 times, the Target becomes Chilled. Five Strike</v>
      </c>
      <c r="I758" s="191" t="str">
        <f>IFERROR(__xludf.DUMMYFUNCTION("""COMPUTED_VALUE"""),"--")</f>
        <v>--</v>
      </c>
      <c r="J758" s="190" t="str">
        <f>IFERROR(__xludf.DUMMYFUNCTION("""COMPUTED_VALUE"""),"Tier 1")</f>
        <v>Tier 1</v>
      </c>
      <c r="K758" s="174" t="b">
        <f>IFERROR(__xludf.DUMMYFUNCTION("""COMPUTED_VALUE"""),TRUE)</f>
        <v>1</v>
      </c>
      <c r="L758" s="174"/>
      <c r="M758" s="174"/>
      <c r="N758" s="174"/>
      <c r="O758" s="174"/>
      <c r="P758" s="174"/>
      <c r="Q758" s="174"/>
      <c r="R758" s="174"/>
      <c r="S758" s="174"/>
      <c r="T758" s="174"/>
      <c r="U758" s="174"/>
      <c r="V758" s="174"/>
      <c r="W758" s="174"/>
      <c r="X758" s="174"/>
      <c r="Y758" s="174"/>
      <c r="Z758" s="174"/>
    </row>
    <row r="759">
      <c r="A759" s="190" t="str">
        <f>IFERROR(__xludf.DUMMYFUNCTION("""COMPUTED_VALUE"""),"Icicle Storm")</f>
        <v>Icicle Storm</v>
      </c>
      <c r="B759" s="190" t="str">
        <f>IFERROR(__xludf.DUMMYFUNCTION("""COMPUTED_VALUE"""),"Ice")</f>
        <v>Ice</v>
      </c>
      <c r="C759" s="190" t="str">
        <f>IFERROR(__xludf.DUMMYFUNCTION("""COMPUTED_VALUE"""),"Physical")</f>
        <v>Physical</v>
      </c>
      <c r="D759" s="190" t="str">
        <f>IFERROR(__xludf.DUMMYFUNCTION("""COMPUTED_VALUE"""),"Scene")</f>
        <v>Scene</v>
      </c>
      <c r="E759" s="190" t="str">
        <f>IFERROR(__xludf.DUMMYFUNCTION("""COMPUTED_VALUE"""),"8, Ranged Blast 2, Full Action")</f>
        <v>8, Ranged Blast 2, Full Action</v>
      </c>
      <c r="F759" s="190">
        <f>IFERROR(__xludf.DUMMYFUNCTION("""COMPUTED_VALUE"""),7.0)</f>
        <v>7</v>
      </c>
      <c r="G759" s="190">
        <f>IFERROR(__xludf.DUMMYFUNCTION("""COMPUTED_VALUE"""),10.0)</f>
        <v>10</v>
      </c>
      <c r="H759" s="191" t="str">
        <f>IFERROR(__xludf.DUMMYFUNCTION("""COMPUTED_VALUE"""),"If the Weather is Snowy, this gains the Five Strike Keyword. Smite.")</f>
        <v>If the Weather is Snowy, this gains the Five Strike Keyword. Smite.</v>
      </c>
      <c r="I759" s="191" t="str">
        <f>IFERROR(__xludf.DUMMYFUNCTION("""COMPUTED_VALUE"""),"--")</f>
        <v>--</v>
      </c>
      <c r="J759" s="190" t="str">
        <f>IFERROR(__xludf.DUMMYFUNCTION("""COMPUTED_VALUE"""),"Tier 3")</f>
        <v>Tier 3</v>
      </c>
      <c r="K759" s="174" t="b">
        <f>IFERROR(__xludf.DUMMYFUNCTION("""COMPUTED_VALUE"""),TRUE)</f>
        <v>1</v>
      </c>
      <c r="L759" s="174"/>
      <c r="M759" s="174"/>
      <c r="N759" s="174"/>
      <c r="O759" s="174"/>
      <c r="P759" s="174"/>
      <c r="Q759" s="174"/>
      <c r="R759" s="174"/>
      <c r="S759" s="174"/>
      <c r="T759" s="174"/>
      <c r="U759" s="174"/>
      <c r="V759" s="174"/>
      <c r="W759" s="174"/>
      <c r="X759" s="174"/>
      <c r="Y759" s="174"/>
      <c r="Z759" s="174"/>
    </row>
    <row r="760">
      <c r="A760" s="190" t="str">
        <f>IFERROR(__xludf.DUMMYFUNCTION("""COMPUTED_VALUE"""),"Icy Wind")</f>
        <v>Icy Wind</v>
      </c>
      <c r="B760" s="190" t="str">
        <f>IFERROR(__xludf.DUMMYFUNCTION("""COMPUTED_VALUE"""),"Ice")</f>
        <v>Ice</v>
      </c>
      <c r="C760" s="190" t="str">
        <f>IFERROR(__xludf.DUMMYFUNCTION("""COMPUTED_VALUE"""),"Special")</f>
        <v>Special</v>
      </c>
      <c r="D760" s="190" t="str">
        <f>IFERROR(__xludf.DUMMYFUNCTION("""COMPUTED_VALUE"""),"EOT")</f>
        <v>EOT</v>
      </c>
      <c r="E760" s="190" t="str">
        <f>IFERROR(__xludf.DUMMYFUNCTION("""COMPUTED_VALUE"""),"Close Blast 2")</f>
        <v>Close Blast 2</v>
      </c>
      <c r="F760" s="190">
        <f>IFERROR(__xludf.DUMMYFUNCTION("""COMPUTED_VALUE"""),5.0)</f>
        <v>5</v>
      </c>
      <c r="G760" s="190">
        <f>IFERROR(__xludf.DUMMYFUNCTION("""COMPUTED_VALUE"""),6.0)</f>
        <v>6</v>
      </c>
      <c r="H760" s="191" t="str">
        <f>IFERROR(__xludf.DUMMYFUNCTION("""COMPUTED_VALUE"""),"On a roll of 16+, all Targets become Slowed. If the Weather is Snowy, Icy Wind has the Sureshot Keyword. ")</f>
        <v>On a roll of 16+, all Targets become Slowed. If the Weather is Snowy, Icy Wind has the Sureshot Keyword. </v>
      </c>
      <c r="I760" s="191" t="str">
        <f>IFERROR(__xludf.DUMMYFUNCTION("""COMPUTED_VALUE"""),"--")</f>
        <v>--</v>
      </c>
      <c r="J760" s="190" t="str">
        <f>IFERROR(__xludf.DUMMYFUNCTION("""COMPUTED_VALUE"""),"Tier 1")</f>
        <v>Tier 1</v>
      </c>
      <c r="K760" s="174" t="b">
        <f>IFERROR(__xludf.DUMMYFUNCTION("""COMPUTED_VALUE"""),TRUE)</f>
        <v>1</v>
      </c>
      <c r="L760" s="174"/>
      <c r="M760" s="174"/>
      <c r="N760" s="174"/>
      <c r="O760" s="174"/>
      <c r="P760" s="174"/>
      <c r="Q760" s="174"/>
      <c r="R760" s="174"/>
      <c r="S760" s="174"/>
      <c r="T760" s="174"/>
      <c r="U760" s="174"/>
      <c r="V760" s="174"/>
      <c r="W760" s="174"/>
      <c r="X760" s="174"/>
      <c r="Y760" s="174"/>
      <c r="Z760" s="174"/>
    </row>
    <row r="761">
      <c r="A761" s="190" t="str">
        <f>IFERROR(__xludf.DUMMYFUNCTION("""COMPUTED_VALUE"""),"Mist")</f>
        <v>Mist</v>
      </c>
      <c r="B761" s="190" t="str">
        <f>IFERROR(__xludf.DUMMYFUNCTION("""COMPUTED_VALUE"""),"Ice")</f>
        <v>Ice</v>
      </c>
      <c r="C761" s="190" t="str">
        <f>IFERROR(__xludf.DUMMYFUNCTION("""COMPUTED_VALUE"""),"Status")</f>
        <v>Status</v>
      </c>
      <c r="D761" s="190" t="str">
        <f>IFERROR(__xludf.DUMMYFUNCTION("""COMPUTED_VALUE"""),"Scene x2")</f>
        <v>Scene x2</v>
      </c>
      <c r="E761" s="190" t="str">
        <f>IFERROR(__xludf.DUMMYFUNCTION("""COMPUTED_VALUE"""),"5, Ranged Blast 3, Hazard, Versatile")</f>
        <v>5, Ranged Blast 3, Hazard, Versatile</v>
      </c>
      <c r="F761" s="190" t="str">
        <f>IFERROR(__xludf.DUMMYFUNCTION("""COMPUTED_VALUE"""),"--")</f>
        <v>--</v>
      </c>
      <c r="G761" s="190" t="str">
        <f>IFERROR(__xludf.DUMMYFUNCTION("""COMPUTED_VALUE"""),"--")</f>
        <v>--</v>
      </c>
      <c r="H761" s="191" t="str">
        <f>IFERROR(__xludf.DUMMYFUNCTION("""COMPUTED_VALUE"""),"Mist creates Smoke Hazards within the Range of this Attack. Whenever an Enemy passes through a Smoke Hazard created this way, all of their Stats are raised or lowered to their Default Value. Combatants within a Smoke Hazard created this way cannot have th"&amp;"eir CS increased or decreased.
Smoke Hazard - Smoke Hazards break line of sight. Combatants on a Smoke Hazards are treated as Untargetable by all other Combatants that aren't in a contiguous Smoke Hazard. Combatants on a Smoke Hazard treat all Combatants"&amp;" that aren't in a contigous Smoke Hazard as if they were Untargetable. These Effects are ignored by Combatants with Tremorsense or Blindsense. You can still be Untargetable this way even if you were last Round.")</f>
        <v>Mist creates Smoke Hazards within the Range of this Attack. Whenever an Enemy passes through a Smoke Hazard created this way, all of their Stats are raised or lowered to their Default Value. Combatants within a Smoke Hazard created this way cannot have their CS increased or decreased.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761" s="191" t="str">
        <f>IFERROR(__xludf.DUMMYFUNCTION("""COMPUTED_VALUE"""),"Same as the normal Effects but the Hazards are removed at the end of the Round unless the Weather is Snowy.")</f>
        <v>Same as the normal Effects but the Hazards are removed at the end of the Round unless the Weather is Snowy.</v>
      </c>
      <c r="J761" s="190" t="str">
        <f>IFERROR(__xludf.DUMMYFUNCTION("""COMPUTED_VALUE"""),"Tier 2")</f>
        <v>Tier 2</v>
      </c>
      <c r="K761" s="174" t="b">
        <f>IFERROR(__xludf.DUMMYFUNCTION("""COMPUTED_VALUE"""),TRUE)</f>
        <v>1</v>
      </c>
      <c r="L761" s="174"/>
      <c r="M761" s="174"/>
      <c r="N761" s="174"/>
      <c r="O761" s="174"/>
      <c r="P761" s="174"/>
      <c r="Q761" s="174"/>
      <c r="R761" s="174"/>
      <c r="S761" s="174"/>
      <c r="T761" s="174"/>
      <c r="U761" s="174"/>
      <c r="V761" s="174"/>
      <c r="W761" s="174"/>
      <c r="X761" s="174"/>
      <c r="Y761" s="174"/>
      <c r="Z761" s="174"/>
    </row>
    <row r="762">
      <c r="A762" s="190" t="str">
        <f>IFERROR(__xludf.DUMMYFUNCTION("""COMPUTED_VALUE"""),"Powder Snow")</f>
        <v>Powder Snow</v>
      </c>
      <c r="B762" s="190" t="str">
        <f>IFERROR(__xludf.DUMMYFUNCTION("""COMPUTED_VALUE"""),"Ice")</f>
        <v>Ice</v>
      </c>
      <c r="C762" s="190" t="str">
        <f>IFERROR(__xludf.DUMMYFUNCTION("""COMPUTED_VALUE"""),"Special")</f>
        <v>Special</v>
      </c>
      <c r="D762" s="190" t="str">
        <f>IFERROR(__xludf.DUMMYFUNCTION("""COMPUTED_VALUE"""),"At-Will")</f>
        <v>At-Will</v>
      </c>
      <c r="E762" s="190" t="str">
        <f>IFERROR(__xludf.DUMMYFUNCTION("""COMPUTED_VALUE"""),"Close Blast 2")</f>
        <v>Close Blast 2</v>
      </c>
      <c r="F762" s="190">
        <f>IFERROR(__xludf.DUMMYFUNCTION("""COMPUTED_VALUE"""),5.0)</f>
        <v>5</v>
      </c>
      <c r="G762" s="190">
        <f>IFERROR(__xludf.DUMMYFUNCTION("""COMPUTED_VALUE"""),4.0)</f>
        <v>4</v>
      </c>
      <c r="H762" s="191" t="str">
        <f>IFERROR(__xludf.DUMMYFUNCTION("""COMPUTED_VALUE"""),"If the Weather is Snowy, all Targets have a -2 Accuracy Penalty to their next Attack this Round.")</f>
        <v>If the Weather is Snowy, all Targets have a -2 Accuracy Penalty to their next Attack this Round.</v>
      </c>
      <c r="I762" s="191" t="str">
        <f>IFERROR(__xludf.DUMMYFUNCTION("""COMPUTED_VALUE"""),"--")</f>
        <v>--</v>
      </c>
      <c r="J762" s="190" t="str">
        <f>IFERROR(__xludf.DUMMYFUNCTION("""COMPUTED_VALUE"""),"Tier 1")</f>
        <v>Tier 1</v>
      </c>
      <c r="K762" s="174" t="b">
        <f>IFERROR(__xludf.DUMMYFUNCTION("""COMPUTED_VALUE"""),TRUE)</f>
        <v>1</v>
      </c>
      <c r="L762" s="174"/>
      <c r="M762" s="174"/>
      <c r="N762" s="174"/>
      <c r="O762" s="174"/>
      <c r="P762" s="174"/>
      <c r="Q762" s="174"/>
      <c r="R762" s="174"/>
      <c r="S762" s="174"/>
      <c r="T762" s="174"/>
      <c r="U762" s="174"/>
      <c r="V762" s="174"/>
      <c r="W762" s="174"/>
      <c r="X762" s="174"/>
      <c r="Y762" s="174"/>
      <c r="Z762" s="174"/>
    </row>
    <row r="763">
      <c r="A763" s="190" t="str">
        <f>IFERROR(__xludf.DUMMYFUNCTION("""COMPUTED_VALUE"""),"Soft Served")</f>
        <v>Soft Served</v>
      </c>
      <c r="B763" s="190" t="str">
        <f>IFERROR(__xludf.DUMMYFUNCTION("""COMPUTED_VALUE"""),"Ice")</f>
        <v>Ice</v>
      </c>
      <c r="C763" s="190" t="str">
        <f>IFERROR(__xludf.DUMMYFUNCTION("""COMPUTED_VALUE"""),"Status")</f>
        <v>Status</v>
      </c>
      <c r="D763" s="190" t="str">
        <f>IFERROR(__xludf.DUMMYFUNCTION("""COMPUTED_VALUE"""),"Scene x2")</f>
        <v>Scene x2</v>
      </c>
      <c r="E763" s="190" t="str">
        <f>IFERROR(__xludf.DUMMYFUNCTION("""COMPUTED_VALUE"""),"Melee, 1 Target, Healing, Versatile")</f>
        <v>Melee, 1 Target, Healing, Versatile</v>
      </c>
      <c r="F763" s="190" t="str">
        <f>IFERROR(__xludf.DUMMYFUNCTION("""COMPUTED_VALUE"""),"--")</f>
        <v>--</v>
      </c>
      <c r="G763" s="190" t="str">
        <f>IFERROR(__xludf.DUMMYFUNCTION("""COMPUTED_VALUE"""),"--")</f>
        <v>--</v>
      </c>
      <c r="H763" s="191" t="str">
        <f>IFERROR(__xludf.DUMMYFUNCTION("""COMPUTED_VALUE"""),"The Target restores 5 Ticks of Hit Points.")</f>
        <v>The Target restores 5 Ticks of Hit Points.</v>
      </c>
      <c r="I763" s="191" t="str">
        <f>IFERROR(__xludf.DUMMYFUNCTION("""COMPUTED_VALUE"""),"The user may lose any number of Ticks of Hit Points, then the Target gains the amount of Hit Points you lost.")</f>
        <v>The user may lose any number of Ticks of Hit Points, then the Target gains the amount of Hit Points you lost.</v>
      </c>
      <c r="J763" s="190" t="str">
        <f>IFERROR(__xludf.DUMMYFUNCTION("""COMPUTED_VALUE"""),"Tier 2")</f>
        <v>Tier 2</v>
      </c>
      <c r="K763" s="174" t="b">
        <f>IFERROR(__xludf.DUMMYFUNCTION("""COMPUTED_VALUE"""),TRUE)</f>
        <v>1</v>
      </c>
      <c r="L763" s="174"/>
      <c r="M763" s="174"/>
      <c r="N763" s="174"/>
      <c r="O763" s="174"/>
      <c r="P763" s="174"/>
      <c r="Q763" s="174"/>
      <c r="R763" s="174"/>
      <c r="S763" s="174"/>
      <c r="T763" s="174"/>
      <c r="U763" s="174"/>
      <c r="V763" s="174"/>
      <c r="W763" s="174"/>
      <c r="X763" s="174"/>
      <c r="Y763" s="174"/>
      <c r="Z763" s="174"/>
    </row>
    <row r="764">
      <c r="A764" s="190" t="str">
        <f>IFERROR(__xludf.DUMMYFUNCTION("""COMPUTED_VALUE"""),"Snowstorm")</f>
        <v>Snowstorm</v>
      </c>
      <c r="B764" s="190" t="str">
        <f>IFERROR(__xludf.DUMMYFUNCTION("""COMPUTED_VALUE"""),"Ice")</f>
        <v>Ice</v>
      </c>
      <c r="C764" s="190" t="str">
        <f>IFERROR(__xludf.DUMMYFUNCTION("""COMPUTED_VALUE"""),"Status")</f>
        <v>Status</v>
      </c>
      <c r="D764" s="190" t="str">
        <f>IFERROR(__xludf.DUMMYFUNCTION("""COMPUTED_VALUE"""),"Scene x2")</f>
        <v>Scene x2</v>
      </c>
      <c r="E764" s="190" t="str">
        <f>IFERROR(__xludf.DUMMYFUNCTION("""COMPUTED_VALUE"""),"Blessing, Versatile, Weather")</f>
        <v>Blessing, Versatile, Weather</v>
      </c>
      <c r="F764" s="190" t="str">
        <f>IFERROR(__xludf.DUMMYFUNCTION("""COMPUTED_VALUE"""),"--")</f>
        <v>--</v>
      </c>
      <c r="G764" s="190" t="str">
        <f>IFERROR(__xludf.DUMMYFUNCTION("""COMPUTED_VALUE"""),"--")</f>
        <v>--</v>
      </c>
      <c r="H764" s="191" t="str">
        <f>IFERROR(__xludf.DUMMYFUNCTION("""COMPUTED_VALUE"""),"Blessing - Any user affected by Snowstorm may activate it as a Free Action when using a Ice Type Damaging Attack to grant it the Smite Keyword. If the Attack hits, it hits, it is also increased by one damage step. (Max 1.5x Effectiveness). Snowstorm may b"&amp;"e Activated 3 times and then disappears. While this Blessing persists, the Weather becomes Snowy.")</f>
        <v>Blessing - Any user affected by Snowstorm may activate it as a Free Action when using a Ice Type Damaging Attack to grant it the Smite Keyword. If the Attack hits, it hits, it is also increased by one damage step. (Max 1.5x Effectiveness). Snowstorm may be Activated 3 times and then disappears. While this Blessing persists, the Weather becomes Snowy.</v>
      </c>
      <c r="I764" s="191" t="str">
        <f>IFERROR(__xludf.DUMMYFUNCTION("""COMPUTED_VALUE"""),"Same as the normal Effect, but it only has 1 Activation.")</f>
        <v>Same as the normal Effect, but it only has 1 Activation.</v>
      </c>
      <c r="J764" s="190" t="str">
        <f>IFERROR(__xludf.DUMMYFUNCTION("""COMPUTED_VALUE"""),"Tier 2")</f>
        <v>Tier 2</v>
      </c>
      <c r="K764" s="174" t="b">
        <f>IFERROR(__xludf.DUMMYFUNCTION("""COMPUTED_VALUE"""),TRUE)</f>
        <v>1</v>
      </c>
      <c r="L764" s="174"/>
      <c r="M764" s="174"/>
      <c r="N764" s="174"/>
      <c r="O764" s="174"/>
      <c r="P764" s="174"/>
      <c r="Q764" s="174"/>
      <c r="R764" s="174"/>
      <c r="S764" s="174"/>
      <c r="T764" s="174"/>
      <c r="U764" s="174"/>
      <c r="V764" s="174"/>
      <c r="W764" s="174"/>
      <c r="X764" s="174"/>
      <c r="Y764" s="174"/>
      <c r="Z764" s="174"/>
    </row>
    <row r="765">
      <c r="A765" s="190" t="str">
        <f>IFERROR(__xludf.DUMMYFUNCTION("""COMPUTED_VALUE"""),"Thermodrain")</f>
        <v>Thermodrain</v>
      </c>
      <c r="B765" s="190" t="str">
        <f>IFERROR(__xludf.DUMMYFUNCTION("""COMPUTED_VALUE"""),"Ice")</f>
        <v>Ice</v>
      </c>
      <c r="C765" s="190" t="str">
        <f>IFERROR(__xludf.DUMMYFUNCTION("""COMPUTED_VALUE"""),"Special")</f>
        <v>Special</v>
      </c>
      <c r="D765" s="190" t="str">
        <f>IFERROR(__xludf.DUMMYFUNCTION("""COMPUTED_VALUE"""),"EOT")</f>
        <v>EOT</v>
      </c>
      <c r="E765" s="190" t="str">
        <f>IFERROR(__xludf.DUMMYFUNCTION("""COMPUTED_VALUE"""),"6, 1 Target")</f>
        <v>6, 1 Target</v>
      </c>
      <c r="F765" s="190">
        <f>IFERROR(__xludf.DUMMYFUNCTION("""COMPUTED_VALUE"""),3.0)</f>
        <v>3</v>
      </c>
      <c r="G765" s="190">
        <f>IFERROR(__xludf.DUMMYFUNCTION("""COMPUTED_VALUE"""),7.0)</f>
        <v>7</v>
      </c>
      <c r="H765" s="191" t="str">
        <f>IFERROR(__xludf.DUMMYFUNCTION("""COMPUTED_VALUE"""),"If this Targets a Fire Type Pokemon, they're considered to be Weak to Ice when calculating damage. If the Weather is Snowy or the Target is Fire Type, Thermodrain has the Drain Keyword.")</f>
        <v>If this Targets a Fire Type Pokemon, they're considered to be Weak to Ice when calculating damage. If the Weather is Snowy or the Target is Fire Type, Thermodrain has the Drain Keyword.</v>
      </c>
      <c r="I765" s="191" t="str">
        <f>IFERROR(__xludf.DUMMYFUNCTION("""COMPUTED_VALUE"""),"--")</f>
        <v>--</v>
      </c>
      <c r="J765" s="190" t="str">
        <f>IFERROR(__xludf.DUMMYFUNCTION("""COMPUTED_VALUE"""),"Tier 1")</f>
        <v>Tier 1</v>
      </c>
      <c r="K765" s="174" t="b">
        <f>IFERROR(__xludf.DUMMYFUNCTION("""COMPUTED_VALUE"""),TRUE)</f>
        <v>1</v>
      </c>
      <c r="L765" s="174"/>
      <c r="M765" s="174"/>
      <c r="N765" s="174"/>
      <c r="O765" s="174"/>
      <c r="P765" s="174"/>
      <c r="Q765" s="174"/>
      <c r="R765" s="174"/>
      <c r="S765" s="174"/>
      <c r="T765" s="174"/>
      <c r="U765" s="174"/>
      <c r="V765" s="174"/>
      <c r="W765" s="174"/>
      <c r="X765" s="174"/>
      <c r="Y765" s="174"/>
      <c r="Z765" s="174"/>
    </row>
    <row r="766">
      <c r="A766" s="190" t="str">
        <f>IFERROR(__xludf.DUMMYFUNCTION("""COMPUTED_VALUE"""),"Triple Axel")</f>
        <v>Triple Axel</v>
      </c>
      <c r="B766" s="190" t="str">
        <f>IFERROR(__xludf.DUMMYFUNCTION("""COMPUTED_VALUE"""),"Ice")</f>
        <v>Ice</v>
      </c>
      <c r="C766" s="190" t="str">
        <f>IFERROR(__xludf.DUMMYFUNCTION("""COMPUTED_VALUE"""),"Physical")</f>
        <v>Physical</v>
      </c>
      <c r="D766" s="190" t="str">
        <f>IFERROR(__xludf.DUMMYFUNCTION("""COMPUTED_VALUE"""),"EOT")</f>
        <v>EOT</v>
      </c>
      <c r="E766" s="190" t="str">
        <f>IFERROR(__xludf.DUMMYFUNCTION("""COMPUTED_VALUE"""),"Melee, 1 Target")</f>
        <v>Melee, 1 Target</v>
      </c>
      <c r="F766" s="190">
        <f>IFERROR(__xludf.DUMMYFUNCTION("""COMPUTED_VALUE"""),5.0)</f>
        <v>5</v>
      </c>
      <c r="G766" s="190">
        <f>IFERROR(__xludf.DUMMYFUNCTION("""COMPUTED_VALUE"""),6.0)</f>
        <v>6</v>
      </c>
      <c r="H766" s="191" t="str">
        <f>IFERROR(__xludf.DUMMYFUNCTION("""COMPUTED_VALUE"""),"After attacking with Triple Axel, hit or miss, the user may Slide up to 2m and attack a different Target with Triple Axel. This effect may be repeated a second time, Targeting a combatant that has not been Targeted by either prior attack. Before making ea"&amp;"ch attack roll, the user may choose to not trigger all remaining additional slides and attacks. Triple Axel gains +1 Accuracy and +1 DB for each Attack that is given up. Triple Axel always benefits from the Technician Ability.")</f>
        <v>After attacking with Triple Axel, hit or miss, the user may Slide up to 2m and attack a different Target with Triple Axel. This effect may be repeated a second time, Targeting a combatant that has not been Targeted by either prior attack. Before making each attack roll, the user may choose to not trigger all remaining additional slides and attacks. Triple Axel gains +1 Accuracy and +1 DB for each Attack that is given up. Triple Axel always benefits from the Technician Ability.</v>
      </c>
      <c r="I766" s="191" t="str">
        <f>IFERROR(__xludf.DUMMYFUNCTION("""COMPUTED_VALUE"""),"--")</f>
        <v>--</v>
      </c>
      <c r="J766" s="190" t="str">
        <f>IFERROR(__xludf.DUMMYFUNCTION("""COMPUTED_VALUE"""),"Tier 2")</f>
        <v>Tier 2</v>
      </c>
      <c r="K766" s="174" t="b">
        <f>IFERROR(__xludf.DUMMYFUNCTION("""COMPUTED_VALUE"""),TRUE)</f>
        <v>1</v>
      </c>
      <c r="L766" s="174"/>
      <c r="M766" s="174"/>
      <c r="N766" s="174"/>
      <c r="O766" s="174"/>
      <c r="P766" s="174"/>
      <c r="Q766" s="174"/>
      <c r="R766" s="174"/>
      <c r="S766" s="174"/>
      <c r="T766" s="174"/>
      <c r="U766" s="174"/>
      <c r="V766" s="174"/>
      <c r="W766" s="174"/>
      <c r="X766" s="174"/>
      <c r="Y766" s="174"/>
      <c r="Z766" s="174"/>
    </row>
    <row r="767">
      <c r="A767" s="190" t="str">
        <f>IFERROR(__xludf.DUMMYFUNCTION("""COMPUTED_VALUE"""),"Whiteout")</f>
        <v>Whiteout</v>
      </c>
      <c r="B767" s="190" t="str">
        <f>IFERROR(__xludf.DUMMYFUNCTION("""COMPUTED_VALUE"""),"Ice")</f>
        <v>Ice</v>
      </c>
      <c r="C767" s="190" t="str">
        <f>IFERROR(__xludf.DUMMYFUNCTION("""COMPUTED_VALUE"""),"Status")</f>
        <v>Status</v>
      </c>
      <c r="D767" s="190" t="str">
        <f>IFERROR(__xludf.DUMMYFUNCTION("""COMPUTED_VALUE"""),"Scene x2")</f>
        <v>Scene x2</v>
      </c>
      <c r="E767" s="190" t="str">
        <f>IFERROR(__xludf.DUMMYFUNCTION("""COMPUTED_VALUE"""),"5, Ranged Blast 3, Versatile")</f>
        <v>5, Ranged Blast 3, Versatile</v>
      </c>
      <c r="F767" s="190" t="str">
        <f>IFERROR(__xludf.DUMMYFUNCTION("""COMPUTED_VALUE"""),"--")</f>
        <v>--</v>
      </c>
      <c r="G767" s="190" t="str">
        <f>IFERROR(__xludf.DUMMYFUNCTION("""COMPUTED_VALUE"""),"--")</f>
        <v>--</v>
      </c>
      <c r="H767" s="191" t="str">
        <f>IFERROR(__xludf.DUMMYFUNCTION("""COMPUTED_VALUE"""),"Create a Zone within the Range of the Attack. Any Enemy within this Zone without the Naturewalk (Tundra) Capability must make a CR 4 Perception Check at the start of their Turn or else they become Blinded until the end of their Turn. Spaces in this Zone a"&amp;"re treat the Weather as if it were Snowy. If the user Faints, this Zone is removed.")</f>
        <v>Create a Zone within the Range of the Attack. Any Enemy within this Zone without the Naturewalk (Tundra) Capability must make a CR 4 Perception Check at the start of their Turn or else they become Blinded until the end of their Turn. Spaces in this Zone are treat the Weather as if it were Snowy. If the user Faints, this Zone is removed.</v>
      </c>
      <c r="I767" s="191" t="str">
        <f>IFERROR(__xludf.DUMMYFUNCTION("""COMPUTED_VALUE"""),"Same as the normal Effects but the Zone is removed at the end of the Round. ")</f>
        <v>Same as the normal Effects but the Zone is removed at the end of the Round. </v>
      </c>
      <c r="J767" s="190" t="str">
        <f>IFERROR(__xludf.DUMMYFUNCTION("""COMPUTED_VALUE"""),"Tier 2")</f>
        <v>Tier 2</v>
      </c>
      <c r="K767" s="174" t="b">
        <f>IFERROR(__xludf.DUMMYFUNCTION("""COMPUTED_VALUE"""),TRUE)</f>
        <v>1</v>
      </c>
      <c r="L767" s="174"/>
      <c r="M767" s="174"/>
      <c r="N767" s="174"/>
      <c r="O767" s="174"/>
      <c r="P767" s="174"/>
      <c r="Q767" s="174"/>
      <c r="R767" s="174"/>
      <c r="S767" s="174"/>
      <c r="T767" s="174"/>
      <c r="U767" s="174"/>
      <c r="V767" s="174"/>
      <c r="W767" s="174"/>
      <c r="X767" s="174"/>
      <c r="Y767" s="174"/>
      <c r="Z767" s="174"/>
    </row>
    <row r="768">
      <c r="A768" s="190" t="str">
        <f>IFERROR(__xludf.DUMMYFUNCTION("""COMPUTED_VALUE"""),"Acupressure")</f>
        <v>Acupressure</v>
      </c>
      <c r="B768" s="190" t="str">
        <f>IFERROR(__xludf.DUMMYFUNCTION("""COMPUTED_VALUE"""),"Normal")</f>
        <v>Normal</v>
      </c>
      <c r="C768" s="190" t="str">
        <f>IFERROR(__xludf.DUMMYFUNCTION("""COMPUTED_VALUE"""),"Status")</f>
        <v>Status</v>
      </c>
      <c r="D768" s="190" t="str">
        <f>IFERROR(__xludf.DUMMYFUNCTION("""COMPUTED_VALUE"""),"EOT")</f>
        <v>EOT</v>
      </c>
      <c r="E768" s="190" t="str">
        <f>IFERROR(__xludf.DUMMYFUNCTION("""COMPUTED_VALUE"""),"Melee, 1 Target")</f>
        <v>Melee, 1 Target</v>
      </c>
      <c r="F768" s="190">
        <f>IFERROR(__xludf.DUMMYFUNCTION("""COMPUTED_VALUE"""),4.0)</f>
        <v>4</v>
      </c>
      <c r="G768" s="190" t="str">
        <f>IFERROR(__xludf.DUMMYFUNCTION("""COMPUTED_VALUE"""),"--")</f>
        <v>--</v>
      </c>
      <c r="H768" s="191" t="str">
        <f>IFERROR(__xludf.DUMMYFUNCTION("""COMPUTED_VALUE"""),"The Target becomes Vulnerable or Weakened of your choice until the end of the next Round. On a roll of 17+, they instead have both applied for the same duration. If the Target is an Ally, they instead have a Random Stat increased by +2 CS.")</f>
        <v>The Target becomes Vulnerable or Weakened of your choice until the end of the next Round. On a roll of 17+, they instead have both applied for the same duration. If the Target is an Ally, they instead have a Random Stat increased by +2 CS.</v>
      </c>
      <c r="I768" s="191" t="str">
        <f>IFERROR(__xludf.DUMMYFUNCTION("""COMPUTED_VALUE"""),"Roll a d2. On a 1, the Target becomes Vulnerable until the end of the Round, or on a 2, the Target becomes Weakened until the end of the Round.")</f>
        <v>Roll a d2. On a 1, the Target becomes Vulnerable until the end of the Round, or on a 2, the Target becomes Weakened until the end of the Round.</v>
      </c>
      <c r="J768" s="190" t="str">
        <f>IFERROR(__xludf.DUMMYFUNCTION("""COMPUTED_VALUE"""),"Tier 1")</f>
        <v>Tier 1</v>
      </c>
      <c r="K768" s="174" t="b">
        <f>IFERROR(__xludf.DUMMYFUNCTION("""COMPUTED_VALUE"""),TRUE)</f>
        <v>1</v>
      </c>
      <c r="L768" s="174"/>
      <c r="M768" s="174"/>
      <c r="N768" s="174"/>
      <c r="O768" s="174"/>
      <c r="P768" s="174"/>
      <c r="Q768" s="174"/>
      <c r="R768" s="174"/>
      <c r="S768" s="174"/>
      <c r="T768" s="174"/>
      <c r="U768" s="174"/>
      <c r="V768" s="174"/>
      <c r="W768" s="174"/>
      <c r="X768" s="174"/>
      <c r="Y768" s="174"/>
      <c r="Z768" s="174"/>
    </row>
    <row r="769">
      <c r="A769" s="190" t="str">
        <f>IFERROR(__xludf.DUMMYFUNCTION("""COMPUTED_VALUE"""),"After You")</f>
        <v>After You</v>
      </c>
      <c r="B769" s="190" t="str">
        <f>IFERROR(__xludf.DUMMYFUNCTION("""COMPUTED_VALUE"""),"Normal")</f>
        <v>Normal</v>
      </c>
      <c r="C769" s="190" t="str">
        <f>IFERROR(__xludf.DUMMYFUNCTION("""COMPUTED_VALUE"""),"Status")</f>
        <v>Status</v>
      </c>
      <c r="D769" s="190" t="str">
        <f>IFERROR(__xludf.DUMMYFUNCTION("""COMPUTED_VALUE"""),"Scene x2")</f>
        <v>Scene x2</v>
      </c>
      <c r="E769" s="190" t="str">
        <f>IFERROR(__xludf.DUMMYFUNCTION("""COMPUTED_VALUE"""),"6, 1 Target ")</f>
        <v>6, 1 Target </v>
      </c>
      <c r="F769" s="190" t="str">
        <f>IFERROR(__xludf.DUMMYFUNCTION("""COMPUTED_VALUE"""),"--")</f>
        <v>--</v>
      </c>
      <c r="G769" s="190" t="str">
        <f>IFERROR(__xludf.DUMMYFUNCTION("""COMPUTED_VALUE"""),"--")</f>
        <v>--</v>
      </c>
      <c r="H769" s="191" t="str">
        <f>IFERROR(__xludf.DUMMYFUNCTION("""COMPUTED_VALUE"""),"After You can only be used as a Reaction when you use an Attack against a Single Enemy and it must Target the Ally that is acting alongside you during this Initiative. The Target may immediately use an Attack if they have an Action to do so, resolving it "&amp;"before the Triggering Attack, but it must Target only the Enemy the Triggering Attack Targeted. Their Attack has the Sureshot Keyword. After their Attack resolves, you may finish resolving the Triggering Attack. If they fainted, you do not regain the Acti"&amp;"on spent to use the Triggering Attack. ")</f>
        <v>After You can only be used as a Reaction when you use an Attack against a Single Enemy and it must Target the Ally that is acting alongside you during this Initiative. The Target may immediately use an Attack if they have an Action to do so, resolving it before the Triggering Attack, but it must Target only the Enemy the Triggering Attack Targeted. Their Attack has the Sureshot Keyword. After their Attack resolves, you may finish resolving the Triggering Attack. If they fainted, you do not regain the Action spent to use the Triggering Attack. </v>
      </c>
      <c r="I769" s="191" t="str">
        <f>IFERROR(__xludf.DUMMYFUNCTION("""COMPUTED_VALUE"""),"--")</f>
        <v>--</v>
      </c>
      <c r="J769" s="190" t="str">
        <f>IFERROR(__xludf.DUMMYFUNCTION("""COMPUTED_VALUE"""),"Tier 2")</f>
        <v>Tier 2</v>
      </c>
      <c r="K769" s="174" t="b">
        <f>IFERROR(__xludf.DUMMYFUNCTION("""COMPUTED_VALUE"""),FALSE)</f>
        <v>0</v>
      </c>
      <c r="L769" s="174"/>
      <c r="M769" s="174"/>
      <c r="N769" s="174"/>
      <c r="O769" s="174"/>
      <c r="P769" s="174"/>
      <c r="Q769" s="174"/>
      <c r="R769" s="174"/>
      <c r="S769" s="174"/>
      <c r="T769" s="174"/>
      <c r="U769" s="174"/>
      <c r="V769" s="174"/>
      <c r="W769" s="174"/>
      <c r="X769" s="174"/>
      <c r="Y769" s="174"/>
      <c r="Z769" s="174"/>
    </row>
    <row r="770">
      <c r="A770" s="190" t="str">
        <f>IFERROR(__xludf.DUMMYFUNCTION("""COMPUTED_VALUE"""),"Assist")</f>
        <v>Assist</v>
      </c>
      <c r="B770" s="190" t="str">
        <f>IFERROR(__xludf.DUMMYFUNCTION("""COMPUTED_VALUE"""),"Normal")</f>
        <v>Normal</v>
      </c>
      <c r="C770" s="190" t="str">
        <f>IFERROR(__xludf.DUMMYFUNCTION("""COMPUTED_VALUE"""),"Status")</f>
        <v>Status</v>
      </c>
      <c r="D770" s="190" t="str">
        <f>IFERROR(__xludf.DUMMYFUNCTION("""COMPUTED_VALUE"""),"Scene x2")</f>
        <v>Scene x2</v>
      </c>
      <c r="E770" s="190" t="str">
        <f>IFERROR(__xludf.DUMMYFUNCTION("""COMPUTED_VALUE"""),"Melee, 1 Target, Swift Action")</f>
        <v>Melee, 1 Target, Swift Action</v>
      </c>
      <c r="F770" s="190" t="str">
        <f>IFERROR(__xludf.DUMMYFUNCTION("""COMPUTED_VALUE"""),"--")</f>
        <v>--</v>
      </c>
      <c r="G770" s="190" t="str">
        <f>IFERROR(__xludf.DUMMYFUNCTION("""COMPUTED_VALUE"""),"--")</f>
        <v>--</v>
      </c>
      <c r="H770" s="191" t="str">
        <f>IFERROR(__xludf.DUMMYFUNCTION("""COMPUTED_VALUE"""),"The Target may choose to perform their next Accuracy Check or Save Check this round twice. ")</f>
        <v>The Target may choose to perform their next Accuracy Check or Save Check this round twice. </v>
      </c>
      <c r="I770" s="191" t="str">
        <f>IFERROR(__xludf.DUMMYFUNCTION("""COMPUTED_VALUE"""),"--")</f>
        <v>--</v>
      </c>
      <c r="J770" s="190" t="str">
        <f>IFERROR(__xludf.DUMMYFUNCTION("""COMPUTED_VALUE"""),"Tier 2")</f>
        <v>Tier 2</v>
      </c>
      <c r="K770" s="174" t="b">
        <f>IFERROR(__xludf.DUMMYFUNCTION("""COMPUTED_VALUE"""),FALSE)</f>
        <v>0</v>
      </c>
      <c r="L770" s="174"/>
      <c r="M770" s="174"/>
      <c r="N770" s="174"/>
      <c r="O770" s="174"/>
      <c r="P770" s="174"/>
      <c r="Q770" s="174"/>
      <c r="R770" s="174"/>
      <c r="S770" s="174"/>
      <c r="T770" s="174"/>
      <c r="U770" s="174"/>
      <c r="V770" s="174"/>
      <c r="W770" s="174"/>
      <c r="X770" s="174"/>
      <c r="Y770" s="174"/>
      <c r="Z770" s="174"/>
    </row>
    <row r="771">
      <c r="A771" s="190" t="str">
        <f>IFERROR(__xludf.DUMMYFUNCTION("""COMPUTED_VALUE"""),"Attract")</f>
        <v>Attract</v>
      </c>
      <c r="B771" s="190" t="str">
        <f>IFERROR(__xludf.DUMMYFUNCTION("""COMPUTED_VALUE"""),"Normal")</f>
        <v>Normal</v>
      </c>
      <c r="C771" s="190" t="str">
        <f>IFERROR(__xludf.DUMMYFUNCTION("""COMPUTED_VALUE"""),"Status")</f>
        <v>Status</v>
      </c>
      <c r="D771" s="190" t="str">
        <f>IFERROR(__xludf.DUMMYFUNCTION("""COMPUTED_VALUE"""),"Scene x2")</f>
        <v>Scene x2</v>
      </c>
      <c r="E771" s="190" t="str">
        <f>IFERROR(__xludf.DUMMYFUNCTION("""COMPUTED_VALUE"""),"Burst 2, Social")</f>
        <v>Burst 2, Social</v>
      </c>
      <c r="F771" s="190" t="str">
        <f>IFERROR(__xludf.DUMMYFUNCTION("""COMPUTED_VALUE"""),"--")</f>
        <v>--</v>
      </c>
      <c r="G771" s="190" t="str">
        <f>IFERROR(__xludf.DUMMYFUNCTION("""COMPUTED_VALUE"""),"--")</f>
        <v>--</v>
      </c>
      <c r="H771" s="191" t="str">
        <f>IFERROR(__xludf.DUMMYFUNCTION("""COMPUTED_VALUE"""),"The user uses a Intrigue Maneuver against all Targets as a Free Action. If the Maneuver Hits, the Target automatically fails the opposed Check. Friendly, Sureshot.")</f>
        <v>The user uses a Intrigue Maneuver against all Targets as a Free Action. If the Maneuver Hits, the Target automatically fails the opposed Check. Friendly, Sureshot.</v>
      </c>
      <c r="I771" s="191" t="str">
        <f>IFERROR(__xludf.DUMMYFUNCTION("""COMPUTED_VALUE"""),"--")</f>
        <v>--</v>
      </c>
      <c r="J771" s="190" t="str">
        <f>IFERROR(__xludf.DUMMYFUNCTION("""COMPUTED_VALUE"""),"Tier 2")</f>
        <v>Tier 2</v>
      </c>
      <c r="K771" s="174" t="b">
        <f>IFERROR(__xludf.DUMMYFUNCTION("""COMPUTED_VALUE"""),TRUE)</f>
        <v>1</v>
      </c>
      <c r="L771" s="174"/>
      <c r="M771" s="174"/>
      <c r="N771" s="174"/>
      <c r="O771" s="174"/>
      <c r="P771" s="174"/>
      <c r="Q771" s="174"/>
      <c r="R771" s="174"/>
      <c r="S771" s="174"/>
      <c r="T771" s="174"/>
      <c r="U771" s="174"/>
      <c r="V771" s="174"/>
      <c r="W771" s="174"/>
      <c r="X771" s="174"/>
      <c r="Y771" s="174"/>
      <c r="Z771" s="174"/>
    </row>
    <row r="772">
      <c r="A772" s="190" t="str">
        <f>IFERROR(__xludf.DUMMYFUNCTION("""COMPUTED_VALUE"""),"Barrage")</f>
        <v>Barrage</v>
      </c>
      <c r="B772" s="190" t="str">
        <f>IFERROR(__xludf.DUMMYFUNCTION("""COMPUTED_VALUE"""),"Normal")</f>
        <v>Normal</v>
      </c>
      <c r="C772" s="190" t="str">
        <f>IFERROR(__xludf.DUMMYFUNCTION("""COMPUTED_VALUE"""),"Physical")</f>
        <v>Physical</v>
      </c>
      <c r="D772" s="190" t="str">
        <f>IFERROR(__xludf.DUMMYFUNCTION("""COMPUTED_VALUE"""),"EOT")</f>
        <v>EOT</v>
      </c>
      <c r="E772" s="190" t="str">
        <f>IFERROR(__xludf.DUMMYFUNCTION("""COMPUTED_VALUE"""),"6, 1 Target ")</f>
        <v>6, 1 Target </v>
      </c>
      <c r="F772" s="190">
        <f>IFERROR(__xludf.DUMMYFUNCTION("""COMPUTED_VALUE"""),4.0)</f>
        <v>4</v>
      </c>
      <c r="G772" s="190">
        <f>IFERROR(__xludf.DUMMYFUNCTION("""COMPUTED_VALUE"""),6.0)</f>
        <v>6</v>
      </c>
      <c r="H772" s="191" t="str">
        <f>IFERROR(__xludf.DUMMYFUNCTION("""COMPUTED_VALUE"""),"If this Attack hits, roll 5d20. For each one that resulted in a  Natural 16+, they lose -1 CS in Defense. Smite")</f>
        <v>If this Attack hits, roll 5d20. For each one that resulted in a  Natural 16+, they lose -1 CS in Defense. Smite</v>
      </c>
      <c r="I772" s="191" t="str">
        <f>IFERROR(__xludf.DUMMYFUNCTION("""COMPUTED_VALUE"""),"--")</f>
        <v>--</v>
      </c>
      <c r="J772" s="190" t="str">
        <f>IFERROR(__xludf.DUMMYFUNCTION("""COMPUTED_VALUE"""),"Tier 1")</f>
        <v>Tier 1</v>
      </c>
      <c r="K772" s="174" t="b">
        <f>IFERROR(__xludf.DUMMYFUNCTION("""COMPUTED_VALUE"""),TRUE)</f>
        <v>1</v>
      </c>
      <c r="L772" s="174"/>
      <c r="M772" s="174"/>
      <c r="N772" s="174"/>
      <c r="O772" s="174"/>
      <c r="P772" s="174"/>
      <c r="Q772" s="174"/>
      <c r="R772" s="174"/>
      <c r="S772" s="174"/>
      <c r="T772" s="174"/>
      <c r="U772" s="174"/>
      <c r="V772" s="174"/>
      <c r="W772" s="174"/>
      <c r="X772" s="174"/>
      <c r="Y772" s="174"/>
      <c r="Z772" s="174"/>
    </row>
    <row r="773">
      <c r="A773" s="190" t="str">
        <f>IFERROR(__xludf.DUMMYFUNCTION("""COMPUTED_VALUE"""),"Battle Rage")</f>
        <v>Battle Rage</v>
      </c>
      <c r="B773" s="190" t="str">
        <f>IFERROR(__xludf.DUMMYFUNCTION("""COMPUTED_VALUE"""),"Normal")</f>
        <v>Normal</v>
      </c>
      <c r="C773" s="190" t="str">
        <f>IFERROR(__xludf.DUMMYFUNCTION("""COMPUTED_VALUE"""),"Status")</f>
        <v>Status</v>
      </c>
      <c r="D773" s="190" t="str">
        <f>IFERROR(__xludf.DUMMYFUNCTION("""COMPUTED_VALUE"""),"Scene")</f>
        <v>Scene</v>
      </c>
      <c r="E773" s="190" t="str">
        <f>IFERROR(__xludf.DUMMYFUNCTION("""COMPUTED_VALUE"""),"Self, Versatile")</f>
        <v>Self, Versatile</v>
      </c>
      <c r="F773" s="190" t="str">
        <f>IFERROR(__xludf.DUMMYFUNCTION("""COMPUTED_VALUE"""),"--")</f>
        <v>--</v>
      </c>
      <c r="G773" s="190" t="str">
        <f>IFERROR(__xludf.DUMMYFUNCTION("""COMPUTED_VALUE"""),"--")</f>
        <v>--</v>
      </c>
      <c r="H773" s="191" t="str">
        <f>IFERROR(__xludf.DUMMYFUNCTION("""COMPUTED_VALUE"""),"The user gains +3 CS in Attack and becomes Enraged, if not already. This Attack may be used even if the user is Enraged.")</f>
        <v>The user gains +3 CS in Attack and becomes Enraged, if not already. This Attack may be used even if the user is Enraged.</v>
      </c>
      <c r="I773" s="191" t="str">
        <f>IFERROR(__xludf.DUMMYFUNCTION("""COMPUTED_VALUE"""),"The user becomes Enraged and their next Damaging Attack has the Smite Keyword.")</f>
        <v>The user becomes Enraged and their next Damaging Attack has the Smite Keyword.</v>
      </c>
      <c r="J773" s="190" t="str">
        <f>IFERROR(__xludf.DUMMYFUNCTION("""COMPUTED_VALUE"""),"Tier 3")</f>
        <v>Tier 3</v>
      </c>
      <c r="K773" s="174" t="b">
        <f>IFERROR(__xludf.DUMMYFUNCTION("""COMPUTED_VALUE"""),TRUE)</f>
        <v>1</v>
      </c>
      <c r="L773" s="174"/>
      <c r="M773" s="174"/>
      <c r="N773" s="174"/>
      <c r="O773" s="174"/>
      <c r="P773" s="174"/>
      <c r="Q773" s="174"/>
      <c r="R773" s="174"/>
      <c r="S773" s="174"/>
      <c r="T773" s="174"/>
      <c r="U773" s="174"/>
      <c r="V773" s="174"/>
      <c r="W773" s="174"/>
      <c r="X773" s="174"/>
      <c r="Y773" s="174"/>
      <c r="Z773" s="174"/>
    </row>
    <row r="774">
      <c r="A774" s="190" t="str">
        <f>IFERROR(__xludf.DUMMYFUNCTION("""COMPUTED_VALUE"""),"Baton Pass")</f>
        <v>Baton Pass</v>
      </c>
      <c r="B774" s="190" t="str">
        <f>IFERROR(__xludf.DUMMYFUNCTION("""COMPUTED_VALUE"""),"Normal")</f>
        <v>Normal</v>
      </c>
      <c r="C774" s="190" t="str">
        <f>IFERROR(__xludf.DUMMYFUNCTION("""COMPUTED_VALUE"""),"Status")</f>
        <v>Status</v>
      </c>
      <c r="D774" s="190" t="str">
        <f>IFERROR(__xludf.DUMMYFUNCTION("""COMPUTED_VALUE"""),"At-Will")</f>
        <v>At-Will</v>
      </c>
      <c r="E774" s="190" t="str">
        <f>IFERROR(__xludf.DUMMYFUNCTION("""COMPUTED_VALUE"""),"Self, Movement Action, Versatile")</f>
        <v>Self, Movement Action, Versatile</v>
      </c>
      <c r="F774" s="190" t="str">
        <f>IFERROR(__xludf.DUMMYFUNCTION("""COMPUTED_VALUE"""),"--")</f>
        <v>--</v>
      </c>
      <c r="G774" s="190" t="str">
        <f>IFERROR(__xludf.DUMMYFUNCTION("""COMPUTED_VALUE"""),"--")</f>
        <v>--</v>
      </c>
      <c r="H774" s="191" t="str">
        <f>IFERROR(__xludf.DUMMYFUNCTION("""COMPUTED_VALUE"""),"The user is replaced with another Pokémon from their trainer’s roster, performing a full switch. All CS Values and Coats on Baton Pass’ user are transferred to the replacement. The replacement’s default combat stages are ignored in any stat that has CS tr"&amp;"ansferred to it.")</f>
        <v>The user is replaced with another Pokémon from their trainer’s roster, performing a full switch. All CS Values and Coats on Baton Pass’ user are transferred to the replacement. The replacement’s default combat stages are ignored in any stat that has CS transferred to it.</v>
      </c>
      <c r="I774" s="191" t="str">
        <f>IFERROR(__xludf.DUMMYFUNCTION("""COMPUTED_VALUE"""),"The Target's CS Values become replaced by the users, then the user's CS is set to its Default Stages. When used this way, the range becomes Melee, 1 Target and can only Target an Ally")</f>
        <v>The Target's CS Values become replaced by the users, then the user's CS is set to its Default Stages. When used this way, the range becomes Melee, 1 Target and can only Target an Ally</v>
      </c>
      <c r="J774" s="190" t="str">
        <f>IFERROR(__xludf.DUMMYFUNCTION("""COMPUTED_VALUE"""),"Tier 1")</f>
        <v>Tier 1</v>
      </c>
      <c r="K774" s="174" t="b">
        <f>IFERROR(__xludf.DUMMYFUNCTION("""COMPUTED_VALUE"""),TRUE)</f>
        <v>1</v>
      </c>
      <c r="L774" s="174"/>
      <c r="M774" s="174"/>
      <c r="N774" s="174"/>
      <c r="O774" s="174"/>
      <c r="P774" s="174"/>
      <c r="Q774" s="174"/>
      <c r="R774" s="174"/>
      <c r="S774" s="174"/>
      <c r="T774" s="174"/>
      <c r="U774" s="174"/>
      <c r="V774" s="174"/>
      <c r="W774" s="174"/>
      <c r="X774" s="174"/>
      <c r="Y774" s="174"/>
      <c r="Z774" s="174"/>
    </row>
    <row r="775">
      <c r="A775" s="190" t="str">
        <f>IFERROR(__xludf.DUMMYFUNCTION("""COMPUTED_VALUE"""),"Belly Drum")</f>
        <v>Belly Drum</v>
      </c>
      <c r="B775" s="190" t="str">
        <f>IFERROR(__xludf.DUMMYFUNCTION("""COMPUTED_VALUE"""),"Normal")</f>
        <v>Normal</v>
      </c>
      <c r="C775" s="190" t="str">
        <f>IFERROR(__xludf.DUMMYFUNCTION("""COMPUTED_VALUE"""),"Status")</f>
        <v>Status</v>
      </c>
      <c r="D775" s="190" t="str">
        <f>IFERROR(__xludf.DUMMYFUNCTION("""COMPUTED_VALUE"""),"Scene")</f>
        <v>Scene</v>
      </c>
      <c r="E775" s="190" t="str">
        <f>IFERROR(__xludf.DUMMYFUNCTION("""COMPUTED_VALUE"""),"Self, Full Action + Movement Action, Priority")</f>
        <v>Self, Full Action + Movement Action, Priority</v>
      </c>
      <c r="F775" s="190" t="str">
        <f>IFERROR(__xludf.DUMMYFUNCTION("""COMPUTED_VALUE"""),"--")</f>
        <v>--</v>
      </c>
      <c r="G775" s="190" t="str">
        <f>IFERROR(__xludf.DUMMYFUNCTION("""COMPUTED_VALUE"""),"--")</f>
        <v>--</v>
      </c>
      <c r="H775" s="191" t="str">
        <f>IFERROR(__xludf.DUMMYFUNCTION("""COMPUTED_VALUE"""),"Belly Drum must be declared at the start of a Round as a Priority Free Action. The user then becomes Vulnerable until the end of the Round. At the end of the Round, if you have an Action to do so, you must use Belly Drum as a Full Action + Movement Action"&amp;". You then gain +6 Attack CS.")</f>
        <v>Belly Drum must be declared at the start of a Round as a Priority Free Action. The user then becomes Vulnerable until the end of the Round. At the end of the Round, if you have an Action to do so, you must use Belly Drum as a Full Action + Movement Action. You then gain +6 Attack CS.</v>
      </c>
      <c r="I775" s="191" t="str">
        <f>IFERROR(__xludf.DUMMYFUNCTION("""COMPUTED_VALUE"""),"--")</f>
        <v>--</v>
      </c>
      <c r="J775" s="190" t="str">
        <f>IFERROR(__xludf.DUMMYFUNCTION("""COMPUTED_VALUE"""),"Tier 3")</f>
        <v>Tier 3</v>
      </c>
      <c r="K775" s="174" t="b">
        <f>IFERROR(__xludf.DUMMYFUNCTION("""COMPUTED_VALUE"""),TRUE)</f>
        <v>1</v>
      </c>
      <c r="L775" s="174"/>
      <c r="M775" s="174"/>
      <c r="N775" s="174"/>
      <c r="O775" s="174"/>
      <c r="P775" s="174"/>
      <c r="Q775" s="174"/>
      <c r="R775" s="174"/>
      <c r="S775" s="174"/>
      <c r="T775" s="174"/>
      <c r="U775" s="174"/>
      <c r="V775" s="174"/>
      <c r="W775" s="174"/>
      <c r="X775" s="174"/>
      <c r="Y775" s="174"/>
      <c r="Z775" s="174"/>
    </row>
    <row r="776">
      <c r="A776" s="190" t="str">
        <f>IFERROR(__xludf.DUMMYFUNCTION("""COMPUTED_VALUE"""),"Bestow")</f>
        <v>Bestow</v>
      </c>
      <c r="B776" s="190" t="str">
        <f>IFERROR(__xludf.DUMMYFUNCTION("""COMPUTED_VALUE"""),"Normal")</f>
        <v>Normal</v>
      </c>
      <c r="C776" s="190" t="str">
        <f>IFERROR(__xludf.DUMMYFUNCTION("""COMPUTED_VALUE"""),"Status")</f>
        <v>Status</v>
      </c>
      <c r="D776" s="190" t="str">
        <f>IFERROR(__xludf.DUMMYFUNCTION("""COMPUTED_VALUE"""),"EOT")</f>
        <v>EOT</v>
      </c>
      <c r="E776" s="190" t="str">
        <f>IFERROR(__xludf.DUMMYFUNCTION("""COMPUTED_VALUE"""),"Melee, 1 Target, Movement Action")</f>
        <v>Melee, 1 Target, Movement Action</v>
      </c>
      <c r="F776" s="190" t="str">
        <f>IFERROR(__xludf.DUMMYFUNCTION("""COMPUTED_VALUE"""),"--")</f>
        <v>--</v>
      </c>
      <c r="G776" s="190" t="str">
        <f>IFERROR(__xludf.DUMMYFUNCTION("""COMPUTED_VALUE"""),"--")</f>
        <v>--</v>
      </c>
      <c r="H776" s="191" t="str">
        <f>IFERROR(__xludf.DUMMYFUNCTION("""COMPUTED_VALUE"""),"This Attack can only Target an Ally. Choose a Item you have equipped or a Stat. If you chose an Item, you unequip that Item and it is moved to the Target's Empty Inventory or Equipment Slot. If you chose a Stat, their CS is increased or decreased to match"&amp;" your CS for the corresponding Stat, then your CS for that Stat is set to its Default Value.")</f>
        <v>This Attack can only Target an Ally. Choose a Item you have equipped or a Stat. If you chose an Item, you unequip that Item and it is moved to the Target's Empty Inventory or Equipment Slot. If you chose a Stat, their CS is increased or decreased to match your CS for the corresponding Stat, then your CS for that Stat is set to its Default Value.</v>
      </c>
      <c r="I776" s="191" t="str">
        <f>IFERROR(__xludf.DUMMYFUNCTION("""COMPUTED_VALUE"""),"--")</f>
        <v>--</v>
      </c>
      <c r="J776" s="190" t="str">
        <f>IFERROR(__xludf.DUMMYFUNCTION("""COMPUTED_VALUE"""),"Tier 1")</f>
        <v>Tier 1</v>
      </c>
      <c r="K776" s="174" t="b">
        <f>IFERROR(__xludf.DUMMYFUNCTION("""COMPUTED_VALUE"""),FALSE)</f>
        <v>0</v>
      </c>
      <c r="L776" s="174"/>
      <c r="M776" s="174"/>
      <c r="N776" s="174"/>
      <c r="O776" s="174"/>
      <c r="P776" s="174"/>
      <c r="Q776" s="174"/>
      <c r="R776" s="174"/>
      <c r="S776" s="174"/>
      <c r="T776" s="174"/>
      <c r="U776" s="174"/>
      <c r="V776" s="174"/>
      <c r="W776" s="174"/>
      <c r="X776" s="174"/>
      <c r="Y776" s="174"/>
      <c r="Z776" s="174"/>
    </row>
    <row r="777">
      <c r="A777" s="190" t="str">
        <f>IFERROR(__xludf.DUMMYFUNCTION("""COMPUTED_VALUE"""),"Bide")</f>
        <v>Bide</v>
      </c>
      <c r="B777" s="190" t="str">
        <f>IFERROR(__xludf.DUMMYFUNCTION("""COMPUTED_VALUE"""),"Normal")</f>
        <v>Normal</v>
      </c>
      <c r="C777" s="190" t="str">
        <f>IFERROR(__xludf.DUMMYFUNCTION("""COMPUTED_VALUE"""),"Physical")</f>
        <v>Physical</v>
      </c>
      <c r="D777" s="190" t="str">
        <f>IFERROR(__xludf.DUMMYFUNCTION("""COMPUTED_VALUE"""),"Scene x2")</f>
        <v>Scene x2</v>
      </c>
      <c r="E777" s="190" t="str">
        <f>IFERROR(__xludf.DUMMYFUNCTION("""COMPUTED_VALUE"""),"Burst 1, Set-Up")</f>
        <v>Burst 1, Set-Up</v>
      </c>
      <c r="F777" s="190">
        <f>IFERROR(__xludf.DUMMYFUNCTION("""COMPUTED_VALUE"""),5.0)</f>
        <v>5</v>
      </c>
      <c r="G777" s="190" t="str">
        <f>IFERROR(__xludf.DUMMYFUNCTION("""COMPUTED_VALUE"""),"--")</f>
        <v>--</v>
      </c>
      <c r="H777" s="191" t="str">
        <f>IFERROR(__xludf.DUMMYFUNCTION("""COMPUTED_VALUE"""),"Charge Effect: Any time you take Damage from an Enemy Attack while you have Charge Tokens for Bide, gain an additional Charge Token for Bide. If the Damage from the Attack caused you to lose at least 50% of your total Hit Points, gain two additional Charg"&amp;"e Tokens instead of one.
Resolution Effect: All Targets hit by this Attack lose Hit Points equal to your Tier Value times the number of Charge Tokens expended or half this amount if it misses. Spirit Surge ")</f>
        <v>Charge Effect: Any time you take Damage from an Enemy Attack while you have Charge Tokens for Bide, gain an additional Charge Token for Bide. If the Damage from the Attack caused you to lose at least 50% of your total Hit Points, gain two additional Charge Tokens instead of one.
Resolution Effect: All Targets hit by this Attack lose Hit Points equal to your Tier Value times the number of Charge Tokens expended or half this amount if it misses. Spirit Surge </v>
      </c>
      <c r="I777" s="191" t="str">
        <f>IFERROR(__xludf.DUMMYFUNCTION("""COMPUTED_VALUE"""),"--")</f>
        <v>--</v>
      </c>
      <c r="J777" s="190" t="str">
        <f>IFERROR(__xludf.DUMMYFUNCTION("""COMPUTED_VALUE"""),"Tier 2")</f>
        <v>Tier 2</v>
      </c>
      <c r="K777" s="174" t="b">
        <f>IFERROR(__xludf.DUMMYFUNCTION("""COMPUTED_VALUE"""),TRUE)</f>
        <v>1</v>
      </c>
      <c r="L777" s="174"/>
      <c r="M777" s="174"/>
      <c r="N777" s="174"/>
      <c r="O777" s="174"/>
      <c r="P777" s="174"/>
      <c r="Q777" s="174"/>
      <c r="R777" s="174"/>
      <c r="S777" s="174"/>
      <c r="T777" s="174"/>
      <c r="U777" s="174"/>
      <c r="V777" s="174"/>
      <c r="W777" s="174"/>
      <c r="X777" s="174"/>
      <c r="Y777" s="174"/>
      <c r="Z777" s="174"/>
    </row>
    <row r="778">
      <c r="A778" s="190" t="str">
        <f>IFERROR(__xludf.DUMMYFUNCTION("""COMPUTED_VALUE"""),"Bind")</f>
        <v>Bind</v>
      </c>
      <c r="B778" s="190" t="str">
        <f>IFERROR(__xludf.DUMMYFUNCTION("""COMPUTED_VALUE"""),"Normal")</f>
        <v>Normal</v>
      </c>
      <c r="C778" s="190" t="str">
        <f>IFERROR(__xludf.DUMMYFUNCTION("""COMPUTED_VALUE"""),"Physical")</f>
        <v>Physical</v>
      </c>
      <c r="D778" s="190" t="str">
        <f>IFERROR(__xludf.DUMMYFUNCTION("""COMPUTED_VALUE"""),"At-Will")</f>
        <v>At-Will</v>
      </c>
      <c r="E778" s="190" t="str">
        <f>IFERROR(__xludf.DUMMYFUNCTION("""COMPUTED_VALUE"""),"Melee, 1 Target")</f>
        <v>Melee, 1 Target</v>
      </c>
      <c r="F778" s="190">
        <f>IFERROR(__xludf.DUMMYFUNCTION("""COMPUTED_VALUE"""),2.0)</f>
        <v>2</v>
      </c>
      <c r="G778" s="190">
        <f>IFERROR(__xludf.DUMMYFUNCTION("""COMPUTED_VALUE"""),4.0)</f>
        <v>4</v>
      </c>
      <c r="H778" s="191" t="str">
        <f>IFERROR(__xludf.DUMMYFUNCTION("""COMPUTED_VALUE"""),"You may choose to mark the Target with a Bind Mark. While an Enemy has a Bind Mark, whenever they would move, you must Slide into an Adjacent unoccupied space. If you have a higher Weight Class than the Target, they cannot move on their Turn while marked "&amp;"this way. If you would ever enter a space not Adjacent to them, they lose the Bind Mark. You cannot apply Evasion against Attacks derrived from Enemies with your Bind Mark.")</f>
        <v>You may choose to mark the Target with a Bind Mark. While an Enemy has a Bind Mark, whenever they would move, you must Slide into an Adjacent unoccupied space. If you have a higher Weight Class than the Target, they cannot move on their Turn while marked this way. If you would ever enter a space not Adjacent to them, they lose the Bind Mark. You cannot apply Evasion against Attacks derrived from Enemies with your Bind Mark.</v>
      </c>
      <c r="I778" s="191" t="str">
        <f>IFERROR(__xludf.DUMMYFUNCTION("""COMPUTED_VALUE"""),"--")</f>
        <v>--</v>
      </c>
      <c r="J778" s="190" t="str">
        <f>IFERROR(__xludf.DUMMYFUNCTION("""COMPUTED_VALUE"""),"Tier 1")</f>
        <v>Tier 1</v>
      </c>
      <c r="K778" s="174" t="b">
        <f>IFERROR(__xludf.DUMMYFUNCTION("""COMPUTED_VALUE"""),TRUE)</f>
        <v>1</v>
      </c>
      <c r="L778" s="174"/>
      <c r="M778" s="174"/>
      <c r="N778" s="174"/>
      <c r="O778" s="174"/>
      <c r="P778" s="174"/>
      <c r="Q778" s="174"/>
      <c r="R778" s="174"/>
      <c r="S778" s="174"/>
      <c r="T778" s="174"/>
      <c r="U778" s="174"/>
      <c r="V778" s="174"/>
      <c r="W778" s="174"/>
      <c r="X778" s="174"/>
      <c r="Y778" s="174"/>
      <c r="Z778" s="174"/>
    </row>
    <row r="779">
      <c r="A779" s="190" t="str">
        <f>IFERROR(__xludf.DUMMYFUNCTION("""COMPUTED_VALUE"""),"Blinding Radiance")</f>
        <v>Blinding Radiance</v>
      </c>
      <c r="B779" s="190" t="str">
        <f>IFERROR(__xludf.DUMMYFUNCTION("""COMPUTED_VALUE"""),"Normal")</f>
        <v>Normal</v>
      </c>
      <c r="C779" s="190" t="str">
        <f>IFERROR(__xludf.DUMMYFUNCTION("""COMPUTED_VALUE"""),"Status")</f>
        <v>Status</v>
      </c>
      <c r="D779" s="190" t="str">
        <f>IFERROR(__xludf.DUMMYFUNCTION("""COMPUTED_VALUE"""),"Scene x2")</f>
        <v>Scene x2</v>
      </c>
      <c r="E779" s="190" t="str">
        <f>IFERROR(__xludf.DUMMYFUNCTION("""COMPUTED_VALUE"""),"Field, Versatile, Weather")</f>
        <v>Field, Versatile, Weather</v>
      </c>
      <c r="F779" s="190" t="str">
        <f>IFERROR(__xludf.DUMMYFUNCTION("""COMPUTED_VALUE"""),"--")</f>
        <v>--</v>
      </c>
      <c r="G779" s="190" t="str">
        <f>IFERROR(__xludf.DUMMYFUNCTION("""COMPUTED_VALUE"""),"--")</f>
        <v>--</v>
      </c>
      <c r="H779" s="191" t="str">
        <f>IFERROR(__xludf.DUMMYFUNCTION("""COMPUTED_VALUE"""),"The Field becomes Radiant for the next 5 Rounds. While the Field is Radiant, non Normal Type Enemies lose a Tick of Hit Points at the start of their Turn and Normal Type Pokemon gain a Tick of Temporary Hit Points at the start of their Turn. While the Fie"&amp;"ld is Radiant, the Weather becomes Sunny.")</f>
        <v>The Field becomes Radiant for the next 5 Rounds. While the Field is Radiant, non Normal Type Enemies lose a Tick of Hit Points at the start of their Turn and Normal Type Pokemon gain a Tick of Temporary Hit Points at the start of their Turn. While the Field is Radiant, the Weather becomes Sunny.</v>
      </c>
      <c r="I779"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79" s="190" t="str">
        <f>IFERROR(__xludf.DUMMYFUNCTION("""COMPUTED_VALUE"""),"Tier 2")</f>
        <v>Tier 2</v>
      </c>
      <c r="K779" s="174" t="b">
        <f>IFERROR(__xludf.DUMMYFUNCTION("""COMPUTED_VALUE"""),TRUE)</f>
        <v>1</v>
      </c>
      <c r="L779" s="174"/>
      <c r="M779" s="174"/>
      <c r="N779" s="174"/>
      <c r="O779" s="174"/>
      <c r="P779" s="174"/>
      <c r="Q779" s="174"/>
      <c r="R779" s="174"/>
      <c r="S779" s="174"/>
      <c r="T779" s="174"/>
      <c r="U779" s="174"/>
      <c r="V779" s="174"/>
      <c r="W779" s="174"/>
      <c r="X779" s="174"/>
      <c r="Y779" s="174"/>
      <c r="Z779" s="174"/>
    </row>
    <row r="780">
      <c r="A780" s="190" t="str">
        <f>IFERROR(__xludf.DUMMYFUNCTION("""COMPUTED_VALUE"""),"Block")</f>
        <v>Block</v>
      </c>
      <c r="B780" s="190" t="str">
        <f>IFERROR(__xludf.DUMMYFUNCTION("""COMPUTED_VALUE"""),"Normal")</f>
        <v>Normal</v>
      </c>
      <c r="C780" s="190" t="str">
        <f>IFERROR(__xludf.DUMMYFUNCTION("""COMPUTED_VALUE"""),"Status")</f>
        <v>Status</v>
      </c>
      <c r="D780" s="190" t="str">
        <f>IFERROR(__xludf.DUMMYFUNCTION("""COMPUTED_VALUE"""),"EOT")</f>
        <v>EOT</v>
      </c>
      <c r="E780" s="190" t="str">
        <f>IFERROR(__xludf.DUMMYFUNCTION("""COMPUTED_VALUE"""),"Melee, 1 Target, Versatile")</f>
        <v>Melee, 1 Target, Versatile</v>
      </c>
      <c r="F780" s="190">
        <f>IFERROR(__xludf.DUMMYFUNCTION("""COMPUTED_VALUE"""),3.0)</f>
        <v>3</v>
      </c>
      <c r="G780" s="190" t="str">
        <f>IFERROR(__xludf.DUMMYFUNCTION("""COMPUTED_VALUE"""),"--")</f>
        <v>--</v>
      </c>
      <c r="H780" s="191" t="str">
        <f>IFERROR(__xludf.DUMMYFUNCTION("""COMPUTED_VALUE"""),"The Target becomes Marked with a Blocked Mark. While a Combatant with a Blocked Mark is adjacent to the user, if they use an Attack without the Self Range, it must include the user. While a Combatant has a Blocked Mark and are within 3m of you, they are T"&amp;"rapped.")</f>
        <v>The Target becomes Marked with a Blocked Mark. While a Combatant with a Blocked Mark is adjacent to the user, if they use an Attack without the Self Range, it must include the user. While a Combatant has a Blocked Mark and are within 3m of you, they are Trapped.</v>
      </c>
      <c r="I780" s="191" t="str">
        <f>IFERROR(__xludf.DUMMYFUNCTION("""COMPUTED_VALUE"""),"Same as the normal Effects, but Combatants that gain Blocked Marks this way are not Trapped. ")</f>
        <v>Same as the normal Effects, but Combatants that gain Blocked Marks this way are not Trapped. </v>
      </c>
      <c r="J780" s="190" t="str">
        <f>IFERROR(__xludf.DUMMYFUNCTION("""COMPUTED_VALUE"""),"Tier 1")</f>
        <v>Tier 1</v>
      </c>
      <c r="K780" s="174" t="b">
        <f>IFERROR(__xludf.DUMMYFUNCTION("""COMPUTED_VALUE"""),TRUE)</f>
        <v>1</v>
      </c>
      <c r="L780" s="174"/>
      <c r="M780" s="174"/>
      <c r="N780" s="174"/>
      <c r="O780" s="174"/>
      <c r="P780" s="174"/>
      <c r="Q780" s="174"/>
      <c r="R780" s="174"/>
      <c r="S780" s="174"/>
      <c r="T780" s="174"/>
      <c r="U780" s="174"/>
      <c r="V780" s="174"/>
      <c r="W780" s="174"/>
      <c r="X780" s="174"/>
      <c r="Y780" s="174"/>
      <c r="Z780" s="174"/>
    </row>
    <row r="781">
      <c r="A781" s="190" t="str">
        <f>IFERROR(__xludf.DUMMYFUNCTION("""COMPUTED_VALUE"""),"Blood Moon")</f>
        <v>Blood Moon</v>
      </c>
      <c r="B781" s="190" t="str">
        <f>IFERROR(__xludf.DUMMYFUNCTION("""COMPUTED_VALUE"""),"Normal")</f>
        <v>Normal</v>
      </c>
      <c r="C781" s="190" t="str">
        <f>IFERROR(__xludf.DUMMYFUNCTION("""COMPUTED_VALUE"""),"Special")</f>
        <v>Special</v>
      </c>
      <c r="D781" s="190" t="str">
        <f>IFERROR(__xludf.DUMMYFUNCTION("""COMPUTED_VALUE"""),"Scene")</f>
        <v>Scene</v>
      </c>
      <c r="E781" s="190" t="str">
        <f>IFERROR(__xludf.DUMMYFUNCTION("""COMPUTED_VALUE"""),"8, Ranged Blast 2, Full Action, Reckless")</f>
        <v>8, Ranged Blast 2, Full Action, Reckless</v>
      </c>
      <c r="F781" s="190">
        <f>IFERROR(__xludf.DUMMYFUNCTION("""COMPUTED_VALUE"""),5.0)</f>
        <v>5</v>
      </c>
      <c r="G781" s="190">
        <f>IFERROR(__xludf.DUMMYFUNCTION("""COMPUTED_VALUE"""),14.0)</f>
        <v>14</v>
      </c>
      <c r="H781" s="191" t="str">
        <f>IFERROR(__xludf.DUMMYFUNCTION("""COMPUTED_VALUE"""),"After Damage Calculations, the user becomes Vulnerable until the end of the next Round. Smite")</f>
        <v>After Damage Calculations, the user becomes Vulnerable until the end of the next Round. Smite</v>
      </c>
      <c r="I781" s="191" t="str">
        <f>IFERROR(__xludf.DUMMYFUNCTION("""COMPUTED_VALUE"""),"--")</f>
        <v>--</v>
      </c>
      <c r="J781" s="190" t="str">
        <f>IFERROR(__xludf.DUMMYFUNCTION("""COMPUTED_VALUE"""),"Tier 3")</f>
        <v>Tier 3</v>
      </c>
      <c r="K781" s="174" t="b">
        <f>IFERROR(__xludf.DUMMYFUNCTION("""COMPUTED_VALUE"""),TRUE)</f>
        <v>1</v>
      </c>
      <c r="L781" s="174"/>
      <c r="M781" s="174"/>
      <c r="N781" s="174"/>
      <c r="O781" s="174"/>
      <c r="P781" s="174"/>
      <c r="Q781" s="174"/>
      <c r="R781" s="174"/>
      <c r="S781" s="174"/>
      <c r="T781" s="174"/>
      <c r="U781" s="174"/>
      <c r="V781" s="174"/>
      <c r="W781" s="174"/>
      <c r="X781" s="174"/>
      <c r="Y781" s="174"/>
      <c r="Z781" s="174"/>
    </row>
    <row r="782">
      <c r="A782" s="190" t="str">
        <f>IFERROR(__xludf.DUMMYFUNCTION("""COMPUTED_VALUE"""),"Body Slam")</f>
        <v>Body Slam</v>
      </c>
      <c r="B782" s="190" t="str">
        <f>IFERROR(__xludf.DUMMYFUNCTION("""COMPUTED_VALUE"""),"Normal")</f>
        <v>Normal</v>
      </c>
      <c r="C782" s="190" t="str">
        <f>IFERROR(__xludf.DUMMYFUNCTION("""COMPUTED_VALUE"""),"Physical")</f>
        <v>Physical</v>
      </c>
      <c r="D782" s="190" t="str">
        <f>IFERROR(__xludf.DUMMYFUNCTION("""COMPUTED_VALUE"""),"EOT")</f>
        <v>EOT</v>
      </c>
      <c r="E782" s="190" t="str">
        <f>IFERROR(__xludf.DUMMYFUNCTION("""COMPUTED_VALUE"""),"Melee, 1 Target, Dash")</f>
        <v>Melee, 1 Target, Dash</v>
      </c>
      <c r="F782" s="190">
        <f>IFERROR(__xludf.DUMMYFUNCTION("""COMPUTED_VALUE"""),3.0)</f>
        <v>3</v>
      </c>
      <c r="G782" s="190">
        <f>IFERROR(__xludf.DUMMYFUNCTION("""COMPUTED_VALUE"""),9.0)</f>
        <v>9</v>
      </c>
      <c r="H782" s="191" t="str">
        <f>IFERROR(__xludf.DUMMYFUNCTION("""COMPUTED_VALUE"""),"The user may use their Total HP Stat (not Hit Points) as the Offensive Stat instead of the Attack Stat. If the Dash Keyword is Activated, on a 15+, both the user and the Target become Tripped.")</f>
        <v>The user may use their Total HP Stat (not Hit Points) as the Offensive Stat instead of the Attack Stat. If the Dash Keyword is Activated, on a 15+, both the user and the Target become Tripped.</v>
      </c>
      <c r="I782" s="191" t="str">
        <f>IFERROR(__xludf.DUMMYFUNCTION("""COMPUTED_VALUE"""),"--")</f>
        <v>--</v>
      </c>
      <c r="J782" s="190" t="str">
        <f>IFERROR(__xludf.DUMMYFUNCTION("""COMPUTED_VALUE"""),"Tier 2")</f>
        <v>Tier 2</v>
      </c>
      <c r="K782" s="174" t="b">
        <f>IFERROR(__xludf.DUMMYFUNCTION("""COMPUTED_VALUE"""),TRUE)</f>
        <v>1</v>
      </c>
      <c r="L782" s="174"/>
      <c r="M782" s="174"/>
      <c r="N782" s="174"/>
      <c r="O782" s="174"/>
      <c r="P782" s="174"/>
      <c r="Q782" s="174"/>
      <c r="R782" s="174"/>
      <c r="S782" s="174"/>
      <c r="T782" s="174"/>
      <c r="U782" s="174"/>
      <c r="V782" s="174"/>
      <c r="W782" s="174"/>
      <c r="X782" s="174"/>
      <c r="Y782" s="174"/>
      <c r="Z782" s="174"/>
    </row>
    <row r="783">
      <c r="A783" s="190" t="str">
        <f>IFERROR(__xludf.DUMMYFUNCTION("""COMPUTED_VALUE"""),"Boomburst")</f>
        <v>Boomburst</v>
      </c>
      <c r="B783" s="190" t="str">
        <f>IFERROR(__xludf.DUMMYFUNCTION("""COMPUTED_VALUE"""),"Normal")</f>
        <v>Normal</v>
      </c>
      <c r="C783" s="190" t="str">
        <f>IFERROR(__xludf.DUMMYFUNCTION("""COMPUTED_VALUE"""),"Special")</f>
        <v>Special</v>
      </c>
      <c r="D783" s="190" t="str">
        <f>IFERROR(__xludf.DUMMYFUNCTION("""COMPUTED_VALUE"""),"Scene")</f>
        <v>Scene</v>
      </c>
      <c r="E783" s="190" t="str">
        <f>IFERROR(__xludf.DUMMYFUNCTION("""COMPUTED_VALUE"""),"Burst 2 or Close Blast 3; Full Action, Sonic")</f>
        <v>Burst 2 or Close Blast 3; Full Action, Sonic</v>
      </c>
      <c r="F783" s="190">
        <f>IFERROR(__xludf.DUMMYFUNCTION("""COMPUTED_VALUE"""),8.0)</f>
        <v>8</v>
      </c>
      <c r="G783" s="190">
        <f>IFERROR(__xludf.DUMMYFUNCTION("""COMPUTED_VALUE"""),12.0)</f>
        <v>12</v>
      </c>
      <c r="H783" s="191" t="str">
        <f>IFERROR(__xludf.DUMMYFUNCTION("""COMPUTED_VALUE"""),"All Adjacent Targets become Dazed. Smite, Spirit Surge.")</f>
        <v>All Adjacent Targets become Dazed. Smite, Spirit Surge.</v>
      </c>
      <c r="I783" s="191" t="str">
        <f>IFERROR(__xludf.DUMMYFUNCTION("""COMPUTED_VALUE"""),"--")</f>
        <v>--</v>
      </c>
      <c r="J783" s="190" t="str">
        <f>IFERROR(__xludf.DUMMYFUNCTION("""COMPUTED_VALUE"""),"Tier 3")</f>
        <v>Tier 3</v>
      </c>
      <c r="K783" s="174" t="b">
        <f>IFERROR(__xludf.DUMMYFUNCTION("""COMPUTED_VALUE"""),TRUE)</f>
        <v>1</v>
      </c>
      <c r="L783" s="174"/>
      <c r="M783" s="174"/>
      <c r="N783" s="174"/>
      <c r="O783" s="174"/>
      <c r="P783" s="174"/>
      <c r="Q783" s="174"/>
      <c r="R783" s="174"/>
      <c r="S783" s="174"/>
      <c r="T783" s="174"/>
      <c r="U783" s="174"/>
      <c r="V783" s="174"/>
      <c r="W783" s="174"/>
      <c r="X783" s="174"/>
      <c r="Y783" s="174"/>
      <c r="Z783" s="174"/>
    </row>
    <row r="784">
      <c r="A784" s="190" t="str">
        <f>IFERROR(__xludf.DUMMYFUNCTION("""COMPUTED_VALUE"""),"Burning Light")</f>
        <v>Burning Light</v>
      </c>
      <c r="B784" s="190" t="str">
        <f>IFERROR(__xludf.DUMMYFUNCTION("""COMPUTED_VALUE"""),"Normal")</f>
        <v>Normal</v>
      </c>
      <c r="C784" s="190" t="str">
        <f>IFERROR(__xludf.DUMMYFUNCTION("""COMPUTED_VALUE"""),"Special")</f>
        <v>Special</v>
      </c>
      <c r="D784" s="190" t="str">
        <f>IFERROR(__xludf.DUMMYFUNCTION("""COMPUTED_VALUE"""),"Scene x2")</f>
        <v>Scene x2</v>
      </c>
      <c r="E784" s="190" t="str">
        <f>IFERROR(__xludf.DUMMYFUNCTION("""COMPUTED_VALUE"""),"5, 1 Target")</f>
        <v>5, 1 Target</v>
      </c>
      <c r="F784" s="190">
        <f>IFERROR(__xludf.DUMMYFUNCTION("""COMPUTED_VALUE"""),3.0)</f>
        <v>3</v>
      </c>
      <c r="G784" s="190">
        <f>IFERROR(__xludf.DUMMYFUNCTION("""COMPUTED_VALUE"""),7.0)</f>
        <v>7</v>
      </c>
      <c r="H784" s="191" t="str">
        <f>IFERROR(__xludf.DUMMYFUNCTION("""COMPUTED_VALUE"""),"On a roll of 16+, the Target becomes Blinded until the end of their next Turn or Burned. Smite")</f>
        <v>On a roll of 16+, the Target becomes Blinded until the end of their next Turn or Burned. Smite</v>
      </c>
      <c r="I784" s="191" t="str">
        <f>IFERROR(__xludf.DUMMYFUNCTION("""COMPUTED_VALUE"""),"--")</f>
        <v>--</v>
      </c>
      <c r="J784" s="190" t="str">
        <f>IFERROR(__xludf.DUMMYFUNCTION("""COMPUTED_VALUE"""),"Tier 2")</f>
        <v>Tier 2</v>
      </c>
      <c r="K784" s="174" t="b">
        <f>IFERROR(__xludf.DUMMYFUNCTION("""COMPUTED_VALUE"""),TRUE)</f>
        <v>1</v>
      </c>
      <c r="L784" s="174"/>
      <c r="M784" s="174"/>
      <c r="N784" s="174"/>
      <c r="O784" s="174"/>
      <c r="P784" s="174"/>
      <c r="Q784" s="174"/>
      <c r="R784" s="174"/>
      <c r="S784" s="174"/>
      <c r="T784" s="174"/>
      <c r="U784" s="174"/>
      <c r="V784" s="174"/>
      <c r="W784" s="174"/>
      <c r="X784" s="174"/>
      <c r="Y784" s="174"/>
      <c r="Z784" s="174"/>
    </row>
    <row r="785">
      <c r="A785" s="190" t="str">
        <f>IFERROR(__xludf.DUMMYFUNCTION("""COMPUTED_VALUE"""),"Camouflage")</f>
        <v>Camouflage</v>
      </c>
      <c r="B785" s="190" t="str">
        <f>IFERROR(__xludf.DUMMYFUNCTION("""COMPUTED_VALUE"""),"Normal")</f>
        <v>Normal</v>
      </c>
      <c r="C785" s="190" t="str">
        <f>IFERROR(__xludf.DUMMYFUNCTION("""COMPUTED_VALUE"""),"Status")</f>
        <v>Status</v>
      </c>
      <c r="D785" s="190" t="str">
        <f>IFERROR(__xludf.DUMMYFUNCTION("""COMPUTED_VALUE"""),"EOT")</f>
        <v>EOT</v>
      </c>
      <c r="E785" s="190" t="str">
        <f>IFERROR(__xludf.DUMMYFUNCTION("""COMPUTED_VALUE"""),"Self, Swift + Movement Action, Coat")</f>
        <v>Self, Swift + Movement Action, Coat</v>
      </c>
      <c r="F785" s="190" t="str">
        <f>IFERROR(__xludf.DUMMYFUNCTION("""COMPUTED_VALUE"""),"--")</f>
        <v>--</v>
      </c>
      <c r="G785" s="190" t="str">
        <f>IFERROR(__xludf.DUMMYFUNCTION("""COMPUTED_VALUE"""),"--")</f>
        <v>--</v>
      </c>
      <c r="H785" s="191" t="str">
        <f>IFERROR(__xludf.DUMMYFUNCTION("""COMPUTED_VALUE"""),"The user gains a Camouflage Coat. While the user has a Camouflage Coat, they cannot be Targeted by any 1 Target Attacks and have +6 Evasion against all other Attacks. The Camouflage Coat is expended whenever the user is hit with an Attack or performs a no"&amp;"n-Movement Action. 
*Grants Blender")</f>
        <v>The user gains a Camouflage Coat. While the user has a Camouflage Coat, they cannot be Targeted by any 1 Target Attacks and have +6 Evasion against all other Attacks. The Camouflage Coat is expended whenever the user is hit with an Attack or performs a non-Movement Action. 
*Grants Blender</v>
      </c>
      <c r="I785" s="191" t="str">
        <f>IFERROR(__xludf.DUMMYFUNCTION("""COMPUTED_VALUE"""),"--")</f>
        <v>--</v>
      </c>
      <c r="J785" s="190" t="str">
        <f>IFERROR(__xludf.DUMMYFUNCTION("""COMPUTED_VALUE"""),"Tier 1")</f>
        <v>Tier 1</v>
      </c>
      <c r="K785" s="174" t="b">
        <f>IFERROR(__xludf.DUMMYFUNCTION("""COMPUTED_VALUE"""),TRUE)</f>
        <v>1</v>
      </c>
      <c r="L785" s="174"/>
      <c r="M785" s="174"/>
      <c r="N785" s="174"/>
      <c r="O785" s="174"/>
      <c r="P785" s="174"/>
      <c r="Q785" s="174"/>
      <c r="R785" s="174"/>
      <c r="S785" s="174"/>
      <c r="T785" s="174"/>
      <c r="U785" s="174"/>
      <c r="V785" s="174"/>
      <c r="W785" s="174"/>
      <c r="X785" s="174"/>
      <c r="Y785" s="174"/>
      <c r="Z785" s="174"/>
    </row>
    <row r="786">
      <c r="A786" s="190" t="str">
        <f>IFERROR(__xludf.DUMMYFUNCTION("""COMPUTED_VALUE"""),"Captivate")</f>
        <v>Captivate</v>
      </c>
      <c r="B786" s="190" t="str">
        <f>IFERROR(__xludf.DUMMYFUNCTION("""COMPUTED_VALUE"""),"Normal")</f>
        <v>Normal</v>
      </c>
      <c r="C786" s="190" t="str">
        <f>IFERROR(__xludf.DUMMYFUNCTION("""COMPUTED_VALUE"""),"Status")</f>
        <v>Status</v>
      </c>
      <c r="D786" s="190" t="str">
        <f>IFERROR(__xludf.DUMMYFUNCTION("""COMPUTED_VALUE"""),"EOT")</f>
        <v>EOT</v>
      </c>
      <c r="E786" s="190" t="str">
        <f>IFERROR(__xludf.DUMMYFUNCTION("""COMPUTED_VALUE"""),"Close Blast 2, Social, Versatile")</f>
        <v>Close Blast 2, Social, Versatile</v>
      </c>
      <c r="F786" s="190">
        <f>IFERROR(__xludf.DUMMYFUNCTION("""COMPUTED_VALUE"""),4.0)</f>
        <v>4</v>
      </c>
      <c r="G786" s="190" t="str">
        <f>IFERROR(__xludf.DUMMYFUNCTION("""COMPUTED_VALUE"""),"--")</f>
        <v>--</v>
      </c>
      <c r="H786" s="191" t="str">
        <f>IFERROR(__xludf.DUMMYFUNCTION("""COMPUTED_VALUE"""),"All Targets lose -2 CS in Attack or Special Attack of your choice. On a hit, the Target becomes Entranced or Provoked by you of your choice until the end of their next Turn. Spirit Surge. Friendly.")</f>
        <v>All Targets lose -2 CS in Attack or Special Attack of your choice. On a hit, the Target becomes Entranced or Provoked by you of your choice until the end of their next Turn. Spirit Surge. Friendly.</v>
      </c>
      <c r="I786" s="191" t="str">
        <f>IFERROR(__xludf.DUMMYFUNCTION("""COMPUTED_VALUE"""),"All Targets become Provoked by you until the end of their next Turn. This may only Target Enemies that are Entranced by you and it ignores the limitations of Entranced.")</f>
        <v>All Targets become Provoked by you until the end of their next Turn. This may only Target Enemies that are Entranced by you and it ignores the limitations of Entranced.</v>
      </c>
      <c r="J786" s="190" t="str">
        <f>IFERROR(__xludf.DUMMYFUNCTION("""COMPUTED_VALUE"""),"Tier 1")</f>
        <v>Tier 1</v>
      </c>
      <c r="K786" s="174" t="b">
        <f>IFERROR(__xludf.DUMMYFUNCTION("""COMPUTED_VALUE"""),TRUE)</f>
        <v>1</v>
      </c>
      <c r="L786" s="174"/>
      <c r="M786" s="174"/>
      <c r="N786" s="174"/>
      <c r="O786" s="174"/>
      <c r="P786" s="174"/>
      <c r="Q786" s="174"/>
      <c r="R786" s="174"/>
      <c r="S786" s="174"/>
      <c r="T786" s="174"/>
      <c r="U786" s="174"/>
      <c r="V786" s="174"/>
      <c r="W786" s="174"/>
      <c r="X786" s="174"/>
      <c r="Y786" s="174"/>
      <c r="Z786" s="174"/>
    </row>
    <row r="787">
      <c r="A787" s="190" t="str">
        <f>IFERROR(__xludf.DUMMYFUNCTION("""COMPUTED_VALUE"""),"Chip Away")</f>
        <v>Chip Away</v>
      </c>
      <c r="B787" s="190" t="str">
        <f>IFERROR(__xludf.DUMMYFUNCTION("""COMPUTED_VALUE"""),"Normal")</f>
        <v>Normal</v>
      </c>
      <c r="C787" s="190" t="str">
        <f>IFERROR(__xludf.DUMMYFUNCTION("""COMPUTED_VALUE"""),"Physical")</f>
        <v>Physical</v>
      </c>
      <c r="D787" s="190" t="str">
        <f>IFERROR(__xludf.DUMMYFUNCTION("""COMPUTED_VALUE"""),"EOT")</f>
        <v>EOT</v>
      </c>
      <c r="E787" s="190" t="str">
        <f>IFERROR(__xludf.DUMMYFUNCTION("""COMPUTED_VALUE"""),"Melee, 1 Target ")</f>
        <v>Melee, 1 Target </v>
      </c>
      <c r="F787" s="190">
        <f>IFERROR(__xludf.DUMMYFUNCTION("""COMPUTED_VALUE"""),3.0)</f>
        <v>3</v>
      </c>
      <c r="G787" s="190">
        <f>IFERROR(__xludf.DUMMYFUNCTION("""COMPUTED_VALUE"""),7.0)</f>
        <v>7</v>
      </c>
      <c r="H787" s="191" t="str">
        <f>IFERROR(__xludf.DUMMYFUNCTION("""COMPUTED_VALUE"""),"The Target loses -1 CS in Defense. If they had Positive CS in Defense, they instead lose -2 CS in Defense. Spirit Surge.")</f>
        <v>The Target loses -1 CS in Defense. If they had Positive CS in Defense, they instead lose -2 CS in Defense. Spirit Surge.</v>
      </c>
      <c r="I787" s="191" t="str">
        <f>IFERROR(__xludf.DUMMYFUNCTION("""COMPUTED_VALUE"""),"--")</f>
        <v>--</v>
      </c>
      <c r="J787" s="190" t="str">
        <f>IFERROR(__xludf.DUMMYFUNCTION("""COMPUTED_VALUE"""),"Tier 1")</f>
        <v>Tier 1</v>
      </c>
      <c r="K787" s="174" t="b">
        <f>IFERROR(__xludf.DUMMYFUNCTION("""COMPUTED_VALUE"""),TRUE)</f>
        <v>1</v>
      </c>
      <c r="L787" s="174"/>
      <c r="M787" s="174"/>
      <c r="N787" s="174"/>
      <c r="O787" s="174"/>
      <c r="P787" s="174"/>
      <c r="Q787" s="174"/>
      <c r="R787" s="174"/>
      <c r="S787" s="174"/>
      <c r="T787" s="174"/>
      <c r="U787" s="174"/>
      <c r="V787" s="174"/>
      <c r="W787" s="174"/>
      <c r="X787" s="174"/>
      <c r="Y787" s="174"/>
      <c r="Z787" s="174"/>
    </row>
    <row r="788">
      <c r="A788" s="190" t="str">
        <f>IFERROR(__xludf.DUMMYFUNCTION("""COMPUTED_VALUE"""),"Comet Punch")</f>
        <v>Comet Punch</v>
      </c>
      <c r="B788" s="190" t="str">
        <f>IFERROR(__xludf.DUMMYFUNCTION("""COMPUTED_VALUE"""),"Normal")</f>
        <v>Normal</v>
      </c>
      <c r="C788" s="190" t="str">
        <f>IFERROR(__xludf.DUMMYFUNCTION("""COMPUTED_VALUE"""),"Physical")</f>
        <v>Physical</v>
      </c>
      <c r="D788" s="190" t="str">
        <f>IFERROR(__xludf.DUMMYFUNCTION("""COMPUTED_VALUE"""),"At-Will")</f>
        <v>At-Will</v>
      </c>
      <c r="E788" s="190" t="str">
        <f>IFERROR(__xludf.DUMMYFUNCTION("""COMPUTED_VALUE"""),"Melee, 1 Target, Punch")</f>
        <v>Melee, 1 Target, Punch</v>
      </c>
      <c r="F788" s="190">
        <f>IFERROR(__xludf.DUMMYFUNCTION("""COMPUTED_VALUE"""),5.0)</f>
        <v>5</v>
      </c>
      <c r="G788" s="190">
        <f>IFERROR(__xludf.DUMMYFUNCTION("""COMPUTED_VALUE"""),3.0)</f>
        <v>3</v>
      </c>
      <c r="H788" s="191" t="str">
        <f>IFERROR(__xludf.DUMMYFUNCTION("""COMPUTED_VALUE"""),"X is equal to the number of times this Attack would hit. Five Strike. Slide X (Away)")</f>
        <v>X is equal to the number of times this Attack would hit. Five Strike. Slide X (Away)</v>
      </c>
      <c r="I788" s="191" t="str">
        <f>IFERROR(__xludf.DUMMYFUNCTION("""COMPUTED_VALUE"""),"--")</f>
        <v>--</v>
      </c>
      <c r="J788" s="190" t="str">
        <f>IFERROR(__xludf.DUMMYFUNCTION("""COMPUTED_VALUE"""),"Tier 1")</f>
        <v>Tier 1</v>
      </c>
      <c r="K788" s="174" t="b">
        <f>IFERROR(__xludf.DUMMYFUNCTION("""COMPUTED_VALUE"""),TRUE)</f>
        <v>1</v>
      </c>
      <c r="L788" s="174"/>
      <c r="M788" s="174"/>
      <c r="N788" s="174"/>
      <c r="O788" s="174"/>
      <c r="P788" s="174"/>
      <c r="Q788" s="174"/>
      <c r="R788" s="174"/>
      <c r="S788" s="174"/>
      <c r="T788" s="174"/>
      <c r="U788" s="174"/>
      <c r="V788" s="174"/>
      <c r="W788" s="174"/>
      <c r="X788" s="174"/>
      <c r="Y788" s="174"/>
      <c r="Z788" s="174"/>
    </row>
    <row r="789">
      <c r="A789" s="190" t="str">
        <f>IFERROR(__xludf.DUMMYFUNCTION("""COMPUTED_VALUE"""),"Confide")</f>
        <v>Confide</v>
      </c>
      <c r="B789" s="190" t="str">
        <f>IFERROR(__xludf.DUMMYFUNCTION("""COMPUTED_VALUE"""),"Normal")</f>
        <v>Normal</v>
      </c>
      <c r="C789" s="190" t="str">
        <f>IFERROR(__xludf.DUMMYFUNCTION("""COMPUTED_VALUE"""),"Status")</f>
        <v>Status</v>
      </c>
      <c r="D789" s="190" t="str">
        <f>IFERROR(__xludf.DUMMYFUNCTION("""COMPUTED_VALUE"""),"EOT")</f>
        <v>EOT</v>
      </c>
      <c r="E789" s="190" t="str">
        <f>IFERROR(__xludf.DUMMYFUNCTION("""COMPUTED_VALUE"""),"Melee, 1 Target, Social")</f>
        <v>Melee, 1 Target, Social</v>
      </c>
      <c r="F789" s="190" t="str">
        <f>IFERROR(__xludf.DUMMYFUNCTION("""COMPUTED_VALUE"""),"--")</f>
        <v>--</v>
      </c>
      <c r="G789" s="190" t="str">
        <f>IFERROR(__xludf.DUMMYFUNCTION("""COMPUTED_VALUE"""),"--")</f>
        <v>--</v>
      </c>
      <c r="H789" s="191" t="str">
        <f>IFERROR(__xludf.DUMMYFUNCTION("""COMPUTED_VALUE"""),"The Target loses -2 CS in a Stat of your choice. If the Target of Confide is Targeted by a Manipulate Maneuver during your Turn, it automatically hits but must still perform the opposed Skill Check. Sureshot.")</f>
        <v>The Target loses -2 CS in a Stat of your choice. If the Target of Confide is Targeted by a Manipulate Maneuver during your Turn, it automatically hits but must still perform the opposed Skill Check. Sureshot.</v>
      </c>
      <c r="I789" s="191" t="str">
        <f>IFERROR(__xludf.DUMMYFUNCTION("""COMPUTED_VALUE"""),"--")</f>
        <v>--</v>
      </c>
      <c r="J789" s="190" t="str">
        <f>IFERROR(__xludf.DUMMYFUNCTION("""COMPUTED_VALUE"""),"Tier 1")</f>
        <v>Tier 1</v>
      </c>
      <c r="K789" s="174" t="b">
        <f>IFERROR(__xludf.DUMMYFUNCTION("""COMPUTED_VALUE"""),TRUE)</f>
        <v>1</v>
      </c>
      <c r="L789" s="174"/>
      <c r="M789" s="174"/>
      <c r="N789" s="174"/>
      <c r="O789" s="174"/>
      <c r="P789" s="174"/>
      <c r="Q789" s="174"/>
      <c r="R789" s="174"/>
      <c r="S789" s="174"/>
      <c r="T789" s="174"/>
      <c r="U789" s="174"/>
      <c r="V789" s="174"/>
      <c r="W789" s="174"/>
      <c r="X789" s="174"/>
      <c r="Y789" s="174"/>
      <c r="Z789" s="174"/>
    </row>
    <row r="790">
      <c r="A790" s="190" t="str">
        <f>IFERROR(__xludf.DUMMYFUNCTION("""COMPUTED_VALUE"""),"Constrict")</f>
        <v>Constrict</v>
      </c>
      <c r="B790" s="190" t="str">
        <f>IFERROR(__xludf.DUMMYFUNCTION("""COMPUTED_VALUE"""),"Normal")</f>
        <v>Normal</v>
      </c>
      <c r="C790" s="190" t="str">
        <f>IFERROR(__xludf.DUMMYFUNCTION("""COMPUTED_VALUE"""),"Physical")</f>
        <v>Physical</v>
      </c>
      <c r="D790" s="190" t="str">
        <f>IFERROR(__xludf.DUMMYFUNCTION("""COMPUTED_VALUE"""),"At-Will")</f>
        <v>At-Will</v>
      </c>
      <c r="E790" s="190" t="str">
        <f>IFERROR(__xludf.DUMMYFUNCTION("""COMPUTED_VALUE"""),"Melee, 1 Target")</f>
        <v>Melee, 1 Target</v>
      </c>
      <c r="F790" s="190">
        <f>IFERROR(__xludf.DUMMYFUNCTION("""COMPUTED_VALUE"""),4.0)</f>
        <v>4</v>
      </c>
      <c r="G790" s="190">
        <f>IFERROR(__xludf.DUMMYFUNCTION("""COMPUTED_VALUE"""),5.0)</f>
        <v>5</v>
      </c>
      <c r="H790" s="191" t="str">
        <f>IFERROR(__xludf.DUMMYFUNCTION("""COMPUTED_VALUE"""),"The Target becomes Grappled. If the user is smaller than the Target, they instead become Slowed until the end of their next Turn. ")</f>
        <v>The Target becomes Grappled. If the user is smaller than the Target, they instead become Slowed until the end of their next Turn. </v>
      </c>
      <c r="I790" s="191" t="str">
        <f>IFERROR(__xludf.DUMMYFUNCTION("""COMPUTED_VALUE"""),"--")</f>
        <v>--</v>
      </c>
      <c r="J790" s="190" t="str">
        <f>IFERROR(__xludf.DUMMYFUNCTION("""COMPUTED_VALUE"""),"Tier 1")</f>
        <v>Tier 1</v>
      </c>
      <c r="K790" s="174" t="b">
        <f>IFERROR(__xludf.DUMMYFUNCTION("""COMPUTED_VALUE"""),TRUE)</f>
        <v>1</v>
      </c>
      <c r="L790" s="174"/>
      <c r="M790" s="174"/>
      <c r="N790" s="174"/>
      <c r="O790" s="174"/>
      <c r="P790" s="174"/>
      <c r="Q790" s="174"/>
      <c r="R790" s="174"/>
      <c r="S790" s="174"/>
      <c r="T790" s="174"/>
      <c r="U790" s="174"/>
      <c r="V790" s="174"/>
      <c r="W790" s="174"/>
      <c r="X790" s="174"/>
      <c r="Y790" s="174"/>
      <c r="Z790" s="174"/>
    </row>
    <row r="791">
      <c r="A791" s="190" t="str">
        <f>IFERROR(__xludf.DUMMYFUNCTION("""COMPUTED_VALUE"""),"Conversion")</f>
        <v>Conversion</v>
      </c>
      <c r="B791" s="190" t="str">
        <f>IFERROR(__xludf.DUMMYFUNCTION("""COMPUTED_VALUE"""),"Normal")</f>
        <v>Normal</v>
      </c>
      <c r="C791" s="190" t="str">
        <f>IFERROR(__xludf.DUMMYFUNCTION("""COMPUTED_VALUE"""),"Status")</f>
        <v>Status</v>
      </c>
      <c r="D791" s="190" t="str">
        <f>IFERROR(__xludf.DUMMYFUNCTION("""COMPUTED_VALUE"""),"At-Will")</f>
        <v>At-Will</v>
      </c>
      <c r="E791" s="190" t="str">
        <f>IFERROR(__xludf.DUMMYFUNCTION("""COMPUTED_VALUE"""),"Self, Versatile")</f>
        <v>Self, Versatile</v>
      </c>
      <c r="F791" s="190" t="str">
        <f>IFERROR(__xludf.DUMMYFUNCTION("""COMPUTED_VALUE"""),"--")</f>
        <v>--</v>
      </c>
      <c r="G791" s="190" t="str">
        <f>IFERROR(__xludf.DUMMYFUNCTION("""COMPUTED_VALUE"""),"--")</f>
        <v>--</v>
      </c>
      <c r="H791" s="191" t="str">
        <f>IFERROR(__xludf.DUMMYFUNCTION("""COMPUTED_VALUE"""),"Choose an Attack the user knows. Until the end of the Scene, the user loses all their Types and becomes the Type of the chosen Attack. You may then turn any number of Attacks on your Attack List into the new Type until the end of the Scene. ")</f>
        <v>Choose an Attack the user knows. Until the end of the Scene, the user loses all their Types and becomes the Type of the chosen Attack. You may then turn any number of Attacks on your Attack List into the new Type until the end of the Scene. </v>
      </c>
      <c r="I791" s="191" t="str">
        <f>IFERROR(__xludf.DUMMYFUNCTION("""COMPUTED_VALUE"""),"Choose two Attacks the user knows. Their Types are either Swapped or turn into the user's Type until the end of the Scene.")</f>
        <v>Choose two Attacks the user knows. Their Types are either Swapped or turn into the user's Type until the end of the Scene.</v>
      </c>
      <c r="J791" s="190" t="str">
        <f>IFERROR(__xludf.DUMMYFUNCTION("""COMPUTED_VALUE"""),"Tier 1")</f>
        <v>Tier 1</v>
      </c>
      <c r="K791" s="174" t="b">
        <f>IFERROR(__xludf.DUMMYFUNCTION("""COMPUTED_VALUE"""),TRUE)</f>
        <v>1</v>
      </c>
      <c r="L791" s="174"/>
      <c r="M791" s="174"/>
      <c r="N791" s="174"/>
      <c r="O791" s="174"/>
      <c r="P791" s="174"/>
      <c r="Q791" s="174"/>
      <c r="R791" s="174"/>
      <c r="S791" s="174"/>
      <c r="T791" s="174"/>
      <c r="U791" s="174"/>
      <c r="V791" s="174"/>
      <c r="W791" s="174"/>
      <c r="X791" s="174"/>
      <c r="Y791" s="174"/>
      <c r="Z791" s="174"/>
    </row>
    <row r="792">
      <c r="A792" s="190" t="str">
        <f>IFERROR(__xludf.DUMMYFUNCTION("""COMPUTED_VALUE"""),"Copycat")</f>
        <v>Copycat</v>
      </c>
      <c r="B792" s="190" t="str">
        <f>IFERROR(__xludf.DUMMYFUNCTION("""COMPUTED_VALUE"""),"Normal")</f>
        <v>Normal</v>
      </c>
      <c r="C792" s="190" t="str">
        <f>IFERROR(__xludf.DUMMYFUNCTION("""COMPUTED_VALUE"""),"Special")</f>
        <v>Special</v>
      </c>
      <c r="D792" s="190" t="str">
        <f>IFERROR(__xludf.DUMMYFUNCTION("""COMPUTED_VALUE"""),"Scene x2")</f>
        <v>Scene x2</v>
      </c>
      <c r="E792" s="190" t="str">
        <f>IFERROR(__xludf.DUMMYFUNCTION("""COMPUTED_VALUE"""),"4, 1 Target")</f>
        <v>4, 1 Target</v>
      </c>
      <c r="F792" s="190" t="str">
        <f>IFERROR(__xludf.DUMMYFUNCTION("""COMPUTED_VALUE"""),"--")</f>
        <v>--</v>
      </c>
      <c r="G792" s="190" t="str">
        <f>IFERROR(__xludf.DUMMYFUNCTION("""COMPUTED_VALUE"""),"--")</f>
        <v>--</v>
      </c>
      <c r="H792" s="191" t="str">
        <f>IFERROR(__xludf.DUMMYFUNCTION("""COMPUTED_VALUE"""),"Use the Attack the Target has used on their last turn. You may choose new Targets for the Attack and the Attack may be used as if it were Physical or Special. Sureshot.")</f>
        <v>Use the Attack the Target has used on their last turn. You may choose new Targets for the Attack and the Attack may be used as if it were Physical or Special. Sureshot.</v>
      </c>
      <c r="I792" s="191" t="str">
        <f>IFERROR(__xludf.DUMMYFUNCTION("""COMPUTED_VALUE"""),"--")</f>
        <v>--</v>
      </c>
      <c r="J792" s="190" t="str">
        <f>IFERROR(__xludf.DUMMYFUNCTION("""COMPUTED_VALUE"""),"Tier 2")</f>
        <v>Tier 2</v>
      </c>
      <c r="K792" s="174" t="b">
        <f>IFERROR(__xludf.DUMMYFUNCTION("""COMPUTED_VALUE"""),FALSE)</f>
        <v>0</v>
      </c>
      <c r="L792" s="174"/>
      <c r="M792" s="174"/>
      <c r="N792" s="174"/>
      <c r="O792" s="174"/>
      <c r="P792" s="174"/>
      <c r="Q792" s="174"/>
      <c r="R792" s="174"/>
      <c r="S792" s="174"/>
      <c r="T792" s="174"/>
      <c r="U792" s="174"/>
      <c r="V792" s="174"/>
      <c r="W792" s="174"/>
      <c r="X792" s="174"/>
      <c r="Y792" s="174"/>
      <c r="Z792" s="174"/>
    </row>
    <row r="793">
      <c r="A793" s="190" t="str">
        <f>IFERROR(__xludf.DUMMYFUNCTION("""COMPUTED_VALUE"""),"Covet")</f>
        <v>Covet</v>
      </c>
      <c r="B793" s="190" t="str">
        <f>IFERROR(__xludf.DUMMYFUNCTION("""COMPUTED_VALUE"""),"Normal")</f>
        <v>Normal</v>
      </c>
      <c r="C793" s="190" t="str">
        <f>IFERROR(__xludf.DUMMYFUNCTION("""COMPUTED_VALUE"""),"Physical")</f>
        <v>Physical</v>
      </c>
      <c r="D793" s="190" t="str">
        <f>IFERROR(__xludf.DUMMYFUNCTION("""COMPUTED_VALUE"""),"At-Will")</f>
        <v>At-Will</v>
      </c>
      <c r="E793" s="190" t="str">
        <f>IFERROR(__xludf.DUMMYFUNCTION("""COMPUTED_VALUE"""),"Melee, 1 Target")</f>
        <v>Melee, 1 Target</v>
      </c>
      <c r="F793" s="190">
        <f>IFERROR(__xludf.DUMMYFUNCTION("""COMPUTED_VALUE"""),2.0)</f>
        <v>2</v>
      </c>
      <c r="G793" s="190">
        <f>IFERROR(__xludf.DUMMYFUNCTION("""COMPUTED_VALUE"""),6.0)</f>
        <v>6</v>
      </c>
      <c r="H793" s="191" t="str">
        <f>IFERROR(__xludf.DUMMYFUNCTION("""COMPUTED_VALUE"""),"You may perform a Disarm Maneuver against the Target as a Free Action. If an Item is disarmed and the user has an empty Inventory Slot, they may equip it after Damage Calculations.")</f>
        <v>You may perform a Disarm Maneuver against the Target as a Free Action. If an Item is disarmed and the user has an empty Inventory Slot, they may equip it after Damage Calculations.</v>
      </c>
      <c r="I793" s="191" t="str">
        <f>IFERROR(__xludf.DUMMYFUNCTION("""COMPUTED_VALUE"""),"--")</f>
        <v>--</v>
      </c>
      <c r="J793" s="190" t="str">
        <f>IFERROR(__xludf.DUMMYFUNCTION("""COMPUTED_VALUE"""),"Tier 1")</f>
        <v>Tier 1</v>
      </c>
      <c r="K793" s="174" t="b">
        <f>IFERROR(__xludf.DUMMYFUNCTION("""COMPUTED_VALUE"""),TRUE)</f>
        <v>1</v>
      </c>
      <c r="L793" s="174"/>
      <c r="M793" s="174"/>
      <c r="N793" s="174"/>
      <c r="O793" s="174"/>
      <c r="P793" s="174"/>
      <c r="Q793" s="174"/>
      <c r="R793" s="174"/>
      <c r="S793" s="174"/>
      <c r="T793" s="174"/>
      <c r="U793" s="174"/>
      <c r="V793" s="174"/>
      <c r="W793" s="174"/>
      <c r="X793" s="174"/>
      <c r="Y793" s="174"/>
      <c r="Z793" s="174"/>
    </row>
    <row r="794">
      <c r="A794" s="190" t="str">
        <f>IFERROR(__xludf.DUMMYFUNCTION("""COMPUTED_VALUE"""),"Crush Claw")</f>
        <v>Crush Claw</v>
      </c>
      <c r="B794" s="190" t="str">
        <f>IFERROR(__xludf.DUMMYFUNCTION("""COMPUTED_VALUE"""),"Normal")</f>
        <v>Normal</v>
      </c>
      <c r="C794" s="190" t="str">
        <f>IFERROR(__xludf.DUMMYFUNCTION("""COMPUTED_VALUE"""),"Physical")</f>
        <v>Physical</v>
      </c>
      <c r="D794" s="190" t="str">
        <f>IFERROR(__xludf.DUMMYFUNCTION("""COMPUTED_VALUE"""),"EOT")</f>
        <v>EOT</v>
      </c>
      <c r="E794" s="190" t="str">
        <f>IFERROR(__xludf.DUMMYFUNCTION("""COMPUTED_VALUE"""),"Melee, 1 Target")</f>
        <v>Melee, 1 Target</v>
      </c>
      <c r="F794" s="190">
        <f>IFERROR(__xludf.DUMMYFUNCTION("""COMPUTED_VALUE"""),2.0)</f>
        <v>2</v>
      </c>
      <c r="G794" s="190">
        <f>IFERROR(__xludf.DUMMYFUNCTION("""COMPUTED_VALUE"""),7.0)</f>
        <v>7</v>
      </c>
      <c r="H794" s="191" t="str">
        <f>IFERROR(__xludf.DUMMYFUNCTION("""COMPUTED_VALUE"""),"If the Target has Negative Defense CS or is Vulnerable, this Attack is treated as one step more Effective but cannot surpass 1.5x Effectiveness. Its Damage Effectiveness can only be increased this way once per Scene per Target.")</f>
        <v>If the Target has Negative Defense CS or is Vulnerable, this Attack is treated as one step more Effective but cannot surpass 1.5x Effectiveness. Its Damage Effectiveness can only be increased this way once per Scene per Target.</v>
      </c>
      <c r="I794" s="191" t="str">
        <f>IFERROR(__xludf.DUMMYFUNCTION("""COMPUTED_VALUE"""),"--")</f>
        <v>--</v>
      </c>
      <c r="J794" s="190" t="str">
        <f>IFERROR(__xludf.DUMMYFUNCTION("""COMPUTED_VALUE"""),"Tier 1")</f>
        <v>Tier 1</v>
      </c>
      <c r="K794" s="174" t="b">
        <f>IFERROR(__xludf.DUMMYFUNCTION("""COMPUTED_VALUE"""),TRUE)</f>
        <v>1</v>
      </c>
      <c r="L794" s="174"/>
      <c r="M794" s="174"/>
      <c r="N794" s="174"/>
      <c r="O794" s="174"/>
      <c r="P794" s="174"/>
      <c r="Q794" s="174"/>
      <c r="R794" s="174"/>
      <c r="S794" s="174"/>
      <c r="T794" s="174"/>
      <c r="U794" s="174"/>
      <c r="V794" s="174"/>
      <c r="W794" s="174"/>
      <c r="X794" s="174"/>
      <c r="Y794" s="174"/>
      <c r="Z794" s="174"/>
    </row>
    <row r="795">
      <c r="A795" s="190" t="str">
        <f>IFERROR(__xludf.DUMMYFUNCTION("""COMPUTED_VALUE"""),"Cut")</f>
        <v>Cut</v>
      </c>
      <c r="B795" s="190" t="str">
        <f>IFERROR(__xludf.DUMMYFUNCTION("""COMPUTED_VALUE"""),"Normal")</f>
        <v>Normal</v>
      </c>
      <c r="C795" s="190" t="str">
        <f>IFERROR(__xludf.DUMMYFUNCTION("""COMPUTED_VALUE"""),"Physical")</f>
        <v>Physical</v>
      </c>
      <c r="D795" s="190" t="str">
        <f>IFERROR(__xludf.DUMMYFUNCTION("""COMPUTED_VALUE"""),"At-Will")</f>
        <v>At-Will</v>
      </c>
      <c r="E795" s="190" t="str">
        <f>IFERROR(__xludf.DUMMYFUNCTION("""COMPUTED_VALUE"""),"Melee, Pass")</f>
        <v>Melee, Pass</v>
      </c>
      <c r="F795" s="190">
        <f>IFERROR(__xludf.DUMMYFUNCTION("""COMPUTED_VALUE"""),5.0)</f>
        <v>5</v>
      </c>
      <c r="G795" s="190">
        <f>IFERROR(__xludf.DUMMYFUNCTION("""COMPUTED_VALUE"""),5.0)</f>
        <v>5</v>
      </c>
      <c r="H795" s="191" t="str">
        <f>IFERROR(__xludf.DUMMYFUNCTION("""COMPUTED_VALUE"""),"On a roll of 15+, the Target becomes Wounded. If this hits a Target that is already Wounded, they lose two Ticks of Hit Points. ")</f>
        <v>On a roll of 15+, the Target becomes Wounded. If this hits a Target that is already Wounded, they lose two Ticks of Hit Points. </v>
      </c>
      <c r="I795" s="191" t="str">
        <f>IFERROR(__xludf.DUMMYFUNCTION("""COMPUTED_VALUE"""),"--")</f>
        <v>--</v>
      </c>
      <c r="J795" s="190" t="str">
        <f>IFERROR(__xludf.DUMMYFUNCTION("""COMPUTED_VALUE"""),"Tier 1")</f>
        <v>Tier 1</v>
      </c>
      <c r="K795" s="174" t="b">
        <f>IFERROR(__xludf.DUMMYFUNCTION("""COMPUTED_VALUE"""),TRUE)</f>
        <v>1</v>
      </c>
      <c r="L795" s="174"/>
      <c r="M795" s="174"/>
      <c r="N795" s="174"/>
      <c r="O795" s="174"/>
      <c r="P795" s="174"/>
      <c r="Q795" s="174"/>
      <c r="R795" s="174"/>
      <c r="S795" s="174"/>
      <c r="T795" s="174"/>
      <c r="U795" s="174"/>
      <c r="V795" s="174"/>
      <c r="W795" s="174"/>
      <c r="X795" s="174"/>
      <c r="Y795" s="174"/>
      <c r="Z795" s="174"/>
    </row>
    <row r="796">
      <c r="A796" s="190" t="str">
        <f>IFERROR(__xludf.DUMMYFUNCTION("""COMPUTED_VALUE"""),"Defense Curl")</f>
        <v>Defense Curl</v>
      </c>
      <c r="B796" s="190" t="str">
        <f>IFERROR(__xludf.DUMMYFUNCTION("""COMPUTED_VALUE"""),"Normal")</f>
        <v>Normal</v>
      </c>
      <c r="C796" s="190" t="str">
        <f>IFERROR(__xludf.DUMMYFUNCTION("""COMPUTED_VALUE"""),"Status")</f>
        <v>Status</v>
      </c>
      <c r="D796" s="190" t="str">
        <f>IFERROR(__xludf.DUMMYFUNCTION("""COMPUTED_VALUE"""),"EOT")</f>
        <v>EOT</v>
      </c>
      <c r="E796" s="190" t="str">
        <f>IFERROR(__xludf.DUMMYFUNCTION("""COMPUTED_VALUE"""),"Self, Coat, Versatile")</f>
        <v>Self, Coat, Versatile</v>
      </c>
      <c r="F796" s="190" t="str">
        <f>IFERROR(__xludf.DUMMYFUNCTION("""COMPUTED_VALUE"""),"--")</f>
        <v>--</v>
      </c>
      <c r="G796" s="190" t="str">
        <f>IFERROR(__xludf.DUMMYFUNCTION("""COMPUTED_VALUE"""),"--")</f>
        <v>--</v>
      </c>
      <c r="H796" s="191" t="str">
        <f>IFERROR(__xludf.DUMMYFUNCTION("""COMPUTED_VALUE"""),"The user gains +2 CS in Defense and gains a Curled Coat. While the user has a Curled Coat they cannot become Tripped. The user may expend as a Reaction the Curled Coat when using a Melee Attack to treat it as if it had the Sureshot and Slide 3 (Away) Keyw"&amp;"ords.")</f>
        <v>The user gains +2 CS in Defense and gains a Curled Coat. While the user has a Curled Coat they cannot become Tripped. The user may expend as a Reaction the Curled Coat when using a Melee Attack to treat it as if it had the Sureshot and Slide 3 (Away) Keywords.</v>
      </c>
      <c r="I796" s="191" t="str">
        <f>IFERROR(__xludf.DUMMYFUNCTION("""COMPUTED_VALUE"""),"The user gains +1 CS in Defense or +2 Rolled Counters if they already have Rolled Counters.")</f>
        <v>The user gains +1 CS in Defense or +2 Rolled Counters if they already have Rolled Counters.</v>
      </c>
      <c r="J796" s="190" t="str">
        <f>IFERROR(__xludf.DUMMYFUNCTION("""COMPUTED_VALUE"""),"Tier 1")</f>
        <v>Tier 1</v>
      </c>
      <c r="K796" s="174" t="b">
        <f>IFERROR(__xludf.DUMMYFUNCTION("""COMPUTED_VALUE"""),TRUE)</f>
        <v>1</v>
      </c>
      <c r="L796" s="174"/>
      <c r="M796" s="174"/>
      <c r="N796" s="174"/>
      <c r="O796" s="174"/>
      <c r="P796" s="174"/>
      <c r="Q796" s="174"/>
      <c r="R796" s="174"/>
      <c r="S796" s="174"/>
      <c r="T796" s="174"/>
      <c r="U796" s="174"/>
      <c r="V796" s="174"/>
      <c r="W796" s="174"/>
      <c r="X796" s="174"/>
      <c r="Y796" s="174"/>
      <c r="Z796" s="174"/>
    </row>
    <row r="797">
      <c r="A797" s="190" t="str">
        <f>IFERROR(__xludf.DUMMYFUNCTION("""COMPUTED_VALUE"""),"Disable")</f>
        <v>Disable</v>
      </c>
      <c r="B797" s="190" t="str">
        <f>IFERROR(__xludf.DUMMYFUNCTION("""COMPUTED_VALUE"""),"Normal")</f>
        <v>Normal</v>
      </c>
      <c r="C797" s="190" t="str">
        <f>IFERROR(__xludf.DUMMYFUNCTION("""COMPUTED_VALUE"""),"Status")</f>
        <v>Status</v>
      </c>
      <c r="D797" s="190" t="str">
        <f>IFERROR(__xludf.DUMMYFUNCTION("""COMPUTED_VALUE"""),"At-Will")</f>
        <v>At-Will</v>
      </c>
      <c r="E797" s="190" t="str">
        <f>IFERROR(__xludf.DUMMYFUNCTION("""COMPUTED_VALUE"""),"1 Target, Trigger")</f>
        <v>1 Target, Trigger</v>
      </c>
      <c r="F797" s="190" t="str">
        <f>IFERROR(__xludf.DUMMYFUNCTION("""COMPUTED_VALUE"""),"--")</f>
        <v>--</v>
      </c>
      <c r="G797" s="190" t="str">
        <f>IFERROR(__xludf.DUMMYFUNCTION("""COMPUTED_VALUE"""),"--")</f>
        <v>--</v>
      </c>
      <c r="H797" s="191" t="str">
        <f>IFERROR(__xludf.DUMMYFUNCTION("""COMPUTED_VALUE"""),"Disable can only be used as a Reaction whenever the user is hit by an Attack. The Triggering Attack becomes Disabled after the Attack’s Resolution. Sureshot.")</f>
        <v>Disable can only be used as a Reaction whenever the user is hit by an Attack. The Triggering Attack becomes Disabled after the Attack’s Resolution. Sureshot.</v>
      </c>
      <c r="I797" s="191" t="str">
        <f>IFERROR(__xludf.DUMMYFUNCTION("""COMPUTED_VALUE"""),"--")</f>
        <v>--</v>
      </c>
      <c r="J797" s="190" t="str">
        <f>IFERROR(__xludf.DUMMYFUNCTION("""COMPUTED_VALUE"""),"Tier 1")</f>
        <v>Tier 1</v>
      </c>
      <c r="K797" s="174" t="b">
        <f>IFERROR(__xludf.DUMMYFUNCTION("""COMPUTED_VALUE"""),FALSE)</f>
        <v>0</v>
      </c>
      <c r="L797" s="174"/>
      <c r="M797" s="174"/>
      <c r="N797" s="174"/>
      <c r="O797" s="174"/>
      <c r="P797" s="174"/>
      <c r="Q797" s="174"/>
      <c r="R797" s="174"/>
      <c r="S797" s="174"/>
      <c r="T797" s="174"/>
      <c r="U797" s="174"/>
      <c r="V797" s="174"/>
      <c r="W797" s="174"/>
      <c r="X797" s="174"/>
      <c r="Y797" s="174"/>
      <c r="Z797" s="174"/>
    </row>
    <row r="798">
      <c r="A798" s="190" t="str">
        <f>IFERROR(__xludf.DUMMYFUNCTION("""COMPUTED_VALUE"""),"Dizzy Punch")</f>
        <v>Dizzy Punch</v>
      </c>
      <c r="B798" s="190" t="str">
        <f>IFERROR(__xludf.DUMMYFUNCTION("""COMPUTED_VALUE"""),"Normal")</f>
        <v>Normal</v>
      </c>
      <c r="C798" s="190" t="str">
        <f>IFERROR(__xludf.DUMMYFUNCTION("""COMPUTED_VALUE"""),"Physical")</f>
        <v>Physical</v>
      </c>
      <c r="D798" s="190" t="str">
        <f>IFERROR(__xludf.DUMMYFUNCTION("""COMPUTED_VALUE"""),"At-Will")</f>
        <v>At-Will</v>
      </c>
      <c r="E798" s="190" t="str">
        <f>IFERROR(__xludf.DUMMYFUNCTION("""COMPUTED_VALUE"""),"Melee, 1 Target, Punch")</f>
        <v>Melee, 1 Target, Punch</v>
      </c>
      <c r="F798" s="190">
        <f>IFERROR(__xludf.DUMMYFUNCTION("""COMPUTED_VALUE"""),2.0)</f>
        <v>2</v>
      </c>
      <c r="G798" s="190">
        <f>IFERROR(__xludf.DUMMYFUNCTION("""COMPUTED_VALUE"""),7.0)</f>
        <v>7</v>
      </c>
      <c r="H798" s="191" t="str">
        <f>IFERROR(__xludf.DUMMYFUNCTION("""COMPUTED_VALUE"""),"On a roll of 16+, the Target becomes Dazed. Dizzy Punch has the Sureshot Keyword if the user is Dazed.")</f>
        <v>On a roll of 16+, the Target becomes Dazed. Dizzy Punch has the Sureshot Keyword if the user is Dazed.</v>
      </c>
      <c r="I798" s="191" t="str">
        <f>IFERROR(__xludf.DUMMYFUNCTION("""COMPUTED_VALUE"""),"--")</f>
        <v>--</v>
      </c>
      <c r="J798" s="190" t="str">
        <f>IFERROR(__xludf.DUMMYFUNCTION("""COMPUTED_VALUE"""),"Tier 1")</f>
        <v>Tier 1</v>
      </c>
      <c r="K798" s="174" t="b">
        <f>IFERROR(__xludf.DUMMYFUNCTION("""COMPUTED_VALUE"""),TRUE)</f>
        <v>1</v>
      </c>
      <c r="L798" s="174"/>
      <c r="M798" s="174"/>
      <c r="N798" s="174"/>
      <c r="O798" s="174"/>
      <c r="P798" s="174"/>
      <c r="Q798" s="174"/>
      <c r="R798" s="174"/>
      <c r="S798" s="174"/>
      <c r="T798" s="174"/>
      <c r="U798" s="174"/>
      <c r="V798" s="174"/>
      <c r="W798" s="174"/>
      <c r="X798" s="174"/>
      <c r="Y798" s="174"/>
      <c r="Z798" s="174"/>
    </row>
    <row r="799">
      <c r="A799" s="190" t="str">
        <f>IFERROR(__xludf.DUMMYFUNCTION("""COMPUTED_VALUE"""),"Doodle")</f>
        <v>Doodle</v>
      </c>
      <c r="B799" s="190" t="str">
        <f>IFERROR(__xludf.DUMMYFUNCTION("""COMPUTED_VALUE"""),"Normal")</f>
        <v>Normal</v>
      </c>
      <c r="C799" s="190" t="str">
        <f>IFERROR(__xludf.DUMMYFUNCTION("""COMPUTED_VALUE"""),"Status")</f>
        <v>Status</v>
      </c>
      <c r="D799" s="190" t="str">
        <f>IFERROR(__xludf.DUMMYFUNCTION("""COMPUTED_VALUE"""),"Scene")</f>
        <v>Scene</v>
      </c>
      <c r="E799" s="190" t="str">
        <f>IFERROR(__xludf.DUMMYFUNCTION("""COMPUTED_VALUE"""),"6, 3 Targets")</f>
        <v>6, 3 Targets</v>
      </c>
      <c r="F799" s="190" t="str">
        <f>IFERROR(__xludf.DUMMYFUNCTION("""COMPUTED_VALUE"""),"--")</f>
        <v>--</v>
      </c>
      <c r="G799" s="190" t="str">
        <f>IFERROR(__xludf.DUMMYFUNCTION("""COMPUTED_VALUE"""),"--")</f>
        <v>--</v>
      </c>
      <c r="H799" s="191" t="str">
        <f>IFERROR(__xludf.DUMMYFUNCTION("""COMPUTED_VALUE"""),"When using Doodle, choose 1 of the Targets and a non-Boss or Innate Ability they know. The other Targets of this Attack learn that Ability until the end of the Scene. The user may choose themselves as one Target of this Attack. Sureshot.")</f>
        <v>When using Doodle, choose 1 of the Targets and a non-Boss or Innate Ability they know. The other Targets of this Attack learn that Ability until the end of the Scene. The user may choose themselves as one Target of this Attack. Sureshot.</v>
      </c>
      <c r="I799" s="191" t="str">
        <f>IFERROR(__xludf.DUMMYFUNCTION("""COMPUTED_VALUE"""),"--")</f>
        <v>--</v>
      </c>
      <c r="J799" s="190" t="str">
        <f>IFERROR(__xludf.DUMMYFUNCTION("""COMPUTED_VALUE"""),"Tier 3")</f>
        <v>Tier 3</v>
      </c>
      <c r="K799" s="174" t="b">
        <f>IFERROR(__xludf.DUMMYFUNCTION("""COMPUTED_VALUE"""),TRUE)</f>
        <v>1</v>
      </c>
      <c r="L799" s="174"/>
      <c r="M799" s="174"/>
      <c r="N799" s="174"/>
      <c r="O799" s="174"/>
      <c r="P799" s="174"/>
      <c r="Q799" s="174"/>
      <c r="R799" s="174"/>
      <c r="S799" s="174"/>
      <c r="T799" s="174"/>
      <c r="U799" s="174"/>
      <c r="V799" s="174"/>
      <c r="W799" s="174"/>
      <c r="X799" s="174"/>
      <c r="Y799" s="174"/>
      <c r="Z799" s="174"/>
    </row>
    <row r="800">
      <c r="A800" s="190" t="str">
        <f>IFERROR(__xludf.DUMMYFUNCTION("""COMPUTED_VALUE"""),"Double Hit")</f>
        <v>Double Hit</v>
      </c>
      <c r="B800" s="190" t="str">
        <f>IFERROR(__xludf.DUMMYFUNCTION("""COMPUTED_VALUE"""),"Normal")</f>
        <v>Normal</v>
      </c>
      <c r="C800" s="190" t="str">
        <f>IFERROR(__xludf.DUMMYFUNCTION("""COMPUTED_VALUE"""),"Physical")</f>
        <v>Physical</v>
      </c>
      <c r="D800" s="190" t="str">
        <f>IFERROR(__xludf.DUMMYFUNCTION("""COMPUTED_VALUE"""),"EOT")</f>
        <v>EOT</v>
      </c>
      <c r="E800" s="190" t="str">
        <f>IFERROR(__xludf.DUMMYFUNCTION("""COMPUTED_VALUE"""),"Melee, 1 Target ")</f>
        <v>Melee, 1 Target </v>
      </c>
      <c r="F800" s="190">
        <f>IFERROR(__xludf.DUMMYFUNCTION("""COMPUTED_VALUE"""),3.0)</f>
        <v>3</v>
      </c>
      <c r="G800" s="190">
        <f>IFERROR(__xludf.DUMMYFUNCTION("""COMPUTED_VALUE"""),4.0)</f>
        <v>4</v>
      </c>
      <c r="H800" s="191" t="str">
        <f>IFERROR(__xludf.DUMMYFUNCTION("""COMPUTED_VALUE"""),"Double Strike.")</f>
        <v>Double Strike.</v>
      </c>
      <c r="I800" s="191" t="str">
        <f>IFERROR(__xludf.DUMMYFUNCTION("""COMPUTED_VALUE"""),"--")</f>
        <v>--</v>
      </c>
      <c r="J800" s="190" t="str">
        <f>IFERROR(__xludf.DUMMYFUNCTION("""COMPUTED_VALUE"""),"Tier 1")</f>
        <v>Tier 1</v>
      </c>
      <c r="K800" s="174" t="b">
        <f>IFERROR(__xludf.DUMMYFUNCTION("""COMPUTED_VALUE"""),TRUE)</f>
        <v>1</v>
      </c>
      <c r="L800" s="174"/>
      <c r="M800" s="174"/>
      <c r="N800" s="174"/>
      <c r="O800" s="174"/>
      <c r="P800" s="174"/>
      <c r="Q800" s="174"/>
      <c r="R800" s="174"/>
      <c r="S800" s="174"/>
      <c r="T800" s="174"/>
      <c r="U800" s="174"/>
      <c r="V800" s="174"/>
      <c r="W800" s="174"/>
      <c r="X800" s="174"/>
      <c r="Y800" s="174"/>
      <c r="Z800" s="174"/>
    </row>
    <row r="801">
      <c r="A801" s="190" t="str">
        <f>IFERROR(__xludf.DUMMYFUNCTION("""COMPUTED_VALUE"""),"Double Team")</f>
        <v>Double Team</v>
      </c>
      <c r="B801" s="190" t="str">
        <f>IFERROR(__xludf.DUMMYFUNCTION("""COMPUTED_VALUE"""),"Normal")</f>
        <v>Normal</v>
      </c>
      <c r="C801" s="190" t="str">
        <f>IFERROR(__xludf.DUMMYFUNCTION("""COMPUTED_VALUE"""),"Status")</f>
        <v>Status</v>
      </c>
      <c r="D801" s="190" t="str">
        <f>IFERROR(__xludf.DUMMYFUNCTION("""COMPUTED_VALUE"""),"Scene x2")</f>
        <v>Scene x2</v>
      </c>
      <c r="E801" s="190" t="str">
        <f>IFERROR(__xludf.DUMMYFUNCTION("""COMPUTED_VALUE"""),"Self, Coat, Versatile")</f>
        <v>Self, Coat, Versatile</v>
      </c>
      <c r="F801" s="190" t="str">
        <f>IFERROR(__xludf.DUMMYFUNCTION("""COMPUTED_VALUE"""),"--")</f>
        <v>--</v>
      </c>
      <c r="G801" s="190" t="str">
        <f>IFERROR(__xludf.DUMMYFUNCTION("""COMPUTED_VALUE"""),"--")</f>
        <v>--</v>
      </c>
      <c r="H801" s="191" t="str">
        <f>IFERROR(__xludf.DUMMYFUNCTION("""COMPUTED_VALUE"""),"The user gains a Double Team Coat. The user may expend an activation of the Double Team Coat as a Free Action when being Targeted by an Attack to gain 3 Uncapped Evasion against it or when using an Attack to gain a +3 Uncapped Accuracy modifier. This effe"&amp;"ct may be used after seeing the roll result. This Coat may be activated twice, then is removed.")</f>
        <v>The user gains a Double Team Coat. The user may expend an activation of the Double Team Coat as a Free Action when being Targeted by an Attack to gain 3 Uncapped Evasion against it or when using an Attack to gain a +3 Uncapped Accuracy modifier. This effect may be used after seeing the roll result. This Coat may be activated twice, then is removed.</v>
      </c>
      <c r="I801" s="191" t="str">
        <f>IFERROR(__xludf.DUMMYFUNCTION("""COMPUTED_VALUE"""),"Same as the normal Effects, however they can only be expended before seeing the roll result. ")</f>
        <v>Same as the normal Effects, however they can only be expended before seeing the roll result. </v>
      </c>
      <c r="J801" s="190" t="str">
        <f>IFERROR(__xludf.DUMMYFUNCTION("""COMPUTED_VALUE"""),"Tier 2")</f>
        <v>Tier 2</v>
      </c>
      <c r="K801" s="174" t="b">
        <f>IFERROR(__xludf.DUMMYFUNCTION("""COMPUTED_VALUE"""),TRUE)</f>
        <v>1</v>
      </c>
      <c r="L801" s="174"/>
      <c r="M801" s="174"/>
      <c r="N801" s="174"/>
      <c r="O801" s="174"/>
      <c r="P801" s="174"/>
      <c r="Q801" s="174"/>
      <c r="R801" s="174"/>
      <c r="S801" s="174"/>
      <c r="T801" s="174"/>
      <c r="U801" s="174"/>
      <c r="V801" s="174"/>
      <c r="W801" s="174"/>
      <c r="X801" s="174"/>
      <c r="Y801" s="174"/>
      <c r="Z801" s="174"/>
    </row>
    <row r="802">
      <c r="A802" s="190" t="str">
        <f>IFERROR(__xludf.DUMMYFUNCTION("""COMPUTED_VALUE"""),"Double-Edge")</f>
        <v>Double-Edge</v>
      </c>
      <c r="B802" s="190" t="str">
        <f>IFERROR(__xludf.DUMMYFUNCTION("""COMPUTED_VALUE"""),"Normal")</f>
        <v>Normal</v>
      </c>
      <c r="C802" s="190" t="str">
        <f>IFERROR(__xludf.DUMMYFUNCTION("""COMPUTED_VALUE"""),"Physical")</f>
        <v>Physical</v>
      </c>
      <c r="D802" s="190" t="str">
        <f>IFERROR(__xludf.DUMMYFUNCTION("""COMPUTED_VALUE"""),"Scene x2")</f>
        <v>Scene x2</v>
      </c>
      <c r="E802" s="190" t="str">
        <f>IFERROR(__xludf.DUMMYFUNCTION("""COMPUTED_VALUE"""),"Melee, 1 Target, Dash, Recoil 1/3")</f>
        <v>Melee, 1 Target, Dash, Recoil 1/3</v>
      </c>
      <c r="F802" s="190">
        <f>IFERROR(__xludf.DUMMYFUNCTION("""COMPUTED_VALUE"""),3.0)</f>
        <v>3</v>
      </c>
      <c r="G802" s="190">
        <f>IFERROR(__xludf.DUMMYFUNCTION("""COMPUTED_VALUE"""),12.0)</f>
        <v>12</v>
      </c>
      <c r="H802" s="191" t="str">
        <f>IFERROR(__xludf.DUMMYFUNCTION("""COMPUTED_VALUE"""),"If the user is at least two Size Categories larger than the Target, this Attack is treated as one step more Effective but cannot surpass 1.5x Effectiveness. If the Dash Keyword is Activated, the Recoil Keyword is ignored.")</f>
        <v>If the user is at least two Size Categories larger than the Target, this Attack is treated as one step more Effective but cannot surpass 1.5x Effectiveness. If the Dash Keyword is Activated, the Recoil Keyword is ignored.</v>
      </c>
      <c r="I802" s="191" t="str">
        <f>IFERROR(__xludf.DUMMYFUNCTION("""COMPUTED_VALUE"""),"--")</f>
        <v>--</v>
      </c>
      <c r="J802" s="190" t="str">
        <f>IFERROR(__xludf.DUMMYFUNCTION("""COMPUTED_VALUE"""),"Tier 3")</f>
        <v>Tier 3</v>
      </c>
      <c r="K802" s="174" t="b">
        <f>IFERROR(__xludf.DUMMYFUNCTION("""COMPUTED_VALUE"""),TRUE)</f>
        <v>1</v>
      </c>
      <c r="L802" s="174"/>
      <c r="M802" s="174"/>
      <c r="N802" s="174"/>
      <c r="O802" s="174"/>
      <c r="P802" s="174"/>
      <c r="Q802" s="174"/>
      <c r="R802" s="174"/>
      <c r="S802" s="174"/>
      <c r="T802" s="174"/>
      <c r="U802" s="174"/>
      <c r="V802" s="174"/>
      <c r="W802" s="174"/>
      <c r="X802" s="174"/>
      <c r="Y802" s="174"/>
      <c r="Z802" s="174"/>
    </row>
    <row r="803">
      <c r="A803" s="190" t="str">
        <f>IFERROR(__xludf.DUMMYFUNCTION("""COMPUTED_VALUE"""),"Double Slap")</f>
        <v>Double Slap</v>
      </c>
      <c r="B803" s="190" t="str">
        <f>IFERROR(__xludf.DUMMYFUNCTION("""COMPUTED_VALUE"""),"Normal")</f>
        <v>Normal</v>
      </c>
      <c r="C803" s="190" t="str">
        <f>IFERROR(__xludf.DUMMYFUNCTION("""COMPUTED_VALUE"""),"Physical")</f>
        <v>Physical</v>
      </c>
      <c r="D803" s="190" t="str">
        <f>IFERROR(__xludf.DUMMYFUNCTION("""COMPUTED_VALUE"""),"At-Will")</f>
        <v>At-Will</v>
      </c>
      <c r="E803" s="190" t="str">
        <f>IFERROR(__xludf.DUMMYFUNCTION("""COMPUTED_VALUE"""),"Melee, 1 Target")</f>
        <v>Melee, 1 Target</v>
      </c>
      <c r="F803" s="190">
        <f>IFERROR(__xludf.DUMMYFUNCTION("""COMPUTED_VALUE"""),4.0)</f>
        <v>4</v>
      </c>
      <c r="G803" s="190">
        <f>IFERROR(__xludf.DUMMYFUNCTION("""COMPUTED_VALUE"""),3.0)</f>
        <v>3</v>
      </c>
      <c r="H803" s="191" t="str">
        <f>IFERROR(__xludf.DUMMYFUNCTION("""COMPUTED_VALUE"""),"If Double Slap hits at least 4 times, the Target becomes Enraged. Five Strike")</f>
        <v>If Double Slap hits at least 4 times, the Target becomes Enraged. Five Strike</v>
      </c>
      <c r="I803" s="191" t="str">
        <f>IFERROR(__xludf.DUMMYFUNCTION("""COMPUTED_VALUE"""),"--")</f>
        <v>--</v>
      </c>
      <c r="J803" s="190" t="str">
        <f>IFERROR(__xludf.DUMMYFUNCTION("""COMPUTED_VALUE"""),"Tier 1")</f>
        <v>Tier 1</v>
      </c>
      <c r="K803" s="174" t="b">
        <f>IFERROR(__xludf.DUMMYFUNCTION("""COMPUTED_VALUE"""),TRUE)</f>
        <v>1</v>
      </c>
      <c r="L803" s="174"/>
      <c r="M803" s="174"/>
      <c r="N803" s="174"/>
      <c r="O803" s="174"/>
      <c r="P803" s="174"/>
      <c r="Q803" s="174"/>
      <c r="R803" s="174"/>
      <c r="S803" s="174"/>
      <c r="T803" s="174"/>
      <c r="U803" s="174"/>
      <c r="V803" s="174"/>
      <c r="W803" s="174"/>
      <c r="X803" s="174"/>
      <c r="Y803" s="174"/>
      <c r="Z803" s="174"/>
    </row>
    <row r="804">
      <c r="A804" s="190" t="str">
        <f>IFERROR(__xludf.DUMMYFUNCTION("""COMPUTED_VALUE"""),"Echoed Voice")</f>
        <v>Echoed Voice</v>
      </c>
      <c r="B804" s="190" t="str">
        <f>IFERROR(__xludf.DUMMYFUNCTION("""COMPUTED_VALUE"""),"Normal")</f>
        <v>Normal</v>
      </c>
      <c r="C804" s="190" t="str">
        <f>IFERROR(__xludf.DUMMYFUNCTION("""COMPUTED_VALUE"""),"Special")</f>
        <v>Special</v>
      </c>
      <c r="D804" s="190" t="str">
        <f>IFERROR(__xludf.DUMMYFUNCTION("""COMPUTED_VALUE"""),"EOT")</f>
        <v>EOT</v>
      </c>
      <c r="E804" s="190" t="str">
        <f>IFERROR(__xludf.DUMMYFUNCTION("""COMPUTED_VALUE"""),"3, 1 Target, Sonic")</f>
        <v>3, 1 Target, Sonic</v>
      </c>
      <c r="F804" s="190">
        <f>IFERROR(__xludf.DUMMYFUNCTION("""COMPUTED_VALUE"""),4.0)</f>
        <v>4</v>
      </c>
      <c r="G804" s="190" t="str">
        <f>IFERROR(__xludf.DUMMYFUNCTION("""COMPUTED_VALUE"""),"X")</f>
        <v>X</v>
      </c>
      <c r="H804" s="191" t="str">
        <f>IFERROR(__xludf.DUMMYFUNCTION("""COMPUTED_VALUE"""),"Choose a Sonic Attack used by you or an Ally this Scene. This Attack has the same Damage Base (If any) and Effect the chosen Attack. If no Sonic Attack was used this Scene, the DB for this Attack is 6. You cannot choose the same Attack twice during a Scen"&amp;"e.")</f>
        <v>Choose a Sonic Attack used by you or an Ally this Scene. This Attack has the same Damage Base (If any) and Effect the chosen Attack. If no Sonic Attack was used this Scene, the DB for this Attack is 6. You cannot choose the same Attack twice during a Scene.</v>
      </c>
      <c r="I804" s="191" t="str">
        <f>IFERROR(__xludf.DUMMYFUNCTION("""COMPUTED_VALUE"""),"--")</f>
        <v>--</v>
      </c>
      <c r="J804" s="190" t="str">
        <f>IFERROR(__xludf.DUMMYFUNCTION("""COMPUTED_VALUE"""),"Tier 2")</f>
        <v>Tier 2</v>
      </c>
      <c r="K804" s="174" t="b">
        <f>IFERROR(__xludf.DUMMYFUNCTION("""COMPUTED_VALUE"""),TRUE)</f>
        <v>1</v>
      </c>
      <c r="L804" s="174"/>
      <c r="M804" s="174"/>
      <c r="N804" s="174"/>
      <c r="O804" s="174"/>
      <c r="P804" s="174"/>
      <c r="Q804" s="174"/>
      <c r="R804" s="174"/>
      <c r="S804" s="174"/>
      <c r="T804" s="174"/>
      <c r="U804" s="174"/>
      <c r="V804" s="174"/>
      <c r="W804" s="174"/>
      <c r="X804" s="174"/>
      <c r="Y804" s="174"/>
      <c r="Z804" s="174"/>
    </row>
    <row r="805">
      <c r="A805" s="190" t="str">
        <f>IFERROR(__xludf.DUMMYFUNCTION("""COMPUTED_VALUE"""),"Egg Bomb")</f>
        <v>Egg Bomb</v>
      </c>
      <c r="B805" s="190" t="str">
        <f>IFERROR(__xludf.DUMMYFUNCTION("""COMPUTED_VALUE"""),"Normal")</f>
        <v>Normal</v>
      </c>
      <c r="C805" s="190" t="str">
        <f>IFERROR(__xludf.DUMMYFUNCTION("""COMPUTED_VALUE"""),"Special")</f>
        <v>Special</v>
      </c>
      <c r="D805" s="190" t="str">
        <f>IFERROR(__xludf.DUMMYFUNCTION("""COMPUTED_VALUE"""),"Scene x2")</f>
        <v>Scene x2</v>
      </c>
      <c r="E805" s="190" t="str">
        <f>IFERROR(__xludf.DUMMYFUNCTION("""COMPUTED_VALUE"""),"4, Ranged Blast 2")</f>
        <v>4, Ranged Blast 2</v>
      </c>
      <c r="F805" s="190">
        <f>IFERROR(__xludf.DUMMYFUNCTION("""COMPUTED_VALUE"""),6.0)</f>
        <v>6</v>
      </c>
      <c r="G805" s="190">
        <f>IFERROR(__xludf.DUMMYFUNCTION("""COMPUTED_VALUE"""),10.0)</f>
        <v>10</v>
      </c>
      <c r="H805" s="191" t="str">
        <f>IFERROR(__xludf.DUMMYFUNCTION("""COMPUTED_VALUE"""),"Any allies that are hit by this Attack gain a Tick of Temporary Hit Points instead of taking damage. Smite")</f>
        <v>Any allies that are hit by this Attack gain a Tick of Temporary Hit Points instead of taking damage. Smite</v>
      </c>
      <c r="I805" s="191" t="str">
        <f>IFERROR(__xludf.DUMMYFUNCTION("""COMPUTED_VALUE"""),"--")</f>
        <v>--</v>
      </c>
      <c r="J805" s="190" t="str">
        <f>IFERROR(__xludf.DUMMYFUNCTION("""COMPUTED_VALUE"""),"Tier 3")</f>
        <v>Tier 3</v>
      </c>
      <c r="K805" s="174" t="b">
        <f>IFERROR(__xludf.DUMMYFUNCTION("""COMPUTED_VALUE"""),TRUE)</f>
        <v>1</v>
      </c>
      <c r="L805" s="174"/>
      <c r="M805" s="174"/>
      <c r="N805" s="174"/>
      <c r="O805" s="174"/>
      <c r="P805" s="174"/>
      <c r="Q805" s="174"/>
      <c r="R805" s="174"/>
      <c r="S805" s="174"/>
      <c r="T805" s="174"/>
      <c r="U805" s="174"/>
      <c r="V805" s="174"/>
      <c r="W805" s="174"/>
      <c r="X805" s="174"/>
      <c r="Y805" s="174"/>
      <c r="Z805" s="174"/>
    </row>
    <row r="806">
      <c r="A806" s="190" t="str">
        <f>IFERROR(__xludf.DUMMYFUNCTION("""COMPUTED_VALUE"""),"Encore")</f>
        <v>Encore</v>
      </c>
      <c r="B806" s="190" t="str">
        <f>IFERROR(__xludf.DUMMYFUNCTION("""COMPUTED_VALUE"""),"Normal")</f>
        <v>Normal</v>
      </c>
      <c r="C806" s="190" t="str">
        <f>IFERROR(__xludf.DUMMYFUNCTION("""COMPUTED_VALUE"""),"Status")</f>
        <v>Status</v>
      </c>
      <c r="D806" s="190" t="str">
        <f>IFERROR(__xludf.DUMMYFUNCTION("""COMPUTED_VALUE"""),"Scene x2")</f>
        <v>Scene x2</v>
      </c>
      <c r="E806" s="190" t="str">
        <f>IFERROR(__xludf.DUMMYFUNCTION("""COMPUTED_VALUE"""),"3, 1 Target, Social, Versatile")</f>
        <v>3, 1 Target, Social, Versatile</v>
      </c>
      <c r="F806" s="190">
        <f>IFERROR(__xludf.DUMMYFUNCTION("""COMPUTED_VALUE"""),4.0)</f>
        <v>4</v>
      </c>
      <c r="G806" s="190" t="str">
        <f>IFERROR(__xludf.DUMMYFUNCTION("""COMPUTED_VALUE"""),"--")</f>
        <v>--</v>
      </c>
      <c r="H806" s="191" t="str">
        <f>IFERROR(__xludf.DUMMYFUNCTION("""COMPUTED_VALUE"""),"This cannot Target an Ally. The Target gains an Encore Coat. While a Target has an Encore Coat, they can only use the last Attack they performed before gaining this Coat. When they use that Attack, it ignores and doesn't expend its Frequency. The Target m"&amp;"ay expend the Encore Coat as a Swift Action, but then they become Suppressed and that Attack becomes Disabled.")</f>
        <v>This cannot Target an Ally. The Target gains an Encore Coat. While a Target has an Encore Coat, they can only use the last Attack they performed before gaining this Coat. When they use that Attack, it ignores and doesn't expend its Frequency. The Target may expend the Encore Coat as a Swift Action, but then they become Suppressed and that Attack becomes Disabled.</v>
      </c>
      <c r="I806" s="191" t="str">
        <f>IFERROR(__xludf.DUMMYFUNCTION("""COMPUTED_VALUE"""),"Same as the normal Effects but the Encore Coat is removed at the end of their next Turn. ")</f>
        <v>Same as the normal Effects but the Encore Coat is removed at the end of their next Turn. </v>
      </c>
      <c r="J806" s="190" t="str">
        <f>IFERROR(__xludf.DUMMYFUNCTION("""COMPUTED_VALUE"""),"Tier 2")</f>
        <v>Tier 2</v>
      </c>
      <c r="K806" s="174" t="b">
        <f>IFERROR(__xludf.DUMMYFUNCTION("""COMPUTED_VALUE"""),TRUE)</f>
        <v>1</v>
      </c>
      <c r="L806" s="174"/>
      <c r="M806" s="174"/>
      <c r="N806" s="174"/>
      <c r="O806" s="174"/>
      <c r="P806" s="174"/>
      <c r="Q806" s="174"/>
      <c r="R806" s="174"/>
      <c r="S806" s="174"/>
      <c r="T806" s="174"/>
      <c r="U806" s="174"/>
      <c r="V806" s="174"/>
      <c r="W806" s="174"/>
      <c r="X806" s="174"/>
      <c r="Y806" s="174"/>
      <c r="Z806" s="174"/>
    </row>
    <row r="807">
      <c r="A807" s="190" t="str">
        <f>IFERROR(__xludf.DUMMYFUNCTION("""COMPUTED_VALUE"""),"Endure")</f>
        <v>Endure</v>
      </c>
      <c r="B807" s="190" t="str">
        <f>IFERROR(__xludf.DUMMYFUNCTION("""COMPUTED_VALUE"""),"Normal")</f>
        <v>Normal</v>
      </c>
      <c r="C807" s="190" t="str">
        <f>IFERROR(__xludf.DUMMYFUNCTION("""COMPUTED_VALUE"""),"Status")</f>
        <v>Status</v>
      </c>
      <c r="D807" s="190" t="str">
        <f>IFERROR(__xludf.DUMMYFUNCTION("""COMPUTED_VALUE"""),"Scene")</f>
        <v>Scene</v>
      </c>
      <c r="E807" s="190" t="str">
        <f>IFERROR(__xludf.DUMMYFUNCTION("""COMPUTED_VALUE"""),"Self, Trigger")</f>
        <v>Self, Trigger</v>
      </c>
      <c r="F807" s="190" t="str">
        <f>IFERROR(__xludf.DUMMYFUNCTION("""COMPUTED_VALUE"""),"--")</f>
        <v>--</v>
      </c>
      <c r="G807" s="190" t="str">
        <f>IFERROR(__xludf.DUMMYFUNCTION("""COMPUTED_VALUE"""),"--")</f>
        <v>--</v>
      </c>
      <c r="H807" s="191" t="str">
        <f>IFERROR(__xludf.DUMMYFUNCTION("""COMPUTED_VALUE"""),"Endure can only be used as a Reaction when the user is hit by a Damaging Attack while they are at 10% Hit Points or higher. The user's hp cannot be reduced below 1 by the Triggering Attack.")</f>
        <v>Endure can only be used as a Reaction when the user is hit by a Damaging Attack while they are at 10% Hit Points or higher. The user's hp cannot be reduced below 1 by the Triggering Attack.</v>
      </c>
      <c r="I807" s="191" t="str">
        <f>IFERROR(__xludf.DUMMYFUNCTION("""COMPUTED_VALUE"""),"--")</f>
        <v>--</v>
      </c>
      <c r="J807" s="190" t="str">
        <f>IFERROR(__xludf.DUMMYFUNCTION("""COMPUTED_VALUE"""),"Tier 3")</f>
        <v>Tier 3</v>
      </c>
      <c r="K807" s="174" t="b">
        <f>IFERROR(__xludf.DUMMYFUNCTION("""COMPUTED_VALUE"""),FALSE)</f>
        <v>0</v>
      </c>
      <c r="L807" s="174"/>
      <c r="M807" s="174"/>
      <c r="N807" s="174"/>
      <c r="O807" s="174"/>
      <c r="P807" s="174"/>
      <c r="Q807" s="174"/>
      <c r="R807" s="174"/>
      <c r="S807" s="174"/>
      <c r="T807" s="174"/>
      <c r="U807" s="174"/>
      <c r="V807" s="174"/>
      <c r="W807" s="174"/>
      <c r="X807" s="174"/>
      <c r="Y807" s="174"/>
      <c r="Z807" s="174"/>
    </row>
    <row r="808">
      <c r="A808" s="190" t="str">
        <f>IFERROR(__xludf.DUMMYFUNCTION("""COMPUTED_VALUE"""),"Entrainment")</f>
        <v>Entrainment</v>
      </c>
      <c r="B808" s="190" t="str">
        <f>IFERROR(__xludf.DUMMYFUNCTION("""COMPUTED_VALUE"""),"Normal")</f>
        <v>Normal</v>
      </c>
      <c r="C808" s="190" t="str">
        <f>IFERROR(__xludf.DUMMYFUNCTION("""COMPUTED_VALUE"""),"Status")</f>
        <v>Status</v>
      </c>
      <c r="D808" s="190" t="str">
        <f>IFERROR(__xludf.DUMMYFUNCTION("""COMPUTED_VALUE"""),"Scene x2")</f>
        <v>Scene x2</v>
      </c>
      <c r="E808" s="190" t="str">
        <f>IFERROR(__xludf.DUMMYFUNCTION("""COMPUTED_VALUE"""),"4, 1 Target")</f>
        <v>4, 1 Target</v>
      </c>
      <c r="F808" s="190" t="str">
        <f>IFERROR(__xludf.DUMMYFUNCTION("""COMPUTED_VALUE"""),"--")</f>
        <v>--</v>
      </c>
      <c r="G808" s="190" t="str">
        <f>IFERROR(__xludf.DUMMYFUNCTION("""COMPUTED_VALUE"""),"--")</f>
        <v>--</v>
      </c>
      <c r="H808" s="191" t="str">
        <f>IFERROR(__xludf.DUMMYFUNCTION("""COMPUTED_VALUE"""),"The Target gains one of the user’s Abilities. Boss Abilities or Innate Abilites cannot be gained this way.")</f>
        <v>The Target gains one of the user’s Abilities. Boss Abilities or Innate Abilites cannot be gained this way.</v>
      </c>
      <c r="I808" s="191" t="str">
        <f>IFERROR(__xludf.DUMMYFUNCTION("""COMPUTED_VALUE"""),"--")</f>
        <v>--</v>
      </c>
      <c r="J808" s="190" t="str">
        <f>IFERROR(__xludf.DUMMYFUNCTION("""COMPUTED_VALUE"""),"Tier 2")</f>
        <v>Tier 2</v>
      </c>
      <c r="K808" s="174" t="b">
        <f>IFERROR(__xludf.DUMMYFUNCTION("""COMPUTED_VALUE"""),TRUE)</f>
        <v>1</v>
      </c>
      <c r="L808" s="174"/>
      <c r="M808" s="174"/>
      <c r="N808" s="174"/>
      <c r="O808" s="174"/>
      <c r="P808" s="174"/>
      <c r="Q808" s="174"/>
      <c r="R808" s="174"/>
      <c r="S808" s="174"/>
      <c r="T808" s="174"/>
      <c r="U808" s="174"/>
      <c r="V808" s="174"/>
      <c r="W808" s="174"/>
      <c r="X808" s="174"/>
      <c r="Y808" s="174"/>
      <c r="Z808" s="174"/>
    </row>
    <row r="809">
      <c r="A809" s="190" t="str">
        <f>IFERROR(__xludf.DUMMYFUNCTION("""COMPUTED_VALUE"""),"Extreme Speed")</f>
        <v>Extreme Speed</v>
      </c>
      <c r="B809" s="190" t="str">
        <f>IFERROR(__xludf.DUMMYFUNCTION("""COMPUTED_VALUE"""),"Normal")</f>
        <v>Normal</v>
      </c>
      <c r="C809" s="190" t="str">
        <f>IFERROR(__xludf.DUMMYFUNCTION("""COMPUTED_VALUE"""),"Physical")</f>
        <v>Physical</v>
      </c>
      <c r="D809" s="190" t="str">
        <f>IFERROR(__xludf.DUMMYFUNCTION("""COMPUTED_VALUE"""),"EOT")</f>
        <v>EOT</v>
      </c>
      <c r="E809" s="190" t="str">
        <f>IFERROR(__xludf.DUMMYFUNCTION("""COMPUTED_VALUE"""),"Melee, 1 Target, Dash, Priority")</f>
        <v>Melee, 1 Target, Dash, Priority</v>
      </c>
      <c r="F809" s="190">
        <f>IFERROR(__xludf.DUMMYFUNCTION("""COMPUTED_VALUE"""),3.0)</f>
        <v>3</v>
      </c>
      <c r="G809" s="190">
        <f>IFERROR(__xludf.DUMMYFUNCTION("""COMPUTED_VALUE"""),8.0)</f>
        <v>8</v>
      </c>
      <c r="H809" s="191" t="str">
        <f>IFERROR(__xludf.DUMMYFUNCTION("""COMPUTED_VALUE"""),"If the Dash or Priority Keyword is Activated, this Attack ignores Speed Evasion.")</f>
        <v>If the Dash or Priority Keyword is Activated, this Attack ignores Speed Evasion.</v>
      </c>
      <c r="I809" s="191" t="str">
        <f>IFERROR(__xludf.DUMMYFUNCTION("""COMPUTED_VALUE"""),"--")</f>
        <v>--</v>
      </c>
      <c r="J809" s="190" t="str">
        <f>IFERROR(__xludf.DUMMYFUNCTION("""COMPUTED_VALUE"""),"Tier 2")</f>
        <v>Tier 2</v>
      </c>
      <c r="K809" s="174" t="b">
        <f>IFERROR(__xludf.DUMMYFUNCTION("""COMPUTED_VALUE"""),TRUE)</f>
        <v>1</v>
      </c>
      <c r="L809" s="174"/>
      <c r="M809" s="174"/>
      <c r="N809" s="174"/>
      <c r="O809" s="174"/>
      <c r="P809" s="174"/>
      <c r="Q809" s="174"/>
      <c r="R809" s="174"/>
      <c r="S809" s="174"/>
      <c r="T809" s="174"/>
      <c r="U809" s="174"/>
      <c r="V809" s="174"/>
      <c r="W809" s="174"/>
      <c r="X809" s="174"/>
      <c r="Y809" s="174"/>
      <c r="Z809" s="174"/>
    </row>
    <row r="810">
      <c r="A810" s="190" t="str">
        <f>IFERROR(__xludf.DUMMYFUNCTION("""COMPUTED_VALUE"""),"Explosion")</f>
        <v>Explosion</v>
      </c>
      <c r="B810" s="190" t="str">
        <f>IFERROR(__xludf.DUMMYFUNCTION("""COMPUTED_VALUE"""),"Normal")</f>
        <v>Normal</v>
      </c>
      <c r="C810" s="190" t="str">
        <f>IFERROR(__xludf.DUMMYFUNCTION("""COMPUTED_VALUE"""),"Physical")</f>
        <v>Physical</v>
      </c>
      <c r="D810" s="190" t="str">
        <f>IFERROR(__xludf.DUMMYFUNCTION("""COMPUTED_VALUE"""),"Scene")</f>
        <v>Scene</v>
      </c>
      <c r="E810" s="190" t="str">
        <f>IFERROR(__xludf.DUMMYFUNCTION("""COMPUTED_VALUE"""),"Burst 2, Priority")</f>
        <v>Burst 2, Priority</v>
      </c>
      <c r="F810" s="190">
        <f>IFERROR(__xludf.DUMMYFUNCTION("""COMPUTED_VALUE"""),5.0)</f>
        <v>5</v>
      </c>
      <c r="G810" s="190">
        <f>IFERROR(__xludf.DUMMYFUNCTION("""COMPUTED_VALUE"""),20.0)</f>
        <v>20</v>
      </c>
      <c r="H810" s="191" t="str">
        <f>IFERROR(__xludf.DUMMYFUNCTION("""COMPUTED_VALUE"""),"Explosion must be declared at the start of the Round as a Free Action. The user cannot perform any Actions until the end of the Round, where they must immediately use Explosion as a Standard Action. After this Attack resolves, the user's HP is set to 0. I"&amp;"f the user's HP was above 50%, this Attack ignores Physical Evasion. Smite")</f>
        <v>Explosion must be declared at the start of the Round as a Free Action. The user cannot perform any Actions until the end of the Round, where they must immediately use Explosion as a Standard Action. After this Attack resolves, the user's HP is set to 0. If the user's HP was above 50%, this Attack ignores Physical Evasion. Smite</v>
      </c>
      <c r="I810" s="191"/>
      <c r="J810" s="190"/>
      <c r="K810" s="174"/>
      <c r="L810" s="174"/>
      <c r="M810" s="174"/>
      <c r="N810" s="174"/>
      <c r="O810" s="174"/>
      <c r="P810" s="174"/>
      <c r="Q810" s="174"/>
      <c r="R810" s="174"/>
      <c r="S810" s="174"/>
      <c r="T810" s="174"/>
      <c r="U810" s="174"/>
      <c r="V810" s="174"/>
      <c r="W810" s="174"/>
      <c r="X810" s="174"/>
      <c r="Y810" s="174"/>
      <c r="Z810" s="174"/>
    </row>
    <row r="811">
      <c r="A811" s="190" t="str">
        <f>IFERROR(__xludf.DUMMYFUNCTION("""COMPUTED_VALUE"""),"Facade")</f>
        <v>Facade</v>
      </c>
      <c r="B811" s="190" t="str">
        <f>IFERROR(__xludf.DUMMYFUNCTION("""COMPUTED_VALUE"""),"Normal")</f>
        <v>Normal</v>
      </c>
      <c r="C811" s="190" t="str">
        <f>IFERROR(__xludf.DUMMYFUNCTION("""COMPUTED_VALUE"""),"Physical")</f>
        <v>Physical</v>
      </c>
      <c r="D811" s="190" t="str">
        <f>IFERROR(__xludf.DUMMYFUNCTION("""COMPUTED_VALUE"""),"EOT")</f>
        <v>EOT</v>
      </c>
      <c r="E811" s="190" t="str">
        <f>IFERROR(__xludf.DUMMYFUNCTION("""COMPUTED_VALUE"""),"Melee, 1 Target")</f>
        <v>Melee, 1 Target</v>
      </c>
      <c r="F811" s="190">
        <f>IFERROR(__xludf.DUMMYFUNCTION("""COMPUTED_VALUE"""),3.0)</f>
        <v>3</v>
      </c>
      <c r="G811" s="190">
        <f>IFERROR(__xludf.DUMMYFUNCTION("""COMPUTED_VALUE"""),7.0)</f>
        <v>7</v>
      </c>
      <c r="H811" s="191" t="str">
        <f>IFERROR(__xludf.DUMMYFUNCTION("""COMPUTED_VALUE"""),"This Attack's Damage Base is increased by +3 for each Affliction the user is affected by.")</f>
        <v>This Attack's Damage Base is increased by +3 for each Affliction the user is affected by.</v>
      </c>
      <c r="I811" s="191" t="str">
        <f>IFERROR(__xludf.DUMMYFUNCTION("""COMPUTED_VALUE"""),"--")</f>
        <v>--</v>
      </c>
      <c r="J811" s="190" t="str">
        <f>IFERROR(__xludf.DUMMYFUNCTION("""COMPUTED_VALUE"""),"Tier 2")</f>
        <v>Tier 2</v>
      </c>
      <c r="K811" s="174" t="b">
        <f>IFERROR(__xludf.DUMMYFUNCTION("""COMPUTED_VALUE"""),TRUE)</f>
        <v>1</v>
      </c>
      <c r="L811" s="174"/>
      <c r="M811" s="174"/>
      <c r="N811" s="174"/>
      <c r="O811" s="174"/>
      <c r="P811" s="174"/>
      <c r="Q811" s="174"/>
      <c r="R811" s="174"/>
      <c r="S811" s="174"/>
      <c r="T811" s="174"/>
      <c r="U811" s="174"/>
      <c r="V811" s="174"/>
      <c r="W811" s="174"/>
      <c r="X811" s="174"/>
      <c r="Y811" s="174"/>
      <c r="Z811" s="174"/>
    </row>
    <row r="812">
      <c r="A812" s="190" t="str">
        <f>IFERROR(__xludf.DUMMYFUNCTION("""COMPUTED_VALUE"""),"Fake Out")</f>
        <v>Fake Out</v>
      </c>
      <c r="B812" s="190" t="str">
        <f>IFERROR(__xludf.DUMMYFUNCTION("""COMPUTED_VALUE"""),"Normal")</f>
        <v>Normal</v>
      </c>
      <c r="C812" s="190" t="str">
        <f>IFERROR(__xludf.DUMMYFUNCTION("""COMPUTED_VALUE"""),"Physical")</f>
        <v>Physical</v>
      </c>
      <c r="D812" s="190" t="str">
        <f>IFERROR(__xludf.DUMMYFUNCTION("""COMPUTED_VALUE"""),"At-Will")</f>
        <v>At-Will</v>
      </c>
      <c r="E812" s="190" t="str">
        <f>IFERROR(__xludf.DUMMYFUNCTION("""COMPUTED_VALUE"""),"Melee, 1 Target, Priority ")</f>
        <v>Melee, 1 Target, Priority </v>
      </c>
      <c r="F812" s="190">
        <f>IFERROR(__xludf.DUMMYFUNCTION("""COMPUTED_VALUE"""),5.0)</f>
        <v>5</v>
      </c>
      <c r="G812" s="190">
        <f>IFERROR(__xludf.DUMMYFUNCTION("""COMPUTED_VALUE"""),5.0)</f>
        <v>5</v>
      </c>
      <c r="H812" s="191" t="str">
        <f>IFERROR(__xludf.DUMMYFUNCTION("""COMPUTED_VALUE"""),"If Fake Out misses the Target, you may perform a Basic Attack against them as a Free Action. Spirit Surge")</f>
        <v>If Fake Out misses the Target, you may perform a Basic Attack against them as a Free Action. Spirit Surge</v>
      </c>
      <c r="I812" s="191" t="str">
        <f>IFERROR(__xludf.DUMMYFUNCTION("""COMPUTED_VALUE"""),"--")</f>
        <v>--</v>
      </c>
      <c r="J812" s="190" t="str">
        <f>IFERROR(__xludf.DUMMYFUNCTION("""COMPUTED_VALUE"""),"Tier 1")</f>
        <v>Tier 1</v>
      </c>
      <c r="K812" s="174" t="b">
        <f>IFERROR(__xludf.DUMMYFUNCTION("""COMPUTED_VALUE"""),TRUE)</f>
        <v>1</v>
      </c>
      <c r="L812" s="174"/>
      <c r="M812" s="174"/>
      <c r="N812" s="174"/>
      <c r="O812" s="174"/>
      <c r="P812" s="174"/>
      <c r="Q812" s="174"/>
      <c r="R812" s="174"/>
      <c r="S812" s="174"/>
      <c r="T812" s="174"/>
      <c r="U812" s="174"/>
      <c r="V812" s="174"/>
      <c r="W812" s="174"/>
      <c r="X812" s="174"/>
      <c r="Y812" s="174"/>
      <c r="Z812" s="174"/>
    </row>
    <row r="813">
      <c r="A813" s="190" t="str">
        <f>IFERROR(__xludf.DUMMYFUNCTION("""COMPUTED_VALUE"""),"False Swipe")</f>
        <v>False Swipe</v>
      </c>
      <c r="B813" s="190" t="str">
        <f>IFERROR(__xludf.DUMMYFUNCTION("""COMPUTED_VALUE"""),"Normal")</f>
        <v>Normal</v>
      </c>
      <c r="C813" s="190" t="str">
        <f>IFERROR(__xludf.DUMMYFUNCTION("""COMPUTED_VALUE"""),"Physical")</f>
        <v>Physical</v>
      </c>
      <c r="D813" s="190" t="str">
        <f>IFERROR(__xludf.DUMMYFUNCTION("""COMPUTED_VALUE"""),"EOT")</f>
        <v>EOT</v>
      </c>
      <c r="E813" s="190" t="str">
        <f>IFERROR(__xludf.DUMMYFUNCTION("""COMPUTED_VALUE"""),"Melee, Pass")</f>
        <v>Melee, Pass</v>
      </c>
      <c r="F813" s="190">
        <f>IFERROR(__xludf.DUMMYFUNCTION("""COMPUTED_VALUE"""),5.0)</f>
        <v>5</v>
      </c>
      <c r="G813" s="190">
        <f>IFERROR(__xludf.DUMMYFUNCTION("""COMPUTED_VALUE"""),6.0)</f>
        <v>6</v>
      </c>
      <c r="H813" s="191" t="str">
        <f>IFERROR(__xludf.DUMMYFUNCTION("""COMPUTED_VALUE"""),"False Swipe cannot Trigger Attacks with the Shield Keyword in response to this Attack. Smite")</f>
        <v>False Swipe cannot Trigger Attacks with the Shield Keyword in response to this Attack. Smite</v>
      </c>
      <c r="I813" s="191" t="str">
        <f>IFERROR(__xludf.DUMMYFUNCTION("""COMPUTED_VALUE"""),"--")</f>
        <v>--</v>
      </c>
      <c r="J813" s="190" t="str">
        <f>IFERROR(__xludf.DUMMYFUNCTION("""COMPUTED_VALUE"""),"Tier 1")</f>
        <v>Tier 1</v>
      </c>
      <c r="K813" s="174" t="b">
        <f>IFERROR(__xludf.DUMMYFUNCTION("""COMPUTED_VALUE"""),TRUE)</f>
        <v>1</v>
      </c>
      <c r="L813" s="174"/>
      <c r="M813" s="174"/>
      <c r="N813" s="174"/>
      <c r="O813" s="174"/>
      <c r="P813" s="174"/>
      <c r="Q813" s="174"/>
      <c r="R813" s="174"/>
      <c r="S813" s="174"/>
      <c r="T813" s="174"/>
      <c r="U813" s="174"/>
      <c r="V813" s="174"/>
      <c r="W813" s="174"/>
      <c r="X813" s="174"/>
      <c r="Y813" s="174"/>
      <c r="Z813" s="174"/>
    </row>
    <row r="814">
      <c r="A814" s="190" t="str">
        <f>IFERROR(__xludf.DUMMYFUNCTION("""COMPUTED_VALUE"""),"Feint")</f>
        <v>Feint</v>
      </c>
      <c r="B814" s="190" t="str">
        <f>IFERROR(__xludf.DUMMYFUNCTION("""COMPUTED_VALUE"""),"Normal")</f>
        <v>Normal</v>
      </c>
      <c r="C814" s="190" t="str">
        <f>IFERROR(__xludf.DUMMYFUNCTION("""COMPUTED_VALUE"""),"Status")</f>
        <v>Status</v>
      </c>
      <c r="D814" s="190" t="str">
        <f>IFERROR(__xludf.DUMMYFUNCTION("""COMPUTED_VALUE"""),"Scene x2")</f>
        <v>Scene x2</v>
      </c>
      <c r="E814" s="190" t="str">
        <f>IFERROR(__xludf.DUMMYFUNCTION("""COMPUTED_VALUE"""),"Self, Trigger")</f>
        <v>Self, Trigger</v>
      </c>
      <c r="F814" s="190" t="str">
        <f>IFERROR(__xludf.DUMMYFUNCTION("""COMPUTED_VALUE"""),"--")</f>
        <v>--</v>
      </c>
      <c r="G814" s="190" t="str">
        <f>IFERROR(__xludf.DUMMYFUNCTION("""COMPUTED_VALUE"""),"--")</f>
        <v>--</v>
      </c>
      <c r="H814" s="191" t="str">
        <f>IFERROR(__xludf.DUMMYFUNCTION("""COMPUTED_VALUE"""),"Feint can only be used as a Reaction when a Target of your Attack uses a Reaction or avoids your Melee Damaging Attack. If they used a Reaction, the Effect they used it for fails and no longer applies, but doesn’t expend its Frequency (Still uses their Re"&amp;"action). If they avoided the Melee Attack, the Attack is treated as having the Smite Keyword.")</f>
        <v>Feint can only be used as a Reaction when a Target of your Attack uses a Reaction or avoids your Melee Damaging Attack. If they used a Reaction, the Effect they used it for fails and no longer applies, but doesn’t expend its Frequency (Still uses their Reaction). If they avoided the Melee Attack, the Attack is treated as having the Smite Keyword.</v>
      </c>
      <c r="I814" s="191" t="str">
        <f>IFERROR(__xludf.DUMMYFUNCTION("""COMPUTED_VALUE"""),"--")</f>
        <v>--</v>
      </c>
      <c r="J814" s="190" t="str">
        <f>IFERROR(__xludf.DUMMYFUNCTION("""COMPUTED_VALUE"""),"Tier 2")</f>
        <v>Tier 2</v>
      </c>
      <c r="K814" s="174" t="b">
        <f>IFERROR(__xludf.DUMMYFUNCTION("""COMPUTED_VALUE"""),FALSE)</f>
        <v>0</v>
      </c>
      <c r="L814" s="174"/>
      <c r="M814" s="174"/>
      <c r="N814" s="174"/>
      <c r="O814" s="174"/>
      <c r="P814" s="174"/>
      <c r="Q814" s="174"/>
      <c r="R814" s="174"/>
      <c r="S814" s="174"/>
      <c r="T814" s="174"/>
      <c r="U814" s="174"/>
      <c r="V814" s="174"/>
      <c r="W814" s="174"/>
      <c r="X814" s="174"/>
      <c r="Y814" s="174"/>
      <c r="Z814" s="174"/>
    </row>
    <row r="815">
      <c r="A815" s="190" t="str">
        <f>IFERROR(__xludf.DUMMYFUNCTION("""COMPUTED_VALUE"""),"Fillet Away")</f>
        <v>Fillet Away</v>
      </c>
      <c r="B815" s="190" t="str">
        <f>IFERROR(__xludf.DUMMYFUNCTION("""COMPUTED_VALUE"""),"Normal")</f>
        <v>Normal</v>
      </c>
      <c r="C815" s="190" t="str">
        <f>IFERROR(__xludf.DUMMYFUNCTION("""COMPUTED_VALUE"""),"Status")</f>
        <v>Status</v>
      </c>
      <c r="D815" s="190" t="str">
        <f>IFERROR(__xludf.DUMMYFUNCTION("""COMPUTED_VALUE"""),"EOT")</f>
        <v>EOT</v>
      </c>
      <c r="E815" s="190" t="str">
        <f>IFERROR(__xludf.DUMMYFUNCTION("""COMPUTED_VALUE"""),"Self, Versatile")</f>
        <v>Self, Versatile</v>
      </c>
      <c r="F815" s="190" t="str">
        <f>IFERROR(__xludf.DUMMYFUNCTION("""COMPUTED_VALUE"""),"--")</f>
        <v>--</v>
      </c>
      <c r="G815" s="190" t="str">
        <f>IFERROR(__xludf.DUMMYFUNCTION("""COMPUTED_VALUE"""),"--")</f>
        <v>--</v>
      </c>
      <c r="H815" s="191" t="str">
        <f>IFERROR(__xludf.DUMMYFUNCTION("""COMPUTED_VALUE"""),"The user loses two Ticks of Hit Points, then gains +3 CS in Attack, Special Attack or Speed.")</f>
        <v>The user loses two Ticks of Hit Points, then gains +3 CS in Attack, Special Attack or Speed.</v>
      </c>
      <c r="I815" s="191" t="str">
        <f>IFERROR(__xludf.DUMMYFUNCTION("""COMPUTED_VALUE"""),"The user loses a Tick of Hit Points, then gains +1 CS in Attack, Special Attack or Speed. Fillet Away cannot be used this way if the user has a Physical Affliction.")</f>
        <v>The user loses a Tick of Hit Points, then gains +1 CS in Attack, Special Attack or Speed. Fillet Away cannot be used this way if the user has a Physical Affliction.</v>
      </c>
      <c r="J815" s="190" t="str">
        <f>IFERROR(__xludf.DUMMYFUNCTION("""COMPUTED_VALUE"""),"Tier 1")</f>
        <v>Tier 1</v>
      </c>
      <c r="K815" s="174" t="b">
        <f>IFERROR(__xludf.DUMMYFUNCTION("""COMPUTED_VALUE"""),TRUE)</f>
        <v>1</v>
      </c>
      <c r="L815" s="174"/>
      <c r="M815" s="174"/>
      <c r="N815" s="174"/>
      <c r="O815" s="174"/>
      <c r="P815" s="174"/>
      <c r="Q815" s="174"/>
      <c r="R815" s="174"/>
      <c r="S815" s="174"/>
      <c r="T815" s="174"/>
      <c r="U815" s="174"/>
      <c r="V815" s="174"/>
      <c r="W815" s="174"/>
      <c r="X815" s="174"/>
      <c r="Y815" s="174"/>
      <c r="Z815" s="174"/>
    </row>
    <row r="816">
      <c r="A816" s="190" t="str">
        <f>IFERROR(__xludf.DUMMYFUNCTION("""COMPUTED_VALUE"""),"Final Flash")</f>
        <v>Final Flash</v>
      </c>
      <c r="B816" s="190" t="str">
        <f>IFERROR(__xludf.DUMMYFUNCTION("""COMPUTED_VALUE"""),"Normal")</f>
        <v>Normal</v>
      </c>
      <c r="C816" s="190" t="str">
        <f>IFERROR(__xludf.DUMMYFUNCTION("""COMPUTED_VALUE"""),"Special")</f>
        <v>Special</v>
      </c>
      <c r="D816" s="190" t="str">
        <f>IFERROR(__xludf.DUMMYFUNCTION("""COMPUTED_VALUE"""),"Scene")</f>
        <v>Scene</v>
      </c>
      <c r="E816" s="190" t="str">
        <f>IFERROR(__xludf.DUMMYFUNCTION("""COMPUTED_VALUE"""),"Close Blast 2, Full Action, Reckless")</f>
        <v>Close Blast 2, Full Action, Reckless</v>
      </c>
      <c r="F816" s="190">
        <f>IFERROR(__xludf.DUMMYFUNCTION("""COMPUTED_VALUE"""),5.0)</f>
        <v>5</v>
      </c>
      <c r="G816" s="190">
        <f>IFERROR(__xludf.DUMMYFUNCTION("""COMPUTED_VALUE"""),13.0)</f>
        <v>13</v>
      </c>
      <c r="H816" s="191" t="str">
        <f>IFERROR(__xludf.DUMMYFUNCTION("""COMPUTED_VALUE"""),"After Damage Calculations, lower the Offensive Stat used for this Attack by -2 CS. Smite")</f>
        <v>After Damage Calculations, lower the Offensive Stat used for this Attack by -2 CS. Smite</v>
      </c>
      <c r="I816" s="191" t="str">
        <f>IFERROR(__xludf.DUMMYFUNCTION("""COMPUTED_VALUE"""),"--")</f>
        <v>--</v>
      </c>
      <c r="J816" s="190" t="str">
        <f>IFERROR(__xludf.DUMMYFUNCTION("""COMPUTED_VALUE"""),"Tier 3")</f>
        <v>Tier 3</v>
      </c>
      <c r="K816" s="174" t="b">
        <f>IFERROR(__xludf.DUMMYFUNCTION("""COMPUTED_VALUE"""),TRUE)</f>
        <v>1</v>
      </c>
      <c r="L816" s="174"/>
      <c r="M816" s="174"/>
      <c r="N816" s="174"/>
      <c r="O816" s="174"/>
      <c r="P816" s="174"/>
      <c r="Q816" s="174"/>
      <c r="R816" s="174"/>
      <c r="S816" s="174"/>
      <c r="T816" s="174"/>
      <c r="U816" s="174"/>
      <c r="V816" s="174"/>
      <c r="W816" s="174"/>
      <c r="X816" s="174"/>
      <c r="Y816" s="174"/>
      <c r="Z816" s="174"/>
    </row>
    <row r="817">
      <c r="A817" s="190" t="str">
        <f>IFERROR(__xludf.DUMMYFUNCTION("""COMPUTED_VALUE"""),"Flail")</f>
        <v>Flail</v>
      </c>
      <c r="B817" s="190" t="str">
        <f>IFERROR(__xludf.DUMMYFUNCTION("""COMPUTED_VALUE"""),"Normal")</f>
        <v>Normal</v>
      </c>
      <c r="C817" s="190" t="str">
        <f>IFERROR(__xludf.DUMMYFUNCTION("""COMPUTED_VALUE"""),"Physical")</f>
        <v>Physical</v>
      </c>
      <c r="D817" s="190" t="str">
        <f>IFERROR(__xludf.DUMMYFUNCTION("""COMPUTED_VALUE"""),"EOT")</f>
        <v>EOT</v>
      </c>
      <c r="E817" s="190" t="str">
        <f>IFERROR(__xludf.DUMMYFUNCTION("""COMPUTED_VALUE"""),"Burst 1")</f>
        <v>Burst 1</v>
      </c>
      <c r="F817" s="190">
        <f>IFERROR(__xludf.DUMMYFUNCTION("""COMPUTED_VALUE"""),5.0)</f>
        <v>5</v>
      </c>
      <c r="G817" s="190">
        <f>IFERROR(__xludf.DUMMYFUNCTION("""COMPUTED_VALUE"""),7.0)</f>
        <v>7</v>
      </c>
      <c r="H817" s="191" t="str">
        <f>IFERROR(__xludf.DUMMYFUNCTION("""COMPUTED_VALUE"""),"On a roll of 16+, this Attack may be treated as one step more Effective but cannot surpass 1.5x Effectiveness, however the user becomes Dazed after. Smite")</f>
        <v>On a roll of 16+, this Attack may be treated as one step more Effective but cannot surpass 1.5x Effectiveness, however the user becomes Dazed after. Smite</v>
      </c>
      <c r="I817" s="191" t="str">
        <f>IFERROR(__xludf.DUMMYFUNCTION("""COMPUTED_VALUE"""),"--")</f>
        <v>--</v>
      </c>
      <c r="J817" s="190" t="str">
        <f>IFERROR(__xludf.DUMMYFUNCTION("""COMPUTED_VALUE"""),"Tier 1")</f>
        <v>Tier 1</v>
      </c>
      <c r="K817" s="174" t="b">
        <f>IFERROR(__xludf.DUMMYFUNCTION("""COMPUTED_VALUE"""),TRUE)</f>
        <v>1</v>
      </c>
      <c r="L817" s="174"/>
      <c r="M817" s="174"/>
      <c r="N817" s="174"/>
      <c r="O817" s="174"/>
      <c r="P817" s="174"/>
      <c r="Q817" s="174"/>
      <c r="R817" s="174"/>
      <c r="S817" s="174"/>
      <c r="T817" s="174"/>
      <c r="U817" s="174"/>
      <c r="V817" s="174"/>
      <c r="W817" s="174"/>
      <c r="X817" s="174"/>
      <c r="Y817" s="174"/>
      <c r="Z817" s="174"/>
    </row>
    <row r="818">
      <c r="A818" s="190" t="str">
        <f>IFERROR(__xludf.DUMMYFUNCTION("""COMPUTED_VALUE"""),"Flash")</f>
        <v>Flash</v>
      </c>
      <c r="B818" s="190" t="str">
        <f>IFERROR(__xludf.DUMMYFUNCTION("""COMPUTED_VALUE"""),"Normal")</f>
        <v>Normal</v>
      </c>
      <c r="C818" s="190" t="str">
        <f>IFERROR(__xludf.DUMMYFUNCTION("""COMPUTED_VALUE"""),"Status")</f>
        <v>Status</v>
      </c>
      <c r="D818" s="190" t="str">
        <f>IFERROR(__xludf.DUMMYFUNCTION("""COMPUTED_VALUE"""),"EOT")</f>
        <v>EOT</v>
      </c>
      <c r="E818" s="190" t="str">
        <f>IFERROR(__xludf.DUMMYFUNCTION("""COMPUTED_VALUE"""),"Close Blast 2, Versatile")</f>
        <v>Close Blast 2, Versatile</v>
      </c>
      <c r="F818" s="190">
        <f>IFERROR(__xludf.DUMMYFUNCTION("""COMPUTED_VALUE"""),5.0)</f>
        <v>5</v>
      </c>
      <c r="G818" s="190" t="str">
        <f>IFERROR(__xludf.DUMMYFUNCTION("""COMPUTED_VALUE"""),"--")</f>
        <v>--</v>
      </c>
      <c r="H818" s="191" t="str">
        <f>IFERROR(__xludf.DUMMYFUNCTION("""COMPUTED_VALUE"""),"Lower the Accuracy of all Targets by -2. On a roll of 16+, all Targets become Blinded until the end of their next Turn. *Grants Glow")</f>
        <v>Lower the Accuracy of all Targets by -2. On a roll of 16+, all Targets become Blinded until the end of their next Turn. *Grants Glow</v>
      </c>
      <c r="I818" s="191" t="str">
        <f>IFERROR(__xludf.DUMMYFUNCTION("""COMPUTED_VALUE"""),"All Targets have a -2 Penalty to Accuracy until the end of their next Turn.")</f>
        <v>All Targets have a -2 Penalty to Accuracy until the end of their next Turn.</v>
      </c>
      <c r="J818" s="190" t="str">
        <f>IFERROR(__xludf.DUMMYFUNCTION("""COMPUTED_VALUE"""),"Tier 1")</f>
        <v>Tier 1</v>
      </c>
      <c r="K818" s="174" t="b">
        <f>IFERROR(__xludf.DUMMYFUNCTION("""COMPUTED_VALUE"""),TRUE)</f>
        <v>1</v>
      </c>
      <c r="L818" s="174"/>
      <c r="M818" s="174"/>
      <c r="N818" s="174"/>
      <c r="O818" s="174"/>
      <c r="P818" s="174"/>
      <c r="Q818" s="174"/>
      <c r="R818" s="174"/>
      <c r="S818" s="174"/>
      <c r="T818" s="174"/>
      <c r="U818" s="174"/>
      <c r="V818" s="174"/>
      <c r="W818" s="174"/>
      <c r="X818" s="174"/>
      <c r="Y818" s="174"/>
      <c r="Z818" s="174"/>
    </row>
    <row r="819">
      <c r="A819" s="190" t="str">
        <f>IFERROR(__xludf.DUMMYFUNCTION("""COMPUTED_VALUE"""),"Flashbang")</f>
        <v>Flashbang</v>
      </c>
      <c r="B819" s="190" t="str">
        <f>IFERROR(__xludf.DUMMYFUNCTION("""COMPUTED_VALUE"""),"Normal")</f>
        <v>Normal</v>
      </c>
      <c r="C819" s="190" t="str">
        <f>IFERROR(__xludf.DUMMYFUNCTION("""COMPUTED_VALUE"""),"Status")</f>
        <v>Status</v>
      </c>
      <c r="D819" s="190" t="str">
        <f>IFERROR(__xludf.DUMMYFUNCTION("""COMPUTED_VALUE"""),"Scene x2")</f>
        <v>Scene x2</v>
      </c>
      <c r="E819" s="190" t="str">
        <f>IFERROR(__xludf.DUMMYFUNCTION("""COMPUTED_VALUE"""),"Close Blast 2, Versatile")</f>
        <v>Close Blast 2, Versatile</v>
      </c>
      <c r="F819" s="190">
        <f>IFERROR(__xludf.DUMMYFUNCTION("""COMPUTED_VALUE"""),6.0)</f>
        <v>6</v>
      </c>
      <c r="G819" s="190" t="str">
        <f>IFERROR(__xludf.DUMMYFUNCTION("""COMPUTED_VALUE"""),"--")</f>
        <v>--</v>
      </c>
      <c r="H819" s="191" t="str">
        <f>IFERROR(__xludf.DUMMYFUNCTION("""COMPUTED_VALUE"""),"The Target becomes Blinded until the end of their next Turn. On a miss, the Target instead loses -3 Accuracy for their next attack that requires an Accuracy Roll. Spirit Surge")</f>
        <v>The Target becomes Blinded until the end of their next Turn. On a miss, the Target instead loses -3 Accuracy for their next attack that requires an Accuracy Roll. Spirit Surge</v>
      </c>
      <c r="I819" s="191" t="str">
        <f>IFERROR(__xludf.DUMMYFUNCTION("""COMPUTED_VALUE"""),"All Targets have a -3 Penalty to Accuracy until the end of their next Turn.")</f>
        <v>All Targets have a -3 Penalty to Accuracy until the end of their next Turn.</v>
      </c>
      <c r="J819" s="190" t="str">
        <f>IFERROR(__xludf.DUMMYFUNCTION("""COMPUTED_VALUE"""),"Tier 2")</f>
        <v>Tier 2</v>
      </c>
      <c r="K819" s="174" t="b">
        <f>IFERROR(__xludf.DUMMYFUNCTION("""COMPUTED_VALUE"""),TRUE)</f>
        <v>1</v>
      </c>
      <c r="L819" s="174"/>
      <c r="M819" s="174"/>
      <c r="N819" s="174"/>
      <c r="O819" s="174"/>
      <c r="P819" s="174"/>
      <c r="Q819" s="174"/>
      <c r="R819" s="174"/>
      <c r="S819" s="174"/>
      <c r="T819" s="174"/>
      <c r="U819" s="174"/>
      <c r="V819" s="174"/>
      <c r="W819" s="174"/>
      <c r="X819" s="174"/>
      <c r="Y819" s="174"/>
      <c r="Z819" s="174"/>
    </row>
    <row r="820">
      <c r="A820" s="190" t="str">
        <f>IFERROR(__xludf.DUMMYFUNCTION("""COMPUTED_VALUE"""),"Focus Energy")</f>
        <v>Focus Energy</v>
      </c>
      <c r="B820" s="190" t="str">
        <f>IFERROR(__xludf.DUMMYFUNCTION("""COMPUTED_VALUE"""),"Normal")</f>
        <v>Normal</v>
      </c>
      <c r="C820" s="190" t="str">
        <f>IFERROR(__xludf.DUMMYFUNCTION("""COMPUTED_VALUE"""),"Status")</f>
        <v>Status</v>
      </c>
      <c r="D820" s="190" t="str">
        <f>IFERROR(__xludf.DUMMYFUNCTION("""COMPUTED_VALUE"""),"EOT")</f>
        <v>EOT</v>
      </c>
      <c r="E820" s="190" t="str">
        <f>IFERROR(__xludf.DUMMYFUNCTION("""COMPUTED_VALUE"""),"Self, Movement Action")</f>
        <v>Self, Movement Action</v>
      </c>
      <c r="F820" s="190" t="str">
        <f>IFERROR(__xludf.DUMMYFUNCTION("""COMPUTED_VALUE"""),"--")</f>
        <v>--</v>
      </c>
      <c r="G820" s="190" t="str">
        <f>IFERROR(__xludf.DUMMYFUNCTION("""COMPUTED_VALUE"""),"--")</f>
        <v>--</v>
      </c>
      <c r="H820" s="191" t="str">
        <f>IFERROR(__xludf.DUMMYFUNCTION("""COMPUTED_VALUE"""),"The user’s next Attack gains +2 Critical Hit Range. If the Attack has a Melee Range, they instead gain +3 Critical Hit Range and treat the Target as Flanked. Focus Energy can also be used as a Standard Action to gain +2 Critical Hit Range for the rest of "&amp;"the Scene. ")</f>
        <v>The user’s next Attack gains +2 Critical Hit Range. If the Attack has a Melee Range, they instead gain +3 Critical Hit Range and treat the Target as Flanked. Focus Energy can also be used as a Standard Action to gain +2 Critical Hit Range for the rest of the Scene. </v>
      </c>
      <c r="I820" s="191" t="str">
        <f>IFERROR(__xludf.DUMMYFUNCTION("""COMPUTED_VALUE"""),"--")</f>
        <v>--</v>
      </c>
      <c r="J820" s="190" t="str">
        <f>IFERROR(__xludf.DUMMYFUNCTION("""COMPUTED_VALUE"""),"Tier 1")</f>
        <v>Tier 1</v>
      </c>
      <c r="K820" s="174" t="b">
        <f>IFERROR(__xludf.DUMMYFUNCTION("""COMPUTED_VALUE"""),TRUE)</f>
        <v>1</v>
      </c>
      <c r="L820" s="174"/>
      <c r="M820" s="174"/>
      <c r="N820" s="174"/>
      <c r="O820" s="174"/>
      <c r="P820" s="174"/>
      <c r="Q820" s="174"/>
      <c r="R820" s="174"/>
      <c r="S820" s="174"/>
      <c r="T820" s="174"/>
      <c r="U820" s="174"/>
      <c r="V820" s="174"/>
      <c r="W820" s="174"/>
      <c r="X820" s="174"/>
      <c r="Y820" s="174"/>
      <c r="Z820" s="174"/>
    </row>
    <row r="821">
      <c r="A821" s="190" t="str">
        <f>IFERROR(__xludf.DUMMYFUNCTION("""COMPUTED_VALUE"""),"Follow Me")</f>
        <v>Follow Me</v>
      </c>
      <c r="B821" s="190" t="str">
        <f>IFERROR(__xludf.DUMMYFUNCTION("""COMPUTED_VALUE"""),"Normal")</f>
        <v>Normal</v>
      </c>
      <c r="C821" s="190" t="str">
        <f>IFERROR(__xludf.DUMMYFUNCTION("""COMPUTED_VALUE"""),"Status")</f>
        <v>Status</v>
      </c>
      <c r="D821" s="190" t="str">
        <f>IFERROR(__xludf.DUMMYFUNCTION("""COMPUTED_VALUE"""),"Scene x2")</f>
        <v>Scene x2</v>
      </c>
      <c r="E821" s="190" t="str">
        <f>IFERROR(__xludf.DUMMYFUNCTION("""COMPUTED_VALUE"""),"Burst 2, Social, Versatile")</f>
        <v>Burst 2, Social, Versatile</v>
      </c>
      <c r="F821" s="190" t="str">
        <f>IFERROR(__xludf.DUMMYFUNCTION("""COMPUTED_VALUE"""),"--")</f>
        <v>--</v>
      </c>
      <c r="G821" s="190" t="str">
        <f>IFERROR(__xludf.DUMMYFUNCTION("""COMPUTED_VALUE"""),"--")</f>
        <v>--</v>
      </c>
      <c r="H821" s="191" t="str">
        <f>IFERROR(__xludf.DUMMYFUNCTION("""COMPUTED_VALUE"""),"All Targets become Provoked until the end of their next Turn. Friendly, Sureshot.")</f>
        <v>All Targets become Provoked until the end of their next Turn. Friendly, Sureshot.</v>
      </c>
      <c r="I821" s="191" t="str">
        <f>IFERROR(__xludf.DUMMYFUNCTION("""COMPUTED_VALUE"""),"Same as the normal Effects, but the range becomes 3, 1 Target.")</f>
        <v>Same as the normal Effects, but the range becomes 3, 1 Target.</v>
      </c>
      <c r="J821" s="190" t="str">
        <f>IFERROR(__xludf.DUMMYFUNCTION("""COMPUTED_VALUE"""),"Tier 2")</f>
        <v>Tier 2</v>
      </c>
      <c r="K821" s="174" t="b">
        <f>IFERROR(__xludf.DUMMYFUNCTION("""COMPUTED_VALUE"""),TRUE)</f>
        <v>1</v>
      </c>
      <c r="L821" s="174"/>
      <c r="M821" s="174"/>
      <c r="N821" s="174"/>
      <c r="O821" s="174"/>
      <c r="P821" s="174"/>
      <c r="Q821" s="174"/>
      <c r="R821" s="174"/>
      <c r="S821" s="174"/>
      <c r="T821" s="174"/>
      <c r="U821" s="174"/>
      <c r="V821" s="174"/>
      <c r="W821" s="174"/>
      <c r="X821" s="174"/>
      <c r="Y821" s="174"/>
      <c r="Z821" s="174"/>
    </row>
    <row r="822">
      <c r="A822" s="190" t="str">
        <f>IFERROR(__xludf.DUMMYFUNCTION("""COMPUTED_VALUE"""),"Foresight")</f>
        <v>Foresight</v>
      </c>
      <c r="B822" s="190" t="str">
        <f>IFERROR(__xludf.DUMMYFUNCTION("""COMPUTED_VALUE"""),"Normal")</f>
        <v>Normal</v>
      </c>
      <c r="C822" s="190" t="str">
        <f>IFERROR(__xludf.DUMMYFUNCTION("""COMPUTED_VALUE"""),"Status")</f>
        <v>Status</v>
      </c>
      <c r="D822" s="190" t="str">
        <f>IFERROR(__xludf.DUMMYFUNCTION("""COMPUTED_VALUE"""),"EOT")</f>
        <v>EOT</v>
      </c>
      <c r="E822" s="190" t="str">
        <f>IFERROR(__xludf.DUMMYFUNCTION("""COMPUTED_VALUE"""),"6, 1 Target, Swift Action")</f>
        <v>6, 1 Target, Swift Action</v>
      </c>
      <c r="F822" s="190" t="str">
        <f>IFERROR(__xludf.DUMMYFUNCTION("""COMPUTED_VALUE"""),"--")</f>
        <v>--</v>
      </c>
      <c r="G822" s="190" t="str">
        <f>IFERROR(__xludf.DUMMYFUNCTION("""COMPUTED_VALUE"""),"--")</f>
        <v>--</v>
      </c>
      <c r="H822" s="191" t="str">
        <f>IFERROR(__xludf.DUMMYFUNCTION("""COMPUTED_VALUE"""),"The Target gains a Foresight Mark. The user's Normal and Fighting Type Attacks may deal Damage Ghost Types with the Foresight Mark as if they were Neutral Effectiveness instead of Immune. Sureshot")</f>
        <v>The Target gains a Foresight Mark. The user's Normal and Fighting Type Attacks may deal Damage Ghost Types with the Foresight Mark as if they were Neutral Effectiveness instead of Immune. Sureshot</v>
      </c>
      <c r="I822" s="191" t="str">
        <f>IFERROR(__xludf.DUMMYFUNCTION("""COMPUTED_VALUE"""),"--")</f>
        <v>--</v>
      </c>
      <c r="J822" s="190" t="str">
        <f>IFERROR(__xludf.DUMMYFUNCTION("""COMPUTED_VALUE"""),"Tier 1")</f>
        <v>Tier 1</v>
      </c>
      <c r="K822" s="174" t="b">
        <f>IFERROR(__xludf.DUMMYFUNCTION("""COMPUTED_VALUE"""),FALSE)</f>
        <v>0</v>
      </c>
      <c r="L822" s="174"/>
      <c r="M822" s="174"/>
      <c r="N822" s="174"/>
      <c r="O822" s="174"/>
      <c r="P822" s="174"/>
      <c r="Q822" s="174"/>
      <c r="R822" s="174"/>
      <c r="S822" s="174"/>
      <c r="T822" s="174"/>
      <c r="U822" s="174"/>
      <c r="V822" s="174"/>
      <c r="W822" s="174"/>
      <c r="X822" s="174"/>
      <c r="Y822" s="174"/>
      <c r="Z822" s="174"/>
    </row>
    <row r="823">
      <c r="A823" s="190" t="str">
        <f>IFERROR(__xludf.DUMMYFUNCTION("""COMPUTED_VALUE"""),"Frustration")</f>
        <v>Frustration</v>
      </c>
      <c r="B823" s="190" t="str">
        <f>IFERROR(__xludf.DUMMYFUNCTION("""COMPUTED_VALUE"""),"Normal")</f>
        <v>Normal</v>
      </c>
      <c r="C823" s="190" t="str">
        <f>IFERROR(__xludf.DUMMYFUNCTION("""COMPUTED_VALUE"""),"Physical")</f>
        <v>Physical</v>
      </c>
      <c r="D823" s="190" t="str">
        <f>IFERROR(__xludf.DUMMYFUNCTION("""COMPUTED_VALUE"""),"At-Will")</f>
        <v>At-Will</v>
      </c>
      <c r="E823" s="190" t="str">
        <f>IFERROR(__xludf.DUMMYFUNCTION("""COMPUTED_VALUE"""),"Melee, 1 Target")</f>
        <v>Melee, 1 Target</v>
      </c>
      <c r="F823" s="190">
        <f>IFERROR(__xludf.DUMMYFUNCTION("""COMPUTED_VALUE"""),3.0)</f>
        <v>3</v>
      </c>
      <c r="G823" s="190">
        <f>IFERROR(__xludf.DUMMYFUNCTION("""COMPUTED_VALUE"""),6.0)</f>
        <v>6</v>
      </c>
      <c r="H823" s="191" t="str">
        <f>IFERROR(__xludf.DUMMYFUNCTION("""COMPUTED_VALUE"""),"Add +3 DB to this Attack for each time the user was hit with an Attack since their last Turn and for each Mental Affliction they're affected by (Max DB 15)")</f>
        <v>Add +3 DB to this Attack for each time the user was hit with an Attack since their last Turn and for each Mental Affliction they're affected by (Max DB 15)</v>
      </c>
      <c r="I823" s="191" t="str">
        <f>IFERROR(__xludf.DUMMYFUNCTION("""COMPUTED_VALUE"""),"--")</f>
        <v>--</v>
      </c>
      <c r="J823" s="190" t="str">
        <f>IFERROR(__xludf.DUMMYFUNCTION("""COMPUTED_VALUE"""),"Tier 2")</f>
        <v>Tier 2</v>
      </c>
      <c r="K823" s="174" t="b">
        <f>IFERROR(__xludf.DUMMYFUNCTION("""COMPUTED_VALUE"""),TRUE)</f>
        <v>1</v>
      </c>
      <c r="L823" s="174"/>
      <c r="M823" s="174"/>
      <c r="N823" s="174"/>
      <c r="O823" s="174"/>
      <c r="P823" s="174"/>
      <c r="Q823" s="174"/>
      <c r="R823" s="174"/>
      <c r="S823" s="174"/>
      <c r="T823" s="174"/>
      <c r="U823" s="174"/>
      <c r="V823" s="174"/>
      <c r="W823" s="174"/>
      <c r="X823" s="174"/>
      <c r="Y823" s="174"/>
      <c r="Z823" s="174"/>
    </row>
    <row r="824">
      <c r="A824" s="190" t="str">
        <f>IFERROR(__xludf.DUMMYFUNCTION("""COMPUTED_VALUE"""),"Fury Attack")</f>
        <v>Fury Attack</v>
      </c>
      <c r="B824" s="190" t="str">
        <f>IFERROR(__xludf.DUMMYFUNCTION("""COMPUTED_VALUE"""),"Normal")</f>
        <v>Normal</v>
      </c>
      <c r="C824" s="190" t="str">
        <f>IFERROR(__xludf.DUMMYFUNCTION("""COMPUTED_VALUE"""),"Physical")</f>
        <v>Physical</v>
      </c>
      <c r="D824" s="190" t="str">
        <f>IFERROR(__xludf.DUMMYFUNCTION("""COMPUTED_VALUE"""),"At-Will")</f>
        <v>At-Will</v>
      </c>
      <c r="E824" s="190" t="str">
        <f>IFERROR(__xludf.DUMMYFUNCTION("""COMPUTED_VALUE"""),"Melee, 1 Target")</f>
        <v>Melee, 1 Target</v>
      </c>
      <c r="F824" s="190">
        <f>IFERROR(__xludf.DUMMYFUNCTION("""COMPUTED_VALUE"""),4.0)</f>
        <v>4</v>
      </c>
      <c r="G824" s="190">
        <f>IFERROR(__xludf.DUMMYFUNCTION("""COMPUTED_VALUE"""),3.0)</f>
        <v>3</v>
      </c>
      <c r="H824" s="191" t="str">
        <f>IFERROR(__xludf.DUMMYFUNCTION("""COMPUTED_VALUE"""),"If the user is Enraged, the Target is treated as Vulnerable against this Attack. Five Strike")</f>
        <v>If the user is Enraged, the Target is treated as Vulnerable against this Attack. Five Strike</v>
      </c>
      <c r="I824" s="191" t="str">
        <f>IFERROR(__xludf.DUMMYFUNCTION("""COMPUTED_VALUE"""),"--")</f>
        <v>--</v>
      </c>
      <c r="J824" s="190" t="str">
        <f>IFERROR(__xludf.DUMMYFUNCTION("""COMPUTED_VALUE"""),"Tier 1")</f>
        <v>Tier 1</v>
      </c>
      <c r="K824" s="174" t="b">
        <f>IFERROR(__xludf.DUMMYFUNCTION("""COMPUTED_VALUE"""),TRUE)</f>
        <v>1</v>
      </c>
      <c r="L824" s="174"/>
      <c r="M824" s="174"/>
      <c r="N824" s="174"/>
      <c r="O824" s="174"/>
      <c r="P824" s="174"/>
      <c r="Q824" s="174"/>
      <c r="R824" s="174"/>
      <c r="S824" s="174"/>
      <c r="T824" s="174"/>
      <c r="U824" s="174"/>
      <c r="V824" s="174"/>
      <c r="W824" s="174"/>
      <c r="X824" s="174"/>
      <c r="Y824" s="174"/>
      <c r="Z824" s="174"/>
    </row>
    <row r="825">
      <c r="A825" s="190" t="str">
        <f>IFERROR(__xludf.DUMMYFUNCTION("""COMPUTED_VALUE"""),"Fury Swipes")</f>
        <v>Fury Swipes</v>
      </c>
      <c r="B825" s="190" t="str">
        <f>IFERROR(__xludf.DUMMYFUNCTION("""COMPUTED_VALUE"""),"Normal")</f>
        <v>Normal</v>
      </c>
      <c r="C825" s="190" t="str">
        <f>IFERROR(__xludf.DUMMYFUNCTION("""COMPUTED_VALUE"""),"Physical")</f>
        <v>Physical</v>
      </c>
      <c r="D825" s="190" t="str">
        <f>IFERROR(__xludf.DUMMYFUNCTION("""COMPUTED_VALUE"""),"EOT")</f>
        <v>EOT</v>
      </c>
      <c r="E825" s="190" t="str">
        <f>IFERROR(__xludf.DUMMYFUNCTION("""COMPUTED_VALUE"""),"Melee, 1 Target")</f>
        <v>Melee, 1 Target</v>
      </c>
      <c r="F825" s="190">
        <f>IFERROR(__xludf.DUMMYFUNCTION("""COMPUTED_VALUE"""),4.0)</f>
        <v>4</v>
      </c>
      <c r="G825" s="190">
        <f>IFERROR(__xludf.DUMMYFUNCTION("""COMPUTED_VALUE"""),4.0)</f>
        <v>4</v>
      </c>
      <c r="H825" s="191" t="str">
        <f>IFERROR(__xludf.DUMMYFUNCTION("""COMPUTED_VALUE"""),"If Fury Swipes hits at least 4 times, the Target becomes Wounded. Five Strike")</f>
        <v>If Fury Swipes hits at least 4 times, the Target becomes Wounded. Five Strike</v>
      </c>
      <c r="I825" s="191" t="str">
        <f>IFERROR(__xludf.DUMMYFUNCTION("""COMPUTED_VALUE"""),"--")</f>
        <v>--</v>
      </c>
      <c r="J825" s="190" t="str">
        <f>IFERROR(__xludf.DUMMYFUNCTION("""COMPUTED_VALUE"""),"Tier 1")</f>
        <v>Tier 1</v>
      </c>
      <c r="K825" s="174" t="b">
        <f>IFERROR(__xludf.DUMMYFUNCTION("""COMPUTED_VALUE"""),TRUE)</f>
        <v>1</v>
      </c>
      <c r="L825" s="174"/>
      <c r="M825" s="174"/>
      <c r="N825" s="174"/>
      <c r="O825" s="174"/>
      <c r="P825" s="174"/>
      <c r="Q825" s="174"/>
      <c r="R825" s="174"/>
      <c r="S825" s="174"/>
      <c r="T825" s="174"/>
      <c r="U825" s="174"/>
      <c r="V825" s="174"/>
      <c r="W825" s="174"/>
      <c r="X825" s="174"/>
      <c r="Y825" s="174"/>
      <c r="Z825" s="174"/>
    </row>
    <row r="826">
      <c r="A826" s="190" t="str">
        <f>IFERROR(__xludf.DUMMYFUNCTION("""COMPUTED_VALUE"""),"Giga Impact")</f>
        <v>Giga Impact</v>
      </c>
      <c r="B826" s="190" t="str">
        <f>IFERROR(__xludf.DUMMYFUNCTION("""COMPUTED_VALUE"""),"Normal")</f>
        <v>Normal</v>
      </c>
      <c r="C826" s="190" t="str">
        <f>IFERROR(__xludf.DUMMYFUNCTION("""COMPUTED_VALUE"""),"Physical")</f>
        <v>Physical</v>
      </c>
      <c r="D826" s="190" t="str">
        <f>IFERROR(__xludf.DUMMYFUNCTION("""COMPUTED_VALUE"""),"Scene")</f>
        <v>Scene</v>
      </c>
      <c r="E826" s="190" t="str">
        <f>IFERROR(__xludf.DUMMYFUNCTION("""COMPUTED_VALUE"""),"Melee, 1 Target, Full Action, Dash")</f>
        <v>Melee, 1 Target, Full Action, Dash</v>
      </c>
      <c r="F826" s="190">
        <f>IFERROR(__xludf.DUMMYFUNCTION("""COMPUTED_VALUE"""),5.0)</f>
        <v>5</v>
      </c>
      <c r="G826" s="190">
        <f>IFERROR(__xludf.DUMMYFUNCTION("""COMPUTED_VALUE"""),15.0)</f>
        <v>15</v>
      </c>
      <c r="H826" s="191" t="str">
        <f>IFERROR(__xludf.DUMMYFUNCTION("""COMPUTED_VALUE"""),"If this Attack is used through the Dash Keyword and the user is larger than the Target, this Attack is also treated as one step more Effective but cannot surpass 1.5x Effectiveness. Smite")</f>
        <v>If this Attack is used through the Dash Keyword and the user is larger than the Target, this Attack is also treated as one step more Effective but cannot surpass 1.5x Effectiveness. Smite</v>
      </c>
      <c r="I826" s="191" t="str">
        <f>IFERROR(__xludf.DUMMYFUNCTION("""COMPUTED_VALUE"""),"--")</f>
        <v>--</v>
      </c>
      <c r="J826" s="190" t="str">
        <f>IFERROR(__xludf.DUMMYFUNCTION("""COMPUTED_VALUE"""),"Tier 3")</f>
        <v>Tier 3</v>
      </c>
      <c r="K826" s="174" t="b">
        <f>IFERROR(__xludf.DUMMYFUNCTION("""COMPUTED_VALUE"""),TRUE)</f>
        <v>1</v>
      </c>
      <c r="L826" s="174"/>
      <c r="M826" s="174"/>
      <c r="N826" s="174"/>
      <c r="O826" s="174"/>
      <c r="P826" s="174"/>
      <c r="Q826" s="174"/>
      <c r="R826" s="174"/>
      <c r="S826" s="174"/>
      <c r="T826" s="174"/>
      <c r="U826" s="174"/>
      <c r="V826" s="174"/>
      <c r="W826" s="174"/>
      <c r="X826" s="174"/>
      <c r="Y826" s="174"/>
      <c r="Z826" s="174"/>
    </row>
    <row r="827">
      <c r="A827" s="190" t="str">
        <f>IFERROR(__xludf.DUMMYFUNCTION("""COMPUTED_VALUE"""),"Glare")</f>
        <v>Glare</v>
      </c>
      <c r="B827" s="190" t="str">
        <f>IFERROR(__xludf.DUMMYFUNCTION("""COMPUTED_VALUE"""),"Normal")</f>
        <v>Normal</v>
      </c>
      <c r="C827" s="190" t="str">
        <f>IFERROR(__xludf.DUMMYFUNCTION("""COMPUTED_VALUE"""),"Status")</f>
        <v>Status</v>
      </c>
      <c r="D827" s="190" t="str">
        <f>IFERROR(__xludf.DUMMYFUNCTION("""COMPUTED_VALUE"""),"Scene x2")</f>
        <v>Scene x2</v>
      </c>
      <c r="E827" s="190" t="str">
        <f>IFERROR(__xludf.DUMMYFUNCTION("""COMPUTED_VALUE"""),"3, 1 Target, Social, Versatile")</f>
        <v>3, 1 Target, Social, Versatile</v>
      </c>
      <c r="F827" s="190">
        <f>IFERROR(__xludf.DUMMYFUNCTION("""COMPUTED_VALUE"""),4.0)</f>
        <v>4</v>
      </c>
      <c r="G827" s="190" t="str">
        <f>IFERROR(__xludf.DUMMYFUNCTION("""COMPUTED_VALUE"""),"--")</f>
        <v>--</v>
      </c>
      <c r="H827" s="191" t="str">
        <f>IFERROR(__xludf.DUMMYFUNCTION("""COMPUTED_VALUE"""),"The Target becomes Trapped. If this Attack hits, they also become Paralyzed. Spirit Surge.")</f>
        <v>The Target becomes Trapped. If this Attack hits, they also become Paralyzed. Spirit Surge.</v>
      </c>
      <c r="I827" s="191" t="str">
        <f>IFERROR(__xludf.DUMMYFUNCTION("""COMPUTED_VALUE"""),"The Target becomes Trapped. ")</f>
        <v>The Target becomes Trapped. </v>
      </c>
      <c r="J827" s="190" t="str">
        <f>IFERROR(__xludf.DUMMYFUNCTION("""COMPUTED_VALUE"""),"Tier 2")</f>
        <v>Tier 2</v>
      </c>
      <c r="K827" s="174" t="b">
        <f>IFERROR(__xludf.DUMMYFUNCTION("""COMPUTED_VALUE"""),TRUE)</f>
        <v>1</v>
      </c>
      <c r="L827" s="174"/>
      <c r="M827" s="174"/>
      <c r="N827" s="174"/>
      <c r="O827" s="174"/>
      <c r="P827" s="174"/>
      <c r="Q827" s="174"/>
      <c r="R827" s="174"/>
      <c r="S827" s="174"/>
      <c r="T827" s="174"/>
      <c r="U827" s="174"/>
      <c r="V827" s="174"/>
      <c r="W827" s="174"/>
      <c r="X827" s="174"/>
      <c r="Y827" s="174"/>
      <c r="Z827" s="174"/>
    </row>
    <row r="828">
      <c r="A828" s="190" t="str">
        <f>IFERROR(__xludf.DUMMYFUNCTION("""COMPUTED_VALUE"""),"Growl")</f>
        <v>Growl</v>
      </c>
      <c r="B828" s="190" t="str">
        <f>IFERROR(__xludf.DUMMYFUNCTION("""COMPUTED_VALUE"""),"Normal")</f>
        <v>Normal</v>
      </c>
      <c r="C828" s="190" t="str">
        <f>IFERROR(__xludf.DUMMYFUNCTION("""COMPUTED_VALUE"""),"Status")</f>
        <v>Status</v>
      </c>
      <c r="D828" s="190" t="str">
        <f>IFERROR(__xludf.DUMMYFUNCTION("""COMPUTED_VALUE"""),"EOT")</f>
        <v>EOT</v>
      </c>
      <c r="E828" s="190" t="str">
        <f>IFERROR(__xludf.DUMMYFUNCTION("""COMPUTED_VALUE"""),"Burst 2, Sonic, Social, Versatile")</f>
        <v>Burst 2, Sonic, Social, Versatile</v>
      </c>
      <c r="F828" s="190">
        <f>IFERROR(__xludf.DUMMYFUNCTION("""COMPUTED_VALUE"""),4.0)</f>
        <v>4</v>
      </c>
      <c r="G828" s="190" t="str">
        <f>IFERROR(__xludf.DUMMYFUNCTION("""COMPUTED_VALUE"""),"--")</f>
        <v>--</v>
      </c>
      <c r="H828" s="191" t="str">
        <f>IFERROR(__xludf.DUMMYFUNCTION("""COMPUTED_VALUE"""),"All Targets lose -2 CS in Attack or Special Attack (Choose for each). On a roll of 16+  they become Suppressed. Friendly.")</f>
        <v>All Targets lose -2 CS in Attack or Special Attack (Choose for each). On a roll of 16+  they become Suppressed. Friendly.</v>
      </c>
      <c r="I828" s="191" t="str">
        <f>IFERROR(__xludf.DUMMYFUNCTION("""COMPUTED_VALUE"""),"All Targets lose -1 CS in Attack or Special Attack. Friendly.")</f>
        <v>All Targets lose -1 CS in Attack or Special Attack. Friendly.</v>
      </c>
      <c r="J828" s="190" t="str">
        <f>IFERROR(__xludf.DUMMYFUNCTION("""COMPUTED_VALUE"""),"Tier 1")</f>
        <v>Tier 1</v>
      </c>
      <c r="K828" s="174" t="b">
        <f>IFERROR(__xludf.DUMMYFUNCTION("""COMPUTED_VALUE"""),TRUE)</f>
        <v>1</v>
      </c>
      <c r="L828" s="174"/>
      <c r="M828" s="174"/>
      <c r="N828" s="174"/>
      <c r="O828" s="174"/>
      <c r="P828" s="174"/>
      <c r="Q828" s="174"/>
      <c r="R828" s="174"/>
      <c r="S828" s="174"/>
      <c r="T828" s="174"/>
      <c r="U828" s="174"/>
      <c r="V828" s="174"/>
      <c r="W828" s="174"/>
      <c r="X828" s="174"/>
      <c r="Y828" s="174"/>
      <c r="Z828" s="174"/>
    </row>
    <row r="829">
      <c r="A829" s="190" t="str">
        <f>IFERROR(__xludf.DUMMYFUNCTION("""COMPUTED_VALUE"""),"Growth")</f>
        <v>Growth</v>
      </c>
      <c r="B829" s="190" t="str">
        <f>IFERROR(__xludf.DUMMYFUNCTION("""COMPUTED_VALUE"""),"Normal")</f>
        <v>Normal</v>
      </c>
      <c r="C829" s="190" t="str">
        <f>IFERROR(__xludf.DUMMYFUNCTION("""COMPUTED_VALUE"""),"Status")</f>
        <v>Status</v>
      </c>
      <c r="D829" s="190" t="str">
        <f>IFERROR(__xludf.DUMMYFUNCTION("""COMPUTED_VALUE"""),"EOT")</f>
        <v>EOT</v>
      </c>
      <c r="E829" s="190" t="str">
        <f>IFERROR(__xludf.DUMMYFUNCTION("""COMPUTED_VALUE"""),"Self, Versatile")</f>
        <v>Self, Versatile</v>
      </c>
      <c r="F829" s="190" t="str">
        <f>IFERROR(__xludf.DUMMYFUNCTION("""COMPUTED_VALUE"""),"--")</f>
        <v>--</v>
      </c>
      <c r="G829" s="190" t="str">
        <f>IFERROR(__xludf.DUMMYFUNCTION("""COMPUTED_VALUE"""),"--")</f>
        <v>--</v>
      </c>
      <c r="H829" s="191" t="str">
        <f>IFERROR(__xludf.DUMMYFUNCTION("""COMPUTED_VALUE"""),"The user gains +2 CS in a Stat of their choice and a Tick of Temporary Hit Points.")</f>
        <v>The user gains +2 CS in a Stat of their choice and a Tick of Temporary Hit Points.</v>
      </c>
      <c r="I829" s="191" t="str">
        <f>IFERROR(__xludf.DUMMYFUNCTION("""COMPUTED_VALUE"""),"The user gains +1 CS to a Stat of their Choice. Growth may only be used this way if the Weather is Sunny.")</f>
        <v>The user gains +1 CS to a Stat of their Choice. Growth may only be used this way if the Weather is Sunny.</v>
      </c>
      <c r="J829" s="190" t="str">
        <f>IFERROR(__xludf.DUMMYFUNCTION("""COMPUTED_VALUE"""),"Tier 1")</f>
        <v>Tier 1</v>
      </c>
      <c r="K829" s="174" t="b">
        <f>IFERROR(__xludf.DUMMYFUNCTION("""COMPUTED_VALUE"""),TRUE)</f>
        <v>1</v>
      </c>
      <c r="L829" s="174"/>
      <c r="M829" s="174"/>
      <c r="N829" s="174"/>
      <c r="O829" s="174"/>
      <c r="P829" s="174"/>
      <c r="Q829" s="174"/>
      <c r="R829" s="174"/>
      <c r="S829" s="174"/>
      <c r="T829" s="174"/>
      <c r="U829" s="174"/>
      <c r="V829" s="174"/>
      <c r="W829" s="174"/>
      <c r="X829" s="174"/>
      <c r="Y829" s="174"/>
      <c r="Z829" s="174"/>
    </row>
    <row r="830">
      <c r="A830" s="190" t="str">
        <f>IFERROR(__xludf.DUMMYFUNCTION("""COMPUTED_VALUE"""),"Harden")</f>
        <v>Harden</v>
      </c>
      <c r="B830" s="190" t="str">
        <f>IFERROR(__xludf.DUMMYFUNCTION("""COMPUTED_VALUE"""),"Normal")</f>
        <v>Normal</v>
      </c>
      <c r="C830" s="190" t="str">
        <f>IFERROR(__xludf.DUMMYFUNCTION("""COMPUTED_VALUE"""),"Status")</f>
        <v>Status</v>
      </c>
      <c r="D830" s="190" t="str">
        <f>IFERROR(__xludf.DUMMYFUNCTION("""COMPUTED_VALUE"""),"EOT")</f>
        <v>EOT</v>
      </c>
      <c r="E830" s="190" t="str">
        <f>IFERROR(__xludf.DUMMYFUNCTION("""COMPUTED_VALUE"""),"Self, Coat, Versatile")</f>
        <v>Self, Coat, Versatile</v>
      </c>
      <c r="F830" s="190" t="str">
        <f>IFERROR(__xludf.DUMMYFUNCTION("""COMPUTED_VALUE"""),"--")</f>
        <v>--</v>
      </c>
      <c r="G830" s="190" t="str">
        <f>IFERROR(__xludf.DUMMYFUNCTION("""COMPUTED_VALUE"""),"--")</f>
        <v>--</v>
      </c>
      <c r="H830" s="191" t="str">
        <f>IFERROR(__xludf.DUMMYFUNCTION("""COMPUTED_VALUE"""),"The user’s Defense is raised by +2 CS and the user gains a Hardened Coat. The user may expend the Hardened Coat as a Reaction when hit by a Physical Attack to gain DR against that Attack, equal to the user’s Tick Value.")</f>
        <v>The user’s Defense is raised by +2 CS and the user gains a Hardened Coat. The user may expend the Hardened Coat as a Reaction when hit by a Physical Attack to gain DR against that Attack, equal to the user’s Tick Value.</v>
      </c>
      <c r="I830" s="191" t="str">
        <f>IFERROR(__xludf.DUMMYFUNCTION("""COMPUTED_VALUE"""),"The user gains a Hardened Coat. The user may expend the Hardened Coat as a Free Action when hit by a Physical Attack to gain DR against that Attack, equal to the user’s Tick Value.")</f>
        <v>The user gains a Hardened Coat. The user may expend the Hardened Coat as a Free Action when hit by a Physical Attack to gain DR against that Attack, equal to the user’s Tick Value.</v>
      </c>
      <c r="J830" s="190" t="str">
        <f>IFERROR(__xludf.DUMMYFUNCTION("""COMPUTED_VALUE"""),"Tier 1")</f>
        <v>Tier 1</v>
      </c>
      <c r="K830" s="174" t="b">
        <f>IFERROR(__xludf.DUMMYFUNCTION("""COMPUTED_VALUE"""),TRUE)</f>
        <v>1</v>
      </c>
      <c r="L830" s="174"/>
      <c r="M830" s="174"/>
      <c r="N830" s="174"/>
      <c r="O830" s="174"/>
      <c r="P830" s="174"/>
      <c r="Q830" s="174"/>
      <c r="R830" s="174"/>
      <c r="S830" s="174"/>
      <c r="T830" s="174"/>
      <c r="U830" s="174"/>
      <c r="V830" s="174"/>
      <c r="W830" s="174"/>
      <c r="X830" s="174"/>
      <c r="Y830" s="174"/>
      <c r="Z830" s="174"/>
    </row>
    <row r="831">
      <c r="A831" s="190" t="str">
        <f>IFERROR(__xludf.DUMMYFUNCTION("""COMPUTED_VALUE"""),"Headbutt")</f>
        <v>Headbutt</v>
      </c>
      <c r="B831" s="190" t="str">
        <f>IFERROR(__xludf.DUMMYFUNCTION("""COMPUTED_VALUE"""),"Normal")</f>
        <v>Normal</v>
      </c>
      <c r="C831" s="190" t="str">
        <f>IFERROR(__xludf.DUMMYFUNCTION("""COMPUTED_VALUE"""),"Physical")</f>
        <v>Physical</v>
      </c>
      <c r="D831" s="190" t="str">
        <f>IFERROR(__xludf.DUMMYFUNCTION("""COMPUTED_VALUE"""),"EOT")</f>
        <v>EOT</v>
      </c>
      <c r="E831" s="190" t="str">
        <f>IFERROR(__xludf.DUMMYFUNCTION("""COMPUTED_VALUE"""),"Melee, 1 Target, Dash")</f>
        <v>Melee, 1 Target, Dash</v>
      </c>
      <c r="F831" s="190">
        <f>IFERROR(__xludf.DUMMYFUNCTION("""COMPUTED_VALUE"""),2.0)</f>
        <v>2</v>
      </c>
      <c r="G831" s="190">
        <f>IFERROR(__xludf.DUMMYFUNCTION("""COMPUTED_VALUE"""),7.0)</f>
        <v>7</v>
      </c>
      <c r="H831" s="191" t="str">
        <f>IFERROR(__xludf.DUMMYFUNCTION("""COMPUTED_VALUE"""),"On a roll of 16+, the Target becomes Tripped. If the Dash Keyword is Activated, this Attack has the Slide 2 (Away) Keyword.")</f>
        <v>On a roll of 16+, the Target becomes Tripped. If the Dash Keyword is Activated, this Attack has the Slide 2 (Away) Keyword.</v>
      </c>
      <c r="I831" s="191" t="str">
        <f>IFERROR(__xludf.DUMMYFUNCTION("""COMPUTED_VALUE"""),"--")</f>
        <v>--</v>
      </c>
      <c r="J831" s="190" t="str">
        <f>IFERROR(__xludf.DUMMYFUNCTION("""COMPUTED_VALUE"""),"Tier 1")</f>
        <v>Tier 1</v>
      </c>
      <c r="K831" s="174" t="b">
        <f>IFERROR(__xludf.DUMMYFUNCTION("""COMPUTED_VALUE"""),TRUE)</f>
        <v>1</v>
      </c>
      <c r="L831" s="174"/>
      <c r="M831" s="174"/>
      <c r="N831" s="174"/>
      <c r="O831" s="174"/>
      <c r="P831" s="174"/>
      <c r="Q831" s="174"/>
      <c r="R831" s="174"/>
      <c r="S831" s="174"/>
      <c r="T831" s="174"/>
      <c r="U831" s="174"/>
      <c r="V831" s="174"/>
      <c r="W831" s="174"/>
      <c r="X831" s="174"/>
      <c r="Y831" s="174"/>
      <c r="Z831" s="174"/>
    </row>
    <row r="832">
      <c r="A832" s="190" t="str">
        <f>IFERROR(__xludf.DUMMYFUNCTION("""COMPUTED_VALUE"""),"Head Charge")</f>
        <v>Head Charge</v>
      </c>
      <c r="B832" s="190" t="str">
        <f>IFERROR(__xludf.DUMMYFUNCTION("""COMPUTED_VALUE"""),"Normal")</f>
        <v>Normal</v>
      </c>
      <c r="C832" s="190" t="str">
        <f>IFERROR(__xludf.DUMMYFUNCTION("""COMPUTED_VALUE"""),"Physical")</f>
        <v>Physical</v>
      </c>
      <c r="D832" s="190" t="str">
        <f>IFERROR(__xludf.DUMMYFUNCTION("""COMPUTED_VALUE"""),"Scene x2")</f>
        <v>Scene x2</v>
      </c>
      <c r="E832" s="190" t="str">
        <f>IFERROR(__xludf.DUMMYFUNCTION("""COMPUTED_VALUE"""),"Melee, 1 Target, Dash, Recoil 1/3")</f>
        <v>Melee, 1 Target, Dash, Recoil 1/3</v>
      </c>
      <c r="F832" s="190">
        <f>IFERROR(__xludf.DUMMYFUNCTION("""COMPUTED_VALUE"""),3.0)</f>
        <v>3</v>
      </c>
      <c r="G832" s="190">
        <f>IFERROR(__xludf.DUMMYFUNCTION("""COMPUTED_VALUE"""),12.0)</f>
        <v>12</v>
      </c>
      <c r="H832" s="191" t="str">
        <f>IFERROR(__xludf.DUMMYFUNCTION("""COMPUTED_VALUE"""),"If the Dash Keyword is Activated, this Attack has the Slide 3 (Away) Keyword and the Recoil Keyword is ignored.")</f>
        <v>If the Dash Keyword is Activated, this Attack has the Slide 3 (Away) Keyword and the Recoil Keyword is ignored.</v>
      </c>
      <c r="I832" s="191" t="str">
        <f>IFERROR(__xludf.DUMMYFUNCTION("""COMPUTED_VALUE"""),"--")</f>
        <v>--</v>
      </c>
      <c r="J832" s="190" t="str">
        <f>IFERROR(__xludf.DUMMYFUNCTION("""COMPUTED_VALUE"""),"Tier 3")</f>
        <v>Tier 3</v>
      </c>
      <c r="K832" s="174" t="b">
        <f>IFERROR(__xludf.DUMMYFUNCTION("""COMPUTED_VALUE"""),TRUE)</f>
        <v>1</v>
      </c>
      <c r="L832" s="174"/>
      <c r="M832" s="174"/>
      <c r="N832" s="174"/>
      <c r="O832" s="174"/>
      <c r="P832" s="174"/>
      <c r="Q832" s="174"/>
      <c r="R832" s="174"/>
      <c r="S832" s="174"/>
      <c r="T832" s="174"/>
      <c r="U832" s="174"/>
      <c r="V832" s="174"/>
      <c r="W832" s="174"/>
      <c r="X832" s="174"/>
      <c r="Y832" s="174"/>
      <c r="Z832" s="174"/>
    </row>
    <row r="833">
      <c r="A833" s="190" t="str">
        <f>IFERROR(__xludf.DUMMYFUNCTION("""COMPUTED_VALUE"""),"Heal Bell")</f>
        <v>Heal Bell</v>
      </c>
      <c r="B833" s="190" t="str">
        <f>IFERROR(__xludf.DUMMYFUNCTION("""COMPUTED_VALUE"""),"Normal")</f>
        <v>Normal</v>
      </c>
      <c r="C833" s="190" t="str">
        <f>IFERROR(__xludf.DUMMYFUNCTION("""COMPUTED_VALUE"""),"Status")</f>
        <v>Status</v>
      </c>
      <c r="D833" s="190" t="str">
        <f>IFERROR(__xludf.DUMMYFUNCTION("""COMPUTED_VALUE"""),"Scene x2")</f>
        <v>Scene x2</v>
      </c>
      <c r="E833" s="190" t="str">
        <f>IFERROR(__xludf.DUMMYFUNCTION("""COMPUTED_VALUE"""),"Burst 3, Sonic, Healing, Versatile")</f>
        <v>Burst 3, Sonic, Healing, Versatile</v>
      </c>
      <c r="F833" s="190" t="str">
        <f>IFERROR(__xludf.DUMMYFUNCTION("""COMPUTED_VALUE"""),"--")</f>
        <v>--</v>
      </c>
      <c r="G833" s="190" t="str">
        <f>IFERROR(__xludf.DUMMYFUNCTION("""COMPUTED_VALUE"""),"--")</f>
        <v>--</v>
      </c>
      <c r="H833" s="191" t="str">
        <f>IFERROR(__xludf.DUMMYFUNCTION("""COMPUTED_VALUE"""),"Choose Physical or Mental. Allies within the Range of this Attack are cured of all their Afflictions that match your chosen Category.")</f>
        <v>Choose Physical or Mental. Allies within the Range of this Attack are cured of all their Afflictions that match your chosen Category.</v>
      </c>
      <c r="I833" s="191" t="str">
        <f>IFERROR(__xludf.DUMMYFUNCTION("""COMPUTED_VALUE"""),"All Targets are cured of one Status Affliction of their choice. If used this way, its Range is changed to Burst 1.")</f>
        <v>All Targets are cured of one Status Affliction of their choice. If used this way, its Range is changed to Burst 1.</v>
      </c>
      <c r="J833" s="190" t="str">
        <f>IFERROR(__xludf.DUMMYFUNCTION("""COMPUTED_VALUE"""),"Tier 2")</f>
        <v>Tier 2</v>
      </c>
      <c r="K833" s="174" t="b">
        <f>IFERROR(__xludf.DUMMYFUNCTION("""COMPUTED_VALUE"""),TRUE)</f>
        <v>1</v>
      </c>
      <c r="L833" s="174"/>
      <c r="M833" s="174"/>
      <c r="N833" s="174"/>
      <c r="O833" s="174"/>
      <c r="P833" s="174"/>
      <c r="Q833" s="174"/>
      <c r="R833" s="174"/>
      <c r="S833" s="174"/>
      <c r="T833" s="174"/>
      <c r="U833" s="174"/>
      <c r="V833" s="174"/>
      <c r="W833" s="174"/>
      <c r="X833" s="174"/>
      <c r="Y833" s="174"/>
      <c r="Z833" s="174"/>
    </row>
    <row r="834">
      <c r="A834" s="190" t="str">
        <f>IFERROR(__xludf.DUMMYFUNCTION("""COMPUTED_VALUE"""),"Helping Hand")</f>
        <v>Helping Hand</v>
      </c>
      <c r="B834" s="190" t="str">
        <f>IFERROR(__xludf.DUMMYFUNCTION("""COMPUTED_VALUE"""),"Normal")</f>
        <v>Normal</v>
      </c>
      <c r="C834" s="190" t="str">
        <f>IFERROR(__xludf.DUMMYFUNCTION("""COMPUTED_VALUE"""),"Status")</f>
        <v>Status</v>
      </c>
      <c r="D834" s="190" t="str">
        <f>IFERROR(__xludf.DUMMYFUNCTION("""COMPUTED_VALUE"""),"EOT")</f>
        <v>EOT</v>
      </c>
      <c r="E834" s="190" t="str">
        <f>IFERROR(__xludf.DUMMYFUNCTION("""COMPUTED_VALUE"""),"4, 1 Target, Versatile")</f>
        <v>4, 1 Target, Versatile</v>
      </c>
      <c r="F834" s="190" t="str">
        <f>IFERROR(__xludf.DUMMYFUNCTION("""COMPUTED_VALUE"""),"--")</f>
        <v>--</v>
      </c>
      <c r="G834" s="190" t="str">
        <f>IFERROR(__xludf.DUMMYFUNCTION("""COMPUTED_VALUE"""),"--")</f>
        <v>--</v>
      </c>
      <c r="H834" s="191" t="str">
        <f>IFERROR(__xludf.DUMMYFUNCTION("""COMPUTED_VALUE"""),"Choose one of the following Effects to apply to the Target.
■ They are cured of a Status Affliction
■ They roll their next Accuracy Roll twice, taking either result
■ Their next Damaging Attack also adds half of your corresponding Attack Stat as a Damage "&amp;"Bonus.")</f>
        <v>Choose one of the following Effects to apply to the Target.
■ They are cured of a Status Affliction
■ They roll their next Accuracy Roll twice, taking either result
■ Their next Damaging Attack also adds half of your corresponding Attack Stat as a Damage Bonus.</v>
      </c>
      <c r="I834" s="191" t="str">
        <f>IFERROR(__xludf.DUMMYFUNCTION("""COMPUTED_VALUE"""),"The Target gains +2 to their next Accuracy Roll or Save Check of your choice, or +3 if they're Adjacent to the user.")</f>
        <v>The Target gains +2 to their next Accuracy Roll or Save Check of your choice, or +3 if they're Adjacent to the user.</v>
      </c>
      <c r="J834" s="190" t="str">
        <f>IFERROR(__xludf.DUMMYFUNCTION("""COMPUTED_VALUE"""),"Tier 1")</f>
        <v>Tier 1</v>
      </c>
      <c r="K834" s="174" t="b">
        <f>IFERROR(__xludf.DUMMYFUNCTION("""COMPUTED_VALUE"""),FALSE)</f>
        <v>0</v>
      </c>
      <c r="L834" s="174"/>
      <c r="M834" s="174"/>
      <c r="N834" s="174"/>
      <c r="O834" s="174"/>
      <c r="P834" s="174"/>
      <c r="Q834" s="174"/>
      <c r="R834" s="174"/>
      <c r="S834" s="174"/>
      <c r="T834" s="174"/>
      <c r="U834" s="174"/>
      <c r="V834" s="174"/>
      <c r="W834" s="174"/>
      <c r="X834" s="174"/>
      <c r="Y834" s="174"/>
      <c r="Z834" s="174"/>
    </row>
    <row r="835">
      <c r="A835" s="190" t="str">
        <f>IFERROR(__xludf.DUMMYFUNCTION("""COMPUTED_VALUE"""),"Hidden Power")</f>
        <v>Hidden Power</v>
      </c>
      <c r="B835" s="190" t="str">
        <f>IFERROR(__xludf.DUMMYFUNCTION("""COMPUTED_VALUE"""),"Normal")</f>
        <v>Normal</v>
      </c>
      <c r="C835" s="190" t="str">
        <f>IFERROR(__xludf.DUMMYFUNCTION("""COMPUTED_VALUE"""),"Special")</f>
        <v>Special</v>
      </c>
      <c r="D835" s="190" t="str">
        <f>IFERROR(__xludf.DUMMYFUNCTION("""COMPUTED_VALUE"""),"EOT")</f>
        <v>EOT</v>
      </c>
      <c r="E835" s="190" t="str">
        <f>IFERROR(__xludf.DUMMYFUNCTION("""COMPUTED_VALUE"""),"Burst 1")</f>
        <v>Burst 1</v>
      </c>
      <c r="F835" s="190">
        <f>IFERROR(__xludf.DUMMYFUNCTION("""COMPUTED_VALUE"""),5.0)</f>
        <v>5</v>
      </c>
      <c r="G835" s="190">
        <f>IFERROR(__xludf.DUMMYFUNCTION("""COMPUTED_VALUE"""),7.0)</f>
        <v>7</v>
      </c>
      <c r="H835" s="191" t="str">
        <f>IFERROR(__xludf.DUMMYFUNCTION("""COMPUTED_VALUE"""),"When a Pokémon first obtains the Attack Hidden Power, roll 1d20. Hidden Power’s Elemental Type will be changed from Normal to Bug on a result of 1; Dark on a 2; Dragon on a 3; Electric on a 4; Fairy on a 5; Fighting on a 6; Fire on a 7; Flying on a 8; Gho"&amp;"st on a 9; Grass on a 10; Ground on a 11; Ice on a 12; Normal on a 13; Poison on a 14; Psychic on a 15; Rock on a 16; Steel on a 17; Water on a 18; and on a 19 or 20, reroll until you roll another number. This effect is permanent – if Hidden Power is forg"&amp;"otten and relearned, the chosen Type remains the same.")</f>
        <v>When a Pokémon first obtains the Attack Hidden Power, roll 1d20. Hidden Power’s Elemental Type will be changed from Normal to Bug on a result of 1; Dark on a 2; Dragon on a 3; Electric on a 4; Fairy on a 5; Fighting on a 6; Fire on a 7; Flying on a 8; Ghost on a 9; Grass on a 10; Ground on a 11; Ice on a 12; Normal on a 13; Poison on a 14; Psychic on a 15; Rock on a 16; Steel on a 17; Water on a 18; and on a 19 or 20, reroll until you roll another number. This effect is permanent – if Hidden Power is forgotten and relearned, the chosen Type remains the same.</v>
      </c>
      <c r="I835" s="191" t="str">
        <f>IFERROR(__xludf.DUMMYFUNCTION("""COMPUTED_VALUE"""),"--")</f>
        <v>--</v>
      </c>
      <c r="J835" s="190" t="str">
        <f>IFERROR(__xludf.DUMMYFUNCTION("""COMPUTED_VALUE"""),"Tier 1")</f>
        <v>Tier 1</v>
      </c>
      <c r="K835" s="174" t="b">
        <f>IFERROR(__xludf.DUMMYFUNCTION("""COMPUTED_VALUE"""),TRUE)</f>
        <v>1</v>
      </c>
      <c r="L835" s="174"/>
      <c r="M835" s="174"/>
      <c r="N835" s="174"/>
      <c r="O835" s="174"/>
      <c r="P835" s="174"/>
      <c r="Q835" s="174"/>
      <c r="R835" s="174"/>
      <c r="S835" s="174"/>
      <c r="T835" s="174"/>
      <c r="U835" s="174"/>
      <c r="V835" s="174"/>
      <c r="W835" s="174"/>
      <c r="X835" s="174"/>
      <c r="Y835" s="174"/>
      <c r="Z835" s="174"/>
    </row>
    <row r="836">
      <c r="A836" s="190" t="str">
        <f>IFERROR(__xludf.DUMMYFUNCTION("""COMPUTED_VALUE"""),"Hold Hands")</f>
        <v>Hold Hands</v>
      </c>
      <c r="B836" s="190" t="str">
        <f>IFERROR(__xludf.DUMMYFUNCTION("""COMPUTED_VALUE"""),"Normal")</f>
        <v>Normal</v>
      </c>
      <c r="C836" s="190" t="str">
        <f>IFERROR(__xludf.DUMMYFUNCTION("""COMPUTED_VALUE"""),"Status")</f>
        <v>Status</v>
      </c>
      <c r="D836" s="190" t="str">
        <f>IFERROR(__xludf.DUMMYFUNCTION("""COMPUTED_VALUE"""),"Scene x2")</f>
        <v>Scene x2</v>
      </c>
      <c r="E836" s="190" t="str">
        <f>IFERROR(__xludf.DUMMYFUNCTION("""COMPUTED_VALUE"""),"Melee, 1 Target, Versatile")</f>
        <v>Melee, 1 Target, Versatile</v>
      </c>
      <c r="F836" s="190" t="str">
        <f>IFERROR(__xludf.DUMMYFUNCTION("""COMPUTED_VALUE"""),"--")</f>
        <v>--</v>
      </c>
      <c r="G836" s="190" t="str">
        <f>IFERROR(__xludf.DUMMYFUNCTION("""COMPUTED_VALUE"""),"--")</f>
        <v>--</v>
      </c>
      <c r="H836" s="191" t="str">
        <f>IFERROR(__xludf.DUMMYFUNCTION("""COMPUTED_VALUE"""),"The Target and the user each have a +4 Bonus to their next Save Check and gain three ticks of Temporary Hit Points.")</f>
        <v>The Target and the user each have a +4 Bonus to their next Save Check and gain three ticks of Temporary Hit Points.</v>
      </c>
      <c r="I836" s="191" t="str">
        <f>IFERROR(__xludf.DUMMYFUNCTION("""COMPUTED_VALUE"""),"The Target gains two Ticks of Temporary Hit Points.")</f>
        <v>The Target gains two Ticks of Temporary Hit Points.</v>
      </c>
      <c r="J836" s="190" t="str">
        <f>IFERROR(__xludf.DUMMYFUNCTION("""COMPUTED_VALUE"""),"Tier 2")</f>
        <v>Tier 2</v>
      </c>
      <c r="K836" s="174" t="b">
        <f>IFERROR(__xludf.DUMMYFUNCTION("""COMPUTED_VALUE"""),TRUE)</f>
        <v>1</v>
      </c>
      <c r="L836" s="174"/>
      <c r="M836" s="174"/>
      <c r="N836" s="174"/>
      <c r="O836" s="174"/>
      <c r="P836" s="174"/>
      <c r="Q836" s="174"/>
      <c r="R836" s="174"/>
      <c r="S836" s="174"/>
      <c r="T836" s="174"/>
      <c r="U836" s="174"/>
      <c r="V836" s="174"/>
      <c r="W836" s="174"/>
      <c r="X836" s="174"/>
      <c r="Y836" s="174"/>
      <c r="Z836" s="174"/>
    </row>
    <row r="837">
      <c r="A837" s="190" t="str">
        <f>IFERROR(__xludf.DUMMYFUNCTION("""COMPUTED_VALUE"""),"Horn Attack")</f>
        <v>Horn Attack</v>
      </c>
      <c r="B837" s="190" t="str">
        <f>IFERROR(__xludf.DUMMYFUNCTION("""COMPUTED_VALUE"""),"Normal")</f>
        <v>Normal</v>
      </c>
      <c r="C837" s="190" t="str">
        <f>IFERROR(__xludf.DUMMYFUNCTION("""COMPUTED_VALUE"""),"Physical")</f>
        <v>Physical</v>
      </c>
      <c r="D837" s="190" t="str">
        <f>IFERROR(__xludf.DUMMYFUNCTION("""COMPUTED_VALUE"""),"At-Will")</f>
        <v>At-Will</v>
      </c>
      <c r="E837" s="190" t="str">
        <f>IFERROR(__xludf.DUMMYFUNCTION("""COMPUTED_VALUE"""),"Melee, 1 Target, Dash")</f>
        <v>Melee, 1 Target, Dash</v>
      </c>
      <c r="F837" s="190">
        <f>IFERROR(__xludf.DUMMYFUNCTION("""COMPUTED_VALUE"""),2.0)</f>
        <v>2</v>
      </c>
      <c r="G837" s="190">
        <f>IFERROR(__xludf.DUMMYFUNCTION("""COMPUTED_VALUE"""),7.0)</f>
        <v>7</v>
      </c>
      <c r="H837" s="191" t="str">
        <f>IFERROR(__xludf.DUMMYFUNCTION("""COMPUTED_VALUE"""),"On a roll of 18+, the Target becomes Wounded. If the Dash Keyword was Activated, it becomes a 15+ Effect Range and this has the Smite Keyword.")</f>
        <v>On a roll of 18+, the Target becomes Wounded. If the Dash Keyword was Activated, it becomes a 15+ Effect Range and this has the Smite Keyword.</v>
      </c>
      <c r="I837" s="191" t="str">
        <f>IFERROR(__xludf.DUMMYFUNCTION("""COMPUTED_VALUE"""),"--")</f>
        <v>--</v>
      </c>
      <c r="J837" s="190" t="str">
        <f>IFERROR(__xludf.DUMMYFUNCTION("""COMPUTED_VALUE"""),"Tier 1")</f>
        <v>Tier 1</v>
      </c>
      <c r="K837" s="174" t="b">
        <f>IFERROR(__xludf.DUMMYFUNCTION("""COMPUTED_VALUE"""),TRUE)</f>
        <v>1</v>
      </c>
      <c r="L837" s="174"/>
      <c r="M837" s="174"/>
      <c r="N837" s="174"/>
      <c r="O837" s="174"/>
      <c r="P837" s="174"/>
      <c r="Q837" s="174"/>
      <c r="R837" s="174"/>
      <c r="S837" s="174"/>
      <c r="T837" s="174"/>
      <c r="U837" s="174"/>
      <c r="V837" s="174"/>
      <c r="W837" s="174"/>
      <c r="X837" s="174"/>
      <c r="Y837" s="174"/>
      <c r="Z837" s="174"/>
    </row>
    <row r="838">
      <c r="A838" s="190" t="str">
        <f>IFERROR(__xludf.DUMMYFUNCTION("""COMPUTED_VALUE"""),"Horn Drill")</f>
        <v>Horn Drill</v>
      </c>
      <c r="B838" s="190" t="str">
        <f>IFERROR(__xludf.DUMMYFUNCTION("""COMPUTED_VALUE"""),"Normal")</f>
        <v>Normal</v>
      </c>
      <c r="C838" s="190" t="str">
        <f>IFERROR(__xludf.DUMMYFUNCTION("""COMPUTED_VALUE"""),"Physical")</f>
        <v>Physical</v>
      </c>
      <c r="D838" s="190" t="str">
        <f>IFERROR(__xludf.DUMMYFUNCTION("""COMPUTED_VALUE"""),"Scene x2")</f>
        <v>Scene x2</v>
      </c>
      <c r="E838" s="190" t="str">
        <f>IFERROR(__xludf.DUMMYFUNCTION("""COMPUTED_VALUE"""),"Melee, 1 Target")</f>
        <v>Melee, 1 Target</v>
      </c>
      <c r="F838" s="190">
        <f>IFERROR(__xludf.DUMMYFUNCTION("""COMPUTED_VALUE"""),3.0)</f>
        <v>3</v>
      </c>
      <c r="G838" s="190">
        <f>IFERROR(__xludf.DUMMYFUNCTION("""COMPUTED_VALUE"""),10.0)</f>
        <v>10</v>
      </c>
      <c r="H838" s="191" t="str">
        <f>IFERROR(__xludf.DUMMYFUNCTION("""COMPUTED_VALUE"""),"The Target becomes Wounded. If the Target is already Wounded, this has a Critical Hit on a 16+.")</f>
        <v>The Target becomes Wounded. If the Target is already Wounded, this has a Critical Hit on a 16+.</v>
      </c>
      <c r="I838" s="191" t="str">
        <f>IFERROR(__xludf.DUMMYFUNCTION("""COMPUTED_VALUE"""),"--")</f>
        <v>--</v>
      </c>
      <c r="J838" s="190" t="str">
        <f>IFERROR(__xludf.DUMMYFUNCTION("""COMPUTED_VALUE"""),"Tier 3")</f>
        <v>Tier 3</v>
      </c>
      <c r="K838" s="174" t="b">
        <f>IFERROR(__xludf.DUMMYFUNCTION("""COMPUTED_VALUE"""),TRUE)</f>
        <v>1</v>
      </c>
      <c r="L838" s="174"/>
      <c r="M838" s="174"/>
      <c r="N838" s="174"/>
      <c r="O838" s="174"/>
      <c r="P838" s="174"/>
      <c r="Q838" s="174"/>
      <c r="R838" s="174"/>
      <c r="S838" s="174"/>
      <c r="T838" s="174"/>
      <c r="U838" s="174"/>
      <c r="V838" s="174"/>
      <c r="W838" s="174"/>
      <c r="X838" s="174"/>
      <c r="Y838" s="174"/>
      <c r="Z838" s="174"/>
    </row>
    <row r="839">
      <c r="A839" s="190" t="str">
        <f>IFERROR(__xludf.DUMMYFUNCTION("""COMPUTED_VALUE"""),"Howl")</f>
        <v>Howl</v>
      </c>
      <c r="B839" s="190" t="str">
        <f>IFERROR(__xludf.DUMMYFUNCTION("""COMPUTED_VALUE"""),"Normal")</f>
        <v>Normal</v>
      </c>
      <c r="C839" s="190" t="str">
        <f>IFERROR(__xludf.DUMMYFUNCTION("""COMPUTED_VALUE"""),"Status")</f>
        <v>Status</v>
      </c>
      <c r="D839" s="190" t="str">
        <f>IFERROR(__xludf.DUMMYFUNCTION("""COMPUTED_VALUE"""),"EOT")</f>
        <v>EOT</v>
      </c>
      <c r="E839" s="190" t="str">
        <f>IFERROR(__xludf.DUMMYFUNCTION("""COMPUTED_VALUE"""),"Burst 3, Sonic, Versatile")</f>
        <v>Burst 3, Sonic, Versatile</v>
      </c>
      <c r="F839" s="190" t="str">
        <f>IFERROR(__xludf.DUMMYFUNCTION("""COMPUTED_VALUE"""),"--")</f>
        <v>--</v>
      </c>
      <c r="G839" s="190" t="str">
        <f>IFERROR(__xludf.DUMMYFUNCTION("""COMPUTED_VALUE"""),"--")</f>
        <v>--</v>
      </c>
      <c r="H839" s="191" t="str">
        <f>IFERROR(__xludf.DUMMYFUNCTION("""COMPUTED_VALUE"""),"The user and all allies in this Range gain +1 CS in Attack and are cured of one Mental Affliction. ")</f>
        <v>The user and all allies in this Range gain +1 CS in Attack and are cured of one Mental Affliction. </v>
      </c>
      <c r="I839" s="191" t="str">
        <f>IFERROR(__xludf.DUMMYFUNCTION("""COMPUTED_VALUE"""),"All Targets are cured of a Mental Affliction. When used this way, Howl's Range is changed to Burst 1.")</f>
        <v>All Targets are cured of a Mental Affliction. When used this way, Howl's Range is changed to Burst 1.</v>
      </c>
      <c r="J839" s="190" t="str">
        <f>IFERROR(__xludf.DUMMYFUNCTION("""COMPUTED_VALUE"""),"Tier 1")</f>
        <v>Tier 1</v>
      </c>
      <c r="K839" s="174" t="b">
        <f>IFERROR(__xludf.DUMMYFUNCTION("""COMPUTED_VALUE"""),TRUE)</f>
        <v>1</v>
      </c>
      <c r="L839" s="174"/>
      <c r="M839" s="174"/>
      <c r="N839" s="174"/>
      <c r="O839" s="174"/>
      <c r="P839" s="174"/>
      <c r="Q839" s="174"/>
      <c r="R839" s="174"/>
      <c r="S839" s="174"/>
      <c r="T839" s="174"/>
      <c r="U839" s="174"/>
      <c r="V839" s="174"/>
      <c r="W839" s="174"/>
      <c r="X839" s="174"/>
      <c r="Y839" s="174"/>
      <c r="Z839" s="174"/>
    </row>
    <row r="840">
      <c r="A840" s="190" t="str">
        <f>IFERROR(__xludf.DUMMYFUNCTION("""COMPUTED_VALUE"""),"Hyper Beam")</f>
        <v>Hyper Beam</v>
      </c>
      <c r="B840" s="190" t="str">
        <f>IFERROR(__xludf.DUMMYFUNCTION("""COMPUTED_VALUE"""),"Normal")</f>
        <v>Normal</v>
      </c>
      <c r="C840" s="190" t="str">
        <f>IFERROR(__xludf.DUMMYFUNCTION("""COMPUTED_VALUE"""),"Special")</f>
        <v>Special</v>
      </c>
      <c r="D840" s="190" t="str">
        <f>IFERROR(__xludf.DUMMYFUNCTION("""COMPUTED_VALUE"""),"Scene")</f>
        <v>Scene</v>
      </c>
      <c r="E840" s="190" t="str">
        <f>IFERROR(__xludf.DUMMYFUNCTION("""COMPUTED_VALUE"""),"Line 4, Full Action, Set-Up")</f>
        <v>Line 4, Full Action, Set-Up</v>
      </c>
      <c r="F840" s="190">
        <f>IFERROR(__xludf.DUMMYFUNCTION("""COMPUTED_VALUE"""),6.0)</f>
        <v>6</v>
      </c>
      <c r="G840" s="190">
        <f>IFERROR(__xludf.DUMMYFUNCTION("""COMPUTED_VALUE"""),10.0)</f>
        <v>10</v>
      </c>
      <c r="H840" s="191" t="str">
        <f>IFERROR(__xludf.DUMMYFUNCTION("""COMPUTED_VALUE"""),"Charge Effect: While the user has Charge Tokens for Hyper Beam their Movement Value is set to 2 and cannot be raised.
Resolution Effect: For each Charge Token expended, increase the Line Range by +2 and the DB by +2. If you expended at least 2, this has "&amp;"the Sureshot Keyword. If you expended at least 3, this is always treated as Super Effective and cannot have its Effectiveness modified. Smite")</f>
        <v>Charge Effect: While the user has Charge Tokens for Hyper Beam their Movement Value is set to 2 and cannot be raised.
Resolution Effect: For each Charge Token expended, increase the Line Range by +2 and the DB by +2. If you expended at least 2, this has the Sureshot Keyword. If you expended at least 3, this is always treated as Super Effective and cannot have its Effectiveness modified. Smite</v>
      </c>
      <c r="I840" s="191" t="str">
        <f>IFERROR(__xludf.DUMMYFUNCTION("""COMPUTED_VALUE"""),"--")</f>
        <v>--</v>
      </c>
      <c r="J840" s="190" t="str">
        <f>IFERROR(__xludf.DUMMYFUNCTION("""COMPUTED_VALUE"""),"Tier 2")</f>
        <v>Tier 2</v>
      </c>
      <c r="K840" s="174" t="b">
        <f>IFERROR(__xludf.DUMMYFUNCTION("""COMPUTED_VALUE"""),TRUE)</f>
        <v>1</v>
      </c>
      <c r="L840" s="174"/>
      <c r="M840" s="174"/>
      <c r="N840" s="174"/>
      <c r="O840" s="174"/>
      <c r="P840" s="174"/>
      <c r="Q840" s="174"/>
      <c r="R840" s="174"/>
      <c r="S840" s="174"/>
      <c r="T840" s="174"/>
      <c r="U840" s="174"/>
      <c r="V840" s="174"/>
      <c r="W840" s="174"/>
      <c r="X840" s="174"/>
      <c r="Y840" s="174"/>
      <c r="Z840" s="174"/>
    </row>
    <row r="841">
      <c r="A841" s="190" t="str">
        <f>IFERROR(__xludf.DUMMYFUNCTION("""COMPUTED_VALUE"""),"Hyper Drill")</f>
        <v>Hyper Drill</v>
      </c>
      <c r="B841" s="190" t="str">
        <f>IFERROR(__xludf.DUMMYFUNCTION("""COMPUTED_VALUE"""),"Normal")</f>
        <v>Normal</v>
      </c>
      <c r="C841" s="190" t="str">
        <f>IFERROR(__xludf.DUMMYFUNCTION("""COMPUTED_VALUE"""),"Physical")</f>
        <v>Physical</v>
      </c>
      <c r="D841" s="190" t="str">
        <f>IFERROR(__xludf.DUMMYFUNCTION("""COMPUTED_VALUE"""),"Scene x2")</f>
        <v>Scene x2</v>
      </c>
      <c r="E841" s="190" t="str">
        <f>IFERROR(__xludf.DUMMYFUNCTION("""COMPUTED_VALUE"""),"Melee, 1 Target")</f>
        <v>Melee, 1 Target</v>
      </c>
      <c r="F841" s="190">
        <f>IFERROR(__xludf.DUMMYFUNCTION("""COMPUTED_VALUE"""),3.0)</f>
        <v>3</v>
      </c>
      <c r="G841" s="190">
        <f>IFERROR(__xludf.DUMMYFUNCTION("""COMPUTED_VALUE"""),10.0)</f>
        <v>10</v>
      </c>
      <c r="H841" s="191" t="str">
        <f>IFERROR(__xludf.DUMMYFUNCTION("""COMPUTED_VALUE"""),"This Attack ignores Damage Reduction and positive CS in Defense and Special Defense. Unstoppable. Smite")</f>
        <v>This Attack ignores Damage Reduction and positive CS in Defense and Special Defense. Unstoppable. Smite</v>
      </c>
      <c r="I841" s="191" t="str">
        <f>IFERROR(__xludf.DUMMYFUNCTION("""COMPUTED_VALUE"""),"--")</f>
        <v>--</v>
      </c>
      <c r="J841" s="190" t="str">
        <f>IFERROR(__xludf.DUMMYFUNCTION("""COMPUTED_VALUE"""),"Tier 3")</f>
        <v>Tier 3</v>
      </c>
      <c r="K841" s="174" t="b">
        <f>IFERROR(__xludf.DUMMYFUNCTION("""COMPUTED_VALUE"""),TRUE)</f>
        <v>1</v>
      </c>
      <c r="L841" s="174"/>
      <c r="M841" s="174"/>
      <c r="N841" s="174"/>
      <c r="O841" s="174"/>
      <c r="P841" s="174"/>
      <c r="Q841" s="174"/>
      <c r="R841" s="174"/>
      <c r="S841" s="174"/>
      <c r="T841" s="174"/>
      <c r="U841" s="174"/>
      <c r="V841" s="174"/>
      <c r="W841" s="174"/>
      <c r="X841" s="174"/>
      <c r="Y841" s="174"/>
      <c r="Z841" s="174"/>
    </row>
    <row r="842">
      <c r="A842" s="190" t="str">
        <f>IFERROR(__xludf.DUMMYFUNCTION("""COMPUTED_VALUE"""),"Hyper Fang")</f>
        <v>Hyper Fang</v>
      </c>
      <c r="B842" s="190" t="str">
        <f>IFERROR(__xludf.DUMMYFUNCTION("""COMPUTED_VALUE"""),"Normal")</f>
        <v>Normal</v>
      </c>
      <c r="C842" s="190" t="str">
        <f>IFERROR(__xludf.DUMMYFUNCTION("""COMPUTED_VALUE"""),"Physical")</f>
        <v>Physical</v>
      </c>
      <c r="D842" s="190" t="str">
        <f>IFERROR(__xludf.DUMMYFUNCTION("""COMPUTED_VALUE"""),"At-Will")</f>
        <v>At-Will</v>
      </c>
      <c r="E842" s="190" t="str">
        <f>IFERROR(__xludf.DUMMYFUNCTION("""COMPUTED_VALUE"""),"Melee, 1 Target, Bite")</f>
        <v>Melee, 1 Target, Bite</v>
      </c>
      <c r="F842" s="190">
        <f>IFERROR(__xludf.DUMMYFUNCTION("""COMPUTED_VALUE"""),3.0)</f>
        <v>3</v>
      </c>
      <c r="G842" s="190">
        <f>IFERROR(__xludf.DUMMYFUNCTION("""COMPUTED_VALUE"""),8.0)</f>
        <v>8</v>
      </c>
      <c r="H842" s="191" t="str">
        <f>IFERROR(__xludf.DUMMYFUNCTION("""COMPUTED_VALUE"""),"On a roll of 16+, the Target becomes Wounded.")</f>
        <v>On a roll of 16+, the Target becomes Wounded.</v>
      </c>
      <c r="I842" s="191" t="str">
        <f>IFERROR(__xludf.DUMMYFUNCTION("""COMPUTED_VALUE"""),"--")</f>
        <v>--</v>
      </c>
      <c r="J842" s="190" t="str">
        <f>IFERROR(__xludf.DUMMYFUNCTION("""COMPUTED_VALUE"""),"Tier 2")</f>
        <v>Tier 2</v>
      </c>
      <c r="K842" s="174" t="b">
        <f>IFERROR(__xludf.DUMMYFUNCTION("""COMPUTED_VALUE"""),TRUE)</f>
        <v>1</v>
      </c>
      <c r="L842" s="174"/>
      <c r="M842" s="174"/>
      <c r="N842" s="174"/>
      <c r="O842" s="174"/>
      <c r="P842" s="174"/>
      <c r="Q842" s="174"/>
      <c r="R842" s="174"/>
      <c r="S842" s="174"/>
      <c r="T842" s="174"/>
      <c r="U842" s="174"/>
      <c r="V842" s="174"/>
      <c r="W842" s="174"/>
      <c r="X842" s="174"/>
      <c r="Y842" s="174"/>
      <c r="Z842" s="174"/>
    </row>
    <row r="843">
      <c r="A843" s="190" t="str">
        <f>IFERROR(__xludf.DUMMYFUNCTION("""COMPUTED_VALUE"""),"Hyper Voice")</f>
        <v>Hyper Voice</v>
      </c>
      <c r="B843" s="190" t="str">
        <f>IFERROR(__xludf.DUMMYFUNCTION("""COMPUTED_VALUE"""),"Normal")</f>
        <v>Normal</v>
      </c>
      <c r="C843" s="190" t="str">
        <f>IFERROR(__xludf.DUMMYFUNCTION("""COMPUTED_VALUE"""),"Special")</f>
        <v>Special</v>
      </c>
      <c r="D843" s="190" t="str">
        <f>IFERROR(__xludf.DUMMYFUNCTION("""COMPUTED_VALUE"""),"Scene x2")</f>
        <v>Scene x2</v>
      </c>
      <c r="E843" s="190" t="str">
        <f>IFERROR(__xludf.DUMMYFUNCTION("""COMPUTED_VALUE"""),"Close Blast 2, Full Action, Sonic")</f>
        <v>Close Blast 2, Full Action, Sonic</v>
      </c>
      <c r="F843" s="190" t="str">
        <f>IFERROR(__xludf.DUMMYFUNCTION("""COMPUTED_VALUE"""),"--")</f>
        <v>--</v>
      </c>
      <c r="G843" s="190">
        <f>IFERROR(__xludf.DUMMYFUNCTION("""COMPUTED_VALUE"""),8.0)</f>
        <v>8</v>
      </c>
      <c r="H843" s="191" t="str">
        <f>IFERROR(__xludf.DUMMYFUNCTION("""COMPUTED_VALUE"""),"Slide 2 (Away), Sureshot.")</f>
        <v>Slide 2 (Away), Sureshot.</v>
      </c>
      <c r="I843" s="191" t="str">
        <f>IFERROR(__xludf.DUMMYFUNCTION("""COMPUTED_VALUE"""),"--")</f>
        <v>--</v>
      </c>
      <c r="J843" s="190" t="str">
        <f>IFERROR(__xludf.DUMMYFUNCTION("""COMPUTED_VALUE"""),"Tier 2")</f>
        <v>Tier 2</v>
      </c>
      <c r="K843" s="174" t="b">
        <f>IFERROR(__xludf.DUMMYFUNCTION("""COMPUTED_VALUE"""),TRUE)</f>
        <v>1</v>
      </c>
      <c r="L843" s="174"/>
      <c r="M843" s="174"/>
      <c r="N843" s="174"/>
      <c r="O843" s="174"/>
      <c r="P843" s="174"/>
      <c r="Q843" s="174"/>
      <c r="R843" s="174"/>
      <c r="S843" s="174"/>
      <c r="T843" s="174"/>
      <c r="U843" s="174"/>
      <c r="V843" s="174"/>
      <c r="W843" s="174"/>
      <c r="X843" s="174"/>
      <c r="Y843" s="174"/>
      <c r="Z843" s="174"/>
    </row>
    <row r="844">
      <c r="A844" s="190" t="str">
        <f>IFERROR(__xludf.DUMMYFUNCTION("""COMPUTED_VALUE"""),"Laser Focus")</f>
        <v>Laser Focus</v>
      </c>
      <c r="B844" s="190" t="str">
        <f>IFERROR(__xludf.DUMMYFUNCTION("""COMPUTED_VALUE"""),"Normal")</f>
        <v>Normal</v>
      </c>
      <c r="C844" s="190" t="str">
        <f>IFERROR(__xludf.DUMMYFUNCTION("""COMPUTED_VALUE"""),"Status")</f>
        <v>Status</v>
      </c>
      <c r="D844" s="190" t="str">
        <f>IFERROR(__xludf.DUMMYFUNCTION("""COMPUTED_VALUE"""),"Scene x2")</f>
        <v>Scene x2</v>
      </c>
      <c r="E844" s="190" t="str">
        <f>IFERROR(__xludf.DUMMYFUNCTION("""COMPUTED_VALUE"""),"Self, Coat, Versatile")</f>
        <v>Self, Coat, Versatile</v>
      </c>
      <c r="F844" s="190" t="str">
        <f>IFERROR(__xludf.DUMMYFUNCTION("""COMPUTED_VALUE"""),"--")</f>
        <v>--</v>
      </c>
      <c r="G844" s="190" t="str">
        <f>IFERROR(__xludf.DUMMYFUNCTION("""COMPUTED_VALUE"""),"--")</f>
        <v>--</v>
      </c>
      <c r="H844" s="191" t="str">
        <f>IFERROR(__xludf.DUMMYFUNCTION("""COMPUTED_VALUE"""),"The user gains a Focused Coat. Whenever the user hits a Damaging Attack, this Coat may be expended to treat it as if it were a Critical Hit. ")</f>
        <v>The user gains a Focused Coat. Whenever the user hits a Damaging Attack, this Coat may be expended to treat it as if it were a Critical Hit. </v>
      </c>
      <c r="I844" s="191" t="str">
        <f>IFERROR(__xludf.DUMMYFUNCTION("""COMPUTED_VALUE"""),"The user's next Damaging Attack gains a +3 to its Critical Hit Range.")</f>
        <v>The user's next Damaging Attack gains a +3 to its Critical Hit Range.</v>
      </c>
      <c r="J844" s="190" t="str">
        <f>IFERROR(__xludf.DUMMYFUNCTION("""COMPUTED_VALUE"""),"Tier 2")</f>
        <v>Tier 2</v>
      </c>
      <c r="K844" s="174" t="b">
        <f>IFERROR(__xludf.DUMMYFUNCTION("""COMPUTED_VALUE"""),TRUE)</f>
        <v>1</v>
      </c>
      <c r="L844" s="174"/>
      <c r="M844" s="174"/>
      <c r="N844" s="174"/>
      <c r="O844" s="174"/>
      <c r="P844" s="174"/>
      <c r="Q844" s="174"/>
      <c r="R844" s="174"/>
      <c r="S844" s="174"/>
      <c r="T844" s="174"/>
      <c r="U844" s="174"/>
      <c r="V844" s="174"/>
      <c r="W844" s="174"/>
      <c r="X844" s="174"/>
      <c r="Y844" s="174"/>
      <c r="Z844" s="174"/>
    </row>
    <row r="845">
      <c r="A845" s="190" t="str">
        <f>IFERROR(__xludf.DUMMYFUNCTION("""COMPUTED_VALUE"""),"Last Resort")</f>
        <v>Last Resort</v>
      </c>
      <c r="B845" s="190" t="str">
        <f>IFERROR(__xludf.DUMMYFUNCTION("""COMPUTED_VALUE"""),"Normal")</f>
        <v>Normal</v>
      </c>
      <c r="C845" s="190" t="str">
        <f>IFERROR(__xludf.DUMMYFUNCTION("""COMPUTED_VALUE"""),"Physical")</f>
        <v>Physical</v>
      </c>
      <c r="D845" s="190" t="str">
        <f>IFERROR(__xludf.DUMMYFUNCTION("""COMPUTED_VALUE"""),"Scene")</f>
        <v>Scene</v>
      </c>
      <c r="E845" s="190" t="str">
        <f>IFERROR(__xludf.DUMMYFUNCTION("""COMPUTED_VALUE"""),"Melee, 1 Target")</f>
        <v>Melee, 1 Target</v>
      </c>
      <c r="F845" s="190">
        <f>IFERROR(__xludf.DUMMYFUNCTION("""COMPUTED_VALUE"""),4.0)</f>
        <v>4</v>
      </c>
      <c r="G845" s="190">
        <f>IFERROR(__xludf.DUMMYFUNCTION("""COMPUTED_VALUE"""),15.0)</f>
        <v>15</v>
      </c>
      <c r="H845" s="191" t="str">
        <f>IFERROR(__xludf.DUMMYFUNCTION("""COMPUTED_VALUE"""),"After this Attack resolves, the user's Hit Points are set to 0 and they Faint. If the user is Surrounded or under 10% of their Maximum Hit Points, Last Resort is a Critical Hit on a roll of 15+. Smite")</f>
        <v>After this Attack resolves, the user's Hit Points are set to 0 and they Faint. If the user is Surrounded or under 10% of their Maximum Hit Points, Last Resort is a Critical Hit on a roll of 15+. Smite</v>
      </c>
      <c r="I845" s="191" t="str">
        <f>IFERROR(__xludf.DUMMYFUNCTION("""COMPUTED_VALUE"""),"--")</f>
        <v>--</v>
      </c>
      <c r="J845" s="190" t="str">
        <f>IFERROR(__xludf.DUMMYFUNCTION("""COMPUTED_VALUE"""),"Tier 3")</f>
        <v>Tier 3</v>
      </c>
      <c r="K845" s="174" t="b">
        <f>IFERROR(__xludf.DUMMYFUNCTION("""COMPUTED_VALUE"""),FALSE)</f>
        <v>0</v>
      </c>
      <c r="L845" s="174"/>
      <c r="M845" s="174"/>
      <c r="N845" s="174"/>
      <c r="O845" s="174"/>
      <c r="P845" s="174"/>
      <c r="Q845" s="174"/>
      <c r="R845" s="174"/>
      <c r="S845" s="174"/>
      <c r="T845" s="174"/>
      <c r="U845" s="174"/>
      <c r="V845" s="174"/>
      <c r="W845" s="174"/>
      <c r="X845" s="174"/>
      <c r="Y845" s="174"/>
      <c r="Z845" s="174"/>
    </row>
    <row r="846">
      <c r="A846" s="190" t="str">
        <f>IFERROR(__xludf.DUMMYFUNCTION("""COMPUTED_VALUE"""),"Leer")</f>
        <v>Leer</v>
      </c>
      <c r="B846" s="190" t="str">
        <f>IFERROR(__xludf.DUMMYFUNCTION("""COMPUTED_VALUE"""),"Normal")</f>
        <v>Normal</v>
      </c>
      <c r="C846" s="190" t="str">
        <f>IFERROR(__xludf.DUMMYFUNCTION("""COMPUTED_VALUE"""),"Status")</f>
        <v>Status</v>
      </c>
      <c r="D846" s="190" t="str">
        <f>IFERROR(__xludf.DUMMYFUNCTION("""COMPUTED_VALUE"""),"At-Will")</f>
        <v>At-Will</v>
      </c>
      <c r="E846" s="190" t="str">
        <f>IFERROR(__xludf.DUMMYFUNCTION("""COMPUTED_VALUE"""),"Close Blast 2, Social, Versatile")</f>
        <v>Close Blast 2, Social, Versatile</v>
      </c>
      <c r="F846" s="190" t="str">
        <f>IFERROR(__xludf.DUMMYFUNCTION("""COMPUTED_VALUE"""),"--")</f>
        <v>--</v>
      </c>
      <c r="G846" s="190" t="str">
        <f>IFERROR(__xludf.DUMMYFUNCTION("""COMPUTED_VALUE"""),"--")</f>
        <v>--</v>
      </c>
      <c r="H846" s="191" t="str">
        <f>IFERROR(__xludf.DUMMYFUNCTION("""COMPUTED_VALUE"""),"All Targets have their Attack or Defense lowered by -2 CS. Friendly, Slide 2 (Away), Sureshot.")</f>
        <v>All Targets have their Attack or Defense lowered by -2 CS. Friendly, Slide 2 (Away), Sureshot.</v>
      </c>
      <c r="I846" s="191" t="str">
        <f>IFERROR(__xludf.DUMMYFUNCTION("""COMPUTED_VALUE"""),"The user may make a Command or Intimidate Check opposed by each Target's Focus or Intimidate. Those who fail this Check are Slid up to 2m Away from the User. Sureshot.")</f>
        <v>The user may make a Command or Intimidate Check opposed by each Target's Focus or Intimidate. Those who fail this Check are Slid up to 2m Away from the User. Sureshot.</v>
      </c>
      <c r="J846" s="190" t="str">
        <f>IFERROR(__xludf.DUMMYFUNCTION("""COMPUTED_VALUE"""),"Tier 1")</f>
        <v>Tier 1</v>
      </c>
      <c r="K846" s="174" t="b">
        <f>IFERROR(__xludf.DUMMYFUNCTION("""COMPUTED_VALUE"""),TRUE)</f>
        <v>1</v>
      </c>
      <c r="L846" s="174"/>
      <c r="M846" s="174"/>
      <c r="N846" s="174"/>
      <c r="O846" s="174"/>
      <c r="P846" s="174"/>
      <c r="Q846" s="174"/>
      <c r="R846" s="174"/>
      <c r="S846" s="174"/>
      <c r="T846" s="174"/>
      <c r="U846" s="174"/>
      <c r="V846" s="174"/>
      <c r="W846" s="174"/>
      <c r="X846" s="174"/>
      <c r="Y846" s="174"/>
      <c r="Z846" s="174"/>
    </row>
    <row r="847">
      <c r="A847" s="190" t="str">
        <f>IFERROR(__xludf.DUMMYFUNCTION("""COMPUTED_VALUE"""),"Light Daze")</f>
        <v>Light Daze</v>
      </c>
      <c r="B847" s="190" t="str">
        <f>IFERROR(__xludf.DUMMYFUNCTION("""COMPUTED_VALUE"""),"Normal")</f>
        <v>Normal</v>
      </c>
      <c r="C847" s="190" t="str">
        <f>IFERROR(__xludf.DUMMYFUNCTION("""COMPUTED_VALUE"""),"Status")</f>
        <v>Status</v>
      </c>
      <c r="D847" s="190" t="str">
        <f>IFERROR(__xludf.DUMMYFUNCTION("""COMPUTED_VALUE"""),"Scene x2")</f>
        <v>Scene x2</v>
      </c>
      <c r="E847" s="190" t="str">
        <f>IFERROR(__xludf.DUMMYFUNCTION("""COMPUTED_VALUE"""),"Close Blast 2 or Burst 1; Versatile")</f>
        <v>Close Blast 2 or Burst 1; Versatile</v>
      </c>
      <c r="F847" s="190">
        <f>IFERROR(__xludf.DUMMYFUNCTION("""COMPUTED_VALUE"""),5.0)</f>
        <v>5</v>
      </c>
      <c r="G847" s="190" t="str">
        <f>IFERROR(__xludf.DUMMYFUNCTION("""COMPUTED_VALUE"""),"--")</f>
        <v>--</v>
      </c>
      <c r="H847" s="191" t="str">
        <f>IFERROR(__xludf.DUMMYFUNCTION("""COMPUTED_VALUE"""),"All Targets are Blinded until the end of their next turn.")</f>
        <v>All Targets are Blinded until the end of their next turn.</v>
      </c>
      <c r="I847" s="191" t="str">
        <f>IFERROR(__xludf.DUMMYFUNCTION("""COMPUTED_VALUE"""),"Same as the normal Effects, but the AC becomes 8. ")</f>
        <v>Same as the normal Effects, but the AC becomes 8. </v>
      </c>
      <c r="J847" s="190" t="str">
        <f>IFERROR(__xludf.DUMMYFUNCTION("""COMPUTED_VALUE"""),"Tier 2")</f>
        <v>Tier 2</v>
      </c>
      <c r="K847" s="174" t="b">
        <f>IFERROR(__xludf.DUMMYFUNCTION("""COMPUTED_VALUE"""),TRUE)</f>
        <v>1</v>
      </c>
      <c r="L847" s="174"/>
      <c r="M847" s="174"/>
      <c r="N847" s="174"/>
      <c r="O847" s="174"/>
      <c r="P847" s="174"/>
      <c r="Q847" s="174"/>
      <c r="R847" s="174"/>
      <c r="S847" s="174"/>
      <c r="T847" s="174"/>
      <c r="U847" s="174"/>
      <c r="V847" s="174"/>
      <c r="W847" s="174"/>
      <c r="X847" s="174"/>
      <c r="Y847" s="174"/>
      <c r="Z847" s="174"/>
    </row>
    <row r="848">
      <c r="A848" s="190" t="str">
        <f>IFERROR(__xludf.DUMMYFUNCTION("""COMPUTED_VALUE"""),"Lock-On")</f>
        <v>Lock-On</v>
      </c>
      <c r="B848" s="190" t="str">
        <f>IFERROR(__xludf.DUMMYFUNCTION("""COMPUTED_VALUE"""),"Normal")</f>
        <v>Normal</v>
      </c>
      <c r="C848" s="190" t="str">
        <f>IFERROR(__xludf.DUMMYFUNCTION("""COMPUTED_VALUE"""),"Status")</f>
        <v>Status</v>
      </c>
      <c r="D848" s="190" t="str">
        <f>IFERROR(__xludf.DUMMYFUNCTION("""COMPUTED_VALUE"""),"At-Will")</f>
        <v>At-Will</v>
      </c>
      <c r="E848" s="190" t="str">
        <f>IFERROR(__xludf.DUMMYFUNCTION("""COMPUTED_VALUE"""),"10, 1 Target, Versatile")</f>
        <v>10, 1 Target, Versatile</v>
      </c>
      <c r="F848" s="190" t="str">
        <f>IFERROR(__xludf.DUMMYFUNCTION("""COMPUTED_VALUE"""),"--")</f>
        <v>--</v>
      </c>
      <c r="G848" s="190" t="str">
        <f>IFERROR(__xludf.DUMMYFUNCTION("""COMPUTED_VALUE"""),"--")</f>
        <v>--</v>
      </c>
      <c r="H848" s="191" t="str">
        <f>IFERROR(__xludf.DUMMYFUNCTION("""COMPUTED_VALUE"""),"The Target becomes Marked with a Locked Mark. The next Attack that the user uses against the Target that requires an Accuracy Check has the Sureshot Keyword. The user gains +2 to Accuracy Rolls against Combatants with the Locked Mark. Sureshot.")</f>
        <v>The Target becomes Marked with a Locked Mark. The next Attack that the user uses against the Target that requires an Accuracy Check has the Sureshot Keyword. The user gains +2 to Accuracy Rolls against Combatants with the Locked Mark. Sureshot.</v>
      </c>
      <c r="I848" s="191" t="str">
        <f>IFERROR(__xludf.DUMMYFUNCTION("""COMPUTED_VALUE"""),"The user becomes Provoked by the Target until the end of your next Turn. While Provoked this way, you have a +3 bonus to Accuracy against them. Sureshot.")</f>
        <v>The user becomes Provoked by the Target until the end of your next Turn. While Provoked this way, you have a +3 bonus to Accuracy against them. Sureshot.</v>
      </c>
      <c r="J848" s="190" t="str">
        <f>IFERROR(__xludf.DUMMYFUNCTION("""COMPUTED_VALUE"""),"Tier 1")</f>
        <v>Tier 1</v>
      </c>
      <c r="K848" s="174" t="b">
        <f>IFERROR(__xludf.DUMMYFUNCTION("""COMPUTED_VALUE"""),TRUE)</f>
        <v>1</v>
      </c>
      <c r="L848" s="174"/>
      <c r="M848" s="174"/>
      <c r="N848" s="174"/>
      <c r="O848" s="174"/>
      <c r="P848" s="174"/>
      <c r="Q848" s="174"/>
      <c r="R848" s="174"/>
      <c r="S848" s="174"/>
      <c r="T848" s="174"/>
      <c r="U848" s="174"/>
      <c r="V848" s="174"/>
      <c r="W848" s="174"/>
      <c r="X848" s="174"/>
      <c r="Y848" s="174"/>
      <c r="Z848" s="174"/>
    </row>
    <row r="849">
      <c r="A849" s="190" t="str">
        <f>IFERROR(__xludf.DUMMYFUNCTION("""COMPUTED_VALUE"""),"Lovely Kiss")</f>
        <v>Lovely Kiss</v>
      </c>
      <c r="B849" s="190" t="str">
        <f>IFERROR(__xludf.DUMMYFUNCTION("""COMPUTED_VALUE"""),"Normal")</f>
        <v>Normal</v>
      </c>
      <c r="C849" s="190" t="str">
        <f>IFERROR(__xludf.DUMMYFUNCTION("""COMPUTED_VALUE"""),"Status")</f>
        <v>Status</v>
      </c>
      <c r="D849" s="190" t="str">
        <f>IFERROR(__xludf.DUMMYFUNCTION("""COMPUTED_VALUE"""),"Scene x2")</f>
        <v>Scene x2</v>
      </c>
      <c r="E849" s="190" t="str">
        <f>IFERROR(__xludf.DUMMYFUNCTION("""COMPUTED_VALUE"""),"6, 1 Target, Social, Versatile")</f>
        <v>6, 1 Target, Social, Versatile</v>
      </c>
      <c r="F849" s="190">
        <f>IFERROR(__xludf.DUMMYFUNCTION("""COMPUTED_VALUE"""),5.0)</f>
        <v>5</v>
      </c>
      <c r="G849" s="190" t="str">
        <f>IFERROR(__xludf.DUMMYFUNCTION("""COMPUTED_VALUE"""),"--")</f>
        <v>--</v>
      </c>
      <c r="H849" s="191" t="str">
        <f>IFERROR(__xludf.DUMMYFUNCTION("""COMPUTED_VALUE"""),"The Target becomes Drowsy. If the Target is Entranced, this Attack has the Sureshot Keyword.")</f>
        <v>The Target becomes Drowsy. If the Target is Entranced, this Attack has the Sureshot Keyword.</v>
      </c>
      <c r="I849" s="191" t="str">
        <f>IFERROR(__xludf.DUMMYFUNCTION("""COMPUTED_VALUE"""),"The Target becomes Drowsy. When used this way, the AC becomes 8 and the Range becomes Melee, 1 Target.")</f>
        <v>The Target becomes Drowsy. When used this way, the AC becomes 8 and the Range becomes Melee, 1 Target.</v>
      </c>
      <c r="J849" s="190" t="str">
        <f>IFERROR(__xludf.DUMMYFUNCTION("""COMPUTED_VALUE"""),"Tier 2")</f>
        <v>Tier 2</v>
      </c>
      <c r="K849" s="174" t="b">
        <f>IFERROR(__xludf.DUMMYFUNCTION("""COMPUTED_VALUE"""),TRUE)</f>
        <v>1</v>
      </c>
      <c r="L849" s="174"/>
      <c r="M849" s="174"/>
      <c r="N849" s="174"/>
      <c r="O849" s="174"/>
      <c r="P849" s="174"/>
      <c r="Q849" s="174"/>
      <c r="R849" s="174"/>
      <c r="S849" s="174"/>
      <c r="T849" s="174"/>
      <c r="U849" s="174"/>
      <c r="V849" s="174"/>
      <c r="W849" s="174"/>
      <c r="X849" s="174"/>
      <c r="Y849" s="174"/>
      <c r="Z849" s="174"/>
    </row>
    <row r="850">
      <c r="A850" s="190" t="str">
        <f>IFERROR(__xludf.DUMMYFUNCTION("""COMPUTED_VALUE"""),"Lucky Chant")</f>
        <v>Lucky Chant</v>
      </c>
      <c r="B850" s="190" t="str">
        <f>IFERROR(__xludf.DUMMYFUNCTION("""COMPUTED_VALUE"""),"Normal")</f>
        <v>Normal</v>
      </c>
      <c r="C850" s="190" t="str">
        <f>IFERROR(__xludf.DUMMYFUNCTION("""COMPUTED_VALUE"""),"Status")</f>
        <v>Status</v>
      </c>
      <c r="D850" s="190" t="str">
        <f>IFERROR(__xludf.DUMMYFUNCTION("""COMPUTED_VALUE"""),"Scene x2")</f>
        <v>Scene x2</v>
      </c>
      <c r="E850" s="190" t="str">
        <f>IFERROR(__xludf.DUMMYFUNCTION("""COMPUTED_VALUE"""),"Blessing, Versatile")</f>
        <v>Blessing, Versatile</v>
      </c>
      <c r="F850" s="190" t="str">
        <f>IFERROR(__xludf.DUMMYFUNCTION("""COMPUTED_VALUE"""),"--")</f>
        <v>--</v>
      </c>
      <c r="G850" s="190" t="str">
        <f>IFERROR(__xludf.DUMMYFUNCTION("""COMPUTED_VALUE"""),"--")</f>
        <v>--</v>
      </c>
      <c r="H850" s="191" t="str">
        <f>IFERROR(__xludf.DUMMYFUNCTION("""COMPUTED_VALUE"""),"Blessing - Any user affected by Lucky Chant may activate it as a Free Action when receiving a Critical Hit or when rolling a 5 or less on a d20. If they would receive a Critical Hit, the Attack instead deals damage as if it was not a Critical Hit. If they"&amp;" rolled a 5 or less, they may reroll it with a +2 Modifier. Lucky Chant may be Activated 3 times and then disappears. ")</f>
        <v>Blessing - Any user affected by Lucky Chant may activate it as a Free Action when receiving a Critical Hit or when rolling a 5 or less on a d20. If they would receive a Critical Hit, the Attack instead deals damage as if it was not a Critical Hit. If they rolled a 5 or less, they may reroll it with a +2 Modifier. Lucky Chant may be Activated 3 times and then disappears. </v>
      </c>
      <c r="I850" s="191" t="str">
        <f>IFERROR(__xludf.DUMMYFUNCTION("""COMPUTED_VALUE"""),"Same as the normal Effect, but it only has 1 Activation.")</f>
        <v>Same as the normal Effect, but it only has 1 Activation.</v>
      </c>
      <c r="J850" s="190" t="str">
        <f>IFERROR(__xludf.DUMMYFUNCTION("""COMPUTED_VALUE"""),"Tier 2")</f>
        <v>Tier 2</v>
      </c>
      <c r="K850" s="174" t="b">
        <f>IFERROR(__xludf.DUMMYFUNCTION("""COMPUTED_VALUE"""),TRUE)</f>
        <v>1</v>
      </c>
      <c r="L850" s="174"/>
      <c r="M850" s="174"/>
      <c r="N850" s="174"/>
      <c r="O850" s="174"/>
      <c r="P850" s="174"/>
      <c r="Q850" s="174"/>
      <c r="R850" s="174"/>
      <c r="S850" s="174"/>
      <c r="T850" s="174"/>
      <c r="U850" s="174"/>
      <c r="V850" s="174"/>
      <c r="W850" s="174"/>
      <c r="X850" s="174"/>
      <c r="Y850" s="174"/>
      <c r="Z850" s="174"/>
    </row>
    <row r="851">
      <c r="A851" s="190" t="str">
        <f>IFERROR(__xludf.DUMMYFUNCTION("""COMPUTED_VALUE"""),"Luster Shock")</f>
        <v>Luster Shock</v>
      </c>
      <c r="B851" s="190" t="str">
        <f>IFERROR(__xludf.DUMMYFUNCTION("""COMPUTED_VALUE"""),"Normal")</f>
        <v>Normal</v>
      </c>
      <c r="C851" s="190" t="str">
        <f>IFERROR(__xludf.DUMMYFUNCTION("""COMPUTED_VALUE"""),"Special")</f>
        <v>Special</v>
      </c>
      <c r="D851" s="190" t="str">
        <f>IFERROR(__xludf.DUMMYFUNCTION("""COMPUTED_VALUE"""),"EOT")</f>
        <v>EOT</v>
      </c>
      <c r="E851" s="190" t="str">
        <f>IFERROR(__xludf.DUMMYFUNCTION("""COMPUTED_VALUE"""),"5, 1 Target ")</f>
        <v>5, 1 Target </v>
      </c>
      <c r="F851" s="190">
        <f>IFERROR(__xludf.DUMMYFUNCTION("""COMPUTED_VALUE"""),4.0)</f>
        <v>4</v>
      </c>
      <c r="G851" s="190">
        <f>IFERROR(__xludf.DUMMYFUNCTION("""COMPUTED_VALUE"""),5.0)</f>
        <v>5</v>
      </c>
      <c r="H851" s="191" t="str">
        <f>IFERROR(__xludf.DUMMYFUNCTION("""COMPUTED_VALUE"""),"Double Strike.")</f>
        <v>Double Strike.</v>
      </c>
      <c r="I851" s="191" t="str">
        <f>IFERROR(__xludf.DUMMYFUNCTION("""COMPUTED_VALUE"""),"--")</f>
        <v>--</v>
      </c>
      <c r="J851" s="190" t="str">
        <f>IFERROR(__xludf.DUMMYFUNCTION("""COMPUTED_VALUE"""),"Tier 1")</f>
        <v>Tier 1</v>
      </c>
      <c r="K851" s="174" t="b">
        <f>IFERROR(__xludf.DUMMYFUNCTION("""COMPUTED_VALUE"""),TRUE)</f>
        <v>1</v>
      </c>
      <c r="L851" s="174"/>
      <c r="M851" s="174"/>
      <c r="N851" s="174"/>
      <c r="O851" s="174"/>
      <c r="P851" s="174"/>
      <c r="Q851" s="174"/>
      <c r="R851" s="174"/>
      <c r="S851" s="174"/>
      <c r="T851" s="174"/>
      <c r="U851" s="174"/>
      <c r="V851" s="174"/>
      <c r="W851" s="174"/>
      <c r="X851" s="174"/>
      <c r="Y851" s="174"/>
      <c r="Z851" s="174"/>
    </row>
    <row r="852">
      <c r="A852" s="190" t="str">
        <f>IFERROR(__xludf.DUMMYFUNCTION("""COMPUTED_VALUE"""),"Me First")</f>
        <v>Me First</v>
      </c>
      <c r="B852" s="190" t="str">
        <f>IFERROR(__xludf.DUMMYFUNCTION("""COMPUTED_VALUE"""),"Normal")</f>
        <v>Normal</v>
      </c>
      <c r="C852" s="190" t="str">
        <f>IFERROR(__xludf.DUMMYFUNCTION("""COMPUTED_VALUE"""),"Status")</f>
        <v>Status</v>
      </c>
      <c r="D852" s="190" t="str">
        <f>IFERROR(__xludf.DUMMYFUNCTION("""COMPUTED_VALUE"""),"Scene x2")</f>
        <v>Scene x2</v>
      </c>
      <c r="E852" s="190" t="str">
        <f>IFERROR(__xludf.DUMMYFUNCTION("""COMPUTED_VALUE"""),"Self, Trigger")</f>
        <v>Self, Trigger</v>
      </c>
      <c r="F852" s="190" t="str">
        <f>IFERROR(__xludf.DUMMYFUNCTION("""COMPUTED_VALUE"""),"--")</f>
        <v>--</v>
      </c>
      <c r="G852" s="190" t="str">
        <f>IFERROR(__xludf.DUMMYFUNCTION("""COMPUTED_VALUE"""),"--")</f>
        <v>--</v>
      </c>
      <c r="H852" s="191" t="str">
        <f>IFERROR(__xludf.DUMMYFUNCTION("""COMPUTED_VALUE"""),"Me First can only be used as a Reaction when an Enemy Targets the user with an Attack and the user has a higher Speed than them. You may use a Damaging Attack as a Standard Action, but only the Attacker can be a Target of this Attack. After this Attack re"&amp;"solves, the Triggering Attack resolves as normal unless they were to Faint. ")</f>
        <v>Me First can only be used as a Reaction when an Enemy Targets the user with an Attack and the user has a higher Speed than them. You may use a Damaging Attack as a Standard Action, but only the Attacker can be a Target of this Attack. After this Attack resolves, the Triggering Attack resolves as normal unless they were to Faint. </v>
      </c>
      <c r="I852" s="191" t="str">
        <f>IFERROR(__xludf.DUMMYFUNCTION("""COMPUTED_VALUE"""),"--")</f>
        <v>--</v>
      </c>
      <c r="J852" s="190" t="str">
        <f>IFERROR(__xludf.DUMMYFUNCTION("""COMPUTED_VALUE"""),"Tier 2")</f>
        <v>Tier 2</v>
      </c>
      <c r="K852" s="174" t="b">
        <f>IFERROR(__xludf.DUMMYFUNCTION("""COMPUTED_VALUE"""),FALSE)</f>
        <v>0</v>
      </c>
      <c r="L852" s="174"/>
      <c r="M852" s="174"/>
      <c r="N852" s="174"/>
      <c r="O852" s="174"/>
      <c r="P852" s="174"/>
      <c r="Q852" s="174"/>
      <c r="R852" s="174"/>
      <c r="S852" s="174"/>
      <c r="T852" s="174"/>
      <c r="U852" s="174"/>
      <c r="V852" s="174"/>
      <c r="W852" s="174"/>
      <c r="X852" s="174"/>
      <c r="Y852" s="174"/>
      <c r="Z852" s="174"/>
    </row>
    <row r="853">
      <c r="A853" s="190" t="str">
        <f>IFERROR(__xludf.DUMMYFUNCTION("""COMPUTED_VALUE"""),"Mean Look")</f>
        <v>Mean Look</v>
      </c>
      <c r="B853" s="190" t="str">
        <f>IFERROR(__xludf.DUMMYFUNCTION("""COMPUTED_VALUE"""),"Normal")</f>
        <v>Normal</v>
      </c>
      <c r="C853" s="190" t="str">
        <f>IFERROR(__xludf.DUMMYFUNCTION("""COMPUTED_VALUE"""),"Status")</f>
        <v>Status</v>
      </c>
      <c r="D853" s="190" t="str">
        <f>IFERROR(__xludf.DUMMYFUNCTION("""COMPUTED_VALUE"""),"Scene x2")</f>
        <v>Scene x2</v>
      </c>
      <c r="E853" s="190" t="str">
        <f>IFERROR(__xludf.DUMMYFUNCTION("""COMPUTED_VALUE"""),"3, 1 Targe or Close Blast 3, Social, Versatile")</f>
        <v>3, 1 Targe or Close Blast 3, Social, Versatile</v>
      </c>
      <c r="F853" s="190" t="str">
        <f>IFERROR(__xludf.DUMMYFUNCTION("""COMPUTED_VALUE"""),"--")</f>
        <v>--</v>
      </c>
      <c r="G853" s="190" t="str">
        <f>IFERROR(__xludf.DUMMYFUNCTION("""COMPUTED_VALUE"""),"--")</f>
        <v>--</v>
      </c>
      <c r="H853" s="191" t="str">
        <f>IFERROR(__xludf.DUMMYFUNCTION("""COMPUTED_VALUE"""),"All Targets become Trapped. Sureshot.")</f>
        <v>All Targets become Trapped. Sureshot.</v>
      </c>
      <c r="I853" s="191" t="str">
        <f>IFERROR(__xludf.DUMMYFUNCTION("""COMPUTED_VALUE"""),"Perform a Terrorize Maneuver against all Targets. All who fail the Opposed check become Trapped instead of the listed effects of the Terrorize Maneuver. Sureshot.")</f>
        <v>Perform a Terrorize Maneuver against all Targets. All who fail the Opposed check become Trapped instead of the listed effects of the Terrorize Maneuver. Sureshot.</v>
      </c>
      <c r="J853" s="190" t="str">
        <f>IFERROR(__xludf.DUMMYFUNCTION("""COMPUTED_VALUE"""),"Tier 2")</f>
        <v>Tier 2</v>
      </c>
      <c r="K853" s="174" t="b">
        <f>IFERROR(__xludf.DUMMYFUNCTION("""COMPUTED_VALUE"""),TRUE)</f>
        <v>1</v>
      </c>
      <c r="L853" s="174"/>
      <c r="M853" s="174"/>
      <c r="N853" s="174"/>
      <c r="O853" s="174"/>
      <c r="P853" s="174"/>
      <c r="Q853" s="174"/>
      <c r="R853" s="174"/>
      <c r="S853" s="174"/>
      <c r="T853" s="174"/>
      <c r="U853" s="174"/>
      <c r="V853" s="174"/>
      <c r="W853" s="174"/>
      <c r="X853" s="174"/>
      <c r="Y853" s="174"/>
      <c r="Z853" s="174"/>
    </row>
    <row r="854">
      <c r="A854" s="190" t="str">
        <f>IFERROR(__xludf.DUMMYFUNCTION("""COMPUTED_VALUE"""),"Mega Kick")</f>
        <v>Mega Kick</v>
      </c>
      <c r="B854" s="190" t="str">
        <f>IFERROR(__xludf.DUMMYFUNCTION("""COMPUTED_VALUE"""),"Normal")</f>
        <v>Normal</v>
      </c>
      <c r="C854" s="190" t="str">
        <f>IFERROR(__xludf.DUMMYFUNCTION("""COMPUTED_VALUE"""),"Physical")</f>
        <v>Physical</v>
      </c>
      <c r="D854" s="190" t="str">
        <f>IFERROR(__xludf.DUMMYFUNCTION("""COMPUTED_VALUE"""),"Scene x2")</f>
        <v>Scene x2</v>
      </c>
      <c r="E854" s="190" t="str">
        <f>IFERROR(__xludf.DUMMYFUNCTION("""COMPUTED_VALUE"""),"Melee, 1 Target")</f>
        <v>Melee, 1 Target</v>
      </c>
      <c r="F854" s="190">
        <f>IFERROR(__xludf.DUMMYFUNCTION("""COMPUTED_VALUE"""),4.0)</f>
        <v>4</v>
      </c>
      <c r="G854" s="190">
        <f>IFERROR(__xludf.DUMMYFUNCTION("""COMPUTED_VALUE"""),12.0)</f>
        <v>12</v>
      </c>
      <c r="H854" s="191" t="str">
        <f>IFERROR(__xludf.DUMMYFUNCTION("""COMPUTED_VALUE"""),"If the Target is Vulnerable, Mega Kick has the Sureshot Keyword. Smite")</f>
        <v>If the Target is Vulnerable, Mega Kick has the Sureshot Keyword. Smite</v>
      </c>
      <c r="I854" s="191" t="str">
        <f>IFERROR(__xludf.DUMMYFUNCTION("""COMPUTED_VALUE"""),"--")</f>
        <v>--</v>
      </c>
      <c r="J854" s="190" t="str">
        <f>IFERROR(__xludf.DUMMYFUNCTION("""COMPUTED_VALUE"""),"Tier 3")</f>
        <v>Tier 3</v>
      </c>
      <c r="K854" s="174" t="b">
        <f>IFERROR(__xludf.DUMMYFUNCTION("""COMPUTED_VALUE"""),TRUE)</f>
        <v>1</v>
      </c>
      <c r="L854" s="174"/>
      <c r="M854" s="174"/>
      <c r="N854" s="174"/>
      <c r="O854" s="174"/>
      <c r="P854" s="174"/>
      <c r="Q854" s="174"/>
      <c r="R854" s="174"/>
      <c r="S854" s="174"/>
      <c r="T854" s="174"/>
      <c r="U854" s="174"/>
      <c r="V854" s="174"/>
      <c r="W854" s="174"/>
      <c r="X854" s="174"/>
      <c r="Y854" s="174"/>
      <c r="Z854" s="174"/>
    </row>
    <row r="855">
      <c r="A855" s="190" t="str">
        <f>IFERROR(__xludf.DUMMYFUNCTION("""COMPUTED_VALUE"""),"Mega Punch")</f>
        <v>Mega Punch</v>
      </c>
      <c r="B855" s="190" t="str">
        <f>IFERROR(__xludf.DUMMYFUNCTION("""COMPUTED_VALUE"""),"Normal")</f>
        <v>Normal</v>
      </c>
      <c r="C855" s="190" t="str">
        <f>IFERROR(__xludf.DUMMYFUNCTION("""COMPUTED_VALUE"""),"Physical")</f>
        <v>Physical</v>
      </c>
      <c r="D855" s="190" t="str">
        <f>IFERROR(__xludf.DUMMYFUNCTION("""COMPUTED_VALUE"""),"At-Will")</f>
        <v>At-Will</v>
      </c>
      <c r="E855" s="190" t="str">
        <f>IFERROR(__xludf.DUMMYFUNCTION("""COMPUTED_VALUE"""),"Melee, 1 Target, Punch")</f>
        <v>Melee, 1 Target, Punch</v>
      </c>
      <c r="F855" s="190">
        <f>IFERROR(__xludf.DUMMYFUNCTION("""COMPUTED_VALUE"""),3.0)</f>
        <v>3</v>
      </c>
      <c r="G855" s="190">
        <f>IFERROR(__xludf.DUMMYFUNCTION("""COMPUTED_VALUE"""),8.0)</f>
        <v>8</v>
      </c>
      <c r="H855" s="191" t="str">
        <f>IFERROR(__xludf.DUMMYFUNCTION("""COMPUTED_VALUE"""),"Smite")</f>
        <v>Smite</v>
      </c>
      <c r="I855" s="191" t="str">
        <f>IFERROR(__xludf.DUMMYFUNCTION("""COMPUTED_VALUE"""),"--")</f>
        <v>--</v>
      </c>
      <c r="J855" s="190" t="str">
        <f>IFERROR(__xludf.DUMMYFUNCTION("""COMPUTED_VALUE"""),"Tier 2")</f>
        <v>Tier 2</v>
      </c>
      <c r="K855" s="174" t="b">
        <f>IFERROR(__xludf.DUMMYFUNCTION("""COMPUTED_VALUE"""),TRUE)</f>
        <v>1</v>
      </c>
      <c r="L855" s="174"/>
      <c r="M855" s="174"/>
      <c r="N855" s="174"/>
      <c r="O855" s="174"/>
      <c r="P855" s="174"/>
      <c r="Q855" s="174"/>
      <c r="R855" s="174"/>
      <c r="S855" s="174"/>
      <c r="T855" s="174"/>
      <c r="U855" s="174"/>
      <c r="V855" s="174"/>
      <c r="W855" s="174"/>
      <c r="X855" s="174"/>
      <c r="Y855" s="174"/>
      <c r="Z855" s="174"/>
    </row>
    <row r="856">
      <c r="A856" s="190" t="str">
        <f>IFERROR(__xludf.DUMMYFUNCTION("""COMPUTED_VALUE"""),"Metronome")</f>
        <v>Metronome</v>
      </c>
      <c r="B856" s="190" t="str">
        <f>IFERROR(__xludf.DUMMYFUNCTION("""COMPUTED_VALUE"""),"Normal")</f>
        <v>Normal</v>
      </c>
      <c r="C856" s="190" t="str">
        <f>IFERROR(__xludf.DUMMYFUNCTION("""COMPUTED_VALUE"""),"Status")</f>
        <v>Status</v>
      </c>
      <c r="D856" s="190" t="str">
        <f>IFERROR(__xludf.DUMMYFUNCTION("""COMPUTED_VALUE"""),"At-Will")</f>
        <v>At-Will</v>
      </c>
      <c r="E856" s="190" t="str">
        <f>IFERROR(__xludf.DUMMYFUNCTION("""COMPUTED_VALUE"""),"Self, Versatile")</f>
        <v>Self, Versatile</v>
      </c>
      <c r="F856" s="190" t="str">
        <f>IFERROR(__xludf.DUMMYFUNCTION("""COMPUTED_VALUE"""),"--")</f>
        <v>--</v>
      </c>
      <c r="G856" s="190" t="str">
        <f>IFERROR(__xludf.DUMMYFUNCTION("""COMPUTED_VALUE"""),"--")</f>
        <v>--</v>
      </c>
      <c r="H856" s="191" t="str">
        <f>IFERROR(__xludf.DUMMYFUNCTION("""COMPUTED_VALUE"""),"Your GM rolls an Attack on the Metronome Roller. The user may then Move with a Movement Action if able, then immediately use that rolled Attack. If the Attack is Damaging, the DB (Including Modifiers) cannot exceed 10. If it were to exceed this, it is tre"&amp;"ated as being DB 10 and cannot be modified. (Ex: If you’re Tier 1 and roll Earthquake as a Ground Type, it becomes DB 10). If the user can learn Tier 3 Attacks, this restriction is ignored")</f>
        <v>Your GM rolls an Attack on the Metronome Roller. The user may then Move with a Movement Action if able, then immediately use that rolled Attack. If the Attack is Damaging, the DB (Including Modifiers) cannot exceed 10. If it were to exceed this, it is treated as being DB 10 and cannot be modified. (Ex: If you’re Tier 1 and roll Earthquake as a Ground Type, it becomes DB 10). If the user can learn Tier 3 Attacks, this restriction is ignored</v>
      </c>
      <c r="I856" s="191" t="str">
        <f>IFERROR(__xludf.DUMMYFUNCTION("""COMPUTED_VALUE"""),"The next time you use Metronome, the GM rolls three times instead, and you choose which Attack to use.")</f>
        <v>The next time you use Metronome, the GM rolls three times instead, and you choose which Attack to use.</v>
      </c>
      <c r="J856" s="190" t="str">
        <f>IFERROR(__xludf.DUMMYFUNCTION("""COMPUTED_VALUE"""),"Tier 2")</f>
        <v>Tier 2</v>
      </c>
      <c r="K856" s="174" t="b">
        <f>IFERROR(__xludf.DUMMYFUNCTION("""COMPUTED_VALUE"""),FALSE)</f>
        <v>0</v>
      </c>
      <c r="L856" s="174"/>
      <c r="M856" s="174"/>
      <c r="N856" s="174"/>
      <c r="O856" s="174"/>
      <c r="P856" s="174"/>
      <c r="Q856" s="174"/>
      <c r="R856" s="174"/>
      <c r="S856" s="174"/>
      <c r="T856" s="174"/>
      <c r="U856" s="174"/>
      <c r="V856" s="174"/>
      <c r="W856" s="174"/>
      <c r="X856" s="174"/>
      <c r="Y856" s="174"/>
      <c r="Z856" s="174"/>
    </row>
    <row r="857">
      <c r="A857" s="190" t="str">
        <f>IFERROR(__xludf.DUMMYFUNCTION("""COMPUTED_VALUE"""),"Milk Drink")</f>
        <v>Milk Drink</v>
      </c>
      <c r="B857" s="190" t="str">
        <f>IFERROR(__xludf.DUMMYFUNCTION("""COMPUTED_VALUE"""),"Normal")</f>
        <v>Normal</v>
      </c>
      <c r="C857" s="190" t="str">
        <f>IFERROR(__xludf.DUMMYFUNCTION("""COMPUTED_VALUE"""),"Status")</f>
        <v>Status</v>
      </c>
      <c r="D857" s="190" t="str">
        <f>IFERROR(__xludf.DUMMYFUNCTION("""COMPUTED_VALUE"""),"Scene")</f>
        <v>Scene</v>
      </c>
      <c r="E857" s="190" t="str">
        <f>IFERROR(__xludf.DUMMYFUNCTION("""COMPUTED_VALUE"""),"Melee, 1 Target; or Self")</f>
        <v>Melee, 1 Target; or Self</v>
      </c>
      <c r="F857" s="190" t="str">
        <f>IFERROR(__xludf.DUMMYFUNCTION("""COMPUTED_VALUE"""),"--")</f>
        <v>--</v>
      </c>
      <c r="G857" s="190" t="str">
        <f>IFERROR(__xludf.DUMMYFUNCTION("""COMPUTED_VALUE"""),"--")</f>
        <v>--</v>
      </c>
      <c r="H857" s="191" t="str">
        <f>IFERROR(__xludf.DUMMYFUNCTION("""COMPUTED_VALUE"""),"The Target restores 5 Ticks of Hit Points.")</f>
        <v>The Target restores 5 Ticks of Hit Points.</v>
      </c>
      <c r="I857" s="191" t="str">
        <f>IFERROR(__xludf.DUMMYFUNCTION("""COMPUTED_VALUE"""),"The Target restores a Tick of Hit Points or gains +2 to their next Save Check. When used this way, it doesn't expend Milk Drink's Frequency.")</f>
        <v>The Target restores a Tick of Hit Points or gains +2 to their next Save Check. When used this way, it doesn't expend Milk Drink's Frequency.</v>
      </c>
      <c r="J857" s="190" t="str">
        <f>IFERROR(__xludf.DUMMYFUNCTION("""COMPUTED_VALUE"""),"Tier 3")</f>
        <v>Tier 3</v>
      </c>
      <c r="K857" s="174" t="b">
        <f>IFERROR(__xludf.DUMMYFUNCTION("""COMPUTED_VALUE"""),TRUE)</f>
        <v>1</v>
      </c>
      <c r="L857" s="174"/>
      <c r="M857" s="174"/>
      <c r="N857" s="174"/>
      <c r="O857" s="174"/>
      <c r="P857" s="174"/>
      <c r="Q857" s="174"/>
      <c r="R857" s="174"/>
      <c r="S857" s="174"/>
      <c r="T857" s="174"/>
      <c r="U857" s="174"/>
      <c r="V857" s="174"/>
      <c r="W857" s="174"/>
      <c r="X857" s="174"/>
      <c r="Y857" s="174"/>
      <c r="Z857" s="174"/>
    </row>
    <row r="858">
      <c r="A858" s="190" t="str">
        <f>IFERROR(__xludf.DUMMYFUNCTION("""COMPUTED_VALUE"""),"Mimic")</f>
        <v>Mimic</v>
      </c>
      <c r="B858" s="190" t="str">
        <f>IFERROR(__xludf.DUMMYFUNCTION("""COMPUTED_VALUE"""),"Normal")</f>
        <v>Normal</v>
      </c>
      <c r="C858" s="190" t="str">
        <f>IFERROR(__xludf.DUMMYFUNCTION("""COMPUTED_VALUE"""),"Special")</f>
        <v>Special</v>
      </c>
      <c r="D858" s="190" t="str">
        <f>IFERROR(__xludf.DUMMYFUNCTION("""COMPUTED_VALUE"""),"Scene x2")</f>
        <v>Scene x2</v>
      </c>
      <c r="E858" s="190" t="str">
        <f>IFERROR(__xludf.DUMMYFUNCTION("""COMPUTED_VALUE"""),"6, 1 Target")</f>
        <v>6, 1 Target</v>
      </c>
      <c r="F858" s="190" t="str">
        <f>IFERROR(__xludf.DUMMYFUNCTION("""COMPUTED_VALUE"""),"--")</f>
        <v>--</v>
      </c>
      <c r="G858" s="190" t="str">
        <f>IFERROR(__xludf.DUMMYFUNCTION("""COMPUTED_VALUE"""),"--")</f>
        <v>--</v>
      </c>
      <c r="H858" s="191" t="str">
        <f>IFERROR(__xludf.DUMMYFUNCTION("""COMPUTED_VALUE"""),"Choose an Attack that the Target has used during the encounter. For the remainder of the encounter, that Attack is added to the user’s Move List and may be used as if it were Physical or Special, then the user may immediately use that Attack as a Free Act"&amp;"ion. Sureshot.")</f>
        <v>Choose an Attack that the Target has used during the encounter. For the remainder of the encounter, that Attack is added to the user’s Move List and may be used as if it were Physical or Special, then the user may immediately use that Attack as a Free Action. Sureshot.</v>
      </c>
      <c r="I858" s="191" t="str">
        <f>IFERROR(__xludf.DUMMYFUNCTION("""COMPUTED_VALUE"""),"--")</f>
        <v>--</v>
      </c>
      <c r="J858" s="190" t="str">
        <f>IFERROR(__xludf.DUMMYFUNCTION("""COMPUTED_VALUE"""),"Tier 2")</f>
        <v>Tier 2</v>
      </c>
      <c r="K858" s="174" t="b">
        <f>IFERROR(__xludf.DUMMYFUNCTION("""COMPUTED_VALUE"""),FALSE)</f>
        <v>0</v>
      </c>
      <c r="L858" s="174"/>
      <c r="M858" s="174"/>
      <c r="N858" s="174"/>
      <c r="O858" s="174"/>
      <c r="P858" s="174"/>
      <c r="Q858" s="174"/>
      <c r="R858" s="174"/>
      <c r="S858" s="174"/>
      <c r="T858" s="174"/>
      <c r="U858" s="174"/>
      <c r="V858" s="174"/>
      <c r="W858" s="174"/>
      <c r="X858" s="174"/>
      <c r="Y858" s="174"/>
      <c r="Z858" s="174"/>
    </row>
    <row r="859">
      <c r="A859" s="190" t="str">
        <f>IFERROR(__xludf.DUMMYFUNCTION("""COMPUTED_VALUE"""),"Mind Reader")</f>
        <v>Mind Reader</v>
      </c>
      <c r="B859" s="190" t="str">
        <f>IFERROR(__xludf.DUMMYFUNCTION("""COMPUTED_VALUE"""),"Normal")</f>
        <v>Normal</v>
      </c>
      <c r="C859" s="190" t="str">
        <f>IFERROR(__xludf.DUMMYFUNCTION("""COMPUTED_VALUE"""),"Status")</f>
        <v>Status</v>
      </c>
      <c r="D859" s="190" t="str">
        <f>IFERROR(__xludf.DUMMYFUNCTION("""COMPUTED_VALUE"""),"Scene x2")</f>
        <v>Scene x2</v>
      </c>
      <c r="E859" s="190" t="str">
        <f>IFERROR(__xludf.DUMMYFUNCTION("""COMPUTED_VALUE"""),"6, 1 Target, Versatile")</f>
        <v>6, 1 Target, Versatile</v>
      </c>
      <c r="F859" s="190" t="str">
        <f>IFERROR(__xludf.DUMMYFUNCTION("""COMPUTED_VALUE"""),"--")</f>
        <v>--</v>
      </c>
      <c r="G859" s="190" t="str">
        <f>IFERROR(__xludf.DUMMYFUNCTION("""COMPUTED_VALUE"""),"--")</f>
        <v>--</v>
      </c>
      <c r="H859" s="191" t="str">
        <f>IFERROR(__xludf.DUMMYFUNCTION("""COMPUTED_VALUE"""),"The Target gains the Forseen Mark. The user cannot miss Combatants with the Forseen Mark and gains +3 Evasion  against attacks from Combatants with the Forseen Mark. Mind Reader cannot Target Combatants with the Mindlock Capability. Sureshot.")</f>
        <v>The Target gains the Forseen Mark. The user cannot miss Combatants with the Forseen Mark and gains +3 Evasion  against attacks from Combatants with the Forseen Mark. Mind Reader cannot Target Combatants with the Mindlock Capability. Sureshot.</v>
      </c>
      <c r="I859" s="191" t="str">
        <f>IFERROR(__xludf.DUMMYFUNCTION("""COMPUTED_VALUE"""),"Same as the Normal Effects, but the Forseen Mark is removed at the end of the next Round.")</f>
        <v>Same as the Normal Effects, but the Forseen Mark is removed at the end of the next Round.</v>
      </c>
      <c r="J859" s="190" t="str">
        <f>IFERROR(__xludf.DUMMYFUNCTION("""COMPUTED_VALUE"""),"Tier 2")</f>
        <v>Tier 2</v>
      </c>
      <c r="K859" s="174" t="b">
        <f>IFERROR(__xludf.DUMMYFUNCTION("""COMPUTED_VALUE"""),TRUE)</f>
        <v>1</v>
      </c>
      <c r="L859" s="174"/>
      <c r="M859" s="174"/>
      <c r="N859" s="174"/>
      <c r="O859" s="174"/>
      <c r="P859" s="174"/>
      <c r="Q859" s="174"/>
      <c r="R859" s="174"/>
      <c r="S859" s="174"/>
      <c r="T859" s="174"/>
      <c r="U859" s="174"/>
      <c r="V859" s="174"/>
      <c r="W859" s="174"/>
      <c r="X859" s="174"/>
      <c r="Y859" s="174"/>
      <c r="Z859" s="174"/>
    </row>
    <row r="860">
      <c r="A860" s="190" t="str">
        <f>IFERROR(__xludf.DUMMYFUNCTION("""COMPUTED_VALUE"""),"Minimize")</f>
        <v>Minimize</v>
      </c>
      <c r="B860" s="190" t="str">
        <f>IFERROR(__xludf.DUMMYFUNCTION("""COMPUTED_VALUE"""),"Normal")</f>
        <v>Normal</v>
      </c>
      <c r="C860" s="190" t="str">
        <f>IFERROR(__xludf.DUMMYFUNCTION("""COMPUTED_VALUE"""),"Status")</f>
        <v>Status</v>
      </c>
      <c r="D860" s="190" t="str">
        <f>IFERROR(__xludf.DUMMYFUNCTION("""COMPUTED_VALUE"""),"Scene x2")</f>
        <v>Scene x2</v>
      </c>
      <c r="E860" s="190" t="str">
        <f>IFERROR(__xludf.DUMMYFUNCTION("""COMPUTED_VALUE"""),"Self, Versatile")</f>
        <v>Self, Versatile</v>
      </c>
      <c r="F860" s="190" t="str">
        <f>IFERROR(__xludf.DUMMYFUNCTION("""COMPUTED_VALUE"""),"--")</f>
        <v>--</v>
      </c>
      <c r="G860" s="190" t="str">
        <f>IFERROR(__xludf.DUMMYFUNCTION("""COMPUTED_VALUE"""),"--")</f>
        <v>--</v>
      </c>
      <c r="H860" s="191" t="str">
        <f>IFERROR(__xludf.DUMMYFUNCTION("""COMPUTED_VALUE"""),"Until the end of the start of your next Turn, Enemies have a -6 Accuracy penalty against you and your size is changed to Small. While affected by this, you cannot inflict Damage on Enemies. ")</f>
        <v>Until the end of the start of your next Turn, Enemies have a -6 Accuracy penalty against you and your size is changed to Small. While affected by this, you cannot inflict Damage on Enemies. </v>
      </c>
      <c r="I860" s="191" t="str">
        <f>IFERROR(__xludf.DUMMYFUNCTION("""COMPUTED_VALUE"""),"Until the end of your Turn, you cannot provoke Attacks of Opportunity by moving and your size is changed to Small. ")</f>
        <v>Until the end of your Turn, you cannot provoke Attacks of Opportunity by moving and your size is changed to Small. </v>
      </c>
      <c r="J860" s="190" t="str">
        <f>IFERROR(__xludf.DUMMYFUNCTION("""COMPUTED_VALUE"""),"Tier 2")</f>
        <v>Tier 2</v>
      </c>
      <c r="K860" s="174" t="b">
        <f>IFERROR(__xludf.DUMMYFUNCTION("""COMPUTED_VALUE"""),TRUE)</f>
        <v>1</v>
      </c>
      <c r="L860" s="174"/>
      <c r="M860" s="174"/>
      <c r="N860" s="174"/>
      <c r="O860" s="174"/>
      <c r="P860" s="174"/>
      <c r="Q860" s="174"/>
      <c r="R860" s="174"/>
      <c r="S860" s="174"/>
      <c r="T860" s="174"/>
      <c r="U860" s="174"/>
      <c r="V860" s="174"/>
      <c r="W860" s="174"/>
      <c r="X860" s="174"/>
      <c r="Y860" s="174"/>
      <c r="Z860" s="174"/>
    </row>
    <row r="861">
      <c r="A861" s="190" t="str">
        <f>IFERROR(__xludf.DUMMYFUNCTION("""COMPUTED_VALUE"""),"Morning Sun")</f>
        <v>Morning Sun</v>
      </c>
      <c r="B861" s="190" t="str">
        <f>IFERROR(__xludf.DUMMYFUNCTION("""COMPUTED_VALUE"""),"Normal")</f>
        <v>Normal</v>
      </c>
      <c r="C861" s="190" t="str">
        <f>IFERROR(__xludf.DUMMYFUNCTION("""COMPUTED_VALUE"""),"Status")</f>
        <v>Status</v>
      </c>
      <c r="D861" s="190" t="str">
        <f>IFERROR(__xludf.DUMMYFUNCTION("""COMPUTED_VALUE"""),"Scene x2")</f>
        <v>Scene x2</v>
      </c>
      <c r="E861" s="190" t="str">
        <f>IFERROR(__xludf.DUMMYFUNCTION("""COMPUTED_VALUE"""),"Self, Healing, Versatile")</f>
        <v>Self, Healing, Versatile</v>
      </c>
      <c r="F861" s="190" t="str">
        <f>IFERROR(__xludf.DUMMYFUNCTION("""COMPUTED_VALUE"""),"--")</f>
        <v>--</v>
      </c>
      <c r="G861" s="190" t="str">
        <f>IFERROR(__xludf.DUMMYFUNCTION("""COMPUTED_VALUE"""),"--")</f>
        <v>--</v>
      </c>
      <c r="H861" s="191" t="str">
        <f>IFERROR(__xludf.DUMMYFUNCTION("""COMPUTED_VALUE"""),"The user restores 5 Ticks of Hit Points. If the Weather is Sunny, the user is also cured of a Status Affliction. This cannot be used if there is weather other than Sunny on the Field.")</f>
        <v>The user restores 5 Ticks of Hit Points. If the Weather is Sunny, the user is also cured of a Status Affliction. This cannot be used if there is weather other than Sunny on the Field.</v>
      </c>
      <c r="I861" s="191" t="str">
        <f>IFERROR(__xludf.DUMMYFUNCTION("""COMPUTED_VALUE"""),"The user restores 2 Ticks of Hit Points. Morning Sun can only be used this way if the Weather is Sunny and there is no other Weather on the Field.")</f>
        <v>The user restores 2 Ticks of Hit Points. Morning Sun can only be used this way if the Weather is Sunny and there is no other Weather on the Field.</v>
      </c>
      <c r="J861" s="190" t="str">
        <f>IFERROR(__xludf.DUMMYFUNCTION("""COMPUTED_VALUE"""),"Tier 2")</f>
        <v>Tier 2</v>
      </c>
      <c r="K861" s="174" t="b">
        <f>IFERROR(__xludf.DUMMYFUNCTION("""COMPUTED_VALUE"""),TRUE)</f>
        <v>1</v>
      </c>
      <c r="L861" s="174"/>
      <c r="M861" s="174"/>
      <c r="N861" s="174"/>
      <c r="O861" s="174"/>
      <c r="P861" s="174"/>
      <c r="Q861" s="174"/>
      <c r="R861" s="174"/>
      <c r="S861" s="174"/>
      <c r="T861" s="174"/>
      <c r="U861" s="174"/>
      <c r="V861" s="174"/>
      <c r="W861" s="174"/>
      <c r="X861" s="174"/>
      <c r="Y861" s="174"/>
      <c r="Z861" s="174"/>
    </row>
    <row r="862">
      <c r="A862" s="190" t="str">
        <f>IFERROR(__xludf.DUMMYFUNCTION("""COMPUTED_VALUE"""),"Noble Roar")</f>
        <v>Noble Roar</v>
      </c>
      <c r="B862" s="190" t="str">
        <f>IFERROR(__xludf.DUMMYFUNCTION("""COMPUTED_VALUE"""),"Normal")</f>
        <v>Normal</v>
      </c>
      <c r="C862" s="190" t="str">
        <f>IFERROR(__xludf.DUMMYFUNCTION("""COMPUTED_VALUE"""),"Status")</f>
        <v>Status</v>
      </c>
      <c r="D862" s="190" t="str">
        <f>IFERROR(__xludf.DUMMYFUNCTION("""COMPUTED_VALUE"""),"EOT")</f>
        <v>EOT</v>
      </c>
      <c r="E862" s="190" t="str">
        <f>IFERROR(__xludf.DUMMYFUNCTION("""COMPUTED_VALUE"""),"Burst 2, Social, Sonic, Versatile")</f>
        <v>Burst 2, Social, Sonic, Versatile</v>
      </c>
      <c r="F862" s="190">
        <f>IFERROR(__xludf.DUMMYFUNCTION("""COMPUTED_VALUE"""),4.0)</f>
        <v>4</v>
      </c>
      <c r="G862" s="190" t="str">
        <f>IFERROR(__xludf.DUMMYFUNCTION("""COMPUTED_VALUE"""),"--")</f>
        <v>--</v>
      </c>
      <c r="H862" s="191" t="str">
        <f>IFERROR(__xludf.DUMMYFUNCTION("""COMPUTED_VALUE"""),"All Targets have their Attack and Special Attack lowered by -2 CS. On a roll of 15+, all Targets may become Provoked by you until the end of their next Turn. Friendly.")</f>
        <v>All Targets have their Attack and Special Attack lowered by -2 CS. On a roll of 15+, all Targets may become Provoked by you until the end of their next Turn. Friendly.</v>
      </c>
      <c r="I862" s="191" t="str">
        <f>IFERROR(__xludf.DUMMYFUNCTION("""COMPUTED_VALUE"""),"Same as the Normal Effects, but the Range is changed to Melee, 1 Target, Sonic, Social.")</f>
        <v>Same as the Normal Effects, but the Range is changed to Melee, 1 Target, Sonic, Social.</v>
      </c>
      <c r="J862" s="190" t="str">
        <f>IFERROR(__xludf.DUMMYFUNCTION("""COMPUTED_VALUE"""),"Tier 1")</f>
        <v>Tier 1</v>
      </c>
      <c r="K862" s="174" t="b">
        <f>IFERROR(__xludf.DUMMYFUNCTION("""COMPUTED_VALUE"""),TRUE)</f>
        <v>1</v>
      </c>
      <c r="L862" s="174"/>
      <c r="M862" s="174"/>
      <c r="N862" s="174"/>
      <c r="O862" s="174"/>
      <c r="P862" s="174"/>
      <c r="Q862" s="174"/>
      <c r="R862" s="174"/>
      <c r="S862" s="174"/>
      <c r="T862" s="174"/>
      <c r="U862" s="174"/>
      <c r="V862" s="174"/>
      <c r="W862" s="174"/>
      <c r="X862" s="174"/>
      <c r="Y862" s="174"/>
      <c r="Z862" s="174"/>
    </row>
    <row r="863">
      <c r="A863" s="190" t="str">
        <f>IFERROR(__xludf.DUMMYFUNCTION("""COMPUTED_VALUE"""),"Odor Sleuth")</f>
        <v>Odor Sleuth</v>
      </c>
      <c r="B863" s="190" t="str">
        <f>IFERROR(__xludf.DUMMYFUNCTION("""COMPUTED_VALUE"""),"Normal")</f>
        <v>Normal</v>
      </c>
      <c r="C863" s="190" t="str">
        <f>IFERROR(__xludf.DUMMYFUNCTION("""COMPUTED_VALUE"""),"Status")</f>
        <v>Status</v>
      </c>
      <c r="D863" s="190" t="str">
        <f>IFERROR(__xludf.DUMMYFUNCTION("""COMPUTED_VALUE"""),"EOT")</f>
        <v>EOT</v>
      </c>
      <c r="E863" s="190" t="str">
        <f>IFERROR(__xludf.DUMMYFUNCTION("""COMPUTED_VALUE"""),"Melee, 1 Target, Swift Action")</f>
        <v>Melee, 1 Target, Swift Action</v>
      </c>
      <c r="F863" s="190" t="str">
        <f>IFERROR(__xludf.DUMMYFUNCTION("""COMPUTED_VALUE"""),"--")</f>
        <v>--</v>
      </c>
      <c r="G863" s="190" t="str">
        <f>IFERROR(__xludf.DUMMYFUNCTION("""COMPUTED_VALUE"""),"--")</f>
        <v>--</v>
      </c>
      <c r="H863" s="191" t="str">
        <f>IFERROR(__xludf.DUMMYFUNCTION("""COMPUTED_VALUE"""),"The Target becomes Marked with a Tracked Mark. The user gains +3 Evasion against Combatants with the Tracked Mark. Sureshot. *Grants Tracker")</f>
        <v>The Target becomes Marked with a Tracked Mark. The user gains +3 Evasion against Combatants with the Tracked Mark. Sureshot. *Grants Tracker</v>
      </c>
      <c r="I863" s="191" t="str">
        <f>IFERROR(__xludf.DUMMYFUNCTION("""COMPUTED_VALUE"""),"--")</f>
        <v>--</v>
      </c>
      <c r="J863" s="190" t="str">
        <f>IFERROR(__xludf.DUMMYFUNCTION("""COMPUTED_VALUE"""),"Tier 1")</f>
        <v>Tier 1</v>
      </c>
      <c r="K863" s="174" t="b">
        <f>IFERROR(__xludf.DUMMYFUNCTION("""COMPUTED_VALUE"""),FALSE)</f>
        <v>0</v>
      </c>
      <c r="L863" s="174"/>
      <c r="M863" s="174"/>
      <c r="N863" s="174"/>
      <c r="O863" s="174"/>
      <c r="P863" s="174"/>
      <c r="Q863" s="174"/>
      <c r="R863" s="174"/>
      <c r="S863" s="174"/>
      <c r="T863" s="174"/>
      <c r="U863" s="174"/>
      <c r="V863" s="174"/>
      <c r="W863" s="174"/>
      <c r="X863" s="174"/>
      <c r="Y863" s="174"/>
      <c r="Z863" s="174"/>
    </row>
    <row r="864">
      <c r="A864" s="190" t="str">
        <f>IFERROR(__xludf.DUMMYFUNCTION("""COMPUTED_VALUE"""),"Pain Split")</f>
        <v>Pain Split</v>
      </c>
      <c r="B864" s="190" t="str">
        <f>IFERROR(__xludf.DUMMYFUNCTION("""COMPUTED_VALUE"""),"Normal")</f>
        <v>Normal</v>
      </c>
      <c r="C864" s="190" t="str">
        <f>IFERROR(__xludf.DUMMYFUNCTION("""COMPUTED_VALUE"""),"Status")</f>
        <v>Status</v>
      </c>
      <c r="D864" s="190" t="str">
        <f>IFERROR(__xludf.DUMMYFUNCTION("""COMPUTED_VALUE"""),"Scene")</f>
        <v>Scene</v>
      </c>
      <c r="E864" s="190" t="str">
        <f>IFERROR(__xludf.DUMMYFUNCTION("""COMPUTED_VALUE"""),"Shield, Trigger")</f>
        <v>Shield, Trigger</v>
      </c>
      <c r="F864" s="190" t="str">
        <f>IFERROR(__xludf.DUMMYFUNCTION("""COMPUTED_VALUE"""),"--")</f>
        <v>--</v>
      </c>
      <c r="G864" s="190" t="str">
        <f>IFERROR(__xludf.DUMMYFUNCTION("""COMPUTED_VALUE"""),"--")</f>
        <v>--</v>
      </c>
      <c r="H864" s="191" t="str">
        <f>IFERROR(__xludf.DUMMYFUNCTION("""COMPUTED_VALUE"""),"Pain Split may be used as a Standard Action+Reaction or Reaction when the user is hit by a Damaging Attack. After the Triggering Attack’s Damage Roll, instead of applying resistances and defenses, half the amount rolled. You lose Hit Points equal to the h"&amp;"alved amount. If this is used as a Reaction, an Ally within 3m loses Hit Points equal to the halved amount as well and the Frequency of this Attack isn’t expended. If this is used as a Standard Action + Reaction, an Enemy within 3m loses Hit Points equal "&amp;"to the halved amount as well. Sureshot.")</f>
        <v>Pain Split may be used as a Standard Action+Reaction or Reaction when the user is hit by a Damaging Attack. After the Triggering Attack’s Damage Roll, instead of applying resistances and defenses, half the amount rolled. You lose Hit Points equal to the halved amount. If this is used as a Reaction, an Ally within 3m loses Hit Points equal to the halved amount as well and the Frequency of this Attack isn’t expended. If this is used as a Standard Action + Reaction, an Enemy within 3m loses Hit Points equal to the halved amount as well. Sureshot.</v>
      </c>
      <c r="I864" s="191" t="str">
        <f>IFERROR(__xludf.DUMMYFUNCTION("""COMPUTED_VALUE"""),"--")</f>
        <v>--</v>
      </c>
      <c r="J864" s="190" t="str">
        <f>IFERROR(__xludf.DUMMYFUNCTION("""COMPUTED_VALUE"""),"Tier 3")</f>
        <v>Tier 3</v>
      </c>
      <c r="K864" s="174" t="b">
        <f>IFERROR(__xludf.DUMMYFUNCTION("""COMPUTED_VALUE"""),TRUE)</f>
        <v>1</v>
      </c>
      <c r="L864" s="174"/>
      <c r="M864" s="174"/>
      <c r="N864" s="174"/>
      <c r="O864" s="174"/>
      <c r="P864" s="174"/>
      <c r="Q864" s="174"/>
      <c r="R864" s="174"/>
      <c r="S864" s="174"/>
      <c r="T864" s="174"/>
      <c r="U864" s="174"/>
      <c r="V864" s="174"/>
      <c r="W864" s="174"/>
      <c r="X864" s="174"/>
      <c r="Y864" s="174"/>
      <c r="Z864" s="174"/>
    </row>
    <row r="865">
      <c r="A865" s="190" t="str">
        <f>IFERROR(__xludf.DUMMYFUNCTION("""COMPUTED_VALUE"""),"Pay Day")</f>
        <v>Pay Day</v>
      </c>
      <c r="B865" s="190" t="str">
        <f>IFERROR(__xludf.DUMMYFUNCTION("""COMPUTED_VALUE"""),"Normal")</f>
        <v>Normal</v>
      </c>
      <c r="C865" s="190" t="str">
        <f>IFERROR(__xludf.DUMMYFUNCTION("""COMPUTED_VALUE"""),"Physical")</f>
        <v>Physical</v>
      </c>
      <c r="D865" s="190" t="str">
        <f>IFERROR(__xludf.DUMMYFUNCTION("""COMPUTED_VALUE"""),"EOT")</f>
        <v>EOT</v>
      </c>
      <c r="E865" s="190" t="str">
        <f>IFERROR(__xludf.DUMMYFUNCTION("""COMPUTED_VALUE"""),"Close Blast 2")</f>
        <v>Close Blast 2</v>
      </c>
      <c r="F865" s="190">
        <f>IFERROR(__xludf.DUMMYFUNCTION("""COMPUTED_VALUE"""),5.0)</f>
        <v>5</v>
      </c>
      <c r="G865" s="190">
        <f>IFERROR(__xludf.DUMMYFUNCTION("""COMPUTED_VALUE"""),5.0)</f>
        <v>5</v>
      </c>
      <c r="H865" s="191" t="str">
        <f>IFERROR(__xludf.DUMMYFUNCTION("""COMPUTED_VALUE"""),"The user may expend $250 to apply any of the effects below. This Effect may be purchased multiple times:
■ The Attack becomes Steel Type
■ The Attack gains +2 Accuracy or Crit Range
■ The Attack's Blast Range increases by +1
■ The Attack's Damage Base inc"&amp;"reases by +3 (Max 18)")</f>
        <v>The user may expend $250 to apply any of the effects below. This Effect may be purchased multiple times:
■ The Attack becomes Steel Type
■ The Attack gains +2 Accuracy or Crit Range
■ The Attack's Blast Range increases by +1
■ The Attack's Damage Base increases by +3 (Max 18)</v>
      </c>
      <c r="I865" s="191" t="str">
        <f>IFERROR(__xludf.DUMMYFUNCTION("""COMPUTED_VALUE"""),"--")</f>
        <v>--</v>
      </c>
      <c r="J865" s="190" t="str">
        <f>IFERROR(__xludf.DUMMYFUNCTION("""COMPUTED_VALUE"""),"Tier 2")</f>
        <v>Tier 2</v>
      </c>
      <c r="K865" s="174" t="b">
        <f>IFERROR(__xludf.DUMMYFUNCTION("""COMPUTED_VALUE"""),TRUE)</f>
        <v>1</v>
      </c>
      <c r="L865" s="174"/>
      <c r="M865" s="174"/>
      <c r="N865" s="174"/>
      <c r="O865" s="174"/>
      <c r="P865" s="174"/>
      <c r="Q865" s="174"/>
      <c r="R865" s="174"/>
      <c r="S865" s="174"/>
      <c r="T865" s="174"/>
      <c r="U865" s="174"/>
      <c r="V865" s="174"/>
      <c r="W865" s="174"/>
      <c r="X865" s="174"/>
      <c r="Y865" s="174"/>
      <c r="Z865" s="174"/>
    </row>
    <row r="866">
      <c r="A866" s="190" t="str">
        <f>IFERROR(__xludf.DUMMYFUNCTION("""COMPUTED_VALUE"""),"Perish Song")</f>
        <v>Perish Song</v>
      </c>
      <c r="B866" s="190" t="str">
        <f>IFERROR(__xludf.DUMMYFUNCTION("""COMPUTED_VALUE"""),"Normal")</f>
        <v>Normal</v>
      </c>
      <c r="C866" s="190" t="str">
        <f>IFERROR(__xludf.DUMMYFUNCTION("""COMPUTED_VALUE"""),"Status")</f>
        <v>Status</v>
      </c>
      <c r="D866" s="190" t="str">
        <f>IFERROR(__xludf.DUMMYFUNCTION("""COMPUTED_VALUE"""),"Scene")</f>
        <v>Scene</v>
      </c>
      <c r="E866" s="190" t="str">
        <f>IFERROR(__xludf.DUMMYFUNCTION("""COMPUTED_VALUE"""),"Burst 15, Sonic")</f>
        <v>Burst 15, Sonic</v>
      </c>
      <c r="F866" s="190" t="str">
        <f>IFERROR(__xludf.DUMMYFUNCTION("""COMPUTED_VALUE"""),"--")</f>
        <v>--</v>
      </c>
      <c r="G866" s="190" t="str">
        <f>IFERROR(__xludf.DUMMYFUNCTION("""COMPUTED_VALUE"""),"--")</f>
        <v>--</v>
      </c>
      <c r="H866" s="191" t="str">
        <f>IFERROR(__xludf.DUMMYFUNCTION("""COMPUTED_VALUE"""),"All Targets, Including the user become Marked with a Perish Mark, with a Perish Count of 3. This mark is not removed when user Faints. When a Combatant with a Perish Mark starts their Turn, their Perish Count is lowered by 1. When a Perish Marked Combatan"&amp;"t would have a Perish Count of 0, they are set to 0 Hit Points (Or the highest Hit Point value that would cause them to Faint) and the Perish Mark is removed. This HP loss cannot be prevented. This Attack cannot gain the Friendly Keyword. Sureshot")</f>
        <v>All Targets, Including the user become Marked with a Perish Mark, with a Perish Count of 3. This mark is not removed when user Faints. When a Combatant with a Perish Mark starts their Turn, their Perish Count is lowered by 1. When a Perish Marked Combatant would have a Perish Count of 0, they are set to 0 Hit Points (Or the highest Hit Point value that would cause them to Faint) and the Perish Mark is removed. This HP loss cannot be prevented. This Attack cannot gain the Friendly Keyword. Sureshot</v>
      </c>
      <c r="I866" s="191" t="str">
        <f>IFERROR(__xludf.DUMMYFUNCTION("""COMPUTED_VALUE"""),"--")</f>
        <v>--</v>
      </c>
      <c r="J866" s="190" t="str">
        <f>IFERROR(__xludf.DUMMYFUNCTION("""COMPUTED_VALUE"""),"Tier 3")</f>
        <v>Tier 3</v>
      </c>
      <c r="K866" s="174" t="b">
        <f>IFERROR(__xludf.DUMMYFUNCTION("""COMPUTED_VALUE"""),TRUE)</f>
        <v>1</v>
      </c>
      <c r="L866" s="174"/>
      <c r="M866" s="174"/>
      <c r="N866" s="174"/>
      <c r="O866" s="174"/>
      <c r="P866" s="174"/>
      <c r="Q866" s="174"/>
      <c r="R866" s="174"/>
      <c r="S866" s="174"/>
      <c r="T866" s="174"/>
      <c r="U866" s="174"/>
      <c r="V866" s="174"/>
      <c r="W866" s="174"/>
      <c r="X866" s="174"/>
      <c r="Y866" s="174"/>
      <c r="Z866" s="174"/>
    </row>
    <row r="867">
      <c r="A867" s="190" t="str">
        <f>IFERROR(__xludf.DUMMYFUNCTION("""COMPUTED_VALUE"""),"Play Nice")</f>
        <v>Play Nice</v>
      </c>
      <c r="B867" s="190" t="str">
        <f>IFERROR(__xludf.DUMMYFUNCTION("""COMPUTED_VALUE"""),"Normal")</f>
        <v>Normal</v>
      </c>
      <c r="C867" s="190" t="str">
        <f>IFERROR(__xludf.DUMMYFUNCTION("""COMPUTED_VALUE"""),"Status")</f>
        <v>Status</v>
      </c>
      <c r="D867" s="190" t="str">
        <f>IFERROR(__xludf.DUMMYFUNCTION("""COMPUTED_VALUE"""),"EOT")</f>
        <v>EOT</v>
      </c>
      <c r="E867" s="190" t="str">
        <f>IFERROR(__xludf.DUMMYFUNCTION("""COMPUTED_VALUE"""),"6, 1 Target, Social, Versatile")</f>
        <v>6, 1 Target, Social, Versatile</v>
      </c>
      <c r="F867" s="190">
        <f>IFERROR(__xludf.DUMMYFUNCTION("""COMPUTED_VALUE"""),3.0)</f>
        <v>3</v>
      </c>
      <c r="G867" s="190" t="str">
        <f>IFERROR(__xludf.DUMMYFUNCTION("""COMPUTED_VALUE"""),"--")</f>
        <v>--</v>
      </c>
      <c r="H867" s="191" t="str">
        <f>IFERROR(__xludf.DUMMYFUNCTION("""COMPUTED_VALUE"""),"The Target loses -2 CS in Attack or Special Attack. If the Target is Entranced with you as the Fixation, you may instead choose to set it to its Default Value.")</f>
        <v>The Target loses -2 CS in Attack or Special Attack. If the Target is Entranced with you as the Fixation, you may instead choose to set it to its Default Value.</v>
      </c>
      <c r="I867" s="191" t="str">
        <f>IFERROR(__xludf.DUMMYFUNCTION("""COMPUTED_VALUE"""),"The Target loses -1 CS to your choice of Attack or Special Attack. If the Target is Entranced with you as the Fixation, this has the Sureshot Keyword. ")</f>
        <v>The Target loses -1 CS to your choice of Attack or Special Attack. If the Target is Entranced with you as the Fixation, this has the Sureshot Keyword. </v>
      </c>
      <c r="J867" s="190" t="str">
        <f>IFERROR(__xludf.DUMMYFUNCTION("""COMPUTED_VALUE"""),"Tier 1")</f>
        <v>Tier 1</v>
      </c>
      <c r="K867" s="174" t="b">
        <f>IFERROR(__xludf.DUMMYFUNCTION("""COMPUTED_VALUE"""),TRUE)</f>
        <v>1</v>
      </c>
      <c r="L867" s="174"/>
      <c r="M867" s="174"/>
      <c r="N867" s="174"/>
      <c r="O867" s="174"/>
      <c r="P867" s="174"/>
      <c r="Q867" s="174"/>
      <c r="R867" s="174"/>
      <c r="S867" s="174"/>
      <c r="T867" s="174"/>
      <c r="U867" s="174"/>
      <c r="V867" s="174"/>
      <c r="W867" s="174"/>
      <c r="X867" s="174"/>
      <c r="Y867" s="174"/>
      <c r="Z867" s="174"/>
    </row>
    <row r="868">
      <c r="A868" s="190" t="str">
        <f>IFERROR(__xludf.DUMMYFUNCTION("""COMPUTED_VALUE"""),"Population Bomb")</f>
        <v>Population Bomb</v>
      </c>
      <c r="B868" s="190" t="str">
        <f>IFERROR(__xludf.DUMMYFUNCTION("""COMPUTED_VALUE"""),"Normal")</f>
        <v>Normal</v>
      </c>
      <c r="C868" s="190" t="str">
        <f>IFERROR(__xludf.DUMMYFUNCTION("""COMPUTED_VALUE"""),"Physical")</f>
        <v>Physical</v>
      </c>
      <c r="D868" s="190" t="str">
        <f>IFERROR(__xludf.DUMMYFUNCTION("""COMPUTED_VALUE"""),"Scene x2")</f>
        <v>Scene x2</v>
      </c>
      <c r="E868" s="190" t="str">
        <f>IFERROR(__xludf.DUMMYFUNCTION("""COMPUTED_VALUE"""),"Melee, 1 Target ")</f>
        <v>Melee, 1 Target </v>
      </c>
      <c r="F868" s="190">
        <f>IFERROR(__xludf.DUMMYFUNCTION("""COMPUTED_VALUE"""),5.0)</f>
        <v>5</v>
      </c>
      <c r="G868" s="190">
        <f>IFERROR(__xludf.DUMMYFUNCTION("""COMPUTED_VALUE"""),4.0)</f>
        <v>4</v>
      </c>
      <c r="H868" s="191" t="str">
        <f>IFERROR(__xludf.DUMMYFUNCTION("""COMPUTED_VALUE"""),"When applying the Five Strike Keyword to this Attack, the Maximum number of times it can hit is equal to double your current Mice Tokens. Whenever you would miss with Population Bomb, you may reroll the Accuracy Check. This may be done a number of times p"&amp;"er Attack equal to half your current Mice Tokens (Rounded Up). This Attack cannot result in a Critical Hit. When calcuating DB with this Attack, the Five Strike Keyword's cap is +16DB instead of +8DB. Five Strike.")</f>
        <v>When applying the Five Strike Keyword to this Attack, the Maximum number of times it can hit is equal to double your current Mice Tokens. Whenever you would miss with Population Bomb, you may reroll the Accuracy Check. This may be done a number of times per Attack equal to half your current Mice Tokens (Rounded Up). This Attack cannot result in a Critical Hit. When calcuating DB with this Attack, the Five Strike Keyword's cap is +16DB instead of +8DB. Five Strike.</v>
      </c>
      <c r="I868" s="191" t="str">
        <f>IFERROR(__xludf.DUMMYFUNCTION("""COMPUTED_VALUE"""),"--")</f>
        <v>--</v>
      </c>
      <c r="J868" s="190" t="str">
        <f>IFERROR(__xludf.DUMMYFUNCTION("""COMPUTED_VALUE"""),"Tier 2")</f>
        <v>Tier 2</v>
      </c>
      <c r="K868" s="174" t="b">
        <f>IFERROR(__xludf.DUMMYFUNCTION("""COMPUTED_VALUE"""),TRUE)</f>
        <v>1</v>
      </c>
      <c r="L868" s="174"/>
      <c r="M868" s="174"/>
      <c r="N868" s="174"/>
      <c r="O868" s="174"/>
      <c r="P868" s="174"/>
      <c r="Q868" s="174"/>
      <c r="R868" s="174"/>
      <c r="S868" s="174"/>
      <c r="T868" s="174"/>
      <c r="U868" s="174"/>
      <c r="V868" s="174"/>
      <c r="W868" s="174"/>
      <c r="X868" s="174"/>
      <c r="Y868" s="174"/>
      <c r="Z868" s="174"/>
    </row>
    <row r="869">
      <c r="A869" s="190" t="str">
        <f>IFERROR(__xludf.DUMMYFUNCTION("""COMPUTED_VALUE"""),"Pound")</f>
        <v>Pound</v>
      </c>
      <c r="B869" s="190" t="str">
        <f>IFERROR(__xludf.DUMMYFUNCTION("""COMPUTED_VALUE"""),"Normal")</f>
        <v>Normal</v>
      </c>
      <c r="C869" s="190" t="str">
        <f>IFERROR(__xludf.DUMMYFUNCTION("""COMPUTED_VALUE"""),"Physical")</f>
        <v>Physical</v>
      </c>
      <c r="D869" s="190" t="str">
        <f>IFERROR(__xludf.DUMMYFUNCTION("""COMPUTED_VALUE"""),"At-Will")</f>
        <v>At-Will</v>
      </c>
      <c r="E869" s="190" t="str">
        <f>IFERROR(__xludf.DUMMYFUNCTION("""COMPUTED_VALUE"""),"Melee, 1 Target")</f>
        <v>Melee, 1 Target</v>
      </c>
      <c r="F869" s="190">
        <f>IFERROR(__xludf.DUMMYFUNCTION("""COMPUTED_VALUE"""),2.0)</f>
        <v>2</v>
      </c>
      <c r="G869" s="190">
        <f>IFERROR(__xludf.DUMMYFUNCTION("""COMPUTED_VALUE"""),5.0)</f>
        <v>5</v>
      </c>
      <c r="H869" s="191" t="str">
        <f>IFERROR(__xludf.DUMMYFUNCTION("""COMPUTED_VALUE"""),"Smite")</f>
        <v>Smite</v>
      </c>
      <c r="I869" s="191" t="str">
        <f>IFERROR(__xludf.DUMMYFUNCTION("""COMPUTED_VALUE"""),"--")</f>
        <v>--</v>
      </c>
      <c r="J869" s="190" t="str">
        <f>IFERROR(__xludf.DUMMYFUNCTION("""COMPUTED_VALUE"""),"Tier 1")</f>
        <v>Tier 1</v>
      </c>
      <c r="K869" s="174" t="b">
        <f>IFERROR(__xludf.DUMMYFUNCTION("""COMPUTED_VALUE"""),TRUE)</f>
        <v>1</v>
      </c>
      <c r="L869" s="174"/>
      <c r="M869" s="174"/>
      <c r="N869" s="174"/>
      <c r="O869" s="174"/>
      <c r="P869" s="174"/>
      <c r="Q869" s="174"/>
      <c r="R869" s="174"/>
      <c r="S869" s="174"/>
      <c r="T869" s="174"/>
      <c r="U869" s="174"/>
      <c r="V869" s="174"/>
      <c r="W869" s="174"/>
      <c r="X869" s="174"/>
      <c r="Y869" s="174"/>
      <c r="Z869" s="174"/>
    </row>
    <row r="870">
      <c r="A870" s="190" t="str">
        <f>IFERROR(__xludf.DUMMYFUNCTION("""COMPUTED_VALUE"""),"Present")</f>
        <v>Present</v>
      </c>
      <c r="B870" s="190" t="str">
        <f>IFERROR(__xludf.DUMMYFUNCTION("""COMPUTED_VALUE"""),"Normal")</f>
        <v>Normal</v>
      </c>
      <c r="C870" s="190" t="str">
        <f>IFERROR(__xludf.DUMMYFUNCTION("""COMPUTED_VALUE"""),"Physical")</f>
        <v>Physical</v>
      </c>
      <c r="D870" s="190" t="str">
        <f>IFERROR(__xludf.DUMMYFUNCTION("""COMPUTED_VALUE"""),"Scene x2")</f>
        <v>Scene x2</v>
      </c>
      <c r="E870" s="190" t="str">
        <f>IFERROR(__xludf.DUMMYFUNCTION("""COMPUTED_VALUE"""),"4, 1 Target, Healing")</f>
        <v>4, 1 Target, Healing</v>
      </c>
      <c r="F870" s="190">
        <f>IFERROR(__xludf.DUMMYFUNCTION("""COMPUTED_VALUE"""),4.0)</f>
        <v>4</v>
      </c>
      <c r="G870" s="190" t="str">
        <f>IFERROR(__xludf.DUMMYFUNCTION("""COMPUTED_VALUE"""),"--")</f>
        <v>--</v>
      </c>
      <c r="H870" s="191" t="str">
        <f>IFERROR(__xludf.DUMMYFUNCTION("""COMPUTED_VALUE"""),"Roll 2d3, then multiply the added result by your Tier Level. That results becomes the DB of this Attack. If this Targets a willing Ally, this Attack instead heals the Target for 3 Ticks of Hit Points.")</f>
        <v>Roll 2d3, then multiply the added result by your Tier Level. That results becomes the DB of this Attack. If this Targets a willing Ally, this Attack instead heals the Target for 3 Ticks of Hit Points.</v>
      </c>
      <c r="I870" s="191" t="str">
        <f>IFERROR(__xludf.DUMMYFUNCTION("""COMPUTED_VALUE"""),"--")</f>
        <v>--</v>
      </c>
      <c r="J870" s="190" t="str">
        <f>IFERROR(__xludf.DUMMYFUNCTION("""COMPUTED_VALUE"""),"Tier 2")</f>
        <v>Tier 2</v>
      </c>
      <c r="K870" s="174" t="b">
        <f>IFERROR(__xludf.DUMMYFUNCTION("""COMPUTED_VALUE"""),TRUE)</f>
        <v>1</v>
      </c>
      <c r="L870" s="174"/>
      <c r="M870" s="174"/>
      <c r="N870" s="174"/>
      <c r="O870" s="174"/>
      <c r="P870" s="174"/>
      <c r="Q870" s="174"/>
      <c r="R870" s="174"/>
      <c r="S870" s="174"/>
      <c r="T870" s="174"/>
      <c r="U870" s="174"/>
      <c r="V870" s="174"/>
      <c r="W870" s="174"/>
      <c r="X870" s="174"/>
      <c r="Y870" s="174"/>
      <c r="Z870" s="174"/>
    </row>
    <row r="871">
      <c r="A871" s="190" t="str">
        <f>IFERROR(__xludf.DUMMYFUNCTION("""COMPUTED_VALUE"""),"Prismatic Shot")</f>
        <v>Prismatic Shot</v>
      </c>
      <c r="B871" s="190" t="str">
        <f>IFERROR(__xludf.DUMMYFUNCTION("""COMPUTED_VALUE"""),"Normal")</f>
        <v>Normal</v>
      </c>
      <c r="C871" s="190" t="str">
        <f>IFERROR(__xludf.DUMMYFUNCTION("""COMPUTED_VALUE"""),"Special")</f>
        <v>Special</v>
      </c>
      <c r="D871" s="190" t="str">
        <f>IFERROR(__xludf.DUMMYFUNCTION("""COMPUTED_VALUE"""),"EOT")</f>
        <v>EOT</v>
      </c>
      <c r="E871" s="190" t="str">
        <f>IFERROR(__xludf.DUMMYFUNCTION("""COMPUTED_VALUE"""),"10, 1 Target; or 4, 2 Targets, Full Action")</f>
        <v>10, 1 Target; or 4, 2 Targets, Full Action</v>
      </c>
      <c r="F871" s="190">
        <f>IFERROR(__xludf.DUMMYFUNCTION("""COMPUTED_VALUE"""),5.0)</f>
        <v>5</v>
      </c>
      <c r="G871" s="190">
        <f>IFERROR(__xludf.DUMMYFUNCTION("""COMPUTED_VALUE"""),8.0)</f>
        <v>8</v>
      </c>
      <c r="H871" s="191" t="str">
        <f>IFERROR(__xludf.DUMMYFUNCTION("""COMPUTED_VALUE"""),"--")</f>
        <v>--</v>
      </c>
      <c r="I871" s="191" t="str">
        <f>IFERROR(__xludf.DUMMYFUNCTION("""COMPUTED_VALUE"""),"--")</f>
        <v>--</v>
      </c>
      <c r="J871" s="190" t="str">
        <f>IFERROR(__xludf.DUMMYFUNCTION("""COMPUTED_VALUE"""),"Tier 2")</f>
        <v>Tier 2</v>
      </c>
      <c r="K871" s="174" t="b">
        <f>IFERROR(__xludf.DUMMYFUNCTION("""COMPUTED_VALUE"""),TRUE)</f>
        <v>1</v>
      </c>
      <c r="L871" s="174"/>
      <c r="M871" s="174"/>
      <c r="N871" s="174"/>
      <c r="O871" s="174"/>
      <c r="P871" s="174"/>
      <c r="Q871" s="174"/>
      <c r="R871" s="174"/>
      <c r="S871" s="174"/>
      <c r="T871" s="174"/>
      <c r="U871" s="174"/>
      <c r="V871" s="174"/>
      <c r="W871" s="174"/>
      <c r="X871" s="174"/>
      <c r="Y871" s="174"/>
      <c r="Z871" s="174"/>
    </row>
    <row r="872">
      <c r="A872" s="190" t="str">
        <f>IFERROR(__xludf.DUMMYFUNCTION("""COMPUTED_VALUE"""),"Protect")</f>
        <v>Protect</v>
      </c>
      <c r="B872" s="190" t="str">
        <f>IFERROR(__xludf.DUMMYFUNCTION("""COMPUTED_VALUE"""),"Normal")</f>
        <v>Normal</v>
      </c>
      <c r="C872" s="190" t="str">
        <f>IFERROR(__xludf.DUMMYFUNCTION("""COMPUTED_VALUE"""),"Status")</f>
        <v>Status</v>
      </c>
      <c r="D872" s="190" t="str">
        <f>IFERROR(__xludf.DUMMYFUNCTION("""COMPUTED_VALUE"""),"Scene x2")</f>
        <v>Scene x2</v>
      </c>
      <c r="E872" s="190" t="str">
        <f>IFERROR(__xludf.DUMMYFUNCTION("""COMPUTED_VALUE"""),"Self, Trigger, Shield")</f>
        <v>Self, Trigger, Shield</v>
      </c>
      <c r="F872" s="190" t="str">
        <f>IFERROR(__xludf.DUMMYFUNCTION("""COMPUTED_VALUE"""),"--")</f>
        <v>--</v>
      </c>
      <c r="G872" s="190" t="str">
        <f>IFERROR(__xludf.DUMMYFUNCTION("""COMPUTED_VALUE"""),"--")</f>
        <v>--</v>
      </c>
      <c r="H872" s="191" t="str">
        <f>IFERROR(__xludf.DUMMYFUNCTION("""COMPUTED_VALUE"""),"This Attack can only be used when the user is hit by a Damaging Attack. As a Reaction, they resist it by an additional Damage Step. As a Standard Action + Reaction, the user is instead not hit by the Attack, does not take any damage nor are they affected "&amp;"by any of the Attack’s effects.")</f>
        <v>This Attack can only be used when the user is hit by a Damaging Attack. As a Reaction, they resist it by an additional Damage Step. As a Standard Action + Reaction, the user is instead not hit by the Attack, does not take any damage nor are they affected by any of the Attack’s effects.</v>
      </c>
      <c r="I872" s="191" t="str">
        <f>IFERROR(__xludf.DUMMYFUNCTION("""COMPUTED_VALUE"""),"--")</f>
        <v>--</v>
      </c>
      <c r="J872" s="190" t="str">
        <f>IFERROR(__xludf.DUMMYFUNCTION("""COMPUTED_VALUE"""),"Tier 2")</f>
        <v>Tier 2</v>
      </c>
      <c r="K872" s="174" t="b">
        <f>IFERROR(__xludf.DUMMYFUNCTION("""COMPUTED_VALUE"""),FALSE)</f>
        <v>0</v>
      </c>
      <c r="L872" s="174"/>
      <c r="M872" s="174"/>
      <c r="N872" s="174"/>
      <c r="O872" s="174"/>
      <c r="P872" s="174"/>
      <c r="Q872" s="174"/>
      <c r="R872" s="174"/>
      <c r="S872" s="174"/>
      <c r="T872" s="174"/>
      <c r="U872" s="174"/>
      <c r="V872" s="174"/>
      <c r="W872" s="174"/>
      <c r="X872" s="174"/>
      <c r="Y872" s="174"/>
      <c r="Z872" s="174"/>
    </row>
    <row r="873">
      <c r="A873" s="190" t="str">
        <f>IFERROR(__xludf.DUMMYFUNCTION("""COMPUTED_VALUE"""),"Psych Up")</f>
        <v>Psych Up</v>
      </c>
      <c r="B873" s="190" t="str">
        <f>IFERROR(__xludf.DUMMYFUNCTION("""COMPUTED_VALUE"""),"Normal")</f>
        <v>Normal</v>
      </c>
      <c r="C873" s="190" t="str">
        <f>IFERROR(__xludf.DUMMYFUNCTION("""COMPUTED_VALUE"""),"Status")</f>
        <v>Status</v>
      </c>
      <c r="D873" s="190" t="str">
        <f>IFERROR(__xludf.DUMMYFUNCTION("""COMPUTED_VALUE"""),"Scene x2")</f>
        <v>Scene x2</v>
      </c>
      <c r="E873" s="190" t="str">
        <f>IFERROR(__xludf.DUMMYFUNCTION("""COMPUTED_VALUE"""),"6, 1 Target, Versatile")</f>
        <v>6, 1 Target, Versatile</v>
      </c>
      <c r="F873" s="190" t="str">
        <f>IFERROR(__xludf.DUMMYFUNCTION("""COMPUTED_VALUE"""),"--")</f>
        <v>--</v>
      </c>
      <c r="G873" s="190" t="str">
        <f>IFERROR(__xludf.DUMMYFUNCTION("""COMPUTED_VALUE"""),"--")</f>
        <v>--</v>
      </c>
      <c r="H873" s="191" t="str">
        <f>IFERROR(__xludf.DUMMYFUNCTION("""COMPUTED_VALUE"""),"The user's Combat Stage Values are replaced with the Values of the Target. Sureshot.")</f>
        <v>The user's Combat Stage Values are replaced with the Values of the Target. Sureshot.</v>
      </c>
      <c r="I873" s="191" t="str">
        <f>IFERROR(__xludf.DUMMYFUNCTION("""COMPUTED_VALUE"""),"Choose one Stat. The user's Combat Stage Value for that Stat is replaced by the Value of the Target in the same Stat. Sureshot.")</f>
        <v>Choose one Stat. The user's Combat Stage Value for that Stat is replaced by the Value of the Target in the same Stat. Sureshot.</v>
      </c>
      <c r="J873" s="190" t="str">
        <f>IFERROR(__xludf.DUMMYFUNCTION("""COMPUTED_VALUE"""),"Tier 2")</f>
        <v>Tier 2</v>
      </c>
      <c r="K873" s="174" t="b">
        <f>IFERROR(__xludf.DUMMYFUNCTION("""COMPUTED_VALUE"""),TRUE)</f>
        <v>1</v>
      </c>
      <c r="L873" s="174"/>
      <c r="M873" s="174"/>
      <c r="N873" s="174"/>
      <c r="O873" s="174"/>
      <c r="P873" s="174"/>
      <c r="Q873" s="174"/>
      <c r="R873" s="174"/>
      <c r="S873" s="174"/>
      <c r="T873" s="174"/>
      <c r="U873" s="174"/>
      <c r="V873" s="174"/>
      <c r="W873" s="174"/>
      <c r="X873" s="174"/>
      <c r="Y873" s="174"/>
      <c r="Z873" s="174"/>
    </row>
    <row r="874">
      <c r="A874" s="190" t="str">
        <f>IFERROR(__xludf.DUMMYFUNCTION("""COMPUTED_VALUE"""),"Quick Attack")</f>
        <v>Quick Attack</v>
      </c>
      <c r="B874" s="190" t="str">
        <f>IFERROR(__xludf.DUMMYFUNCTION("""COMPUTED_VALUE"""),"Normal")</f>
        <v>Normal</v>
      </c>
      <c r="C874" s="190" t="str">
        <f>IFERROR(__xludf.DUMMYFUNCTION("""COMPUTED_VALUE"""),"Physical")</f>
        <v>Physical</v>
      </c>
      <c r="D874" s="190" t="str">
        <f>IFERROR(__xludf.DUMMYFUNCTION("""COMPUTED_VALUE"""),"At-Will")</f>
        <v>At-Will</v>
      </c>
      <c r="E874" s="190" t="str">
        <f>IFERROR(__xludf.DUMMYFUNCTION("""COMPUTED_VALUE"""),"Melee, 1 Target, Dash, Priority")</f>
        <v>Melee, 1 Target, Dash, Priority</v>
      </c>
      <c r="F874" s="190">
        <f>IFERROR(__xludf.DUMMYFUNCTION("""COMPUTED_VALUE"""),2.0)</f>
        <v>2</v>
      </c>
      <c r="G874" s="190">
        <f>IFERROR(__xludf.DUMMYFUNCTION("""COMPUTED_VALUE"""),4.0)</f>
        <v>4</v>
      </c>
      <c r="H874" s="191" t="str">
        <f>IFERROR(__xludf.DUMMYFUNCTION("""COMPUTED_VALUE"""),"If the Dash Keyword is Activated, this Attack ignores Speed Evasion.")</f>
        <v>If the Dash Keyword is Activated, this Attack ignores Speed Evasion.</v>
      </c>
      <c r="I874" s="191" t="str">
        <f>IFERROR(__xludf.DUMMYFUNCTION("""COMPUTED_VALUE"""),"--")</f>
        <v>--</v>
      </c>
      <c r="J874" s="190" t="str">
        <f>IFERROR(__xludf.DUMMYFUNCTION("""COMPUTED_VALUE"""),"Tier 1")</f>
        <v>Tier 1</v>
      </c>
      <c r="K874" s="174" t="b">
        <f>IFERROR(__xludf.DUMMYFUNCTION("""COMPUTED_VALUE"""),TRUE)</f>
        <v>1</v>
      </c>
      <c r="L874" s="174"/>
      <c r="M874" s="174"/>
      <c r="N874" s="174"/>
      <c r="O874" s="174"/>
      <c r="P874" s="174"/>
      <c r="Q874" s="174"/>
      <c r="R874" s="174"/>
      <c r="S874" s="174"/>
      <c r="T874" s="174"/>
      <c r="U874" s="174"/>
      <c r="V874" s="174"/>
      <c r="W874" s="174"/>
      <c r="X874" s="174"/>
      <c r="Y874" s="174"/>
      <c r="Z874" s="174"/>
    </row>
    <row r="875">
      <c r="A875" s="190" t="str">
        <f>IFERROR(__xludf.DUMMYFUNCTION("""COMPUTED_VALUE"""),"Radiant Beam")</f>
        <v>Radiant Beam</v>
      </c>
      <c r="B875" s="190" t="str">
        <f>IFERROR(__xludf.DUMMYFUNCTION("""COMPUTED_VALUE"""),"Normal")</f>
        <v>Normal</v>
      </c>
      <c r="C875" s="190" t="str">
        <f>IFERROR(__xludf.DUMMYFUNCTION("""COMPUTED_VALUE"""),"Special")</f>
        <v>Special</v>
      </c>
      <c r="D875" s="190" t="str">
        <f>IFERROR(__xludf.DUMMYFUNCTION("""COMPUTED_VALUE"""),"EOT")</f>
        <v>EOT</v>
      </c>
      <c r="E875" s="190" t="str">
        <f>IFERROR(__xludf.DUMMYFUNCTION("""COMPUTED_VALUE"""),"6, 1 Target")</f>
        <v>6, 1 Target</v>
      </c>
      <c r="F875" s="190">
        <f>IFERROR(__xludf.DUMMYFUNCTION("""COMPUTED_VALUE"""),4.0)</f>
        <v>4</v>
      </c>
      <c r="G875" s="190">
        <f>IFERROR(__xludf.DUMMYFUNCTION("""COMPUTED_VALUE"""),9.0)</f>
        <v>9</v>
      </c>
      <c r="H875" s="191" t="str">
        <f>IFERROR(__xludf.DUMMYFUNCTION("""COMPUTED_VALUE"""),"On a roll of 18+, the Target becomes Dazed. Smite")</f>
        <v>On a roll of 18+, the Target becomes Dazed. Smite</v>
      </c>
      <c r="I875" s="191" t="str">
        <f>IFERROR(__xludf.DUMMYFUNCTION("""COMPUTED_VALUE"""),"--")</f>
        <v>--</v>
      </c>
      <c r="J875" s="190" t="str">
        <f>IFERROR(__xludf.DUMMYFUNCTION("""COMPUTED_VALUE"""),"Tier 2")</f>
        <v>Tier 2</v>
      </c>
      <c r="K875" s="174" t="b">
        <f>IFERROR(__xludf.DUMMYFUNCTION("""COMPUTED_VALUE"""),TRUE)</f>
        <v>1</v>
      </c>
      <c r="L875" s="174"/>
      <c r="M875" s="174"/>
      <c r="N875" s="174"/>
      <c r="O875" s="174"/>
      <c r="P875" s="174"/>
      <c r="Q875" s="174"/>
      <c r="R875" s="174"/>
      <c r="S875" s="174"/>
      <c r="T875" s="174"/>
      <c r="U875" s="174"/>
      <c r="V875" s="174"/>
      <c r="W875" s="174"/>
      <c r="X875" s="174"/>
      <c r="Y875" s="174"/>
      <c r="Z875" s="174"/>
    </row>
    <row r="876">
      <c r="A876" s="190" t="str">
        <f>IFERROR(__xludf.DUMMYFUNCTION("""COMPUTED_VALUE"""),"Rage")</f>
        <v>Rage</v>
      </c>
      <c r="B876" s="190" t="str">
        <f>IFERROR(__xludf.DUMMYFUNCTION("""COMPUTED_VALUE"""),"Normal")</f>
        <v>Normal</v>
      </c>
      <c r="C876" s="190" t="str">
        <f>IFERROR(__xludf.DUMMYFUNCTION("""COMPUTED_VALUE"""),"Physical")</f>
        <v>Physical</v>
      </c>
      <c r="D876" s="190" t="str">
        <f>IFERROR(__xludf.DUMMYFUNCTION("""COMPUTED_VALUE"""),"At-Will")</f>
        <v>At-Will</v>
      </c>
      <c r="E876" s="190" t="str">
        <f>IFERROR(__xludf.DUMMYFUNCTION("""COMPUTED_VALUE"""),"Melee, 1 Target")</f>
        <v>Melee, 1 Target</v>
      </c>
      <c r="F876" s="190">
        <f>IFERROR(__xludf.DUMMYFUNCTION("""COMPUTED_VALUE"""),2.0)</f>
        <v>2</v>
      </c>
      <c r="G876" s="190">
        <f>IFERROR(__xludf.DUMMYFUNCTION("""COMPUTED_VALUE"""),5.0)</f>
        <v>5</v>
      </c>
      <c r="H876" s="191" t="str">
        <f>IFERROR(__xludf.DUMMYFUNCTION("""COMPUTED_VALUE"""),"The user becomes Enraged. Until the end of the next Round, if the user is Enraged, the user gains +1 Attack or Special Attack CS whenever they are damaged by an Attack. Spirit Surge.")</f>
        <v>The user becomes Enraged. Until the end of the next Round, if the user is Enraged, the user gains +1 Attack or Special Attack CS whenever they are damaged by an Attack. Spirit Surge.</v>
      </c>
      <c r="I876" s="191" t="str">
        <f>IFERROR(__xludf.DUMMYFUNCTION("""COMPUTED_VALUE"""),"--")</f>
        <v>--</v>
      </c>
      <c r="J876" s="190" t="str">
        <f>IFERROR(__xludf.DUMMYFUNCTION("""COMPUTED_VALUE"""),"Tier 1")</f>
        <v>Tier 1</v>
      </c>
      <c r="K876" s="174" t="b">
        <f>IFERROR(__xludf.DUMMYFUNCTION("""COMPUTED_VALUE"""),TRUE)</f>
        <v>1</v>
      </c>
      <c r="L876" s="174"/>
      <c r="M876" s="174"/>
      <c r="N876" s="174"/>
      <c r="O876" s="174"/>
      <c r="P876" s="174"/>
      <c r="Q876" s="174"/>
      <c r="R876" s="174"/>
      <c r="S876" s="174"/>
      <c r="T876" s="174"/>
      <c r="U876" s="174"/>
      <c r="V876" s="174"/>
      <c r="W876" s="174"/>
      <c r="X876" s="174"/>
      <c r="Y876" s="174"/>
      <c r="Z876" s="174"/>
    </row>
    <row r="877">
      <c r="A877" s="190" t="str">
        <f>IFERROR(__xludf.DUMMYFUNCTION("""COMPUTED_VALUE"""),"Rapid Spin")</f>
        <v>Rapid Spin</v>
      </c>
      <c r="B877" s="190" t="str">
        <f>IFERROR(__xludf.DUMMYFUNCTION("""COMPUTED_VALUE"""),"Normal")</f>
        <v>Normal</v>
      </c>
      <c r="C877" s="190" t="str">
        <f>IFERROR(__xludf.DUMMYFUNCTION("""COMPUTED_VALUE"""),"Physical")</f>
        <v>Physical</v>
      </c>
      <c r="D877" s="190" t="str">
        <f>IFERROR(__xludf.DUMMYFUNCTION("""COMPUTED_VALUE"""),"EOT")</f>
        <v>EOT</v>
      </c>
      <c r="E877" s="190" t="str">
        <f>IFERROR(__xludf.DUMMYFUNCTION("""COMPUTED_VALUE"""),"Burst 1")</f>
        <v>Burst 1</v>
      </c>
      <c r="F877" s="190">
        <f>IFERROR(__xludf.DUMMYFUNCTION("""COMPUTED_VALUE"""),5.0)</f>
        <v>5</v>
      </c>
      <c r="G877" s="190">
        <f>IFERROR(__xludf.DUMMYFUNCTION("""COMPUTED_VALUE"""),4.0)</f>
        <v>4</v>
      </c>
      <c r="H877" s="191" t="str">
        <f>IFERROR(__xludf.DUMMYFUNCTION("""COMPUTED_VALUE"""),"Rapid Spin destroys all non-Blocking Hazards within 3m and removes all Coats the user is affected by. Spirit Surge.")</f>
        <v>Rapid Spin destroys all non-Blocking Hazards within 3m and removes all Coats the user is affected by. Spirit Surge.</v>
      </c>
      <c r="I877" s="191" t="str">
        <f>IFERROR(__xludf.DUMMYFUNCTION("""COMPUTED_VALUE"""),"--")</f>
        <v>--</v>
      </c>
      <c r="J877" s="190" t="str">
        <f>IFERROR(__xludf.DUMMYFUNCTION("""COMPUTED_VALUE"""),"Tier 1")</f>
        <v>Tier 1</v>
      </c>
      <c r="K877" s="174" t="b">
        <f>IFERROR(__xludf.DUMMYFUNCTION("""COMPUTED_VALUE"""),TRUE)</f>
        <v>1</v>
      </c>
      <c r="L877" s="174"/>
      <c r="M877" s="174"/>
      <c r="N877" s="174"/>
      <c r="O877" s="174"/>
      <c r="P877" s="174"/>
      <c r="Q877" s="174"/>
      <c r="R877" s="174"/>
      <c r="S877" s="174"/>
      <c r="T877" s="174"/>
      <c r="U877" s="174"/>
      <c r="V877" s="174"/>
      <c r="W877" s="174"/>
      <c r="X877" s="174"/>
      <c r="Y877" s="174"/>
      <c r="Z877" s="174"/>
    </row>
    <row r="878">
      <c r="A878" s="190" t="str">
        <f>IFERROR(__xludf.DUMMYFUNCTION("""COMPUTED_VALUE"""),"Recover")</f>
        <v>Recover</v>
      </c>
      <c r="B878" s="190" t="str">
        <f>IFERROR(__xludf.DUMMYFUNCTION("""COMPUTED_VALUE"""),"Normal")</f>
        <v>Normal</v>
      </c>
      <c r="C878" s="190" t="str">
        <f>IFERROR(__xludf.DUMMYFUNCTION("""COMPUTED_VALUE"""),"Status")</f>
        <v>Status</v>
      </c>
      <c r="D878" s="190" t="str">
        <f>IFERROR(__xludf.DUMMYFUNCTION("""COMPUTED_VALUE"""),"Scene x2")</f>
        <v>Scene x2</v>
      </c>
      <c r="E878" s="190" t="str">
        <f>IFERROR(__xludf.DUMMYFUNCTION("""COMPUTED_VALUE"""),"Self, Healing, Versatile")</f>
        <v>Self, Healing, Versatile</v>
      </c>
      <c r="F878" s="190" t="str">
        <f>IFERROR(__xludf.DUMMYFUNCTION("""COMPUTED_VALUE"""),"--")</f>
        <v>--</v>
      </c>
      <c r="G878" s="190" t="str">
        <f>IFERROR(__xludf.DUMMYFUNCTION("""COMPUTED_VALUE"""),"--")</f>
        <v>--</v>
      </c>
      <c r="H878" s="191" t="str">
        <f>IFERROR(__xludf.DUMMYFUNCTION("""COMPUTED_VALUE"""),"The user chooses to either restore 5 Ticks of Hit Points or become cured of all Physical Afflictions.")</f>
        <v>The user chooses to either restore 5 Ticks of Hit Points or become cured of all Physical Afflictions.</v>
      </c>
      <c r="I878" s="191" t="str">
        <f>IFERROR(__xludf.DUMMYFUNCTION("""COMPUTED_VALUE"""),"The user is cured of a Physical Affliction.")</f>
        <v>The user is cured of a Physical Affliction.</v>
      </c>
      <c r="J878" s="190" t="str">
        <f>IFERROR(__xludf.DUMMYFUNCTION("""COMPUTED_VALUE"""),"Tier 2")</f>
        <v>Tier 2</v>
      </c>
      <c r="K878" s="174" t="b">
        <f>IFERROR(__xludf.DUMMYFUNCTION("""COMPUTED_VALUE"""),TRUE)</f>
        <v>1</v>
      </c>
      <c r="L878" s="174"/>
      <c r="M878" s="174"/>
      <c r="N878" s="174"/>
      <c r="O878" s="174"/>
      <c r="P878" s="174"/>
      <c r="Q878" s="174"/>
      <c r="R878" s="174"/>
      <c r="S878" s="174"/>
      <c r="T878" s="174"/>
      <c r="U878" s="174"/>
      <c r="V878" s="174"/>
      <c r="W878" s="174"/>
      <c r="X878" s="174"/>
      <c r="Y878" s="174"/>
      <c r="Z878" s="174"/>
    </row>
    <row r="879">
      <c r="A879" s="190" t="str">
        <f>IFERROR(__xludf.DUMMYFUNCTION("""COMPUTED_VALUE"""),"Recycle")</f>
        <v>Recycle</v>
      </c>
      <c r="B879" s="190" t="str">
        <f>IFERROR(__xludf.DUMMYFUNCTION("""COMPUTED_VALUE"""),"Normal")</f>
        <v>Normal</v>
      </c>
      <c r="C879" s="190" t="str">
        <f>IFERROR(__xludf.DUMMYFUNCTION("""COMPUTED_VALUE"""),"Status")</f>
        <v>Status</v>
      </c>
      <c r="D879" s="190" t="str">
        <f>IFERROR(__xludf.DUMMYFUNCTION("""COMPUTED_VALUE"""),"Scene x2")</f>
        <v>Scene x2</v>
      </c>
      <c r="E879" s="190" t="str">
        <f>IFERROR(__xludf.DUMMYFUNCTION("""COMPUTED_VALUE"""),"Self, Versatile")</f>
        <v>Self, Versatile</v>
      </c>
      <c r="F879" s="190" t="str">
        <f>IFERROR(__xludf.DUMMYFUNCTION("""COMPUTED_VALUE"""),"--")</f>
        <v>--</v>
      </c>
      <c r="G879" s="190" t="str">
        <f>IFERROR(__xludf.DUMMYFUNCTION("""COMPUTED_VALUE"""),"--")</f>
        <v>--</v>
      </c>
      <c r="H879" s="191" t="str">
        <f>IFERROR(__xludf.DUMMYFUNCTION("""COMPUTED_VALUE"""),"The user gains Temporary Hit Points equal to their Maximum Hit Points minus their Current Hit Point Value. Temporary Hit Points gained this way are removed at the start of your next Turn.")</f>
        <v>The user gains Temporary Hit Points equal to their Maximum Hit Points minus their Current Hit Point Value. Temporary Hit Points gained this way are removed at the start of your next Turn.</v>
      </c>
      <c r="I879" s="191" t="str">
        <f>IFERROR(__xludf.DUMMYFUNCTION("""COMPUTED_VALUE"""),"The user gains a Tick of Temporary Hit Points.   ")</f>
        <v>The user gains a Tick of Temporary Hit Points.   </v>
      </c>
      <c r="J879" s="190" t="str">
        <f>IFERROR(__xludf.DUMMYFUNCTION("""COMPUTED_VALUE"""),"Tier 2")</f>
        <v>Tier 2</v>
      </c>
      <c r="K879" s="174" t="b">
        <f>IFERROR(__xludf.DUMMYFUNCTION("""COMPUTED_VALUE"""),TRUE)</f>
        <v>1</v>
      </c>
      <c r="L879" s="174"/>
      <c r="M879" s="174"/>
      <c r="N879" s="174"/>
      <c r="O879" s="174"/>
      <c r="P879" s="174"/>
      <c r="Q879" s="174"/>
      <c r="R879" s="174"/>
      <c r="S879" s="174"/>
      <c r="T879" s="174"/>
      <c r="U879" s="174"/>
      <c r="V879" s="174"/>
      <c r="W879" s="174"/>
      <c r="X879" s="174"/>
      <c r="Y879" s="174"/>
      <c r="Z879" s="174"/>
    </row>
    <row r="880">
      <c r="A880" s="190" t="str">
        <f>IFERROR(__xludf.DUMMYFUNCTION("""COMPUTED_VALUE"""),"Reflect Type")</f>
        <v>Reflect Type</v>
      </c>
      <c r="B880" s="190" t="str">
        <f>IFERROR(__xludf.DUMMYFUNCTION("""COMPUTED_VALUE"""),"Normal")</f>
        <v>Normal</v>
      </c>
      <c r="C880" s="190" t="str">
        <f>IFERROR(__xludf.DUMMYFUNCTION("""COMPUTED_VALUE"""),"Status")</f>
        <v>Status</v>
      </c>
      <c r="D880" s="190" t="str">
        <f>IFERROR(__xludf.DUMMYFUNCTION("""COMPUTED_VALUE"""),"Scene x2")</f>
        <v>Scene x2</v>
      </c>
      <c r="E880" s="190" t="str">
        <f>IFERROR(__xludf.DUMMYFUNCTION("""COMPUTED_VALUE"""),"5, 1 Target, Swift Action")</f>
        <v>5, 1 Target, Swift Action</v>
      </c>
      <c r="F880" s="190" t="str">
        <f>IFERROR(__xludf.DUMMYFUNCTION("""COMPUTED_VALUE"""),"--")</f>
        <v>--</v>
      </c>
      <c r="G880" s="190" t="str">
        <f>IFERROR(__xludf.DUMMYFUNCTION("""COMPUTED_VALUE"""),"--")</f>
        <v>--</v>
      </c>
      <c r="H880" s="191" t="str">
        <f>IFERROR(__xludf.DUMMYFUNCTION("""COMPUTED_VALUE"""),"The user loses all of their Types. Choose a Type that the Target has, then the user becomes that Type. All changes made this way revert at the end of the Scene. Sureshot.")</f>
        <v>The user loses all of their Types. Choose a Type that the Target has, then the user becomes that Type. All changes made this way revert at the end of the Scene. Sureshot.</v>
      </c>
      <c r="I880" s="191" t="str">
        <f>IFERROR(__xludf.DUMMYFUNCTION("""COMPUTED_VALUE"""),"--")</f>
        <v>--</v>
      </c>
      <c r="J880" s="190" t="str">
        <f>IFERROR(__xludf.DUMMYFUNCTION("""COMPUTED_VALUE"""),"Tier 2")</f>
        <v>Tier 2</v>
      </c>
      <c r="K880" s="174" t="b">
        <f>IFERROR(__xludf.DUMMYFUNCTION("""COMPUTED_VALUE"""),TRUE)</f>
        <v>1</v>
      </c>
      <c r="L880" s="174"/>
      <c r="M880" s="174"/>
      <c r="N880" s="174"/>
      <c r="O880" s="174"/>
      <c r="P880" s="174"/>
      <c r="Q880" s="174"/>
      <c r="R880" s="174"/>
      <c r="S880" s="174"/>
      <c r="T880" s="174"/>
      <c r="U880" s="174"/>
      <c r="V880" s="174"/>
      <c r="W880" s="174"/>
      <c r="X880" s="174"/>
      <c r="Y880" s="174"/>
      <c r="Z880" s="174"/>
    </row>
    <row r="881">
      <c r="A881" s="190" t="str">
        <f>IFERROR(__xludf.DUMMYFUNCTION("""COMPUTED_VALUE"""),"Refresh")</f>
        <v>Refresh</v>
      </c>
      <c r="B881" s="190" t="str">
        <f>IFERROR(__xludf.DUMMYFUNCTION("""COMPUTED_VALUE"""),"Normal")</f>
        <v>Normal</v>
      </c>
      <c r="C881" s="190" t="str">
        <f>IFERROR(__xludf.DUMMYFUNCTION("""COMPUTED_VALUE"""),"Status")</f>
        <v>Status</v>
      </c>
      <c r="D881" s="190" t="str">
        <f>IFERROR(__xludf.DUMMYFUNCTION("""COMPUTED_VALUE"""),"Scene x2")</f>
        <v>Scene x2</v>
      </c>
      <c r="E881" s="190" t="str">
        <f>IFERROR(__xludf.DUMMYFUNCTION("""COMPUTED_VALUE"""),"Melee, 1 Target or Self, Healing, Versatile")</f>
        <v>Melee, 1 Target or Self, Healing, Versatile</v>
      </c>
      <c r="F881" s="190" t="str">
        <f>IFERROR(__xludf.DUMMYFUNCTION("""COMPUTED_VALUE"""),"--")</f>
        <v>--</v>
      </c>
      <c r="G881" s="190" t="str">
        <f>IFERROR(__xludf.DUMMYFUNCTION("""COMPUTED_VALUE"""),"--")</f>
        <v>--</v>
      </c>
      <c r="H881" s="191" t="str">
        <f>IFERROR(__xludf.DUMMYFUNCTION("""COMPUTED_VALUE"""),"Choose one to apply to the Target:
■ Their Negative CS is reset to their Default Value
■ They are cured of a Physical Affliction
■ They remove all Coats they're affected by")</f>
        <v>Choose one to apply to the Target:
■ Their Negative CS is reset to their Default Value
■ They are cured of a Physical Affliction
■ They remove all Coats they're affected by</v>
      </c>
      <c r="I881" s="191" t="str">
        <f>IFERROR(__xludf.DUMMYFUNCTION("""COMPUTED_VALUE"""),"If the Target has a Physical Affliction, they pass their next Save Check. ")</f>
        <v>If the Target has a Physical Affliction, they pass their next Save Check. </v>
      </c>
      <c r="J881" s="190" t="str">
        <f>IFERROR(__xludf.DUMMYFUNCTION("""COMPUTED_VALUE"""),"Tier 2")</f>
        <v>Tier 2</v>
      </c>
      <c r="K881" s="174" t="b">
        <f>IFERROR(__xludf.DUMMYFUNCTION("""COMPUTED_VALUE"""),TRUE)</f>
        <v>1</v>
      </c>
      <c r="L881" s="174"/>
      <c r="M881" s="174"/>
      <c r="N881" s="174"/>
      <c r="O881" s="174"/>
      <c r="P881" s="174"/>
      <c r="Q881" s="174"/>
      <c r="R881" s="174"/>
      <c r="S881" s="174"/>
      <c r="T881" s="174"/>
      <c r="U881" s="174"/>
      <c r="V881" s="174"/>
      <c r="W881" s="174"/>
      <c r="X881" s="174"/>
      <c r="Y881" s="174"/>
      <c r="Z881" s="174"/>
    </row>
    <row r="882">
      <c r="A882" s="190" t="str">
        <f>IFERROR(__xludf.DUMMYFUNCTION("""COMPUTED_VALUE"""),"Retaliate")</f>
        <v>Retaliate</v>
      </c>
      <c r="B882" s="190" t="str">
        <f>IFERROR(__xludf.DUMMYFUNCTION("""COMPUTED_VALUE"""),"Normal")</f>
        <v>Normal</v>
      </c>
      <c r="C882" s="190" t="str">
        <f>IFERROR(__xludf.DUMMYFUNCTION("""COMPUTED_VALUE"""),"Physical")</f>
        <v>Physical</v>
      </c>
      <c r="D882" s="190" t="str">
        <f>IFERROR(__xludf.DUMMYFUNCTION("""COMPUTED_VALUE"""),"Scene x2")</f>
        <v>Scene x2</v>
      </c>
      <c r="E882" s="190" t="str">
        <f>IFERROR(__xludf.DUMMYFUNCTION("""COMPUTED_VALUE"""),"Melee, 1 Target")</f>
        <v>Melee, 1 Target</v>
      </c>
      <c r="F882" s="190">
        <f>IFERROR(__xludf.DUMMYFUNCTION("""COMPUTED_VALUE"""),3.0)</f>
        <v>3</v>
      </c>
      <c r="G882" s="190">
        <f>IFERROR(__xludf.DUMMYFUNCTION("""COMPUTED_VALUE"""),6.0)</f>
        <v>6</v>
      </c>
      <c r="H882" s="191" t="str">
        <f>IFERROR(__xludf.DUMMYFUNCTION("""COMPUTED_VALUE"""),"This Attack's Damage Base is increased by +3 for each time the user was targeted with an Attack this Round. If an Ally fainted this Round, this has the Sureshot Keyword.")</f>
        <v>This Attack's Damage Base is increased by +3 for each time the user was targeted with an Attack this Round. If an Ally fainted this Round, this has the Sureshot Keyword.</v>
      </c>
      <c r="I882" s="191" t="str">
        <f>IFERROR(__xludf.DUMMYFUNCTION("""COMPUTED_VALUE"""),"--")</f>
        <v>--</v>
      </c>
      <c r="J882" s="190" t="str">
        <f>IFERROR(__xludf.DUMMYFUNCTION("""COMPUTED_VALUE"""),"Tier 2")</f>
        <v>Tier 2</v>
      </c>
      <c r="K882" s="174" t="b">
        <f>IFERROR(__xludf.DUMMYFUNCTION("""COMPUTED_VALUE"""),TRUE)</f>
        <v>1</v>
      </c>
      <c r="L882" s="174"/>
      <c r="M882" s="174"/>
      <c r="N882" s="174"/>
      <c r="O882" s="174"/>
      <c r="P882" s="174"/>
      <c r="Q882" s="174"/>
      <c r="R882" s="174"/>
      <c r="S882" s="174"/>
      <c r="T882" s="174"/>
      <c r="U882" s="174"/>
      <c r="V882" s="174"/>
      <c r="W882" s="174"/>
      <c r="X882" s="174"/>
      <c r="Y882" s="174"/>
      <c r="Z882" s="174"/>
    </row>
    <row r="883">
      <c r="A883" s="190" t="str">
        <f>IFERROR(__xludf.DUMMYFUNCTION("""COMPUTED_VALUE"""),"Return")</f>
        <v>Return</v>
      </c>
      <c r="B883" s="190" t="str">
        <f>IFERROR(__xludf.DUMMYFUNCTION("""COMPUTED_VALUE"""),"Normal")</f>
        <v>Normal</v>
      </c>
      <c r="C883" s="190" t="str">
        <f>IFERROR(__xludf.DUMMYFUNCTION("""COMPUTED_VALUE"""),"Physical")</f>
        <v>Physical</v>
      </c>
      <c r="D883" s="190" t="str">
        <f>IFERROR(__xludf.DUMMYFUNCTION("""COMPUTED_VALUE"""),"At-Will")</f>
        <v>At-Will</v>
      </c>
      <c r="E883" s="190" t="str">
        <f>IFERROR(__xludf.DUMMYFUNCTION("""COMPUTED_VALUE"""),"Melee, 1 Target")</f>
        <v>Melee, 1 Target</v>
      </c>
      <c r="F883" s="190">
        <f>IFERROR(__xludf.DUMMYFUNCTION("""COMPUTED_VALUE"""),3.0)</f>
        <v>3</v>
      </c>
      <c r="G883" s="190" t="str">
        <f>IFERROR(__xludf.DUMMYFUNCTION("""COMPUTED_VALUE"""),"X, See Effect")</f>
        <v>X, See Effect</v>
      </c>
      <c r="H883" s="191" t="str">
        <f>IFERROR(__xludf.DUMMYFUNCTION("""COMPUTED_VALUE"""),"Return's Damage Base is equal to 4 plus two times the number of allies that have hit the Target since the end of this Pokemon's last turn (to a maximum of DB 12).")</f>
        <v>Return's Damage Base is equal to 4 plus two times the number of allies that have hit the Target since the end of this Pokemon's last turn (to a maximum of DB 12).</v>
      </c>
      <c r="I883" s="191" t="str">
        <f>IFERROR(__xludf.DUMMYFUNCTION("""COMPUTED_VALUE"""),"--")</f>
        <v>--</v>
      </c>
      <c r="J883" s="190" t="str">
        <f>IFERROR(__xludf.DUMMYFUNCTION("""COMPUTED_VALUE"""),"Tier 2")</f>
        <v>Tier 2</v>
      </c>
      <c r="K883" s="174" t="b">
        <f>IFERROR(__xludf.DUMMYFUNCTION("""COMPUTED_VALUE"""),TRUE)</f>
        <v>1</v>
      </c>
      <c r="L883" s="174"/>
      <c r="M883" s="174"/>
      <c r="N883" s="174"/>
      <c r="O883" s="174"/>
      <c r="P883" s="174"/>
      <c r="Q883" s="174"/>
      <c r="R883" s="174"/>
      <c r="S883" s="174"/>
      <c r="T883" s="174"/>
      <c r="U883" s="174"/>
      <c r="V883" s="174"/>
      <c r="W883" s="174"/>
      <c r="X883" s="174"/>
      <c r="Y883" s="174"/>
      <c r="Z883" s="174"/>
    </row>
    <row r="884">
      <c r="A884" s="190" t="str">
        <f>IFERROR(__xludf.DUMMYFUNCTION("""COMPUTED_VALUE"""),"Revelation Dance")</f>
        <v>Revelation Dance</v>
      </c>
      <c r="B884" s="190" t="str">
        <f>IFERROR(__xludf.DUMMYFUNCTION("""COMPUTED_VALUE"""),"Normal")</f>
        <v>Normal</v>
      </c>
      <c r="C884" s="190" t="str">
        <f>IFERROR(__xludf.DUMMYFUNCTION("""COMPUTED_VALUE"""),"Special")</f>
        <v>Special</v>
      </c>
      <c r="D884" s="190" t="str">
        <f>IFERROR(__xludf.DUMMYFUNCTION("""COMPUTED_VALUE"""),"EOT")</f>
        <v>EOT</v>
      </c>
      <c r="E884" s="190" t="str">
        <f>IFERROR(__xludf.DUMMYFUNCTION("""COMPUTED_VALUE"""),"6, 1 Target")</f>
        <v>6, 1 Target</v>
      </c>
      <c r="F884" s="190">
        <f>IFERROR(__xludf.DUMMYFUNCTION("""COMPUTED_VALUE"""),4.0)</f>
        <v>4</v>
      </c>
      <c r="G884" s="190">
        <f>IFERROR(__xludf.DUMMYFUNCTION("""COMPUTED_VALUE"""),9.0)</f>
        <v>9</v>
      </c>
      <c r="H884" s="191" t="str">
        <f>IFERROR(__xludf.DUMMYFUNCTION("""COMPUTED_VALUE"""),"Revelation Dance is the same Type as the user’s primary Type (aka the first one in its Pokedex listing).")</f>
        <v>Revelation Dance is the same Type as the user’s primary Type (aka the first one in its Pokedex listing).</v>
      </c>
      <c r="I884" s="191" t="str">
        <f>IFERROR(__xludf.DUMMYFUNCTION("""COMPUTED_VALUE"""),"--")</f>
        <v>--</v>
      </c>
      <c r="J884" s="190" t="str">
        <f>IFERROR(__xludf.DUMMYFUNCTION("""COMPUTED_VALUE"""),"Tier 2")</f>
        <v>Tier 2</v>
      </c>
      <c r="K884" s="174" t="b">
        <f>IFERROR(__xludf.DUMMYFUNCTION("""COMPUTED_VALUE"""),TRUE)</f>
        <v>1</v>
      </c>
      <c r="L884" s="174"/>
      <c r="M884" s="174"/>
      <c r="N884" s="174"/>
      <c r="O884" s="174"/>
      <c r="P884" s="174"/>
      <c r="Q884" s="174"/>
      <c r="R884" s="174"/>
      <c r="S884" s="174"/>
      <c r="T884" s="174"/>
      <c r="U884" s="174"/>
      <c r="V884" s="174"/>
      <c r="W884" s="174"/>
      <c r="X884" s="174"/>
      <c r="Y884" s="174"/>
      <c r="Z884" s="174"/>
    </row>
    <row r="885">
      <c r="A885" s="190" t="str">
        <f>IFERROR(__xludf.DUMMYFUNCTION("""COMPUTED_VALUE"""),"Roar")</f>
        <v>Roar</v>
      </c>
      <c r="B885" s="190" t="str">
        <f>IFERROR(__xludf.DUMMYFUNCTION("""COMPUTED_VALUE"""),"Normal")</f>
        <v>Normal</v>
      </c>
      <c r="C885" s="190" t="str">
        <f>IFERROR(__xludf.DUMMYFUNCTION("""COMPUTED_VALUE"""),"Status")</f>
        <v>Status</v>
      </c>
      <c r="D885" s="190" t="str">
        <f>IFERROR(__xludf.DUMMYFUNCTION("""COMPUTED_VALUE"""),"Scene x2")</f>
        <v>Scene x2</v>
      </c>
      <c r="E885" s="190" t="str">
        <f>IFERROR(__xludf.DUMMYFUNCTION("""COMPUTED_VALUE"""),"Burst 1, Sonic, Social")</f>
        <v>Burst 1, Sonic, Social</v>
      </c>
      <c r="F885" s="190" t="str">
        <f>IFERROR(__xludf.DUMMYFUNCTION("""COMPUTED_VALUE"""),"--")</f>
        <v>--</v>
      </c>
      <c r="G885" s="190" t="str">
        <f>IFERROR(__xludf.DUMMYFUNCTION("""COMPUTED_VALUE"""),"--")</f>
        <v>--</v>
      </c>
      <c r="H885" s="191" t="str">
        <f>IFERROR(__xludf.DUMMYFUNCTION("""COMPUTED_VALUE"""),"All Targets lose -1 CS in Attack and Special Attack. X is equal to the Target's Movement Value. Slide X (Away), Sureshot.")</f>
        <v>All Targets lose -1 CS in Attack and Special Attack. X is equal to the Target's Movement Value. Slide X (Away), Sureshot.</v>
      </c>
      <c r="I885" s="191" t="str">
        <f>IFERROR(__xludf.DUMMYFUNCTION("""COMPUTED_VALUE"""),"--")</f>
        <v>--</v>
      </c>
      <c r="J885" s="190" t="str">
        <f>IFERROR(__xludf.DUMMYFUNCTION("""COMPUTED_VALUE"""),"Tier 2")</f>
        <v>Tier 2</v>
      </c>
      <c r="K885" s="174" t="b">
        <f>IFERROR(__xludf.DUMMYFUNCTION("""COMPUTED_VALUE"""),TRUE)</f>
        <v>1</v>
      </c>
      <c r="L885" s="174"/>
      <c r="M885" s="174"/>
      <c r="N885" s="174"/>
      <c r="O885" s="174"/>
      <c r="P885" s="174"/>
      <c r="Q885" s="174"/>
      <c r="R885" s="174"/>
      <c r="S885" s="174"/>
      <c r="T885" s="174"/>
      <c r="U885" s="174"/>
      <c r="V885" s="174"/>
      <c r="W885" s="174"/>
      <c r="X885" s="174"/>
      <c r="Y885" s="174"/>
      <c r="Z885" s="174"/>
    </row>
    <row r="886">
      <c r="A886" s="190" t="str">
        <f>IFERROR(__xludf.DUMMYFUNCTION("""COMPUTED_VALUE"""),"Rock Climb")</f>
        <v>Rock Climb</v>
      </c>
      <c r="B886" s="190" t="str">
        <f>IFERROR(__xludf.DUMMYFUNCTION("""COMPUTED_VALUE"""),"Normal")</f>
        <v>Normal</v>
      </c>
      <c r="C886" s="190" t="str">
        <f>IFERROR(__xludf.DUMMYFUNCTION("""COMPUTED_VALUE"""),"Physical")</f>
        <v>Physical</v>
      </c>
      <c r="D886" s="190" t="str">
        <f>IFERROR(__xludf.DUMMYFUNCTION("""COMPUTED_VALUE"""),"At-Will")</f>
        <v>At-Will</v>
      </c>
      <c r="E886" s="190" t="str">
        <f>IFERROR(__xludf.DUMMYFUNCTION("""COMPUTED_VALUE"""),"Melee, 1 Target ")</f>
        <v>Melee, 1 Target </v>
      </c>
      <c r="F886" s="190">
        <f>IFERROR(__xludf.DUMMYFUNCTION("""COMPUTED_VALUE"""),3.0)</f>
        <v>3</v>
      </c>
      <c r="G886" s="190">
        <f>IFERROR(__xludf.DUMMYFUNCTION("""COMPUTED_VALUE"""),8.0)</f>
        <v>8</v>
      </c>
      <c r="H886" s="191" t="str">
        <f>IFERROR(__xludf.DUMMYFUNCTION("""COMPUTED_VALUE"""),"At the start of the user's Turn they may declare the usage of Rock Climb. During this Turn when moving, you ignore all Movement Penalties. *Grants Climber")</f>
        <v>At the start of the user's Turn they may declare the usage of Rock Climb. During this Turn when moving, you ignore all Movement Penalties. *Grants Climber</v>
      </c>
      <c r="I886" s="191" t="str">
        <f>IFERROR(__xludf.DUMMYFUNCTION("""COMPUTED_VALUE"""),"--")</f>
        <v>--</v>
      </c>
      <c r="J886" s="190" t="str">
        <f>IFERROR(__xludf.DUMMYFUNCTION("""COMPUTED_VALUE"""),"Tier 2")</f>
        <v>Tier 2</v>
      </c>
      <c r="K886" s="174" t="b">
        <f>IFERROR(__xludf.DUMMYFUNCTION("""COMPUTED_VALUE"""),TRUE)</f>
        <v>1</v>
      </c>
      <c r="L886" s="174"/>
      <c r="M886" s="174"/>
      <c r="N886" s="174"/>
      <c r="O886" s="174"/>
      <c r="P886" s="174"/>
      <c r="Q886" s="174"/>
      <c r="R886" s="174"/>
      <c r="S886" s="174"/>
      <c r="T886" s="174"/>
      <c r="U886" s="174"/>
      <c r="V886" s="174"/>
      <c r="W886" s="174"/>
      <c r="X886" s="174"/>
      <c r="Y886" s="174"/>
      <c r="Z886" s="174"/>
    </row>
    <row r="887">
      <c r="A887" s="190" t="str">
        <f>IFERROR(__xludf.DUMMYFUNCTION("""COMPUTED_VALUE"""),"Round")</f>
        <v>Round</v>
      </c>
      <c r="B887" s="190" t="str">
        <f>IFERROR(__xludf.DUMMYFUNCTION("""COMPUTED_VALUE"""),"Normal")</f>
        <v>Normal</v>
      </c>
      <c r="C887" s="190" t="str">
        <f>IFERROR(__xludf.DUMMYFUNCTION("""COMPUTED_VALUE"""),"Special")</f>
        <v>Special</v>
      </c>
      <c r="D887" s="190" t="str">
        <f>IFERROR(__xludf.DUMMYFUNCTION("""COMPUTED_VALUE"""),"EOT")</f>
        <v>EOT</v>
      </c>
      <c r="E887" s="190" t="str">
        <f>IFERROR(__xludf.DUMMYFUNCTION("""COMPUTED_VALUE"""),"Burst 1, Sonic")</f>
        <v>Burst 1, Sonic</v>
      </c>
      <c r="F887" s="190">
        <f>IFERROR(__xludf.DUMMYFUNCTION("""COMPUTED_VALUE"""),5.0)</f>
        <v>5</v>
      </c>
      <c r="G887" s="190">
        <f>IFERROR(__xludf.DUMMYFUNCTION("""COMPUTED_VALUE"""),6.0)</f>
        <v>6</v>
      </c>
      <c r="H887" s="191" t="str">
        <f>IFERROR(__xludf.DUMMYFUNCTION("""COMPUTED_VALUE"""),"If an Attack with the Sonic Keyword was used against the Target this Round, they cannot apply Evasion against this Attack. ")</f>
        <v>If an Attack with the Sonic Keyword was used against the Target this Round, they cannot apply Evasion against this Attack. </v>
      </c>
      <c r="I887" s="191" t="str">
        <f>IFERROR(__xludf.DUMMYFUNCTION("""COMPUTED_VALUE"""),"--")</f>
        <v>--</v>
      </c>
      <c r="J887" s="190" t="str">
        <f>IFERROR(__xludf.DUMMYFUNCTION("""COMPUTED_VALUE"""),"Tier 1")</f>
        <v>Tier 1</v>
      </c>
      <c r="K887" s="174" t="b">
        <f>IFERROR(__xludf.DUMMYFUNCTION("""COMPUTED_VALUE"""),TRUE)</f>
        <v>1</v>
      </c>
      <c r="L887" s="174"/>
      <c r="M887" s="174"/>
      <c r="N887" s="174"/>
      <c r="O887" s="174"/>
      <c r="P887" s="174"/>
      <c r="Q887" s="174"/>
      <c r="R887" s="174"/>
      <c r="S887" s="174"/>
      <c r="T887" s="174"/>
      <c r="U887" s="174"/>
      <c r="V887" s="174"/>
      <c r="W887" s="174"/>
      <c r="X887" s="174"/>
      <c r="Y887" s="174"/>
      <c r="Z887" s="174"/>
    </row>
    <row r="888">
      <c r="A888" s="190" t="str">
        <f>IFERROR(__xludf.DUMMYFUNCTION("""COMPUTED_VALUE"""),"Safeguard")</f>
        <v>Safeguard</v>
      </c>
      <c r="B888" s="190" t="str">
        <f>IFERROR(__xludf.DUMMYFUNCTION("""COMPUTED_VALUE"""),"Normal")</f>
        <v>Normal</v>
      </c>
      <c r="C888" s="190" t="str">
        <f>IFERROR(__xludf.DUMMYFUNCTION("""COMPUTED_VALUE"""),"Status")</f>
        <v>Status</v>
      </c>
      <c r="D888" s="190" t="str">
        <f>IFERROR(__xludf.DUMMYFUNCTION("""COMPUTED_VALUE"""),"Scene x2")</f>
        <v>Scene x2</v>
      </c>
      <c r="E888" s="190" t="str">
        <f>IFERROR(__xludf.DUMMYFUNCTION("""COMPUTED_VALUE"""),"Blessing, Versatile")</f>
        <v>Blessing, Versatile</v>
      </c>
      <c r="F888" s="190" t="str">
        <f>IFERROR(__xludf.DUMMYFUNCTION("""COMPUTED_VALUE"""),"--")</f>
        <v>--</v>
      </c>
      <c r="G888" s="190" t="str">
        <f>IFERROR(__xludf.DUMMYFUNCTION("""COMPUTED_VALUE"""),"--")</f>
        <v>--</v>
      </c>
      <c r="H888" s="191" t="str">
        <f>IFERROR(__xludf.DUMMYFUNCTION("""COMPUTED_VALUE"""),"Blessing – Any user affected by Safeguard may activate it as a Free Action when receiving a Status Affliction from an Enemy to instead not gain that Affliction. The user or Allies additionally may use a Swift Action to expend an Activation and become cure"&amp;"d of a Status Affliction. Safeguard may be Activated 3 times, and then disappears.")</f>
        <v>Blessing – Any user affected by Safeguard may activate it as a Free Action when receiving a Status Affliction from an Enemy to instead not gain that Affliction. The user or Allies additionally may use a Swift Action to expend an Activation and become cured of a Status Affliction. Safeguard may be Activated 3 times, and then disappears.</v>
      </c>
      <c r="I888" s="191" t="str">
        <f>IFERROR(__xludf.DUMMYFUNCTION("""COMPUTED_VALUE"""),"Same as the normal Effect but it only has 1 Activation.")</f>
        <v>Same as the normal Effect but it only has 1 Activation.</v>
      </c>
      <c r="J888" s="190" t="str">
        <f>IFERROR(__xludf.DUMMYFUNCTION("""COMPUTED_VALUE"""),"Tier 2")</f>
        <v>Tier 2</v>
      </c>
      <c r="K888" s="174" t="b">
        <f>IFERROR(__xludf.DUMMYFUNCTION("""COMPUTED_VALUE"""),TRUE)</f>
        <v>1</v>
      </c>
      <c r="L888" s="174"/>
      <c r="M888" s="174"/>
      <c r="N888" s="174"/>
      <c r="O888" s="174"/>
      <c r="P888" s="174"/>
      <c r="Q888" s="174"/>
      <c r="R888" s="174"/>
      <c r="S888" s="174"/>
      <c r="T888" s="174"/>
      <c r="U888" s="174"/>
      <c r="V888" s="174"/>
      <c r="W888" s="174"/>
      <c r="X888" s="174"/>
      <c r="Y888" s="174"/>
      <c r="Z888" s="174"/>
    </row>
    <row r="889">
      <c r="A889" s="190" t="str">
        <f>IFERROR(__xludf.DUMMYFUNCTION("""COMPUTED_VALUE"""),"Scary Face")</f>
        <v>Scary Face</v>
      </c>
      <c r="B889" s="190" t="str">
        <f>IFERROR(__xludf.DUMMYFUNCTION("""COMPUTED_VALUE"""),"Normal")</f>
        <v>Normal</v>
      </c>
      <c r="C889" s="190" t="str">
        <f>IFERROR(__xludf.DUMMYFUNCTION("""COMPUTED_VALUE"""),"Status")</f>
        <v>Status</v>
      </c>
      <c r="D889" s="190" t="str">
        <f>IFERROR(__xludf.DUMMYFUNCTION("""COMPUTED_VALUE"""),"EOT")</f>
        <v>EOT</v>
      </c>
      <c r="E889" s="190" t="str">
        <f>IFERROR(__xludf.DUMMYFUNCTION("""COMPUTED_VALUE"""),"Close Blast 2, Versatile")</f>
        <v>Close Blast 2, Versatile</v>
      </c>
      <c r="F889" s="190">
        <f>IFERROR(__xludf.DUMMYFUNCTION("""COMPUTED_VALUE"""),6.0)</f>
        <v>6</v>
      </c>
      <c r="G889" s="190" t="str">
        <f>IFERROR(__xludf.DUMMYFUNCTION("""COMPUTED_VALUE"""),"--")</f>
        <v>--</v>
      </c>
      <c r="H889" s="191" t="str">
        <f>IFERROR(__xludf.DUMMYFUNCTION("""COMPUTED_VALUE"""),"All Targets become Suppressed. On a 15+, they cannot activate Reactions until the start of your next Turn. ")</f>
        <v>All Targets become Suppressed. On a 15+, they cannot activate Reactions until the start of your next Turn. </v>
      </c>
      <c r="I889" s="191" t="str">
        <f>IFERROR(__xludf.DUMMYFUNCTION("""COMPUTED_VALUE"""),"Each Target may either Slide 2 (Away), or cannot use Reactions until the start of your next Turn. You may choose which effect applies to each Target. ")</f>
        <v>Each Target may either Slide 2 (Away), or cannot use Reactions until the start of your next Turn. You may choose which effect applies to each Target. </v>
      </c>
      <c r="J889" s="190" t="str">
        <f>IFERROR(__xludf.DUMMYFUNCTION("""COMPUTED_VALUE"""),"Tier 1")</f>
        <v>Tier 1</v>
      </c>
      <c r="K889" s="174" t="b">
        <f>IFERROR(__xludf.DUMMYFUNCTION("""COMPUTED_VALUE"""),TRUE)</f>
        <v>1</v>
      </c>
      <c r="L889" s="174"/>
      <c r="M889" s="174"/>
      <c r="N889" s="174"/>
      <c r="O889" s="174"/>
      <c r="P889" s="174"/>
      <c r="Q889" s="174"/>
      <c r="R889" s="174"/>
      <c r="S889" s="174"/>
      <c r="T889" s="174"/>
      <c r="U889" s="174"/>
      <c r="V889" s="174"/>
      <c r="W889" s="174"/>
      <c r="X889" s="174"/>
      <c r="Y889" s="174"/>
      <c r="Z889" s="174"/>
    </row>
    <row r="890">
      <c r="A890" s="190" t="str">
        <f>IFERROR(__xludf.DUMMYFUNCTION("""COMPUTED_VALUE"""),"Scratch")</f>
        <v>Scratch</v>
      </c>
      <c r="B890" s="190" t="str">
        <f>IFERROR(__xludf.DUMMYFUNCTION("""COMPUTED_VALUE"""),"Normal")</f>
        <v>Normal</v>
      </c>
      <c r="C890" s="190" t="str">
        <f>IFERROR(__xludf.DUMMYFUNCTION("""COMPUTED_VALUE"""),"Physical")</f>
        <v>Physical</v>
      </c>
      <c r="D890" s="190" t="str">
        <f>IFERROR(__xludf.DUMMYFUNCTION("""COMPUTED_VALUE"""),"At-Will")</f>
        <v>At-Will</v>
      </c>
      <c r="E890" s="190" t="str">
        <f>IFERROR(__xludf.DUMMYFUNCTION("""COMPUTED_VALUE"""),"Melee, Pass")</f>
        <v>Melee, Pass</v>
      </c>
      <c r="F890" s="190">
        <f>IFERROR(__xludf.DUMMYFUNCTION("""COMPUTED_VALUE"""),5.0)</f>
        <v>5</v>
      </c>
      <c r="G890" s="190">
        <f>IFERROR(__xludf.DUMMYFUNCTION("""COMPUTED_VALUE"""),4.0)</f>
        <v>4</v>
      </c>
      <c r="H890" s="191" t="str">
        <f>IFERROR(__xludf.DUMMYFUNCTION("""COMPUTED_VALUE"""),"On a roll of 18+, the Target becomes Wounded. Smite")</f>
        <v>On a roll of 18+, the Target becomes Wounded. Smite</v>
      </c>
      <c r="I890" s="191" t="str">
        <f>IFERROR(__xludf.DUMMYFUNCTION("""COMPUTED_VALUE"""),"--")</f>
        <v>--</v>
      </c>
      <c r="J890" s="190" t="str">
        <f>IFERROR(__xludf.DUMMYFUNCTION("""COMPUTED_VALUE"""),"Tier 1")</f>
        <v>Tier 1</v>
      </c>
      <c r="K890" s="174" t="b">
        <f>IFERROR(__xludf.DUMMYFUNCTION("""COMPUTED_VALUE"""),TRUE)</f>
        <v>1</v>
      </c>
      <c r="L890" s="174"/>
      <c r="M890" s="174"/>
      <c r="N890" s="174"/>
      <c r="O890" s="174"/>
      <c r="P890" s="174"/>
      <c r="Q890" s="174"/>
      <c r="R890" s="174"/>
      <c r="S890" s="174"/>
      <c r="T890" s="174"/>
      <c r="U890" s="174"/>
      <c r="V890" s="174"/>
      <c r="W890" s="174"/>
      <c r="X890" s="174"/>
      <c r="Y890" s="174"/>
      <c r="Z890" s="174"/>
    </row>
    <row r="891">
      <c r="A891" s="190" t="str">
        <f>IFERROR(__xludf.DUMMYFUNCTION("""COMPUTED_VALUE"""),"Screech")</f>
        <v>Screech</v>
      </c>
      <c r="B891" s="190" t="str">
        <f>IFERROR(__xludf.DUMMYFUNCTION("""COMPUTED_VALUE"""),"Normal")</f>
        <v>Normal</v>
      </c>
      <c r="C891" s="190" t="str">
        <f>IFERROR(__xludf.DUMMYFUNCTION("""COMPUTED_VALUE"""),"Status")</f>
        <v>Status</v>
      </c>
      <c r="D891" s="190" t="str">
        <f>IFERROR(__xludf.DUMMYFUNCTION("""COMPUTED_VALUE"""),"EOT")</f>
        <v>EOT</v>
      </c>
      <c r="E891" s="190" t="str">
        <f>IFERROR(__xludf.DUMMYFUNCTION("""COMPUTED_VALUE"""),"Burst 1, Sonic, Versatile")</f>
        <v>Burst 1, Sonic, Versatile</v>
      </c>
      <c r="F891" s="190">
        <f>IFERROR(__xludf.DUMMYFUNCTION("""COMPUTED_VALUE"""),5.0)</f>
        <v>5</v>
      </c>
      <c r="G891" s="190" t="str">
        <f>IFERROR(__xludf.DUMMYFUNCTION("""COMPUTED_VALUE"""),"--")</f>
        <v>--</v>
      </c>
      <c r="H891" s="191" t="str">
        <f>IFERROR(__xludf.DUMMYFUNCTION("""COMPUTED_VALUE"""),"All Targets have their Defense lowered by -3 CS. When this Attack hits, all Targets also become Dazed. Friendly, Spirit Surge.")</f>
        <v>All Targets have their Defense lowered by -3 CS. When this Attack hits, all Targets also become Dazed. Friendly, Spirit Surge.</v>
      </c>
      <c r="I891" s="191" t="str">
        <f>IFERROR(__xludf.DUMMYFUNCTION("""COMPUTED_VALUE"""),"All Targets have their Defense lowered by -2 CS. If this misses, it instead lowers it by -1. Friendly. Spirit Surge.")</f>
        <v>All Targets have their Defense lowered by -2 CS. If this misses, it instead lowers it by -1. Friendly. Spirit Surge.</v>
      </c>
      <c r="J891" s="190" t="str">
        <f>IFERROR(__xludf.DUMMYFUNCTION("""COMPUTED_VALUE"""),"Tier 1")</f>
        <v>Tier 1</v>
      </c>
      <c r="K891" s="174" t="b">
        <f>IFERROR(__xludf.DUMMYFUNCTION("""COMPUTED_VALUE"""),TRUE)</f>
        <v>1</v>
      </c>
      <c r="L891" s="174"/>
      <c r="M891" s="174"/>
      <c r="N891" s="174"/>
      <c r="O891" s="174"/>
      <c r="P891" s="174"/>
      <c r="Q891" s="174"/>
      <c r="R891" s="174"/>
      <c r="S891" s="174"/>
      <c r="T891" s="174"/>
      <c r="U891" s="174"/>
      <c r="V891" s="174"/>
      <c r="W891" s="174"/>
      <c r="X891" s="174"/>
      <c r="Y891" s="174"/>
      <c r="Z891" s="174"/>
    </row>
    <row r="892">
      <c r="A892" s="190" t="str">
        <f>IFERROR(__xludf.DUMMYFUNCTION("""COMPUTED_VALUE"""),"Sharpen")</f>
        <v>Sharpen</v>
      </c>
      <c r="B892" s="190" t="str">
        <f>IFERROR(__xludf.DUMMYFUNCTION("""COMPUTED_VALUE"""),"Normal")</f>
        <v>Normal</v>
      </c>
      <c r="C892" s="190" t="str">
        <f>IFERROR(__xludf.DUMMYFUNCTION("""COMPUTED_VALUE"""),"Status")</f>
        <v>Status</v>
      </c>
      <c r="D892" s="190" t="str">
        <f>IFERROR(__xludf.DUMMYFUNCTION("""COMPUTED_VALUE"""),"EOT")</f>
        <v>EOT</v>
      </c>
      <c r="E892" s="190" t="str">
        <f>IFERROR(__xludf.DUMMYFUNCTION("""COMPUTED_VALUE"""),"Self, Coat, Versatile")</f>
        <v>Self, Coat, Versatile</v>
      </c>
      <c r="F892" s="190" t="str">
        <f>IFERROR(__xludf.DUMMYFUNCTION("""COMPUTED_VALUE"""),"--")</f>
        <v>--</v>
      </c>
      <c r="G892" s="190" t="str">
        <f>IFERROR(__xludf.DUMMYFUNCTION("""COMPUTED_VALUE"""),"--")</f>
        <v>--</v>
      </c>
      <c r="H892" s="191" t="str">
        <f>IFERROR(__xludf.DUMMYFUNCTION("""COMPUTED_VALUE"""),"The user’s Attack or Special Attack are raised by +2 CS and the user gains a Sharp Coat. The user may expend the Sharp Coat as a Reaction when your Melee Attack is Resisted by a Target (By Type or Effect). When Expended this way, the Attack becomes one st"&amp;"ep more Effective against the Target who Resisted it.")</f>
        <v>The user’s Attack or Special Attack are raised by +2 CS and the user gains a Sharp Coat. The user may expend the Sharp Coat as a Reaction when your Melee Attack is Resisted by a Target (By Type or Effect). When Expended this way, the Attack becomes one step more Effective against the Target who Resisted it.</v>
      </c>
      <c r="I892" s="191" t="str">
        <f>IFERROR(__xludf.DUMMYFUNCTION("""COMPUTED_VALUE"""),"The user gains a Sharp Coat. The user may expend the Sharp Coat as a Reaction when your Melee Attack is Resisted by a Target (By Type or Effect). When Expended this way, the Attack becomes one step more Effective against the Target who Resisted it.")</f>
        <v>The user gains a Sharp Coat. The user may expend the Sharp Coat as a Reaction when your Melee Attack is Resisted by a Target (By Type or Effect). When Expended this way, the Attack becomes one step more Effective against the Target who Resisted it.</v>
      </c>
      <c r="J892" s="190" t="str">
        <f>IFERROR(__xludf.DUMMYFUNCTION("""COMPUTED_VALUE"""),"Tier 1")</f>
        <v>Tier 1</v>
      </c>
      <c r="K892" s="174" t="b">
        <f>IFERROR(__xludf.DUMMYFUNCTION("""COMPUTED_VALUE"""),TRUE)</f>
        <v>1</v>
      </c>
      <c r="L892" s="174"/>
      <c r="M892" s="174"/>
      <c r="N892" s="174"/>
      <c r="O892" s="174"/>
      <c r="P892" s="174"/>
      <c r="Q892" s="174"/>
      <c r="R892" s="174"/>
      <c r="S892" s="174"/>
      <c r="T892" s="174"/>
      <c r="U892" s="174"/>
      <c r="V892" s="174"/>
      <c r="W892" s="174"/>
      <c r="X892" s="174"/>
      <c r="Y892" s="174"/>
      <c r="Z892" s="174"/>
    </row>
    <row r="893">
      <c r="A893" s="190" t="str">
        <f>IFERROR(__xludf.DUMMYFUNCTION("""COMPUTED_VALUE"""),"Shell Smash")</f>
        <v>Shell Smash</v>
      </c>
      <c r="B893" s="190" t="str">
        <f>IFERROR(__xludf.DUMMYFUNCTION("""COMPUTED_VALUE"""),"Normal")</f>
        <v>Normal</v>
      </c>
      <c r="C893" s="190" t="str">
        <f>IFERROR(__xludf.DUMMYFUNCTION("""COMPUTED_VALUE"""),"Status")</f>
        <v>Status</v>
      </c>
      <c r="D893" s="190" t="str">
        <f>IFERROR(__xludf.DUMMYFUNCTION("""COMPUTED_VALUE"""),"Scene x2")</f>
        <v>Scene x2</v>
      </c>
      <c r="E893" s="190" t="str">
        <f>IFERROR(__xludf.DUMMYFUNCTION("""COMPUTED_VALUE"""),"Self, Versatile")</f>
        <v>Self, Versatile</v>
      </c>
      <c r="F893" s="190" t="str">
        <f>IFERROR(__xludf.DUMMYFUNCTION("""COMPUTED_VALUE"""),"--")</f>
        <v>--</v>
      </c>
      <c r="G893" s="190" t="str">
        <f>IFERROR(__xludf.DUMMYFUNCTION("""COMPUTED_VALUE"""),"--")</f>
        <v>--</v>
      </c>
      <c r="H893" s="191" t="str">
        <f>IFERROR(__xludf.DUMMYFUNCTION("""COMPUTED_VALUE"""),"The user gains +3 CS in Attack, Special Attack, and Speed, then becomes Vulnerable until the end of the next Round.")</f>
        <v>The user gains +3 CS in Attack, Special Attack, and Speed, then becomes Vulnerable until the end of the next Round.</v>
      </c>
      <c r="I893" s="191" t="str">
        <f>IFERROR(__xludf.DUMMYFUNCTION("""COMPUTED_VALUE"""),"The user gains +1 CS in Attack, Special Attack, and Speed, then becomes Vulnerable against the next Attack to Target them.")</f>
        <v>The user gains +1 CS in Attack, Special Attack, and Speed, then becomes Vulnerable against the next Attack to Target them.</v>
      </c>
      <c r="J893" s="190" t="str">
        <f>IFERROR(__xludf.DUMMYFUNCTION("""COMPUTED_VALUE"""),"Tier 2")</f>
        <v>Tier 2</v>
      </c>
      <c r="K893" s="174" t="b">
        <f>IFERROR(__xludf.DUMMYFUNCTION("""COMPUTED_VALUE"""),TRUE)</f>
        <v>1</v>
      </c>
      <c r="L893" s="174"/>
      <c r="M893" s="174"/>
      <c r="N893" s="174"/>
      <c r="O893" s="174"/>
      <c r="P893" s="174"/>
      <c r="Q893" s="174"/>
      <c r="R893" s="174"/>
      <c r="S893" s="174"/>
      <c r="T893" s="174"/>
      <c r="U893" s="174"/>
      <c r="V893" s="174"/>
      <c r="W893" s="174"/>
      <c r="X893" s="174"/>
      <c r="Y893" s="174"/>
      <c r="Z893" s="174"/>
    </row>
    <row r="894">
      <c r="A894" s="190" t="str">
        <f>IFERROR(__xludf.DUMMYFUNCTION("""COMPUTED_VALUE"""),"Shed Tail")</f>
        <v>Shed Tail</v>
      </c>
      <c r="B894" s="190" t="str">
        <f>IFERROR(__xludf.DUMMYFUNCTION("""COMPUTED_VALUE"""),"Normal")</f>
        <v>Normal</v>
      </c>
      <c r="C894" s="190" t="str">
        <f>IFERROR(__xludf.DUMMYFUNCTION("""COMPUTED_VALUE"""),"Status")</f>
        <v>Status</v>
      </c>
      <c r="D894" s="190" t="str">
        <f>IFERROR(__xludf.DUMMYFUNCTION("""COMPUTED_VALUE"""),"Scene ")</f>
        <v>Scene </v>
      </c>
      <c r="E894" s="190" t="str">
        <f>IFERROR(__xludf.DUMMYFUNCTION("""COMPUTED_VALUE"""),"Self, Shield, Trigger")</f>
        <v>Self, Shield, Trigger</v>
      </c>
      <c r="F894" s="190" t="str">
        <f>IFERROR(__xludf.DUMMYFUNCTION("""COMPUTED_VALUE"""),"--")</f>
        <v>--</v>
      </c>
      <c r="G894" s="190" t="str">
        <f>IFERROR(__xludf.DUMMYFUNCTION("""COMPUTED_VALUE"""),"--")</f>
        <v>--</v>
      </c>
      <c r="H894" s="191" t="str">
        <f>IFERROR(__xludf.DUMMYFUNCTION("""COMPUTED_VALUE"""),"If the user is hit by a Melee Attack, the user may use Shed Tail as a Reaction. The user Resists the Attack by an additional damage step. You may then Disengage as a Free Action. ")</f>
        <v>If the user is hit by a Melee Attack, the user may use Shed Tail as a Reaction. The user Resists the Attack by an additional damage step. You may then Disengage as a Free Action. </v>
      </c>
      <c r="I894" s="191" t="str">
        <f>IFERROR(__xludf.DUMMYFUNCTION("""COMPUTED_VALUE"""),"--")</f>
        <v>--</v>
      </c>
      <c r="J894" s="190" t="str">
        <f>IFERROR(__xludf.DUMMYFUNCTION("""COMPUTED_VALUE"""),"Tier 2")</f>
        <v>Tier 2</v>
      </c>
      <c r="K894" s="174" t="b">
        <f>IFERROR(__xludf.DUMMYFUNCTION("""COMPUTED_VALUE"""),TRUE)</f>
        <v>1</v>
      </c>
      <c r="L894" s="174"/>
      <c r="M894" s="174"/>
      <c r="N894" s="174"/>
      <c r="O894" s="174"/>
      <c r="P894" s="174"/>
      <c r="Q894" s="174"/>
      <c r="R894" s="174"/>
      <c r="S894" s="174"/>
      <c r="T894" s="174"/>
      <c r="U894" s="174"/>
      <c r="V894" s="174"/>
      <c r="W894" s="174"/>
      <c r="X894" s="174"/>
      <c r="Y894" s="174"/>
      <c r="Z894" s="174"/>
    </row>
    <row r="895">
      <c r="A895" s="190" t="str">
        <f>IFERROR(__xludf.DUMMYFUNCTION("""COMPUTED_VALUE"""),"Shining Shroud")</f>
        <v>Shining Shroud</v>
      </c>
      <c r="B895" s="190" t="str">
        <f>IFERROR(__xludf.DUMMYFUNCTION("""COMPUTED_VALUE"""),"Normal")</f>
        <v>Normal</v>
      </c>
      <c r="C895" s="190" t="str">
        <f>IFERROR(__xludf.DUMMYFUNCTION("""COMPUTED_VALUE"""),"Status")</f>
        <v>Status</v>
      </c>
      <c r="D895" s="190" t="str">
        <f>IFERROR(__xludf.DUMMYFUNCTION("""COMPUTED_VALUE"""),"EOT")</f>
        <v>EOT</v>
      </c>
      <c r="E895" s="190" t="str">
        <f>IFERROR(__xludf.DUMMYFUNCTION("""COMPUTED_VALUE"""),"5, Ranged Blast 3")</f>
        <v>5, Ranged Blast 3</v>
      </c>
      <c r="F895" s="190" t="str">
        <f>IFERROR(__xludf.DUMMYFUNCTION("""COMPUTED_VALUE"""),"--")</f>
        <v>--</v>
      </c>
      <c r="G895" s="190" t="str">
        <f>IFERROR(__xludf.DUMMYFUNCTION("""COMPUTED_VALUE"""),"--")</f>
        <v>--</v>
      </c>
      <c r="H895" s="191" t="str">
        <f>IFERROR(__xludf.DUMMYFUNCTION("""COMPUTED_VALUE"""),"Create a Zone within the Range of the Attack. Any Enemy without the Blindsense Capability is Blinded while they're in this Zone. This Zone is removed when you Faint or at the end of the next Round, whichever comes first.")</f>
        <v>Create a Zone within the Range of the Attack. Any Enemy without the Blindsense Capability is Blinded while they're in this Zone. This Zone is removed when you Faint or at the end of the next Round, whichever comes first.</v>
      </c>
      <c r="I895" s="191" t="str">
        <f>IFERROR(__xludf.DUMMYFUNCTION("""COMPUTED_VALUE"""),"--")</f>
        <v>--</v>
      </c>
      <c r="J895" s="190" t="str">
        <f>IFERROR(__xludf.DUMMYFUNCTION("""COMPUTED_VALUE"""),"Tier 1")</f>
        <v>Tier 1</v>
      </c>
      <c r="K895" s="174" t="b">
        <f>IFERROR(__xludf.DUMMYFUNCTION("""COMPUTED_VALUE"""),TRUE)</f>
        <v>1</v>
      </c>
      <c r="L895" s="174"/>
      <c r="M895" s="174"/>
      <c r="N895" s="174"/>
      <c r="O895" s="174"/>
      <c r="P895" s="174"/>
      <c r="Q895" s="174"/>
      <c r="R895" s="174"/>
      <c r="S895" s="174"/>
      <c r="T895" s="174"/>
      <c r="U895" s="174"/>
      <c r="V895" s="174"/>
      <c r="W895" s="174"/>
      <c r="X895" s="174"/>
      <c r="Y895" s="174"/>
      <c r="Z895" s="174"/>
    </row>
    <row r="896">
      <c r="A896" s="190" t="str">
        <f>IFERROR(__xludf.DUMMYFUNCTION("""COMPUTED_VALUE"""),"Simple Beam")</f>
        <v>Simple Beam</v>
      </c>
      <c r="B896" s="190" t="str">
        <f>IFERROR(__xludf.DUMMYFUNCTION("""COMPUTED_VALUE"""),"Normal")</f>
        <v>Normal</v>
      </c>
      <c r="C896" s="190" t="str">
        <f>IFERROR(__xludf.DUMMYFUNCTION("""COMPUTED_VALUE"""),"Status")</f>
        <v>Status</v>
      </c>
      <c r="D896" s="190" t="str">
        <f>IFERROR(__xludf.DUMMYFUNCTION("""COMPUTED_VALUE"""),"Scene x2")</f>
        <v>Scene x2</v>
      </c>
      <c r="E896" s="190" t="str">
        <f>IFERROR(__xludf.DUMMYFUNCTION("""COMPUTED_VALUE"""),"Line 5, Versatile")</f>
        <v>Line 5, Versatile</v>
      </c>
      <c r="F896" s="190">
        <f>IFERROR(__xludf.DUMMYFUNCTION("""COMPUTED_VALUE"""),5.0)</f>
        <v>5</v>
      </c>
      <c r="G896" s="190" t="str">
        <f>IFERROR(__xludf.DUMMYFUNCTION("""COMPUTED_VALUE"""),"--")</f>
        <v>--</v>
      </c>
      <c r="H896" s="191" t="str">
        <f>IFERROR(__xludf.DUMMYFUNCTION("""COMPUTED_VALUE"""),"Choose one effect to apply to each Target. A random ability becomes Disabled. Their Attacks become Normal Type until the end of their next Turn. A Stat of the Target is reset to its Default Value.")</f>
        <v>Choose one effect to apply to each Target. A random ability becomes Disabled. Their Attacks become Normal Type until the end of their next Turn. A Stat of the Target is reset to its Default Value.</v>
      </c>
      <c r="I896" s="191" t="str">
        <f>IFERROR(__xludf.DUMMYFUNCTION("""COMPUTED_VALUE"""),"Same as the normal effects but the range becomes 4, 1 Target.")</f>
        <v>Same as the normal effects but the range becomes 4, 1 Target.</v>
      </c>
      <c r="J896" s="190" t="str">
        <f>IFERROR(__xludf.DUMMYFUNCTION("""COMPUTED_VALUE"""),"Tier 2")</f>
        <v>Tier 2</v>
      </c>
      <c r="K896" s="174" t="b">
        <f>IFERROR(__xludf.DUMMYFUNCTION("""COMPUTED_VALUE"""),TRUE)</f>
        <v>1</v>
      </c>
      <c r="L896" s="174"/>
      <c r="M896" s="174"/>
      <c r="N896" s="174"/>
      <c r="O896" s="174"/>
      <c r="P896" s="174"/>
      <c r="Q896" s="174"/>
      <c r="R896" s="174"/>
      <c r="S896" s="174"/>
      <c r="T896" s="174"/>
      <c r="U896" s="174"/>
      <c r="V896" s="174"/>
      <c r="W896" s="174"/>
      <c r="X896" s="174"/>
      <c r="Y896" s="174"/>
      <c r="Z896" s="174"/>
    </row>
    <row r="897">
      <c r="A897" s="190" t="str">
        <f>IFERROR(__xludf.DUMMYFUNCTION("""COMPUTED_VALUE"""),"Sing")</f>
        <v>Sing</v>
      </c>
      <c r="B897" s="190" t="str">
        <f>IFERROR(__xludf.DUMMYFUNCTION("""COMPUTED_VALUE"""),"Normal")</f>
        <v>Normal</v>
      </c>
      <c r="C897" s="190" t="str">
        <f>IFERROR(__xludf.DUMMYFUNCTION("""COMPUTED_VALUE"""),"Status")</f>
        <v>Status</v>
      </c>
      <c r="D897" s="190" t="str">
        <f>IFERROR(__xludf.DUMMYFUNCTION("""COMPUTED_VALUE"""),"Scene x2")</f>
        <v>Scene x2</v>
      </c>
      <c r="E897" s="190" t="str">
        <f>IFERROR(__xludf.DUMMYFUNCTION("""COMPUTED_VALUE"""),"Burst 1, Sonic, Versatile")</f>
        <v>Burst 1, Sonic, Versatile</v>
      </c>
      <c r="F897" s="190">
        <f>IFERROR(__xludf.DUMMYFUNCTION("""COMPUTED_VALUE"""),7.0)</f>
        <v>7</v>
      </c>
      <c r="G897" s="190" t="str">
        <f>IFERROR(__xludf.DUMMYFUNCTION("""COMPUTED_VALUE"""),"--")</f>
        <v>--</v>
      </c>
      <c r="H897" s="191" t="str">
        <f>IFERROR(__xludf.DUMMYFUNCTION("""COMPUTED_VALUE"""),"All Targets hit by Sing become Drowsy. On a Miss, they instead become Vulnerable against the next Attack that targets them until the end of the next Round. Friendly, Spirit Surge.")</f>
        <v>All Targets hit by Sing become Drowsy. On a Miss, they instead become Vulnerable against the next Attack that targets them until the end of the next Round. Friendly, Spirit Surge.</v>
      </c>
      <c r="I897" s="191" t="str">
        <f>IFERROR(__xludf.DUMMYFUNCTION("""COMPUTED_VALUE"""),"Same as the normal Effects, but its Range is changed to Melee, 1 Target.")</f>
        <v>Same as the normal Effects, but its Range is changed to Melee, 1 Target.</v>
      </c>
      <c r="J897" s="190" t="str">
        <f>IFERROR(__xludf.DUMMYFUNCTION("""COMPUTED_VALUE"""),"Tier 2")</f>
        <v>Tier 2</v>
      </c>
      <c r="K897" s="174" t="b">
        <f>IFERROR(__xludf.DUMMYFUNCTION("""COMPUTED_VALUE"""),TRUE)</f>
        <v>1</v>
      </c>
      <c r="L897" s="174"/>
      <c r="M897" s="174"/>
      <c r="N897" s="174"/>
      <c r="O897" s="174"/>
      <c r="P897" s="174"/>
      <c r="Q897" s="174"/>
      <c r="R897" s="174"/>
      <c r="S897" s="174"/>
      <c r="T897" s="174"/>
      <c r="U897" s="174"/>
      <c r="V897" s="174"/>
      <c r="W897" s="174"/>
      <c r="X897" s="174"/>
      <c r="Y897" s="174"/>
      <c r="Z897" s="174"/>
    </row>
    <row r="898">
      <c r="A898" s="190" t="str">
        <f>IFERROR(__xludf.DUMMYFUNCTION("""COMPUTED_VALUE"""),"Sketch")</f>
        <v>Sketch</v>
      </c>
      <c r="B898" s="190" t="str">
        <f>IFERROR(__xludf.DUMMYFUNCTION("""COMPUTED_VALUE"""),"Normal")</f>
        <v>Normal</v>
      </c>
      <c r="C898" s="190" t="str">
        <f>IFERROR(__xludf.DUMMYFUNCTION("""COMPUTED_VALUE"""),"Status")</f>
        <v>Status</v>
      </c>
      <c r="D898" s="190" t="str">
        <f>IFERROR(__xludf.DUMMYFUNCTION("""COMPUTED_VALUE"""),"Scene")</f>
        <v>Scene</v>
      </c>
      <c r="E898" s="190" t="str">
        <f>IFERROR(__xludf.DUMMYFUNCTION("""COMPUTED_VALUE"""),"15, 1 Target")</f>
        <v>15, 1 Target</v>
      </c>
      <c r="F898" s="190" t="str">
        <f>IFERROR(__xludf.DUMMYFUNCTION("""COMPUTED_VALUE"""),"--")</f>
        <v>--</v>
      </c>
      <c r="G898" s="190" t="str">
        <f>IFERROR(__xludf.DUMMYFUNCTION("""COMPUTED_VALUE"""),"--")</f>
        <v>--</v>
      </c>
      <c r="H898" s="191" t="str">
        <f>IFERROR(__xludf.DUMMYFUNCTION("""COMPUTED_VALUE"""),"Once Sketch has been used, remove Sketch from the user's Attack List. The last Attack that the Target used is added to the user's Attack List permanently. Sketch cannot be Reacted to or Intercepted. Once used, Sketch is replaced for the user with the adde"&amp;"d Attack for the purposes of things such as relearning. Sketch cannot be used to gain an Attack unique to a Boss Pokemon or a Legendary Signature Attack. Sureshot.")</f>
        <v>Once Sketch has been used, remove Sketch from the user's Attack List. The last Attack that the Target used is added to the user's Attack List permanently. Sketch cannot be Reacted to or Intercepted. Once used, Sketch is replaced for the user with the added Attack for the purposes of things such as relearning. Sketch cannot be used to gain an Attack unique to a Boss Pokemon or a Legendary Signature Attack. Sureshot.</v>
      </c>
      <c r="I898" s="191" t="str">
        <f>IFERROR(__xludf.DUMMYFUNCTION("""COMPUTED_VALUE"""),"--")</f>
        <v>--</v>
      </c>
      <c r="J898" s="190" t="str">
        <f>IFERROR(__xludf.DUMMYFUNCTION("""COMPUTED_VALUE"""),"Tier 3")</f>
        <v>Tier 3</v>
      </c>
      <c r="K898" s="174" t="b">
        <f>IFERROR(__xludf.DUMMYFUNCTION("""COMPUTED_VALUE"""),FALSE)</f>
        <v>0</v>
      </c>
      <c r="L898" s="174"/>
      <c r="M898" s="174"/>
      <c r="N898" s="174"/>
      <c r="O898" s="174"/>
      <c r="P898" s="174"/>
      <c r="Q898" s="174"/>
      <c r="R898" s="174"/>
      <c r="S898" s="174"/>
      <c r="T898" s="174"/>
      <c r="U898" s="174"/>
      <c r="V898" s="174"/>
      <c r="W898" s="174"/>
      <c r="X898" s="174"/>
      <c r="Y898" s="174"/>
      <c r="Z898" s="174"/>
    </row>
    <row r="899">
      <c r="A899" s="190" t="str">
        <f>IFERROR(__xludf.DUMMYFUNCTION("""COMPUTED_VALUE"""),"Skull Bash")</f>
        <v>Skull Bash</v>
      </c>
      <c r="B899" s="190" t="str">
        <f>IFERROR(__xludf.DUMMYFUNCTION("""COMPUTED_VALUE"""),"Normal")</f>
        <v>Normal</v>
      </c>
      <c r="C899" s="190" t="str">
        <f>IFERROR(__xludf.DUMMYFUNCTION("""COMPUTED_VALUE"""),"Physical")</f>
        <v>Physical</v>
      </c>
      <c r="D899" s="190" t="str">
        <f>IFERROR(__xludf.DUMMYFUNCTION("""COMPUTED_VALUE"""),"Scene x2")</f>
        <v>Scene x2</v>
      </c>
      <c r="E899" s="190" t="str">
        <f>IFERROR(__xludf.DUMMYFUNCTION("""COMPUTED_VALUE"""),"Melee, 1 Target, Set-Up")</f>
        <v>Melee, 1 Target, Set-Up</v>
      </c>
      <c r="F899" s="190">
        <f>IFERROR(__xludf.DUMMYFUNCTION("""COMPUTED_VALUE"""),4.0)</f>
        <v>4</v>
      </c>
      <c r="G899" s="190">
        <f>IFERROR(__xludf.DUMMYFUNCTION("""COMPUTED_VALUE"""),12.0)</f>
        <v>12</v>
      </c>
      <c r="H899" s="191" t="str">
        <f>IFERROR(__xludf.DUMMYFUNCTION("""COMPUTED_VALUE"""),"Charge Effect: The user gains DR equal to their Tier Value until the start of their next Turn. While you have Charge Tokens from this Attack, your Movement Value is halved.
Resolution Effect: This Attack is one step more effective for every 3 Charge Token"&amp;"s expended (max 1.5x). The user may use their Defense as if it were the Offensive Stat for this Attack. Smite")</f>
        <v>Charge Effect: The user gains DR equal to their Tier Value until the start of their next Turn. While you have Charge Tokens from this Attack, your Movement Value is halved.
Resolution Effect: This Attack is one step more effective for every 3 Charge Tokens expended (max 1.5x). The user may use their Defense as if it were the Offensive Stat for this Attack. Smite</v>
      </c>
      <c r="I899" s="191" t="str">
        <f>IFERROR(__xludf.DUMMYFUNCTION("""COMPUTED_VALUE"""),"--")</f>
        <v>--</v>
      </c>
      <c r="J899" s="190" t="str">
        <f>IFERROR(__xludf.DUMMYFUNCTION("""COMPUTED_VALUE"""),"Tier 3")</f>
        <v>Tier 3</v>
      </c>
      <c r="K899" s="174" t="b">
        <f>IFERROR(__xludf.DUMMYFUNCTION("""COMPUTED_VALUE"""),TRUE)</f>
        <v>1</v>
      </c>
      <c r="L899" s="174"/>
      <c r="M899" s="174"/>
      <c r="N899" s="174"/>
      <c r="O899" s="174"/>
      <c r="P899" s="174"/>
      <c r="Q899" s="174"/>
      <c r="R899" s="174"/>
      <c r="S899" s="174"/>
      <c r="T899" s="174"/>
      <c r="U899" s="174"/>
      <c r="V899" s="174"/>
      <c r="W899" s="174"/>
      <c r="X899" s="174"/>
      <c r="Y899" s="174"/>
      <c r="Z899" s="174"/>
    </row>
    <row r="900">
      <c r="A900" s="190" t="str">
        <f>IFERROR(__xludf.DUMMYFUNCTION("""COMPUTED_VALUE"""),"Slack Off")</f>
        <v>Slack Off</v>
      </c>
      <c r="B900" s="190" t="str">
        <f>IFERROR(__xludf.DUMMYFUNCTION("""COMPUTED_VALUE"""),"Normal")</f>
        <v>Normal</v>
      </c>
      <c r="C900" s="190" t="str">
        <f>IFERROR(__xludf.DUMMYFUNCTION("""COMPUTED_VALUE"""),"Status")</f>
        <v>Status</v>
      </c>
      <c r="D900" s="190" t="str">
        <f>IFERROR(__xludf.DUMMYFUNCTION("""COMPUTED_VALUE"""),"Scene x2")</f>
        <v>Scene x2</v>
      </c>
      <c r="E900" s="190" t="str">
        <f>IFERROR(__xludf.DUMMYFUNCTION("""COMPUTED_VALUE"""),"Self, Healing, Versatile")</f>
        <v>Self, Healing, Versatile</v>
      </c>
      <c r="F900" s="190" t="str">
        <f>IFERROR(__xludf.DUMMYFUNCTION("""COMPUTED_VALUE"""),"--")</f>
        <v>--</v>
      </c>
      <c r="G900" s="190" t="str">
        <f>IFERROR(__xludf.DUMMYFUNCTION("""COMPUTED_VALUE"""),"--")</f>
        <v>--</v>
      </c>
      <c r="H900" s="191" t="str">
        <f>IFERROR(__xludf.DUMMYFUNCTION("""COMPUTED_VALUE"""),"The user restores 5 Ticks of Hit Points and is cured of a Mental Affliction.")</f>
        <v>The user restores 5 Ticks of Hit Points and is cured of a Mental Affliction.</v>
      </c>
      <c r="I900" s="191" t="str">
        <f>IFERROR(__xludf.DUMMYFUNCTION("""COMPUTED_VALUE"""),"The user may spent a Movement Action when using Slack Off this way to restore 2 Ticks of Hit Points.")</f>
        <v>The user may spent a Movement Action when using Slack Off this way to restore 2 Ticks of Hit Points.</v>
      </c>
      <c r="J900" s="190" t="str">
        <f>IFERROR(__xludf.DUMMYFUNCTION("""COMPUTED_VALUE"""),"Tier 2")</f>
        <v>Tier 2</v>
      </c>
      <c r="K900" s="174" t="b">
        <f>IFERROR(__xludf.DUMMYFUNCTION("""COMPUTED_VALUE"""),TRUE)</f>
        <v>1</v>
      </c>
      <c r="L900" s="174"/>
      <c r="M900" s="174"/>
      <c r="N900" s="174"/>
      <c r="O900" s="174"/>
      <c r="P900" s="174"/>
      <c r="Q900" s="174"/>
      <c r="R900" s="174"/>
      <c r="S900" s="174"/>
      <c r="T900" s="174"/>
      <c r="U900" s="174"/>
      <c r="V900" s="174"/>
      <c r="W900" s="174"/>
      <c r="X900" s="174"/>
      <c r="Y900" s="174"/>
      <c r="Z900" s="174"/>
    </row>
    <row r="901">
      <c r="A901" s="190" t="str">
        <f>IFERROR(__xludf.DUMMYFUNCTION("""COMPUTED_VALUE"""),"Slam")</f>
        <v>Slam</v>
      </c>
      <c r="B901" s="190" t="str">
        <f>IFERROR(__xludf.DUMMYFUNCTION("""COMPUTED_VALUE"""),"Normal")</f>
        <v>Normal</v>
      </c>
      <c r="C901" s="190" t="str">
        <f>IFERROR(__xludf.DUMMYFUNCTION("""COMPUTED_VALUE"""),"Physical")</f>
        <v>Physical</v>
      </c>
      <c r="D901" s="190" t="str">
        <f>IFERROR(__xludf.DUMMYFUNCTION("""COMPUTED_VALUE"""),"At-Will")</f>
        <v>At-Will</v>
      </c>
      <c r="E901" s="190" t="str">
        <f>IFERROR(__xludf.DUMMYFUNCTION("""COMPUTED_VALUE"""),"Melee, 1 Target, Dash")</f>
        <v>Melee, 1 Target, Dash</v>
      </c>
      <c r="F901" s="190">
        <f>IFERROR(__xludf.DUMMYFUNCTION("""COMPUTED_VALUE"""),3.0)</f>
        <v>3</v>
      </c>
      <c r="G901" s="190">
        <f>IFERROR(__xludf.DUMMYFUNCTION("""COMPUTED_VALUE"""),8.0)</f>
        <v>8</v>
      </c>
      <c r="H901" s="191" t="str">
        <f>IFERROR(__xludf.DUMMYFUNCTION("""COMPUTED_VALUE"""),"If the Dash Keyword is Activated, this has the Smite Keyword. If the user is larger than the Target, this is a Critical Hit on a roll of 17+. ")</f>
        <v>If the Dash Keyword is Activated, this has the Smite Keyword. If the user is larger than the Target, this is a Critical Hit on a roll of 17+. </v>
      </c>
      <c r="I901" s="191" t="str">
        <f>IFERROR(__xludf.DUMMYFUNCTION("""COMPUTED_VALUE"""),"--")</f>
        <v>--</v>
      </c>
      <c r="J901" s="190" t="str">
        <f>IFERROR(__xludf.DUMMYFUNCTION("""COMPUTED_VALUE"""),"Tier 2")</f>
        <v>Tier 2</v>
      </c>
      <c r="K901" s="174" t="b">
        <f>IFERROR(__xludf.DUMMYFUNCTION("""COMPUTED_VALUE"""),TRUE)</f>
        <v>1</v>
      </c>
      <c r="L901" s="174"/>
      <c r="M901" s="174"/>
      <c r="N901" s="174"/>
      <c r="O901" s="174"/>
      <c r="P901" s="174"/>
      <c r="Q901" s="174"/>
      <c r="R901" s="174"/>
      <c r="S901" s="174"/>
      <c r="T901" s="174"/>
      <c r="U901" s="174"/>
      <c r="V901" s="174"/>
      <c r="W901" s="174"/>
      <c r="X901" s="174"/>
      <c r="Y901" s="174"/>
      <c r="Z901" s="174"/>
    </row>
    <row r="902">
      <c r="A902" s="190" t="str">
        <f>IFERROR(__xludf.DUMMYFUNCTION("""COMPUTED_VALUE"""),"Slash")</f>
        <v>Slash</v>
      </c>
      <c r="B902" s="190" t="str">
        <f>IFERROR(__xludf.DUMMYFUNCTION("""COMPUTED_VALUE"""),"Normal")</f>
        <v>Normal</v>
      </c>
      <c r="C902" s="190" t="str">
        <f>IFERROR(__xludf.DUMMYFUNCTION("""COMPUTED_VALUE"""),"Physical")</f>
        <v>Physical</v>
      </c>
      <c r="D902" s="190" t="str">
        <f>IFERROR(__xludf.DUMMYFUNCTION("""COMPUTED_VALUE"""),"EOT")</f>
        <v>EOT</v>
      </c>
      <c r="E902" s="190" t="str">
        <f>IFERROR(__xludf.DUMMYFUNCTION("""COMPUTED_VALUE"""),"Melee, Pass")</f>
        <v>Melee, Pass</v>
      </c>
      <c r="F902" s="190">
        <f>IFERROR(__xludf.DUMMYFUNCTION("""COMPUTED_VALUE"""),5.0)</f>
        <v>5</v>
      </c>
      <c r="G902" s="190">
        <f>IFERROR(__xludf.DUMMYFUNCTION("""COMPUTED_VALUE"""),8.0)</f>
        <v>8</v>
      </c>
      <c r="H902" s="191" t="str">
        <f>IFERROR(__xludf.DUMMYFUNCTION("""COMPUTED_VALUE"""),"Slash is a Critical Hit on a roll of 18+. If Slash is used without the Pass Keyword, on a roll of 16+, the Target becomes Wounded.")</f>
        <v>Slash is a Critical Hit on a roll of 18+. If Slash is used without the Pass Keyword, on a roll of 16+, the Target becomes Wounded.</v>
      </c>
      <c r="I902" s="191" t="str">
        <f>IFERROR(__xludf.DUMMYFUNCTION("""COMPUTED_VALUE"""),"--")</f>
        <v>--</v>
      </c>
      <c r="J902" s="190" t="str">
        <f>IFERROR(__xludf.DUMMYFUNCTION("""COMPUTED_VALUE"""),"Tier 2")</f>
        <v>Tier 2</v>
      </c>
      <c r="K902" s="174" t="b">
        <f>IFERROR(__xludf.DUMMYFUNCTION("""COMPUTED_VALUE"""),TRUE)</f>
        <v>1</v>
      </c>
      <c r="L902" s="174"/>
      <c r="M902" s="174"/>
      <c r="N902" s="174"/>
      <c r="O902" s="174"/>
      <c r="P902" s="174"/>
      <c r="Q902" s="174"/>
      <c r="R902" s="174"/>
      <c r="S902" s="174"/>
      <c r="T902" s="174"/>
      <c r="U902" s="174"/>
      <c r="V902" s="174"/>
      <c r="W902" s="174"/>
      <c r="X902" s="174"/>
      <c r="Y902" s="174"/>
      <c r="Z902" s="174"/>
    </row>
    <row r="903">
      <c r="A903" s="190" t="str">
        <f>IFERROR(__xludf.DUMMYFUNCTION("""COMPUTED_VALUE"""),"Sleep Talk")</f>
        <v>Sleep Talk</v>
      </c>
      <c r="B903" s="190" t="str">
        <f>IFERROR(__xludf.DUMMYFUNCTION("""COMPUTED_VALUE"""),"Normal")</f>
        <v>Normal</v>
      </c>
      <c r="C903" s="190" t="str">
        <f>IFERROR(__xludf.DUMMYFUNCTION("""COMPUTED_VALUE"""),"Status")</f>
        <v>Status</v>
      </c>
      <c r="D903" s="190" t="str">
        <f>IFERROR(__xludf.DUMMYFUNCTION("""COMPUTED_VALUE"""),"Scene x2")</f>
        <v>Scene x2</v>
      </c>
      <c r="E903" s="190" t="str">
        <f>IFERROR(__xludf.DUMMYFUNCTION("""COMPUTED_VALUE"""),"Self, Full Action")</f>
        <v>Self, Full Action</v>
      </c>
      <c r="F903" s="190" t="str">
        <f>IFERROR(__xludf.DUMMYFUNCTION("""COMPUTED_VALUE"""),"--")</f>
        <v>--</v>
      </c>
      <c r="G903" s="190" t="str">
        <f>IFERROR(__xludf.DUMMYFUNCTION("""COMPUTED_VALUE"""),"--")</f>
        <v>--</v>
      </c>
      <c r="H903" s="191" t="str">
        <f>IFERROR(__xludf.DUMMYFUNCTION("""COMPUTED_VALUE"""),"Sleep Talk may only be used if the user is Drowsy. Choose a different Attack to use as a Free Action, following Frequency as normal. The chosen Attack ignores the effects of Drowsy and isn't resisted.")</f>
        <v>Sleep Talk may only be used if the user is Drowsy. Choose a different Attack to use as a Free Action, following Frequency as normal. The chosen Attack ignores the effects of Drowsy and isn't resisted.</v>
      </c>
      <c r="I903" s="191" t="str">
        <f>IFERROR(__xludf.DUMMYFUNCTION("""COMPUTED_VALUE"""),"--")</f>
        <v>--</v>
      </c>
      <c r="J903" s="190" t="str">
        <f>IFERROR(__xludf.DUMMYFUNCTION("""COMPUTED_VALUE"""),"Tier 2")</f>
        <v>Tier 2</v>
      </c>
      <c r="K903" s="174" t="b">
        <f>IFERROR(__xludf.DUMMYFUNCTION("""COMPUTED_VALUE"""),FALSE)</f>
        <v>0</v>
      </c>
      <c r="L903" s="174"/>
      <c r="M903" s="174"/>
      <c r="N903" s="174"/>
      <c r="O903" s="174"/>
      <c r="P903" s="174"/>
      <c r="Q903" s="174"/>
      <c r="R903" s="174"/>
      <c r="S903" s="174"/>
      <c r="T903" s="174"/>
      <c r="U903" s="174"/>
      <c r="V903" s="174"/>
      <c r="W903" s="174"/>
      <c r="X903" s="174"/>
      <c r="Y903" s="174"/>
      <c r="Z903" s="174"/>
    </row>
    <row r="904">
      <c r="A904" s="190" t="str">
        <f>IFERROR(__xludf.DUMMYFUNCTION("""COMPUTED_VALUE"""),"Smelling Salts")</f>
        <v>Smelling Salts</v>
      </c>
      <c r="B904" s="190" t="str">
        <f>IFERROR(__xludf.DUMMYFUNCTION("""COMPUTED_VALUE"""),"Normal")</f>
        <v>Normal</v>
      </c>
      <c r="C904" s="190" t="str">
        <f>IFERROR(__xludf.DUMMYFUNCTION("""COMPUTED_VALUE"""),"Physical")</f>
        <v>Physical</v>
      </c>
      <c r="D904" s="190" t="str">
        <f>IFERROR(__xludf.DUMMYFUNCTION("""COMPUTED_VALUE"""),"Scene x2")</f>
        <v>Scene x2</v>
      </c>
      <c r="E904" s="190" t="str">
        <f>IFERROR(__xludf.DUMMYFUNCTION("""COMPUTED_VALUE"""),"Melee, 1 Target")</f>
        <v>Melee, 1 Target</v>
      </c>
      <c r="F904" s="190">
        <f>IFERROR(__xludf.DUMMYFUNCTION("""COMPUTED_VALUE"""),2.0)</f>
        <v>2</v>
      </c>
      <c r="G904" s="190">
        <f>IFERROR(__xludf.DUMMYFUNCTION("""COMPUTED_VALUE"""),7.0)</f>
        <v>7</v>
      </c>
      <c r="H904" s="191" t="str">
        <f>IFERROR(__xludf.DUMMYFUNCTION("""COMPUTED_VALUE"""),"If the Target is Paralyzed or Drowsy, Smelling Salts is automatically a Critical Hit. After Damage Calculations the Target is cured of those Afflictions.")</f>
        <v>If the Target is Paralyzed or Drowsy, Smelling Salts is automatically a Critical Hit. After Damage Calculations the Target is cured of those Afflictions.</v>
      </c>
      <c r="I904" s="191" t="str">
        <f>IFERROR(__xludf.DUMMYFUNCTION("""COMPUTED_VALUE"""),"--")</f>
        <v>--</v>
      </c>
      <c r="J904" s="190" t="str">
        <f>IFERROR(__xludf.DUMMYFUNCTION("""COMPUTED_VALUE"""),"Tier 2")</f>
        <v>Tier 2</v>
      </c>
      <c r="K904" s="174" t="b">
        <f>IFERROR(__xludf.DUMMYFUNCTION("""COMPUTED_VALUE"""),TRUE)</f>
        <v>1</v>
      </c>
      <c r="L904" s="174"/>
      <c r="M904" s="174"/>
      <c r="N904" s="174"/>
      <c r="O904" s="174"/>
      <c r="P904" s="174"/>
      <c r="Q904" s="174"/>
      <c r="R904" s="174"/>
      <c r="S904" s="174"/>
      <c r="T904" s="174"/>
      <c r="U904" s="174"/>
      <c r="V904" s="174"/>
      <c r="W904" s="174"/>
      <c r="X904" s="174"/>
      <c r="Y904" s="174"/>
      <c r="Z904" s="174"/>
    </row>
    <row r="905">
      <c r="A905" s="190" t="str">
        <f>IFERROR(__xludf.DUMMYFUNCTION("""COMPUTED_VALUE"""),"Smokescreen")</f>
        <v>Smokescreen</v>
      </c>
      <c r="B905" s="190" t="str">
        <f>IFERROR(__xludf.DUMMYFUNCTION("""COMPUTED_VALUE"""),"Normal")</f>
        <v>Normal</v>
      </c>
      <c r="C905" s="190" t="str">
        <f>IFERROR(__xludf.DUMMYFUNCTION("""COMPUTED_VALUE"""),"Status")</f>
        <v>Status</v>
      </c>
      <c r="D905" s="190" t="str">
        <f>IFERROR(__xludf.DUMMYFUNCTION("""COMPUTED_VALUE"""),"EOT")</f>
        <v>EOT</v>
      </c>
      <c r="E905" s="190" t="str">
        <f>IFERROR(__xludf.DUMMYFUNCTION("""COMPUTED_VALUE"""),"5, Ranged Blast 3, Versatile")</f>
        <v>5, Ranged Blast 3, Versatile</v>
      </c>
      <c r="F905" s="190" t="str">
        <f>IFERROR(__xludf.DUMMYFUNCTION("""COMPUTED_VALUE"""),"--")</f>
        <v>--</v>
      </c>
      <c r="G905" s="190" t="str">
        <f>IFERROR(__xludf.DUMMYFUNCTION("""COMPUTED_VALUE"""),"--")</f>
        <v>--</v>
      </c>
      <c r="H905" s="191" t="str">
        <f>IFERROR(__xludf.DUMMYFUNCTION("""COMPUTED_VALUE"""),"Smokescreen creates Smoke Hazards within the Range of this Attack
Smoke Hazard - Smoke Hazards break line of sight. Combatants on a Smoke Hazards are treated as Untargetable by all other Combatants that aren't in a contiguous Smoke Hazard. Combatants on "&amp;"a Smoke Hazard treat all Combatants that aren't in a contigous Smoke Hazard as if they were Untargetable. These Effects are ignored by Combatants with Tremorsense or Blindsense. You can still be Untargetable this way even if you were last Round.")</f>
        <v>Smokescreen creates Smoke Hazards within the Range of this Attack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05" s="191" t="str">
        <f>IFERROR(__xludf.DUMMYFUNCTION("""COMPUTED_VALUE"""),"Same as the normal effect but the Range becomes Burst 1 or Close Blast 2 and the Hazards are removed at the end of the next Round.")</f>
        <v>Same as the normal effect but the Range becomes Burst 1 or Close Blast 2 and the Hazards are removed at the end of the next Round.</v>
      </c>
      <c r="J905" s="190" t="str">
        <f>IFERROR(__xludf.DUMMYFUNCTION("""COMPUTED_VALUE"""),"Tier 1")</f>
        <v>Tier 1</v>
      </c>
      <c r="K905" s="174" t="b">
        <f>IFERROR(__xludf.DUMMYFUNCTION("""COMPUTED_VALUE"""),TRUE)</f>
        <v>1</v>
      </c>
      <c r="L905" s="174"/>
      <c r="M905" s="174"/>
      <c r="N905" s="174"/>
      <c r="O905" s="174"/>
      <c r="P905" s="174"/>
      <c r="Q905" s="174"/>
      <c r="R905" s="174"/>
      <c r="S905" s="174"/>
      <c r="T905" s="174"/>
      <c r="U905" s="174"/>
      <c r="V905" s="174"/>
      <c r="W905" s="174"/>
      <c r="X905" s="174"/>
      <c r="Y905" s="174"/>
      <c r="Z905" s="174"/>
    </row>
    <row r="906">
      <c r="A906" s="190" t="str">
        <f>IFERROR(__xludf.DUMMYFUNCTION("""COMPUTED_VALUE"""),"Snore")</f>
        <v>Snore</v>
      </c>
      <c r="B906" s="190" t="str">
        <f>IFERROR(__xludf.DUMMYFUNCTION("""COMPUTED_VALUE"""),"Normal")</f>
        <v>Normal</v>
      </c>
      <c r="C906" s="190" t="str">
        <f>IFERROR(__xludf.DUMMYFUNCTION("""COMPUTED_VALUE"""),"Special")</f>
        <v>Special</v>
      </c>
      <c r="D906" s="190" t="str">
        <f>IFERROR(__xludf.DUMMYFUNCTION("""COMPUTED_VALUE"""),"At-Will")</f>
        <v>At-Will</v>
      </c>
      <c r="E906" s="190" t="str">
        <f>IFERROR(__xludf.DUMMYFUNCTION("""COMPUTED_VALUE"""),"Burst 1, Sonic, Movement Action")</f>
        <v>Burst 1, Sonic, Movement Action</v>
      </c>
      <c r="F906" s="190" t="str">
        <f>IFERROR(__xludf.DUMMYFUNCTION("""COMPUTED_VALUE"""),"--")</f>
        <v>--</v>
      </c>
      <c r="G906" s="190">
        <f>IFERROR(__xludf.DUMMYFUNCTION("""COMPUTED_VALUE"""),8.0)</f>
        <v>8</v>
      </c>
      <c r="H906" s="191" t="str">
        <f>IFERROR(__xludf.DUMMYFUNCTION("""COMPUTED_VALUE"""),"Snore can only be used if the user is Drowsy and is not changed to a Full Action. This cannot be used twice in a Round. Each Turn this is used in succession, you may add +1 to the Burst Range. Sureshot.")</f>
        <v>Snore can only be used if the user is Drowsy and is not changed to a Full Action. This cannot be used twice in a Round. Each Turn this is used in succession, you may add +1 to the Burst Range. Sureshot.</v>
      </c>
      <c r="I906" s="191" t="str">
        <f>IFERROR(__xludf.DUMMYFUNCTION("""COMPUTED_VALUE"""),"--")</f>
        <v>--</v>
      </c>
      <c r="J906" s="190" t="str">
        <f>IFERROR(__xludf.DUMMYFUNCTION("""COMPUTED_VALUE"""),"Tier 2")</f>
        <v>Tier 2</v>
      </c>
      <c r="K906" s="174" t="b">
        <f>IFERROR(__xludf.DUMMYFUNCTION("""COMPUTED_VALUE"""),FALSE)</f>
        <v>0</v>
      </c>
      <c r="L906" s="174"/>
      <c r="M906" s="174"/>
      <c r="N906" s="174"/>
      <c r="O906" s="174"/>
      <c r="P906" s="174"/>
      <c r="Q906" s="174"/>
      <c r="R906" s="174"/>
      <c r="S906" s="174"/>
      <c r="T906" s="174"/>
      <c r="U906" s="174"/>
      <c r="V906" s="174"/>
      <c r="W906" s="174"/>
      <c r="X906" s="174"/>
      <c r="Y906" s="174"/>
      <c r="Z906" s="174"/>
    </row>
    <row r="907">
      <c r="A907" s="190" t="str">
        <f>IFERROR(__xludf.DUMMYFUNCTION("""COMPUTED_VALUE"""),"Soft-Boiled")</f>
        <v>Soft-Boiled</v>
      </c>
      <c r="B907" s="190" t="str">
        <f>IFERROR(__xludf.DUMMYFUNCTION("""COMPUTED_VALUE"""),"Normal")</f>
        <v>Normal</v>
      </c>
      <c r="C907" s="190" t="str">
        <f>IFERROR(__xludf.DUMMYFUNCTION("""COMPUTED_VALUE"""),"Status")</f>
        <v>Status</v>
      </c>
      <c r="D907" s="190" t="str">
        <f>IFERROR(__xludf.DUMMYFUNCTION("""COMPUTED_VALUE"""),"Scene")</f>
        <v>Scene</v>
      </c>
      <c r="E907" s="190" t="str">
        <f>IFERROR(__xludf.DUMMYFUNCTION("""COMPUTED_VALUE"""),"Melee, 1 Target; or Self")</f>
        <v>Melee, 1 Target; or Self</v>
      </c>
      <c r="F907" s="190" t="str">
        <f>IFERROR(__xludf.DUMMYFUNCTION("""COMPUTED_VALUE"""),"--")</f>
        <v>--</v>
      </c>
      <c r="G907" s="190" t="str">
        <f>IFERROR(__xludf.DUMMYFUNCTION("""COMPUTED_VALUE"""),"--")</f>
        <v>--</v>
      </c>
      <c r="H907" s="191" t="str">
        <f>IFERROR(__xludf.DUMMYFUNCTION("""COMPUTED_VALUE"""),"The Target is cured of all Status Afflictions or restores 3 Ticks of Hit Points")</f>
        <v>The Target is cured of all Status Afflictions or restores 3 Ticks of Hit Points</v>
      </c>
      <c r="I907" s="191" t="str">
        <f>IFERROR(__xludf.DUMMYFUNCTION("""COMPUTED_VALUE"""),"The Target is cured of a Status Affliction. When used this way, it doesn't expend Soft-Boiled's Frequency.")</f>
        <v>The Target is cured of a Status Affliction. When used this way, it doesn't expend Soft-Boiled's Frequency.</v>
      </c>
      <c r="J907" s="190" t="str">
        <f>IFERROR(__xludf.DUMMYFUNCTION("""COMPUTED_VALUE"""),"Tier 3")</f>
        <v>Tier 3</v>
      </c>
      <c r="K907" s="174" t="b">
        <f>IFERROR(__xludf.DUMMYFUNCTION("""COMPUTED_VALUE"""),TRUE)</f>
        <v>1</v>
      </c>
      <c r="L907" s="174"/>
      <c r="M907" s="174"/>
      <c r="N907" s="174"/>
      <c r="O907" s="174"/>
      <c r="P907" s="174"/>
      <c r="Q907" s="174"/>
      <c r="R907" s="174"/>
      <c r="S907" s="174"/>
      <c r="T907" s="174"/>
      <c r="U907" s="174"/>
      <c r="V907" s="174"/>
      <c r="W907" s="174"/>
      <c r="X907" s="174"/>
      <c r="Y907" s="174"/>
      <c r="Z907" s="174"/>
    </row>
    <row r="908">
      <c r="A908" s="190" t="str">
        <f>IFERROR(__xludf.DUMMYFUNCTION("""COMPUTED_VALUE"""),"Solar Eclipse")</f>
        <v>Solar Eclipse</v>
      </c>
      <c r="B908" s="190" t="str">
        <f>IFERROR(__xludf.DUMMYFUNCTION("""COMPUTED_VALUE"""),"Normal")</f>
        <v>Normal</v>
      </c>
      <c r="C908" s="190" t="str">
        <f>IFERROR(__xludf.DUMMYFUNCTION("""COMPUTED_VALUE"""),"Status")</f>
        <v>Status</v>
      </c>
      <c r="D908" s="190" t="str">
        <f>IFERROR(__xludf.DUMMYFUNCTION("""COMPUTED_VALUE"""),"Scene")</f>
        <v>Scene</v>
      </c>
      <c r="E908" s="190" t="str">
        <f>IFERROR(__xludf.DUMMYFUNCTION("""COMPUTED_VALUE"""),"Field, Weather")</f>
        <v>Field, Weather</v>
      </c>
      <c r="F908" s="190" t="str">
        <f>IFERROR(__xludf.DUMMYFUNCTION("""COMPUTED_VALUE"""),"--")</f>
        <v>--</v>
      </c>
      <c r="G908" s="190" t="str">
        <f>IFERROR(__xludf.DUMMYFUNCTION("""COMPUTED_VALUE"""),"--")</f>
        <v>--</v>
      </c>
      <c r="H908" s="191" t="str">
        <f>IFERROR(__xludf.DUMMYFUNCTION("""COMPUTED_VALUE"""),"Solar Eclipse may only be used if the Weather is Foggy, Mystical or Sunny. For the rest of the Scene while the Weather persists, once per Round, the user and allies may use a Blessing on the Field without expending an Activation. ")</f>
        <v>Solar Eclipse may only be used if the Weather is Foggy, Mystical or Sunny. For the rest of the Scene while the Weather persists, once per Round, the user and allies may use a Blessing on the Field without expending an Activation. </v>
      </c>
      <c r="I908" s="191" t="str">
        <f>IFERROR(__xludf.DUMMYFUNCTION("""COMPUTED_VALUE"""),"--")</f>
        <v>--</v>
      </c>
      <c r="J908" s="190" t="str">
        <f>IFERROR(__xludf.DUMMYFUNCTION("""COMPUTED_VALUE"""),"Tier 3")</f>
        <v>Tier 3</v>
      </c>
      <c r="K908" s="174" t="b">
        <f>IFERROR(__xludf.DUMMYFUNCTION("""COMPUTED_VALUE"""),TRUE)</f>
        <v>1</v>
      </c>
      <c r="L908" s="174"/>
      <c r="M908" s="174"/>
      <c r="N908" s="174"/>
      <c r="O908" s="174"/>
      <c r="P908" s="174"/>
      <c r="Q908" s="174"/>
      <c r="R908" s="174"/>
      <c r="S908" s="174"/>
      <c r="T908" s="174"/>
      <c r="U908" s="174"/>
      <c r="V908" s="174"/>
      <c r="W908" s="174"/>
      <c r="X908" s="174"/>
      <c r="Y908" s="174"/>
      <c r="Z908" s="174"/>
    </row>
    <row r="909">
      <c r="A909" s="190" t="str">
        <f>IFERROR(__xludf.DUMMYFUNCTION("""COMPUTED_VALUE"""),"Solar Flare")</f>
        <v>Solar Flare</v>
      </c>
      <c r="B909" s="190" t="str">
        <f>IFERROR(__xludf.DUMMYFUNCTION("""COMPUTED_VALUE"""),"Normal")</f>
        <v>Normal</v>
      </c>
      <c r="C909" s="190" t="str">
        <f>IFERROR(__xludf.DUMMYFUNCTION("""COMPUTED_VALUE"""),"Special")</f>
        <v>Special</v>
      </c>
      <c r="D909" s="190" t="str">
        <f>IFERROR(__xludf.DUMMYFUNCTION("""COMPUTED_VALUE"""),"EOT")</f>
        <v>EOT</v>
      </c>
      <c r="E909" s="190" t="str">
        <f>IFERROR(__xludf.DUMMYFUNCTION("""COMPUTED_VALUE"""),"Burst 1")</f>
        <v>Burst 1</v>
      </c>
      <c r="F909" s="190">
        <f>IFERROR(__xludf.DUMMYFUNCTION("""COMPUTED_VALUE"""),6.0)</f>
        <v>6</v>
      </c>
      <c r="G909" s="190">
        <f>IFERROR(__xludf.DUMMYFUNCTION("""COMPUTED_VALUE"""),8.0)</f>
        <v>8</v>
      </c>
      <c r="H909" s="191" t="str">
        <f>IFERROR(__xludf.DUMMYFUNCTION("""COMPUTED_VALUE"""),"If the Weather is Sunny, this Attack may be used as if it were 10, Ranged Blast 3.")</f>
        <v>If the Weather is Sunny, this Attack may be used as if it were 10, Ranged Blast 3.</v>
      </c>
      <c r="I909" s="191" t="str">
        <f>IFERROR(__xludf.DUMMYFUNCTION("""COMPUTED_VALUE"""),"--")</f>
        <v>--</v>
      </c>
      <c r="J909" s="190" t="str">
        <f>IFERROR(__xludf.DUMMYFUNCTION("""COMPUTED_VALUE"""),"Tier 2")</f>
        <v>Tier 2</v>
      </c>
      <c r="K909" s="174" t="b">
        <f>IFERROR(__xludf.DUMMYFUNCTION("""COMPUTED_VALUE"""),TRUE)</f>
        <v>1</v>
      </c>
      <c r="L909" s="174"/>
      <c r="M909" s="174"/>
      <c r="N909" s="174"/>
      <c r="O909" s="174"/>
      <c r="P909" s="174"/>
      <c r="Q909" s="174"/>
      <c r="R909" s="174"/>
      <c r="S909" s="174"/>
      <c r="T909" s="174"/>
      <c r="U909" s="174"/>
      <c r="V909" s="174"/>
      <c r="W909" s="174"/>
      <c r="X909" s="174"/>
      <c r="Y909" s="174"/>
      <c r="Z909" s="174"/>
    </row>
    <row r="910">
      <c r="A910" s="190" t="str">
        <f>IFERROR(__xludf.DUMMYFUNCTION("""COMPUTED_VALUE"""),"Solstice Dance")</f>
        <v>Solstice Dance</v>
      </c>
      <c r="B910" s="190" t="str">
        <f>IFERROR(__xludf.DUMMYFUNCTION("""COMPUTED_VALUE"""),"Normal")</f>
        <v>Normal</v>
      </c>
      <c r="C910" s="190" t="str">
        <f>IFERROR(__xludf.DUMMYFUNCTION("""COMPUTED_VALUE"""),"Status")</f>
        <v>Status</v>
      </c>
      <c r="D910" s="190" t="str">
        <f>IFERROR(__xludf.DUMMYFUNCTION("""COMPUTED_VALUE"""),"Scene x2")</f>
        <v>Scene x2</v>
      </c>
      <c r="E910" s="190" t="str">
        <f>IFERROR(__xludf.DUMMYFUNCTION("""COMPUTED_VALUE"""),"Blessing, Versatile, Weather")</f>
        <v>Blessing, Versatile, Weather</v>
      </c>
      <c r="F910" s="190" t="str">
        <f>IFERROR(__xludf.DUMMYFUNCTION("""COMPUTED_VALUE"""),"--")</f>
        <v>--</v>
      </c>
      <c r="G910" s="190" t="str">
        <f>IFERROR(__xludf.DUMMYFUNCTION("""COMPUTED_VALUE"""),"--")</f>
        <v>--</v>
      </c>
      <c r="H910" s="191" t="str">
        <f>IFERROR(__xludf.DUMMYFUNCTION("""COMPUTED_VALUE"""),"Blessing - Any user affected by Solstice Dance may activate it as a Free Action when using a Normal Type Damaging Attack to grant it the Smite Keyword. If the Attack hits, it hits, it is also increased by one damage step. (Max 1.5x Effectiveness). Solstic"&amp;"e Dance may be Activated 3 times and then disappears. While this Blessing persists, the Weather becomes Sunny.")</f>
        <v>Blessing - Any user affected by Solstice Dance may activate it as a Free Action when using a Normal Type Damaging Attack to grant it the Smite Keyword. If the Attack hits, it hits, it is also increased by one damage step. (Max 1.5x Effectiveness). Solstice Dance may be Activated 3 times and then disappears. While this Blessing persists, the Weather becomes Sunny.</v>
      </c>
      <c r="I910" s="191" t="str">
        <f>IFERROR(__xludf.DUMMYFUNCTION("""COMPUTED_VALUE"""),"Same as the normal Effect, but it only has 1 Activation.")</f>
        <v>Same as the normal Effect, but it only has 1 Activation.</v>
      </c>
      <c r="J910" s="190" t="str">
        <f>IFERROR(__xludf.DUMMYFUNCTION("""COMPUTED_VALUE"""),"Tier 2")</f>
        <v>Tier 2</v>
      </c>
      <c r="K910" s="174" t="b">
        <f>IFERROR(__xludf.DUMMYFUNCTION("""COMPUTED_VALUE"""),TRUE)</f>
        <v>1</v>
      </c>
      <c r="L910" s="174"/>
      <c r="M910" s="174"/>
      <c r="N910" s="174"/>
      <c r="O910" s="174"/>
      <c r="P910" s="174"/>
      <c r="Q910" s="174"/>
      <c r="R910" s="174"/>
      <c r="S910" s="174"/>
      <c r="T910" s="174"/>
      <c r="U910" s="174"/>
      <c r="V910" s="174"/>
      <c r="W910" s="174"/>
      <c r="X910" s="174"/>
      <c r="Y910" s="174"/>
      <c r="Z910" s="174"/>
    </row>
    <row r="911">
      <c r="A911" s="190" t="str">
        <f>IFERROR(__xludf.DUMMYFUNCTION("""COMPUTED_VALUE"""),"Sonic Boom")</f>
        <v>Sonic Boom</v>
      </c>
      <c r="B911" s="190" t="str">
        <f>IFERROR(__xludf.DUMMYFUNCTION("""COMPUTED_VALUE"""),"Normal")</f>
        <v>Normal</v>
      </c>
      <c r="C911" s="190" t="str">
        <f>IFERROR(__xludf.DUMMYFUNCTION("""COMPUTED_VALUE"""),"Status")</f>
        <v>Status</v>
      </c>
      <c r="D911" s="190" t="str">
        <f>IFERROR(__xludf.DUMMYFUNCTION("""COMPUTED_VALUE"""),"Scene x2")</f>
        <v>Scene x2</v>
      </c>
      <c r="E911" s="190" t="str">
        <f>IFERROR(__xludf.DUMMYFUNCTION("""COMPUTED_VALUE"""),"Close Blast 3, Sonic, Versatile")</f>
        <v>Close Blast 3, Sonic, Versatile</v>
      </c>
      <c r="F911" s="190">
        <f>IFERROR(__xludf.DUMMYFUNCTION("""COMPUTED_VALUE"""),5.0)</f>
        <v>5</v>
      </c>
      <c r="G911" s="190" t="str">
        <f>IFERROR(__xludf.DUMMYFUNCTION("""COMPUTED_VALUE"""),"--")</f>
        <v>--</v>
      </c>
      <c r="H911" s="191" t="str">
        <f>IFERROR(__xludf.DUMMYFUNCTION("""COMPUTED_VALUE"""),"All Targets of this Attack lose 3 Ticks of Hit Points. On a roll of 15+ the Target also becomes Vulnerable until the end of the Round.")</f>
        <v>All Targets of this Attack lose 3 Ticks of Hit Points. On a roll of 15+ the Target also becomes Vulnerable until the end of the Round.</v>
      </c>
      <c r="I911" s="191" t="str">
        <f>IFERROR(__xludf.DUMMYFUNCTION("""COMPUTED_VALUE"""),"All Targets become Vulnerable against the next Attack that targets them.")</f>
        <v>All Targets become Vulnerable against the next Attack that targets them.</v>
      </c>
      <c r="J911" s="190" t="str">
        <f>IFERROR(__xludf.DUMMYFUNCTION("""COMPUTED_VALUE"""),"Tier 2")</f>
        <v>Tier 2</v>
      </c>
      <c r="K911" s="174" t="b">
        <f>IFERROR(__xludf.DUMMYFUNCTION("""COMPUTED_VALUE"""),TRUE)</f>
        <v>1</v>
      </c>
      <c r="L911" s="174"/>
      <c r="M911" s="174"/>
      <c r="N911" s="174"/>
      <c r="O911" s="174"/>
      <c r="P911" s="174"/>
      <c r="Q911" s="174"/>
      <c r="R911" s="174"/>
      <c r="S911" s="174"/>
      <c r="T911" s="174"/>
      <c r="U911" s="174"/>
      <c r="V911" s="174"/>
      <c r="W911" s="174"/>
      <c r="X911" s="174"/>
      <c r="Y911" s="174"/>
      <c r="Z911" s="174"/>
    </row>
    <row r="912">
      <c r="A912" s="190" t="str">
        <f>IFERROR(__xludf.DUMMYFUNCTION("""COMPUTED_VALUE"""),"Spike Cannon")</f>
        <v>Spike Cannon</v>
      </c>
      <c r="B912" s="190" t="str">
        <f>IFERROR(__xludf.DUMMYFUNCTION("""COMPUTED_VALUE"""),"Normal")</f>
        <v>Normal</v>
      </c>
      <c r="C912" s="190" t="str">
        <f>IFERROR(__xludf.DUMMYFUNCTION("""COMPUTED_VALUE"""),"Physical")</f>
        <v>Physical</v>
      </c>
      <c r="D912" s="190" t="str">
        <f>IFERROR(__xludf.DUMMYFUNCTION("""COMPUTED_VALUE"""),"EOT")</f>
        <v>EOT</v>
      </c>
      <c r="E912" s="190" t="str">
        <f>IFERROR(__xludf.DUMMYFUNCTION("""COMPUTED_VALUE"""),"6, 1 Target")</f>
        <v>6, 1 Target</v>
      </c>
      <c r="F912" s="190">
        <f>IFERROR(__xludf.DUMMYFUNCTION("""COMPUTED_VALUE"""),5.0)</f>
        <v>5</v>
      </c>
      <c r="G912" s="190">
        <f>IFERROR(__xludf.DUMMYFUNCTION("""COMPUTED_VALUE"""),4.0)</f>
        <v>4</v>
      </c>
      <c r="H912" s="191" t="str">
        <f>IFERROR(__xludf.DUMMYFUNCTION("""COMPUTED_VALUE"""),"If Spike Cannon hits at least 4 times, the Target becomes Wounded. Five Strike")</f>
        <v>If Spike Cannon hits at least 4 times, the Target becomes Wounded. Five Strike</v>
      </c>
      <c r="I912" s="191" t="str">
        <f>IFERROR(__xludf.DUMMYFUNCTION("""COMPUTED_VALUE"""),"--")</f>
        <v>--</v>
      </c>
      <c r="J912" s="190" t="str">
        <f>IFERROR(__xludf.DUMMYFUNCTION("""COMPUTED_VALUE"""),"Tier 1")</f>
        <v>Tier 1</v>
      </c>
      <c r="K912" s="174" t="b">
        <f>IFERROR(__xludf.DUMMYFUNCTION("""COMPUTED_VALUE"""),TRUE)</f>
        <v>1</v>
      </c>
      <c r="L912" s="174"/>
      <c r="M912" s="174"/>
      <c r="N912" s="174"/>
      <c r="O912" s="174"/>
      <c r="P912" s="174"/>
      <c r="Q912" s="174"/>
      <c r="R912" s="174"/>
      <c r="S912" s="174"/>
      <c r="T912" s="174"/>
      <c r="U912" s="174"/>
      <c r="V912" s="174"/>
      <c r="W912" s="174"/>
      <c r="X912" s="174"/>
      <c r="Y912" s="174"/>
      <c r="Z912" s="174"/>
    </row>
    <row r="913">
      <c r="A913" s="190" t="str">
        <f>IFERROR(__xludf.DUMMYFUNCTION("""COMPUTED_VALUE"""),"Spit Up")</f>
        <v>Spit Up</v>
      </c>
      <c r="B913" s="190" t="str">
        <f>IFERROR(__xludf.DUMMYFUNCTION("""COMPUTED_VALUE"""),"Normal")</f>
        <v>Normal</v>
      </c>
      <c r="C913" s="190" t="str">
        <f>IFERROR(__xludf.DUMMYFUNCTION("""COMPUTED_VALUE"""),"Special")</f>
        <v>Special</v>
      </c>
      <c r="D913" s="190" t="str">
        <f>IFERROR(__xludf.DUMMYFUNCTION("""COMPUTED_VALUE"""),"Scene x2")</f>
        <v>Scene x2</v>
      </c>
      <c r="E913" s="190" t="str">
        <f>IFERROR(__xludf.DUMMYFUNCTION("""COMPUTED_VALUE"""),"4, 1 Target ; or Close Blast 2")</f>
        <v>4, 1 Target ; or Close Blast 2</v>
      </c>
      <c r="F913" s="190">
        <f>IFERROR(__xludf.DUMMYFUNCTION("""COMPUTED_VALUE"""),5.0)</f>
        <v>5</v>
      </c>
      <c r="G913" s="190">
        <f>IFERROR(__xludf.DUMMYFUNCTION("""COMPUTED_VALUE"""),5.0)</f>
        <v>5</v>
      </c>
      <c r="H913" s="191" t="str">
        <f>IFERROR(__xludf.DUMMYFUNCTION("""COMPUTED_VALUE"""),"The user may expend any number of Stockpile Counters upon declaration of this Attack. For each Counter Expended, increase this Attacks' Damage base by +5. (Refer: Stockpile)")</f>
        <v>The user may expend any number of Stockpile Counters upon declaration of this Attack. For each Counter Expended, increase this Attacks' Damage base by +5. (Refer: Stockpile)</v>
      </c>
      <c r="I913" s="191" t="str">
        <f>IFERROR(__xludf.DUMMYFUNCTION("""COMPUTED_VALUE"""),"--")</f>
        <v>--</v>
      </c>
      <c r="J913" s="190" t="str">
        <f>IFERROR(__xludf.DUMMYFUNCTION("""COMPUTED_VALUE"""),"Tier 2")</f>
        <v>Tier 2</v>
      </c>
      <c r="K913" s="174" t="b">
        <f>IFERROR(__xludf.DUMMYFUNCTION("""COMPUTED_VALUE"""),FALSE)</f>
        <v>0</v>
      </c>
      <c r="L913" s="174"/>
      <c r="M913" s="174"/>
      <c r="N913" s="174"/>
      <c r="O913" s="174"/>
      <c r="P913" s="174"/>
      <c r="Q913" s="174"/>
      <c r="R913" s="174"/>
      <c r="S913" s="174"/>
      <c r="T913" s="174"/>
      <c r="U913" s="174"/>
      <c r="V913" s="174"/>
      <c r="W913" s="174"/>
      <c r="X913" s="174"/>
      <c r="Y913" s="174"/>
      <c r="Z913" s="174"/>
    </row>
    <row r="914">
      <c r="A914" s="190" t="str">
        <f>IFERROR(__xludf.DUMMYFUNCTION("""COMPUTED_VALUE"""),"Splash")</f>
        <v>Splash</v>
      </c>
      <c r="B914" s="190" t="str">
        <f>IFERROR(__xludf.DUMMYFUNCTION("""COMPUTED_VALUE"""),"Normal")</f>
        <v>Normal</v>
      </c>
      <c r="C914" s="190" t="str">
        <f>IFERROR(__xludf.DUMMYFUNCTION("""COMPUTED_VALUE"""),"Status")</f>
        <v>Status</v>
      </c>
      <c r="D914" s="190" t="str">
        <f>IFERROR(__xludf.DUMMYFUNCTION("""COMPUTED_VALUE"""),"EOT")</f>
        <v>EOT</v>
      </c>
      <c r="E914" s="190" t="str">
        <f>IFERROR(__xludf.DUMMYFUNCTION("""COMPUTED_VALUE"""),"Self, Movement Action")</f>
        <v>Self, Movement Action</v>
      </c>
      <c r="F914" s="190" t="str">
        <f>IFERROR(__xludf.DUMMYFUNCTION("""COMPUTED_VALUE"""),"--")</f>
        <v>--</v>
      </c>
      <c r="G914" s="190" t="str">
        <f>IFERROR(__xludf.DUMMYFUNCTION("""COMPUTED_VALUE"""),"--")</f>
        <v>--</v>
      </c>
      <c r="H914" s="191" t="str">
        <f>IFERROR(__xludf.DUMMYFUNCTION("""COMPUTED_VALUE"""),"The user may perform a Jump Maneuver as a Free Action and cannot Trigger Attacks of Opportunity this way. The user gains +3 Evasion until the start of their next Turn.")</f>
        <v>The user may perform a Jump Maneuver as a Free Action and cannot Trigger Attacks of Opportunity this way. The user gains +3 Evasion until the start of their next Turn.</v>
      </c>
      <c r="I914" s="191" t="str">
        <f>IFERROR(__xludf.DUMMYFUNCTION("""COMPUTED_VALUE"""),"--")</f>
        <v>--</v>
      </c>
      <c r="J914" s="190" t="str">
        <f>IFERROR(__xludf.DUMMYFUNCTION("""COMPUTED_VALUE"""),"Tier 1")</f>
        <v>Tier 1</v>
      </c>
      <c r="K914" s="174" t="b">
        <f>IFERROR(__xludf.DUMMYFUNCTION("""COMPUTED_VALUE"""),FALSE)</f>
        <v>0</v>
      </c>
      <c r="L914" s="174"/>
      <c r="M914" s="174"/>
      <c r="N914" s="174"/>
      <c r="O914" s="174"/>
      <c r="P914" s="174"/>
      <c r="Q914" s="174"/>
      <c r="R914" s="174"/>
      <c r="S914" s="174"/>
      <c r="T914" s="174"/>
      <c r="U914" s="174"/>
      <c r="V914" s="174"/>
      <c r="W914" s="174"/>
      <c r="X914" s="174"/>
      <c r="Y914" s="174"/>
      <c r="Z914" s="174"/>
    </row>
    <row r="915">
      <c r="A915" s="190" t="str">
        <f>IFERROR(__xludf.DUMMYFUNCTION("""COMPUTED_VALUE"""),"Spotlight")</f>
        <v>Spotlight</v>
      </c>
      <c r="B915" s="190" t="str">
        <f>IFERROR(__xludf.DUMMYFUNCTION("""COMPUTED_VALUE"""),"Normal")</f>
        <v>Normal</v>
      </c>
      <c r="C915" s="190" t="str">
        <f>IFERROR(__xludf.DUMMYFUNCTION("""COMPUTED_VALUE"""),"Status")</f>
        <v>Status</v>
      </c>
      <c r="D915" s="190" t="str">
        <f>IFERROR(__xludf.DUMMYFUNCTION("""COMPUTED_VALUE"""),"Scene")</f>
        <v>Scene</v>
      </c>
      <c r="E915" s="190" t="str">
        <f>IFERROR(__xludf.DUMMYFUNCTION("""COMPUTED_VALUE"""),"3, 1 Target or Self, Versatile")</f>
        <v>3, 1 Target or Self, Versatile</v>
      </c>
      <c r="F915" s="190" t="str">
        <f>IFERROR(__xludf.DUMMYFUNCTION("""COMPUTED_VALUE"""),"--")</f>
        <v>--</v>
      </c>
      <c r="G915" s="190" t="str">
        <f>IFERROR(__xludf.DUMMYFUNCTION("""COMPUTED_VALUE"""),"--")</f>
        <v>--</v>
      </c>
      <c r="H915" s="191" t="str">
        <f>IFERROR(__xludf.DUMMYFUNCTION("""COMPUTED_VALUE"""),"If the Target was an Enemy, they become Vulnerable until the end of the Round. If the Target was the user or an Ally, all Enemies within 2m of the Target become Provoked by them until the end of their next Turn. Sureshot")</f>
        <v>If the Target was an Enemy, they become Vulnerable until the end of the Round. If the Target was the user or an Ally, all Enemies within 2m of the Target become Provoked by them until the end of their next Turn. Sureshot</v>
      </c>
      <c r="I915" s="191" t="str">
        <f>IFERROR(__xludf.DUMMYFUNCTION("""COMPUTED_VALUE"""),"All Enemies within 1m of the Target become Provoked by them until the end of their next Turn. When used this way, it does not expend Spotlight's Frequency. Sureshot.")</f>
        <v>All Enemies within 1m of the Target become Provoked by them until the end of their next Turn. When used this way, it does not expend Spotlight's Frequency. Sureshot.</v>
      </c>
      <c r="J915" s="190" t="str">
        <f>IFERROR(__xludf.DUMMYFUNCTION("""COMPUTED_VALUE"""),"Tier 3")</f>
        <v>Tier 3</v>
      </c>
      <c r="K915" s="174" t="b">
        <f>IFERROR(__xludf.DUMMYFUNCTION("""COMPUTED_VALUE"""),TRUE)</f>
        <v>1</v>
      </c>
      <c r="L915" s="174"/>
      <c r="M915" s="174"/>
      <c r="N915" s="174"/>
      <c r="O915" s="174"/>
      <c r="P915" s="174"/>
      <c r="Q915" s="174"/>
      <c r="R915" s="174"/>
      <c r="S915" s="174"/>
      <c r="T915" s="174"/>
      <c r="U915" s="174"/>
      <c r="V915" s="174"/>
      <c r="W915" s="174"/>
      <c r="X915" s="174"/>
      <c r="Y915" s="174"/>
      <c r="Z915" s="174"/>
    </row>
    <row r="916">
      <c r="A916" s="190" t="str">
        <f>IFERROR(__xludf.DUMMYFUNCTION("""COMPUTED_VALUE"""),"Starbeam")</f>
        <v>Starbeam</v>
      </c>
      <c r="B916" s="190" t="str">
        <f>IFERROR(__xludf.DUMMYFUNCTION("""COMPUTED_VALUE"""),"Normal")</f>
        <v>Normal</v>
      </c>
      <c r="C916" s="190" t="str">
        <f>IFERROR(__xludf.DUMMYFUNCTION("""COMPUTED_VALUE"""),"Special")</f>
        <v>Special</v>
      </c>
      <c r="D916" s="190" t="str">
        <f>IFERROR(__xludf.DUMMYFUNCTION("""COMPUTED_VALUE"""),"At-Will")</f>
        <v>At-Will</v>
      </c>
      <c r="E916" s="190" t="str">
        <f>IFERROR(__xludf.DUMMYFUNCTION("""COMPUTED_VALUE"""),"6, 1 Target")</f>
        <v>6, 1 Target</v>
      </c>
      <c r="F916" s="190">
        <f>IFERROR(__xludf.DUMMYFUNCTION("""COMPUTED_VALUE"""),3.0)</f>
        <v>3</v>
      </c>
      <c r="G916" s="190">
        <f>IFERROR(__xludf.DUMMYFUNCTION("""COMPUTED_VALUE"""),6.0)</f>
        <v>6</v>
      </c>
      <c r="H916" s="191" t="str">
        <f>IFERROR(__xludf.DUMMYFUNCTION("""COMPUTED_VALUE"""),"On a roll of 18+, the Target becomes Dazed. Smite")</f>
        <v>On a roll of 18+, the Target becomes Dazed. Smite</v>
      </c>
      <c r="I916" s="191" t="str">
        <f>IFERROR(__xludf.DUMMYFUNCTION("""COMPUTED_VALUE"""),"--")</f>
        <v>--</v>
      </c>
      <c r="J916" s="190" t="str">
        <f>IFERROR(__xludf.DUMMYFUNCTION("""COMPUTED_VALUE"""),"Tier 1")</f>
        <v>Tier 1</v>
      </c>
      <c r="K916" s="174" t="b">
        <f>IFERROR(__xludf.DUMMYFUNCTION("""COMPUTED_VALUE"""),TRUE)</f>
        <v>1</v>
      </c>
      <c r="L916" s="174"/>
      <c r="M916" s="174"/>
      <c r="N916" s="174"/>
      <c r="O916" s="174"/>
      <c r="P916" s="174"/>
      <c r="Q916" s="174"/>
      <c r="R916" s="174"/>
      <c r="S916" s="174"/>
      <c r="T916" s="174"/>
      <c r="U916" s="174"/>
      <c r="V916" s="174"/>
      <c r="W916" s="174"/>
      <c r="X916" s="174"/>
      <c r="Y916" s="174"/>
      <c r="Z916" s="174"/>
    </row>
    <row r="917">
      <c r="A917" s="190" t="str">
        <f>IFERROR(__xludf.DUMMYFUNCTION("""COMPUTED_VALUE"""),"Stockpile")</f>
        <v>Stockpile</v>
      </c>
      <c r="B917" s="190" t="str">
        <f>IFERROR(__xludf.DUMMYFUNCTION("""COMPUTED_VALUE"""),"Normal")</f>
        <v>Normal</v>
      </c>
      <c r="C917" s="190" t="str">
        <f>IFERROR(__xludf.DUMMYFUNCTION("""COMPUTED_VALUE"""),"Status")</f>
        <v>Status</v>
      </c>
      <c r="D917" s="190" t="str">
        <f>IFERROR(__xludf.DUMMYFUNCTION("""COMPUTED_VALUE"""),"At-Will  ")</f>
        <v>At-Will  </v>
      </c>
      <c r="E917" s="190" t="str">
        <f>IFERROR(__xludf.DUMMYFUNCTION("""COMPUTED_VALUE"""),"Self, Versatile")</f>
        <v>Self, Versatile</v>
      </c>
      <c r="F917" s="190" t="str">
        <f>IFERROR(__xludf.DUMMYFUNCTION("""COMPUTED_VALUE"""),"--")</f>
        <v>--</v>
      </c>
      <c r="G917" s="190" t="str">
        <f>IFERROR(__xludf.DUMMYFUNCTION("""COMPUTED_VALUE"""),"--")</f>
        <v>--</v>
      </c>
      <c r="H917" s="191" t="str">
        <f>IFERROR(__xludf.DUMMYFUNCTION("""COMPUTED_VALUE"""),"After this Attack's Resolution, gain +1 Stockpile Counter (Max 3), Choose two different Effects to apply from the following list (You may expend Stockpile Counters to increase any of the Effects by +1 per Counter Expended). The user gains +1 Cs in Defense"&amp;". The user gains +1 CS in Special Defense. The user gains 2 Ticks of Temporary Hit Points. The user gains 2 Ticks of Hit Points. ")</f>
        <v>After this Attack's Resolution, gain +1 Stockpile Counter (Max 3), Choose two different Effects to apply from the following list (You may expend Stockpile Counters to increase any of the Effects by +1 per Counter Expended). The user gains +1 Cs in Defense. The user gains +1 CS in Special Defense. The user gains 2 Ticks of Temporary Hit Points. The user gains 2 Ticks of Hit Points. </v>
      </c>
      <c r="I917" s="191" t="str">
        <f>IFERROR(__xludf.DUMMYFUNCTION("""COMPUTED_VALUE"""),"The user gains +1 Stockpile Counter.")</f>
        <v>The user gains +1 Stockpile Counter.</v>
      </c>
      <c r="J917" s="190" t="str">
        <f>IFERROR(__xludf.DUMMYFUNCTION("""COMPUTED_VALUE"""),"Tier 2")</f>
        <v>Tier 2</v>
      </c>
      <c r="K917" s="174" t="b">
        <f>IFERROR(__xludf.DUMMYFUNCTION("""COMPUTED_VALUE"""),TRUE)</f>
        <v>1</v>
      </c>
      <c r="L917" s="174"/>
      <c r="M917" s="174"/>
      <c r="N917" s="174"/>
      <c r="O917" s="174"/>
      <c r="P917" s="174"/>
      <c r="Q917" s="174"/>
      <c r="R917" s="174"/>
      <c r="S917" s="174"/>
      <c r="T917" s="174"/>
      <c r="U917" s="174"/>
      <c r="V917" s="174"/>
      <c r="W917" s="174"/>
      <c r="X917" s="174"/>
      <c r="Y917" s="174"/>
      <c r="Z917" s="174"/>
    </row>
    <row r="918">
      <c r="A918" s="190" t="str">
        <f>IFERROR(__xludf.DUMMYFUNCTION("""COMPUTED_VALUE"""),"Stomp")</f>
        <v>Stomp</v>
      </c>
      <c r="B918" s="190" t="str">
        <f>IFERROR(__xludf.DUMMYFUNCTION("""COMPUTED_VALUE"""),"Normal")</f>
        <v>Normal</v>
      </c>
      <c r="C918" s="190" t="str">
        <f>IFERROR(__xludf.DUMMYFUNCTION("""COMPUTED_VALUE"""),"Physical")</f>
        <v>Physical</v>
      </c>
      <c r="D918" s="190" t="str">
        <f>IFERROR(__xludf.DUMMYFUNCTION("""COMPUTED_VALUE"""),"EOT")</f>
        <v>EOT</v>
      </c>
      <c r="E918" s="190" t="str">
        <f>IFERROR(__xludf.DUMMYFUNCTION("""COMPUTED_VALUE"""),"Melee, 1 Target")</f>
        <v>Melee, 1 Target</v>
      </c>
      <c r="F918" s="190">
        <f>IFERROR(__xludf.DUMMYFUNCTION("""COMPUTED_VALUE"""),2.0)</f>
        <v>2</v>
      </c>
      <c r="G918" s="190">
        <f>IFERROR(__xludf.DUMMYFUNCTION("""COMPUTED_VALUE"""),7.0)</f>
        <v>7</v>
      </c>
      <c r="H918" s="191" t="str">
        <f>IFERROR(__xludf.DUMMYFUNCTION("""COMPUTED_VALUE"""),"Stomp has the Sureshot Keyword against Targets that are smaller than the user. If they're two Size Categories smaller, it is a Critical Hit on a roll of 15+.")</f>
        <v>Stomp has the Sureshot Keyword against Targets that are smaller than the user. If they're two Size Categories smaller, it is a Critical Hit on a roll of 15+.</v>
      </c>
      <c r="I918" s="191" t="str">
        <f>IFERROR(__xludf.DUMMYFUNCTION("""COMPUTED_VALUE"""),"--")</f>
        <v>--</v>
      </c>
      <c r="J918" s="190" t="str">
        <f>IFERROR(__xludf.DUMMYFUNCTION("""COMPUTED_VALUE"""),"Tier 1")</f>
        <v>Tier 1</v>
      </c>
      <c r="K918" s="174" t="b">
        <f>IFERROR(__xludf.DUMMYFUNCTION("""COMPUTED_VALUE"""),TRUE)</f>
        <v>1</v>
      </c>
      <c r="L918" s="174"/>
      <c r="M918" s="174"/>
      <c r="N918" s="174"/>
      <c r="O918" s="174"/>
      <c r="P918" s="174"/>
      <c r="Q918" s="174"/>
      <c r="R918" s="174"/>
      <c r="S918" s="174"/>
      <c r="T918" s="174"/>
      <c r="U918" s="174"/>
      <c r="V918" s="174"/>
      <c r="W918" s="174"/>
      <c r="X918" s="174"/>
      <c r="Y918" s="174"/>
      <c r="Z918" s="174"/>
    </row>
    <row r="919">
      <c r="A919" s="190" t="str">
        <f>IFERROR(__xludf.DUMMYFUNCTION("""COMPUTED_VALUE"""),"Strength")</f>
        <v>Strength</v>
      </c>
      <c r="B919" s="190" t="str">
        <f>IFERROR(__xludf.DUMMYFUNCTION("""COMPUTED_VALUE"""),"Normal")</f>
        <v>Normal</v>
      </c>
      <c r="C919" s="190" t="str">
        <f>IFERROR(__xludf.DUMMYFUNCTION("""COMPUTED_VALUE"""),"Physical")</f>
        <v>Physical</v>
      </c>
      <c r="D919" s="190" t="str">
        <f>IFERROR(__xludf.DUMMYFUNCTION("""COMPUTED_VALUE"""),"EOT")</f>
        <v>EOT</v>
      </c>
      <c r="E919" s="190" t="str">
        <f>IFERROR(__xludf.DUMMYFUNCTION("""COMPUTED_VALUE"""),"Melee, 1 Target")</f>
        <v>Melee, 1 Target</v>
      </c>
      <c r="F919" s="190">
        <f>IFERROR(__xludf.DUMMYFUNCTION("""COMPUTED_VALUE"""),3.0)</f>
        <v>3</v>
      </c>
      <c r="G919" s="190">
        <f>IFERROR(__xludf.DUMMYFUNCTION("""COMPUTED_VALUE"""),8.0)</f>
        <v>8</v>
      </c>
      <c r="H919" s="191" t="str">
        <f>IFERROR(__xludf.DUMMYFUNCTION("""COMPUTED_VALUE"""),"You may immediately initiate a Push Maneuver as a Free Action. The Maneuver automatically hits, but you must still make the Opposed Roll.  ")</f>
        <v>You may immediately initiate a Push Maneuver as a Free Action. The Maneuver automatically hits, but you must still make the Opposed Roll.  </v>
      </c>
      <c r="I919" s="191" t="str">
        <f>IFERROR(__xludf.DUMMYFUNCTION("""COMPUTED_VALUE"""),"--")</f>
        <v>--</v>
      </c>
      <c r="J919" s="190" t="str">
        <f>IFERROR(__xludf.DUMMYFUNCTION("""COMPUTED_VALUE"""),"Tier 2")</f>
        <v>Tier 2</v>
      </c>
      <c r="K919" s="174" t="b">
        <f>IFERROR(__xludf.DUMMYFUNCTION("""COMPUTED_VALUE"""),TRUE)</f>
        <v>1</v>
      </c>
      <c r="L919" s="174"/>
      <c r="M919" s="174"/>
      <c r="N919" s="174"/>
      <c r="O919" s="174"/>
      <c r="P919" s="174"/>
      <c r="Q919" s="174"/>
      <c r="R919" s="174"/>
      <c r="S919" s="174"/>
      <c r="T919" s="174"/>
      <c r="U919" s="174"/>
      <c r="V919" s="174"/>
      <c r="W919" s="174"/>
      <c r="X919" s="174"/>
      <c r="Y919" s="174"/>
      <c r="Z919" s="174"/>
    </row>
    <row r="920">
      <c r="A920" s="190" t="str">
        <f>IFERROR(__xludf.DUMMYFUNCTION("""COMPUTED_VALUE"""),"Stuff Cheeks")</f>
        <v>Stuff Cheeks</v>
      </c>
      <c r="B920" s="190" t="str">
        <f>IFERROR(__xludf.DUMMYFUNCTION("""COMPUTED_VALUE"""),"Normal")</f>
        <v>Normal</v>
      </c>
      <c r="C920" s="190" t="str">
        <f>IFERROR(__xludf.DUMMYFUNCTION("""COMPUTED_VALUE"""),"Status")</f>
        <v>Status</v>
      </c>
      <c r="D920" s="190" t="str">
        <f>IFERROR(__xludf.DUMMYFUNCTION("""COMPUTED_VALUE"""),"Scene")</f>
        <v>Scene</v>
      </c>
      <c r="E920" s="190" t="str">
        <f>IFERROR(__xludf.DUMMYFUNCTION("""COMPUTED_VALUE"""),"Self")</f>
        <v>Self</v>
      </c>
      <c r="F920" s="190" t="str">
        <f>IFERROR(__xludf.DUMMYFUNCTION("""COMPUTED_VALUE"""),"--")</f>
        <v>--</v>
      </c>
      <c r="G920" s="190" t="str">
        <f>IFERROR(__xludf.DUMMYFUNCTION("""COMPUTED_VALUE"""),"--")</f>
        <v>--</v>
      </c>
      <c r="H920" s="191" t="str">
        <f>IFERROR(__xludf.DUMMYFUNCTION("""COMPUTED_VALUE"""),"Choose two different Effects to apply.
■ The user gains +2 CS in Defense
■ The user gains +2 CS in Special Defense
■ The user gains 3 Ticks of Temporary Hit Points")</f>
        <v>Choose two different Effects to apply.
■ The user gains +2 CS in Defense
■ The user gains +2 CS in Special Defense
■ The user gains 3 Ticks of Temporary Hit Points</v>
      </c>
      <c r="I920" s="191" t="str">
        <f>IFERROR(__xludf.DUMMYFUNCTION("""COMPUTED_VALUE"""),"--")</f>
        <v>--</v>
      </c>
      <c r="J920" s="190" t="str">
        <f>IFERROR(__xludf.DUMMYFUNCTION("""COMPUTED_VALUE"""),"Tier 3")</f>
        <v>Tier 3</v>
      </c>
      <c r="K920" s="174" t="b">
        <f>IFERROR(__xludf.DUMMYFUNCTION("""COMPUTED_VALUE"""),FALSE)</f>
        <v>0</v>
      </c>
      <c r="L920" s="174"/>
      <c r="M920" s="174"/>
      <c r="N920" s="174"/>
      <c r="O920" s="174"/>
      <c r="P920" s="174"/>
      <c r="Q920" s="174"/>
      <c r="R920" s="174"/>
      <c r="S920" s="174"/>
      <c r="T920" s="174"/>
      <c r="U920" s="174"/>
      <c r="V920" s="174"/>
      <c r="W920" s="174"/>
      <c r="X920" s="174"/>
      <c r="Y920" s="174"/>
      <c r="Z920" s="174"/>
    </row>
    <row r="921">
      <c r="A921" s="190" t="str">
        <f>IFERROR(__xludf.DUMMYFUNCTION("""COMPUTED_VALUE"""),"Substitute")</f>
        <v>Substitute</v>
      </c>
      <c r="B921" s="190" t="str">
        <f>IFERROR(__xludf.DUMMYFUNCTION("""COMPUTED_VALUE"""),"Normal")</f>
        <v>Normal</v>
      </c>
      <c r="C921" s="190" t="str">
        <f>IFERROR(__xludf.DUMMYFUNCTION("""COMPUTED_VALUE"""),"Status")</f>
        <v>Status</v>
      </c>
      <c r="D921" s="190" t="str">
        <f>IFERROR(__xludf.DUMMYFUNCTION("""COMPUTED_VALUE"""),"Scene")</f>
        <v>Scene</v>
      </c>
      <c r="E921" s="190" t="str">
        <f>IFERROR(__xludf.DUMMYFUNCTION("""COMPUTED_VALUE"""),"Self, Coat")</f>
        <v>Self, Coat</v>
      </c>
      <c r="F921" s="190" t="str">
        <f>IFERROR(__xludf.DUMMYFUNCTION("""COMPUTED_VALUE"""),"--")</f>
        <v>--</v>
      </c>
      <c r="G921" s="190" t="str">
        <f>IFERROR(__xludf.DUMMYFUNCTION("""COMPUTED_VALUE"""),"--")</f>
        <v>--</v>
      </c>
      <c r="H921" s="191" t="str">
        <f>IFERROR(__xludf.DUMMYFUNCTION("""COMPUTED_VALUE"""),"The user loses 1/4 of their maximum Hit Points, which cannot be prevented in any way, then creates a Substitute Coat. A substitute coat has HP equal to the amount lost in using this Attack. While affected by a Substitute Coat, you are immune to Status Aff"&amp;"lictions and Status Attacks. When hit by an Attack, you subtract from the Substitute coat instead. If the substitute coat runs out of HP, it is expended. Damage does not carry over to the user. This cannot be used if the user has less than 1/4 of their Fu"&amp;"ll Hit Points. ")</f>
        <v>The user loses 1/4 of their maximum Hit Points, which cannot be prevented in any way, then creates a Substitute Coat. A substitute coat has HP equal to the amount lost in using this Attack. While affected by a Substitute Coat, you are immune to Status Afflictions and Status Attacks. When hit by an Attack, you subtract from the Substitute coat instead. If the substitute coat runs out of HP, it is expended. Damage does not carry over to the user. This cannot be used if the user has less than 1/4 of their Full Hit Points. </v>
      </c>
      <c r="I921" s="191" t="str">
        <f>IFERROR(__xludf.DUMMYFUNCTION("""COMPUTED_VALUE"""),"--")</f>
        <v>--</v>
      </c>
      <c r="J921" s="190" t="str">
        <f>IFERROR(__xludf.DUMMYFUNCTION("""COMPUTED_VALUE"""),"Tier 3")</f>
        <v>Tier 3</v>
      </c>
      <c r="K921" s="174" t="b">
        <f>IFERROR(__xludf.DUMMYFUNCTION("""COMPUTED_VALUE"""),TRUE)</f>
        <v>1</v>
      </c>
      <c r="L921" s="174"/>
      <c r="M921" s="174"/>
      <c r="N921" s="174"/>
      <c r="O921" s="174"/>
      <c r="P921" s="174"/>
      <c r="Q921" s="174"/>
      <c r="R921" s="174"/>
      <c r="S921" s="174"/>
      <c r="T921" s="174"/>
      <c r="U921" s="174"/>
      <c r="V921" s="174"/>
      <c r="W921" s="174"/>
      <c r="X921" s="174"/>
      <c r="Y921" s="174"/>
      <c r="Z921" s="174"/>
    </row>
    <row r="922">
      <c r="A922" s="190" t="str">
        <f>IFERROR(__xludf.DUMMYFUNCTION("""COMPUTED_VALUE"""),"Sunburst")</f>
        <v>Sunburst</v>
      </c>
      <c r="B922" s="190" t="str">
        <f>IFERROR(__xludf.DUMMYFUNCTION("""COMPUTED_VALUE"""),"Normal")</f>
        <v>Normal</v>
      </c>
      <c r="C922" s="190" t="str">
        <f>IFERROR(__xludf.DUMMYFUNCTION("""COMPUTED_VALUE"""),"Status")</f>
        <v>Status</v>
      </c>
      <c r="D922" s="190" t="str">
        <f>IFERROR(__xludf.DUMMYFUNCTION("""COMPUTED_VALUE"""),"EOT")</f>
        <v>EOT</v>
      </c>
      <c r="E922" s="190" t="str">
        <f>IFERROR(__xludf.DUMMYFUNCTION("""COMPUTED_VALUE"""),"Burst 1")</f>
        <v>Burst 1</v>
      </c>
      <c r="F922" s="190" t="str">
        <f>IFERROR(__xludf.DUMMYFUNCTION("""COMPUTED_VALUE"""),"--")</f>
        <v>--</v>
      </c>
      <c r="G922" s="190" t="str">
        <f>IFERROR(__xludf.DUMMYFUNCTION("""COMPUTED_VALUE"""),"--")</f>
        <v>--</v>
      </c>
      <c r="H922" s="191" t="str">
        <f>IFERROR(__xludf.DUMMYFUNCTION("""COMPUTED_VALUE"""),"The user and all Targets gain +1 CS in Attack and Special Attack. If the Weather is Sunny, they gain +2 instead or are also cured of a Status Affliction.")</f>
        <v>The user and all Targets gain +1 CS in Attack and Special Attack. If the Weather is Sunny, they gain +2 instead or are also cured of a Status Affliction.</v>
      </c>
      <c r="I922" s="191" t="str">
        <f>IFERROR(__xludf.DUMMYFUNCTION("""COMPUTED_VALUE"""),"The user and all Targets gain +1 CS in Attack and Special Attack. This Attack can only be used this way if the Weather is Sunny.")</f>
        <v>The user and all Targets gain +1 CS in Attack and Special Attack. This Attack can only be used this way if the Weather is Sunny.</v>
      </c>
      <c r="J922" s="190" t="str">
        <f>IFERROR(__xludf.DUMMYFUNCTION("""COMPUTED_VALUE"""),"Tier 1")</f>
        <v>Tier 1</v>
      </c>
      <c r="K922" s="174" t="b">
        <f>IFERROR(__xludf.DUMMYFUNCTION("""COMPUTED_VALUE"""),TRUE)</f>
        <v>1</v>
      </c>
      <c r="L922" s="174"/>
      <c r="M922" s="174"/>
      <c r="N922" s="174"/>
      <c r="O922" s="174"/>
      <c r="P922" s="174"/>
      <c r="Q922" s="174"/>
      <c r="R922" s="174"/>
      <c r="S922" s="174"/>
      <c r="T922" s="174"/>
      <c r="U922" s="174"/>
      <c r="V922" s="174"/>
      <c r="W922" s="174"/>
      <c r="X922" s="174"/>
      <c r="Y922" s="174"/>
      <c r="Z922" s="174"/>
    </row>
    <row r="923">
      <c r="A923" s="190" t="str">
        <f>IFERROR(__xludf.DUMMYFUNCTION("""COMPUTED_VALUE"""),"Sunspot")</f>
        <v>Sunspot</v>
      </c>
      <c r="B923" s="190" t="str">
        <f>IFERROR(__xludf.DUMMYFUNCTION("""COMPUTED_VALUE"""),"Normal")</f>
        <v>Normal</v>
      </c>
      <c r="C923" s="190" t="str">
        <f>IFERROR(__xludf.DUMMYFUNCTION("""COMPUTED_VALUE"""),"Status")</f>
        <v>Status</v>
      </c>
      <c r="D923" s="190" t="str">
        <f>IFERROR(__xludf.DUMMYFUNCTION("""COMPUTED_VALUE"""),"EOT")</f>
        <v>EOT</v>
      </c>
      <c r="E923" s="190" t="str">
        <f>IFERROR(__xludf.DUMMYFUNCTION("""COMPUTED_VALUE"""),"Burst 1; or 5, Ranged Blast 3")</f>
        <v>Burst 1; or 5, Ranged Blast 3</v>
      </c>
      <c r="F923" s="190">
        <f>IFERROR(__xludf.DUMMYFUNCTION("""COMPUTED_VALUE"""),4.0)</f>
        <v>4</v>
      </c>
      <c r="G923" s="190" t="str">
        <f>IFERROR(__xludf.DUMMYFUNCTION("""COMPUTED_VALUE"""),"--")</f>
        <v>--</v>
      </c>
      <c r="H923" s="191" t="str">
        <f>IFERROR(__xludf.DUMMYFUNCTION("""COMPUTED_VALUE"""),"All Targets lose -2 CS in Attack and Special Attack. If the Weather is Sunny, they instead lose it in any two different Stats of your choosing.")</f>
        <v>All Targets lose -2 CS in Attack and Special Attack. If the Weather is Sunny, they instead lose it in any two different Stats of your choosing.</v>
      </c>
      <c r="I923" s="191" t="str">
        <f>IFERROR(__xludf.DUMMYFUNCTION("""COMPUTED_VALUE"""),"All Targets lose -1 CS in Attack and Special Attack. This Attack can only be used this way if the Weather is Sunny.")</f>
        <v>All Targets lose -1 CS in Attack and Special Attack. This Attack can only be used this way if the Weather is Sunny.</v>
      </c>
      <c r="J923" s="190" t="str">
        <f>IFERROR(__xludf.DUMMYFUNCTION("""COMPUTED_VALUE"""),"Tier 1")</f>
        <v>Tier 1</v>
      </c>
      <c r="K923" s="174" t="b">
        <f>IFERROR(__xludf.DUMMYFUNCTION("""COMPUTED_VALUE"""),TRUE)</f>
        <v>1</v>
      </c>
      <c r="L923" s="174"/>
      <c r="M923" s="174"/>
      <c r="N923" s="174"/>
      <c r="O923" s="174"/>
      <c r="P923" s="174"/>
      <c r="Q923" s="174"/>
      <c r="R923" s="174"/>
      <c r="S923" s="174"/>
      <c r="T923" s="174"/>
      <c r="U923" s="174"/>
      <c r="V923" s="174"/>
      <c r="W923" s="174"/>
      <c r="X923" s="174"/>
      <c r="Y923" s="174"/>
      <c r="Z923" s="174"/>
    </row>
    <row r="924">
      <c r="A924" s="190" t="str">
        <f>IFERROR(__xludf.DUMMYFUNCTION("""COMPUTED_VALUE"""),"Super Fang")</f>
        <v>Super Fang</v>
      </c>
      <c r="B924" s="190" t="str">
        <f>IFERROR(__xludf.DUMMYFUNCTION("""COMPUTED_VALUE"""),"Normal")</f>
        <v>Normal</v>
      </c>
      <c r="C924" s="190" t="str">
        <f>IFERROR(__xludf.DUMMYFUNCTION("""COMPUTED_VALUE"""),"Physical")</f>
        <v>Physical</v>
      </c>
      <c r="D924" s="190" t="str">
        <f>IFERROR(__xludf.DUMMYFUNCTION("""COMPUTED_VALUE"""),"Scene x2")</f>
        <v>Scene x2</v>
      </c>
      <c r="E924" s="190" t="str">
        <f>IFERROR(__xludf.DUMMYFUNCTION("""COMPUTED_VALUE"""),"Melee, 1 Target")</f>
        <v>Melee, 1 Target</v>
      </c>
      <c r="F924" s="190">
        <f>IFERROR(__xludf.DUMMYFUNCTION("""COMPUTED_VALUE"""),4.0)</f>
        <v>4</v>
      </c>
      <c r="G924" s="190" t="str">
        <f>IFERROR(__xludf.DUMMYFUNCTION("""COMPUTED_VALUE"""),"--")</f>
        <v>--</v>
      </c>
      <c r="H924" s="191" t="str">
        <f>IFERROR(__xludf.DUMMYFUNCTION("""COMPUTED_VALUE"""),"Roll 2d3. The Target loses that many Ticks of Hit Points.")</f>
        <v>Roll 2d3. The Target loses that many Ticks of Hit Points.</v>
      </c>
      <c r="I924" s="191" t="str">
        <f>IFERROR(__xludf.DUMMYFUNCTION("""COMPUTED_VALUE"""),"--")</f>
        <v>--</v>
      </c>
      <c r="J924" s="190" t="str">
        <f>IFERROR(__xludf.DUMMYFUNCTION("""COMPUTED_VALUE"""),"Tier 2")</f>
        <v>Tier 2</v>
      </c>
      <c r="K924" s="174" t="b">
        <f>IFERROR(__xludf.DUMMYFUNCTION("""COMPUTED_VALUE"""),TRUE)</f>
        <v>1</v>
      </c>
      <c r="L924" s="174"/>
      <c r="M924" s="174"/>
      <c r="N924" s="174"/>
      <c r="O924" s="174"/>
      <c r="P924" s="174"/>
      <c r="Q924" s="174"/>
      <c r="R924" s="174"/>
      <c r="S924" s="174"/>
      <c r="T924" s="174"/>
      <c r="U924" s="174"/>
      <c r="V924" s="174"/>
      <c r="W924" s="174"/>
      <c r="X924" s="174"/>
      <c r="Y924" s="174"/>
      <c r="Z924" s="174"/>
    </row>
    <row r="925">
      <c r="A925" s="190" t="str">
        <f>IFERROR(__xludf.DUMMYFUNCTION("""COMPUTED_VALUE"""),"Supernova")</f>
        <v>Supernova</v>
      </c>
      <c r="B925" s="190" t="str">
        <f>IFERROR(__xludf.DUMMYFUNCTION("""COMPUTED_VALUE"""),"Normal")</f>
        <v>Normal</v>
      </c>
      <c r="C925" s="190" t="str">
        <f>IFERROR(__xludf.DUMMYFUNCTION("""COMPUTED_VALUE"""),"Special")</f>
        <v>Special</v>
      </c>
      <c r="D925" s="190" t="str">
        <f>IFERROR(__xludf.DUMMYFUNCTION("""COMPUTED_VALUE"""),"Scene")</f>
        <v>Scene</v>
      </c>
      <c r="E925" s="190" t="str">
        <f>IFERROR(__xludf.DUMMYFUNCTION("""COMPUTED_VALUE"""),"Burst 2, Full Action, Recoil 1/2, Reckless")</f>
        <v>Burst 2, Full Action, Recoil 1/2, Reckless</v>
      </c>
      <c r="F925" s="190">
        <f>IFERROR(__xludf.DUMMYFUNCTION("""COMPUTED_VALUE"""),7.0)</f>
        <v>7</v>
      </c>
      <c r="G925" s="190">
        <f>IFERROR(__xludf.DUMMYFUNCTION("""COMPUTED_VALUE"""),12.0)</f>
        <v>12</v>
      </c>
      <c r="H925" s="191" t="str">
        <f>IFERROR(__xludf.DUMMYFUNCTION("""COMPUTED_VALUE"""),"If the Weather is Sunny, this Attack ignores the Recoil Keyword. Smite")</f>
        <v>If the Weather is Sunny, this Attack ignores the Recoil Keyword. Smite</v>
      </c>
      <c r="I925" s="191" t="str">
        <f>IFERROR(__xludf.DUMMYFUNCTION("""COMPUTED_VALUE"""),"--")</f>
        <v>--</v>
      </c>
      <c r="J925" s="190" t="str">
        <f>IFERROR(__xludf.DUMMYFUNCTION("""COMPUTED_VALUE"""),"Tier 3")</f>
        <v>Tier 3</v>
      </c>
      <c r="K925" s="174" t="b">
        <f>IFERROR(__xludf.DUMMYFUNCTION("""COMPUTED_VALUE"""),TRUE)</f>
        <v>1</v>
      </c>
      <c r="L925" s="174"/>
      <c r="M925" s="174"/>
      <c r="N925" s="174"/>
      <c r="O925" s="174"/>
      <c r="P925" s="174"/>
      <c r="Q925" s="174"/>
      <c r="R925" s="174"/>
      <c r="S925" s="174"/>
      <c r="T925" s="174"/>
      <c r="U925" s="174"/>
      <c r="V925" s="174"/>
      <c r="W925" s="174"/>
      <c r="X925" s="174"/>
      <c r="Y925" s="174"/>
      <c r="Z925" s="174"/>
    </row>
    <row r="926">
      <c r="A926" s="190" t="str">
        <f>IFERROR(__xludf.DUMMYFUNCTION("""COMPUTED_VALUE"""),"Supersonic")</f>
        <v>Supersonic</v>
      </c>
      <c r="B926" s="190" t="str">
        <f>IFERROR(__xludf.DUMMYFUNCTION("""COMPUTED_VALUE"""),"Normal")</f>
        <v>Normal</v>
      </c>
      <c r="C926" s="190" t="str">
        <f>IFERROR(__xludf.DUMMYFUNCTION("""COMPUTED_VALUE"""),"Status")</f>
        <v>Status</v>
      </c>
      <c r="D926" s="190" t="str">
        <f>IFERROR(__xludf.DUMMYFUNCTION("""COMPUTED_VALUE"""),"Scene x2")</f>
        <v>Scene x2</v>
      </c>
      <c r="E926" s="190" t="str">
        <f>IFERROR(__xludf.DUMMYFUNCTION("""COMPUTED_VALUE"""),"4, 1 Target, Sonic, Versatile")</f>
        <v>4, 1 Target, Sonic, Versatile</v>
      </c>
      <c r="F926" s="190">
        <f>IFERROR(__xludf.DUMMYFUNCTION("""COMPUTED_VALUE"""),4.0)</f>
        <v>4</v>
      </c>
      <c r="G926" s="190" t="str">
        <f>IFERROR(__xludf.DUMMYFUNCTION("""COMPUTED_VALUE"""),"--")</f>
        <v>--</v>
      </c>
      <c r="H926" s="191" t="str">
        <f>IFERROR(__xludf.DUMMYFUNCTION("""COMPUTED_VALUE"""),"The Target suffers a -3 Penalty to Accuracy Rolls until the end of their next Turn. When this Attack hits, the Target also becomes Dazed. Spirit Surge.")</f>
        <v>The Target suffers a -3 Penalty to Accuracy Rolls until the end of their next Turn. When this Attack hits, the Target also becomes Dazed. Spirit Surge.</v>
      </c>
      <c r="I926" s="191" t="str">
        <f>IFERROR(__xludf.DUMMYFUNCTION("""COMPUTED_VALUE"""),"The Target becomes Dazed. When used this way, the AC becomes 6.")</f>
        <v>The Target becomes Dazed. When used this way, the AC becomes 6.</v>
      </c>
      <c r="J926" s="190" t="str">
        <f>IFERROR(__xludf.DUMMYFUNCTION("""COMPUTED_VALUE"""),"Tier 2")</f>
        <v>Tier 2</v>
      </c>
      <c r="K926" s="174" t="b">
        <f>IFERROR(__xludf.DUMMYFUNCTION("""COMPUTED_VALUE"""),TRUE)</f>
        <v>1</v>
      </c>
      <c r="L926" s="174"/>
      <c r="M926" s="174"/>
      <c r="N926" s="174"/>
      <c r="O926" s="174"/>
      <c r="P926" s="174"/>
      <c r="Q926" s="174"/>
      <c r="R926" s="174"/>
      <c r="S926" s="174"/>
      <c r="T926" s="174"/>
      <c r="U926" s="174"/>
      <c r="V926" s="174"/>
      <c r="W926" s="174"/>
      <c r="X926" s="174"/>
      <c r="Y926" s="174"/>
      <c r="Z926" s="174"/>
    </row>
    <row r="927">
      <c r="A927" s="190" t="str">
        <f>IFERROR(__xludf.DUMMYFUNCTION("""COMPUTED_VALUE"""),"Swagger")</f>
        <v>Swagger</v>
      </c>
      <c r="B927" s="190" t="str">
        <f>IFERROR(__xludf.DUMMYFUNCTION("""COMPUTED_VALUE"""),"Normal")</f>
        <v>Normal</v>
      </c>
      <c r="C927" s="190" t="str">
        <f>IFERROR(__xludf.DUMMYFUNCTION("""COMPUTED_VALUE"""),"Status")</f>
        <v>Status</v>
      </c>
      <c r="D927" s="190" t="str">
        <f>IFERROR(__xludf.DUMMYFUNCTION("""COMPUTED_VALUE"""),"EOT")</f>
        <v>EOT</v>
      </c>
      <c r="E927" s="190" t="str">
        <f>IFERROR(__xludf.DUMMYFUNCTION("""COMPUTED_VALUE"""),"Self, Social, Versatile")</f>
        <v>Self, Social, Versatile</v>
      </c>
      <c r="F927" s="190" t="str">
        <f>IFERROR(__xludf.DUMMYFUNCTION("""COMPUTED_VALUE"""),"--")</f>
        <v>--</v>
      </c>
      <c r="G927" s="190" t="str">
        <f>IFERROR(__xludf.DUMMYFUNCTION("""COMPUTED_VALUE"""),"--")</f>
        <v>--</v>
      </c>
      <c r="H927" s="191" t="str">
        <f>IFERROR(__xludf.DUMMYFUNCTION("""COMPUTED_VALUE"""),"The user gains +2 CS in Attack or Special Attack and is cured of one Mental Affliction.")</f>
        <v>The user gains +2 CS in Attack or Special Attack and is cured of one Mental Affliction.</v>
      </c>
      <c r="I927" s="191" t="str">
        <f>IFERROR(__xludf.DUMMYFUNCTION("""COMPUTED_VALUE"""),"The user is cured of a Mental Affliction.")</f>
        <v>The user is cured of a Mental Affliction.</v>
      </c>
      <c r="J927" s="190" t="str">
        <f>IFERROR(__xludf.DUMMYFUNCTION("""COMPUTED_VALUE"""),"Tier 1")</f>
        <v>Tier 1</v>
      </c>
      <c r="K927" s="174" t="b">
        <f>IFERROR(__xludf.DUMMYFUNCTION("""COMPUTED_VALUE"""),TRUE)</f>
        <v>1</v>
      </c>
      <c r="L927" s="174"/>
      <c r="M927" s="174"/>
      <c r="N927" s="174"/>
      <c r="O927" s="174"/>
      <c r="P927" s="174"/>
      <c r="Q927" s="174"/>
      <c r="R927" s="174"/>
      <c r="S927" s="174"/>
      <c r="T927" s="174"/>
      <c r="U927" s="174"/>
      <c r="V927" s="174"/>
      <c r="W927" s="174"/>
      <c r="X927" s="174"/>
      <c r="Y927" s="174"/>
      <c r="Z927" s="174"/>
    </row>
    <row r="928">
      <c r="A928" s="190" t="str">
        <f>IFERROR(__xludf.DUMMYFUNCTION("""COMPUTED_VALUE"""),"Swallow")</f>
        <v>Swallow</v>
      </c>
      <c r="B928" s="190" t="str">
        <f>IFERROR(__xludf.DUMMYFUNCTION("""COMPUTED_VALUE"""),"Normal")</f>
        <v>Normal</v>
      </c>
      <c r="C928" s="190" t="str">
        <f>IFERROR(__xludf.DUMMYFUNCTION("""COMPUTED_VALUE"""),"Status")</f>
        <v>Status</v>
      </c>
      <c r="D928" s="190" t="str">
        <f>IFERROR(__xludf.DUMMYFUNCTION("""COMPUTED_VALUE"""),"Scene x2")</f>
        <v>Scene x2</v>
      </c>
      <c r="E928" s="190" t="str">
        <f>IFERROR(__xludf.DUMMYFUNCTION("""COMPUTED_VALUE"""),"Self")</f>
        <v>Self</v>
      </c>
      <c r="F928" s="190" t="str">
        <f>IFERROR(__xludf.DUMMYFUNCTION("""COMPUTED_VALUE"""),"--")</f>
        <v>--</v>
      </c>
      <c r="G928" s="190" t="str">
        <f>IFERROR(__xludf.DUMMYFUNCTION("""COMPUTED_VALUE"""),"--")</f>
        <v>--</v>
      </c>
      <c r="H928" s="191" t="str">
        <f>IFERROR(__xludf.DUMMYFUNCTION("""COMPUTED_VALUE"""),"The user restores three Ticks of Hit Points. The user may expend any number of Stockpile Counters to increase this by one Ticks per Counter expended. (Refer: Stockpile)")</f>
        <v>The user restores three Ticks of Hit Points. The user may expend any number of Stockpile Counters to increase this by one Ticks per Counter expended. (Refer: Stockpile)</v>
      </c>
      <c r="I928" s="191" t="str">
        <f>IFERROR(__xludf.DUMMYFUNCTION("""COMPUTED_VALUE"""),"--")</f>
        <v>--</v>
      </c>
      <c r="J928" s="190" t="str">
        <f>IFERROR(__xludf.DUMMYFUNCTION("""COMPUTED_VALUE"""),"Tier 2")</f>
        <v>Tier 2</v>
      </c>
      <c r="K928" s="174" t="b">
        <f>IFERROR(__xludf.DUMMYFUNCTION("""COMPUTED_VALUE"""),FALSE)</f>
        <v>0</v>
      </c>
      <c r="L928" s="174"/>
      <c r="M928" s="174"/>
      <c r="N928" s="174"/>
      <c r="O928" s="174"/>
      <c r="P928" s="174"/>
      <c r="Q928" s="174"/>
      <c r="R928" s="174"/>
      <c r="S928" s="174"/>
      <c r="T928" s="174"/>
      <c r="U928" s="174"/>
      <c r="V928" s="174"/>
      <c r="W928" s="174"/>
      <c r="X928" s="174"/>
      <c r="Y928" s="174"/>
      <c r="Z928" s="174"/>
    </row>
    <row r="929">
      <c r="A929" s="190" t="str">
        <f>IFERROR(__xludf.DUMMYFUNCTION("""COMPUTED_VALUE"""),"Sweet Scent")</f>
        <v>Sweet Scent</v>
      </c>
      <c r="B929" s="190" t="str">
        <f>IFERROR(__xludf.DUMMYFUNCTION("""COMPUTED_VALUE"""),"Normal")</f>
        <v>Normal</v>
      </c>
      <c r="C929" s="190" t="str">
        <f>IFERROR(__xludf.DUMMYFUNCTION("""COMPUTED_VALUE"""),"Status")</f>
        <v>Status</v>
      </c>
      <c r="D929" s="190" t="str">
        <f>IFERROR(__xludf.DUMMYFUNCTION("""COMPUTED_VALUE"""),"Scene x2")</f>
        <v>Scene x2</v>
      </c>
      <c r="E929" s="190" t="str">
        <f>IFERROR(__xludf.DUMMYFUNCTION("""COMPUTED_VALUE"""),"Burst 1, Versatile")</f>
        <v>Burst 1, Versatile</v>
      </c>
      <c r="F929" s="190" t="str">
        <f>IFERROR(__xludf.DUMMYFUNCTION("""COMPUTED_VALUE"""),"--")</f>
        <v>--</v>
      </c>
      <c r="G929" s="190" t="str">
        <f>IFERROR(__xludf.DUMMYFUNCTION("""COMPUTED_VALUE"""),"--")</f>
        <v>--</v>
      </c>
      <c r="H929" s="191" t="str">
        <f>IFERROR(__xludf.DUMMYFUNCTION("""COMPUTED_VALUE"""),"All Targets become Entranced. Friendly, Sureshot. *Grants Alluring")</f>
        <v>All Targets become Entranced. Friendly, Sureshot. *Grants Alluring</v>
      </c>
      <c r="I929" s="191" t="str">
        <f>IFERROR(__xludf.DUMMYFUNCTION("""COMPUTED_VALUE"""),"All Targets become Vulnerable against the next Attack that targets them. When used this way the AC becomes 4. Friendly.")</f>
        <v>All Targets become Vulnerable against the next Attack that targets them. When used this way the AC becomes 4. Friendly.</v>
      </c>
      <c r="J929" s="190" t="str">
        <f>IFERROR(__xludf.DUMMYFUNCTION("""COMPUTED_VALUE"""),"Tier 2")</f>
        <v>Tier 2</v>
      </c>
      <c r="K929" s="174" t="b">
        <f>IFERROR(__xludf.DUMMYFUNCTION("""COMPUTED_VALUE"""),TRUE)</f>
        <v>1</v>
      </c>
      <c r="L929" s="174"/>
      <c r="M929" s="174"/>
      <c r="N929" s="174"/>
      <c r="O929" s="174"/>
      <c r="P929" s="174"/>
      <c r="Q929" s="174"/>
      <c r="R929" s="174"/>
      <c r="S929" s="174"/>
      <c r="T929" s="174"/>
      <c r="U929" s="174"/>
      <c r="V929" s="174"/>
      <c r="W929" s="174"/>
      <c r="X929" s="174"/>
      <c r="Y929" s="174"/>
      <c r="Z929" s="174"/>
    </row>
    <row r="930">
      <c r="A930" s="190" t="str">
        <f>IFERROR(__xludf.DUMMYFUNCTION("""COMPUTED_VALUE"""),"Swift")</f>
        <v>Swift</v>
      </c>
      <c r="B930" s="190" t="str">
        <f>IFERROR(__xludf.DUMMYFUNCTION("""COMPUTED_VALUE"""),"Normal")</f>
        <v>Normal</v>
      </c>
      <c r="C930" s="190" t="str">
        <f>IFERROR(__xludf.DUMMYFUNCTION("""COMPUTED_VALUE"""),"Special")</f>
        <v>Special</v>
      </c>
      <c r="D930" s="190" t="str">
        <f>IFERROR(__xludf.DUMMYFUNCTION("""COMPUTED_VALUE"""),"EOT")</f>
        <v>EOT</v>
      </c>
      <c r="E930" s="190" t="str">
        <f>IFERROR(__xludf.DUMMYFUNCTION("""COMPUTED_VALUE"""),"8, Ranged Blast 2")</f>
        <v>8, Ranged Blast 2</v>
      </c>
      <c r="F930" s="190" t="str">
        <f>IFERROR(__xludf.DUMMYFUNCTION("""COMPUTED_VALUE"""),"--")</f>
        <v>--</v>
      </c>
      <c r="G930" s="190">
        <f>IFERROR(__xludf.DUMMYFUNCTION("""COMPUTED_VALUE"""),5.0)</f>
        <v>5</v>
      </c>
      <c r="H930" s="191" t="str">
        <f>IFERROR(__xludf.DUMMYFUNCTION("""COMPUTED_VALUE"""),"Friendly, Sureshot.")</f>
        <v>Friendly, Sureshot.</v>
      </c>
      <c r="I930" s="191" t="str">
        <f>IFERROR(__xludf.DUMMYFUNCTION("""COMPUTED_VALUE"""),"--")</f>
        <v>--</v>
      </c>
      <c r="J930" s="190" t="str">
        <f>IFERROR(__xludf.DUMMYFUNCTION("""COMPUTED_VALUE"""),"Tier 1")</f>
        <v>Tier 1</v>
      </c>
      <c r="K930" s="174" t="b">
        <f>IFERROR(__xludf.DUMMYFUNCTION("""COMPUTED_VALUE"""),TRUE)</f>
        <v>1</v>
      </c>
      <c r="L930" s="174"/>
      <c r="M930" s="174"/>
      <c r="N930" s="174"/>
      <c r="O930" s="174"/>
      <c r="P930" s="174"/>
      <c r="Q930" s="174"/>
      <c r="R930" s="174"/>
      <c r="S930" s="174"/>
      <c r="T930" s="174"/>
      <c r="U930" s="174"/>
      <c r="V930" s="174"/>
      <c r="W930" s="174"/>
      <c r="X930" s="174"/>
      <c r="Y930" s="174"/>
      <c r="Z930" s="174"/>
    </row>
    <row r="931">
      <c r="A931" s="190" t="str">
        <f>IFERROR(__xludf.DUMMYFUNCTION("""COMPUTED_VALUE"""),"Swords Dance")</f>
        <v>Swords Dance</v>
      </c>
      <c r="B931" s="190" t="str">
        <f>IFERROR(__xludf.DUMMYFUNCTION("""COMPUTED_VALUE"""),"Normal")</f>
        <v>Normal</v>
      </c>
      <c r="C931" s="190" t="str">
        <f>IFERROR(__xludf.DUMMYFUNCTION("""COMPUTED_VALUE"""),"Status")</f>
        <v>Status</v>
      </c>
      <c r="D931" s="190" t="str">
        <f>IFERROR(__xludf.DUMMYFUNCTION("""COMPUTED_VALUE"""),"EOT")</f>
        <v>EOT</v>
      </c>
      <c r="E931" s="190" t="str">
        <f>IFERROR(__xludf.DUMMYFUNCTION("""COMPUTED_VALUE"""),"Self, Versatile")</f>
        <v>Self, Versatile</v>
      </c>
      <c r="F931" s="190" t="str">
        <f>IFERROR(__xludf.DUMMYFUNCTION("""COMPUTED_VALUE"""),"--")</f>
        <v>--</v>
      </c>
      <c r="G931" s="190" t="str">
        <f>IFERROR(__xludf.DUMMYFUNCTION("""COMPUTED_VALUE"""),"--")</f>
        <v>--</v>
      </c>
      <c r="H931" s="191" t="str">
        <f>IFERROR(__xludf.DUMMYFUNCTION("""COMPUTED_VALUE"""),"The user gains +2 CS in Attack. Their next Physical Attack gains the Smite Keyword.")</f>
        <v>The user gains +2 CS in Attack. Their next Physical Attack gains the Smite Keyword.</v>
      </c>
      <c r="I931" s="191" t="str">
        <f>IFERROR(__xludf.DUMMYFUNCTION("""COMPUTED_VALUE"""),"The user gains +1 CS in Attack.")</f>
        <v>The user gains +1 CS in Attack.</v>
      </c>
      <c r="J931" s="190" t="str">
        <f>IFERROR(__xludf.DUMMYFUNCTION("""COMPUTED_VALUE"""),"Tier 1")</f>
        <v>Tier 1</v>
      </c>
      <c r="K931" s="174" t="b">
        <f>IFERROR(__xludf.DUMMYFUNCTION("""COMPUTED_VALUE"""),TRUE)</f>
        <v>1</v>
      </c>
      <c r="L931" s="174"/>
      <c r="M931" s="174"/>
      <c r="N931" s="174"/>
      <c r="O931" s="174"/>
      <c r="P931" s="174"/>
      <c r="Q931" s="174"/>
      <c r="R931" s="174"/>
      <c r="S931" s="174"/>
      <c r="T931" s="174"/>
      <c r="U931" s="174"/>
      <c r="V931" s="174"/>
      <c r="W931" s="174"/>
      <c r="X931" s="174"/>
      <c r="Y931" s="174"/>
      <c r="Z931" s="174"/>
    </row>
    <row r="932">
      <c r="A932" s="190" t="str">
        <f>IFERROR(__xludf.DUMMYFUNCTION("""COMPUTED_VALUE"""),"Synchronoise")</f>
        <v>Synchronoise</v>
      </c>
      <c r="B932" s="190" t="str">
        <f>IFERROR(__xludf.DUMMYFUNCTION("""COMPUTED_VALUE"""),"Normal")</f>
        <v>Normal</v>
      </c>
      <c r="C932" s="190" t="str">
        <f>IFERROR(__xludf.DUMMYFUNCTION("""COMPUTED_VALUE"""),"Special")</f>
        <v>Special</v>
      </c>
      <c r="D932" s="190" t="str">
        <f>IFERROR(__xludf.DUMMYFUNCTION("""COMPUTED_VALUE"""),"Scene x2")</f>
        <v>Scene x2</v>
      </c>
      <c r="E932" s="190" t="str">
        <f>IFERROR(__xludf.DUMMYFUNCTION("""COMPUTED_VALUE"""),"Burst 3, Full Action")</f>
        <v>Burst 3, Full Action</v>
      </c>
      <c r="F932" s="190">
        <f>IFERROR(__xludf.DUMMYFUNCTION("""COMPUTED_VALUE"""),6.0)</f>
        <v>6</v>
      </c>
      <c r="G932" s="190">
        <f>IFERROR(__xludf.DUMMYFUNCTION("""COMPUTED_VALUE"""),12.0)</f>
        <v>12</v>
      </c>
      <c r="H932" s="191" t="str">
        <f>IFERROR(__xludf.DUMMYFUNCTION("""COMPUTED_VALUE"""),"Any Target who does not share a Type with the user resists this Attack by an additional Damage Step. If they're an Ally, they are instead are not damaged.")</f>
        <v>Any Target who does not share a Type with the user resists this Attack by an additional Damage Step. If they're an Ally, they are instead are not damaged.</v>
      </c>
      <c r="I932" s="191" t="str">
        <f>IFERROR(__xludf.DUMMYFUNCTION("""COMPUTED_VALUE"""),"--")</f>
        <v>--</v>
      </c>
      <c r="J932" s="190" t="str">
        <f>IFERROR(__xludf.DUMMYFUNCTION("""COMPUTED_VALUE"""),"Tier 3")</f>
        <v>Tier 3</v>
      </c>
      <c r="K932" s="174" t="b">
        <f>IFERROR(__xludf.DUMMYFUNCTION("""COMPUTED_VALUE"""),FALSE)</f>
        <v>0</v>
      </c>
      <c r="L932" s="174"/>
      <c r="M932" s="174"/>
      <c r="N932" s="174"/>
      <c r="O932" s="174"/>
      <c r="P932" s="174"/>
      <c r="Q932" s="174"/>
      <c r="R932" s="174"/>
      <c r="S932" s="174"/>
      <c r="T932" s="174"/>
      <c r="U932" s="174"/>
      <c r="V932" s="174"/>
      <c r="W932" s="174"/>
      <c r="X932" s="174"/>
      <c r="Y932" s="174"/>
      <c r="Z932" s="174"/>
    </row>
    <row r="933">
      <c r="A933" s="190" t="str">
        <f>IFERROR(__xludf.DUMMYFUNCTION("""COMPUTED_VALUE"""),"Tackle")</f>
        <v>Tackle</v>
      </c>
      <c r="B933" s="190" t="str">
        <f>IFERROR(__xludf.DUMMYFUNCTION("""COMPUTED_VALUE"""),"Normal")</f>
        <v>Normal</v>
      </c>
      <c r="C933" s="190" t="str">
        <f>IFERROR(__xludf.DUMMYFUNCTION("""COMPUTED_VALUE"""),"Physical")</f>
        <v>Physical</v>
      </c>
      <c r="D933" s="190" t="str">
        <f>IFERROR(__xludf.DUMMYFUNCTION("""COMPUTED_VALUE"""),"At-Will")</f>
        <v>At-Will</v>
      </c>
      <c r="E933" s="190" t="str">
        <f>IFERROR(__xludf.DUMMYFUNCTION("""COMPUTED_VALUE"""),"Melee, 1 Target, Dash")</f>
        <v>Melee, 1 Target, Dash</v>
      </c>
      <c r="F933" s="190">
        <f>IFERROR(__xludf.DUMMYFUNCTION("""COMPUTED_VALUE"""),2.0)</f>
        <v>2</v>
      </c>
      <c r="G933" s="190">
        <f>IFERROR(__xludf.DUMMYFUNCTION("""COMPUTED_VALUE"""),5.0)</f>
        <v>5</v>
      </c>
      <c r="H933" s="191" t="str">
        <f>IFERROR(__xludf.DUMMYFUNCTION("""COMPUTED_VALUE"""),"When the Dash Keyword is Activated, Tackle has the Smite Keyword. Slide 3 (Away).")</f>
        <v>When the Dash Keyword is Activated, Tackle has the Smite Keyword. Slide 3 (Away).</v>
      </c>
      <c r="I933" s="191" t="str">
        <f>IFERROR(__xludf.DUMMYFUNCTION("""COMPUTED_VALUE"""),"--")</f>
        <v>--</v>
      </c>
      <c r="J933" s="190" t="str">
        <f>IFERROR(__xludf.DUMMYFUNCTION("""COMPUTED_VALUE"""),"Tier 1")</f>
        <v>Tier 1</v>
      </c>
      <c r="K933" s="174" t="b">
        <f>IFERROR(__xludf.DUMMYFUNCTION("""COMPUTED_VALUE"""),TRUE)</f>
        <v>1</v>
      </c>
      <c r="L933" s="174"/>
      <c r="M933" s="174"/>
      <c r="N933" s="174"/>
      <c r="O933" s="174"/>
      <c r="P933" s="174"/>
      <c r="Q933" s="174"/>
      <c r="R933" s="174"/>
      <c r="S933" s="174"/>
      <c r="T933" s="174"/>
      <c r="U933" s="174"/>
      <c r="V933" s="174"/>
      <c r="W933" s="174"/>
      <c r="X933" s="174"/>
      <c r="Y933" s="174"/>
      <c r="Z933" s="174"/>
    </row>
    <row r="934">
      <c r="A934" s="190" t="str">
        <f>IFERROR(__xludf.DUMMYFUNCTION("""COMPUTED_VALUE"""),"Tail Slap")</f>
        <v>Tail Slap</v>
      </c>
      <c r="B934" s="190" t="str">
        <f>IFERROR(__xludf.DUMMYFUNCTION("""COMPUTED_VALUE"""),"Normal")</f>
        <v>Normal</v>
      </c>
      <c r="C934" s="190" t="str">
        <f>IFERROR(__xludf.DUMMYFUNCTION("""COMPUTED_VALUE"""),"Physical")</f>
        <v>Physical</v>
      </c>
      <c r="D934" s="190" t="str">
        <f>IFERROR(__xludf.DUMMYFUNCTION("""COMPUTED_VALUE"""),"EOT")</f>
        <v>EOT</v>
      </c>
      <c r="E934" s="190" t="str">
        <f>IFERROR(__xludf.DUMMYFUNCTION("""COMPUTED_VALUE"""),"Melee, 1 Target ")</f>
        <v>Melee, 1 Target </v>
      </c>
      <c r="F934" s="190">
        <f>IFERROR(__xludf.DUMMYFUNCTION("""COMPUTED_VALUE"""),2.0)</f>
        <v>2</v>
      </c>
      <c r="G934" s="190">
        <f>IFERROR(__xludf.DUMMYFUNCTION("""COMPUTED_VALUE"""),7.0)</f>
        <v>7</v>
      </c>
      <c r="H934" s="191" t="str">
        <f>IFERROR(__xludf.DUMMYFUNCTION("""COMPUTED_VALUE"""),"If the user is Flanked, this Attack has the Sureshot Keyword.")</f>
        <v>If the user is Flanked, this Attack has the Sureshot Keyword.</v>
      </c>
      <c r="I934" s="191" t="str">
        <f>IFERROR(__xludf.DUMMYFUNCTION("""COMPUTED_VALUE"""),"--")</f>
        <v>--</v>
      </c>
      <c r="J934" s="190" t="str">
        <f>IFERROR(__xludf.DUMMYFUNCTION("""COMPUTED_VALUE"""),"Tier 1")</f>
        <v>Tier 1</v>
      </c>
      <c r="K934" s="174" t="b">
        <f>IFERROR(__xludf.DUMMYFUNCTION("""COMPUTED_VALUE"""),TRUE)</f>
        <v>1</v>
      </c>
      <c r="L934" s="174"/>
      <c r="M934" s="174"/>
      <c r="N934" s="174"/>
      <c r="O934" s="174"/>
      <c r="P934" s="174"/>
      <c r="Q934" s="174"/>
      <c r="R934" s="174"/>
      <c r="S934" s="174"/>
      <c r="T934" s="174"/>
      <c r="U934" s="174"/>
      <c r="V934" s="174"/>
      <c r="W934" s="174"/>
      <c r="X934" s="174"/>
      <c r="Y934" s="174"/>
      <c r="Z934" s="174"/>
    </row>
    <row r="935">
      <c r="A935" s="190" t="str">
        <f>IFERROR(__xludf.DUMMYFUNCTION("""COMPUTED_VALUE"""),"Tail Whip")</f>
        <v>Tail Whip</v>
      </c>
      <c r="B935" s="190" t="str">
        <f>IFERROR(__xludf.DUMMYFUNCTION("""COMPUTED_VALUE"""),"Normal")</f>
        <v>Normal</v>
      </c>
      <c r="C935" s="190" t="str">
        <f>IFERROR(__xludf.DUMMYFUNCTION("""COMPUTED_VALUE"""),"Status")</f>
        <v>Status</v>
      </c>
      <c r="D935" s="190" t="str">
        <f>IFERROR(__xludf.DUMMYFUNCTION("""COMPUTED_VALUE"""),"EOT")</f>
        <v>EOT</v>
      </c>
      <c r="E935" s="190" t="str">
        <f>IFERROR(__xludf.DUMMYFUNCTION("""COMPUTED_VALUE"""),"Burst 1")</f>
        <v>Burst 1</v>
      </c>
      <c r="F935" s="190">
        <f>IFERROR(__xludf.DUMMYFUNCTION("""COMPUTED_VALUE"""),5.0)</f>
        <v>5</v>
      </c>
      <c r="G935" s="190" t="str">
        <f>IFERROR(__xludf.DUMMYFUNCTION("""COMPUTED_VALUE"""),"--")</f>
        <v>--</v>
      </c>
      <c r="H935" s="191" t="str">
        <f>IFERROR(__xludf.DUMMYFUNCTION("""COMPUTED_VALUE"""),"You may immediately initiate a Trip Maneuver against all Targets hit by this Attack as a Free Action. The Maneuver automatically hits, but you must still make the Opposed Roll. All Targets who become Tripped this way also lose -3 CS in Defense. Friendly.")</f>
        <v>You may immediately initiate a Trip Maneuver against all Targets hit by this Attack as a Free Action. The Maneuver automatically hits, but you must still make the Opposed Roll. All Targets who become Tripped this way also lose -3 CS in Defense. Friendly.</v>
      </c>
      <c r="I935" s="191" t="str">
        <f>IFERROR(__xludf.DUMMYFUNCTION("""COMPUTED_VALUE"""),"--")</f>
        <v>--</v>
      </c>
      <c r="J935" s="190" t="str">
        <f>IFERROR(__xludf.DUMMYFUNCTION("""COMPUTED_VALUE"""),"Tier 1")</f>
        <v>Tier 1</v>
      </c>
      <c r="K935" s="174" t="b">
        <f>IFERROR(__xludf.DUMMYFUNCTION("""COMPUTED_VALUE"""),TRUE)</f>
        <v>1</v>
      </c>
      <c r="L935" s="174"/>
      <c r="M935" s="174"/>
      <c r="N935" s="174"/>
      <c r="O935" s="174"/>
      <c r="P935" s="174"/>
      <c r="Q935" s="174"/>
      <c r="R935" s="174"/>
      <c r="S935" s="174"/>
      <c r="T935" s="174"/>
      <c r="U935" s="174"/>
      <c r="V935" s="174"/>
      <c r="W935" s="174"/>
      <c r="X935" s="174"/>
      <c r="Y935" s="174"/>
      <c r="Z935" s="174"/>
    </row>
    <row r="936">
      <c r="A936" s="190" t="str">
        <f>IFERROR(__xludf.DUMMYFUNCTION("""COMPUTED_VALUE"""),"Take Down")</f>
        <v>Take Down</v>
      </c>
      <c r="B936" s="190" t="str">
        <f>IFERROR(__xludf.DUMMYFUNCTION("""COMPUTED_VALUE"""),"Normal")</f>
        <v>Normal</v>
      </c>
      <c r="C936" s="190" t="str">
        <f>IFERROR(__xludf.DUMMYFUNCTION("""COMPUTED_VALUE"""),"Physical")</f>
        <v>Physical</v>
      </c>
      <c r="D936" s="190" t="str">
        <f>IFERROR(__xludf.DUMMYFUNCTION("""COMPUTED_VALUE"""),"EOT")</f>
        <v>EOT</v>
      </c>
      <c r="E936" s="190" t="str">
        <f>IFERROR(__xludf.DUMMYFUNCTION("""COMPUTED_VALUE"""),"Melee, 1 Target, Dash, Recoil 1/3, Reckless")</f>
        <v>Melee, 1 Target, Dash, Recoil 1/3, Reckless</v>
      </c>
      <c r="F936" s="190">
        <f>IFERROR(__xludf.DUMMYFUNCTION("""COMPUTED_VALUE"""),2.0)</f>
        <v>2</v>
      </c>
      <c r="G936" s="190">
        <f>IFERROR(__xludf.DUMMYFUNCTION("""COMPUTED_VALUE"""),9.0)</f>
        <v>9</v>
      </c>
      <c r="H936" s="191" t="str">
        <f>IFERROR(__xludf.DUMMYFUNCTION("""COMPUTED_VALUE"""),"When the Dash Keyword is Activated and you're larger than the Target, both the user and the Target become Tripped after the Attack's resolution.")</f>
        <v>When the Dash Keyword is Activated and you're larger than the Target, both the user and the Target become Tripped after the Attack's resolution.</v>
      </c>
      <c r="I936" s="191" t="str">
        <f>IFERROR(__xludf.DUMMYFUNCTION("""COMPUTED_VALUE"""),"--")</f>
        <v>--</v>
      </c>
      <c r="J936" s="190" t="str">
        <f>IFERROR(__xludf.DUMMYFUNCTION("""COMPUTED_VALUE"""),"Tier 2")</f>
        <v>Tier 2</v>
      </c>
      <c r="K936" s="174" t="b">
        <f>IFERROR(__xludf.DUMMYFUNCTION("""COMPUTED_VALUE"""),TRUE)</f>
        <v>1</v>
      </c>
      <c r="L936" s="174"/>
      <c r="M936" s="174"/>
      <c r="N936" s="174"/>
      <c r="O936" s="174"/>
      <c r="P936" s="174"/>
      <c r="Q936" s="174"/>
      <c r="R936" s="174"/>
      <c r="S936" s="174"/>
      <c r="T936" s="174"/>
      <c r="U936" s="174"/>
      <c r="V936" s="174"/>
      <c r="W936" s="174"/>
      <c r="X936" s="174"/>
      <c r="Y936" s="174"/>
      <c r="Z936" s="174"/>
    </row>
    <row r="937">
      <c r="A937" s="190" t="str">
        <f>IFERROR(__xludf.DUMMYFUNCTION("""COMPUTED_VALUE"""),"Tearful Look")</f>
        <v>Tearful Look</v>
      </c>
      <c r="B937" s="190" t="str">
        <f>IFERROR(__xludf.DUMMYFUNCTION("""COMPUTED_VALUE"""),"Normal")</f>
        <v>Normal</v>
      </c>
      <c r="C937" s="190" t="str">
        <f>IFERROR(__xludf.DUMMYFUNCTION("""COMPUTED_VALUE"""),"Status")</f>
        <v>Status</v>
      </c>
      <c r="D937" s="190" t="str">
        <f>IFERROR(__xludf.DUMMYFUNCTION("""COMPUTED_VALUE"""),"EOT")</f>
        <v>EOT</v>
      </c>
      <c r="E937" s="190" t="str">
        <f>IFERROR(__xludf.DUMMYFUNCTION("""COMPUTED_VALUE"""),"Close Blast 2, Social")</f>
        <v>Close Blast 2, Social</v>
      </c>
      <c r="F937" s="190">
        <f>IFERROR(__xludf.DUMMYFUNCTION("""COMPUTED_VALUE"""),5.0)</f>
        <v>5</v>
      </c>
      <c r="G937" s="190" t="str">
        <f>IFERROR(__xludf.DUMMYFUNCTION("""COMPUTED_VALUE"""),"--")</f>
        <v>--</v>
      </c>
      <c r="H937" s="191" t="str">
        <f>IFERROR(__xludf.DUMMYFUNCTION("""COMPUTED_VALUE"""),"For each Target, choose Attack or Special Attack. The Target loses -2 CS in the chosen Stat. When this Attack hits, the user resists the next Damaging Attack the Target makes against them by an additional Step. Friendly, Spirit Surge.")</f>
        <v>For each Target, choose Attack or Special Attack. The Target loses -2 CS in the chosen Stat. When this Attack hits, the user resists the next Damaging Attack the Target makes against them by an additional Step. Friendly, Spirit Surge.</v>
      </c>
      <c r="I937" s="191" t="str">
        <f>IFERROR(__xludf.DUMMYFUNCTION("""COMPUTED_VALUE"""),"If the Target would Attack the user during their next Turn, the user resists it by an additional Damage Step. Friendly.")</f>
        <v>If the Target would Attack the user during their next Turn, the user resists it by an additional Damage Step. Friendly.</v>
      </c>
      <c r="J937" s="190" t="str">
        <f>IFERROR(__xludf.DUMMYFUNCTION("""COMPUTED_VALUE"""),"Tier 1")</f>
        <v>Tier 1</v>
      </c>
      <c r="K937" s="174" t="b">
        <f>IFERROR(__xludf.DUMMYFUNCTION("""COMPUTED_VALUE"""),TRUE)</f>
        <v>1</v>
      </c>
      <c r="L937" s="174"/>
      <c r="M937" s="174"/>
      <c r="N937" s="174"/>
      <c r="O937" s="174"/>
      <c r="P937" s="174"/>
      <c r="Q937" s="174"/>
      <c r="R937" s="174"/>
      <c r="S937" s="174"/>
      <c r="T937" s="174"/>
      <c r="U937" s="174"/>
      <c r="V937" s="174"/>
      <c r="W937" s="174"/>
      <c r="X937" s="174"/>
      <c r="Y937" s="174"/>
      <c r="Z937" s="174"/>
    </row>
    <row r="938">
      <c r="A938" s="190" t="str">
        <f>IFERROR(__xludf.DUMMYFUNCTION("""COMPUTED_VALUE"""),"Teatime")</f>
        <v>Teatime</v>
      </c>
      <c r="B938" s="190" t="str">
        <f>IFERROR(__xludf.DUMMYFUNCTION("""COMPUTED_VALUE"""),"Normal")</f>
        <v>Normal</v>
      </c>
      <c r="C938" s="190" t="str">
        <f>IFERROR(__xludf.DUMMYFUNCTION("""COMPUTED_VALUE"""),"Status")</f>
        <v>Status</v>
      </c>
      <c r="D938" s="190" t="str">
        <f>IFERROR(__xludf.DUMMYFUNCTION("""COMPUTED_VALUE"""),"Scene")</f>
        <v>Scene</v>
      </c>
      <c r="E938" s="190" t="str">
        <f>IFERROR(__xludf.DUMMYFUNCTION("""COMPUTED_VALUE"""),"Burst 2, Versatile")</f>
        <v>Burst 2, Versatile</v>
      </c>
      <c r="F938" s="190">
        <f>IFERROR(__xludf.DUMMYFUNCTION("""COMPUTED_VALUE"""),7.0)</f>
        <v>7</v>
      </c>
      <c r="G938" s="190" t="str">
        <f>IFERROR(__xludf.DUMMYFUNCTION("""COMPUTED_VALUE"""),"--")</f>
        <v>--</v>
      </c>
      <c r="H938" s="191" t="str">
        <f>IFERROR(__xludf.DUMMYFUNCTION("""COMPUTED_VALUE"""),"All Enemies hit by this Attack become Cursed. The user and all Allies within this Range gain two Ticks of Temporary Hit Points. Spirit Surge.")</f>
        <v>All Enemies hit by this Attack become Cursed. The user and all Allies within this Range gain two Ticks of Temporary Hit Points. Spirit Surge.</v>
      </c>
      <c r="I938" s="191" t="str">
        <f>IFERROR(__xludf.DUMMYFUNCTION("""COMPUTED_VALUE"""),"The user and the Target gain a Tick of Temporary Hit Points or a +3 to Save Checks this Round. When used this way, its range is changed to Melee, 1 Target and it does not expend Teatime's Frequency.")</f>
        <v>The user and the Target gain a Tick of Temporary Hit Points or a +3 to Save Checks this Round. When used this way, its range is changed to Melee, 1 Target and it does not expend Teatime's Frequency.</v>
      </c>
      <c r="J938" s="190" t="str">
        <f>IFERROR(__xludf.DUMMYFUNCTION("""COMPUTED_VALUE"""),"Tier 3")</f>
        <v>Tier 3</v>
      </c>
      <c r="K938" s="174" t="b">
        <f>IFERROR(__xludf.DUMMYFUNCTION("""COMPUTED_VALUE"""),FALSE)</f>
        <v>0</v>
      </c>
      <c r="L938" s="174"/>
      <c r="M938" s="174"/>
      <c r="N938" s="174"/>
      <c r="O938" s="174"/>
      <c r="P938" s="174"/>
      <c r="Q938" s="174"/>
      <c r="R938" s="174"/>
      <c r="S938" s="174"/>
      <c r="T938" s="174"/>
      <c r="U938" s="174"/>
      <c r="V938" s="174"/>
      <c r="W938" s="174"/>
      <c r="X938" s="174"/>
      <c r="Y938" s="174"/>
      <c r="Z938" s="174"/>
    </row>
    <row r="939">
      <c r="A939" s="190" t="str">
        <f>IFERROR(__xludf.DUMMYFUNCTION("""COMPUTED_VALUE"""),"Teeter Dance")</f>
        <v>Teeter Dance</v>
      </c>
      <c r="B939" s="190" t="str">
        <f>IFERROR(__xludf.DUMMYFUNCTION("""COMPUTED_VALUE"""),"Normal")</f>
        <v>Normal</v>
      </c>
      <c r="C939" s="190" t="str">
        <f>IFERROR(__xludf.DUMMYFUNCTION("""COMPUTED_VALUE"""),"Status")</f>
        <v>Status</v>
      </c>
      <c r="D939" s="190" t="str">
        <f>IFERROR(__xludf.DUMMYFUNCTION("""COMPUTED_VALUE"""),"Scene x2")</f>
        <v>Scene x2</v>
      </c>
      <c r="E939" s="190" t="str">
        <f>IFERROR(__xludf.DUMMYFUNCTION("""COMPUTED_VALUE"""),"Burst 1, Dance, Movement Action")</f>
        <v>Burst 1, Dance, Movement Action</v>
      </c>
      <c r="F939" s="190">
        <f>IFERROR(__xludf.DUMMYFUNCTION("""COMPUTED_VALUE"""),6.0)</f>
        <v>6</v>
      </c>
      <c r="G939" s="190" t="str">
        <f>IFERROR(__xludf.DUMMYFUNCTION("""COMPUTED_VALUE"""),"--")</f>
        <v>--</v>
      </c>
      <c r="H939" s="191" t="str">
        <f>IFERROR(__xludf.DUMMYFUNCTION("""COMPUTED_VALUE"""),"All Targets become Dazed. If the user is Dazed, Teeter Dance has the Sureshot Keyword.")</f>
        <v>All Targets become Dazed. If the user is Dazed, Teeter Dance has the Sureshot Keyword.</v>
      </c>
      <c r="I939" s="191" t="str">
        <f>IFERROR(__xludf.DUMMYFUNCTION("""COMPUTED_VALUE"""),"--")</f>
        <v>--</v>
      </c>
      <c r="J939" s="190" t="str">
        <f>IFERROR(__xludf.DUMMYFUNCTION("""COMPUTED_VALUE"""),"Tier 2")</f>
        <v>Tier 2</v>
      </c>
      <c r="K939" s="174" t="b">
        <f>IFERROR(__xludf.DUMMYFUNCTION("""COMPUTED_VALUE"""),TRUE)</f>
        <v>1</v>
      </c>
      <c r="L939" s="174"/>
      <c r="M939" s="174"/>
      <c r="N939" s="174"/>
      <c r="O939" s="174"/>
      <c r="P939" s="174"/>
      <c r="Q939" s="174"/>
      <c r="R939" s="174"/>
      <c r="S939" s="174"/>
      <c r="T939" s="174"/>
      <c r="U939" s="174"/>
      <c r="V939" s="174"/>
      <c r="W939" s="174"/>
      <c r="X939" s="174"/>
      <c r="Y939" s="174"/>
      <c r="Z939" s="174"/>
    </row>
    <row r="940">
      <c r="A940" s="190" t="str">
        <f>IFERROR(__xludf.DUMMYFUNCTION("""COMPUTED_VALUE"""),"Terrain Pulse")</f>
        <v>Terrain Pulse</v>
      </c>
      <c r="B940" s="190" t="str">
        <f>IFERROR(__xludf.DUMMYFUNCTION("""COMPUTED_VALUE"""),"Normal")</f>
        <v>Normal</v>
      </c>
      <c r="C940" s="190" t="str">
        <f>IFERROR(__xludf.DUMMYFUNCTION("""COMPUTED_VALUE"""),"Special")</f>
        <v>Special</v>
      </c>
      <c r="D940" s="190" t="str">
        <f>IFERROR(__xludf.DUMMYFUNCTION("""COMPUTED_VALUE"""),"EOT")</f>
        <v>EOT</v>
      </c>
      <c r="E940" s="190" t="str">
        <f>IFERROR(__xludf.DUMMYFUNCTION("""COMPUTED_VALUE"""),"Close Blast 3 or Burst 1; Full Action")</f>
        <v>Close Blast 3 or Burst 1; Full Action</v>
      </c>
      <c r="F940" s="190">
        <f>IFERROR(__xludf.DUMMYFUNCTION("""COMPUTED_VALUE"""),5.0)</f>
        <v>5</v>
      </c>
      <c r="G940" s="190">
        <f>IFERROR(__xludf.DUMMYFUNCTION("""COMPUTED_VALUE"""),8.0)</f>
        <v>8</v>
      </c>
      <c r="H940" s="191" t="str">
        <f>IFERROR(__xludf.DUMMYFUNCTION("""COMPUTED_VALUE"""),"When declaring Terrain Pulse, you may choose a Blessing, Field or Weather Attack that is currently affecting the Field. Terrain Pulse deals damage as if it were the Type of the chosen Attack.")</f>
        <v>When declaring Terrain Pulse, you may choose a Blessing, Field or Weather Attack that is currently affecting the Field. Terrain Pulse deals damage as if it were the Type of the chosen Attack.</v>
      </c>
      <c r="I940" s="191" t="str">
        <f>IFERROR(__xludf.DUMMYFUNCTION("""COMPUTED_VALUE"""),"--")</f>
        <v>--</v>
      </c>
      <c r="J940" s="190" t="str">
        <f>IFERROR(__xludf.DUMMYFUNCTION("""COMPUTED_VALUE"""),"Tier 2")</f>
        <v>Tier 2</v>
      </c>
      <c r="K940" s="174" t="b">
        <f>IFERROR(__xludf.DUMMYFUNCTION("""COMPUTED_VALUE"""),TRUE)</f>
        <v>1</v>
      </c>
      <c r="L940" s="174"/>
      <c r="M940" s="174"/>
      <c r="N940" s="174"/>
      <c r="O940" s="174"/>
      <c r="P940" s="174"/>
      <c r="Q940" s="174"/>
      <c r="R940" s="174"/>
      <c r="S940" s="174"/>
      <c r="T940" s="174"/>
      <c r="U940" s="174"/>
      <c r="V940" s="174"/>
      <c r="W940" s="174"/>
      <c r="X940" s="174"/>
      <c r="Y940" s="174"/>
      <c r="Z940" s="174"/>
    </row>
    <row r="941">
      <c r="A941" s="190" t="str">
        <f>IFERROR(__xludf.DUMMYFUNCTION("""COMPUTED_VALUE"""),"Thrash")</f>
        <v>Thrash</v>
      </c>
      <c r="B941" s="190" t="str">
        <f>IFERROR(__xludf.DUMMYFUNCTION("""COMPUTED_VALUE"""),"Normal")</f>
        <v>Normal</v>
      </c>
      <c r="C941" s="190" t="str">
        <f>IFERROR(__xludf.DUMMYFUNCTION("""COMPUTED_VALUE"""),"Physical")</f>
        <v>Physical</v>
      </c>
      <c r="D941" s="190" t="str">
        <f>IFERROR(__xludf.DUMMYFUNCTION("""COMPUTED_VALUE"""),"Scene x2")</f>
        <v>Scene x2</v>
      </c>
      <c r="E941" s="190" t="str">
        <f>IFERROR(__xludf.DUMMYFUNCTION("""COMPUTED_VALUE"""),"Melee, All Adjacent Enemies, Full Action, Reckless")</f>
        <v>Melee, All Adjacent Enemies, Full Action, Reckless</v>
      </c>
      <c r="F941" s="190">
        <f>IFERROR(__xludf.DUMMYFUNCTION("""COMPUTED_VALUE"""),5.0)</f>
        <v>5</v>
      </c>
      <c r="G941" s="190">
        <f>IFERROR(__xludf.DUMMYFUNCTION("""COMPUTED_VALUE"""),10.0)</f>
        <v>10</v>
      </c>
      <c r="H941" s="191" t="str">
        <f>IFERROR(__xludf.DUMMYFUNCTION("""COMPUTED_VALUE"""),"After Damage Calculations the user becomes Enraged. If the user is already Enraged, this Attack is also treated as one step more Effective but cannot surpass 1.5x Effectiveness. Smite")</f>
        <v>After Damage Calculations the user becomes Enraged. If the user is already Enraged, this Attack is also treated as one step more Effective but cannot surpass 1.5x Effectiveness. Smite</v>
      </c>
      <c r="I941" s="191" t="str">
        <f>IFERROR(__xludf.DUMMYFUNCTION("""COMPUTED_VALUE"""),"--")</f>
        <v>--</v>
      </c>
      <c r="J941" s="190" t="str">
        <f>IFERROR(__xludf.DUMMYFUNCTION("""COMPUTED_VALUE"""),"Tier 3")</f>
        <v>Tier 3</v>
      </c>
      <c r="K941" s="174" t="b">
        <f>IFERROR(__xludf.DUMMYFUNCTION("""COMPUTED_VALUE"""),TRUE)</f>
        <v>1</v>
      </c>
      <c r="L941" s="174"/>
      <c r="M941" s="174"/>
      <c r="N941" s="174"/>
      <c r="O941" s="174"/>
      <c r="P941" s="174"/>
      <c r="Q941" s="174"/>
      <c r="R941" s="174"/>
      <c r="S941" s="174"/>
      <c r="T941" s="174"/>
      <c r="U941" s="174"/>
      <c r="V941" s="174"/>
      <c r="W941" s="174"/>
      <c r="X941" s="174"/>
      <c r="Y941" s="174"/>
      <c r="Z941" s="174"/>
    </row>
    <row r="942">
      <c r="A942" s="190" t="str">
        <f>IFERROR(__xludf.DUMMYFUNCTION("""COMPUTED_VALUE"""),"Tickle")</f>
        <v>Tickle</v>
      </c>
      <c r="B942" s="190" t="str">
        <f>IFERROR(__xludf.DUMMYFUNCTION("""COMPUTED_VALUE"""),"Normal")</f>
        <v>Normal</v>
      </c>
      <c r="C942" s="190" t="str">
        <f>IFERROR(__xludf.DUMMYFUNCTION("""COMPUTED_VALUE"""),"Status")</f>
        <v>Status</v>
      </c>
      <c r="D942" s="190" t="str">
        <f>IFERROR(__xludf.DUMMYFUNCTION("""COMPUTED_VALUE"""),"EOT")</f>
        <v>EOT</v>
      </c>
      <c r="E942" s="190" t="str">
        <f>IFERROR(__xludf.DUMMYFUNCTION("""COMPUTED_VALUE"""),"Melee, 1 Target, Versatile")</f>
        <v>Melee, 1 Target, Versatile</v>
      </c>
      <c r="F942" s="190">
        <f>IFERROR(__xludf.DUMMYFUNCTION("""COMPUTED_VALUE"""),4.0)</f>
        <v>4</v>
      </c>
      <c r="G942" s="190" t="str">
        <f>IFERROR(__xludf.DUMMYFUNCTION("""COMPUTED_VALUE"""),"--")</f>
        <v>--</v>
      </c>
      <c r="H942" s="191" t="str">
        <f>IFERROR(__xludf.DUMMYFUNCTION("""COMPUTED_VALUE"""),"The Target becomes Weakened until the end of the next Round. This can only affect a target once per scene.")</f>
        <v>The Target becomes Weakened until the end of the next Round. This can only affect a target once per scene.</v>
      </c>
      <c r="I942" s="191" t="str">
        <f>IFERROR(__xludf.DUMMYFUNCTION("""COMPUTED_VALUE"""),"Same as the normal Effects, but Tickle can only be used this way if the Target is Grappled or Trapped by the user.")</f>
        <v>Same as the normal Effects, but Tickle can only be used this way if the Target is Grappled or Trapped by the user.</v>
      </c>
      <c r="J942" s="190" t="str">
        <f>IFERROR(__xludf.DUMMYFUNCTION("""COMPUTED_VALUE"""),"Tier 1")</f>
        <v>Tier 1</v>
      </c>
      <c r="K942" s="174" t="b">
        <f>IFERROR(__xludf.DUMMYFUNCTION("""COMPUTED_VALUE"""),TRUE)</f>
        <v>1</v>
      </c>
      <c r="L942" s="174"/>
      <c r="M942" s="174"/>
      <c r="N942" s="174"/>
      <c r="O942" s="174"/>
      <c r="P942" s="174"/>
      <c r="Q942" s="174"/>
      <c r="R942" s="174"/>
      <c r="S942" s="174"/>
      <c r="T942" s="174"/>
      <c r="U942" s="174"/>
      <c r="V942" s="174"/>
      <c r="W942" s="174"/>
      <c r="X942" s="174"/>
      <c r="Y942" s="174"/>
      <c r="Z942" s="174"/>
    </row>
    <row r="943">
      <c r="A943" s="190" t="str">
        <f>IFERROR(__xludf.DUMMYFUNCTION("""COMPUTED_VALUE"""),"Tidy Up")</f>
        <v>Tidy Up</v>
      </c>
      <c r="B943" s="190" t="str">
        <f>IFERROR(__xludf.DUMMYFUNCTION("""COMPUTED_VALUE"""),"Normal")</f>
        <v>Normal</v>
      </c>
      <c r="C943" s="190" t="str">
        <f>IFERROR(__xludf.DUMMYFUNCTION("""COMPUTED_VALUE"""),"Status")</f>
        <v>Status</v>
      </c>
      <c r="D943" s="190" t="str">
        <f>IFERROR(__xludf.DUMMYFUNCTION("""COMPUTED_VALUE"""),"Scene x2")</f>
        <v>Scene x2</v>
      </c>
      <c r="E943" s="190" t="str">
        <f>IFERROR(__xludf.DUMMYFUNCTION("""COMPUTED_VALUE"""),"Burst 3, Swift Action")</f>
        <v>Burst 3, Swift Action</v>
      </c>
      <c r="F943" s="190" t="str">
        <f>IFERROR(__xludf.DUMMYFUNCTION("""COMPUTED_VALUE"""),"--")</f>
        <v>--</v>
      </c>
      <c r="G943" s="190" t="str">
        <f>IFERROR(__xludf.DUMMYFUNCTION("""COMPUTED_VALUE"""),"--")</f>
        <v>--</v>
      </c>
      <c r="H943" s="191" t="str">
        <f>IFERROR(__xludf.DUMMYFUNCTION("""COMPUTED_VALUE"""),"All non-Blocking Hazards within this range destroyed. You may choose to remove any Coat that is applied to the user or an Ally within this range. ")</f>
        <v>All non-Blocking Hazards within this range destroyed. You may choose to remove any Coat that is applied to the user or an Ally within this range. </v>
      </c>
      <c r="I943" s="191" t="str">
        <f>IFERROR(__xludf.DUMMYFUNCTION("""COMPUTED_VALUE"""),"--")</f>
        <v>--</v>
      </c>
      <c r="J943" s="190" t="str">
        <f>IFERROR(__xludf.DUMMYFUNCTION("""COMPUTED_VALUE"""),"Tier 2")</f>
        <v>Tier 2</v>
      </c>
      <c r="K943" s="174" t="b">
        <f>IFERROR(__xludf.DUMMYFUNCTION("""COMPUTED_VALUE"""),TRUE)</f>
        <v>1</v>
      </c>
      <c r="L943" s="174"/>
      <c r="M943" s="174"/>
      <c r="N943" s="174"/>
      <c r="O943" s="174"/>
      <c r="P943" s="174"/>
      <c r="Q943" s="174"/>
      <c r="R943" s="174"/>
      <c r="S943" s="174"/>
      <c r="T943" s="174"/>
      <c r="U943" s="174"/>
      <c r="V943" s="174"/>
      <c r="W943" s="174"/>
      <c r="X943" s="174"/>
      <c r="Y943" s="174"/>
      <c r="Z943" s="174"/>
    </row>
    <row r="944">
      <c r="A944" s="190" t="str">
        <f>IFERROR(__xludf.DUMMYFUNCTION("""COMPUTED_VALUE"""),"Transform")</f>
        <v>Transform</v>
      </c>
      <c r="B944" s="190" t="str">
        <f>IFERROR(__xludf.DUMMYFUNCTION("""COMPUTED_VALUE"""),"Normal")</f>
        <v>Normal</v>
      </c>
      <c r="C944" s="190" t="str">
        <f>IFERROR(__xludf.DUMMYFUNCTION("""COMPUTED_VALUE"""),"Status")</f>
        <v>Status</v>
      </c>
      <c r="D944" s="190" t="str">
        <f>IFERROR(__xludf.DUMMYFUNCTION("""COMPUTED_VALUE"""),"Scene x2")</f>
        <v>Scene x2</v>
      </c>
      <c r="E944" s="190" t="str">
        <f>IFERROR(__xludf.DUMMYFUNCTION("""COMPUTED_VALUE"""),"10, 1 Target")</f>
        <v>10, 1 Target</v>
      </c>
      <c r="F944" s="190" t="str">
        <f>IFERROR(__xludf.DUMMYFUNCTION("""COMPUTED_VALUE"""),"--")</f>
        <v>--</v>
      </c>
      <c r="G944" s="190" t="str">
        <f>IFERROR(__xludf.DUMMYFUNCTION("""COMPUTED_VALUE"""),"--")</f>
        <v>--</v>
      </c>
      <c r="H944" s="191" t="str">
        <f>IFERROR(__xludf.DUMMYFUNCTION("""COMPUTED_VALUE"""),"The user Targets a Pokemon within 10 meters and assumes the form of the Target. It replaces its Attacks with the Target's, gains the Target's Abilities, and copies the Target's Weight, Height, Size, Type and Capabilities. Transform lasts until the user is"&amp;" switched out, KO'd or until the end of the Scene. The user may choose to end the Transformation on its turn as a Free Action, losing everything it gained and reverting. The user's Stats do not change from using Transform. Transform fails if the GM would "&amp;"determine the Target untransformable such as a Legendary. This Attack cannot be added to anyone's Attack List other than the User by any means. Sureshot.")</f>
        <v>The user Targets a Pokemon within 10 meters and assumes the form of the Target. It replaces its Attacks with the Target's, gains the Target's Abilities, and copies the Target's Weight, Height, Size, Type and Capabilities. Transform lasts until the user is switched out, KO'd or until the end of the Scene. The user may choose to end the Transformation on its turn as a Free Action, losing everything it gained and reverting. The user's Stats do not change from using Transform. Transform fails if the GM would determine the Target untransformable such as a Legendary. This Attack cannot be added to anyone's Attack List other than the User by any means. Sureshot.</v>
      </c>
      <c r="I944" s="191" t="str">
        <f>IFERROR(__xludf.DUMMYFUNCTION("""COMPUTED_VALUE"""),"--")</f>
        <v>--</v>
      </c>
      <c r="J944" s="190" t="str">
        <f>IFERROR(__xludf.DUMMYFUNCTION("""COMPUTED_VALUE"""),"Tier 2")</f>
        <v>Tier 2</v>
      </c>
      <c r="K944" s="174" t="b">
        <f>IFERROR(__xludf.DUMMYFUNCTION("""COMPUTED_VALUE"""),FALSE)</f>
        <v>0</v>
      </c>
      <c r="L944" s="174"/>
      <c r="M944" s="174"/>
      <c r="N944" s="174"/>
      <c r="O944" s="174"/>
      <c r="P944" s="174"/>
      <c r="Q944" s="174"/>
      <c r="R944" s="174"/>
      <c r="S944" s="174"/>
      <c r="T944" s="174"/>
      <c r="U944" s="174"/>
      <c r="V944" s="174"/>
      <c r="W944" s="174"/>
      <c r="X944" s="174"/>
      <c r="Y944" s="174"/>
      <c r="Z944" s="174"/>
    </row>
    <row r="945">
      <c r="A945" s="190" t="str">
        <f>IFERROR(__xludf.DUMMYFUNCTION("""COMPUTED_VALUE"""),"Tri Attack")</f>
        <v>Tri Attack</v>
      </c>
      <c r="B945" s="190" t="str">
        <f>IFERROR(__xludf.DUMMYFUNCTION("""COMPUTED_VALUE"""),"Normal")</f>
        <v>Normal</v>
      </c>
      <c r="C945" s="190" t="str">
        <f>IFERROR(__xludf.DUMMYFUNCTION("""COMPUTED_VALUE"""),"Special")</f>
        <v>Special</v>
      </c>
      <c r="D945" s="190" t="str">
        <f>IFERROR(__xludf.DUMMYFUNCTION("""COMPUTED_VALUE"""),"Scene x2")</f>
        <v>Scene x2</v>
      </c>
      <c r="E945" s="190" t="str">
        <f>IFERROR(__xludf.DUMMYFUNCTION("""COMPUTED_VALUE"""),"6, 1 Target or 3, 3 Targets")</f>
        <v>6, 1 Target or 3, 3 Targets</v>
      </c>
      <c r="F945" s="190">
        <f>IFERROR(__xludf.DUMMYFUNCTION("""COMPUTED_VALUE"""),7.0)</f>
        <v>7</v>
      </c>
      <c r="G945" s="190">
        <f>IFERROR(__xludf.DUMMYFUNCTION("""COMPUTED_VALUE"""),8.0)</f>
        <v>8</v>
      </c>
      <c r="H945" s="191" t="str">
        <f>IFERROR(__xludf.DUMMYFUNCTION("""COMPUTED_VALUE"""),"If this Attack only has one Target, as a Full Action, this Attack's Type can either be Electric, Fire or Ice. Smite")</f>
        <v>If this Attack only has one Target, as a Full Action, this Attack's Type can either be Electric, Fire or Ice. Smite</v>
      </c>
      <c r="I945" s="191" t="str">
        <f>IFERROR(__xludf.DUMMYFUNCTION("""COMPUTED_VALUE"""),"--")</f>
        <v>--</v>
      </c>
      <c r="J945" s="190" t="str">
        <f>IFERROR(__xludf.DUMMYFUNCTION("""COMPUTED_VALUE"""),"Tier 2")</f>
        <v>Tier 2</v>
      </c>
      <c r="K945" s="174" t="b">
        <f>IFERROR(__xludf.DUMMYFUNCTION("""COMPUTED_VALUE"""),TRUE)</f>
        <v>1</v>
      </c>
      <c r="L945" s="174"/>
      <c r="M945" s="174"/>
      <c r="N945" s="174"/>
      <c r="O945" s="174"/>
      <c r="P945" s="174"/>
      <c r="Q945" s="174"/>
      <c r="R945" s="174"/>
      <c r="S945" s="174"/>
      <c r="T945" s="174"/>
      <c r="U945" s="174"/>
      <c r="V945" s="174"/>
      <c r="W945" s="174"/>
      <c r="X945" s="174"/>
      <c r="Y945" s="174"/>
      <c r="Z945" s="174"/>
    </row>
    <row r="946">
      <c r="A946" s="190" t="str">
        <f>IFERROR(__xludf.DUMMYFUNCTION("""COMPUTED_VALUE"""),"Trump Card")</f>
        <v>Trump Card</v>
      </c>
      <c r="B946" s="190" t="str">
        <f>IFERROR(__xludf.DUMMYFUNCTION("""COMPUTED_VALUE"""),"Normal")</f>
        <v>Normal</v>
      </c>
      <c r="C946" s="190" t="str">
        <f>IFERROR(__xludf.DUMMYFUNCTION("""COMPUTED_VALUE"""),"Special")</f>
        <v>Special</v>
      </c>
      <c r="D946" s="190" t="str">
        <f>IFERROR(__xludf.DUMMYFUNCTION("""COMPUTED_VALUE"""),"EOT")</f>
        <v>EOT</v>
      </c>
      <c r="E946" s="190" t="str">
        <f>IFERROR(__xludf.DUMMYFUNCTION("""COMPUTED_VALUE"""),"Close Blast 2")</f>
        <v>Close Blast 2</v>
      </c>
      <c r="F946" s="190">
        <f>IFERROR(__xludf.DUMMYFUNCTION("""COMPUTED_VALUE"""),5.0)</f>
        <v>5</v>
      </c>
      <c r="G946" s="190">
        <f>IFERROR(__xludf.DUMMYFUNCTION("""COMPUTED_VALUE"""),4.0)</f>
        <v>4</v>
      </c>
      <c r="H946" s="191" t="str">
        <f>IFERROR(__xludf.DUMMYFUNCTION("""COMPUTED_VALUE"""),"For each Tick of Hit Point the user is missiing, the DB of this Attack is increased by +1. If the user is Surrounded, this has the Sureshot Keyword.")</f>
        <v>For each Tick of Hit Point the user is missiing, the DB of this Attack is increased by +1. If the user is Surrounded, this has the Sureshot Keyword.</v>
      </c>
      <c r="I946" s="191" t="str">
        <f>IFERROR(__xludf.DUMMYFUNCTION("""COMPUTED_VALUE"""),"--")</f>
        <v>--</v>
      </c>
      <c r="J946" s="190" t="str">
        <f>IFERROR(__xludf.DUMMYFUNCTION("""COMPUTED_VALUE"""),"Tier 2")</f>
        <v>Tier 2</v>
      </c>
      <c r="K946" s="174" t="b">
        <f>IFERROR(__xludf.DUMMYFUNCTION("""COMPUTED_VALUE"""),TRUE)</f>
        <v>1</v>
      </c>
      <c r="L946" s="174"/>
      <c r="M946" s="174"/>
      <c r="N946" s="174"/>
      <c r="O946" s="174"/>
      <c r="P946" s="174"/>
      <c r="Q946" s="174"/>
      <c r="R946" s="174"/>
      <c r="S946" s="174"/>
      <c r="T946" s="174"/>
      <c r="U946" s="174"/>
      <c r="V946" s="174"/>
      <c r="W946" s="174"/>
      <c r="X946" s="174"/>
      <c r="Y946" s="174"/>
      <c r="Z946" s="174"/>
    </row>
    <row r="947">
      <c r="A947" s="190" t="str">
        <f>IFERROR(__xludf.DUMMYFUNCTION("""COMPUTED_VALUE"""),"Uproar")</f>
        <v>Uproar</v>
      </c>
      <c r="B947" s="190" t="str">
        <f>IFERROR(__xludf.DUMMYFUNCTION("""COMPUTED_VALUE"""),"Normal")</f>
        <v>Normal</v>
      </c>
      <c r="C947" s="190" t="str">
        <f>IFERROR(__xludf.DUMMYFUNCTION("""COMPUTED_VALUE"""),"Special")</f>
        <v>Special</v>
      </c>
      <c r="D947" s="190" t="str">
        <f>IFERROR(__xludf.DUMMYFUNCTION("""COMPUTED_VALUE"""),"Scene x2")</f>
        <v>Scene x2</v>
      </c>
      <c r="E947" s="190" t="str">
        <f>IFERROR(__xludf.DUMMYFUNCTION("""COMPUTED_VALUE"""),"Burst 1, Sonic")</f>
        <v>Burst 1, Sonic</v>
      </c>
      <c r="F947" s="190">
        <f>IFERROR(__xludf.DUMMYFUNCTION("""COMPUTED_VALUE"""),6.0)</f>
        <v>6</v>
      </c>
      <c r="G947" s="190">
        <f>IFERROR(__xludf.DUMMYFUNCTION("""COMPUTED_VALUE"""),9.0)</f>
        <v>9</v>
      </c>
      <c r="H947" s="191" t="str">
        <f>IFERROR(__xludf.DUMMYFUNCTION("""COMPUTED_VALUE"""),"All Combatants within 5 meters of the user are cured of the Drowsy Affliction. Spirit Surge.")</f>
        <v>All Combatants within 5 meters of the user are cured of the Drowsy Affliction. Spirit Surge.</v>
      </c>
      <c r="I947" s="191" t="str">
        <f>IFERROR(__xludf.DUMMYFUNCTION("""COMPUTED_VALUE"""),"--")</f>
        <v>--</v>
      </c>
      <c r="J947" s="190" t="str">
        <f>IFERROR(__xludf.DUMMYFUNCTION("""COMPUTED_VALUE"""),"Tier 2")</f>
        <v>Tier 2</v>
      </c>
      <c r="K947" s="174" t="b">
        <f>IFERROR(__xludf.DUMMYFUNCTION("""COMPUTED_VALUE"""),TRUE)</f>
        <v>1</v>
      </c>
      <c r="L947" s="174"/>
      <c r="M947" s="174"/>
      <c r="N947" s="174"/>
      <c r="O947" s="174"/>
      <c r="P947" s="174"/>
      <c r="Q947" s="174"/>
      <c r="R947" s="174"/>
      <c r="S947" s="174"/>
      <c r="T947" s="174"/>
      <c r="U947" s="174"/>
      <c r="V947" s="174"/>
      <c r="W947" s="174"/>
      <c r="X947" s="174"/>
      <c r="Y947" s="174"/>
      <c r="Z947" s="174"/>
    </row>
    <row r="948">
      <c r="A948" s="190" t="str">
        <f>IFERROR(__xludf.DUMMYFUNCTION("""COMPUTED_VALUE"""),"Vice Grip")</f>
        <v>Vice Grip</v>
      </c>
      <c r="B948" s="190" t="str">
        <f>IFERROR(__xludf.DUMMYFUNCTION("""COMPUTED_VALUE"""),"Normal")</f>
        <v>Normal</v>
      </c>
      <c r="C948" s="190" t="str">
        <f>IFERROR(__xludf.DUMMYFUNCTION("""COMPUTED_VALUE"""),"Physical")</f>
        <v>Physical</v>
      </c>
      <c r="D948" s="190" t="str">
        <f>IFERROR(__xludf.DUMMYFUNCTION("""COMPUTED_VALUE"""),"At-Will")</f>
        <v>At-Will</v>
      </c>
      <c r="E948" s="190" t="str">
        <f>IFERROR(__xludf.DUMMYFUNCTION("""COMPUTED_VALUE"""),"Melee, 1 Target, Full Action")</f>
        <v>Melee, 1 Target, Full Action</v>
      </c>
      <c r="F948" s="190">
        <f>IFERROR(__xludf.DUMMYFUNCTION("""COMPUTED_VALUE"""),3.0)</f>
        <v>3</v>
      </c>
      <c r="G948" s="190">
        <f>IFERROR(__xludf.DUMMYFUNCTION("""COMPUTED_VALUE"""),4.0)</f>
        <v>4</v>
      </c>
      <c r="H948" s="191" t="str">
        <f>IFERROR(__xludf.DUMMYFUNCTION("""COMPUTED_VALUE"""),"The Target becomes Wounded. ")</f>
        <v>The Target becomes Wounded. </v>
      </c>
      <c r="I948" s="191" t="str">
        <f>IFERROR(__xludf.DUMMYFUNCTION("""COMPUTED_VALUE"""),"--")</f>
        <v>--</v>
      </c>
      <c r="J948" s="190" t="str">
        <f>IFERROR(__xludf.DUMMYFUNCTION("""COMPUTED_VALUE"""),"Tier 1")</f>
        <v>Tier 1</v>
      </c>
      <c r="K948" s="174" t="b">
        <f>IFERROR(__xludf.DUMMYFUNCTION("""COMPUTED_VALUE"""),TRUE)</f>
        <v>1</v>
      </c>
      <c r="L948" s="174"/>
      <c r="M948" s="174"/>
      <c r="N948" s="174"/>
      <c r="O948" s="174"/>
      <c r="P948" s="174"/>
      <c r="Q948" s="174"/>
      <c r="R948" s="174"/>
      <c r="S948" s="174"/>
      <c r="T948" s="174"/>
      <c r="U948" s="174"/>
      <c r="V948" s="174"/>
      <c r="W948" s="174"/>
      <c r="X948" s="174"/>
      <c r="Y948" s="174"/>
      <c r="Z948" s="174"/>
    </row>
    <row r="949">
      <c r="A949" s="190" t="str">
        <f>IFERROR(__xludf.DUMMYFUNCTION("""COMPUTED_VALUE"""),"Weather Ball")</f>
        <v>Weather Ball</v>
      </c>
      <c r="B949" s="190" t="str">
        <f>IFERROR(__xludf.DUMMYFUNCTION("""COMPUTED_VALUE"""),"Normal")</f>
        <v>Normal</v>
      </c>
      <c r="C949" s="190" t="str">
        <f>IFERROR(__xludf.DUMMYFUNCTION("""COMPUTED_VALUE"""),"Special")</f>
        <v>Special</v>
      </c>
      <c r="D949" s="190" t="str">
        <f>IFERROR(__xludf.DUMMYFUNCTION("""COMPUTED_VALUE"""),"EOT")</f>
        <v>EOT</v>
      </c>
      <c r="E949" s="190" t="str">
        <f>IFERROR(__xludf.DUMMYFUNCTION("""COMPUTED_VALUE"""),"8, 1 Target")</f>
        <v>8, 1 Target</v>
      </c>
      <c r="F949" s="190">
        <f>IFERROR(__xludf.DUMMYFUNCTION("""COMPUTED_VALUE"""),4.0)</f>
        <v>4</v>
      </c>
      <c r="G949" s="190">
        <f>IFERROR(__xludf.DUMMYFUNCTION("""COMPUTED_VALUE"""),9.0)</f>
        <v>9</v>
      </c>
      <c r="H949" s="191" t="str">
        <f>IFERROR(__xludf.DUMMYFUNCTION("""COMPUTED_VALUE"""),"If there is Weather on the Field, you may deal Damage with Weather Ball as if it was a different Type, from the options listed below.
■ Foggy - Dark or Ghost
■ Mystical - Fairy or Psychic
■ Rainy - Ice or Water
■ Snowy - Ice or Water
■ Sandstorm - Ground "&amp;"or Rock
■ Sunny - Fire
■ Thunderstorm - Electric
■ Windy - Flying")</f>
        <v>If there is Weather on the Field, you may deal Damage with Weather Ball as if it was a different Type, from the options listed below.
■ Foggy - Dark or Ghost
■ Mystical - Fairy or Psychic
■ Rainy - Ice or Water
■ Snowy - Ice or Water
■ Sandstorm - Ground or Rock
■ Sunny - Fire
■ Thunderstorm - Electric
■ Windy - Flying</v>
      </c>
      <c r="I949" s="191" t="str">
        <f>IFERROR(__xludf.DUMMYFUNCTION("""COMPUTED_VALUE"""),"--")</f>
        <v>--</v>
      </c>
      <c r="J949" s="190" t="str">
        <f>IFERROR(__xludf.DUMMYFUNCTION("""COMPUTED_VALUE"""),"Tier 2")</f>
        <v>Tier 2</v>
      </c>
      <c r="K949" s="174" t="b">
        <f>IFERROR(__xludf.DUMMYFUNCTION("""COMPUTED_VALUE"""),TRUE)</f>
        <v>1</v>
      </c>
      <c r="L949" s="174"/>
      <c r="M949" s="174"/>
      <c r="N949" s="174"/>
      <c r="O949" s="174"/>
      <c r="P949" s="174"/>
      <c r="Q949" s="174"/>
      <c r="R949" s="174"/>
      <c r="S949" s="174"/>
      <c r="T949" s="174"/>
      <c r="U949" s="174"/>
      <c r="V949" s="174"/>
      <c r="W949" s="174"/>
      <c r="X949" s="174"/>
      <c r="Y949" s="174"/>
      <c r="Z949" s="174"/>
    </row>
    <row r="950">
      <c r="A950" s="190" t="str">
        <f>IFERROR(__xludf.DUMMYFUNCTION("""COMPUTED_VALUE"""),"Work Up")</f>
        <v>Work Up</v>
      </c>
      <c r="B950" s="190" t="str">
        <f>IFERROR(__xludf.DUMMYFUNCTION("""COMPUTED_VALUE"""),"Normal")</f>
        <v>Normal</v>
      </c>
      <c r="C950" s="190" t="str">
        <f>IFERROR(__xludf.DUMMYFUNCTION("""COMPUTED_VALUE"""),"Status")</f>
        <v>Status</v>
      </c>
      <c r="D950" s="190" t="str">
        <f>IFERROR(__xludf.DUMMYFUNCTION("""COMPUTED_VALUE"""),"EOT")</f>
        <v>EOT</v>
      </c>
      <c r="E950" s="190" t="str">
        <f>IFERROR(__xludf.DUMMYFUNCTION("""COMPUTED_VALUE"""),"Self, Versatile")</f>
        <v>Self, Versatile</v>
      </c>
      <c r="F950" s="190" t="str">
        <f>IFERROR(__xludf.DUMMYFUNCTION("""COMPUTED_VALUE"""),"--")</f>
        <v>--</v>
      </c>
      <c r="G950" s="190" t="str">
        <f>IFERROR(__xludf.DUMMYFUNCTION("""COMPUTED_VALUE"""),"--")</f>
        <v>--</v>
      </c>
      <c r="H950" s="191" t="str">
        <f>IFERROR(__xludf.DUMMYFUNCTION("""COMPUTED_VALUE"""),"The user gains +2 CS to a Stat of their Choice and has a +2 Modifier to Accuracy or Save Checks until the end of their turn. ")</f>
        <v>The user gains +2 CS to a Stat of their Choice and has a +2 Modifier to Accuracy or Save Checks until the end of their turn. </v>
      </c>
      <c r="I950" s="191" t="str">
        <f>IFERROR(__xludf.DUMMYFUNCTION("""COMPUTED_VALUE"""),"The user gains a +2 modifier to their next Accuracy or Save Check.")</f>
        <v>The user gains a +2 modifier to their next Accuracy or Save Check.</v>
      </c>
      <c r="J950" s="190" t="str">
        <f>IFERROR(__xludf.DUMMYFUNCTION("""COMPUTED_VALUE"""),"Tier 1")</f>
        <v>Tier 1</v>
      </c>
      <c r="K950" s="174" t="b">
        <f>IFERROR(__xludf.DUMMYFUNCTION("""COMPUTED_VALUE"""),TRUE)</f>
        <v>1</v>
      </c>
      <c r="L950" s="174"/>
      <c r="M950" s="174"/>
      <c r="N950" s="174"/>
      <c r="O950" s="174"/>
      <c r="P950" s="174"/>
      <c r="Q950" s="174"/>
      <c r="R950" s="174"/>
      <c r="S950" s="174"/>
      <c r="T950" s="174"/>
      <c r="U950" s="174"/>
      <c r="V950" s="174"/>
      <c r="W950" s="174"/>
      <c r="X950" s="174"/>
      <c r="Y950" s="174"/>
      <c r="Z950" s="174"/>
    </row>
    <row r="951">
      <c r="A951" s="190" t="str">
        <f>IFERROR(__xludf.DUMMYFUNCTION("""COMPUTED_VALUE"""),"Wrap")</f>
        <v>Wrap</v>
      </c>
      <c r="B951" s="190" t="str">
        <f>IFERROR(__xludf.DUMMYFUNCTION("""COMPUTED_VALUE"""),"Normal")</f>
        <v>Normal</v>
      </c>
      <c r="C951" s="190" t="str">
        <f>IFERROR(__xludf.DUMMYFUNCTION("""COMPUTED_VALUE"""),"Physical")</f>
        <v>Physical</v>
      </c>
      <c r="D951" s="190" t="str">
        <f>IFERROR(__xludf.DUMMYFUNCTION("""COMPUTED_VALUE"""),"At-Will")</f>
        <v>At-Will</v>
      </c>
      <c r="E951" s="190" t="str">
        <f>IFERROR(__xludf.DUMMYFUNCTION("""COMPUTED_VALUE"""),"Melee, 1 Target")</f>
        <v>Melee, 1 Target</v>
      </c>
      <c r="F951" s="190">
        <f>IFERROR(__xludf.DUMMYFUNCTION("""COMPUTED_VALUE"""),3.0)</f>
        <v>3</v>
      </c>
      <c r="G951" s="190">
        <f>IFERROR(__xludf.DUMMYFUNCTION("""COMPUTED_VALUE"""),4.0)</f>
        <v>4</v>
      </c>
      <c r="H951" s="191" t="str">
        <f>IFERROR(__xludf.DUMMYFUNCTION("""COMPUTED_VALUE"""),"You may choose to mark the Target with a Wrap Mark. While an Enemy has a Wrap Mark, whenever they use a Movement Action they lose a Tick of Hit Points and whenever they would move, you must Slide into an Adjacent unoccupied space. If you would ever move i"&amp;"nto a space not Adjacent to them, they lose the Wrap Mark. You cannot apply Evasion against Attacks derrived from Enemies with your Wrap Mark.")</f>
        <v>You may choose to mark the Target with a Wrap Mark. While an Enemy has a Wrap Mark, whenever they use a Movement Action they lose a Tick of Hit Points and whenever they would move, you must Slide into an Adjacent unoccupied space. If you would ever move into a space not Adjacent to them, they lose the Wrap Mark. You cannot apply Evasion against Attacks derrived from Enemies with your Wrap Mark.</v>
      </c>
      <c r="I951" s="191" t="str">
        <f>IFERROR(__xludf.DUMMYFUNCTION("""COMPUTED_VALUE"""),"--")</f>
        <v>--</v>
      </c>
      <c r="J951" s="190" t="str">
        <f>IFERROR(__xludf.DUMMYFUNCTION("""COMPUTED_VALUE"""),"Tier 1")</f>
        <v>Tier 1</v>
      </c>
      <c r="K951" s="174" t="b">
        <f>IFERROR(__xludf.DUMMYFUNCTION("""COMPUTED_VALUE"""),TRUE)</f>
        <v>1</v>
      </c>
      <c r="L951" s="174"/>
      <c r="M951" s="174"/>
      <c r="N951" s="174"/>
      <c r="O951" s="174"/>
      <c r="P951" s="174"/>
      <c r="Q951" s="174"/>
      <c r="R951" s="174"/>
      <c r="S951" s="174"/>
      <c r="T951" s="174"/>
      <c r="U951" s="174"/>
      <c r="V951" s="174"/>
      <c r="W951" s="174"/>
      <c r="X951" s="174"/>
      <c r="Y951" s="174"/>
      <c r="Z951" s="174"/>
    </row>
    <row r="952">
      <c r="A952" s="190" t="str">
        <f>IFERROR(__xludf.DUMMYFUNCTION("""COMPUTED_VALUE"""),"Wring Out")</f>
        <v>Wring Out</v>
      </c>
      <c r="B952" s="190" t="str">
        <f>IFERROR(__xludf.DUMMYFUNCTION("""COMPUTED_VALUE"""),"Normal")</f>
        <v>Normal</v>
      </c>
      <c r="C952" s="190" t="str">
        <f>IFERROR(__xludf.DUMMYFUNCTION("""COMPUTED_VALUE"""),"Special")</f>
        <v>Special</v>
      </c>
      <c r="D952" s="190" t="str">
        <f>IFERROR(__xludf.DUMMYFUNCTION("""COMPUTED_VALUE"""),"Scene x2")</f>
        <v>Scene x2</v>
      </c>
      <c r="E952" s="190" t="str">
        <f>IFERROR(__xludf.DUMMYFUNCTION("""COMPUTED_VALUE"""),"Melee, 1 Target")</f>
        <v>Melee, 1 Target</v>
      </c>
      <c r="F952" s="190">
        <f>IFERROR(__xludf.DUMMYFUNCTION("""COMPUTED_VALUE"""),3.0)</f>
        <v>3</v>
      </c>
      <c r="G952" s="190">
        <f>IFERROR(__xludf.DUMMYFUNCTION("""COMPUTED_VALUE"""),10.0)</f>
        <v>10</v>
      </c>
      <c r="H952" s="191" t="str">
        <f>IFERROR(__xludf.DUMMYFUNCTION("""COMPUTED_VALUE"""),"This has the Sureshot Keyword against Targets that are Trapped or Grappled.")</f>
        <v>This has the Sureshot Keyword against Targets that are Trapped or Grappled.</v>
      </c>
      <c r="I952" s="191" t="str">
        <f>IFERROR(__xludf.DUMMYFUNCTION("""COMPUTED_VALUE"""),"--")</f>
        <v>--</v>
      </c>
      <c r="J952" s="190" t="str">
        <f>IFERROR(__xludf.DUMMYFUNCTION("""COMPUTED_VALUE"""),"Tier 3")</f>
        <v>Tier 3</v>
      </c>
      <c r="K952" s="174" t="b">
        <f>IFERROR(__xludf.DUMMYFUNCTION("""COMPUTED_VALUE"""),TRUE)</f>
        <v>1</v>
      </c>
      <c r="L952" s="174"/>
      <c r="M952" s="174"/>
      <c r="N952" s="174"/>
      <c r="O952" s="174"/>
      <c r="P952" s="174"/>
      <c r="Q952" s="174"/>
      <c r="R952" s="174"/>
      <c r="S952" s="174"/>
      <c r="T952" s="174"/>
      <c r="U952" s="174"/>
      <c r="V952" s="174"/>
      <c r="W952" s="174"/>
      <c r="X952" s="174"/>
      <c r="Y952" s="174"/>
      <c r="Z952" s="174"/>
    </row>
    <row r="953">
      <c r="A953" s="190" t="str">
        <f>IFERROR(__xludf.DUMMYFUNCTION("""COMPUTED_VALUE"""),"Yawn")</f>
        <v>Yawn</v>
      </c>
      <c r="B953" s="190" t="str">
        <f>IFERROR(__xludf.DUMMYFUNCTION("""COMPUTED_VALUE"""),"Normal")</f>
        <v>Normal</v>
      </c>
      <c r="C953" s="190" t="str">
        <f>IFERROR(__xludf.DUMMYFUNCTION("""COMPUTED_VALUE"""),"Status")</f>
        <v>Status</v>
      </c>
      <c r="D953" s="190" t="str">
        <f>IFERROR(__xludf.DUMMYFUNCTION("""COMPUTED_VALUE"""),"Scene x2")</f>
        <v>Scene x2</v>
      </c>
      <c r="E953" s="190" t="str">
        <f>IFERROR(__xludf.DUMMYFUNCTION("""COMPUTED_VALUE"""),"2, 1 Target, Sonic, Coat, Versatile")</f>
        <v>2, 1 Target, Sonic, Coat, Versatile</v>
      </c>
      <c r="F953" s="190" t="str">
        <f>IFERROR(__xludf.DUMMYFUNCTION("""COMPUTED_VALUE"""),"--")</f>
        <v>--</v>
      </c>
      <c r="G953" s="190" t="str">
        <f>IFERROR(__xludf.DUMMYFUNCTION("""COMPUTED_VALUE"""),"--")</f>
        <v>--</v>
      </c>
      <c r="H953" s="191" t="str">
        <f>IFERROR(__xludf.DUMMYFUNCTION("""COMPUTED_VALUE"""),"The Target becomes Drowsy at the end of their next Turn. Sureshot.")</f>
        <v>The Target becomes Drowsy at the end of their next Turn. Sureshot.</v>
      </c>
      <c r="I953" s="191" t="str">
        <f>IFERROR(__xludf.DUMMYFUNCTION("""COMPUTED_VALUE"""),"The Target gains a Dozing Coat. When a Combatant with a Dozing Coat ends their Turn, they must make a TN 5 Save Check or else they become Drowsy. When they become Drowsy this way, the Dozing Coat is expended. Sureshot.")</f>
        <v>The Target gains a Dozing Coat. When a Combatant with a Dozing Coat ends their Turn, they must make a TN 5 Save Check or else they become Drowsy. When they become Drowsy this way, the Dozing Coat is expended. Sureshot.</v>
      </c>
      <c r="J953" s="190" t="str">
        <f>IFERROR(__xludf.DUMMYFUNCTION("""COMPUTED_VALUE"""),"Tier 2")</f>
        <v>Tier 2</v>
      </c>
      <c r="K953" s="174" t="b">
        <f>IFERROR(__xludf.DUMMYFUNCTION("""COMPUTED_VALUE"""),TRUE)</f>
        <v>1</v>
      </c>
      <c r="L953" s="174"/>
      <c r="M953" s="174"/>
      <c r="N953" s="174"/>
      <c r="O953" s="174"/>
      <c r="P953" s="174"/>
      <c r="Q953" s="174"/>
      <c r="R953" s="174"/>
      <c r="S953" s="174"/>
      <c r="T953" s="174"/>
      <c r="U953" s="174"/>
      <c r="V953" s="174"/>
      <c r="W953" s="174"/>
      <c r="X953" s="174"/>
      <c r="Y953" s="174"/>
      <c r="Z953" s="174"/>
    </row>
    <row r="954">
      <c r="A954" s="190" t="str">
        <f>IFERROR(__xludf.DUMMYFUNCTION("""COMPUTED_VALUE"""),"Acid")</f>
        <v>Acid</v>
      </c>
      <c r="B954" s="190" t="str">
        <f>IFERROR(__xludf.DUMMYFUNCTION("""COMPUTED_VALUE"""),"Poison")</f>
        <v>Poison</v>
      </c>
      <c r="C954" s="190" t="str">
        <f>IFERROR(__xludf.DUMMYFUNCTION("""COMPUTED_VALUE"""),"Special")</f>
        <v>Special</v>
      </c>
      <c r="D954" s="190" t="str">
        <f>IFERROR(__xludf.DUMMYFUNCTION("""COMPUTED_VALUE"""),"At-Will")</f>
        <v>At-Will</v>
      </c>
      <c r="E954" s="190" t="str">
        <f>IFERROR(__xludf.DUMMYFUNCTION("""COMPUTED_VALUE"""),"Close Blast 2")</f>
        <v>Close Blast 2</v>
      </c>
      <c r="F954" s="190">
        <f>IFERROR(__xludf.DUMMYFUNCTION("""COMPUTED_VALUE"""),5.0)</f>
        <v>5</v>
      </c>
      <c r="G954" s="190">
        <f>IFERROR(__xludf.DUMMYFUNCTION("""COMPUTED_VALUE"""),4.0)</f>
        <v>4</v>
      </c>
      <c r="H954" s="191" t="str">
        <f>IFERROR(__xludf.DUMMYFUNCTION("""COMPUTED_VALUE"""),"The Target loses -1 CS in Defense or Special Defense, of your choice. Spirit Surge")</f>
        <v>The Target loses -1 CS in Defense or Special Defense, of your choice. Spirit Surge</v>
      </c>
      <c r="I954" s="191" t="str">
        <f>IFERROR(__xludf.DUMMYFUNCTION("""COMPUTED_VALUE"""),"--")</f>
        <v>--</v>
      </c>
      <c r="J954" s="190" t="str">
        <f>IFERROR(__xludf.DUMMYFUNCTION("""COMPUTED_VALUE"""),"Tier 1")</f>
        <v>Tier 1</v>
      </c>
      <c r="K954" s="174" t="b">
        <f>IFERROR(__xludf.DUMMYFUNCTION("""COMPUTED_VALUE"""),TRUE)</f>
        <v>1</v>
      </c>
      <c r="L954" s="174"/>
      <c r="M954" s="174"/>
      <c r="N954" s="174"/>
      <c r="O954" s="174"/>
      <c r="P954" s="174"/>
      <c r="Q954" s="174"/>
      <c r="R954" s="174"/>
      <c r="S954" s="174"/>
      <c r="T954" s="174"/>
      <c r="U954" s="174"/>
      <c r="V954" s="174"/>
      <c r="W954" s="174"/>
      <c r="X954" s="174"/>
      <c r="Y954" s="174"/>
      <c r="Z954" s="174"/>
    </row>
    <row r="955">
      <c r="A955" s="190" t="str">
        <f>IFERROR(__xludf.DUMMYFUNCTION("""COMPUTED_VALUE"""),"Acid Armor")</f>
        <v>Acid Armor</v>
      </c>
      <c r="B955" s="190" t="str">
        <f>IFERROR(__xludf.DUMMYFUNCTION("""COMPUTED_VALUE"""),"Poison")</f>
        <v>Poison</v>
      </c>
      <c r="C955" s="190" t="str">
        <f>IFERROR(__xludf.DUMMYFUNCTION("""COMPUTED_VALUE"""),"Status")</f>
        <v>Status</v>
      </c>
      <c r="D955" s="190" t="str">
        <f>IFERROR(__xludf.DUMMYFUNCTION("""COMPUTED_VALUE"""),"Scene x2")</f>
        <v>Scene x2</v>
      </c>
      <c r="E955" s="190" t="str">
        <f>IFERROR(__xludf.DUMMYFUNCTION("""COMPUTED_VALUE"""),"Self, Coat, Versatile")</f>
        <v>Self, Coat, Versatile</v>
      </c>
      <c r="F955" s="190" t="str">
        <f>IFERROR(__xludf.DUMMYFUNCTION("""COMPUTED_VALUE"""),"--")</f>
        <v>--</v>
      </c>
      <c r="G955" s="190" t="str">
        <f>IFERROR(__xludf.DUMMYFUNCTION("""COMPUTED_VALUE"""),"--")</f>
        <v>--</v>
      </c>
      <c r="H955" s="191" t="str">
        <f>IFERROR(__xludf.DUMMYFUNCTION("""COMPUTED_VALUE"""),"The user gains a Toxic Coat. While the user is affected by a Toxic Coat, whenever a Melee Attack hits them, the Attacker become Poisoned. The Toxic Coat can be expended as a Reaction to resist a Physical Attack by an additional Damage step. It also can be"&amp;" expended when the user hits a Special Poison Type Attack to cause all Targets to become Poisoned. ")</f>
        <v>The user gains a Toxic Coat. While the user is affected by a Toxic Coat, whenever a Melee Attack hits them, the Attacker become Poisoned. The Toxic Coat can be expended as a Reaction to resist a Physical Attack by an additional Damage step. It also can be expended when the user hits a Special Poison Type Attack to cause all Targets to become Poisoned. </v>
      </c>
      <c r="I955" s="191" t="str">
        <f>IFERROR(__xludf.DUMMYFUNCTION("""COMPUTED_VALUE"""),"The user gains a Toxic Coat until the start of their next Turn. It cannot be expended through listed means. ")</f>
        <v>The user gains a Toxic Coat until the start of their next Turn. It cannot be expended through listed means. </v>
      </c>
      <c r="J955" s="190" t="str">
        <f>IFERROR(__xludf.DUMMYFUNCTION("""COMPUTED_VALUE"""),"Tier 2")</f>
        <v>Tier 2</v>
      </c>
      <c r="K955" s="174" t="b">
        <f>IFERROR(__xludf.DUMMYFUNCTION("""COMPUTED_VALUE"""),TRUE)</f>
        <v>1</v>
      </c>
      <c r="L955" s="174"/>
      <c r="M955" s="174"/>
      <c r="N955" s="174"/>
      <c r="O955" s="174"/>
      <c r="P955" s="174"/>
      <c r="Q955" s="174"/>
      <c r="R955" s="174"/>
      <c r="S955" s="174"/>
      <c r="T955" s="174"/>
      <c r="U955" s="174"/>
      <c r="V955" s="174"/>
      <c r="W955" s="174"/>
      <c r="X955" s="174"/>
      <c r="Y955" s="174"/>
      <c r="Z955" s="174"/>
    </row>
    <row r="956">
      <c r="A956" s="190" t="str">
        <f>IFERROR(__xludf.DUMMYFUNCTION("""COMPUTED_VALUE"""),"Acid Breath")</f>
        <v>Acid Breath</v>
      </c>
      <c r="B956" s="190" t="str">
        <f>IFERROR(__xludf.DUMMYFUNCTION("""COMPUTED_VALUE"""),"Poison")</f>
        <v>Poison</v>
      </c>
      <c r="C956" s="190" t="str">
        <f>IFERROR(__xludf.DUMMYFUNCTION("""COMPUTED_VALUE"""),"Special")</f>
        <v>Special</v>
      </c>
      <c r="D956" s="190" t="str">
        <f>IFERROR(__xludf.DUMMYFUNCTION("""COMPUTED_VALUE"""),"EOT")</f>
        <v>EOT</v>
      </c>
      <c r="E956" s="190" t="str">
        <f>IFERROR(__xludf.DUMMYFUNCTION("""COMPUTED_VALUE"""),"6, 1 Target; or Line 3")</f>
        <v>6, 1 Target; or Line 3</v>
      </c>
      <c r="F956" s="190">
        <f>IFERROR(__xludf.DUMMYFUNCTION("""COMPUTED_VALUE"""),5.0)</f>
        <v>5</v>
      </c>
      <c r="G956" s="190">
        <f>IFERROR(__xludf.DUMMYFUNCTION("""COMPUTED_VALUE"""),7.0)</f>
        <v>7</v>
      </c>
      <c r="H956" s="191" t="str">
        <f>IFERROR(__xludf.DUMMYFUNCTION("""COMPUTED_VALUE"""),"On a Roll of 17+, all Targets become Poisoned. When calculating Weakness and Resistance for Acid Breath, Steel Typed Targets calculate damage as if Steel was weak to Poison and are hit despite normally being Immune.")</f>
        <v>On a Roll of 17+, all Targets become Poisoned. When calculating Weakness and Resistance for Acid Breath, Steel Typed Targets calculate damage as if Steel was weak to Poison and are hit despite normally being Immune.</v>
      </c>
      <c r="I956" s="191" t="str">
        <f>IFERROR(__xludf.DUMMYFUNCTION("""COMPUTED_VALUE"""),"--")</f>
        <v>--</v>
      </c>
      <c r="J956" s="190" t="str">
        <f>IFERROR(__xludf.DUMMYFUNCTION("""COMPUTED_VALUE"""),"Tier 1")</f>
        <v>Tier 1</v>
      </c>
      <c r="K956" s="174" t="b">
        <f>IFERROR(__xludf.DUMMYFUNCTION("""COMPUTED_VALUE"""),TRUE)</f>
        <v>1</v>
      </c>
      <c r="L956" s="174"/>
      <c r="M956" s="174"/>
      <c r="N956" s="174"/>
      <c r="O956" s="174"/>
      <c r="P956" s="174"/>
      <c r="Q956" s="174"/>
      <c r="R956" s="174"/>
      <c r="S956" s="174"/>
      <c r="T956" s="174"/>
      <c r="U956" s="174"/>
      <c r="V956" s="174"/>
      <c r="W956" s="174"/>
      <c r="X956" s="174"/>
      <c r="Y956" s="174"/>
      <c r="Z956" s="174"/>
    </row>
    <row r="957">
      <c r="A957" s="190" t="str">
        <f>IFERROR(__xludf.DUMMYFUNCTION("""COMPUTED_VALUE"""),"Acid Rain")</f>
        <v>Acid Rain</v>
      </c>
      <c r="B957" s="190" t="str">
        <f>IFERROR(__xludf.DUMMYFUNCTION("""COMPUTED_VALUE"""),"Poison")</f>
        <v>Poison</v>
      </c>
      <c r="C957" s="190" t="str">
        <f>IFERROR(__xludf.DUMMYFUNCTION("""COMPUTED_VALUE"""),"Status")</f>
        <v>Status</v>
      </c>
      <c r="D957" s="190" t="str">
        <f>IFERROR(__xludf.DUMMYFUNCTION("""COMPUTED_VALUE"""),"Scene x2")</f>
        <v>Scene x2</v>
      </c>
      <c r="E957" s="190" t="str">
        <f>IFERROR(__xludf.DUMMYFUNCTION("""COMPUTED_VALUE"""),"Field, Versatile")</f>
        <v>Field, Versatile</v>
      </c>
      <c r="F957" s="190" t="str">
        <f>IFERROR(__xludf.DUMMYFUNCTION("""COMPUTED_VALUE"""),"--")</f>
        <v>--</v>
      </c>
      <c r="G957" s="190" t="str">
        <f>IFERROR(__xludf.DUMMYFUNCTION("""COMPUTED_VALUE"""),"--")</f>
        <v>--</v>
      </c>
      <c r="H957" s="191" t="str">
        <f>IFERROR(__xludf.DUMMYFUNCTION("""COMPUTED_VALUE"""),"The Field becomes Acidic for the next 5 Rounds. While the Field is Acidic, non Poison Type Enemies lose a Tick of Hit Points at the start of their Turn and Poison Type Pokemon gain a Tick of Temporary Hit Points at the start of their Turn.")</f>
        <v>The Field becomes Acidic for the next 5 Rounds. While the Field is Acidic, non Poison Type Enemies lose a Tick of Hit Points at the start of their Turn and Poison Type Pokemon gain a Tick of Temporary Hit Points at the start of their Turn.</v>
      </c>
      <c r="I957"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957" s="190" t="str">
        <f>IFERROR(__xludf.DUMMYFUNCTION("""COMPUTED_VALUE"""),"Tier 2")</f>
        <v>Tier 2</v>
      </c>
      <c r="K957" s="174" t="b">
        <f>IFERROR(__xludf.DUMMYFUNCTION("""COMPUTED_VALUE"""),TRUE)</f>
        <v>1</v>
      </c>
      <c r="L957" s="174"/>
      <c r="M957" s="174"/>
      <c r="N957" s="174"/>
      <c r="O957" s="174"/>
      <c r="P957" s="174"/>
      <c r="Q957" s="174"/>
      <c r="R957" s="174"/>
      <c r="S957" s="174"/>
      <c r="T957" s="174"/>
      <c r="U957" s="174"/>
      <c r="V957" s="174"/>
      <c r="W957" s="174"/>
      <c r="X957" s="174"/>
      <c r="Y957" s="174"/>
      <c r="Z957" s="174"/>
    </row>
    <row r="958">
      <c r="A958" s="190" t="str">
        <f>IFERROR(__xludf.DUMMYFUNCTION("""COMPUTED_VALUE"""),"Acid Spray")</f>
        <v>Acid Spray</v>
      </c>
      <c r="B958" s="190" t="str">
        <f>IFERROR(__xludf.DUMMYFUNCTION("""COMPUTED_VALUE"""),"Poison")</f>
        <v>Poison</v>
      </c>
      <c r="C958" s="190" t="str">
        <f>IFERROR(__xludf.DUMMYFUNCTION("""COMPUTED_VALUE"""),"Special")</f>
        <v>Special</v>
      </c>
      <c r="D958" s="190" t="str">
        <f>IFERROR(__xludf.DUMMYFUNCTION("""COMPUTED_VALUE"""),"EOT")</f>
        <v>EOT</v>
      </c>
      <c r="E958" s="190" t="str">
        <f>IFERROR(__xludf.DUMMYFUNCTION("""COMPUTED_VALUE"""),"4, 1 Target")</f>
        <v>4, 1 Target</v>
      </c>
      <c r="F958" s="190">
        <f>IFERROR(__xludf.DUMMYFUNCTION("""COMPUTED_VALUE"""),3.0)</f>
        <v>3</v>
      </c>
      <c r="G958" s="190">
        <f>IFERROR(__xludf.DUMMYFUNCTION("""COMPUTED_VALUE"""),4.0)</f>
        <v>4</v>
      </c>
      <c r="H958" s="191" t="str">
        <f>IFERROR(__xludf.DUMMYFUNCTION("""COMPUTED_VALUE"""),"The Target loses -2 CS in Defense or Special Defense, of your choice. ")</f>
        <v>The Target loses -2 CS in Defense or Special Defense, of your choice. </v>
      </c>
      <c r="I958" s="191" t="str">
        <f>IFERROR(__xludf.DUMMYFUNCTION("""COMPUTED_VALUE"""),"--")</f>
        <v>--</v>
      </c>
      <c r="J958" s="190" t="str">
        <f>IFERROR(__xludf.DUMMYFUNCTION("""COMPUTED_VALUE"""),"Tier 1")</f>
        <v>Tier 1</v>
      </c>
      <c r="K958" s="174" t="b">
        <f>IFERROR(__xludf.DUMMYFUNCTION("""COMPUTED_VALUE"""),TRUE)</f>
        <v>1</v>
      </c>
      <c r="L958" s="174"/>
      <c r="M958" s="174"/>
      <c r="N958" s="174"/>
      <c r="O958" s="174"/>
      <c r="P958" s="174"/>
      <c r="Q958" s="174"/>
      <c r="R958" s="174"/>
      <c r="S958" s="174"/>
      <c r="T958" s="174"/>
      <c r="U958" s="174"/>
      <c r="V958" s="174"/>
      <c r="W958" s="174"/>
      <c r="X958" s="174"/>
      <c r="Y958" s="174"/>
      <c r="Z958" s="174"/>
    </row>
    <row r="959">
      <c r="A959" s="190" t="str">
        <f>IFERROR(__xludf.DUMMYFUNCTION("""COMPUTED_VALUE"""),"Acidic Impact")</f>
        <v>Acidic Impact</v>
      </c>
      <c r="B959" s="190" t="str">
        <f>IFERROR(__xludf.DUMMYFUNCTION("""COMPUTED_VALUE"""),"Poison")</f>
        <v>Poison</v>
      </c>
      <c r="C959" s="190" t="str">
        <f>IFERROR(__xludf.DUMMYFUNCTION("""COMPUTED_VALUE"""),"Physical")</f>
        <v>Physical</v>
      </c>
      <c r="D959" s="190" t="str">
        <f>IFERROR(__xludf.DUMMYFUNCTION("""COMPUTED_VALUE"""),"Scene x2")</f>
        <v>Scene x2</v>
      </c>
      <c r="E959" s="190" t="str">
        <f>IFERROR(__xludf.DUMMYFUNCTION("""COMPUTED_VALUE"""),"Melee, Dash, Recoil 1/3")</f>
        <v>Melee, Dash, Recoil 1/3</v>
      </c>
      <c r="F959" s="190">
        <f>IFERROR(__xludf.DUMMYFUNCTION("""COMPUTED_VALUE"""),3.0)</f>
        <v>3</v>
      </c>
      <c r="G959" s="190">
        <f>IFERROR(__xludf.DUMMYFUNCTION("""COMPUTED_VALUE"""),12.0)</f>
        <v>12</v>
      </c>
      <c r="H959" s="191" t="str">
        <f>IFERROR(__xludf.DUMMYFUNCTION("""COMPUTED_VALUE"""),"If the Dash Keyword is Activated or the Target is Poisoned, this has the Smite Keyword.")</f>
        <v>If the Dash Keyword is Activated or the Target is Poisoned, this has the Smite Keyword.</v>
      </c>
      <c r="I959" s="191" t="str">
        <f>IFERROR(__xludf.DUMMYFUNCTION("""COMPUTED_VALUE"""),"--")</f>
        <v>--</v>
      </c>
      <c r="J959" s="190" t="str">
        <f>IFERROR(__xludf.DUMMYFUNCTION("""COMPUTED_VALUE"""),"Tier 3")</f>
        <v>Tier 3</v>
      </c>
      <c r="K959" s="174" t="b">
        <f>IFERROR(__xludf.DUMMYFUNCTION("""COMPUTED_VALUE"""),TRUE)</f>
        <v>1</v>
      </c>
      <c r="L959" s="174"/>
      <c r="M959" s="174"/>
      <c r="N959" s="174"/>
      <c r="O959" s="174"/>
      <c r="P959" s="174"/>
      <c r="Q959" s="174"/>
      <c r="R959" s="174"/>
      <c r="S959" s="174"/>
      <c r="T959" s="174"/>
      <c r="U959" s="174"/>
      <c r="V959" s="174"/>
      <c r="W959" s="174"/>
      <c r="X959" s="174"/>
      <c r="Y959" s="174"/>
      <c r="Z959" s="174"/>
    </row>
    <row r="960">
      <c r="A960" s="190" t="str">
        <f>IFERROR(__xludf.DUMMYFUNCTION("""COMPUTED_VALUE"""),"Assassinate")</f>
        <v>Assassinate</v>
      </c>
      <c r="B960" s="190" t="str">
        <f>IFERROR(__xludf.DUMMYFUNCTION("""COMPUTED_VALUE"""),"Poison")</f>
        <v>Poison</v>
      </c>
      <c r="C960" s="190" t="str">
        <f>IFERROR(__xludf.DUMMYFUNCTION("""COMPUTED_VALUE"""),"Physical")</f>
        <v>Physical</v>
      </c>
      <c r="D960" s="190" t="str">
        <f>IFERROR(__xludf.DUMMYFUNCTION("""COMPUTED_VALUE"""),"Scene x2")</f>
        <v>Scene x2</v>
      </c>
      <c r="E960" s="190" t="str">
        <f>IFERROR(__xludf.DUMMYFUNCTION("""COMPUTED_VALUE"""),"Melee, 1 Target")</f>
        <v>Melee, 1 Target</v>
      </c>
      <c r="F960" s="190">
        <f>IFERROR(__xludf.DUMMYFUNCTION("""COMPUTED_VALUE"""),3.0)</f>
        <v>3</v>
      </c>
      <c r="G960" s="190">
        <f>IFERROR(__xludf.DUMMYFUNCTION("""COMPUTED_VALUE"""),7.0)</f>
        <v>7</v>
      </c>
      <c r="H960" s="191" t="str">
        <f>IFERROR(__xludf.DUMMYFUNCTION("""COMPUTED_VALUE"""),"If the Target’s Hit Points are under 50% or they are Poisoned, Assassinate is automatically a Critical Hit")</f>
        <v>If the Target’s Hit Points are under 50% or they are Poisoned, Assassinate is automatically a Critical Hit</v>
      </c>
      <c r="I960" s="191" t="str">
        <f>IFERROR(__xludf.DUMMYFUNCTION("""COMPUTED_VALUE"""),"--")</f>
        <v>--</v>
      </c>
      <c r="J960" s="190" t="str">
        <f>IFERROR(__xludf.DUMMYFUNCTION("""COMPUTED_VALUE"""),"Tier 2")</f>
        <v>Tier 2</v>
      </c>
      <c r="K960" s="174" t="b">
        <f>IFERROR(__xludf.DUMMYFUNCTION("""COMPUTED_VALUE"""),TRUE)</f>
        <v>1</v>
      </c>
      <c r="L960" s="174"/>
      <c r="M960" s="174"/>
      <c r="N960" s="174"/>
      <c r="O960" s="174"/>
      <c r="P960" s="174"/>
      <c r="Q960" s="174"/>
      <c r="R960" s="174"/>
      <c r="S960" s="174"/>
      <c r="T960" s="174"/>
      <c r="U960" s="174"/>
      <c r="V960" s="174"/>
      <c r="W960" s="174"/>
      <c r="X960" s="174"/>
      <c r="Y960" s="174"/>
      <c r="Z960" s="174"/>
    </row>
    <row r="961">
      <c r="A961" s="190" t="str">
        <f>IFERROR(__xludf.DUMMYFUNCTION("""COMPUTED_VALUE"""),"Baneful Bunker")</f>
        <v>Baneful Bunker</v>
      </c>
      <c r="B961" s="190" t="str">
        <f>IFERROR(__xludf.DUMMYFUNCTION("""COMPUTED_VALUE"""),"Poison")</f>
        <v>Poison</v>
      </c>
      <c r="C961" s="190" t="str">
        <f>IFERROR(__xludf.DUMMYFUNCTION("""COMPUTED_VALUE"""),"Status")</f>
        <v>Status</v>
      </c>
      <c r="D961" s="190" t="str">
        <f>IFERROR(__xludf.DUMMYFUNCTION("""COMPUTED_VALUE"""),"Scene")</f>
        <v>Scene</v>
      </c>
      <c r="E961" s="190" t="str">
        <f>IFERROR(__xludf.DUMMYFUNCTION("""COMPUTED_VALUE"""),"Self, Shield, Trigger")</f>
        <v>Self, Shield, Trigger</v>
      </c>
      <c r="F961" s="190" t="str">
        <f>IFERROR(__xludf.DUMMYFUNCTION("""COMPUTED_VALUE"""),"--")</f>
        <v>--</v>
      </c>
      <c r="G961" s="190" t="str">
        <f>IFERROR(__xludf.DUMMYFUNCTION("""COMPUTED_VALUE"""),"--")</f>
        <v>--</v>
      </c>
      <c r="H961" s="191" t="str">
        <f>IFERROR(__xludf.DUMMYFUNCTION("""COMPUTED_VALUE"""),"If the user is hit by an attack, the user may use Baneful Bunker as a Standard Action + Reaction. The user is instead not hit by the Attack. You do not take any damage nor are you affected by any of the Attack’s effects. In addition, if the triggering att"&amp;"ack was Melee, the attacker is Poisoned. ")</f>
        <v>If the user is hit by an attack, the user may use Baneful Bunker as a Standard Action + Reaction. The user is instead not hit by the Attack. You do not take any damage nor are you affected by any of the Attack’s effects. In addition, if the triggering attack was Melee, the attacker is Poisoned. </v>
      </c>
      <c r="I961" s="191" t="str">
        <f>IFERROR(__xludf.DUMMYFUNCTION("""COMPUTED_VALUE"""),"--")</f>
        <v>--</v>
      </c>
      <c r="J961" s="190" t="str">
        <f>IFERROR(__xludf.DUMMYFUNCTION("""COMPUTED_VALUE"""),"Tier 3")</f>
        <v>Tier 3</v>
      </c>
      <c r="K961" s="174" t="b">
        <f>IFERROR(__xludf.DUMMYFUNCTION("""COMPUTED_VALUE"""),FALSE)</f>
        <v>0</v>
      </c>
      <c r="L961" s="174"/>
      <c r="M961" s="174"/>
      <c r="N961" s="174"/>
      <c r="O961" s="174"/>
      <c r="P961" s="174"/>
      <c r="Q961" s="174"/>
      <c r="R961" s="174"/>
      <c r="S961" s="174"/>
      <c r="T961" s="174"/>
      <c r="U961" s="174"/>
      <c r="V961" s="174"/>
      <c r="W961" s="174"/>
      <c r="X961" s="174"/>
      <c r="Y961" s="174"/>
      <c r="Z961" s="174"/>
    </row>
    <row r="962">
      <c r="A962" s="190" t="str">
        <f>IFERROR(__xludf.DUMMYFUNCTION("""COMPUTED_VALUE"""),"Barb Barrage")</f>
        <v>Barb Barrage</v>
      </c>
      <c r="B962" s="190" t="str">
        <f>IFERROR(__xludf.DUMMYFUNCTION("""COMPUTED_VALUE"""),"Poison")</f>
        <v>Poison</v>
      </c>
      <c r="C962" s="190" t="str">
        <f>IFERROR(__xludf.DUMMYFUNCTION("""COMPUTED_VALUE"""),"Physical")</f>
        <v>Physical</v>
      </c>
      <c r="D962" s="190" t="str">
        <f>IFERROR(__xludf.DUMMYFUNCTION("""COMPUTED_VALUE"""),"Scene x2")</f>
        <v>Scene x2</v>
      </c>
      <c r="E962" s="190" t="str">
        <f>IFERROR(__xludf.DUMMYFUNCTION("""COMPUTED_VALUE"""),"6, 1 Target or Burst 1")</f>
        <v>6, 1 Target or Burst 1</v>
      </c>
      <c r="F962" s="190">
        <f>IFERROR(__xludf.DUMMYFUNCTION("""COMPUTED_VALUE"""),6.0)</f>
        <v>6</v>
      </c>
      <c r="G962" s="190">
        <f>IFERROR(__xludf.DUMMYFUNCTION("""COMPUTED_VALUE"""),4.0)</f>
        <v>4</v>
      </c>
      <c r="H962" s="191" t="str">
        <f>IFERROR(__xludf.DUMMYFUNCTION("""COMPUTED_VALUE"""),"If Barb Barrage hits at least 3 times, the Target becomes Poisoned. Five Strike")</f>
        <v>If Barb Barrage hits at least 3 times, the Target becomes Poisoned. Five Strike</v>
      </c>
      <c r="I962" s="191" t="str">
        <f>IFERROR(__xludf.DUMMYFUNCTION("""COMPUTED_VALUE"""),"--")</f>
        <v>--</v>
      </c>
      <c r="J962" s="190" t="str">
        <f>IFERROR(__xludf.DUMMYFUNCTION("""COMPUTED_VALUE"""),"Tier 2")</f>
        <v>Tier 2</v>
      </c>
      <c r="K962" s="174" t="b">
        <f>IFERROR(__xludf.DUMMYFUNCTION("""COMPUTED_VALUE"""),TRUE)</f>
        <v>1</v>
      </c>
      <c r="L962" s="174"/>
      <c r="M962" s="174"/>
      <c r="N962" s="174"/>
      <c r="O962" s="174"/>
      <c r="P962" s="174"/>
      <c r="Q962" s="174"/>
      <c r="R962" s="174"/>
      <c r="S962" s="174"/>
      <c r="T962" s="174"/>
      <c r="U962" s="174"/>
      <c r="V962" s="174"/>
      <c r="W962" s="174"/>
      <c r="X962" s="174"/>
      <c r="Y962" s="174"/>
      <c r="Z962" s="174"/>
    </row>
    <row r="963">
      <c r="A963" s="190" t="str">
        <f>IFERROR(__xludf.DUMMYFUNCTION("""COMPUTED_VALUE"""),"Belch")</f>
        <v>Belch</v>
      </c>
      <c r="B963" s="190" t="str">
        <f>IFERROR(__xludf.DUMMYFUNCTION("""COMPUTED_VALUE"""),"Poison")</f>
        <v>Poison</v>
      </c>
      <c r="C963" s="190" t="str">
        <f>IFERROR(__xludf.DUMMYFUNCTION("""COMPUTED_VALUE"""),"Special")</f>
        <v>Special</v>
      </c>
      <c r="D963" s="190" t="str">
        <f>IFERROR(__xludf.DUMMYFUNCTION("""COMPUTED_VALUE"""),"Scene x2")</f>
        <v>Scene x2</v>
      </c>
      <c r="E963" s="190" t="str">
        <f>IFERROR(__xludf.DUMMYFUNCTION("""COMPUTED_VALUE"""),"Close Blast 2, Full Action")</f>
        <v>Close Blast 2, Full Action</v>
      </c>
      <c r="F963" s="190">
        <f>IFERROR(__xludf.DUMMYFUNCTION("""COMPUTED_VALUE"""),6.0)</f>
        <v>6</v>
      </c>
      <c r="G963" s="190">
        <f>IFERROR(__xludf.DUMMYFUNCTION("""COMPUTED_VALUE"""),10.0)</f>
        <v>10</v>
      </c>
      <c r="H963" s="191" t="str">
        <f>IFERROR(__xludf.DUMMYFUNCTION("""COMPUTED_VALUE"""),"If the user was affected by a Consumable Item this Scene, Belch has the Sureshot Keyword. Smite")</f>
        <v>If the user was affected by a Consumable Item this Scene, Belch has the Sureshot Keyword. Smite</v>
      </c>
      <c r="I963" s="191" t="str">
        <f>IFERROR(__xludf.DUMMYFUNCTION("""COMPUTED_VALUE"""),"--")</f>
        <v>--</v>
      </c>
      <c r="J963" s="190" t="str">
        <f>IFERROR(__xludf.DUMMYFUNCTION("""COMPUTED_VALUE"""),"Tier 3")</f>
        <v>Tier 3</v>
      </c>
      <c r="K963" s="174" t="b">
        <f>IFERROR(__xludf.DUMMYFUNCTION("""COMPUTED_VALUE"""),FALSE)</f>
        <v>0</v>
      </c>
      <c r="L963" s="174"/>
      <c r="M963" s="174"/>
      <c r="N963" s="174"/>
      <c r="O963" s="174"/>
      <c r="P963" s="174"/>
      <c r="Q963" s="174"/>
      <c r="R963" s="174"/>
      <c r="S963" s="174"/>
      <c r="T963" s="174"/>
      <c r="U963" s="174"/>
      <c r="V963" s="174"/>
      <c r="W963" s="174"/>
      <c r="X963" s="174"/>
      <c r="Y963" s="174"/>
      <c r="Z963" s="174"/>
    </row>
    <row r="964">
      <c r="A964" s="190" t="str">
        <f>IFERROR(__xludf.DUMMYFUNCTION("""COMPUTED_VALUE"""),"Blighted Touch")</f>
        <v>Blighted Touch</v>
      </c>
      <c r="B964" s="190" t="str">
        <f>IFERROR(__xludf.DUMMYFUNCTION("""COMPUTED_VALUE"""),"Poison")</f>
        <v>Poison</v>
      </c>
      <c r="C964" s="190" t="str">
        <f>IFERROR(__xludf.DUMMYFUNCTION("""COMPUTED_VALUE"""),"Status")</f>
        <v>Status</v>
      </c>
      <c r="D964" s="190" t="str">
        <f>IFERROR(__xludf.DUMMYFUNCTION("""COMPUTED_VALUE"""),"Scene x2")</f>
        <v>Scene x2</v>
      </c>
      <c r="E964" s="190" t="str">
        <f>IFERROR(__xludf.DUMMYFUNCTION("""COMPUTED_VALUE"""),"Melee, 1 Target, Versatile")</f>
        <v>Melee, 1 Target, Versatile</v>
      </c>
      <c r="F964" s="190">
        <f>IFERROR(__xludf.DUMMYFUNCTION("""COMPUTED_VALUE"""),3.0)</f>
        <v>3</v>
      </c>
      <c r="G964" s="190" t="str">
        <f>IFERROR(__xludf.DUMMYFUNCTION("""COMPUTED_VALUE"""),"--")</f>
        <v>--</v>
      </c>
      <c r="H964" s="191" t="str">
        <f>IFERROR(__xludf.DUMMYFUNCTION("""COMPUTED_VALUE"""),"The Target becomes Poisoned. If the Target is already Poisoned you may instead inflict Cursed, Paralyzed or Weakened. If Weakened is chosen it lasts until the end of the Round.")</f>
        <v>The Target becomes Poisoned. If the Target is already Poisoned you may instead inflict Cursed, Paralyzed or Weakened. If Weakened is chosen it lasts until the end of the Round.</v>
      </c>
      <c r="I964" s="191" t="str">
        <f>IFERROR(__xludf.DUMMYFUNCTION("""COMPUTED_VALUE"""),"The Target becomes Poisoned. ")</f>
        <v>The Target becomes Poisoned. </v>
      </c>
      <c r="J964" s="190" t="str">
        <f>IFERROR(__xludf.DUMMYFUNCTION("""COMPUTED_VALUE"""),"Tier 2")</f>
        <v>Tier 2</v>
      </c>
      <c r="K964" s="174" t="b">
        <f>IFERROR(__xludf.DUMMYFUNCTION("""COMPUTED_VALUE"""),TRUE)</f>
        <v>1</v>
      </c>
      <c r="L964" s="174"/>
      <c r="M964" s="174"/>
      <c r="N964" s="174"/>
      <c r="O964" s="174"/>
      <c r="P964" s="174"/>
      <c r="Q964" s="174"/>
      <c r="R964" s="174"/>
      <c r="S964" s="174"/>
      <c r="T964" s="174"/>
      <c r="U964" s="174"/>
      <c r="V964" s="174"/>
      <c r="W964" s="174"/>
      <c r="X964" s="174"/>
      <c r="Y964" s="174"/>
      <c r="Z964" s="174"/>
    </row>
    <row r="965">
      <c r="A965" s="190" t="str">
        <f>IFERROR(__xludf.DUMMYFUNCTION("""COMPUTED_VALUE"""),"Clear Smog")</f>
        <v>Clear Smog</v>
      </c>
      <c r="B965" s="190" t="str">
        <f>IFERROR(__xludf.DUMMYFUNCTION("""COMPUTED_VALUE"""),"Poison")</f>
        <v>Poison</v>
      </c>
      <c r="C965" s="190" t="str">
        <f>IFERROR(__xludf.DUMMYFUNCTION("""COMPUTED_VALUE"""),"Special")</f>
        <v>Special</v>
      </c>
      <c r="D965" s="190" t="str">
        <f>IFERROR(__xludf.DUMMYFUNCTION("""COMPUTED_VALUE"""),"Scene x2")</f>
        <v>Scene x2</v>
      </c>
      <c r="E965" s="190" t="str">
        <f>IFERROR(__xludf.DUMMYFUNCTION("""COMPUTED_VALUE"""),"Close Blast 2")</f>
        <v>Close Blast 2</v>
      </c>
      <c r="F965" s="190">
        <f>IFERROR(__xludf.DUMMYFUNCTION("""COMPUTED_VALUE"""),5.0)</f>
        <v>5</v>
      </c>
      <c r="G965" s="190">
        <f>IFERROR(__xludf.DUMMYFUNCTION("""COMPUTED_VALUE"""),4.0)</f>
        <v>4</v>
      </c>
      <c r="H965" s="191" t="str">
        <f>IFERROR(__xludf.DUMMYFUNCTION("""COMPUTED_VALUE"""),"All Targets have one of their Coats removed of your choice. On a 15+, if this hits, the Target has the CS for all of their Stats set to their Default Value. Spirit Surge")</f>
        <v>All Targets have one of their Coats removed of your choice. On a 15+, if this hits, the Target has the CS for all of their Stats set to their Default Value. Spirit Surge</v>
      </c>
      <c r="I965" s="191" t="str">
        <f>IFERROR(__xludf.DUMMYFUNCTION("""COMPUTED_VALUE"""),"--")</f>
        <v>--</v>
      </c>
      <c r="J965" s="190" t="str">
        <f>IFERROR(__xludf.DUMMYFUNCTION("""COMPUTED_VALUE"""),"Tier 2")</f>
        <v>Tier 2</v>
      </c>
      <c r="K965" s="174" t="b">
        <f>IFERROR(__xludf.DUMMYFUNCTION("""COMPUTED_VALUE"""),TRUE)</f>
        <v>1</v>
      </c>
      <c r="L965" s="174"/>
      <c r="M965" s="174"/>
      <c r="N965" s="174"/>
      <c r="O965" s="174"/>
      <c r="P965" s="174"/>
      <c r="Q965" s="174"/>
      <c r="R965" s="174"/>
      <c r="S965" s="174"/>
      <c r="T965" s="174"/>
      <c r="U965" s="174"/>
      <c r="V965" s="174"/>
      <c r="W965" s="174"/>
      <c r="X965" s="174"/>
      <c r="Y965" s="174"/>
      <c r="Z965" s="174"/>
    </row>
    <row r="966">
      <c r="A966" s="190" t="str">
        <f>IFERROR(__xludf.DUMMYFUNCTION("""COMPUTED_VALUE"""),"Coil")</f>
        <v>Coil</v>
      </c>
      <c r="B966" s="190" t="str">
        <f>IFERROR(__xludf.DUMMYFUNCTION("""COMPUTED_VALUE"""),"Poison")</f>
        <v>Poison</v>
      </c>
      <c r="C966" s="190" t="str">
        <f>IFERROR(__xludf.DUMMYFUNCTION("""COMPUTED_VALUE"""),"Status")</f>
        <v>Status</v>
      </c>
      <c r="D966" s="190" t="str">
        <f>IFERROR(__xludf.DUMMYFUNCTION("""COMPUTED_VALUE"""),"Scene x2")</f>
        <v>Scene x2</v>
      </c>
      <c r="E966" s="190" t="str">
        <f>IFERROR(__xludf.DUMMYFUNCTION("""COMPUTED_VALUE"""),"Self, Coat, Versatile")</f>
        <v>Self, Coat, Versatile</v>
      </c>
      <c r="F966" s="190" t="str">
        <f>IFERROR(__xludf.DUMMYFUNCTION("""COMPUTED_VALUE"""),"--")</f>
        <v>--</v>
      </c>
      <c r="G966" s="190" t="str">
        <f>IFERROR(__xludf.DUMMYFUNCTION("""COMPUTED_VALUE"""),"--")</f>
        <v>--</v>
      </c>
      <c r="H966" s="191" t="str">
        <f>IFERROR(__xludf.DUMMYFUNCTION("""COMPUTED_VALUE"""),"The user gains the Coiled Coat. While a Combatant has a Coiled Coat, they are Slowed and resist Physical Attacks by an additional Damage Step. The user may expend the Coiled Coat when using a Melee Attack to give it the Sureshot Keyword. Each time the use"&amp;"r is hit by an Attack, they must make a TN 8 Save Check or else the Coiled Coat becomes expended.")</f>
        <v>The user gains the Coiled Coat. While a Combatant has a Coiled Coat, they are Slowed and resist Physical Attacks by an additional Damage Step. The user may expend the Coiled Coat when using a Melee Attack to give it the Sureshot Keyword. Each time the user is hit by an Attack, they must make a TN 8 Save Check or else the Coiled Coat becomes expended.</v>
      </c>
      <c r="I966" s="191" t="str">
        <f>IFERROR(__xludf.DUMMYFUNCTION("""COMPUTED_VALUE"""),"The user gains the Coiled Coat and cannot expend it through a Melee Attack. At the start of your next Turn, the Coat is expended.")</f>
        <v>The user gains the Coiled Coat and cannot expend it through a Melee Attack. At the start of your next Turn, the Coat is expended.</v>
      </c>
      <c r="J966" s="190" t="str">
        <f>IFERROR(__xludf.DUMMYFUNCTION("""COMPUTED_VALUE"""),"Tier 2")</f>
        <v>Tier 2</v>
      </c>
      <c r="K966" s="174" t="b">
        <f>IFERROR(__xludf.DUMMYFUNCTION("""COMPUTED_VALUE"""),TRUE)</f>
        <v>1</v>
      </c>
      <c r="L966" s="174"/>
      <c r="M966" s="174"/>
      <c r="N966" s="174"/>
      <c r="O966" s="174"/>
      <c r="P966" s="174"/>
      <c r="Q966" s="174"/>
      <c r="R966" s="174"/>
      <c r="S966" s="174"/>
      <c r="T966" s="174"/>
      <c r="U966" s="174"/>
      <c r="V966" s="174"/>
      <c r="W966" s="174"/>
      <c r="X966" s="174"/>
      <c r="Y966" s="174"/>
      <c r="Z966" s="174"/>
    </row>
    <row r="967">
      <c r="A967" s="190" t="str">
        <f>IFERROR(__xludf.DUMMYFUNCTION("""COMPUTED_VALUE"""),"Corrosive Gas")</f>
        <v>Corrosive Gas</v>
      </c>
      <c r="B967" s="190" t="str">
        <f>IFERROR(__xludf.DUMMYFUNCTION("""COMPUTED_VALUE"""),"Poison")</f>
        <v>Poison</v>
      </c>
      <c r="C967" s="190" t="str">
        <f>IFERROR(__xludf.DUMMYFUNCTION("""COMPUTED_VALUE"""),"Status")</f>
        <v>Status</v>
      </c>
      <c r="D967" s="190" t="str">
        <f>IFERROR(__xludf.DUMMYFUNCTION("""COMPUTED_VALUE"""),"Scene x2")</f>
        <v>Scene x2</v>
      </c>
      <c r="E967" s="190" t="str">
        <f>IFERROR(__xludf.DUMMYFUNCTION("""COMPUTED_VALUE"""),"Burst 2 or Close Blast 2; Coat, Versatile")</f>
        <v>Burst 2 or Close Blast 2; Coat, Versatile</v>
      </c>
      <c r="F967" s="190">
        <f>IFERROR(__xludf.DUMMYFUNCTION("""COMPUTED_VALUE"""),4.0)</f>
        <v>4</v>
      </c>
      <c r="G967" s="190" t="str">
        <f>IFERROR(__xludf.DUMMYFUNCTION("""COMPUTED_VALUE"""),"--")</f>
        <v>--</v>
      </c>
      <c r="H967" s="191" t="str">
        <f>IFERROR(__xludf.DUMMYFUNCTION("""COMPUTED_VALUE"""),"All Targets gain a Corrosion Coat. If a Combatant with the Corrosion Coat would be Immune or Resist Poison Type Attacks, it is treated as Neutral Effectiveness again. Combatants with the Corrosion Coat are no longer Immune to the Poisoned Affliction if th"&amp;"ey would be. When a Combatant with a Corrosion Coat ends their Turn, they lose -2 CS in Defense.")</f>
        <v>All Targets gain a Corrosion Coat. If a Combatant with the Corrosion Coat would be Immune or Resist Poison Type Attacks, it is treated as Neutral Effectiveness again. Combatants with the Corrosion Coat are no longer Immune to the Poisoned Affliction if they would be. When a Combatant with a Corrosion Coat ends their Turn, they lose -2 CS in Defense.</v>
      </c>
      <c r="I967" s="191" t="str">
        <f>IFERROR(__xludf.DUMMYFUNCTION("""COMPUTED_VALUE"""),"The Target loses -2 CS in Defense or Special Defense.  ")</f>
        <v>The Target loses -2 CS in Defense or Special Defense.  </v>
      </c>
      <c r="J967" s="190" t="str">
        <f>IFERROR(__xludf.DUMMYFUNCTION("""COMPUTED_VALUE"""),"Tier 2")</f>
        <v>Tier 2</v>
      </c>
      <c r="K967" s="174" t="b">
        <f>IFERROR(__xludf.DUMMYFUNCTION("""COMPUTED_VALUE"""),TRUE)</f>
        <v>1</v>
      </c>
      <c r="L967" s="174"/>
      <c r="M967" s="174"/>
      <c r="N967" s="174"/>
      <c r="O967" s="174"/>
      <c r="P967" s="174"/>
      <c r="Q967" s="174"/>
      <c r="R967" s="174"/>
      <c r="S967" s="174"/>
      <c r="T967" s="174"/>
      <c r="U967" s="174"/>
      <c r="V967" s="174"/>
      <c r="W967" s="174"/>
      <c r="X967" s="174"/>
      <c r="Y967" s="174"/>
      <c r="Z967" s="174"/>
    </row>
    <row r="968">
      <c r="A968" s="190" t="str">
        <f>IFERROR(__xludf.DUMMYFUNCTION("""COMPUTED_VALUE"""),"Cross Poison")</f>
        <v>Cross Poison</v>
      </c>
      <c r="B968" s="190" t="str">
        <f>IFERROR(__xludf.DUMMYFUNCTION("""COMPUTED_VALUE"""),"Poison")</f>
        <v>Poison</v>
      </c>
      <c r="C968" s="190" t="str">
        <f>IFERROR(__xludf.DUMMYFUNCTION("""COMPUTED_VALUE"""),"Physical")</f>
        <v>Physical</v>
      </c>
      <c r="D968" s="190" t="str">
        <f>IFERROR(__xludf.DUMMYFUNCTION("""COMPUTED_VALUE"""),"EOT")</f>
        <v>EOT</v>
      </c>
      <c r="E968" s="190" t="str">
        <f>IFERROR(__xludf.DUMMYFUNCTION("""COMPUTED_VALUE"""),"Melee, Pass")</f>
        <v>Melee, Pass</v>
      </c>
      <c r="F968" s="190">
        <f>IFERROR(__xludf.DUMMYFUNCTION("""COMPUTED_VALUE"""),5.0)</f>
        <v>5</v>
      </c>
      <c r="G968" s="190">
        <f>IFERROR(__xludf.DUMMYFUNCTION("""COMPUTED_VALUE"""),7.0)</f>
        <v>7</v>
      </c>
      <c r="H968" s="191" t="str">
        <f>IFERROR(__xludf.DUMMYFUNCTION("""COMPUTED_VALUE"""),"Cross Poison Inflicts Wounded on a roll of 17+. If they're already Wounded they instead become Poisoned.")</f>
        <v>Cross Poison Inflicts Wounded on a roll of 17+. If they're already Wounded they instead become Poisoned.</v>
      </c>
      <c r="I968" s="191" t="str">
        <f>IFERROR(__xludf.DUMMYFUNCTION("""COMPUTED_VALUE"""),"--")</f>
        <v>--</v>
      </c>
      <c r="J968" s="190" t="str">
        <f>IFERROR(__xludf.DUMMYFUNCTION("""COMPUTED_VALUE"""),"Tier 1")</f>
        <v>Tier 1</v>
      </c>
      <c r="K968" s="174" t="b">
        <f>IFERROR(__xludf.DUMMYFUNCTION("""COMPUTED_VALUE"""),TRUE)</f>
        <v>1</v>
      </c>
      <c r="L968" s="174"/>
      <c r="M968" s="174"/>
      <c r="N968" s="174"/>
      <c r="O968" s="174"/>
      <c r="P968" s="174"/>
      <c r="Q968" s="174"/>
      <c r="R968" s="174"/>
      <c r="S968" s="174"/>
      <c r="T968" s="174"/>
      <c r="U968" s="174"/>
      <c r="V968" s="174"/>
      <c r="W968" s="174"/>
      <c r="X968" s="174"/>
      <c r="Y968" s="174"/>
      <c r="Z968" s="174"/>
    </row>
    <row r="969">
      <c r="A969" s="190" t="str">
        <f>IFERROR(__xludf.DUMMYFUNCTION("""COMPUTED_VALUE"""),"Dire Claw")</f>
        <v>Dire Claw</v>
      </c>
      <c r="B969" s="190" t="str">
        <f>IFERROR(__xludf.DUMMYFUNCTION("""COMPUTED_VALUE"""),"Poison")</f>
        <v>Poison</v>
      </c>
      <c r="C969" s="190" t="str">
        <f>IFERROR(__xludf.DUMMYFUNCTION("""COMPUTED_VALUE"""),"Physical")</f>
        <v>Physical</v>
      </c>
      <c r="D969" s="190" t="str">
        <f>IFERROR(__xludf.DUMMYFUNCTION("""COMPUTED_VALUE"""),"EOT")</f>
        <v>EOT</v>
      </c>
      <c r="E969" s="190" t="str">
        <f>IFERROR(__xludf.DUMMYFUNCTION("""COMPUTED_VALUE"""),"Melee, Pass")</f>
        <v>Melee, Pass</v>
      </c>
      <c r="F969" s="190">
        <f>IFERROR(__xludf.DUMMYFUNCTION("""COMPUTED_VALUE"""),6.0)</f>
        <v>6</v>
      </c>
      <c r="G969" s="190">
        <f>IFERROR(__xludf.DUMMYFUNCTION("""COMPUTED_VALUE"""),8.0)</f>
        <v>8</v>
      </c>
      <c r="H969" s="191" t="str">
        <f>IFERROR(__xludf.DUMMYFUNCTION("""COMPUTED_VALUE"""),"Dire Claw gives the Target a Status Affliction on a roll of 17+. If this effect is triggered, roll 1d3; on a 1 the Target is Paralyzed; on a 2 the Target is Poisoned; on a 3 the Target becomes Wounded.")</f>
        <v>Dire Claw gives the Target a Status Affliction on a roll of 17+. If this effect is triggered, roll 1d3; on a 1 the Target is Paralyzed; on a 2 the Target is Poisoned; on a 3 the Target becomes Wounded.</v>
      </c>
      <c r="I969" s="191" t="str">
        <f>IFERROR(__xludf.DUMMYFUNCTION("""COMPUTED_VALUE"""),"--")</f>
        <v>--</v>
      </c>
      <c r="J969" s="190" t="str">
        <f>IFERROR(__xludf.DUMMYFUNCTION("""COMPUTED_VALUE"""),"Tier 2")</f>
        <v>Tier 2</v>
      </c>
      <c r="K969" s="174" t="b">
        <f>IFERROR(__xludf.DUMMYFUNCTION("""COMPUTED_VALUE"""),TRUE)</f>
        <v>1</v>
      </c>
      <c r="L969" s="174"/>
      <c r="M969" s="174"/>
      <c r="N969" s="174"/>
      <c r="O969" s="174"/>
      <c r="P969" s="174"/>
      <c r="Q969" s="174"/>
      <c r="R969" s="174"/>
      <c r="S969" s="174"/>
      <c r="T969" s="174"/>
      <c r="U969" s="174"/>
      <c r="V969" s="174"/>
      <c r="W969" s="174"/>
      <c r="X969" s="174"/>
      <c r="Y969" s="174"/>
      <c r="Z969" s="174"/>
    </row>
    <row r="970">
      <c r="A970" s="190" t="str">
        <f>IFERROR(__xludf.DUMMYFUNCTION("""COMPUTED_VALUE"""),"Gastro Acid")</f>
        <v>Gastro Acid</v>
      </c>
      <c r="B970" s="190" t="str">
        <f>IFERROR(__xludf.DUMMYFUNCTION("""COMPUTED_VALUE"""),"Poison")</f>
        <v>Poison</v>
      </c>
      <c r="C970" s="190" t="str">
        <f>IFERROR(__xludf.DUMMYFUNCTION("""COMPUTED_VALUE"""),"Status")</f>
        <v>Status</v>
      </c>
      <c r="D970" s="190" t="str">
        <f>IFERROR(__xludf.DUMMYFUNCTION("""COMPUTED_VALUE"""),"Scene x2")</f>
        <v>Scene x2</v>
      </c>
      <c r="E970" s="190" t="str">
        <f>IFERROR(__xludf.DUMMYFUNCTION("""COMPUTED_VALUE"""),"4. 1 Target")</f>
        <v>4. 1 Target</v>
      </c>
      <c r="F970" s="190" t="str">
        <f>IFERROR(__xludf.DUMMYFUNCTION("""COMPUTED_VALUE"""),"--")</f>
        <v>--</v>
      </c>
      <c r="G970" s="190" t="str">
        <f>IFERROR(__xludf.DUMMYFUNCTION("""COMPUTED_VALUE"""),"--")</f>
        <v>--</v>
      </c>
      <c r="H970" s="191" t="str">
        <f>IFERROR(__xludf.DUMMYFUNCTION("""COMPUTED_VALUE"""),"Choose an Ability on the Target to become Disabled. (The GM reveals the options) Sureshot.")</f>
        <v>Choose an Ability on the Target to become Disabled. (The GM reveals the options) Sureshot.</v>
      </c>
      <c r="I970" s="191" t="str">
        <f>IFERROR(__xludf.DUMMYFUNCTION("""COMPUTED_VALUE"""),"The Target has a random Ability disabled until the end of your next Turn. Sureshot.")</f>
        <v>The Target has a random Ability disabled until the end of your next Turn. Sureshot.</v>
      </c>
      <c r="J970" s="190" t="str">
        <f>IFERROR(__xludf.DUMMYFUNCTION("""COMPUTED_VALUE"""),"Tier 2")</f>
        <v>Tier 2</v>
      </c>
      <c r="K970" s="174" t="b">
        <f>IFERROR(__xludf.DUMMYFUNCTION("""COMPUTED_VALUE"""),TRUE)</f>
        <v>1</v>
      </c>
      <c r="L970" s="174"/>
      <c r="M970" s="174"/>
      <c r="N970" s="174"/>
      <c r="O970" s="174"/>
      <c r="P970" s="174"/>
      <c r="Q970" s="174"/>
      <c r="R970" s="174"/>
      <c r="S970" s="174"/>
      <c r="T970" s="174"/>
      <c r="U970" s="174"/>
      <c r="V970" s="174"/>
      <c r="W970" s="174"/>
      <c r="X970" s="174"/>
      <c r="Y970" s="174"/>
      <c r="Z970" s="174"/>
    </row>
    <row r="971">
      <c r="A971" s="190" t="str">
        <f>IFERROR(__xludf.DUMMYFUNCTION("""COMPUTED_VALUE"""),"Gunk Shot")</f>
        <v>Gunk Shot</v>
      </c>
      <c r="B971" s="190" t="str">
        <f>IFERROR(__xludf.DUMMYFUNCTION("""COMPUTED_VALUE"""),"Poison")</f>
        <v>Poison</v>
      </c>
      <c r="C971" s="190" t="str">
        <f>IFERROR(__xludf.DUMMYFUNCTION("""COMPUTED_VALUE"""),"Physical")</f>
        <v>Physical</v>
      </c>
      <c r="D971" s="190" t="str">
        <f>IFERROR(__xludf.DUMMYFUNCTION("""COMPUTED_VALUE"""),"Scene x2")</f>
        <v>Scene x2</v>
      </c>
      <c r="E971" s="190" t="str">
        <f>IFERROR(__xludf.DUMMYFUNCTION("""COMPUTED_VALUE"""),"6, Ranged Blast 2")</f>
        <v>6, Ranged Blast 2</v>
      </c>
      <c r="F971" s="190">
        <f>IFERROR(__xludf.DUMMYFUNCTION("""COMPUTED_VALUE"""),6.0)</f>
        <v>6</v>
      </c>
      <c r="G971" s="190">
        <f>IFERROR(__xludf.DUMMYFUNCTION("""COMPUTED_VALUE"""),10.0)</f>
        <v>10</v>
      </c>
      <c r="H971" s="191" t="str">
        <f>IFERROR(__xludf.DUMMYFUNCTION("""COMPUTED_VALUE"""),"On a roll of 15+, the Target becomes Poisoned. Smite")</f>
        <v>On a roll of 15+, the Target becomes Poisoned. Smite</v>
      </c>
      <c r="I971" s="191" t="str">
        <f>IFERROR(__xludf.DUMMYFUNCTION("""COMPUTED_VALUE"""),"--")</f>
        <v>--</v>
      </c>
      <c r="J971" s="190" t="str">
        <f>IFERROR(__xludf.DUMMYFUNCTION("""COMPUTED_VALUE"""),"Tier 3")</f>
        <v>Tier 3</v>
      </c>
      <c r="K971" s="174" t="b">
        <f>IFERROR(__xludf.DUMMYFUNCTION("""COMPUTED_VALUE"""),TRUE)</f>
        <v>1</v>
      </c>
      <c r="L971" s="174"/>
      <c r="M971" s="174"/>
      <c r="N971" s="174"/>
      <c r="O971" s="174"/>
      <c r="P971" s="174"/>
      <c r="Q971" s="174"/>
      <c r="R971" s="174"/>
      <c r="S971" s="174"/>
      <c r="T971" s="174"/>
      <c r="U971" s="174"/>
      <c r="V971" s="174"/>
      <c r="W971" s="174"/>
      <c r="X971" s="174"/>
      <c r="Y971" s="174"/>
      <c r="Z971" s="174"/>
    </row>
    <row r="972">
      <c r="A972" s="190" t="str">
        <f>IFERROR(__xludf.DUMMYFUNCTION("""COMPUTED_VALUE"""),"Noxious Gas")</f>
        <v>Noxious Gas</v>
      </c>
      <c r="B972" s="190" t="str">
        <f>IFERROR(__xludf.DUMMYFUNCTION("""COMPUTED_VALUE"""),"Poison")</f>
        <v>Poison</v>
      </c>
      <c r="C972" s="190" t="str">
        <f>IFERROR(__xludf.DUMMYFUNCTION("""COMPUTED_VALUE"""),"Special")</f>
        <v>Special</v>
      </c>
      <c r="D972" s="190" t="str">
        <f>IFERROR(__xludf.DUMMYFUNCTION("""COMPUTED_VALUE"""),"EOT")</f>
        <v>EOT</v>
      </c>
      <c r="E972" s="190" t="str">
        <f>IFERROR(__xludf.DUMMYFUNCTION("""COMPUTED_VALUE"""),"Close Blast 2")</f>
        <v>Close Blast 2</v>
      </c>
      <c r="F972" s="190">
        <f>IFERROR(__xludf.DUMMYFUNCTION("""COMPUTED_VALUE"""),5.0)</f>
        <v>5</v>
      </c>
      <c r="G972" s="190">
        <f>IFERROR(__xludf.DUMMYFUNCTION("""COMPUTED_VALUE"""),5.0)</f>
        <v>5</v>
      </c>
      <c r="H972" s="191" t="str">
        <f>IFERROR(__xludf.DUMMYFUNCTION("""COMPUTED_VALUE"""),"All Target have a -2 Accuracy Penalty until the end of their next Turn. Spirit Surge.")</f>
        <v>All Target have a -2 Accuracy Penalty until the end of their next Turn. Spirit Surge.</v>
      </c>
      <c r="I972" s="191" t="str">
        <f>IFERROR(__xludf.DUMMYFUNCTION("""COMPUTED_VALUE"""),"--")</f>
        <v>--</v>
      </c>
      <c r="J972" s="190" t="str">
        <f>IFERROR(__xludf.DUMMYFUNCTION("""COMPUTED_VALUE"""),"Tier 1")</f>
        <v>Tier 1</v>
      </c>
      <c r="K972" s="174" t="b">
        <f>IFERROR(__xludf.DUMMYFUNCTION("""COMPUTED_VALUE"""),TRUE)</f>
        <v>1</v>
      </c>
      <c r="L972" s="174"/>
      <c r="M972" s="174"/>
      <c r="N972" s="174"/>
      <c r="O972" s="174"/>
      <c r="P972" s="174"/>
      <c r="Q972" s="174"/>
      <c r="R972" s="174"/>
      <c r="S972" s="174"/>
      <c r="T972" s="174"/>
      <c r="U972" s="174"/>
      <c r="V972" s="174"/>
      <c r="W972" s="174"/>
      <c r="X972" s="174"/>
      <c r="Y972" s="174"/>
      <c r="Z972" s="174"/>
    </row>
    <row r="973">
      <c r="A973" s="190" t="str">
        <f>IFERROR(__xludf.DUMMYFUNCTION("""COMPUTED_VALUE"""),"Numbing Venom")</f>
        <v>Numbing Venom</v>
      </c>
      <c r="B973" s="190" t="str">
        <f>IFERROR(__xludf.DUMMYFUNCTION("""COMPUTED_VALUE"""),"Poison")</f>
        <v>Poison</v>
      </c>
      <c r="C973" s="190" t="str">
        <f>IFERROR(__xludf.DUMMYFUNCTION("""COMPUTED_VALUE"""),"Special")</f>
        <v>Special</v>
      </c>
      <c r="D973" s="190" t="str">
        <f>IFERROR(__xludf.DUMMYFUNCTION("""COMPUTED_VALUE"""),"EOT")</f>
        <v>EOT</v>
      </c>
      <c r="E973" s="190" t="str">
        <f>IFERROR(__xludf.DUMMYFUNCTION("""COMPUTED_VALUE"""),"6, 1 Target")</f>
        <v>6, 1 Target</v>
      </c>
      <c r="F973" s="190">
        <f>IFERROR(__xludf.DUMMYFUNCTION("""COMPUTED_VALUE"""),4.0)</f>
        <v>4</v>
      </c>
      <c r="G973" s="190">
        <f>IFERROR(__xludf.DUMMYFUNCTION("""COMPUTED_VALUE"""),8.0)</f>
        <v>8</v>
      </c>
      <c r="H973" s="191" t="str">
        <f>IFERROR(__xludf.DUMMYFUNCTION("""COMPUTED_VALUE"""),"You may cure the Target of the Poisoned Affliction. If you do, they become Paralyzed.")</f>
        <v>You may cure the Target of the Poisoned Affliction. If you do, they become Paralyzed.</v>
      </c>
      <c r="I973" s="191" t="str">
        <f>IFERROR(__xludf.DUMMYFUNCTION("""COMPUTED_VALUE"""),"--")</f>
        <v>--</v>
      </c>
      <c r="J973" s="190" t="str">
        <f>IFERROR(__xludf.DUMMYFUNCTION("""COMPUTED_VALUE"""),"Tier 2")</f>
        <v>Tier 2</v>
      </c>
      <c r="K973" s="174" t="b">
        <f>IFERROR(__xludf.DUMMYFUNCTION("""COMPUTED_VALUE"""),TRUE)</f>
        <v>1</v>
      </c>
      <c r="L973" s="174"/>
      <c r="M973" s="174"/>
      <c r="N973" s="174"/>
      <c r="O973" s="174"/>
      <c r="P973" s="174"/>
      <c r="Q973" s="174"/>
      <c r="R973" s="174"/>
      <c r="S973" s="174"/>
      <c r="T973" s="174"/>
      <c r="U973" s="174"/>
      <c r="V973" s="174"/>
      <c r="W973" s="174"/>
      <c r="X973" s="174"/>
      <c r="Y973" s="174"/>
      <c r="Z973" s="174"/>
    </row>
    <row r="974">
      <c r="A974" s="190" t="str">
        <f>IFERROR(__xludf.DUMMYFUNCTION("""COMPUTED_VALUE"""),"Petal Burst")</f>
        <v>Petal Burst</v>
      </c>
      <c r="B974" s="190" t="str">
        <f>IFERROR(__xludf.DUMMYFUNCTION("""COMPUTED_VALUE"""),"Poison")</f>
        <v>Poison</v>
      </c>
      <c r="C974" s="190" t="str">
        <f>IFERROR(__xludf.DUMMYFUNCTION("""COMPUTED_VALUE"""),"Special")</f>
        <v>Special</v>
      </c>
      <c r="D974" s="190" t="str">
        <f>IFERROR(__xludf.DUMMYFUNCTION("""COMPUTED_VALUE"""),"Scene x2")</f>
        <v>Scene x2</v>
      </c>
      <c r="E974" s="190" t="str">
        <f>IFERROR(__xludf.DUMMYFUNCTION("""COMPUTED_VALUE"""),"Burst 1, Full Action")</f>
        <v>Burst 1, Full Action</v>
      </c>
      <c r="F974" s="190">
        <f>IFERROR(__xludf.DUMMYFUNCTION("""COMPUTED_VALUE"""),7.0)</f>
        <v>7</v>
      </c>
      <c r="G974" s="190">
        <f>IFERROR(__xludf.DUMMYFUNCTION("""COMPUTED_VALUE"""),10.0)</f>
        <v>10</v>
      </c>
      <c r="H974" s="191" t="str">
        <f>IFERROR(__xludf.DUMMYFUNCTION("""COMPUTED_VALUE"""),"Petal Burst Poisons all Targets hit with this Attack. On all non-Occupied Spaces in the Range of this Attack, Spike Hazards are created. Enemies that Trigger Spike Hazards created this way become Poisoned. Poison Type Pokemon  are Immune to Spike Hazards "&amp;"created this way and may destroy it when Moving over a Space with this Hazard. Smite. Spirit Surge.
Spike Hazards - Spaces with Spike Hazards are treated as Slow Terrain. Any Grounded Enemy that passes through a Spike Hazard loses one Tick of Hit Points "&amp;"and cannot gain Hit Points or Temporary Hit Points until the end of the next Round.")</f>
        <v>Petal Burst Poisons all Targets hit with this Attack. On all non-Occupied Spaces in the Range of this Attack, Spike Hazards are created. Enemies that Trigger Spike Hazards created this way become Poisoned. Poison Type Pokemon  are Immune to Spike Hazards created this way and may destroy it when Moving over a Space with this Hazard. Smite. Spirit Surge.
Spike Hazards - Spaces with Spike Hazards are treated as Slow Terrain. Any Grounded Enemy that passes through a Spike Hazard loses one Tick of Hit Points and cannot gain Hit Points or Temporary Hit Points until the end of the next Round.</v>
      </c>
      <c r="I974" s="191" t="str">
        <f>IFERROR(__xludf.DUMMYFUNCTION("""COMPUTED_VALUE"""),"--")</f>
        <v>--</v>
      </c>
      <c r="J974" s="190" t="str">
        <f>IFERROR(__xludf.DUMMYFUNCTION("""COMPUTED_VALUE"""),"Tier 3")</f>
        <v>Tier 3</v>
      </c>
      <c r="K974" s="174" t="b">
        <f>IFERROR(__xludf.DUMMYFUNCTION("""COMPUTED_VALUE"""),TRUE)</f>
        <v>1</v>
      </c>
      <c r="L974" s="174"/>
      <c r="M974" s="174"/>
      <c r="N974" s="174"/>
      <c r="O974" s="174"/>
      <c r="P974" s="174"/>
      <c r="Q974" s="174"/>
      <c r="R974" s="174"/>
      <c r="S974" s="174"/>
      <c r="T974" s="174"/>
      <c r="U974" s="174"/>
      <c r="V974" s="174"/>
      <c r="W974" s="174"/>
      <c r="X974" s="174"/>
      <c r="Y974" s="174"/>
      <c r="Z974" s="174"/>
    </row>
    <row r="975">
      <c r="A975" s="190" t="str">
        <f>IFERROR(__xludf.DUMMYFUNCTION("""COMPUTED_VALUE"""),"Plague Breath")</f>
        <v>Plague Breath</v>
      </c>
      <c r="B975" s="190" t="str">
        <f>IFERROR(__xludf.DUMMYFUNCTION("""COMPUTED_VALUE"""),"Poison")</f>
        <v>Poison</v>
      </c>
      <c r="C975" s="190" t="str">
        <f>IFERROR(__xludf.DUMMYFUNCTION("""COMPUTED_VALUE"""),"Special")</f>
        <v>Special</v>
      </c>
      <c r="D975" s="190" t="str">
        <f>IFERROR(__xludf.DUMMYFUNCTION("""COMPUTED_VALUE"""),"Scene x2")</f>
        <v>Scene x2</v>
      </c>
      <c r="E975" s="190" t="str">
        <f>IFERROR(__xludf.DUMMYFUNCTION("""COMPUTED_VALUE"""),"Close Blast 3, Full Action")</f>
        <v>Close Blast 3, Full Action</v>
      </c>
      <c r="F975" s="190">
        <f>IFERROR(__xludf.DUMMYFUNCTION("""COMPUTED_VALUE"""),6.0)</f>
        <v>6</v>
      </c>
      <c r="G975" s="190">
        <f>IFERROR(__xludf.DUMMYFUNCTION("""COMPUTED_VALUE"""),7.0)</f>
        <v>7</v>
      </c>
      <c r="H975" s="191" t="str">
        <f>IFERROR(__xludf.DUMMYFUNCTION("""COMPUTED_VALUE"""),"All Targets hit by Plague Breath become Poisoned. If the Target is already Poisoned they instead lose -2 CS to all Stats with Positive CS. Smite")</f>
        <v>All Targets hit by Plague Breath become Poisoned. If the Target is already Poisoned they instead lose -2 CS to all Stats with Positive CS. Smite</v>
      </c>
      <c r="I975" s="191" t="str">
        <f>IFERROR(__xludf.DUMMYFUNCTION("""COMPUTED_VALUE"""),"--")</f>
        <v>--</v>
      </c>
      <c r="J975" s="190" t="str">
        <f>IFERROR(__xludf.DUMMYFUNCTION("""COMPUTED_VALUE"""),"Tier 2")</f>
        <v>Tier 2</v>
      </c>
      <c r="K975" s="174" t="b">
        <f>IFERROR(__xludf.DUMMYFUNCTION("""COMPUTED_VALUE"""),TRUE)</f>
        <v>1</v>
      </c>
      <c r="L975" s="174"/>
      <c r="M975" s="174"/>
      <c r="N975" s="174"/>
      <c r="O975" s="174"/>
      <c r="P975" s="174"/>
      <c r="Q975" s="174"/>
      <c r="R975" s="174"/>
      <c r="S975" s="174"/>
      <c r="T975" s="174"/>
      <c r="U975" s="174"/>
      <c r="V975" s="174"/>
      <c r="W975" s="174"/>
      <c r="X975" s="174"/>
      <c r="Y975" s="174"/>
      <c r="Z975" s="174"/>
    </row>
    <row r="976">
      <c r="A976" s="190" t="str">
        <f>IFERROR(__xludf.DUMMYFUNCTION("""COMPUTED_VALUE"""),"Poison Dart")</f>
        <v>Poison Dart</v>
      </c>
      <c r="B976" s="190" t="str">
        <f>IFERROR(__xludf.DUMMYFUNCTION("""COMPUTED_VALUE"""),"Poison")</f>
        <v>Poison</v>
      </c>
      <c r="C976" s="190" t="str">
        <f>IFERROR(__xludf.DUMMYFUNCTION("""COMPUTED_VALUE"""),"Physical")</f>
        <v>Physical</v>
      </c>
      <c r="D976" s="190" t="str">
        <f>IFERROR(__xludf.DUMMYFUNCTION("""COMPUTED_VALUE"""),"EOT")</f>
        <v>EOT</v>
      </c>
      <c r="E976" s="190" t="str">
        <f>IFERROR(__xludf.DUMMYFUNCTION("""COMPUTED_VALUE"""),"6, 1 Target, Priority ")</f>
        <v>6, 1 Target, Priority </v>
      </c>
      <c r="F976" s="190">
        <f>IFERROR(__xludf.DUMMYFUNCTION("""COMPUTED_VALUE"""),3.0)</f>
        <v>3</v>
      </c>
      <c r="G976" s="190">
        <f>IFERROR(__xludf.DUMMYFUNCTION("""COMPUTED_VALUE"""),4.0)</f>
        <v>4</v>
      </c>
      <c r="H976" s="191" t="str">
        <f>IFERROR(__xludf.DUMMYFUNCTION("""COMPUTED_VALUE"""),"--")</f>
        <v>--</v>
      </c>
      <c r="I976" s="191" t="str">
        <f>IFERROR(__xludf.DUMMYFUNCTION("""COMPUTED_VALUE"""),"--")</f>
        <v>--</v>
      </c>
      <c r="J976" s="190" t="str">
        <f>IFERROR(__xludf.DUMMYFUNCTION("""COMPUTED_VALUE"""),"Tier 1")</f>
        <v>Tier 1</v>
      </c>
      <c r="K976" s="174" t="b">
        <f>IFERROR(__xludf.DUMMYFUNCTION("""COMPUTED_VALUE"""),TRUE)</f>
        <v>1</v>
      </c>
      <c r="L976" s="174"/>
      <c r="M976" s="174"/>
      <c r="N976" s="174"/>
      <c r="O976" s="174"/>
      <c r="P976" s="174"/>
      <c r="Q976" s="174"/>
      <c r="R976" s="174"/>
      <c r="S976" s="174"/>
      <c r="T976" s="174"/>
      <c r="U976" s="174"/>
      <c r="V976" s="174"/>
      <c r="W976" s="174"/>
      <c r="X976" s="174"/>
      <c r="Y976" s="174"/>
      <c r="Z976" s="174"/>
    </row>
    <row r="977">
      <c r="A977" s="190" t="str">
        <f>IFERROR(__xludf.DUMMYFUNCTION("""COMPUTED_VALUE"""),"Poison Fang")</f>
        <v>Poison Fang</v>
      </c>
      <c r="B977" s="190" t="str">
        <f>IFERROR(__xludf.DUMMYFUNCTION("""COMPUTED_VALUE"""),"Poison")</f>
        <v>Poison</v>
      </c>
      <c r="C977" s="190" t="str">
        <f>IFERROR(__xludf.DUMMYFUNCTION("""COMPUTED_VALUE"""),"Physical")</f>
        <v>Physical</v>
      </c>
      <c r="D977" s="190" t="str">
        <f>IFERROR(__xludf.DUMMYFUNCTION("""COMPUTED_VALUE"""),"At-Will")</f>
        <v>At-Will</v>
      </c>
      <c r="E977" s="190" t="str">
        <f>IFERROR(__xludf.DUMMYFUNCTION("""COMPUTED_VALUE"""),"Melee, 1 Target, Bite")</f>
        <v>Melee, 1 Target, Bite</v>
      </c>
      <c r="F977" s="190">
        <f>IFERROR(__xludf.DUMMYFUNCTION("""COMPUTED_VALUE"""),2.0)</f>
        <v>2</v>
      </c>
      <c r="G977" s="190">
        <f>IFERROR(__xludf.DUMMYFUNCTION("""COMPUTED_VALUE"""),7.0)</f>
        <v>7</v>
      </c>
      <c r="H977" s="191" t="str">
        <f>IFERROR(__xludf.DUMMYFUNCTION("""COMPUTED_VALUE"""),"On a roll of 17+, Roll a d2. On a 1, the Target becomes Poisoned. On a 2, the Target becomes Wounded.")</f>
        <v>On a roll of 17+, Roll a d2. On a 1, the Target becomes Poisoned. On a 2, the Target becomes Wounded.</v>
      </c>
      <c r="I977" s="191" t="str">
        <f>IFERROR(__xludf.DUMMYFUNCTION("""COMPUTED_VALUE"""),"--")</f>
        <v>--</v>
      </c>
      <c r="J977" s="190" t="str">
        <f>IFERROR(__xludf.DUMMYFUNCTION("""COMPUTED_VALUE"""),"Tier 1")</f>
        <v>Tier 1</v>
      </c>
      <c r="K977" s="174" t="b">
        <f>IFERROR(__xludf.DUMMYFUNCTION("""COMPUTED_VALUE"""),TRUE)</f>
        <v>1</v>
      </c>
      <c r="L977" s="174"/>
      <c r="M977" s="174"/>
      <c r="N977" s="174"/>
      <c r="O977" s="174"/>
      <c r="P977" s="174"/>
      <c r="Q977" s="174"/>
      <c r="R977" s="174"/>
      <c r="S977" s="174"/>
      <c r="T977" s="174"/>
      <c r="U977" s="174"/>
      <c r="V977" s="174"/>
      <c r="W977" s="174"/>
      <c r="X977" s="174"/>
      <c r="Y977" s="174"/>
      <c r="Z977" s="174"/>
    </row>
    <row r="978">
      <c r="A978" s="190" t="str">
        <f>IFERROR(__xludf.DUMMYFUNCTION("""COMPUTED_VALUE"""),"Poison Gas")</f>
        <v>Poison Gas</v>
      </c>
      <c r="B978" s="190" t="str">
        <f>IFERROR(__xludf.DUMMYFUNCTION("""COMPUTED_VALUE"""),"Poison")</f>
        <v>Poison</v>
      </c>
      <c r="C978" s="190" t="str">
        <f>IFERROR(__xludf.DUMMYFUNCTION("""COMPUTED_VALUE"""),"Status")</f>
        <v>Status</v>
      </c>
      <c r="D978" s="190" t="str">
        <f>IFERROR(__xludf.DUMMYFUNCTION("""COMPUTED_VALUE"""),"EOT")</f>
        <v>EOT</v>
      </c>
      <c r="E978" s="190" t="str">
        <f>IFERROR(__xludf.DUMMYFUNCTION("""COMPUTED_VALUE"""),"5, Ranged Blast 3, Hazard, Versatile")</f>
        <v>5, Ranged Blast 3, Hazard, Versatile</v>
      </c>
      <c r="F978" s="190" t="str">
        <f>IFERROR(__xludf.DUMMYFUNCTION("""COMPUTED_VALUE"""),"--")</f>
        <v>--</v>
      </c>
      <c r="G978" s="190" t="str">
        <f>IFERROR(__xludf.DUMMYFUNCTION("""COMPUTED_VALUE"""),"--")</f>
        <v>--</v>
      </c>
      <c r="H978" s="191" t="str">
        <f>IFERROR(__xludf.DUMMYFUNCTION("""COMPUTED_VALUE"""),"Poison Gas creates Gas Hazards within the Range of this Attack. Gas Hazards created this way also Poison Enemies that are affected by them. The Poisoned Affliction cannot be cured by Combatants standing in Gas Hazards created this way.
Gas Hazards - Any "&amp;"Enemy who ends their Turn on or moves through a Gas Hazard loses one Tick of Hit Points and suffers any additional effects derived from the source. This Effect is ignored by Combatants  with the Breathless Capability. ")</f>
        <v>Poison Gas creates Gas Hazards within the Range of this Attack. Gas Hazards created this way also Poison Enemies that are affected by them. The Poisoned Affliction cannot be cured by Combatants standing in Gas Hazards created this way.
Gas Hazards - Any Enemy who ends their Turn on or moves through a Gas Hazard loses one Tick of Hit Points and suffers any additional effects derived from the source. This Effect is ignored by Combatants  with the Breathless Capability. </v>
      </c>
      <c r="I978" s="191" t="str">
        <f>IFERROR(__xludf.DUMMYFUNCTION("""COMPUTED_VALUE"""),"Same as the normal effect but the Range becomes Burst 1 or Close Blast 2.")</f>
        <v>Same as the normal effect but the Range becomes Burst 1 or Close Blast 2.</v>
      </c>
      <c r="J978" s="190" t="str">
        <f>IFERROR(__xludf.DUMMYFUNCTION("""COMPUTED_VALUE"""),"Tier 1")</f>
        <v>Tier 1</v>
      </c>
      <c r="K978" s="174" t="b">
        <f>IFERROR(__xludf.DUMMYFUNCTION("""COMPUTED_VALUE"""),TRUE)</f>
        <v>1</v>
      </c>
      <c r="L978" s="174"/>
      <c r="M978" s="174"/>
      <c r="N978" s="174"/>
      <c r="O978" s="174"/>
      <c r="P978" s="174"/>
      <c r="Q978" s="174"/>
      <c r="R978" s="174"/>
      <c r="S978" s="174"/>
      <c r="T978" s="174"/>
      <c r="U978" s="174"/>
      <c r="V978" s="174"/>
      <c r="W978" s="174"/>
      <c r="X978" s="174"/>
      <c r="Y978" s="174"/>
      <c r="Z978" s="174"/>
    </row>
    <row r="979">
      <c r="A979" s="190" t="str">
        <f>IFERROR(__xludf.DUMMYFUNCTION("""COMPUTED_VALUE"""),"Poison Jab")</f>
        <v>Poison Jab</v>
      </c>
      <c r="B979" s="190" t="str">
        <f>IFERROR(__xludf.DUMMYFUNCTION("""COMPUTED_VALUE"""),"Poison")</f>
        <v>Poison</v>
      </c>
      <c r="C979" s="190" t="str">
        <f>IFERROR(__xludf.DUMMYFUNCTION("""COMPUTED_VALUE"""),"Physical")</f>
        <v>Physical</v>
      </c>
      <c r="D979" s="190" t="str">
        <f>IFERROR(__xludf.DUMMYFUNCTION("""COMPUTED_VALUE"""),"EOT")</f>
        <v>EOT</v>
      </c>
      <c r="E979" s="190" t="str">
        <f>IFERROR(__xludf.DUMMYFUNCTION("""COMPUTED_VALUE"""),"Melee, 1 Target")</f>
        <v>Melee, 1 Target</v>
      </c>
      <c r="F979" s="190">
        <f>IFERROR(__xludf.DUMMYFUNCTION("""COMPUTED_VALUE"""),3.0)</f>
        <v>3</v>
      </c>
      <c r="G979" s="190">
        <f>IFERROR(__xludf.DUMMYFUNCTION("""COMPUTED_VALUE"""),8.0)</f>
        <v>8</v>
      </c>
      <c r="H979" s="191" t="str">
        <f>IFERROR(__xludf.DUMMYFUNCTION("""COMPUTED_VALUE"""),"On a roll of 15+, the Target becomes Poisoned.")</f>
        <v>On a roll of 15+, the Target becomes Poisoned.</v>
      </c>
      <c r="I979" s="191" t="str">
        <f>IFERROR(__xludf.DUMMYFUNCTION("""COMPUTED_VALUE"""),"--")</f>
        <v>--</v>
      </c>
      <c r="J979" s="190" t="str">
        <f>IFERROR(__xludf.DUMMYFUNCTION("""COMPUTED_VALUE"""),"Tier 2")</f>
        <v>Tier 2</v>
      </c>
      <c r="K979" s="174" t="b">
        <f>IFERROR(__xludf.DUMMYFUNCTION("""COMPUTED_VALUE"""),TRUE)</f>
        <v>1</v>
      </c>
      <c r="L979" s="174"/>
      <c r="M979" s="174"/>
      <c r="N979" s="174"/>
      <c r="O979" s="174"/>
      <c r="P979" s="174"/>
      <c r="Q979" s="174"/>
      <c r="R979" s="174"/>
      <c r="S979" s="174"/>
      <c r="T979" s="174"/>
      <c r="U979" s="174"/>
      <c r="V979" s="174"/>
      <c r="W979" s="174"/>
      <c r="X979" s="174"/>
      <c r="Y979" s="174"/>
      <c r="Z979" s="174"/>
    </row>
    <row r="980">
      <c r="A980" s="190" t="str">
        <f>IFERROR(__xludf.DUMMYFUNCTION("""COMPUTED_VALUE"""),"Poison Powder")</f>
        <v>Poison Powder</v>
      </c>
      <c r="B980" s="190" t="str">
        <f>IFERROR(__xludf.DUMMYFUNCTION("""COMPUTED_VALUE"""),"Poison")</f>
        <v>Poison</v>
      </c>
      <c r="C980" s="190" t="str">
        <f>IFERROR(__xludf.DUMMYFUNCTION("""COMPUTED_VALUE"""),"Status")</f>
        <v>Status</v>
      </c>
      <c r="D980" s="190" t="str">
        <f>IFERROR(__xludf.DUMMYFUNCTION("""COMPUTED_VALUE"""),"Scene x2")</f>
        <v>Scene x2</v>
      </c>
      <c r="E980" s="190" t="str">
        <f>IFERROR(__xludf.DUMMYFUNCTION("""COMPUTED_VALUE"""),"6, Ranged Blast 2, Hazard, Versatile")</f>
        <v>6, Ranged Blast 2, Hazard, Versatile</v>
      </c>
      <c r="F980" s="190">
        <f>IFERROR(__xludf.DUMMYFUNCTION("""COMPUTED_VALUE"""),4.0)</f>
        <v>4</v>
      </c>
      <c r="G980" s="190" t="str">
        <f>IFERROR(__xludf.DUMMYFUNCTION("""COMPUTED_VALUE"""),"--")</f>
        <v>--</v>
      </c>
      <c r="H980" s="191" t="str">
        <f>IFERROR(__xludf.DUMMYFUNCTION("""COMPUTED_VALUE"""),"All Targets hit by this Attack become Poisoned. Powder Hazards may then be set on the spaces in the range of this Attack until the end of the next Round. Whenever an Enemy triggers this Hazard they become Poisoned or lose a Tick of Hit Points if they're a"&amp;"lready Poisoned. 
Powder Hazard - Whenever an Enemy passes through or ends their turn on a Powder Hazard the Effect listed is applied. Users with the Breathless Capability ignore this Hazard.")</f>
        <v>All Targets hit by this Attack become Poisoned. Powder Hazards may then be set on the spaces in the range of this Attack until the end of the next Round. Whenever an Enemy triggers this Hazard they become Poisoned or lose a Tick of Hit Points if they're already Poisoned. 
Powder Hazard - Whenever an Enemy passes through or ends their turn on a Powder Hazard the Effect listed is applied. Users with the Breathless Capability ignore this Hazard.</v>
      </c>
      <c r="I980" s="191" t="str">
        <f>IFERROR(__xludf.DUMMYFUNCTION("""COMPUTED_VALUE"""),"When used this way, the Attack's range becomes 4, 1 Target. The Target becomes Poisoned.")</f>
        <v>When used this way, the Attack's range becomes 4, 1 Target. The Target becomes Poisoned.</v>
      </c>
      <c r="J980" s="190" t="str">
        <f>IFERROR(__xludf.DUMMYFUNCTION("""COMPUTED_VALUE"""),"Tier 2")</f>
        <v>Tier 2</v>
      </c>
      <c r="K980" s="174" t="b">
        <f>IFERROR(__xludf.DUMMYFUNCTION("""COMPUTED_VALUE"""),TRUE)</f>
        <v>1</v>
      </c>
      <c r="L980" s="174"/>
      <c r="M980" s="174"/>
      <c r="N980" s="174"/>
      <c r="O980" s="174"/>
      <c r="P980" s="174"/>
      <c r="Q980" s="174"/>
      <c r="R980" s="174"/>
      <c r="S980" s="174"/>
      <c r="T980" s="174"/>
      <c r="U980" s="174"/>
      <c r="V980" s="174"/>
      <c r="W980" s="174"/>
      <c r="X980" s="174"/>
      <c r="Y980" s="174"/>
      <c r="Z980" s="174"/>
    </row>
    <row r="981">
      <c r="A981" s="190" t="str">
        <f>IFERROR(__xludf.DUMMYFUNCTION("""COMPUTED_VALUE"""),"Poison Sting")</f>
        <v>Poison Sting</v>
      </c>
      <c r="B981" s="190" t="str">
        <f>IFERROR(__xludf.DUMMYFUNCTION("""COMPUTED_VALUE"""),"Poison")</f>
        <v>Poison</v>
      </c>
      <c r="C981" s="190" t="str">
        <f>IFERROR(__xludf.DUMMYFUNCTION("""COMPUTED_VALUE"""),"Physical")</f>
        <v>Physical</v>
      </c>
      <c r="D981" s="190" t="str">
        <f>IFERROR(__xludf.DUMMYFUNCTION("""COMPUTED_VALUE"""),"At-Will")</f>
        <v>At-Will</v>
      </c>
      <c r="E981" s="190" t="str">
        <f>IFERROR(__xludf.DUMMYFUNCTION("""COMPUTED_VALUE"""),"6, 1 Target")</f>
        <v>6, 1 Target</v>
      </c>
      <c r="F981" s="190">
        <f>IFERROR(__xludf.DUMMYFUNCTION("""COMPUTED_VALUE"""),3.0)</f>
        <v>3</v>
      </c>
      <c r="G981" s="190">
        <f>IFERROR(__xludf.DUMMYFUNCTION("""COMPUTED_VALUE"""),4.0)</f>
        <v>4</v>
      </c>
      <c r="H981" s="191" t="str">
        <f>IFERROR(__xludf.DUMMYFUNCTION("""COMPUTED_VALUE"""),"On a roll of 17+, the Target becomes Poisoned.")</f>
        <v>On a roll of 17+, the Target becomes Poisoned.</v>
      </c>
      <c r="I981" s="191" t="str">
        <f>IFERROR(__xludf.DUMMYFUNCTION("""COMPUTED_VALUE"""),"--")</f>
        <v>--</v>
      </c>
      <c r="J981" s="190" t="str">
        <f>IFERROR(__xludf.DUMMYFUNCTION("""COMPUTED_VALUE"""),"Tier 1")</f>
        <v>Tier 1</v>
      </c>
      <c r="K981" s="174" t="b">
        <f>IFERROR(__xludf.DUMMYFUNCTION("""COMPUTED_VALUE"""),TRUE)</f>
        <v>1</v>
      </c>
      <c r="L981" s="174"/>
      <c r="M981" s="174"/>
      <c r="N981" s="174"/>
      <c r="O981" s="174"/>
      <c r="P981" s="174"/>
      <c r="Q981" s="174"/>
      <c r="R981" s="174"/>
      <c r="S981" s="174"/>
      <c r="T981" s="174"/>
      <c r="U981" s="174"/>
      <c r="V981" s="174"/>
      <c r="W981" s="174"/>
      <c r="X981" s="174"/>
      <c r="Y981" s="174"/>
      <c r="Z981" s="174"/>
    </row>
    <row r="982">
      <c r="A982" s="190" t="str">
        <f>IFERROR(__xludf.DUMMYFUNCTION("""COMPUTED_VALUE"""),"Poison Tail")</f>
        <v>Poison Tail</v>
      </c>
      <c r="B982" s="190" t="str">
        <f>IFERROR(__xludf.DUMMYFUNCTION("""COMPUTED_VALUE"""),"Poison")</f>
        <v>Poison</v>
      </c>
      <c r="C982" s="190" t="str">
        <f>IFERROR(__xludf.DUMMYFUNCTION("""COMPUTED_VALUE"""),"Physical")</f>
        <v>Physical</v>
      </c>
      <c r="D982" s="190" t="str">
        <f>IFERROR(__xludf.DUMMYFUNCTION("""COMPUTED_VALUE"""),"EOT")</f>
        <v>EOT</v>
      </c>
      <c r="E982" s="190" t="str">
        <f>IFERROR(__xludf.DUMMYFUNCTION("""COMPUTED_VALUE"""),"Melee, 1 Target")</f>
        <v>Melee, 1 Target</v>
      </c>
      <c r="F982" s="190">
        <f>IFERROR(__xludf.DUMMYFUNCTION("""COMPUTED_VALUE"""),3.0)</f>
        <v>3</v>
      </c>
      <c r="G982" s="190">
        <f>IFERROR(__xludf.DUMMYFUNCTION("""COMPUTED_VALUE"""),6.0)</f>
        <v>6</v>
      </c>
      <c r="H982" s="191" t="str">
        <f>IFERROR(__xludf.DUMMYFUNCTION("""COMPUTED_VALUE"""),"On an Even Roll, the Target becomes Poisoned. On an Odd Roll, they become Tripped.")</f>
        <v>On an Even Roll, the Target becomes Poisoned. On an Odd Roll, they become Tripped.</v>
      </c>
      <c r="I982" s="191" t="str">
        <f>IFERROR(__xludf.DUMMYFUNCTION("""COMPUTED_VALUE"""),"--")</f>
        <v>--</v>
      </c>
      <c r="J982" s="190" t="str">
        <f>IFERROR(__xludf.DUMMYFUNCTION("""COMPUTED_VALUE"""),"Tier 1")</f>
        <v>Tier 1</v>
      </c>
      <c r="K982" s="174" t="b">
        <f>IFERROR(__xludf.DUMMYFUNCTION("""COMPUTED_VALUE"""),TRUE)</f>
        <v>1</v>
      </c>
      <c r="L982" s="174"/>
      <c r="M982" s="174"/>
      <c r="N982" s="174"/>
      <c r="O982" s="174"/>
      <c r="P982" s="174"/>
      <c r="Q982" s="174"/>
      <c r="R982" s="174"/>
      <c r="S982" s="174"/>
      <c r="T982" s="174"/>
      <c r="U982" s="174"/>
      <c r="V982" s="174"/>
      <c r="W982" s="174"/>
      <c r="X982" s="174"/>
      <c r="Y982" s="174"/>
      <c r="Z982" s="174"/>
    </row>
    <row r="983">
      <c r="A983" s="190" t="str">
        <f>IFERROR(__xludf.DUMMYFUNCTION("""COMPUTED_VALUE"""),"Poisonous Wind")</f>
        <v>Poisonous Wind</v>
      </c>
      <c r="B983" s="190" t="str">
        <f>IFERROR(__xludf.DUMMYFUNCTION("""COMPUTED_VALUE"""),"Poison")</f>
        <v>Poison</v>
      </c>
      <c r="C983" s="190" t="str">
        <f>IFERROR(__xludf.DUMMYFUNCTION("""COMPUTED_VALUE"""),"Special")</f>
        <v>Special</v>
      </c>
      <c r="D983" s="190" t="str">
        <f>IFERROR(__xludf.DUMMYFUNCTION("""COMPUTED_VALUE"""),"Scene x2")</f>
        <v>Scene x2</v>
      </c>
      <c r="E983" s="190" t="str">
        <f>IFERROR(__xludf.DUMMYFUNCTION("""COMPUTED_VALUE"""),"8, 1 Target")</f>
        <v>8, 1 Target</v>
      </c>
      <c r="F983" s="190">
        <f>IFERROR(__xludf.DUMMYFUNCTION("""COMPUTED_VALUE"""),5.0)</f>
        <v>5</v>
      </c>
      <c r="G983" s="190">
        <f>IFERROR(__xludf.DUMMYFUNCTION("""COMPUTED_VALUE"""),8.0)</f>
        <v>8</v>
      </c>
      <c r="H983" s="191" t="str">
        <f>IFERROR(__xludf.DUMMYFUNCTION("""COMPUTED_VALUE"""),"On Even Rolls, all Targets become Poisoned. On Odd Rolls, all Targets become Paralyzed. Spirit Surge")</f>
        <v>On Even Rolls, all Targets become Poisoned. On Odd Rolls, all Targets become Paralyzed. Spirit Surge</v>
      </c>
      <c r="I983" s="191" t="str">
        <f>IFERROR(__xludf.DUMMYFUNCTION("""COMPUTED_VALUE"""),"--")</f>
        <v>--</v>
      </c>
      <c r="J983" s="190" t="str">
        <f>IFERROR(__xludf.DUMMYFUNCTION("""COMPUTED_VALUE"""),"Tier 2")</f>
        <v>Tier 2</v>
      </c>
      <c r="K983" s="174" t="b">
        <f>IFERROR(__xludf.DUMMYFUNCTION("""COMPUTED_VALUE"""),TRUE)</f>
        <v>1</v>
      </c>
      <c r="L983" s="174"/>
      <c r="M983" s="174"/>
      <c r="N983" s="174"/>
      <c r="O983" s="174"/>
      <c r="P983" s="174"/>
      <c r="Q983" s="174"/>
      <c r="R983" s="174"/>
      <c r="S983" s="174"/>
      <c r="T983" s="174"/>
      <c r="U983" s="174"/>
      <c r="V983" s="174"/>
      <c r="W983" s="174"/>
      <c r="X983" s="174"/>
      <c r="Y983" s="174"/>
      <c r="Z983" s="174"/>
    </row>
    <row r="984">
      <c r="A984" s="190" t="str">
        <f>IFERROR(__xludf.DUMMYFUNCTION("""COMPUTED_VALUE"""),"Purify")</f>
        <v>Purify</v>
      </c>
      <c r="B984" s="190" t="str">
        <f>IFERROR(__xludf.DUMMYFUNCTION("""COMPUTED_VALUE"""),"Poison")</f>
        <v>Poison</v>
      </c>
      <c r="C984" s="190" t="str">
        <f>IFERROR(__xludf.DUMMYFUNCTION("""COMPUTED_VALUE"""),"Status")</f>
        <v>Status</v>
      </c>
      <c r="D984" s="190" t="str">
        <f>IFERROR(__xludf.DUMMYFUNCTION("""COMPUTED_VALUE"""),"Scene x2")</f>
        <v>Scene x2</v>
      </c>
      <c r="E984" s="190" t="str">
        <f>IFERROR(__xludf.DUMMYFUNCTION("""COMPUTED_VALUE"""),"Melee, 1 Target or Self; Healing")</f>
        <v>Melee, 1 Target or Self; Healing</v>
      </c>
      <c r="F984" s="190" t="str">
        <f>IFERROR(__xludf.DUMMYFUNCTION("""COMPUTED_VALUE"""),"--")</f>
        <v>--</v>
      </c>
      <c r="G984" s="190" t="str">
        <f>IFERROR(__xludf.DUMMYFUNCTION("""COMPUTED_VALUE"""),"--")</f>
        <v>--</v>
      </c>
      <c r="H984" s="191" t="str">
        <f>IFERROR(__xludf.DUMMYFUNCTION("""COMPUTED_VALUE"""),"The Target is cured of all their Physical Afflictions. For every Affliction removed, the user restores a Tick of Hit Points.")</f>
        <v>The Target is cured of all their Physical Afflictions. For every Affliction removed, the user restores a Tick of Hit Points.</v>
      </c>
      <c r="I984" s="191" t="str">
        <f>IFERROR(__xludf.DUMMYFUNCTION("""COMPUTED_VALUE"""),"--")</f>
        <v>--</v>
      </c>
      <c r="J984" s="190" t="str">
        <f>IFERROR(__xludf.DUMMYFUNCTION("""COMPUTED_VALUE"""),"Tier 2")</f>
        <v>Tier 2</v>
      </c>
      <c r="K984" s="174" t="b">
        <f>IFERROR(__xludf.DUMMYFUNCTION("""COMPUTED_VALUE"""),TRUE)</f>
        <v>1</v>
      </c>
      <c r="L984" s="174"/>
      <c r="M984" s="174"/>
      <c r="N984" s="174"/>
      <c r="O984" s="174"/>
      <c r="P984" s="174"/>
      <c r="Q984" s="174"/>
      <c r="R984" s="174"/>
      <c r="S984" s="174"/>
      <c r="T984" s="174"/>
      <c r="U984" s="174"/>
      <c r="V984" s="174"/>
      <c r="W984" s="174"/>
      <c r="X984" s="174"/>
      <c r="Y984" s="174"/>
      <c r="Z984" s="174"/>
    </row>
    <row r="985">
      <c r="A985" s="190" t="str">
        <f>IFERROR(__xludf.DUMMYFUNCTION("""COMPUTED_VALUE"""),"Shell Side Arm")</f>
        <v>Shell Side Arm</v>
      </c>
      <c r="B985" s="190" t="str">
        <f>IFERROR(__xludf.DUMMYFUNCTION("""COMPUTED_VALUE"""),"Poison")</f>
        <v>Poison</v>
      </c>
      <c r="C985" s="190" t="str">
        <f>IFERROR(__xludf.DUMMYFUNCTION("""COMPUTED_VALUE"""),"Special")</f>
        <v>Special</v>
      </c>
      <c r="D985" s="190" t="str">
        <f>IFERROR(__xludf.DUMMYFUNCTION("""COMPUTED_VALUE"""),"EOT")</f>
        <v>EOT</v>
      </c>
      <c r="E985" s="190" t="str">
        <f>IFERROR(__xludf.DUMMYFUNCTION("""COMPUTED_VALUE"""),"6, 1 Target")</f>
        <v>6, 1 Target</v>
      </c>
      <c r="F985" s="190">
        <f>IFERROR(__xludf.DUMMYFUNCTION("""COMPUTED_VALUE"""),4.0)</f>
        <v>4</v>
      </c>
      <c r="G985" s="190">
        <f>IFERROR(__xludf.DUMMYFUNCTION("""COMPUTED_VALUE"""),9.0)</f>
        <v>9</v>
      </c>
      <c r="H985" s="191" t="str">
        <f>IFERROR(__xludf.DUMMYFUNCTION("""COMPUTED_VALUE"""),"On a roll of 17+, the Target becomes Poisoned. You may use either Attack or Special Attack as the Offensive Stat for this Attack. When calculating Damage, you may choose for the Target to apply either their Defense or Special Defense against this Attack, "&amp;"ignoring its Category. ")</f>
        <v>On a roll of 17+, the Target becomes Poisoned. You may use either Attack or Special Attack as the Offensive Stat for this Attack. When calculating Damage, you may choose for the Target to apply either their Defense or Special Defense against this Attack, ignoring its Category. </v>
      </c>
      <c r="I985" s="191" t="str">
        <f>IFERROR(__xludf.DUMMYFUNCTION("""COMPUTED_VALUE"""),"--")</f>
        <v>--</v>
      </c>
      <c r="J985" s="190" t="str">
        <f>IFERROR(__xludf.DUMMYFUNCTION("""COMPUTED_VALUE"""),"Tier 2")</f>
        <v>Tier 2</v>
      </c>
      <c r="K985" s="174" t="b">
        <f>IFERROR(__xludf.DUMMYFUNCTION("""COMPUTED_VALUE"""),TRUE)</f>
        <v>1</v>
      </c>
      <c r="L985" s="174"/>
      <c r="M985" s="174"/>
      <c r="N985" s="174"/>
      <c r="O985" s="174"/>
      <c r="P985" s="174"/>
      <c r="Q985" s="174"/>
      <c r="R985" s="174"/>
      <c r="S985" s="174"/>
      <c r="T985" s="174"/>
      <c r="U985" s="174"/>
      <c r="V985" s="174"/>
      <c r="W985" s="174"/>
      <c r="X985" s="174"/>
      <c r="Y985" s="174"/>
      <c r="Z985" s="174"/>
    </row>
    <row r="986">
      <c r="A986" s="190" t="str">
        <f>IFERROR(__xludf.DUMMYFUNCTION("""COMPUTED_VALUE"""),"Sludge")</f>
        <v>Sludge</v>
      </c>
      <c r="B986" s="190" t="str">
        <f>IFERROR(__xludf.DUMMYFUNCTION("""COMPUTED_VALUE"""),"Poison")</f>
        <v>Poison</v>
      </c>
      <c r="C986" s="190" t="str">
        <f>IFERROR(__xludf.DUMMYFUNCTION("""COMPUTED_VALUE"""),"Special")</f>
        <v>Special</v>
      </c>
      <c r="D986" s="190" t="str">
        <f>IFERROR(__xludf.DUMMYFUNCTION("""COMPUTED_VALUE"""),"EOT")</f>
        <v>EOT</v>
      </c>
      <c r="E986" s="190" t="str">
        <f>IFERROR(__xludf.DUMMYFUNCTION("""COMPUTED_VALUE"""),"6, 1 Target")</f>
        <v>6, 1 Target</v>
      </c>
      <c r="F986" s="190">
        <f>IFERROR(__xludf.DUMMYFUNCTION("""COMPUTED_VALUE"""),3.0)</f>
        <v>3</v>
      </c>
      <c r="G986" s="190">
        <f>IFERROR(__xludf.DUMMYFUNCTION("""COMPUTED_VALUE"""),6.0)</f>
        <v>6</v>
      </c>
      <c r="H986" s="191" t="str">
        <f>IFERROR(__xludf.DUMMYFUNCTION("""COMPUTED_VALUE"""),"On a roll of 16+, the Target becomes Poisoned or Slowed.")</f>
        <v>On a roll of 16+, the Target becomes Poisoned or Slowed.</v>
      </c>
      <c r="I986" s="191" t="str">
        <f>IFERROR(__xludf.DUMMYFUNCTION("""COMPUTED_VALUE"""),"--")</f>
        <v>--</v>
      </c>
      <c r="J986" s="190" t="str">
        <f>IFERROR(__xludf.DUMMYFUNCTION("""COMPUTED_VALUE"""),"Tier 1")</f>
        <v>Tier 1</v>
      </c>
      <c r="K986" s="174" t="b">
        <f>IFERROR(__xludf.DUMMYFUNCTION("""COMPUTED_VALUE"""),TRUE)</f>
        <v>1</v>
      </c>
      <c r="L986" s="174"/>
      <c r="M986" s="174"/>
      <c r="N986" s="174"/>
      <c r="O986" s="174"/>
      <c r="P986" s="174"/>
      <c r="Q986" s="174"/>
      <c r="R986" s="174"/>
      <c r="S986" s="174"/>
      <c r="T986" s="174"/>
      <c r="U986" s="174"/>
      <c r="V986" s="174"/>
      <c r="W986" s="174"/>
      <c r="X986" s="174"/>
      <c r="Y986" s="174"/>
      <c r="Z986" s="174"/>
    </row>
    <row r="987">
      <c r="A987" s="190" t="str">
        <f>IFERROR(__xludf.DUMMYFUNCTION("""COMPUTED_VALUE"""),"Sludge Bomb")</f>
        <v>Sludge Bomb</v>
      </c>
      <c r="B987" s="190" t="str">
        <f>IFERROR(__xludf.DUMMYFUNCTION("""COMPUTED_VALUE"""),"Poison")</f>
        <v>Poison</v>
      </c>
      <c r="C987" s="190" t="str">
        <f>IFERROR(__xludf.DUMMYFUNCTION("""COMPUTED_VALUE"""),"Special")</f>
        <v>Special</v>
      </c>
      <c r="D987" s="190" t="str">
        <f>IFERROR(__xludf.DUMMYFUNCTION("""COMPUTED_VALUE"""),"EOT")</f>
        <v>EOT</v>
      </c>
      <c r="E987" s="190" t="str">
        <f>IFERROR(__xludf.DUMMYFUNCTION("""COMPUTED_VALUE"""),"8, 1 Target")</f>
        <v>8, 1 Target</v>
      </c>
      <c r="F987" s="190">
        <f>IFERROR(__xludf.DUMMYFUNCTION("""COMPUTED_VALUE"""),4.0)</f>
        <v>4</v>
      </c>
      <c r="G987" s="190">
        <f>IFERROR(__xludf.DUMMYFUNCTION("""COMPUTED_VALUE"""),9.0)</f>
        <v>9</v>
      </c>
      <c r="H987" s="191" t="str">
        <f>IFERROR(__xludf.DUMMYFUNCTION("""COMPUTED_VALUE"""),"On a roll of 16+, the Target becomes Poisoned. Smite")</f>
        <v>On a roll of 16+, the Target becomes Poisoned. Smite</v>
      </c>
      <c r="I987" s="191" t="str">
        <f>IFERROR(__xludf.DUMMYFUNCTION("""COMPUTED_VALUE"""),"--")</f>
        <v>--</v>
      </c>
      <c r="J987" s="190" t="str">
        <f>IFERROR(__xludf.DUMMYFUNCTION("""COMPUTED_VALUE"""),"Tier 2")</f>
        <v>Tier 2</v>
      </c>
      <c r="K987" s="174" t="b">
        <f>IFERROR(__xludf.DUMMYFUNCTION("""COMPUTED_VALUE"""),TRUE)</f>
        <v>1</v>
      </c>
      <c r="L987" s="174"/>
      <c r="M987" s="174"/>
      <c r="N987" s="174"/>
      <c r="O987" s="174"/>
      <c r="P987" s="174"/>
      <c r="Q987" s="174"/>
      <c r="R987" s="174"/>
      <c r="S987" s="174"/>
      <c r="T987" s="174"/>
      <c r="U987" s="174"/>
      <c r="V987" s="174"/>
      <c r="W987" s="174"/>
      <c r="X987" s="174"/>
      <c r="Y987" s="174"/>
      <c r="Z987" s="174"/>
    </row>
    <row r="988">
      <c r="A988" s="190" t="str">
        <f>IFERROR(__xludf.DUMMYFUNCTION("""COMPUTED_VALUE"""),"Sludge Wave")</f>
        <v>Sludge Wave</v>
      </c>
      <c r="B988" s="190" t="str">
        <f>IFERROR(__xludf.DUMMYFUNCTION("""COMPUTED_VALUE"""),"Poison")</f>
        <v>Poison</v>
      </c>
      <c r="C988" s="190" t="str">
        <f>IFERROR(__xludf.DUMMYFUNCTION("""COMPUTED_VALUE"""),"Special")</f>
        <v>Special</v>
      </c>
      <c r="D988" s="190" t="str">
        <f>IFERROR(__xludf.DUMMYFUNCTION("""COMPUTED_VALUE"""),"Scene x2")</f>
        <v>Scene x2</v>
      </c>
      <c r="E988" s="190" t="str">
        <f>IFERROR(__xludf.DUMMYFUNCTION("""COMPUTED_VALUE"""),"Burst 1 or Close Blast 2, Full Action")</f>
        <v>Burst 1 or Close Blast 2, Full Action</v>
      </c>
      <c r="F988" s="190">
        <f>IFERROR(__xludf.DUMMYFUNCTION("""COMPUTED_VALUE"""),6.0)</f>
        <v>6</v>
      </c>
      <c r="G988" s="190">
        <f>IFERROR(__xludf.DUMMYFUNCTION("""COMPUTED_VALUE"""),10.0)</f>
        <v>10</v>
      </c>
      <c r="H988" s="191" t="str">
        <f>IFERROR(__xludf.DUMMYFUNCTION("""COMPUTED_VALUE"""),"On a roll of 18+, all Targets become Poisoned or Slowed. Smite")</f>
        <v>On a roll of 18+, all Targets become Poisoned or Slowed. Smite</v>
      </c>
      <c r="I988" s="191" t="str">
        <f>IFERROR(__xludf.DUMMYFUNCTION("""COMPUTED_VALUE"""),"--")</f>
        <v>--</v>
      </c>
      <c r="J988" s="190" t="str">
        <f>IFERROR(__xludf.DUMMYFUNCTION("""COMPUTED_VALUE"""),"Tier 3")</f>
        <v>Tier 3</v>
      </c>
      <c r="K988" s="174" t="b">
        <f>IFERROR(__xludf.DUMMYFUNCTION("""COMPUTED_VALUE"""),TRUE)</f>
        <v>1</v>
      </c>
      <c r="L988" s="174"/>
      <c r="M988" s="174"/>
      <c r="N988" s="174"/>
      <c r="O988" s="174"/>
      <c r="P988" s="174"/>
      <c r="Q988" s="174"/>
      <c r="R988" s="174"/>
      <c r="S988" s="174"/>
      <c r="T988" s="174"/>
      <c r="U988" s="174"/>
      <c r="V988" s="174"/>
      <c r="W988" s="174"/>
      <c r="X988" s="174"/>
      <c r="Y988" s="174"/>
      <c r="Z988" s="174"/>
    </row>
    <row r="989">
      <c r="A989" s="190" t="str">
        <f>IFERROR(__xludf.DUMMYFUNCTION("""COMPUTED_VALUE"""),"Smog")</f>
        <v>Smog</v>
      </c>
      <c r="B989" s="190" t="str">
        <f>IFERROR(__xludf.DUMMYFUNCTION("""COMPUTED_VALUE"""),"Poison")</f>
        <v>Poison</v>
      </c>
      <c r="C989" s="190" t="str">
        <f>IFERROR(__xludf.DUMMYFUNCTION("""COMPUTED_VALUE"""),"Special")</f>
        <v>Special</v>
      </c>
      <c r="D989" s="190" t="str">
        <f>IFERROR(__xludf.DUMMYFUNCTION("""COMPUTED_VALUE"""),"EOT")</f>
        <v>EOT</v>
      </c>
      <c r="E989" s="190" t="str">
        <f>IFERROR(__xludf.DUMMYFUNCTION("""COMPUTED_VALUE"""),"Close Blast 2, Hazard")</f>
        <v>Close Blast 2, Hazard</v>
      </c>
      <c r="F989" s="190">
        <f>IFERROR(__xludf.DUMMYFUNCTION("""COMPUTED_VALUE"""),5.0)</f>
        <v>5</v>
      </c>
      <c r="G989" s="190">
        <f>IFERROR(__xludf.DUMMYFUNCTION("""COMPUTED_VALUE"""),4.0)</f>
        <v>4</v>
      </c>
      <c r="H989" s="191" t="str">
        <f>IFERROR(__xludf.DUMMYFUNCTION("""COMPUTED_VALUE"""),"Smog may create Smoke Hazards within the Range of this Attack. If a Combatant begins or ends their turn in a Smoke Hazard created this way they become Poisoned. Spirit Surge
Smoke Hazard - Smoke Hazards break line of sight. Combatants on a Smoke Hazards "&amp;"are treated as Untargetable by all other Combatants that aren't in a contiguous Smoke Hazard. Combatants on a Smoke Hazard treat all Combatants that aren't in a contigous Smoke Hazard as if they were Untargetable. These Effects are ignored by Combatants w"&amp;"ith Tremorsense or Blindsense. You can still be Untargetable this way even if you were last Round.")</f>
        <v>Smog may create Smoke Hazards within the Range of this Attack. If a Combatant begins or ends their turn in a Smoke Hazard created this way they become Poisoned. Spirit Surge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89" s="191" t="str">
        <f>IFERROR(__xludf.DUMMYFUNCTION("""COMPUTED_VALUE"""),"--")</f>
        <v>--</v>
      </c>
      <c r="J989" s="190" t="str">
        <f>IFERROR(__xludf.DUMMYFUNCTION("""COMPUTED_VALUE"""),"Tier 1")</f>
        <v>Tier 1</v>
      </c>
      <c r="K989" s="174" t="b">
        <f>IFERROR(__xludf.DUMMYFUNCTION("""COMPUTED_VALUE"""),TRUE)</f>
        <v>1</v>
      </c>
      <c r="L989" s="174"/>
      <c r="M989" s="174"/>
      <c r="N989" s="174"/>
      <c r="O989" s="174"/>
      <c r="P989" s="174"/>
      <c r="Q989" s="174"/>
      <c r="R989" s="174"/>
      <c r="S989" s="174"/>
      <c r="T989" s="174"/>
      <c r="U989" s="174"/>
      <c r="V989" s="174"/>
      <c r="W989" s="174"/>
      <c r="X989" s="174"/>
      <c r="Y989" s="174"/>
      <c r="Z989" s="174"/>
    </row>
    <row r="990">
      <c r="A990" s="190" t="str">
        <f>IFERROR(__xludf.DUMMYFUNCTION("""COMPUTED_VALUE"""),"Smog Cloud")</f>
        <v>Smog Cloud</v>
      </c>
      <c r="B990" s="190" t="str">
        <f>IFERROR(__xludf.DUMMYFUNCTION("""COMPUTED_VALUE"""),"Poison")</f>
        <v>Poison</v>
      </c>
      <c r="C990" s="190" t="str">
        <f>IFERROR(__xludf.DUMMYFUNCTION("""COMPUTED_VALUE"""),"Status")</f>
        <v>Status</v>
      </c>
      <c r="D990" s="190" t="str">
        <f>IFERROR(__xludf.DUMMYFUNCTION("""COMPUTED_VALUE"""),"Scene x2")</f>
        <v>Scene x2</v>
      </c>
      <c r="E990" s="190" t="str">
        <f>IFERROR(__xludf.DUMMYFUNCTION("""COMPUTED_VALUE"""),"5, Ranged Blast 3, Hazard")</f>
        <v>5, Ranged Blast 3, Hazard</v>
      </c>
      <c r="F990" s="190" t="str">
        <f>IFERROR(__xludf.DUMMYFUNCTION("""COMPUTED_VALUE"""),"--")</f>
        <v>--</v>
      </c>
      <c r="G990" s="190" t="str">
        <f>IFERROR(__xludf.DUMMYFUNCTION("""COMPUTED_VALUE"""),"--")</f>
        <v>--</v>
      </c>
      <c r="H990" s="191" t="str">
        <f>IFERROR(__xludf.DUMMYFUNCTION("""COMPUTED_VALUE"""),"Smog Cloud creates Smoke Hazards within the Range of this Attack. If a Combatant begins or ends their turn in a Smoke Hazard created this way they become Poisoned. 
Smoke Hazard - Smoke Hazards break line of sight. Combatants on a Smoke Hazards are treat"&amp;"ed as Untargetable by all other Combatants that aren't in a contiguous Smoke Hazard. Combatants on a Smoke Hazard treat all Combatants that aren't in a contigous Smoke Hazard as if they were Untargetable. These Effects are ignored by Combatants with Tremo"&amp;"rsense or Blindsense. You can still be Untargetable this way even if you were last Round.")</f>
        <v>Smog Cloud creates Smoke Hazards within the Range of this Attack. If a Combatant begins or ends their turn in a Smoke Hazard created this way they become Poisoned.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90" s="191" t="str">
        <f>IFERROR(__xludf.DUMMYFUNCTION("""COMPUTED_VALUE"""),"Same as the normal Effects but all Hazards created this way are removed at the end of the next Round.")</f>
        <v>Same as the normal Effects but all Hazards created this way are removed at the end of the next Round.</v>
      </c>
      <c r="J990" s="190" t="str">
        <f>IFERROR(__xludf.DUMMYFUNCTION("""COMPUTED_VALUE"""),"Tier 2")</f>
        <v>Tier 2</v>
      </c>
      <c r="K990" s="174" t="b">
        <f>IFERROR(__xludf.DUMMYFUNCTION("""COMPUTED_VALUE"""),TRUE)</f>
        <v>1</v>
      </c>
      <c r="L990" s="174"/>
      <c r="M990" s="174"/>
      <c r="N990" s="174"/>
      <c r="O990" s="174"/>
      <c r="P990" s="174"/>
      <c r="Q990" s="174"/>
      <c r="R990" s="174"/>
      <c r="S990" s="174"/>
      <c r="T990" s="174"/>
      <c r="U990" s="174"/>
      <c r="V990" s="174"/>
      <c r="W990" s="174"/>
      <c r="X990" s="174"/>
      <c r="Y990" s="174"/>
      <c r="Z990" s="174"/>
    </row>
    <row r="991">
      <c r="A991" s="190" t="str">
        <f>IFERROR(__xludf.DUMMYFUNCTION("""COMPUTED_VALUE"""),"Sulfur Plume")</f>
        <v>Sulfur Plume</v>
      </c>
      <c r="B991" s="190" t="str">
        <f>IFERROR(__xludf.DUMMYFUNCTION("""COMPUTED_VALUE"""),"Poison")</f>
        <v>Poison</v>
      </c>
      <c r="C991" s="190" t="str">
        <f>IFERROR(__xludf.DUMMYFUNCTION("""COMPUTED_VALUE"""),"Special")</f>
        <v>Special</v>
      </c>
      <c r="D991" s="190" t="str">
        <f>IFERROR(__xludf.DUMMYFUNCTION("""COMPUTED_VALUE"""),"EOT")</f>
        <v>EOT</v>
      </c>
      <c r="E991" s="190" t="str">
        <f>IFERROR(__xludf.DUMMYFUNCTION("""COMPUTED_VALUE"""),"Burst 1 ")</f>
        <v>Burst 1 </v>
      </c>
      <c r="F991" s="190">
        <f>IFERROR(__xludf.DUMMYFUNCTION("""COMPUTED_VALUE"""),6.0)</f>
        <v>6</v>
      </c>
      <c r="G991" s="190">
        <f>IFERROR(__xludf.DUMMYFUNCTION("""COMPUTED_VALUE"""),8.0)</f>
        <v>8</v>
      </c>
      <c r="H991" s="191" t="str">
        <f>IFERROR(__xludf.DUMMYFUNCTION("""COMPUTED_VALUE"""),"On a roll of 16+, all Targets become Poisoned. This Attack may also be used as a Full Action to treat its Range as Burst 2.")</f>
        <v>On a roll of 16+, all Targets become Poisoned. This Attack may also be used as a Full Action to treat its Range as Burst 2.</v>
      </c>
      <c r="I991" s="191" t="str">
        <f>IFERROR(__xludf.DUMMYFUNCTION("""COMPUTED_VALUE"""),"--")</f>
        <v>--</v>
      </c>
      <c r="J991" s="190" t="str">
        <f>IFERROR(__xludf.DUMMYFUNCTION("""COMPUTED_VALUE"""),"Tier 2")</f>
        <v>Tier 2</v>
      </c>
      <c r="K991" s="174" t="b">
        <f>IFERROR(__xludf.DUMMYFUNCTION("""COMPUTED_VALUE"""),TRUE)</f>
        <v>1</v>
      </c>
      <c r="L991" s="174"/>
      <c r="M991" s="174"/>
      <c r="N991" s="174"/>
      <c r="O991" s="174"/>
      <c r="P991" s="174"/>
      <c r="Q991" s="174"/>
      <c r="R991" s="174"/>
      <c r="S991" s="174"/>
      <c r="T991" s="174"/>
      <c r="U991" s="174"/>
      <c r="V991" s="174"/>
      <c r="W991" s="174"/>
      <c r="X991" s="174"/>
      <c r="Y991" s="174"/>
      <c r="Z991" s="174"/>
    </row>
    <row r="992">
      <c r="A992" s="190" t="str">
        <f>IFERROR(__xludf.DUMMYFUNCTION("""COMPUTED_VALUE"""),"Toxic")</f>
        <v>Toxic</v>
      </c>
      <c r="B992" s="190" t="str">
        <f>IFERROR(__xludf.DUMMYFUNCTION("""COMPUTED_VALUE"""),"Poison")</f>
        <v>Poison</v>
      </c>
      <c r="C992" s="190" t="str">
        <f>IFERROR(__xludf.DUMMYFUNCTION("""COMPUTED_VALUE"""),"Status")</f>
        <v>Status</v>
      </c>
      <c r="D992" s="190" t="str">
        <f>IFERROR(__xludf.DUMMYFUNCTION("""COMPUTED_VALUE"""),"Scene x2")</f>
        <v>Scene x2</v>
      </c>
      <c r="E992" s="190" t="str">
        <f>IFERROR(__xludf.DUMMYFUNCTION("""COMPUTED_VALUE"""),"4, 1 Target, Versatile")</f>
        <v>4, 1 Target, Versatile</v>
      </c>
      <c r="F992" s="190" t="str">
        <f>IFERROR(__xludf.DUMMYFUNCTION("""COMPUTED_VALUE"""),"--")</f>
        <v>--</v>
      </c>
      <c r="G992" s="190" t="str">
        <f>IFERROR(__xludf.DUMMYFUNCTION("""COMPUTED_VALUE"""),"--")</f>
        <v>--</v>
      </c>
      <c r="H992" s="191" t="str">
        <f>IFERROR(__xludf.DUMMYFUNCTION("""COMPUTED_VALUE"""),"The Target becomes Poisoned and it cannot be cured during their next Turn. Sureshot.")</f>
        <v>The Target becomes Poisoned and it cannot be cured during their next Turn. Sureshot.</v>
      </c>
      <c r="I992" s="191" t="str">
        <f>IFERROR(__xludf.DUMMYFUNCTION("""COMPUTED_VALUE"""),"Same as the normal Effects, but the AC becomes 5 and ignores the Sureshot Keyword. ")</f>
        <v>Same as the normal Effects, but the AC becomes 5 and ignores the Sureshot Keyword. </v>
      </c>
      <c r="J992" s="190" t="str">
        <f>IFERROR(__xludf.DUMMYFUNCTION("""COMPUTED_VALUE"""),"Tier 2")</f>
        <v>Tier 2</v>
      </c>
      <c r="K992" s="174" t="b">
        <f>IFERROR(__xludf.DUMMYFUNCTION("""COMPUTED_VALUE"""),TRUE)</f>
        <v>1</v>
      </c>
      <c r="L992" s="174"/>
      <c r="M992" s="174"/>
      <c r="N992" s="174"/>
      <c r="O992" s="174"/>
      <c r="P992" s="174"/>
      <c r="Q992" s="174"/>
      <c r="R992" s="174"/>
      <c r="S992" s="174"/>
      <c r="T992" s="174"/>
      <c r="U992" s="174"/>
      <c r="V992" s="174"/>
      <c r="W992" s="174"/>
      <c r="X992" s="174"/>
      <c r="Y992" s="174"/>
      <c r="Z992" s="174"/>
    </row>
    <row r="993">
      <c r="A993" s="190" t="str">
        <f>IFERROR(__xludf.DUMMYFUNCTION("""COMPUTED_VALUE"""),"Toxic Mist")</f>
        <v>Toxic Mist</v>
      </c>
      <c r="B993" s="190" t="str">
        <f>IFERROR(__xludf.DUMMYFUNCTION("""COMPUTED_VALUE"""),"Poison")</f>
        <v>Poison</v>
      </c>
      <c r="C993" s="190" t="str">
        <f>IFERROR(__xludf.DUMMYFUNCTION("""COMPUTED_VALUE"""),"Status")</f>
        <v>Status</v>
      </c>
      <c r="D993" s="190" t="str">
        <f>IFERROR(__xludf.DUMMYFUNCTION("""COMPUTED_VALUE"""),"Scene x2")</f>
        <v>Scene x2</v>
      </c>
      <c r="E993" s="190" t="str">
        <f>IFERROR(__xludf.DUMMYFUNCTION("""COMPUTED_VALUE"""),"Blessing, Versatile")</f>
        <v>Blessing, Versatile</v>
      </c>
      <c r="F993" s="190" t="str">
        <f>IFERROR(__xludf.DUMMYFUNCTION("""COMPUTED_VALUE"""),"--")</f>
        <v>--</v>
      </c>
      <c r="G993" s="190" t="str">
        <f>IFERROR(__xludf.DUMMYFUNCTION("""COMPUTED_VALUE"""),"--")</f>
        <v>--</v>
      </c>
      <c r="H993" s="191" t="str">
        <f>IFERROR(__xludf.DUMMYFUNCTION("""COMPUTED_VALUE"""),"Blessing - Any user affected by Toxic Mist may activate it as a Free Action when using a Poison Type Damaging Attack to grant it the Smite Keyword. If the Attack hits, it is also increased by one damage step. (Max 1.5x Effectiveness). Toxic Mist may be Ac"&amp;"tivated 3 times and then disappears. ")</f>
        <v>Blessing - Any user affected by Toxic Mist may activate it as a Free Action when using a Poison Type Damaging Attack to grant it the Smite Keyword. If the Attack hits, it is also increased by one damage step. (Max 1.5x Effectiveness). Toxic Mist may be Activated 3 times and then disappears. </v>
      </c>
      <c r="I993" s="191" t="str">
        <f>IFERROR(__xludf.DUMMYFUNCTION("""COMPUTED_VALUE"""),"Same as the normal Effect, but it only has 1 Activation.")</f>
        <v>Same as the normal Effect, but it only has 1 Activation.</v>
      </c>
      <c r="J993" s="190" t="str">
        <f>IFERROR(__xludf.DUMMYFUNCTION("""COMPUTED_VALUE"""),"Tier 2")</f>
        <v>Tier 2</v>
      </c>
      <c r="K993" s="174" t="b">
        <f>IFERROR(__xludf.DUMMYFUNCTION("""COMPUTED_VALUE"""),TRUE)</f>
        <v>1</v>
      </c>
      <c r="L993" s="174"/>
      <c r="M993" s="174"/>
      <c r="N993" s="174"/>
      <c r="O993" s="174"/>
      <c r="P993" s="174"/>
      <c r="Q993" s="174"/>
      <c r="R993" s="174"/>
      <c r="S993" s="174"/>
      <c r="T993" s="174"/>
      <c r="U993" s="174"/>
      <c r="V993" s="174"/>
      <c r="W993" s="174"/>
      <c r="X993" s="174"/>
      <c r="Y993" s="174"/>
      <c r="Z993" s="174"/>
    </row>
    <row r="994">
      <c r="A994" s="190" t="str">
        <f>IFERROR(__xludf.DUMMYFUNCTION("""COMPUTED_VALUE"""),"Toxic Spikes")</f>
        <v>Toxic Spikes</v>
      </c>
      <c r="B994" s="190" t="str">
        <f>IFERROR(__xludf.DUMMYFUNCTION("""COMPUTED_VALUE"""),"Poison")</f>
        <v>Poison</v>
      </c>
      <c r="C994" s="190" t="str">
        <f>IFERROR(__xludf.DUMMYFUNCTION("""COMPUTED_VALUE"""),"Status")</f>
        <v>Status</v>
      </c>
      <c r="D994" s="190" t="str">
        <f>IFERROR(__xludf.DUMMYFUNCTION("""COMPUTED_VALUE"""),"EOT")</f>
        <v>EOT</v>
      </c>
      <c r="E994" s="190" t="str">
        <f>IFERROR(__xludf.DUMMYFUNCTION("""COMPUTED_VALUE"""),"6, Hazard, Swift Action")</f>
        <v>6, Hazard, Swift Action</v>
      </c>
      <c r="F994" s="190" t="str">
        <f>IFERROR(__xludf.DUMMYFUNCTION("""COMPUTED_VALUE"""),"--")</f>
        <v>--</v>
      </c>
      <c r="G994" s="190" t="str">
        <f>IFERROR(__xludf.DUMMYFUNCTION("""COMPUTED_VALUE"""),"--")</f>
        <v>--</v>
      </c>
      <c r="H994" s="191" t="str">
        <f>IFERROR(__xludf.DUMMYFUNCTION("""COMPUTED_VALUE"""),"Choose 8 Spaces within the Range of this Attack to create Spike Hazards in, such that all 8 Spaces are Adjacent to at least one other Spike Hazard. Enemies that Trigger Spike Hazards created this way also become Poisoned. Poison Type Pokemon are Immune to"&amp;" Spike Hazards created this way and may destroy it when Moving over a Space with this Hazard.
Spike Hazards - Spaces with Spike Hazards are treated as Slow Terrain. Any Grounded Enemy that passes through a Spike Hazard loses one Tick of Hit Points and ca"&amp;"nnot gain Hit Points or Temporary Hit Points until the end of the next Round.")</f>
        <v>Choose 8 Spaces within the Range of this Attack to create Spike Hazards in, such that all 8 Spaces are Adjacent to at least one other Spike Hazard. Enemies that Trigger Spike Hazards created this way also become Poisoned. Poison Type Pokemon are Immune to Spike Hazards created this way and may destroy it when Moving over a Space with this Hazard.
Spike Hazards - Spaces with Spike Hazards are treated as Slow Terrain. Any Grounded Enemy that passes through a Spike Hazard loses one Tick of Hit Points and cannot gain Hit Points or Temporary Hit Points until the end of the next Round.</v>
      </c>
      <c r="I994" s="191" t="str">
        <f>IFERROR(__xludf.DUMMYFUNCTION("""COMPUTED_VALUE"""),"--")</f>
        <v>--</v>
      </c>
      <c r="J994" s="190" t="str">
        <f>IFERROR(__xludf.DUMMYFUNCTION("""COMPUTED_VALUE"""),"Tier 1")</f>
        <v>Tier 1</v>
      </c>
      <c r="K994" s="174" t="b">
        <f>IFERROR(__xludf.DUMMYFUNCTION("""COMPUTED_VALUE"""),TRUE)</f>
        <v>1</v>
      </c>
      <c r="L994" s="174"/>
      <c r="M994" s="174"/>
      <c r="N994" s="174"/>
      <c r="O994" s="174"/>
      <c r="P994" s="174"/>
      <c r="Q994" s="174"/>
      <c r="R994" s="174"/>
      <c r="S994" s="174"/>
      <c r="T994" s="174"/>
      <c r="U994" s="174"/>
      <c r="V994" s="174"/>
      <c r="W994" s="174"/>
      <c r="X994" s="174"/>
      <c r="Y994" s="174"/>
      <c r="Z994" s="174"/>
    </row>
    <row r="995">
      <c r="A995" s="190" t="str">
        <f>IFERROR(__xludf.DUMMYFUNCTION("""COMPUTED_VALUE"""),"Toxic Threads")</f>
        <v>Toxic Threads</v>
      </c>
      <c r="B995" s="190" t="str">
        <f>IFERROR(__xludf.DUMMYFUNCTION("""COMPUTED_VALUE"""),"Poison")</f>
        <v>Poison</v>
      </c>
      <c r="C995" s="190" t="str">
        <f>IFERROR(__xludf.DUMMYFUNCTION("""COMPUTED_VALUE"""),"Status")</f>
        <v>Status</v>
      </c>
      <c r="D995" s="190" t="str">
        <f>IFERROR(__xludf.DUMMYFUNCTION("""COMPUTED_VALUE"""),"Scene x2")</f>
        <v>Scene x2</v>
      </c>
      <c r="E995" s="190" t="str">
        <f>IFERROR(__xludf.DUMMYFUNCTION("""COMPUTED_VALUE"""),"6, 1 Target, Versatile")</f>
        <v>6, 1 Target, Versatile</v>
      </c>
      <c r="F995" s="190">
        <f>IFERROR(__xludf.DUMMYFUNCTION("""COMPUTED_VALUE"""),4.0)</f>
        <v>4</v>
      </c>
      <c r="G995" s="190" t="str">
        <f>IFERROR(__xludf.DUMMYFUNCTION("""COMPUTED_VALUE"""),"--")</f>
        <v>--</v>
      </c>
      <c r="H995" s="191" t="str">
        <f>IFERROR(__xludf.DUMMYFUNCTION("""COMPUTED_VALUE"""),"The Target becomes Slowed and Poisoned. *Grants Threaded")</f>
        <v>The Target becomes Slowed and Poisoned. *Grants Threaded</v>
      </c>
      <c r="I995" s="191" t="str">
        <f>IFERROR(__xludf.DUMMYFUNCTION("""COMPUTED_VALUE"""),"The Target becomes Slowed or Poisoned. ")</f>
        <v>The Target becomes Slowed or Poisoned. </v>
      </c>
      <c r="J995" s="190" t="str">
        <f>IFERROR(__xludf.DUMMYFUNCTION("""COMPUTED_VALUE"""),"Tier 2")</f>
        <v>Tier 2</v>
      </c>
      <c r="K995" s="174" t="b">
        <f>IFERROR(__xludf.DUMMYFUNCTION("""COMPUTED_VALUE"""),TRUE)</f>
        <v>1</v>
      </c>
      <c r="L995" s="174"/>
      <c r="M995" s="174"/>
      <c r="N995" s="174"/>
      <c r="O995" s="174"/>
      <c r="P995" s="174"/>
      <c r="Q995" s="174"/>
      <c r="R995" s="174"/>
      <c r="S995" s="174"/>
      <c r="T995" s="174"/>
      <c r="U995" s="174"/>
      <c r="V995" s="174"/>
      <c r="W995" s="174"/>
      <c r="X995" s="174"/>
      <c r="Y995" s="174"/>
      <c r="Z995" s="174"/>
    </row>
    <row r="996">
      <c r="A996" s="190" t="str">
        <f>IFERROR(__xludf.DUMMYFUNCTION("""COMPUTED_VALUE"""),"Toxin Drain")</f>
        <v>Toxin Drain</v>
      </c>
      <c r="B996" s="190" t="str">
        <f>IFERROR(__xludf.DUMMYFUNCTION("""COMPUTED_VALUE"""),"Poison")</f>
        <v>Poison</v>
      </c>
      <c r="C996" s="190" t="str">
        <f>IFERROR(__xludf.DUMMYFUNCTION("""COMPUTED_VALUE"""),"Status")</f>
        <v>Status</v>
      </c>
      <c r="D996" s="190" t="str">
        <f>IFERROR(__xludf.DUMMYFUNCTION("""COMPUTED_VALUE"""),"Scene x2")</f>
        <v>Scene x2</v>
      </c>
      <c r="E996" s="190" t="str">
        <f>IFERROR(__xludf.DUMMYFUNCTION("""COMPUTED_VALUE"""),"Self, Versatile")</f>
        <v>Self, Versatile</v>
      </c>
      <c r="F996" s="190" t="str">
        <f>IFERROR(__xludf.DUMMYFUNCTION("""COMPUTED_VALUE"""),"--")</f>
        <v>--</v>
      </c>
      <c r="G996" s="190" t="str">
        <f>IFERROR(__xludf.DUMMYFUNCTION("""COMPUTED_VALUE"""),"--")</f>
        <v>--</v>
      </c>
      <c r="H996" s="191" t="str">
        <f>IFERROR(__xludf.DUMMYFUNCTION("""COMPUTED_VALUE"""),"The user restores 5 Ticks of Hit Points. Additionally, the user may remove the Poisoned Affliction from any Combatant(s) within 3m of them. If they do, they gain two Ticks of Temporary Hit Points per Combatant cured this way.")</f>
        <v>The user restores 5 Ticks of Hit Points. Additionally, the user may remove the Poisoned Affliction from any Combatant(s) within 3m of them. If they do, they gain two Ticks of Temporary Hit Points per Combatant cured this way.</v>
      </c>
      <c r="I996" s="191" t="str">
        <f>IFERROR(__xludf.DUMMYFUNCTION("""COMPUTED_VALUE"""),"The Target is cured of the Poisoned Affliction. When used this way, its Range is changed to Melee, 1 Target.")</f>
        <v>The Target is cured of the Poisoned Affliction. When used this way, its Range is changed to Melee, 1 Target.</v>
      </c>
      <c r="J996" s="190" t="str">
        <f>IFERROR(__xludf.DUMMYFUNCTION("""COMPUTED_VALUE"""),"Tier 2")</f>
        <v>Tier 2</v>
      </c>
      <c r="K996" s="174" t="b">
        <f>IFERROR(__xludf.DUMMYFUNCTION("""COMPUTED_VALUE"""),TRUE)</f>
        <v>1</v>
      </c>
      <c r="L996" s="174"/>
      <c r="M996" s="174"/>
      <c r="N996" s="174"/>
      <c r="O996" s="174"/>
      <c r="P996" s="174"/>
      <c r="Q996" s="174"/>
      <c r="R996" s="174"/>
      <c r="S996" s="174"/>
      <c r="T996" s="174"/>
      <c r="U996" s="174"/>
      <c r="V996" s="174"/>
      <c r="W996" s="174"/>
      <c r="X996" s="174"/>
      <c r="Y996" s="174"/>
      <c r="Z996" s="174"/>
    </row>
    <row r="997">
      <c r="A997" s="190" t="str">
        <f>IFERROR(__xludf.DUMMYFUNCTION("""COMPUTED_VALUE"""),"Toxin Rain")</f>
        <v>Toxin Rain</v>
      </c>
      <c r="B997" s="190" t="str">
        <f>IFERROR(__xludf.DUMMYFUNCTION("""COMPUTED_VALUE"""),"Poison")</f>
        <v>Poison</v>
      </c>
      <c r="C997" s="190" t="str">
        <f>IFERROR(__xludf.DUMMYFUNCTION("""COMPUTED_VALUE"""),"Status")</f>
        <v>Status</v>
      </c>
      <c r="D997" s="190" t="str">
        <f>IFERROR(__xludf.DUMMYFUNCTION("""COMPUTED_VALUE"""),"Scene x2")</f>
        <v>Scene x2</v>
      </c>
      <c r="E997" s="190" t="str">
        <f>IFERROR(__xludf.DUMMYFUNCTION("""COMPUTED_VALUE"""),"6, Ranged Blast 3, Versatile")</f>
        <v>6, Ranged Blast 3, Versatile</v>
      </c>
      <c r="F997" s="190">
        <f>IFERROR(__xludf.DUMMYFUNCTION("""COMPUTED_VALUE"""),5.0)</f>
        <v>5</v>
      </c>
      <c r="G997" s="190" t="str">
        <f>IFERROR(__xludf.DUMMYFUNCTION("""COMPUTED_VALUE"""),"--")</f>
        <v>--</v>
      </c>
      <c r="H997" s="191" t="str">
        <f>IFERROR(__xludf.DUMMYFUNCTION("""COMPUTED_VALUE"""),"On a hit, all Targets become Poisoned. After this Attack resolves, create a Zone within the range of this Attack. Whenever a Combatant ends their Turn in this Zone, they become Poisoned. This Zone lasts until you Faint. ")</f>
        <v>On a hit, all Targets become Poisoned. After this Attack resolves, create a Zone within the range of this Attack. Whenever a Combatant ends their Turn in this Zone, they become Poisoned. This Zone lasts until you Faint. </v>
      </c>
      <c r="I997" s="191" t="str">
        <f>IFERROR(__xludf.DUMMYFUNCTION("""COMPUTED_VALUE"""),"All Targets become Poisoned.  ")</f>
        <v>All Targets become Poisoned.  </v>
      </c>
      <c r="J997" s="190" t="str">
        <f>IFERROR(__xludf.DUMMYFUNCTION("""COMPUTED_VALUE"""),"Tier 2")</f>
        <v>Tier 2</v>
      </c>
      <c r="K997" s="174" t="b">
        <f>IFERROR(__xludf.DUMMYFUNCTION("""COMPUTED_VALUE"""),TRUE)</f>
        <v>1</v>
      </c>
      <c r="L997" s="174"/>
      <c r="M997" s="174"/>
      <c r="N997" s="174"/>
      <c r="O997" s="174"/>
      <c r="P997" s="174"/>
      <c r="Q997" s="174"/>
      <c r="R997" s="174"/>
      <c r="S997" s="174"/>
      <c r="T997" s="174"/>
      <c r="U997" s="174"/>
      <c r="V997" s="174"/>
      <c r="W997" s="174"/>
      <c r="X997" s="174"/>
      <c r="Y997" s="174"/>
      <c r="Z997" s="174"/>
    </row>
    <row r="998">
      <c r="A998" s="190" t="str">
        <f>IFERROR(__xludf.DUMMYFUNCTION("""COMPUTED_VALUE"""),"Toxin Splash")</f>
        <v>Toxin Splash</v>
      </c>
      <c r="B998" s="190" t="str">
        <f>IFERROR(__xludf.DUMMYFUNCTION("""COMPUTED_VALUE"""),"Poison")</f>
        <v>Poison</v>
      </c>
      <c r="C998" s="190" t="str">
        <f>IFERROR(__xludf.DUMMYFUNCTION("""COMPUTED_VALUE"""),"Special")</f>
        <v>Special</v>
      </c>
      <c r="D998" s="190" t="str">
        <f>IFERROR(__xludf.DUMMYFUNCTION("""COMPUTED_VALUE"""),"At-Will")</f>
        <v>At-Will</v>
      </c>
      <c r="E998" s="190" t="str">
        <f>IFERROR(__xludf.DUMMYFUNCTION("""COMPUTED_VALUE"""),"6, 1 Target")</f>
        <v>6, 1 Target</v>
      </c>
      <c r="F998" s="190">
        <f>IFERROR(__xludf.DUMMYFUNCTION("""COMPUTED_VALUE"""),3.0)</f>
        <v>3</v>
      </c>
      <c r="G998" s="190">
        <f>IFERROR(__xludf.DUMMYFUNCTION("""COMPUTED_VALUE"""),4.0)</f>
        <v>4</v>
      </c>
      <c r="H998" s="191" t="str">
        <f>IFERROR(__xludf.DUMMYFUNCTION("""COMPUTED_VALUE"""),"On a roll of 17+, the Target becomes Poisoned.")</f>
        <v>On a roll of 17+, the Target becomes Poisoned.</v>
      </c>
      <c r="I998" s="191" t="str">
        <f>IFERROR(__xludf.DUMMYFUNCTION("""COMPUTED_VALUE"""),"--")</f>
        <v>--</v>
      </c>
      <c r="J998" s="190" t="str">
        <f>IFERROR(__xludf.DUMMYFUNCTION("""COMPUTED_VALUE"""),"Tier 1")</f>
        <v>Tier 1</v>
      </c>
      <c r="K998" s="174" t="b">
        <f>IFERROR(__xludf.DUMMYFUNCTION("""COMPUTED_VALUE"""),TRUE)</f>
        <v>1</v>
      </c>
      <c r="L998" s="174"/>
      <c r="M998" s="174"/>
      <c r="N998" s="174"/>
      <c r="O998" s="174"/>
      <c r="P998" s="174"/>
      <c r="Q998" s="174"/>
      <c r="R998" s="174"/>
      <c r="S998" s="174"/>
      <c r="T998" s="174"/>
      <c r="U998" s="174"/>
      <c r="V998" s="174"/>
      <c r="W998" s="174"/>
      <c r="X998" s="174"/>
      <c r="Y998" s="174"/>
      <c r="Z998" s="174"/>
    </row>
    <row r="999">
      <c r="A999" s="190" t="str">
        <f>IFERROR(__xludf.DUMMYFUNCTION("""COMPUTED_VALUE"""),"Venom Claw")</f>
        <v>Venom Claw</v>
      </c>
      <c r="B999" s="190" t="str">
        <f>IFERROR(__xludf.DUMMYFUNCTION("""COMPUTED_VALUE"""),"Poison")</f>
        <v>Poison</v>
      </c>
      <c r="C999" s="190" t="str">
        <f>IFERROR(__xludf.DUMMYFUNCTION("""COMPUTED_VALUE"""),"Physical")</f>
        <v>Physical</v>
      </c>
      <c r="D999" s="190" t="str">
        <f>IFERROR(__xludf.DUMMYFUNCTION("""COMPUTED_VALUE"""),"Scene x2")</f>
        <v>Scene x2</v>
      </c>
      <c r="E999" s="190" t="str">
        <f>IFERROR(__xludf.DUMMYFUNCTION("""COMPUTED_VALUE"""),"Melee, 1 Target")</f>
        <v>Melee, 1 Target</v>
      </c>
      <c r="F999" s="190">
        <f>IFERROR(__xludf.DUMMYFUNCTION("""COMPUTED_VALUE"""),4.0)</f>
        <v>4</v>
      </c>
      <c r="G999" s="190">
        <f>IFERROR(__xludf.DUMMYFUNCTION("""COMPUTED_VALUE"""),6.0)</f>
        <v>6</v>
      </c>
      <c r="H999" s="191" t="str">
        <f>IFERROR(__xludf.DUMMYFUNCTION("""COMPUTED_VALUE"""),"On an Even Roll, the Target becomes Poisoned. On an Odd Roll, they become Wounded.")</f>
        <v>On an Even Roll, the Target becomes Poisoned. On an Odd Roll, they become Wounded.</v>
      </c>
      <c r="I999" s="191" t="str">
        <f>IFERROR(__xludf.DUMMYFUNCTION("""COMPUTED_VALUE"""),"--")</f>
        <v>--</v>
      </c>
      <c r="J999" s="190" t="str">
        <f>IFERROR(__xludf.DUMMYFUNCTION("""COMPUTED_VALUE"""),"Tier 2")</f>
        <v>Tier 2</v>
      </c>
      <c r="K999" s="174" t="b">
        <f>IFERROR(__xludf.DUMMYFUNCTION("""COMPUTED_VALUE"""),TRUE)</f>
        <v>1</v>
      </c>
      <c r="L999" s="174"/>
      <c r="M999" s="174"/>
      <c r="N999" s="174"/>
      <c r="O999" s="174"/>
      <c r="P999" s="174"/>
      <c r="Q999" s="174"/>
      <c r="R999" s="174"/>
      <c r="S999" s="174"/>
      <c r="T999" s="174"/>
      <c r="U999" s="174"/>
      <c r="V999" s="174"/>
      <c r="W999" s="174"/>
      <c r="X999" s="174"/>
      <c r="Y999" s="174"/>
      <c r="Z999" s="174"/>
    </row>
    <row r="1000">
      <c r="A1000" s="190" t="str">
        <f>IFERROR(__xludf.DUMMYFUNCTION("""COMPUTED_VALUE"""),"Venom Drench")</f>
        <v>Venom Drench</v>
      </c>
      <c r="B1000" s="190" t="str">
        <f>IFERROR(__xludf.DUMMYFUNCTION("""COMPUTED_VALUE"""),"Poison")</f>
        <v>Poison</v>
      </c>
      <c r="C1000" s="190" t="str">
        <f>IFERROR(__xludf.DUMMYFUNCTION("""COMPUTED_VALUE"""),"Status")</f>
        <v>Status</v>
      </c>
      <c r="D1000" s="190" t="str">
        <f>IFERROR(__xludf.DUMMYFUNCTION("""COMPUTED_VALUE"""),"EOT")</f>
        <v>EOT</v>
      </c>
      <c r="E1000" s="190" t="str">
        <f>IFERROR(__xludf.DUMMYFUNCTION("""COMPUTED_VALUE"""),"Close Blast 2, Versatile")</f>
        <v>Close Blast 2, Versatile</v>
      </c>
      <c r="F1000" s="190" t="str">
        <f>IFERROR(__xludf.DUMMYFUNCTION("""COMPUTED_VALUE"""),"--")</f>
        <v>--</v>
      </c>
      <c r="G1000" s="190" t="str">
        <f>IFERROR(__xludf.DUMMYFUNCTION("""COMPUTED_VALUE"""),"--")</f>
        <v>--</v>
      </c>
      <c r="H1000" s="191" t="str">
        <f>IFERROR(__xludf.DUMMYFUNCTION("""COMPUTED_VALUE"""),"All Targets lose -2 CS in a Stat of your Choice. If they're Poisoned, they instead lose -2 CS in two stats of your choice and become Vulnerable until the end of the Round. Sureshot.")</f>
        <v>All Targets lose -2 CS in a Stat of your Choice. If they're Poisoned, they instead lose -2 CS in two stats of your choice and become Vulnerable until the end of the Round. Sureshot.</v>
      </c>
      <c r="I1000" s="191" t="str">
        <f>IFERROR(__xludf.DUMMYFUNCTION("""COMPUTED_VALUE"""),"All Targets become Poisoned. When used this way, the AC becomes 4.")</f>
        <v>All Targets become Poisoned. When used this way, the AC becomes 4.</v>
      </c>
      <c r="J1000" s="190" t="str">
        <f>IFERROR(__xludf.DUMMYFUNCTION("""COMPUTED_VALUE"""),"Tier 1")</f>
        <v>Tier 1</v>
      </c>
      <c r="K1000" s="174" t="b">
        <f>IFERROR(__xludf.DUMMYFUNCTION("""COMPUTED_VALUE"""),TRUE)</f>
        <v>1</v>
      </c>
      <c r="L1000" s="174"/>
      <c r="M1000" s="174"/>
      <c r="N1000" s="174"/>
      <c r="O1000" s="174"/>
      <c r="P1000" s="174"/>
      <c r="Q1000" s="174"/>
      <c r="R1000" s="174"/>
      <c r="S1000" s="174"/>
      <c r="T1000" s="174"/>
      <c r="U1000" s="174"/>
      <c r="V1000" s="174"/>
      <c r="W1000" s="174"/>
      <c r="X1000" s="174"/>
      <c r="Y1000" s="174"/>
      <c r="Z1000" s="174"/>
    </row>
    <row r="1001">
      <c r="A1001" s="190" t="str">
        <f>IFERROR(__xludf.DUMMYFUNCTION("""COMPUTED_VALUE"""),"Venoshock")</f>
        <v>Venoshock</v>
      </c>
      <c r="B1001" s="190" t="str">
        <f>IFERROR(__xludf.DUMMYFUNCTION("""COMPUTED_VALUE"""),"Poison")</f>
        <v>Poison</v>
      </c>
      <c r="C1001" s="190" t="str">
        <f>IFERROR(__xludf.DUMMYFUNCTION("""COMPUTED_VALUE"""),"Special")</f>
        <v>Special</v>
      </c>
      <c r="D1001" s="190" t="str">
        <f>IFERROR(__xludf.DUMMYFUNCTION("""COMPUTED_VALUE"""),"Scene x2")</f>
        <v>Scene x2</v>
      </c>
      <c r="E1001" s="190" t="str">
        <f>IFERROR(__xludf.DUMMYFUNCTION("""COMPUTED_VALUE"""),"6, 1 Target")</f>
        <v>6, 1 Target</v>
      </c>
      <c r="F1001" s="190">
        <f>IFERROR(__xludf.DUMMYFUNCTION("""COMPUTED_VALUE"""),3.0)</f>
        <v>3</v>
      </c>
      <c r="G1001" s="190">
        <f>IFERROR(__xludf.DUMMYFUNCTION("""COMPUTED_VALUE"""),8.0)</f>
        <v>8</v>
      </c>
      <c r="H1001" s="191" t="str">
        <f>IFERROR(__xludf.DUMMYFUNCTION("""COMPUTED_VALUE"""),"If a Target hit by this Attack is Poisoned, you may cure them of the Affliction. If they are cured this way, they lose three Ticks of Hit Points.")</f>
        <v>If a Target hit by this Attack is Poisoned, you may cure them of the Affliction. If they are cured this way, they lose three Ticks of Hit Points.</v>
      </c>
      <c r="I1001" s="191" t="str">
        <f>IFERROR(__xludf.DUMMYFUNCTION("""COMPUTED_VALUE"""),"--")</f>
        <v>--</v>
      </c>
      <c r="J1001" s="190" t="str">
        <f>IFERROR(__xludf.DUMMYFUNCTION("""COMPUTED_VALUE"""),"Tier 2")</f>
        <v>Tier 2</v>
      </c>
      <c r="K1001" s="174" t="b">
        <f>IFERROR(__xludf.DUMMYFUNCTION("""COMPUTED_VALUE"""),TRUE)</f>
        <v>1</v>
      </c>
      <c r="L1001" s="174"/>
      <c r="M1001" s="174"/>
      <c r="N1001" s="174"/>
      <c r="O1001" s="174"/>
      <c r="P1001" s="174"/>
      <c r="Q1001" s="174"/>
      <c r="R1001" s="174"/>
      <c r="S1001" s="174"/>
      <c r="T1001" s="174"/>
      <c r="U1001" s="174"/>
      <c r="V1001" s="174"/>
      <c r="W1001" s="174"/>
      <c r="X1001" s="174"/>
      <c r="Y1001" s="174"/>
      <c r="Z1001" s="174"/>
    </row>
    <row r="1002">
      <c r="A1002" s="190" t="str">
        <f>IFERROR(__xludf.DUMMYFUNCTION("""COMPUTED_VALUE"""),"Agility")</f>
        <v>Agility</v>
      </c>
      <c r="B1002" s="190" t="str">
        <f>IFERROR(__xludf.DUMMYFUNCTION("""COMPUTED_VALUE"""),"Psychic")</f>
        <v>Psychic</v>
      </c>
      <c r="C1002" s="190" t="str">
        <f>IFERROR(__xludf.DUMMYFUNCTION("""COMPUTED_VALUE"""),"Status")</f>
        <v>Status</v>
      </c>
      <c r="D1002" s="190" t="str">
        <f>IFERROR(__xludf.DUMMYFUNCTION("""COMPUTED_VALUE"""),"EOT")</f>
        <v>EOT</v>
      </c>
      <c r="E1002" s="190" t="str">
        <f>IFERROR(__xludf.DUMMYFUNCTION("""COMPUTED_VALUE"""),"Self, Versatile")</f>
        <v>Self, Versatile</v>
      </c>
      <c r="F1002" s="190" t="str">
        <f>IFERROR(__xludf.DUMMYFUNCTION("""COMPUTED_VALUE"""),"--")</f>
        <v>--</v>
      </c>
      <c r="G1002" s="190" t="str">
        <f>IFERROR(__xludf.DUMMYFUNCTION("""COMPUTED_VALUE"""),"--")</f>
        <v>--</v>
      </c>
      <c r="H1002" s="191" t="str">
        <f>IFERROR(__xludf.DUMMYFUNCTION("""COMPUTED_VALUE"""),"Choose two different Effects to apply to the user: The user gains +2 CS in Speed. The user gains +2 Evasion. The user’s next Dash Attack has the Sureshot Keyword. The user gains +3 Uncapped Evasion until the start of their next Turn. ")</f>
        <v>Choose two different Effects to apply to the user: The user gains +2 CS in Speed. The user gains +2 Evasion. The user’s next Dash Attack has the Sureshot Keyword. The user gains +3 Uncapped Evasion until the start of their next Turn. </v>
      </c>
      <c r="I1002" s="191" t="str">
        <f>IFERROR(__xludf.DUMMYFUNCTION("""COMPUTED_VALUE"""),"The user gains +1 Evasion or +1 CS in Speed.")</f>
        <v>The user gains +1 Evasion or +1 CS in Speed.</v>
      </c>
      <c r="J1002" s="190" t="str">
        <f>IFERROR(__xludf.DUMMYFUNCTION("""COMPUTED_VALUE"""),"Tier 1")</f>
        <v>Tier 1</v>
      </c>
      <c r="K1002" s="174" t="b">
        <f>IFERROR(__xludf.DUMMYFUNCTION("""COMPUTED_VALUE"""),TRUE)</f>
        <v>1</v>
      </c>
      <c r="L1002" s="174"/>
      <c r="M1002" s="174"/>
      <c r="N1002" s="174"/>
      <c r="O1002" s="174"/>
      <c r="P1002" s="174"/>
      <c r="Q1002" s="174"/>
      <c r="R1002" s="174"/>
      <c r="S1002" s="174"/>
      <c r="T1002" s="174"/>
      <c r="U1002" s="174"/>
      <c r="V1002" s="174"/>
      <c r="W1002" s="174"/>
      <c r="X1002" s="174"/>
      <c r="Y1002" s="174"/>
      <c r="Z1002" s="174"/>
    </row>
    <row r="1003">
      <c r="A1003" s="190" t="str">
        <f>IFERROR(__xludf.DUMMYFUNCTION("""COMPUTED_VALUE"""),"Ally Switch")</f>
        <v>Ally Switch</v>
      </c>
      <c r="B1003" s="190" t="str">
        <f>IFERROR(__xludf.DUMMYFUNCTION("""COMPUTED_VALUE"""),"Psychic")</f>
        <v>Psychic</v>
      </c>
      <c r="C1003" s="190" t="str">
        <f>IFERROR(__xludf.DUMMYFUNCTION("""COMPUTED_VALUE"""),"Status")</f>
        <v>Status</v>
      </c>
      <c r="D1003" s="190" t="str">
        <f>IFERROR(__xludf.DUMMYFUNCTION("""COMPUTED_VALUE"""),"Scene x2")</f>
        <v>Scene x2</v>
      </c>
      <c r="E1003" s="190" t="str">
        <f>IFERROR(__xludf.DUMMYFUNCTION("""COMPUTED_VALUE"""),"3, 1 Target, Trigger")</f>
        <v>3, 1 Target, Trigger</v>
      </c>
      <c r="F1003" s="190" t="str">
        <f>IFERROR(__xludf.DUMMYFUNCTION("""COMPUTED_VALUE"""),"--")</f>
        <v>--</v>
      </c>
      <c r="G1003" s="190" t="str">
        <f>IFERROR(__xludf.DUMMYFUNCTION("""COMPUTED_VALUE"""),"--")</f>
        <v>--</v>
      </c>
      <c r="H1003" s="191" t="str">
        <f>IFERROR(__xludf.DUMMYFUNCTION("""COMPUTED_VALUE"""),"Ally Switch may be declared when an Enemy hits an Attack as a Standard Action + Reaction. The user chooses one willing ally within 3 meters; the Target and the user switch places. If the ally was a Target of an Attack, the user is now the Target; If the u"&amp;"ser was a Target of an Attack, the ally is now the Target. ")</f>
        <v>Ally Switch may be declared when an Enemy hits an Attack as a Standard Action + Reaction. The user chooses one willing ally within 3 meters; the Target and the user switch places. If the ally was a Target of an Attack, the user is now the Target; If the user was a Target of an Attack, the ally is now the Target. </v>
      </c>
      <c r="I1003" s="191" t="str">
        <f>IFERROR(__xludf.DUMMYFUNCTION("""COMPUTED_VALUE"""),"--")</f>
        <v>--</v>
      </c>
      <c r="J1003" s="190" t="str">
        <f>IFERROR(__xludf.DUMMYFUNCTION("""COMPUTED_VALUE"""),"Tier 2")</f>
        <v>Tier 2</v>
      </c>
      <c r="K1003" s="174" t="b">
        <f>IFERROR(__xludf.DUMMYFUNCTION("""COMPUTED_VALUE"""),TRUE)</f>
        <v>1</v>
      </c>
      <c r="L1003" s="174"/>
      <c r="M1003" s="174"/>
      <c r="N1003" s="174"/>
      <c r="O1003" s="174"/>
      <c r="P1003" s="174"/>
      <c r="Q1003" s="174"/>
      <c r="R1003" s="174"/>
      <c r="S1003" s="174"/>
      <c r="T1003" s="174"/>
      <c r="U1003" s="174"/>
      <c r="V1003" s="174"/>
      <c r="W1003" s="174"/>
      <c r="X1003" s="174"/>
      <c r="Y1003" s="174"/>
      <c r="Z1003" s="174"/>
    </row>
    <row r="1004">
      <c r="A1004" s="190" t="str">
        <f>IFERROR(__xludf.DUMMYFUNCTION("""COMPUTED_VALUE"""),"Amnesia")</f>
        <v>Amnesia</v>
      </c>
      <c r="B1004" s="190" t="str">
        <f>IFERROR(__xludf.DUMMYFUNCTION("""COMPUTED_VALUE"""),"Psychic")</f>
        <v>Psychic</v>
      </c>
      <c r="C1004" s="190" t="str">
        <f>IFERROR(__xludf.DUMMYFUNCTION("""COMPUTED_VALUE"""),"Status")</f>
        <v>Status</v>
      </c>
      <c r="D1004" s="190" t="str">
        <f>IFERROR(__xludf.DUMMYFUNCTION("""COMPUTED_VALUE"""),"EOT")</f>
        <v>EOT</v>
      </c>
      <c r="E1004" s="190" t="str">
        <f>IFERROR(__xludf.DUMMYFUNCTION("""COMPUTED_VALUE"""),"Self, Versatile")</f>
        <v>Self, Versatile</v>
      </c>
      <c r="F1004" s="190" t="str">
        <f>IFERROR(__xludf.DUMMYFUNCTION("""COMPUTED_VALUE"""),"--")</f>
        <v>--</v>
      </c>
      <c r="G1004" s="190" t="str">
        <f>IFERROR(__xludf.DUMMYFUNCTION("""COMPUTED_VALUE"""),"--")</f>
        <v>--</v>
      </c>
      <c r="H1004" s="191" t="str">
        <f>IFERROR(__xludf.DUMMYFUNCTION("""COMPUTED_VALUE"""),"The user gains +2 CS in Special Defense and is cured of a Mental Affliction")</f>
        <v>The user gains +2 CS in Special Defense and is cured of a Mental Affliction</v>
      </c>
      <c r="I1004" s="191" t="str">
        <f>IFERROR(__xludf.DUMMYFUNCTION("""COMPUTED_VALUE"""),"The user gains +1 CS in Special Defense.")</f>
        <v>The user gains +1 CS in Special Defense.</v>
      </c>
      <c r="J1004" s="190" t="str">
        <f>IFERROR(__xludf.DUMMYFUNCTION("""COMPUTED_VALUE"""),"Tier 1")</f>
        <v>Tier 1</v>
      </c>
      <c r="K1004" s="174" t="b">
        <f>IFERROR(__xludf.DUMMYFUNCTION("""COMPUTED_VALUE"""),TRUE)</f>
        <v>1</v>
      </c>
      <c r="L1004" s="174"/>
      <c r="M1004" s="174"/>
      <c r="N1004" s="174"/>
      <c r="O1004" s="174"/>
      <c r="P1004" s="174"/>
      <c r="Q1004" s="174"/>
      <c r="R1004" s="174"/>
      <c r="S1004" s="174"/>
      <c r="T1004" s="174"/>
      <c r="U1004" s="174"/>
      <c r="V1004" s="174"/>
      <c r="W1004" s="174"/>
      <c r="X1004" s="174"/>
      <c r="Y1004" s="174"/>
      <c r="Z1004" s="174"/>
    </row>
    <row r="1005">
      <c r="A1005" s="190" t="str">
        <f>IFERROR(__xludf.DUMMYFUNCTION("""COMPUTED_VALUE"""),"Barrier")</f>
        <v>Barrier</v>
      </c>
      <c r="B1005" s="190" t="str">
        <f>IFERROR(__xludf.DUMMYFUNCTION("""COMPUTED_VALUE"""),"Psychic")</f>
        <v>Psychic</v>
      </c>
      <c r="C1005" s="190" t="str">
        <f>IFERROR(__xludf.DUMMYFUNCTION("""COMPUTED_VALUE"""),"Status")</f>
        <v>Status</v>
      </c>
      <c r="D1005" s="190" t="str">
        <f>IFERROR(__xludf.DUMMYFUNCTION("""COMPUTED_VALUE"""),"Scene x2")</f>
        <v>Scene x2</v>
      </c>
      <c r="E1005" s="190" t="str">
        <f>IFERROR(__xludf.DUMMYFUNCTION("""COMPUTED_VALUE"""),"6, Trigger, Versatile")</f>
        <v>6, Trigger, Versatile</v>
      </c>
      <c r="F1005" s="190" t="str">
        <f>IFERROR(__xludf.DUMMYFUNCTION("""COMPUTED_VALUE"""),"--")</f>
        <v>--</v>
      </c>
      <c r="G1005" s="190" t="str">
        <f>IFERROR(__xludf.DUMMYFUNCTION("""COMPUTED_VALUE"""),"--")</f>
        <v>--</v>
      </c>
      <c r="H1005" s="191" t="str">
        <f>IFERROR(__xludf.DUMMYFUNCTION("""COMPUTED_VALUE"""),"Choose 6 Unoccupied Spaces within the Range of this Attack to create Blocking Terrain in, such that all 6 Spaces are Adjacent to at least one other Blocking Terrain. Blocking Terrain created this way is [Breakable - Fragile]. Barrier may also be used as a"&amp;" Standard Action + Reaction when an Enemy uses a Ranged 1-Target or Line Attack, in which you must place the Terrain in a way to block the Line of Sight for that Attack.")</f>
        <v>Choose 6 Unoccupied Spaces within the Range of this Attack to create Blocking Terrain in, such that all 6 Spaces are Adjacent to at least one other Blocking Terrain. Blocking Terrain created this way is [Breakable - Fragile]. Barrier may also be used as a Standard Action + Reaction when an Enemy uses a Ranged 1-Target or Line Attack, in which you must place the Terrain in a way to block the Line of Sight for that Attack.</v>
      </c>
      <c r="I1005" s="191" t="str">
        <f>IFERROR(__xludf.DUMMYFUNCTION("""COMPUTED_VALUE"""),"Same as the normal Effects but you may only choose 2 Unoccupied Spaces and this can't be used as a Standard Action+Reaction.")</f>
        <v>Same as the normal Effects but you may only choose 2 Unoccupied Spaces and this can't be used as a Standard Action+Reaction.</v>
      </c>
      <c r="J1005" s="190" t="str">
        <f>IFERROR(__xludf.DUMMYFUNCTION("""COMPUTED_VALUE"""),"Tier 2")</f>
        <v>Tier 2</v>
      </c>
      <c r="K1005" s="174" t="b">
        <f>IFERROR(__xludf.DUMMYFUNCTION("""COMPUTED_VALUE"""),TRUE)</f>
        <v>1</v>
      </c>
      <c r="L1005" s="174"/>
      <c r="M1005" s="174"/>
      <c r="N1005" s="174"/>
      <c r="O1005" s="174"/>
      <c r="P1005" s="174"/>
      <c r="Q1005" s="174"/>
      <c r="R1005" s="174"/>
      <c r="S1005" s="174"/>
      <c r="T1005" s="174"/>
      <c r="U1005" s="174"/>
      <c r="V1005" s="174"/>
      <c r="W1005" s="174"/>
      <c r="X1005" s="174"/>
      <c r="Y1005" s="174"/>
      <c r="Z1005" s="174"/>
    </row>
    <row r="1006">
      <c r="A1006" s="190" t="str">
        <f>IFERROR(__xludf.DUMMYFUNCTION("""COMPUTED_VALUE"""),"Calm Mind")</f>
        <v>Calm Mind</v>
      </c>
      <c r="B1006" s="190" t="str">
        <f>IFERROR(__xludf.DUMMYFUNCTION("""COMPUTED_VALUE"""),"Psychic")</f>
        <v>Psychic</v>
      </c>
      <c r="C1006" s="190" t="str">
        <f>IFERROR(__xludf.DUMMYFUNCTION("""COMPUTED_VALUE"""),"Status")</f>
        <v>Status</v>
      </c>
      <c r="D1006" s="190" t="str">
        <f>IFERROR(__xludf.DUMMYFUNCTION("""COMPUTED_VALUE"""),"EOT")</f>
        <v>EOT</v>
      </c>
      <c r="E1006" s="190" t="str">
        <f>IFERROR(__xludf.DUMMYFUNCTION("""COMPUTED_VALUE"""),"Self, Versatile")</f>
        <v>Self, Versatile</v>
      </c>
      <c r="F1006" s="190" t="str">
        <f>IFERROR(__xludf.DUMMYFUNCTION("""COMPUTED_VALUE"""),"--")</f>
        <v>--</v>
      </c>
      <c r="G1006" s="190" t="str">
        <f>IFERROR(__xludf.DUMMYFUNCTION("""COMPUTED_VALUE"""),"--")</f>
        <v>--</v>
      </c>
      <c r="H1006" s="191" t="str">
        <f>IFERROR(__xludf.DUMMYFUNCTION("""COMPUTED_VALUE"""),"Choose two different Effects to apply to the user: The user gains +2 CS in Special Attack. The user gains +2 CS in Special Defense. The user is cured of a Mental Affliction")</f>
        <v>Choose two different Effects to apply to the user: The user gains +2 CS in Special Attack. The user gains +2 CS in Special Defense. The user is cured of a Mental Affliction</v>
      </c>
      <c r="I1006" s="191" t="str">
        <f>IFERROR(__xludf.DUMMYFUNCTION("""COMPUTED_VALUE"""),"The user gains +3 to their next Save Check this Round.")</f>
        <v>The user gains +3 to their next Save Check this Round.</v>
      </c>
      <c r="J1006" s="190" t="str">
        <f>IFERROR(__xludf.DUMMYFUNCTION("""COMPUTED_VALUE"""),"Tier 1")</f>
        <v>Tier 1</v>
      </c>
      <c r="K1006" s="174" t="b">
        <f>IFERROR(__xludf.DUMMYFUNCTION("""COMPUTED_VALUE"""),TRUE)</f>
        <v>1</v>
      </c>
      <c r="L1006" s="174"/>
      <c r="M1006" s="174"/>
      <c r="N1006" s="174"/>
      <c r="O1006" s="174"/>
      <c r="P1006" s="174"/>
      <c r="Q1006" s="174"/>
      <c r="R1006" s="174"/>
      <c r="S1006" s="174"/>
      <c r="T1006" s="174"/>
      <c r="U1006" s="174"/>
      <c r="V1006" s="174"/>
      <c r="W1006" s="174"/>
      <c r="X1006" s="174"/>
      <c r="Y1006" s="174"/>
      <c r="Z1006" s="174"/>
    </row>
    <row r="1007">
      <c r="A1007" s="190" t="str">
        <f>IFERROR(__xludf.DUMMYFUNCTION("""COMPUTED_VALUE"""),"Cognition Strike")</f>
        <v>Cognition Strike</v>
      </c>
      <c r="B1007" s="190" t="str">
        <f>IFERROR(__xludf.DUMMYFUNCTION("""COMPUTED_VALUE"""),"Psychic")</f>
        <v>Psychic</v>
      </c>
      <c r="C1007" s="190" t="str">
        <f>IFERROR(__xludf.DUMMYFUNCTION("""COMPUTED_VALUE"""),"Physical")</f>
        <v>Physical</v>
      </c>
      <c r="D1007" s="190" t="str">
        <f>IFERROR(__xludf.DUMMYFUNCTION("""COMPUTED_VALUE"""),"EOT")</f>
        <v>EOT</v>
      </c>
      <c r="E1007" s="190" t="str">
        <f>IFERROR(__xludf.DUMMYFUNCTION("""COMPUTED_VALUE"""),"6, 1 Target")</f>
        <v>6, 1 Target</v>
      </c>
      <c r="F1007" s="190">
        <f>IFERROR(__xludf.DUMMYFUNCTION("""COMPUTED_VALUE"""),5.0)</f>
        <v>5</v>
      </c>
      <c r="G1007" s="190">
        <f>IFERROR(__xludf.DUMMYFUNCTION("""COMPUTED_VALUE"""),5.0)</f>
        <v>5</v>
      </c>
      <c r="H1007" s="191" t="str">
        <f>IFERROR(__xludf.DUMMYFUNCTION("""COMPUTED_VALUE"""),"Double Strike.")</f>
        <v>Double Strike.</v>
      </c>
      <c r="I1007" s="191" t="str">
        <f>IFERROR(__xludf.DUMMYFUNCTION("""COMPUTED_VALUE"""),"--")</f>
        <v>--</v>
      </c>
      <c r="J1007" s="190" t="str">
        <f>IFERROR(__xludf.DUMMYFUNCTION("""COMPUTED_VALUE"""),"Tier 1")</f>
        <v>Tier 1</v>
      </c>
      <c r="K1007" s="174" t="b">
        <f>IFERROR(__xludf.DUMMYFUNCTION("""COMPUTED_VALUE"""),TRUE)</f>
        <v>1</v>
      </c>
      <c r="L1007" s="174"/>
      <c r="M1007" s="174"/>
      <c r="N1007" s="174"/>
      <c r="O1007" s="174"/>
      <c r="P1007" s="174"/>
      <c r="Q1007" s="174"/>
      <c r="R1007" s="174"/>
      <c r="S1007" s="174"/>
      <c r="T1007" s="174"/>
      <c r="U1007" s="174"/>
      <c r="V1007" s="174"/>
      <c r="W1007" s="174"/>
      <c r="X1007" s="174"/>
      <c r="Y1007" s="174"/>
      <c r="Z1007" s="174"/>
    </row>
    <row r="1008">
      <c r="A1008" s="190" t="str">
        <f>IFERROR(__xludf.DUMMYFUNCTION("""COMPUTED_VALUE"""),"Confusion")</f>
        <v>Confusion</v>
      </c>
      <c r="B1008" s="190" t="str">
        <f>IFERROR(__xludf.DUMMYFUNCTION("""COMPUTED_VALUE"""),"Psychic")</f>
        <v>Psychic</v>
      </c>
      <c r="C1008" s="190" t="str">
        <f>IFERROR(__xludf.DUMMYFUNCTION("""COMPUTED_VALUE"""),"Special")</f>
        <v>Special</v>
      </c>
      <c r="D1008" s="190" t="str">
        <f>IFERROR(__xludf.DUMMYFUNCTION("""COMPUTED_VALUE"""),"At-Will")</f>
        <v>At-Will</v>
      </c>
      <c r="E1008" s="190" t="str">
        <f>IFERROR(__xludf.DUMMYFUNCTION("""COMPUTED_VALUE"""),"6, 1 Target")</f>
        <v>6, 1 Target</v>
      </c>
      <c r="F1008" s="190">
        <f>IFERROR(__xludf.DUMMYFUNCTION("""COMPUTED_VALUE"""),3.0)</f>
        <v>3</v>
      </c>
      <c r="G1008" s="190">
        <f>IFERROR(__xludf.DUMMYFUNCTION("""COMPUTED_VALUE"""),5.0)</f>
        <v>5</v>
      </c>
      <c r="H1008" s="191" t="str">
        <f>IFERROR(__xludf.DUMMYFUNCTION("""COMPUTED_VALUE"""),"On a roll of 19+, the Target becomes Dazed. If the Target has a Mental Affliction this has the Sureshot Keyword.")</f>
        <v>On a roll of 19+, the Target becomes Dazed. If the Target has a Mental Affliction this has the Sureshot Keyword.</v>
      </c>
      <c r="I1008" s="191" t="str">
        <f>IFERROR(__xludf.DUMMYFUNCTION("""COMPUTED_VALUE"""),"--")</f>
        <v>--</v>
      </c>
      <c r="J1008" s="190" t="str">
        <f>IFERROR(__xludf.DUMMYFUNCTION("""COMPUTED_VALUE"""),"Tier 1")</f>
        <v>Tier 1</v>
      </c>
      <c r="K1008" s="174" t="b">
        <f>IFERROR(__xludf.DUMMYFUNCTION("""COMPUTED_VALUE"""),TRUE)</f>
        <v>1</v>
      </c>
      <c r="L1008" s="174"/>
      <c r="M1008" s="174"/>
      <c r="N1008" s="174"/>
      <c r="O1008" s="174"/>
      <c r="P1008" s="174"/>
      <c r="Q1008" s="174"/>
      <c r="R1008" s="174"/>
      <c r="S1008" s="174"/>
      <c r="T1008" s="174"/>
      <c r="U1008" s="174"/>
      <c r="V1008" s="174"/>
      <c r="W1008" s="174"/>
      <c r="X1008" s="174"/>
      <c r="Y1008" s="174"/>
      <c r="Z1008" s="174"/>
    </row>
    <row r="1009">
      <c r="A1009" s="190" t="str">
        <f>IFERROR(__xludf.DUMMYFUNCTION("""COMPUTED_VALUE"""),"Cosmic Power")</f>
        <v>Cosmic Power</v>
      </c>
      <c r="B1009" s="190" t="str">
        <f>IFERROR(__xludf.DUMMYFUNCTION("""COMPUTED_VALUE"""),"Psychic")</f>
        <v>Psychic</v>
      </c>
      <c r="C1009" s="190" t="str">
        <f>IFERROR(__xludf.DUMMYFUNCTION("""COMPUTED_VALUE"""),"Status")</f>
        <v>Status</v>
      </c>
      <c r="D1009" s="190" t="str">
        <f>IFERROR(__xludf.DUMMYFUNCTION("""COMPUTED_VALUE"""),"EOT")</f>
        <v>EOT</v>
      </c>
      <c r="E1009" s="190" t="str">
        <f>IFERROR(__xludf.DUMMYFUNCTION("""COMPUTED_VALUE"""),"Self, Versatile")</f>
        <v>Self, Versatile</v>
      </c>
      <c r="F1009" s="190" t="str">
        <f>IFERROR(__xludf.DUMMYFUNCTION("""COMPUTED_VALUE"""),"--")</f>
        <v>--</v>
      </c>
      <c r="G1009" s="190" t="str">
        <f>IFERROR(__xludf.DUMMYFUNCTION("""COMPUTED_VALUE"""),"--")</f>
        <v>--</v>
      </c>
      <c r="H1009" s="191" t="str">
        <f>IFERROR(__xludf.DUMMYFUNCTION("""COMPUTED_VALUE"""),"The user gains +2 CS to a Stat of their choice. If the user is in Space Terrain or Mystical Weather, they may instead choose two different Stats to gain +2 CS in.")</f>
        <v>The user gains +2 CS to a Stat of their choice. If the user is in Space Terrain or Mystical Weather, they may instead choose two different Stats to gain +2 CS in.</v>
      </c>
      <c r="I1009" s="191" t="str">
        <f>IFERROR(__xludf.DUMMYFUNCTION("""COMPUTED_VALUE"""),"The user gains +1 CS to a Stat of their Choice. Cosmic Power may only be used this way if the user is in Space Terrain or the Weather is Mystical.")</f>
        <v>The user gains +1 CS to a Stat of their Choice. Cosmic Power may only be used this way if the user is in Space Terrain or the Weather is Mystical.</v>
      </c>
      <c r="J1009" s="190" t="str">
        <f>IFERROR(__xludf.DUMMYFUNCTION("""COMPUTED_VALUE"""),"Tier 1")</f>
        <v>Tier 1</v>
      </c>
      <c r="K1009" s="174" t="b">
        <f>IFERROR(__xludf.DUMMYFUNCTION("""COMPUTED_VALUE"""),TRUE)</f>
        <v>1</v>
      </c>
      <c r="L1009" s="174"/>
      <c r="M1009" s="174"/>
      <c r="N1009" s="174"/>
      <c r="O1009" s="174"/>
      <c r="P1009" s="174"/>
      <c r="Q1009" s="174"/>
      <c r="R1009" s="174"/>
      <c r="S1009" s="174"/>
      <c r="T1009" s="174"/>
      <c r="U1009" s="174"/>
      <c r="V1009" s="174"/>
      <c r="W1009" s="174"/>
      <c r="X1009" s="174"/>
      <c r="Y1009" s="174"/>
      <c r="Z1009" s="174"/>
    </row>
    <row r="1010">
      <c r="A1010" s="190" t="str">
        <f>IFERROR(__xludf.DUMMYFUNCTION("""COMPUTED_VALUE"""),"Dream Eater")</f>
        <v>Dream Eater</v>
      </c>
      <c r="B1010" s="190" t="str">
        <f>IFERROR(__xludf.DUMMYFUNCTION("""COMPUTED_VALUE"""),"Psychic")</f>
        <v>Psychic</v>
      </c>
      <c r="C1010" s="190" t="str">
        <f>IFERROR(__xludf.DUMMYFUNCTION("""COMPUTED_VALUE"""),"Special")</f>
        <v>Special</v>
      </c>
      <c r="D1010" s="190" t="str">
        <f>IFERROR(__xludf.DUMMYFUNCTION("""COMPUTED_VALUE"""),"Scene x2")</f>
        <v>Scene x2</v>
      </c>
      <c r="E1010" s="190" t="str">
        <f>IFERROR(__xludf.DUMMYFUNCTION("""COMPUTED_VALUE"""),"3, 1 Target")</f>
        <v>3, 1 Target</v>
      </c>
      <c r="F1010" s="190" t="str">
        <f>IFERROR(__xludf.DUMMYFUNCTION("""COMPUTED_VALUE"""),"--")</f>
        <v>--</v>
      </c>
      <c r="G1010" s="190">
        <f>IFERROR(__xludf.DUMMYFUNCTION("""COMPUTED_VALUE"""),10.0)</f>
        <v>10</v>
      </c>
      <c r="H1010" s="191" t="str">
        <f>IFERROR(__xludf.DUMMYFUNCTION("""COMPUTED_VALUE"""),"Dream Eater can only Target a Combatant that is Drowsy.  Drain, Sureshot.")</f>
        <v>Dream Eater can only Target a Combatant that is Drowsy.  Drain, Sureshot.</v>
      </c>
      <c r="I1010" s="191" t="str">
        <f>IFERROR(__xludf.DUMMYFUNCTION("""COMPUTED_VALUE"""),"--")</f>
        <v>--</v>
      </c>
      <c r="J1010" s="190" t="str">
        <f>IFERROR(__xludf.DUMMYFUNCTION("""COMPUTED_VALUE"""),"Tier 3")</f>
        <v>Tier 3</v>
      </c>
      <c r="K1010" s="174" t="b">
        <f>IFERROR(__xludf.DUMMYFUNCTION("""COMPUTED_VALUE"""),FALSE)</f>
        <v>0</v>
      </c>
      <c r="L1010" s="174"/>
      <c r="M1010" s="174"/>
      <c r="N1010" s="174"/>
      <c r="O1010" s="174"/>
      <c r="P1010" s="174"/>
      <c r="Q1010" s="174"/>
      <c r="R1010" s="174"/>
      <c r="S1010" s="174"/>
      <c r="T1010" s="174"/>
      <c r="U1010" s="174"/>
      <c r="V1010" s="174"/>
      <c r="W1010" s="174"/>
      <c r="X1010" s="174"/>
      <c r="Y1010" s="174"/>
      <c r="Z1010" s="174"/>
    </row>
    <row r="1011">
      <c r="A1011" s="190" t="str">
        <f>IFERROR(__xludf.DUMMYFUNCTION("""COMPUTED_VALUE"""),"Dream Illusion")</f>
        <v>Dream Illusion</v>
      </c>
      <c r="B1011" s="190" t="str">
        <f>IFERROR(__xludf.DUMMYFUNCTION("""COMPUTED_VALUE"""),"Psychic")</f>
        <v>Psychic</v>
      </c>
      <c r="C1011" s="190" t="str">
        <f>IFERROR(__xludf.DUMMYFUNCTION("""COMPUTED_VALUE"""),"Status")</f>
        <v>Status</v>
      </c>
      <c r="D1011" s="190" t="str">
        <f>IFERROR(__xludf.DUMMYFUNCTION("""COMPUTED_VALUE"""),"Scene x2")</f>
        <v>Scene x2</v>
      </c>
      <c r="E1011" s="190" t="str">
        <f>IFERROR(__xludf.DUMMYFUNCTION("""COMPUTED_VALUE"""),"4, 1 Target")</f>
        <v>4, 1 Target</v>
      </c>
      <c r="F1011" s="190" t="str">
        <f>IFERROR(__xludf.DUMMYFUNCTION("""COMPUTED_VALUE"""),"--")</f>
        <v>--</v>
      </c>
      <c r="G1011" s="190" t="str">
        <f>IFERROR(__xludf.DUMMYFUNCTION("""COMPUTED_VALUE"""),"--")</f>
        <v>--</v>
      </c>
      <c r="H1011" s="191" t="str">
        <f>IFERROR(__xludf.DUMMYFUNCTION("""COMPUTED_VALUE"""),"Dream Illusion may only Target a Drowsy Combatant. Choose an Attack from the Target’s Attack List. The Target Pokemon then immediately uses that Attack on Target(s) of your choosing without expending frequency or their Actions. Sureshot.")</f>
        <v>Dream Illusion may only Target a Drowsy Combatant. Choose an Attack from the Target’s Attack List. The Target Pokemon then immediately uses that Attack on Target(s) of your choosing without expending frequency or their Actions. Sureshot.</v>
      </c>
      <c r="I1011" s="191" t="str">
        <f>IFERROR(__xludf.DUMMYFUNCTION("""COMPUTED_VALUE"""),"--")</f>
        <v>--</v>
      </c>
      <c r="J1011" s="190" t="str">
        <f>IFERROR(__xludf.DUMMYFUNCTION("""COMPUTED_VALUE"""),"Tier 2")</f>
        <v>Tier 2</v>
      </c>
      <c r="K1011" s="174" t="b">
        <f>IFERROR(__xludf.DUMMYFUNCTION("""COMPUTED_VALUE"""),TRUE)</f>
        <v>1</v>
      </c>
      <c r="L1011" s="174"/>
      <c r="M1011" s="174"/>
      <c r="N1011" s="174"/>
      <c r="O1011" s="174"/>
      <c r="P1011" s="174"/>
      <c r="Q1011" s="174"/>
      <c r="R1011" s="174"/>
      <c r="S1011" s="174"/>
      <c r="T1011" s="174"/>
      <c r="U1011" s="174"/>
      <c r="V1011" s="174"/>
      <c r="W1011" s="174"/>
      <c r="X1011" s="174"/>
      <c r="Y1011" s="174"/>
      <c r="Z1011" s="174"/>
    </row>
    <row r="1012">
      <c r="A1012" s="190" t="str">
        <f>IFERROR(__xludf.DUMMYFUNCTION("""COMPUTED_VALUE"""),"Eerie Spell")</f>
        <v>Eerie Spell</v>
      </c>
      <c r="B1012" s="190" t="str">
        <f>IFERROR(__xludf.DUMMYFUNCTION("""COMPUTED_VALUE"""),"Psychic")</f>
        <v>Psychic</v>
      </c>
      <c r="C1012" s="190" t="str">
        <f>IFERROR(__xludf.DUMMYFUNCTION("""COMPUTED_VALUE"""),"Special")</f>
        <v>Special</v>
      </c>
      <c r="D1012" s="190" t="str">
        <f>IFERROR(__xludf.DUMMYFUNCTION("""COMPUTED_VALUE"""),"EOT")</f>
        <v>EOT</v>
      </c>
      <c r="E1012" s="190" t="str">
        <f>IFERROR(__xludf.DUMMYFUNCTION("""COMPUTED_VALUE"""),"6, 1 Target")</f>
        <v>6, 1 Target</v>
      </c>
      <c r="F1012" s="190">
        <f>IFERROR(__xludf.DUMMYFUNCTION("""COMPUTED_VALUE"""),4.0)</f>
        <v>4</v>
      </c>
      <c r="G1012" s="190">
        <f>IFERROR(__xludf.DUMMYFUNCTION("""COMPUTED_VALUE"""),8.0)</f>
        <v>8</v>
      </c>
      <c r="H1012" s="191" t="str">
        <f>IFERROR(__xludf.DUMMYFUNCTION("""COMPUTED_VALUE"""),"If the Target has a Mental Affliction other than Disabled, they have a random Attack Disabled.")</f>
        <v>If the Target has a Mental Affliction other than Disabled, they have a random Attack Disabled.</v>
      </c>
      <c r="I1012" s="191" t="str">
        <f>IFERROR(__xludf.DUMMYFUNCTION("""COMPUTED_VALUE"""),"--")</f>
        <v>--</v>
      </c>
      <c r="J1012" s="190" t="str">
        <f>IFERROR(__xludf.DUMMYFUNCTION("""COMPUTED_VALUE"""),"Tier 2")</f>
        <v>Tier 2</v>
      </c>
      <c r="K1012" s="174" t="b">
        <f>IFERROR(__xludf.DUMMYFUNCTION("""COMPUTED_VALUE"""),TRUE)</f>
        <v>1</v>
      </c>
      <c r="L1012" s="174"/>
      <c r="M1012" s="174"/>
      <c r="N1012" s="174"/>
      <c r="O1012" s="174"/>
      <c r="P1012" s="174"/>
      <c r="Q1012" s="174"/>
      <c r="R1012" s="174"/>
      <c r="S1012" s="174"/>
      <c r="T1012" s="174"/>
      <c r="U1012" s="174"/>
      <c r="V1012" s="174"/>
      <c r="W1012" s="174"/>
      <c r="X1012" s="174"/>
      <c r="Y1012" s="174"/>
      <c r="Z1012" s="174"/>
    </row>
    <row r="1013">
      <c r="A1013" s="190" t="str">
        <f>IFERROR(__xludf.DUMMYFUNCTION("""COMPUTED_VALUE"""),"Esper Wing")</f>
        <v>Esper Wing</v>
      </c>
      <c r="B1013" s="190" t="str">
        <f>IFERROR(__xludf.DUMMYFUNCTION("""COMPUTED_VALUE"""),"Psychic")</f>
        <v>Psychic</v>
      </c>
      <c r="C1013" s="190" t="str">
        <f>IFERROR(__xludf.DUMMYFUNCTION("""COMPUTED_VALUE"""),"Special")</f>
        <v>Special</v>
      </c>
      <c r="D1013" s="190" t="str">
        <f>IFERROR(__xludf.DUMMYFUNCTION("""COMPUTED_VALUE"""),"EOT")</f>
        <v>EOT</v>
      </c>
      <c r="E1013" s="190" t="str">
        <f>IFERROR(__xludf.DUMMYFUNCTION("""COMPUTED_VALUE"""),"Melee, Pass")</f>
        <v>Melee, Pass</v>
      </c>
      <c r="F1013" s="190">
        <f>IFERROR(__xludf.DUMMYFUNCTION("""COMPUTED_VALUE"""),5.0)</f>
        <v>5</v>
      </c>
      <c r="G1013" s="190">
        <f>IFERROR(__xludf.DUMMYFUNCTION("""COMPUTED_VALUE"""),7.0)</f>
        <v>7</v>
      </c>
      <c r="H1013" s="191" t="str">
        <f>IFERROR(__xludf.DUMMYFUNCTION("""COMPUTED_VALUE"""),"The Critical Hit Range for this Attack is extended for each Positive CS in the user’s Special Attack and Special Defense Stat.")</f>
        <v>The Critical Hit Range for this Attack is extended for each Positive CS in the user’s Special Attack and Special Defense Stat.</v>
      </c>
      <c r="I1013" s="191" t="str">
        <f>IFERROR(__xludf.DUMMYFUNCTION("""COMPUTED_VALUE"""),"--")</f>
        <v>--</v>
      </c>
      <c r="J1013" s="190" t="str">
        <f>IFERROR(__xludf.DUMMYFUNCTION("""COMPUTED_VALUE"""),"Tier 1")</f>
        <v>Tier 1</v>
      </c>
      <c r="K1013" s="174" t="b">
        <f>IFERROR(__xludf.DUMMYFUNCTION("""COMPUTED_VALUE"""),TRUE)</f>
        <v>1</v>
      </c>
      <c r="L1013" s="174"/>
      <c r="M1013" s="174"/>
      <c r="N1013" s="174"/>
      <c r="O1013" s="174"/>
      <c r="P1013" s="174"/>
      <c r="Q1013" s="174"/>
      <c r="R1013" s="174"/>
      <c r="S1013" s="174"/>
      <c r="T1013" s="174"/>
      <c r="U1013" s="174"/>
      <c r="V1013" s="174"/>
      <c r="W1013" s="174"/>
      <c r="X1013" s="174"/>
      <c r="Y1013" s="174"/>
      <c r="Z1013" s="174"/>
    </row>
    <row r="1014">
      <c r="A1014" s="190" t="str">
        <f>IFERROR(__xludf.DUMMYFUNCTION("""COMPUTED_VALUE"""),"Expanding Force")</f>
        <v>Expanding Force</v>
      </c>
      <c r="B1014" s="190" t="str">
        <f>IFERROR(__xludf.DUMMYFUNCTION("""COMPUTED_VALUE"""),"Psychic")</f>
        <v>Psychic</v>
      </c>
      <c r="C1014" s="190" t="str">
        <f>IFERROR(__xludf.DUMMYFUNCTION("""COMPUTED_VALUE"""),"Special")</f>
        <v>Special</v>
      </c>
      <c r="D1014" s="190" t="str">
        <f>IFERROR(__xludf.DUMMYFUNCTION("""COMPUTED_VALUE"""),"Scene x2")</f>
        <v>Scene x2</v>
      </c>
      <c r="E1014" s="190" t="str">
        <f>IFERROR(__xludf.DUMMYFUNCTION("""COMPUTED_VALUE"""),"Burst 1, Full Action, Groundsource ")</f>
        <v>Burst 1, Full Action, Groundsource </v>
      </c>
      <c r="F1014" s="190">
        <f>IFERROR(__xludf.DUMMYFUNCTION("""COMPUTED_VALUE"""),5.0)</f>
        <v>5</v>
      </c>
      <c r="G1014" s="190">
        <f>IFERROR(__xludf.DUMMYFUNCTION("""COMPUTED_VALUE"""),8.0)</f>
        <v>8</v>
      </c>
      <c r="H1014" s="191" t="str">
        <f>IFERROR(__xludf.DUMMYFUNCTION("""COMPUTED_VALUE"""),"If the Field is affected by an Psychic Attack or the Weather is Mystical, Expanding Force may increase its Burst Range by up to +2. Smite")</f>
        <v>If the Field is affected by an Psychic Attack or the Weather is Mystical, Expanding Force may increase its Burst Range by up to +2. Smite</v>
      </c>
      <c r="I1014" s="191" t="str">
        <f>IFERROR(__xludf.DUMMYFUNCTION("""COMPUTED_VALUE"""),"--")</f>
        <v>--</v>
      </c>
      <c r="J1014" s="190" t="str">
        <f>IFERROR(__xludf.DUMMYFUNCTION("""COMPUTED_VALUE"""),"Tier 2")</f>
        <v>Tier 2</v>
      </c>
      <c r="K1014" s="174" t="b">
        <f>IFERROR(__xludf.DUMMYFUNCTION("""COMPUTED_VALUE"""),TRUE)</f>
        <v>1</v>
      </c>
      <c r="L1014" s="174"/>
      <c r="M1014" s="174"/>
      <c r="N1014" s="174"/>
      <c r="O1014" s="174"/>
      <c r="P1014" s="174"/>
      <c r="Q1014" s="174"/>
      <c r="R1014" s="174"/>
      <c r="S1014" s="174"/>
      <c r="T1014" s="174"/>
      <c r="U1014" s="174"/>
      <c r="V1014" s="174"/>
      <c r="W1014" s="174"/>
      <c r="X1014" s="174"/>
      <c r="Y1014" s="174"/>
      <c r="Z1014" s="174"/>
    </row>
    <row r="1015">
      <c r="A1015" s="190" t="str">
        <f>IFERROR(__xludf.DUMMYFUNCTION("""COMPUTED_VALUE"""),"Extrasensory")</f>
        <v>Extrasensory</v>
      </c>
      <c r="B1015" s="190" t="str">
        <f>IFERROR(__xludf.DUMMYFUNCTION("""COMPUTED_VALUE"""),"Psychic")</f>
        <v>Psychic</v>
      </c>
      <c r="C1015" s="190" t="str">
        <f>IFERROR(__xludf.DUMMYFUNCTION("""COMPUTED_VALUE"""),"Special")</f>
        <v>Special</v>
      </c>
      <c r="D1015" s="190" t="str">
        <f>IFERROR(__xludf.DUMMYFUNCTION("""COMPUTED_VALUE"""),"EOT")</f>
        <v>EOT</v>
      </c>
      <c r="E1015" s="190" t="str">
        <f>IFERROR(__xludf.DUMMYFUNCTION("""COMPUTED_VALUE"""),"3, 1 Target")</f>
        <v>3, 1 Target</v>
      </c>
      <c r="F1015" s="190" t="str">
        <f>IFERROR(__xludf.DUMMYFUNCTION("""COMPUTED_VALUE"""),"--")</f>
        <v>--</v>
      </c>
      <c r="G1015" s="190">
        <f>IFERROR(__xludf.DUMMYFUNCTION("""COMPUTED_VALUE"""),8.0)</f>
        <v>8</v>
      </c>
      <c r="H1015" s="191" t="str">
        <f>IFERROR(__xludf.DUMMYFUNCTION("""COMPUTED_VALUE"""),"Sureshot.")</f>
        <v>Sureshot.</v>
      </c>
      <c r="I1015" s="191" t="str">
        <f>IFERROR(__xludf.DUMMYFUNCTION("""COMPUTED_VALUE"""),"--")</f>
        <v>--</v>
      </c>
      <c r="J1015" s="190" t="str">
        <f>IFERROR(__xludf.DUMMYFUNCTION("""COMPUTED_VALUE"""),"Tier 2")</f>
        <v>Tier 2</v>
      </c>
      <c r="K1015" s="174" t="b">
        <f>IFERROR(__xludf.DUMMYFUNCTION("""COMPUTED_VALUE"""),TRUE)</f>
        <v>1</v>
      </c>
      <c r="L1015" s="174"/>
      <c r="M1015" s="174"/>
      <c r="N1015" s="174"/>
      <c r="O1015" s="174"/>
      <c r="P1015" s="174"/>
      <c r="Q1015" s="174"/>
      <c r="R1015" s="174"/>
      <c r="S1015" s="174"/>
      <c r="T1015" s="174"/>
      <c r="U1015" s="174"/>
      <c r="V1015" s="174"/>
      <c r="W1015" s="174"/>
      <c r="X1015" s="174"/>
      <c r="Y1015" s="174"/>
      <c r="Z1015" s="174"/>
    </row>
    <row r="1016">
      <c r="A1016" s="190" t="str">
        <f>IFERROR(__xludf.DUMMYFUNCTION("""COMPUTED_VALUE"""),"Force Dash")</f>
        <v>Force Dash</v>
      </c>
      <c r="B1016" s="190" t="str">
        <f>IFERROR(__xludf.DUMMYFUNCTION("""COMPUTED_VALUE"""),"Psychic")</f>
        <v>Psychic</v>
      </c>
      <c r="C1016" s="190" t="str">
        <f>IFERROR(__xludf.DUMMYFUNCTION("""COMPUTED_VALUE"""),"Physical")</f>
        <v>Physical</v>
      </c>
      <c r="D1016" s="190" t="str">
        <f>IFERROR(__xludf.DUMMYFUNCTION("""COMPUTED_VALUE"""),"EOT")</f>
        <v>EOT</v>
      </c>
      <c r="E1016" s="190" t="str">
        <f>IFERROR(__xludf.DUMMYFUNCTION("""COMPUTED_VALUE"""),"Melee, 1 Target, Dash")</f>
        <v>Melee, 1 Target, Dash</v>
      </c>
      <c r="F1016" s="190">
        <f>IFERROR(__xludf.DUMMYFUNCTION("""COMPUTED_VALUE"""),2.0)</f>
        <v>2</v>
      </c>
      <c r="G1016" s="190">
        <f>IFERROR(__xludf.DUMMYFUNCTION("""COMPUTED_VALUE"""),6.0)</f>
        <v>6</v>
      </c>
      <c r="H1016" s="191" t="str">
        <f>IFERROR(__xludf.DUMMYFUNCTION("""COMPUTED_VALUE"""),"On a roll of 17+, the Target becomes Dazed. If the Dash Keyword is Activated, Force Dash has the Pass Keyword.")</f>
        <v>On a roll of 17+, the Target becomes Dazed. If the Dash Keyword is Activated, Force Dash has the Pass Keyword.</v>
      </c>
      <c r="I1016" s="191" t="str">
        <f>IFERROR(__xludf.DUMMYFUNCTION("""COMPUTED_VALUE"""),"--")</f>
        <v>--</v>
      </c>
      <c r="J1016" s="190" t="str">
        <f>IFERROR(__xludf.DUMMYFUNCTION("""COMPUTED_VALUE"""),"Tier 1")</f>
        <v>Tier 1</v>
      </c>
      <c r="K1016" s="174" t="b">
        <f>IFERROR(__xludf.DUMMYFUNCTION("""COMPUTED_VALUE"""),TRUE)</f>
        <v>1</v>
      </c>
      <c r="L1016" s="174"/>
      <c r="M1016" s="174"/>
      <c r="N1016" s="174"/>
      <c r="O1016" s="174"/>
      <c r="P1016" s="174"/>
      <c r="Q1016" s="174"/>
      <c r="R1016" s="174"/>
      <c r="S1016" s="174"/>
      <c r="T1016" s="174"/>
      <c r="U1016" s="174"/>
      <c r="V1016" s="174"/>
      <c r="W1016" s="174"/>
      <c r="X1016" s="174"/>
      <c r="Y1016" s="174"/>
      <c r="Z1016" s="174"/>
    </row>
    <row r="1017">
      <c r="A1017" s="190" t="str">
        <f>IFERROR(__xludf.DUMMYFUNCTION("""COMPUTED_VALUE"""),"Force Punch")</f>
        <v>Force Punch</v>
      </c>
      <c r="B1017" s="190" t="str">
        <f>IFERROR(__xludf.DUMMYFUNCTION("""COMPUTED_VALUE"""),"Psychic")</f>
        <v>Psychic</v>
      </c>
      <c r="C1017" s="190" t="str">
        <f>IFERROR(__xludf.DUMMYFUNCTION("""COMPUTED_VALUE"""),"Physical")</f>
        <v>Physical</v>
      </c>
      <c r="D1017" s="190" t="str">
        <f>IFERROR(__xludf.DUMMYFUNCTION("""COMPUTED_VALUE"""),"At-Will")</f>
        <v>At-Will</v>
      </c>
      <c r="E1017" s="190" t="str">
        <f>IFERROR(__xludf.DUMMYFUNCTION("""COMPUTED_VALUE"""),"Melee, 1 Target, Punch")</f>
        <v>Melee, 1 Target, Punch</v>
      </c>
      <c r="F1017" s="190">
        <f>IFERROR(__xludf.DUMMYFUNCTION("""COMPUTED_VALUE"""),3.0)</f>
        <v>3</v>
      </c>
      <c r="G1017" s="190">
        <f>IFERROR(__xludf.DUMMYFUNCTION("""COMPUTED_VALUE"""),8.0)</f>
        <v>8</v>
      </c>
      <c r="H1017" s="191" t="str">
        <f>IFERROR(__xludf.DUMMYFUNCTION("""COMPUTED_VALUE"""),"On a roll of 17+, the Target becomes Dazed.")</f>
        <v>On a roll of 17+, the Target becomes Dazed.</v>
      </c>
      <c r="I1017" s="191" t="str">
        <f>IFERROR(__xludf.DUMMYFUNCTION("""COMPUTED_VALUE"""),"--")</f>
        <v>--</v>
      </c>
      <c r="J1017" s="190" t="str">
        <f>IFERROR(__xludf.DUMMYFUNCTION("""COMPUTED_VALUE"""),"Tier 2")</f>
        <v>Tier 2</v>
      </c>
      <c r="K1017" s="174" t="b">
        <f>IFERROR(__xludf.DUMMYFUNCTION("""COMPUTED_VALUE"""),TRUE)</f>
        <v>1</v>
      </c>
      <c r="L1017" s="174"/>
      <c r="M1017" s="174"/>
      <c r="N1017" s="174"/>
      <c r="O1017" s="174"/>
      <c r="P1017" s="174"/>
      <c r="Q1017" s="174"/>
      <c r="R1017" s="174"/>
      <c r="S1017" s="174"/>
      <c r="T1017" s="174"/>
      <c r="U1017" s="174"/>
      <c r="V1017" s="174"/>
      <c r="W1017" s="174"/>
      <c r="X1017" s="174"/>
      <c r="Y1017" s="174"/>
      <c r="Z1017" s="174"/>
    </row>
    <row r="1018">
      <c r="A1018" s="190" t="str">
        <f>IFERROR(__xludf.DUMMYFUNCTION("""COMPUTED_VALUE"""),"Future Sight")</f>
        <v>Future Sight</v>
      </c>
      <c r="B1018" s="190" t="str">
        <f>IFERROR(__xludf.DUMMYFUNCTION("""COMPUTED_VALUE"""),"Psychic")</f>
        <v>Psychic</v>
      </c>
      <c r="C1018" s="190" t="str">
        <f>IFERROR(__xludf.DUMMYFUNCTION("""COMPUTED_VALUE"""),"Special")</f>
        <v>Special</v>
      </c>
      <c r="D1018" s="190" t="str">
        <f>IFERROR(__xludf.DUMMYFUNCTION("""COMPUTED_VALUE"""),"Scene x2")</f>
        <v>Scene x2</v>
      </c>
      <c r="E1018" s="190" t="str">
        <f>IFERROR(__xludf.DUMMYFUNCTION("""COMPUTED_VALUE"""),"10, 1 Target, Priority")</f>
        <v>10, 1 Target, Priority</v>
      </c>
      <c r="F1018" s="190" t="str">
        <f>IFERROR(__xludf.DUMMYFUNCTION("""COMPUTED_VALUE"""),"--")</f>
        <v>--</v>
      </c>
      <c r="G1018" s="190">
        <f>IFERROR(__xludf.DUMMYFUNCTION("""COMPUTED_VALUE"""),12.0)</f>
        <v>12</v>
      </c>
      <c r="H1018" s="191" t="str">
        <f>IFERROR(__xludf.DUMMYFUNCTION("""COMPUTED_VALUE"""),"Future Sight must be declared as a Priority Action at the start of a Round, choosing the Target but not resolving the Attack. At the end of the Round, the Attack is resolved, even if the user is Fainted. If the Target would faint between then, this Attack"&amp;" does not resolve. Sureshot ")</f>
        <v>Future Sight must be declared as a Priority Action at the start of a Round, choosing the Target but not resolving the Attack. At the end of the Round, the Attack is resolved, even if the user is Fainted. If the Target would faint between then, this Attack does not resolve. Sureshot </v>
      </c>
      <c r="I1018" s="191" t="str">
        <f>IFERROR(__xludf.DUMMYFUNCTION("""COMPUTED_VALUE"""),"--")</f>
        <v>--</v>
      </c>
      <c r="J1018" s="190" t="str">
        <f>IFERROR(__xludf.DUMMYFUNCTION("""COMPUTED_VALUE"""),"Tier 3")</f>
        <v>Tier 3</v>
      </c>
      <c r="K1018" s="174" t="b">
        <f>IFERROR(__xludf.DUMMYFUNCTION("""COMPUTED_VALUE"""),TRUE)</f>
        <v>1</v>
      </c>
      <c r="L1018" s="174"/>
      <c r="M1018" s="174"/>
      <c r="N1018" s="174"/>
      <c r="O1018" s="174"/>
      <c r="P1018" s="174"/>
      <c r="Q1018" s="174"/>
      <c r="R1018" s="174"/>
      <c r="S1018" s="174"/>
      <c r="T1018" s="174"/>
      <c r="U1018" s="174"/>
      <c r="V1018" s="174"/>
      <c r="W1018" s="174"/>
      <c r="X1018" s="174"/>
      <c r="Y1018" s="174"/>
      <c r="Z1018" s="174"/>
    </row>
    <row r="1019">
      <c r="A1019" s="190" t="str">
        <f>IFERROR(__xludf.DUMMYFUNCTION("""COMPUTED_VALUE"""),"Gravity")</f>
        <v>Gravity</v>
      </c>
      <c r="B1019" s="190" t="str">
        <f>IFERROR(__xludf.DUMMYFUNCTION("""COMPUTED_VALUE"""),"Psychic")</f>
        <v>Psychic</v>
      </c>
      <c r="C1019" s="190" t="str">
        <f>IFERROR(__xludf.DUMMYFUNCTION("""COMPUTED_VALUE"""),"Status")</f>
        <v>Status</v>
      </c>
      <c r="D1019" s="190" t="str">
        <f>IFERROR(__xludf.DUMMYFUNCTION("""COMPUTED_VALUE"""),"Scene x2")</f>
        <v>Scene x2</v>
      </c>
      <c r="E1019" s="190" t="str">
        <f>IFERROR(__xludf.DUMMYFUNCTION("""COMPUTED_VALUE"""),"Burst 3, Versatile")</f>
        <v>Burst 3, Versatile</v>
      </c>
      <c r="F1019" s="190">
        <f>IFERROR(__xludf.DUMMYFUNCTION("""COMPUTED_VALUE"""),5.0)</f>
        <v>5</v>
      </c>
      <c r="G1019" s="190" t="str">
        <f>IFERROR(__xludf.DUMMYFUNCTION("""COMPUTED_VALUE"""),"--")</f>
        <v>--</v>
      </c>
      <c r="H1019" s="191" t="str">
        <f>IFERROR(__xludf.DUMMYFUNCTION("""COMPUTED_VALUE"""),"All Targets become Slowed. While Slowed this way, they cannot use the Flier Capability and Ground Type Immunity as a result of the Flying Type is ignored, being treated as Neutral Effectiveness instead. Friendly.")</f>
        <v>All Targets become Slowed. While Slowed this way, they cannot use the Flier Capability and Ground Type Immunity as a result of the Flying Type is ignored, being treated as Neutral Effectiveness instead. Friendly.</v>
      </c>
      <c r="I1019" s="191" t="str">
        <f>IFERROR(__xludf.DUMMYFUNCTION("""COMPUTED_VALUE"""),"When used this way, choose an unoccupied space within 5m and a Combatant within 3m of the chosen space. The chosen Combatant Slides into the chosen space. If the Attack hits, they're also Slowed. Spirit Surge")</f>
        <v>When used this way, choose an unoccupied space within 5m and a Combatant within 3m of the chosen space. The chosen Combatant Slides into the chosen space. If the Attack hits, they're also Slowed. Spirit Surge</v>
      </c>
      <c r="J1019" s="190" t="str">
        <f>IFERROR(__xludf.DUMMYFUNCTION("""COMPUTED_VALUE"""),"Tier 2")</f>
        <v>Tier 2</v>
      </c>
      <c r="K1019" s="174" t="b">
        <f>IFERROR(__xludf.DUMMYFUNCTION("""COMPUTED_VALUE"""),TRUE)</f>
        <v>1</v>
      </c>
      <c r="L1019" s="174"/>
      <c r="M1019" s="174"/>
      <c r="N1019" s="174"/>
      <c r="O1019" s="174"/>
      <c r="P1019" s="174"/>
      <c r="Q1019" s="174"/>
      <c r="R1019" s="174"/>
      <c r="S1019" s="174"/>
      <c r="T1019" s="174"/>
      <c r="U1019" s="174"/>
      <c r="V1019" s="174"/>
      <c r="W1019" s="174"/>
      <c r="X1019" s="174"/>
      <c r="Y1019" s="174"/>
      <c r="Z1019" s="174"/>
    </row>
    <row r="1020">
      <c r="A1020" s="190" t="str">
        <f>IFERROR(__xludf.DUMMYFUNCTION("""COMPUTED_VALUE"""),"Guard Split")</f>
        <v>Guard Split</v>
      </c>
      <c r="B1020" s="190" t="str">
        <f>IFERROR(__xludf.DUMMYFUNCTION("""COMPUTED_VALUE"""),"Psychic")</f>
        <v>Psychic</v>
      </c>
      <c r="C1020" s="190" t="str">
        <f>IFERROR(__xludf.DUMMYFUNCTION("""COMPUTED_VALUE"""),"Status")</f>
        <v>Status</v>
      </c>
      <c r="D1020" s="190" t="str">
        <f>IFERROR(__xludf.DUMMYFUNCTION("""COMPUTED_VALUE"""),"Scene x2")</f>
        <v>Scene x2</v>
      </c>
      <c r="E1020" s="190" t="str">
        <f>IFERROR(__xludf.DUMMYFUNCTION("""COMPUTED_VALUE"""),"3, 1 Target")</f>
        <v>3, 1 Target</v>
      </c>
      <c r="F1020" s="190" t="str">
        <f>IFERROR(__xludf.DUMMYFUNCTION("""COMPUTED_VALUE"""),"--")</f>
        <v>--</v>
      </c>
      <c r="G1020" s="190" t="str">
        <f>IFERROR(__xludf.DUMMYFUNCTION("""COMPUTED_VALUE"""),"--")</f>
        <v>--</v>
      </c>
      <c r="H1020" s="191" t="str">
        <f>IFERROR(__xludf.DUMMYFUNCTION("""COMPUTED_VALUE"""),"The Target's Defense and Special Defense CS are set to half their current CS Value (Rounded Down). Sureshot")</f>
        <v>The Target's Defense and Special Defense CS are set to half their current CS Value (Rounded Down). Sureshot</v>
      </c>
      <c r="I1020" s="191" t="str">
        <f>IFERROR(__xludf.DUMMYFUNCTION("""COMPUTED_VALUE"""),"--")</f>
        <v>--</v>
      </c>
      <c r="J1020" s="190" t="str">
        <f>IFERROR(__xludf.DUMMYFUNCTION("""COMPUTED_VALUE"""),"Tier 2")</f>
        <v>Tier 2</v>
      </c>
      <c r="K1020" s="174" t="b">
        <f>IFERROR(__xludf.DUMMYFUNCTION("""COMPUTED_VALUE"""),TRUE)</f>
        <v>1</v>
      </c>
      <c r="L1020" s="174"/>
      <c r="M1020" s="174"/>
      <c r="N1020" s="174"/>
      <c r="O1020" s="174"/>
      <c r="P1020" s="174"/>
      <c r="Q1020" s="174"/>
      <c r="R1020" s="174"/>
      <c r="S1020" s="174"/>
      <c r="T1020" s="174"/>
      <c r="U1020" s="174"/>
      <c r="V1020" s="174"/>
      <c r="W1020" s="174"/>
      <c r="X1020" s="174"/>
      <c r="Y1020" s="174"/>
      <c r="Z1020" s="174"/>
    </row>
    <row r="1021">
      <c r="A1021" s="190" t="str">
        <f>IFERROR(__xludf.DUMMYFUNCTION("""COMPUTED_VALUE"""),"Guard Swap")</f>
        <v>Guard Swap</v>
      </c>
      <c r="B1021" s="190" t="str">
        <f>IFERROR(__xludf.DUMMYFUNCTION("""COMPUTED_VALUE"""),"Psychic")</f>
        <v>Psychic</v>
      </c>
      <c r="C1021" s="190" t="str">
        <f>IFERROR(__xludf.DUMMYFUNCTION("""COMPUTED_VALUE"""),"Status")</f>
        <v>Status</v>
      </c>
      <c r="D1021" s="190" t="str">
        <f>IFERROR(__xludf.DUMMYFUNCTION("""COMPUTED_VALUE"""),"Scene x2")</f>
        <v>Scene x2</v>
      </c>
      <c r="E1021" s="190" t="str">
        <f>IFERROR(__xludf.DUMMYFUNCTION("""COMPUTED_VALUE"""),"5, 1 Target, Swift Action")</f>
        <v>5, 1 Target, Swift Action</v>
      </c>
      <c r="F1021" s="190" t="str">
        <f>IFERROR(__xludf.DUMMYFUNCTION("""COMPUTED_VALUE"""),"--")</f>
        <v>--</v>
      </c>
      <c r="G1021" s="190" t="str">
        <f>IFERROR(__xludf.DUMMYFUNCTION("""COMPUTED_VALUE"""),"--")</f>
        <v>--</v>
      </c>
      <c r="H1021" s="191" t="str">
        <f>IFERROR(__xludf.DUMMYFUNCTION("""COMPUTED_VALUE"""),"The user and the Target trade CS values for the Defense Stat, and then for the Special Defense Stat. Sureshot.")</f>
        <v>The user and the Target trade CS values for the Defense Stat, and then for the Special Defense Stat. Sureshot.</v>
      </c>
      <c r="I1021" s="191" t="str">
        <f>IFERROR(__xludf.DUMMYFUNCTION("""COMPUTED_VALUE"""),"--")</f>
        <v>--</v>
      </c>
      <c r="J1021" s="190" t="str">
        <f>IFERROR(__xludf.DUMMYFUNCTION("""COMPUTED_VALUE"""),"Tier 2")</f>
        <v>Tier 2</v>
      </c>
      <c r="K1021" s="174" t="b">
        <f>IFERROR(__xludf.DUMMYFUNCTION("""COMPUTED_VALUE"""),TRUE)</f>
        <v>1</v>
      </c>
      <c r="L1021" s="174"/>
      <c r="M1021" s="174"/>
      <c r="N1021" s="174"/>
      <c r="O1021" s="174"/>
      <c r="P1021" s="174"/>
      <c r="Q1021" s="174"/>
      <c r="R1021" s="174"/>
      <c r="S1021" s="174"/>
      <c r="T1021" s="174"/>
      <c r="U1021" s="174"/>
      <c r="V1021" s="174"/>
      <c r="W1021" s="174"/>
      <c r="X1021" s="174"/>
      <c r="Y1021" s="174"/>
      <c r="Z1021" s="174"/>
    </row>
    <row r="1022">
      <c r="A1022" s="190" t="str">
        <f>IFERROR(__xludf.DUMMYFUNCTION("""COMPUTED_VALUE"""),"Heal Block")</f>
        <v>Heal Block</v>
      </c>
      <c r="B1022" s="190" t="str">
        <f>IFERROR(__xludf.DUMMYFUNCTION("""COMPUTED_VALUE"""),"Psychic")</f>
        <v>Psychic</v>
      </c>
      <c r="C1022" s="190" t="str">
        <f>IFERROR(__xludf.DUMMYFUNCTION("""COMPUTED_VALUE"""),"Status")</f>
        <v>Status</v>
      </c>
      <c r="D1022" s="190" t="str">
        <f>IFERROR(__xludf.DUMMYFUNCTION("""COMPUTED_VALUE"""),"EOT")</f>
        <v>EOT</v>
      </c>
      <c r="E1022" s="190" t="str">
        <f>IFERROR(__xludf.DUMMYFUNCTION("""COMPUTED_VALUE"""),"6, 1 Target, Versatile")</f>
        <v>6, 1 Target, Versatile</v>
      </c>
      <c r="F1022" s="190">
        <f>IFERROR(__xludf.DUMMYFUNCTION("""COMPUTED_VALUE"""),4.0)</f>
        <v>4</v>
      </c>
      <c r="G1022" s="190" t="str">
        <f>IFERROR(__xludf.DUMMYFUNCTION("""COMPUTED_VALUE"""),"--")</f>
        <v>--</v>
      </c>
      <c r="H1022" s="191" t="str">
        <f>IFERROR(__xludf.DUMMYFUNCTION("""COMPUTED_VALUE"""),"The Target gains a Heal Mark. Combatants with a Heal Mark cannot restore Hit Points or Temporary Hit Points from any source.")</f>
        <v>The Target gains a Heal Mark. Combatants with a Heal Mark cannot restore Hit Points or Temporary Hit Points from any source.</v>
      </c>
      <c r="I1022" s="191" t="str">
        <f>IFERROR(__xludf.DUMMYFUNCTION("""COMPUTED_VALUE"""),"Same as the normal Effects, but the Target is cured of the Marked Condition at the end of the next Round.")</f>
        <v>Same as the normal Effects, but the Target is cured of the Marked Condition at the end of the next Round.</v>
      </c>
      <c r="J1022" s="190" t="str">
        <f>IFERROR(__xludf.DUMMYFUNCTION("""COMPUTED_VALUE"""),"Tier 1")</f>
        <v>Tier 1</v>
      </c>
      <c r="K1022" s="174" t="b">
        <f>IFERROR(__xludf.DUMMYFUNCTION("""COMPUTED_VALUE"""),TRUE)</f>
        <v>1</v>
      </c>
      <c r="L1022" s="174"/>
      <c r="M1022" s="174"/>
      <c r="N1022" s="174"/>
      <c r="O1022" s="174"/>
      <c r="P1022" s="174"/>
      <c r="Q1022" s="174"/>
      <c r="R1022" s="174"/>
      <c r="S1022" s="174"/>
      <c r="T1022" s="174"/>
      <c r="U1022" s="174"/>
      <c r="V1022" s="174"/>
      <c r="W1022" s="174"/>
      <c r="X1022" s="174"/>
      <c r="Y1022" s="174"/>
      <c r="Z1022" s="174"/>
    </row>
    <row r="1023">
      <c r="A1023" s="190" t="str">
        <f>IFERROR(__xludf.DUMMYFUNCTION("""COMPUTED_VALUE"""),"Heal Pulse")</f>
        <v>Heal Pulse</v>
      </c>
      <c r="B1023" s="190" t="str">
        <f>IFERROR(__xludf.DUMMYFUNCTION("""COMPUTED_VALUE"""),"Psychic")</f>
        <v>Psychic</v>
      </c>
      <c r="C1023" s="190" t="str">
        <f>IFERROR(__xludf.DUMMYFUNCTION("""COMPUTED_VALUE"""),"Status")</f>
        <v>Status</v>
      </c>
      <c r="D1023" s="190" t="str">
        <f>IFERROR(__xludf.DUMMYFUNCTION("""COMPUTED_VALUE"""),"Scene x2")</f>
        <v>Scene x2</v>
      </c>
      <c r="E1023" s="190" t="str">
        <f>IFERROR(__xludf.DUMMYFUNCTION("""COMPUTED_VALUE"""),"6m, 1 Target, Aura, Healing, Versatile")</f>
        <v>6m, 1 Target, Aura, Healing, Versatile</v>
      </c>
      <c r="F1023" s="190" t="str">
        <f>IFERROR(__xludf.DUMMYFUNCTION("""COMPUTED_VALUE"""),"--")</f>
        <v>--</v>
      </c>
      <c r="G1023" s="190" t="str">
        <f>IFERROR(__xludf.DUMMYFUNCTION("""COMPUTED_VALUE"""),"--")</f>
        <v>--</v>
      </c>
      <c r="H1023" s="191" t="str">
        <f>IFERROR(__xludf.DUMMYFUNCTION("""COMPUTED_VALUE"""),"The Target restores 5 Ticks of Hit Points. If the Weather is Mystical, this may also be used as if it were Burst 1.")</f>
        <v>The Target restores 5 Ticks of Hit Points. If the Weather is Mystical, this may also be used as if it were Burst 1.</v>
      </c>
      <c r="I1023" s="191" t="str">
        <f>IFERROR(__xludf.DUMMYFUNCTION("""COMPUTED_VALUE"""),"The Target restores a Tick of Hit Points. When used this way, it doesn't expend the Frequency of Heal Pulse.")</f>
        <v>The Target restores a Tick of Hit Points. When used this way, it doesn't expend the Frequency of Heal Pulse.</v>
      </c>
      <c r="J1023" s="190" t="str">
        <f>IFERROR(__xludf.DUMMYFUNCTION("""COMPUTED_VALUE"""),"Tier 2")</f>
        <v>Tier 2</v>
      </c>
      <c r="K1023" s="174" t="b">
        <f>IFERROR(__xludf.DUMMYFUNCTION("""COMPUTED_VALUE"""),TRUE)</f>
        <v>1</v>
      </c>
      <c r="L1023" s="174"/>
      <c r="M1023" s="174"/>
      <c r="N1023" s="174"/>
      <c r="O1023" s="174"/>
      <c r="P1023" s="174"/>
      <c r="Q1023" s="174"/>
      <c r="R1023" s="174"/>
      <c r="S1023" s="174"/>
      <c r="T1023" s="174"/>
      <c r="U1023" s="174"/>
      <c r="V1023" s="174"/>
      <c r="W1023" s="174"/>
      <c r="X1023" s="174"/>
      <c r="Y1023" s="174"/>
      <c r="Z1023" s="174"/>
    </row>
    <row r="1024">
      <c r="A1024" s="190" t="str">
        <f>IFERROR(__xludf.DUMMYFUNCTION("""COMPUTED_VALUE"""),"Heart Stamp")</f>
        <v>Heart Stamp</v>
      </c>
      <c r="B1024" s="190" t="str">
        <f>IFERROR(__xludf.DUMMYFUNCTION("""COMPUTED_VALUE"""),"Psychic")</f>
        <v>Psychic</v>
      </c>
      <c r="C1024" s="190" t="str">
        <f>IFERROR(__xludf.DUMMYFUNCTION("""COMPUTED_VALUE"""),"Physical")</f>
        <v>Physical</v>
      </c>
      <c r="D1024" s="190" t="str">
        <f>IFERROR(__xludf.DUMMYFUNCTION("""COMPUTED_VALUE"""),"EOT")</f>
        <v>EOT</v>
      </c>
      <c r="E1024" s="190" t="str">
        <f>IFERROR(__xludf.DUMMYFUNCTION("""COMPUTED_VALUE"""),"Melee, 1 Target")</f>
        <v>Melee, 1 Target</v>
      </c>
      <c r="F1024" s="190">
        <f>IFERROR(__xludf.DUMMYFUNCTION("""COMPUTED_VALUE"""),2.0)</f>
        <v>2</v>
      </c>
      <c r="G1024" s="190">
        <f>IFERROR(__xludf.DUMMYFUNCTION("""COMPUTED_VALUE"""),6.0)</f>
        <v>6</v>
      </c>
      <c r="H1024" s="191" t="str">
        <f>IFERROR(__xludf.DUMMYFUNCTION("""COMPUTED_VALUE"""),"On a roll of 17+, the Target becomes Entranced. If the Target is Entranced, this has the Sureshot Keyword.")</f>
        <v>On a roll of 17+, the Target becomes Entranced. If the Target is Entranced, this has the Sureshot Keyword.</v>
      </c>
      <c r="I1024" s="191" t="str">
        <f>IFERROR(__xludf.DUMMYFUNCTION("""COMPUTED_VALUE"""),"--")</f>
        <v>--</v>
      </c>
      <c r="J1024" s="190" t="str">
        <f>IFERROR(__xludf.DUMMYFUNCTION("""COMPUTED_VALUE"""),"Tier 1")</f>
        <v>Tier 1</v>
      </c>
      <c r="K1024" s="174" t="b">
        <f>IFERROR(__xludf.DUMMYFUNCTION("""COMPUTED_VALUE"""),TRUE)</f>
        <v>1</v>
      </c>
      <c r="L1024" s="174"/>
      <c r="M1024" s="174"/>
      <c r="N1024" s="174"/>
      <c r="O1024" s="174"/>
      <c r="P1024" s="174"/>
      <c r="Q1024" s="174"/>
      <c r="R1024" s="174"/>
      <c r="S1024" s="174"/>
      <c r="T1024" s="174"/>
      <c r="U1024" s="174"/>
      <c r="V1024" s="174"/>
      <c r="W1024" s="174"/>
      <c r="X1024" s="174"/>
      <c r="Y1024" s="174"/>
      <c r="Z1024" s="174"/>
    </row>
    <row r="1025">
      <c r="A1025" s="190" t="str">
        <f>IFERROR(__xludf.DUMMYFUNCTION("""COMPUTED_VALUE"""),"Hypnosis")</f>
        <v>Hypnosis</v>
      </c>
      <c r="B1025" s="190" t="str">
        <f>IFERROR(__xludf.DUMMYFUNCTION("""COMPUTED_VALUE"""),"Psychic")</f>
        <v>Psychic</v>
      </c>
      <c r="C1025" s="190" t="str">
        <f>IFERROR(__xludf.DUMMYFUNCTION("""COMPUTED_VALUE"""),"Status")</f>
        <v>Status</v>
      </c>
      <c r="D1025" s="190" t="str">
        <f>IFERROR(__xludf.DUMMYFUNCTION("""COMPUTED_VALUE"""),"Scene x2")</f>
        <v>Scene x2</v>
      </c>
      <c r="E1025" s="190" t="str">
        <f>IFERROR(__xludf.DUMMYFUNCTION("""COMPUTED_VALUE"""),"4, 1 Target, Versatile")</f>
        <v>4, 1 Target, Versatile</v>
      </c>
      <c r="F1025" s="190">
        <f>IFERROR(__xludf.DUMMYFUNCTION("""COMPUTED_VALUE"""),5.0)</f>
        <v>5</v>
      </c>
      <c r="G1025" s="190" t="str">
        <f>IFERROR(__xludf.DUMMYFUNCTION("""COMPUTED_VALUE"""),"--")</f>
        <v>--</v>
      </c>
      <c r="H1025" s="191" t="str">
        <f>IFERROR(__xludf.DUMMYFUNCTION("""COMPUTED_VALUE"""),"On a Hit, the Target becomes Drowsy. If the Target is Adjacent to the user, instead of an Accuracy Check you may perform an opposed Focus Check and if you succeed, they're hit by this Attack.")</f>
        <v>On a Hit, the Target becomes Drowsy. If the Target is Adjacent to the user, instead of an Accuracy Check you may perform an opposed Focus Check and if you succeed, they're hit by this Attack.</v>
      </c>
      <c r="I1025" s="191" t="str">
        <f>IFERROR(__xludf.DUMMYFUNCTION("""COMPUTED_VALUE"""),"The Target becomes Drowsy. When used this way, the AC becomes 8. ")</f>
        <v>The Target becomes Drowsy. When used this way, the AC becomes 8. </v>
      </c>
      <c r="J1025" s="190" t="str">
        <f>IFERROR(__xludf.DUMMYFUNCTION("""COMPUTED_VALUE"""),"Tier 2")</f>
        <v>Tier 2</v>
      </c>
      <c r="K1025" s="174" t="b">
        <f>IFERROR(__xludf.DUMMYFUNCTION("""COMPUTED_VALUE"""),TRUE)</f>
        <v>1</v>
      </c>
      <c r="L1025" s="174"/>
      <c r="M1025" s="174"/>
      <c r="N1025" s="174"/>
      <c r="O1025" s="174"/>
      <c r="P1025" s="174"/>
      <c r="Q1025" s="174"/>
      <c r="R1025" s="174"/>
      <c r="S1025" s="174"/>
      <c r="T1025" s="174"/>
      <c r="U1025" s="174"/>
      <c r="V1025" s="174"/>
      <c r="W1025" s="174"/>
      <c r="X1025" s="174"/>
      <c r="Y1025" s="174"/>
      <c r="Z1025" s="174"/>
    </row>
    <row r="1026">
      <c r="A1026" s="190" t="str">
        <f>IFERROR(__xludf.DUMMYFUNCTION("""COMPUTED_VALUE"""),"Imprison")</f>
        <v>Imprison</v>
      </c>
      <c r="B1026" s="190" t="str">
        <f>IFERROR(__xludf.DUMMYFUNCTION("""COMPUTED_VALUE"""),"Psychic")</f>
        <v>Psychic</v>
      </c>
      <c r="C1026" s="190" t="str">
        <f>IFERROR(__xludf.DUMMYFUNCTION("""COMPUTED_VALUE"""),"Status")</f>
        <v>Status</v>
      </c>
      <c r="D1026" s="190" t="str">
        <f>IFERROR(__xludf.DUMMYFUNCTION("""COMPUTED_VALUE"""),"Scene x2")</f>
        <v>Scene x2</v>
      </c>
      <c r="E1026" s="190" t="str">
        <f>IFERROR(__xludf.DUMMYFUNCTION("""COMPUTED_VALUE"""),"3, 1 Target, Versatile")</f>
        <v>3, 1 Target, Versatile</v>
      </c>
      <c r="F1026" s="190" t="str">
        <f>IFERROR(__xludf.DUMMYFUNCTION("""COMPUTED_VALUE"""),"--")</f>
        <v>--</v>
      </c>
      <c r="G1026" s="190" t="str">
        <f>IFERROR(__xludf.DUMMYFUNCTION("""COMPUTED_VALUE"""),"--")</f>
        <v>--</v>
      </c>
      <c r="H1026" s="191" t="str">
        <f>IFERROR(__xludf.DUMMYFUNCTION("""COMPUTED_VALUE"""),"The Target becomes Trapped and Suppressed. Sureshot.")</f>
        <v>The Target becomes Trapped and Suppressed. Sureshot.</v>
      </c>
      <c r="I1026" s="191" t="str">
        <f>IFERROR(__xludf.DUMMYFUNCTION("""COMPUTED_VALUE"""),"The Target becomes Trapped. Sureshot.")</f>
        <v>The Target becomes Trapped. Sureshot.</v>
      </c>
      <c r="J1026" s="190" t="str">
        <f>IFERROR(__xludf.DUMMYFUNCTION("""COMPUTED_VALUE"""),"Tier 2")</f>
        <v>Tier 2</v>
      </c>
      <c r="K1026" s="174" t="b">
        <f>IFERROR(__xludf.DUMMYFUNCTION("""COMPUTED_VALUE"""),TRUE)</f>
        <v>1</v>
      </c>
      <c r="L1026" s="174"/>
      <c r="M1026" s="174"/>
      <c r="N1026" s="174"/>
      <c r="O1026" s="174"/>
      <c r="P1026" s="174"/>
      <c r="Q1026" s="174"/>
      <c r="R1026" s="174"/>
      <c r="S1026" s="174"/>
      <c r="T1026" s="174"/>
      <c r="U1026" s="174"/>
      <c r="V1026" s="174"/>
      <c r="W1026" s="174"/>
      <c r="X1026" s="174"/>
      <c r="Y1026" s="174"/>
      <c r="Z1026" s="174"/>
    </row>
    <row r="1027">
      <c r="A1027" s="190" t="str">
        <f>IFERROR(__xludf.DUMMYFUNCTION("""COMPUTED_VALUE"""),"Instruct")</f>
        <v>Instruct</v>
      </c>
      <c r="B1027" s="190" t="str">
        <f>IFERROR(__xludf.DUMMYFUNCTION("""COMPUTED_VALUE"""),"Psychic")</f>
        <v>Psychic</v>
      </c>
      <c r="C1027" s="190" t="str">
        <f>IFERROR(__xludf.DUMMYFUNCTION("""COMPUTED_VALUE"""),"Status")</f>
        <v>Status</v>
      </c>
      <c r="D1027" s="190" t="str">
        <f>IFERROR(__xludf.DUMMYFUNCTION("""COMPUTED_VALUE"""),"Scene x2")</f>
        <v>Scene x2</v>
      </c>
      <c r="E1027" s="190" t="str">
        <f>IFERROR(__xludf.DUMMYFUNCTION("""COMPUTED_VALUE"""),"Melee, 1 Target, Full Action")</f>
        <v>Melee, 1 Target, Full Action</v>
      </c>
      <c r="F1027" s="190" t="str">
        <f>IFERROR(__xludf.DUMMYFUNCTION("""COMPUTED_VALUE"""),"--")</f>
        <v>--</v>
      </c>
      <c r="G1027" s="190" t="str">
        <f>IFERROR(__xludf.DUMMYFUNCTION("""COMPUTED_VALUE"""),"--")</f>
        <v>--</v>
      </c>
      <c r="H1027" s="191" t="str">
        <f>IFERROR(__xludf.DUMMYFUNCTION("""COMPUTED_VALUE"""),"The Target immediately reuses the attack it performed last, ignoring frequency, as a Reaction. They may choose new Targets for the Attack. Instruct may not be used if the Target's last Attack was a Set-Up Attack, a Trigger Attack, or Instruct.")</f>
        <v>The Target immediately reuses the attack it performed last, ignoring frequency, as a Reaction. They may choose new Targets for the Attack. Instruct may not be used if the Target's last Attack was a Set-Up Attack, a Trigger Attack, or Instruct.</v>
      </c>
      <c r="I1027" s="191" t="str">
        <f>IFERROR(__xludf.DUMMYFUNCTION("""COMPUTED_VALUE"""),"--")</f>
        <v>--</v>
      </c>
      <c r="J1027" s="190" t="str">
        <f>IFERROR(__xludf.DUMMYFUNCTION("""COMPUTED_VALUE"""),"Tier 2")</f>
        <v>Tier 2</v>
      </c>
      <c r="K1027" s="174" t="b">
        <f>IFERROR(__xludf.DUMMYFUNCTION("""COMPUTED_VALUE"""),FALSE)</f>
        <v>0</v>
      </c>
      <c r="L1027" s="174"/>
      <c r="M1027" s="174"/>
      <c r="N1027" s="174"/>
      <c r="O1027" s="174"/>
      <c r="P1027" s="174"/>
      <c r="Q1027" s="174"/>
      <c r="R1027" s="174"/>
      <c r="S1027" s="174"/>
      <c r="T1027" s="174"/>
      <c r="U1027" s="174"/>
      <c r="V1027" s="174"/>
      <c r="W1027" s="174"/>
      <c r="X1027" s="174"/>
      <c r="Y1027" s="174"/>
      <c r="Z1027" s="174"/>
    </row>
    <row r="1028">
      <c r="A1028" s="190" t="str">
        <f>IFERROR(__xludf.DUMMYFUNCTION("""COMPUTED_VALUE"""),"Kinesis")</f>
        <v>Kinesis</v>
      </c>
      <c r="B1028" s="190" t="str">
        <f>IFERROR(__xludf.DUMMYFUNCTION("""COMPUTED_VALUE"""),"Psychic")</f>
        <v>Psychic</v>
      </c>
      <c r="C1028" s="190" t="str">
        <f>IFERROR(__xludf.DUMMYFUNCTION("""COMPUTED_VALUE"""),"Status")</f>
        <v>Status</v>
      </c>
      <c r="D1028" s="190" t="str">
        <f>IFERROR(__xludf.DUMMYFUNCTION("""COMPUTED_VALUE"""),"Scene x2")</f>
        <v>Scene x2</v>
      </c>
      <c r="E1028" s="190" t="str">
        <f>IFERROR(__xludf.DUMMYFUNCTION("""COMPUTED_VALUE"""),"3, 1 Target, Trigger")</f>
        <v>3, 1 Target, Trigger</v>
      </c>
      <c r="F1028" s="190" t="str">
        <f>IFERROR(__xludf.DUMMYFUNCTION("""COMPUTED_VALUE"""),"--")</f>
        <v>--</v>
      </c>
      <c r="G1028" s="190" t="str">
        <f>IFERROR(__xludf.DUMMYFUNCTION("""COMPUTED_VALUE"""),"--")</f>
        <v>--</v>
      </c>
      <c r="H1028" s="191" t="str">
        <f>IFERROR(__xludf.DUMMYFUNCTION("""COMPUTED_VALUE"""),"Kinesis can only be used as a Swift Action + Reaction if the user or an Ally within 3m is about to be hit by a 1-Target Ranged Attack. The Triggering Attack receives an Accuracy Penalty equal to double your Tier Level. This may cause the Attack to miss in"&amp;"stead. Sureshot.")</f>
        <v>Kinesis can only be used as a Swift Action + Reaction if the user or an Ally within 3m is about to be hit by a 1-Target Ranged Attack. The Triggering Attack receives an Accuracy Penalty equal to double your Tier Level. This may cause the Attack to miss instead. Sureshot.</v>
      </c>
      <c r="I1028" s="191" t="str">
        <f>IFERROR(__xludf.DUMMYFUNCTION("""COMPUTED_VALUE"""),"--")</f>
        <v>--</v>
      </c>
      <c r="J1028" s="190" t="str">
        <f>IFERROR(__xludf.DUMMYFUNCTION("""COMPUTED_VALUE"""),"Tier 2")</f>
        <v>Tier 2</v>
      </c>
      <c r="K1028" s="174" t="b">
        <f>IFERROR(__xludf.DUMMYFUNCTION("""COMPUTED_VALUE"""),FALSE)</f>
        <v>0</v>
      </c>
      <c r="L1028" s="174"/>
      <c r="M1028" s="174"/>
      <c r="N1028" s="174"/>
      <c r="O1028" s="174"/>
      <c r="P1028" s="174"/>
      <c r="Q1028" s="174"/>
      <c r="R1028" s="174"/>
      <c r="S1028" s="174"/>
      <c r="T1028" s="174"/>
      <c r="U1028" s="174"/>
      <c r="V1028" s="174"/>
      <c r="W1028" s="174"/>
      <c r="X1028" s="174"/>
      <c r="Y1028" s="174"/>
      <c r="Z1028" s="174"/>
    </row>
    <row r="1029">
      <c r="A1029" s="190" t="str">
        <f>IFERROR(__xludf.DUMMYFUNCTION("""COMPUTED_VALUE"""),"Light Screen")</f>
        <v>Light Screen</v>
      </c>
      <c r="B1029" s="190" t="str">
        <f>IFERROR(__xludf.DUMMYFUNCTION("""COMPUTED_VALUE"""),"Psychic")</f>
        <v>Psychic</v>
      </c>
      <c r="C1029" s="190" t="str">
        <f>IFERROR(__xludf.DUMMYFUNCTION("""COMPUTED_VALUE"""),"Status")</f>
        <v>Status</v>
      </c>
      <c r="D1029" s="190" t="str">
        <f>IFERROR(__xludf.DUMMYFUNCTION("""COMPUTED_VALUE"""),"Scene x2")</f>
        <v>Scene x2</v>
      </c>
      <c r="E1029" s="190" t="str">
        <f>IFERROR(__xludf.DUMMYFUNCTION("""COMPUTED_VALUE"""),"Blessing, Versatile")</f>
        <v>Blessing, Versatile</v>
      </c>
      <c r="F1029" s="190" t="str">
        <f>IFERROR(__xludf.DUMMYFUNCTION("""COMPUTED_VALUE"""),"--")</f>
        <v>--</v>
      </c>
      <c r="G1029" s="190" t="str">
        <f>IFERROR(__xludf.DUMMYFUNCTION("""COMPUTED_VALUE"""),"--")</f>
        <v>--</v>
      </c>
      <c r="H1029" s="191" t="str">
        <f>IFERROR(__xludf.DUMMYFUNCTION("""COMPUTED_VALUE"""),"Blessing – Any user affected by Light Screen may activate it as a Free Action when receiving Special Damage to resist the Damage one step. Light Screen may be Activated 2 times, and then disappears.")</f>
        <v>Blessing – Any user affected by Light Screen may activate it as a Free Action when receiving Special Damage to resist the Damage one step. Light Screen may be Activated 2 times, and then disappears.</v>
      </c>
      <c r="I1029" s="191" t="str">
        <f>IFERROR(__xludf.DUMMYFUNCTION("""COMPUTED_VALUE"""),"Same as the normal Effect, but it only has 1 Activation.")</f>
        <v>Same as the normal Effect, but it only has 1 Activation.</v>
      </c>
      <c r="J1029" s="190" t="str">
        <f>IFERROR(__xludf.DUMMYFUNCTION("""COMPUTED_VALUE"""),"Tier 2")</f>
        <v>Tier 2</v>
      </c>
      <c r="K1029" s="174" t="b">
        <f>IFERROR(__xludf.DUMMYFUNCTION("""COMPUTED_VALUE"""),TRUE)</f>
        <v>1</v>
      </c>
      <c r="L1029" s="174"/>
      <c r="M1029" s="174"/>
      <c r="N1029" s="174"/>
      <c r="O1029" s="174"/>
      <c r="P1029" s="174"/>
      <c r="Q1029" s="174"/>
      <c r="R1029" s="174"/>
      <c r="S1029" s="174"/>
      <c r="T1029" s="174"/>
      <c r="U1029" s="174"/>
      <c r="V1029" s="174"/>
      <c r="W1029" s="174"/>
      <c r="X1029" s="174"/>
      <c r="Y1029" s="174"/>
      <c r="Z1029" s="174"/>
    </row>
    <row r="1030">
      <c r="A1030" s="190" t="str">
        <f>IFERROR(__xludf.DUMMYFUNCTION("""COMPUTED_VALUE"""),"Lumina Crash")</f>
        <v>Lumina Crash</v>
      </c>
      <c r="B1030" s="190" t="str">
        <f>IFERROR(__xludf.DUMMYFUNCTION("""COMPUTED_VALUE"""),"Psychic")</f>
        <v>Psychic</v>
      </c>
      <c r="C1030" s="190" t="str">
        <f>IFERROR(__xludf.DUMMYFUNCTION("""COMPUTED_VALUE"""),"Special")</f>
        <v>Special</v>
      </c>
      <c r="D1030" s="190" t="str">
        <f>IFERROR(__xludf.DUMMYFUNCTION("""COMPUTED_VALUE"""),"EOT")</f>
        <v>EOT</v>
      </c>
      <c r="E1030" s="190" t="str">
        <f>IFERROR(__xludf.DUMMYFUNCTION("""COMPUTED_VALUE"""),"Close Blast 2")</f>
        <v>Close Blast 2</v>
      </c>
      <c r="F1030" s="190">
        <f>IFERROR(__xludf.DUMMYFUNCTION("""COMPUTED_VALUE"""),6.0)</f>
        <v>6</v>
      </c>
      <c r="G1030" s="190">
        <f>IFERROR(__xludf.DUMMYFUNCTION("""COMPUTED_VALUE"""),8.0)</f>
        <v>8</v>
      </c>
      <c r="H1030" s="191" t="str">
        <f>IFERROR(__xludf.DUMMYFUNCTION("""COMPUTED_VALUE"""),"Lower the Targets’ Special Defense by -2 CS. On a hit and roll of 18+, Targets become Blinded until the end of their next Turn. Spirit Surge")</f>
        <v>Lower the Targets’ Special Defense by -2 CS. On a hit and roll of 18+, Targets become Blinded until the end of their next Turn. Spirit Surge</v>
      </c>
      <c r="I1030" s="191" t="str">
        <f>IFERROR(__xludf.DUMMYFUNCTION("""COMPUTED_VALUE"""),"--")</f>
        <v>--</v>
      </c>
      <c r="J1030" s="190" t="str">
        <f>IFERROR(__xludf.DUMMYFUNCTION("""COMPUTED_VALUE"""),"Tier 2")</f>
        <v>Tier 2</v>
      </c>
      <c r="K1030" s="174" t="b">
        <f>IFERROR(__xludf.DUMMYFUNCTION("""COMPUTED_VALUE"""),TRUE)</f>
        <v>1</v>
      </c>
      <c r="L1030" s="174"/>
      <c r="M1030" s="174"/>
      <c r="N1030" s="174"/>
      <c r="O1030" s="174"/>
      <c r="P1030" s="174"/>
      <c r="Q1030" s="174"/>
      <c r="R1030" s="174"/>
      <c r="S1030" s="174"/>
      <c r="T1030" s="174"/>
      <c r="U1030" s="174"/>
      <c r="V1030" s="174"/>
      <c r="W1030" s="174"/>
      <c r="X1030" s="174"/>
      <c r="Y1030" s="174"/>
      <c r="Z1030" s="174"/>
    </row>
    <row r="1031">
      <c r="A1031" s="190" t="str">
        <f>IFERROR(__xludf.DUMMYFUNCTION("""COMPUTED_VALUE"""),"Magic Coat")</f>
        <v>Magic Coat</v>
      </c>
      <c r="B1031" s="190" t="str">
        <f>IFERROR(__xludf.DUMMYFUNCTION("""COMPUTED_VALUE"""),"Psychic")</f>
        <v>Psychic</v>
      </c>
      <c r="C1031" s="190" t="str">
        <f>IFERROR(__xludf.DUMMYFUNCTION("""COMPUTED_VALUE"""),"Status")</f>
        <v>Status</v>
      </c>
      <c r="D1031" s="190" t="str">
        <f>IFERROR(__xludf.DUMMYFUNCTION("""COMPUTED_VALUE"""),"Scene x2")</f>
        <v>Scene x2</v>
      </c>
      <c r="E1031" s="190" t="str">
        <f>IFERROR(__xludf.DUMMYFUNCTION("""COMPUTED_VALUE"""),"Melee, 1 Target or Self; Coat")</f>
        <v>Melee, 1 Target or Self; Coat</v>
      </c>
      <c r="F1031" s="190" t="str">
        <f>IFERROR(__xludf.DUMMYFUNCTION("""COMPUTED_VALUE"""),"--")</f>
        <v>--</v>
      </c>
      <c r="G1031" s="190" t="str">
        <f>IFERROR(__xludf.DUMMYFUNCTION("""COMPUTED_VALUE"""),"--")</f>
        <v>--</v>
      </c>
      <c r="H1031" s="191" t="str">
        <f>IFERROR(__xludf.DUMMYFUNCTION("""COMPUTED_VALUE"""),"The Target gains a Magic Coat. Status Attacks that target Combatants with a Magic Coat suffer a -6 Penalty to Accuracy. The Magic Coat can be expended as a Reaction when hit with a Special Attack to reduce it by one damage step.")</f>
        <v>The Target gains a Magic Coat. Status Attacks that target Combatants with a Magic Coat suffer a -6 Penalty to Accuracy. The Magic Coat can be expended as a Reaction when hit with a Special Attack to reduce it by one damage step.</v>
      </c>
      <c r="I1031" s="191" t="str">
        <f>IFERROR(__xludf.DUMMYFUNCTION("""COMPUTED_VALUE"""),"--")</f>
        <v>--</v>
      </c>
      <c r="J1031" s="190" t="str">
        <f>IFERROR(__xludf.DUMMYFUNCTION("""COMPUTED_VALUE"""),"Tier 2")</f>
        <v>Tier 2</v>
      </c>
      <c r="K1031" s="174" t="b">
        <f>IFERROR(__xludf.DUMMYFUNCTION("""COMPUTED_VALUE"""),FALSE)</f>
        <v>0</v>
      </c>
      <c r="L1031" s="174"/>
      <c r="M1031" s="174"/>
      <c r="N1031" s="174"/>
      <c r="O1031" s="174"/>
      <c r="P1031" s="174"/>
      <c r="Q1031" s="174"/>
      <c r="R1031" s="174"/>
      <c r="S1031" s="174"/>
      <c r="T1031" s="174"/>
      <c r="U1031" s="174"/>
      <c r="V1031" s="174"/>
      <c r="W1031" s="174"/>
      <c r="X1031" s="174"/>
      <c r="Y1031" s="174"/>
      <c r="Z1031" s="174"/>
    </row>
    <row r="1032">
      <c r="A1032" s="190" t="str">
        <f>IFERROR(__xludf.DUMMYFUNCTION("""COMPUTED_VALUE"""),"Magic Powder")</f>
        <v>Magic Powder</v>
      </c>
      <c r="B1032" s="190" t="str">
        <f>IFERROR(__xludf.DUMMYFUNCTION("""COMPUTED_VALUE"""),"Psychic")</f>
        <v>Psychic</v>
      </c>
      <c r="C1032" s="190" t="str">
        <f>IFERROR(__xludf.DUMMYFUNCTION("""COMPUTED_VALUE"""),"Status")</f>
        <v>Status</v>
      </c>
      <c r="D1032" s="190" t="str">
        <f>IFERROR(__xludf.DUMMYFUNCTION("""COMPUTED_VALUE"""),"Scene x2")</f>
        <v>Scene x2</v>
      </c>
      <c r="E1032" s="190" t="str">
        <f>IFERROR(__xludf.DUMMYFUNCTION("""COMPUTED_VALUE"""),"6, Ranged Blast 2, Hazard, Versatile")</f>
        <v>6, Ranged Blast 2, Hazard, Versatile</v>
      </c>
      <c r="F1032" s="190">
        <f>IFERROR(__xludf.DUMMYFUNCTION("""COMPUTED_VALUE"""),4.0)</f>
        <v>4</v>
      </c>
      <c r="G1032" s="190" t="str">
        <f>IFERROR(__xludf.DUMMYFUNCTION("""COMPUTED_VALUE"""),"--")</f>
        <v>--</v>
      </c>
      <c r="H1032" s="191" t="str">
        <f>IFERROR(__xludf.DUMMYFUNCTION("""COMPUTED_VALUE"""),"All Targets hit by this Attack become have a -2 Penalty to their next Save Check.Powder Hazards may then be set on the spaces in the range of this Attack until the end of the next Round. Whenever an Enemy triggers this Hazard they get a -2 Penalty to thei"&amp;"r next Save Check. 
Powder Hazard - Whenever an Enemy passes through or ends their turn on a Powder Hazard the Effect listed is applied. Users with the Breathless Capability ignore this Hazard.")</f>
        <v>All Targets hit by this Attack become have a -2 Penalty to their next Save Check.Powder Hazards may then be set on the spaces in the range of this Attack until the end of the next Round. Whenever an Enemy triggers this Hazard they get a -2 Penalty to their next Save Check. 
Powder Hazard - Whenever an Enemy passes through or ends their turn on a Powder Hazard the Effect listed is applied. Users with the Breathless Capability ignore this Hazard.</v>
      </c>
      <c r="I1032" s="191" t="str">
        <f>IFERROR(__xludf.DUMMYFUNCTION("""COMPUTED_VALUE"""),"When used this way, the Attack's range becomes 4, 1 Target. The Target gains a -2 Penalty to their next Save Check.")</f>
        <v>When used this way, the Attack's range becomes 4, 1 Target. The Target gains a -2 Penalty to their next Save Check.</v>
      </c>
      <c r="J1032" s="190" t="str">
        <f>IFERROR(__xludf.DUMMYFUNCTION("""COMPUTED_VALUE"""),"Tier 2")</f>
        <v>Tier 2</v>
      </c>
      <c r="K1032" s="174" t="b">
        <f>IFERROR(__xludf.DUMMYFUNCTION("""COMPUTED_VALUE"""),TRUE)</f>
        <v>1</v>
      </c>
      <c r="L1032" s="174"/>
      <c r="M1032" s="174"/>
      <c r="N1032" s="174"/>
      <c r="O1032" s="174"/>
      <c r="P1032" s="174"/>
      <c r="Q1032" s="174"/>
      <c r="R1032" s="174"/>
      <c r="S1032" s="174"/>
      <c r="T1032" s="174"/>
      <c r="U1032" s="174"/>
      <c r="V1032" s="174"/>
      <c r="W1032" s="174"/>
      <c r="X1032" s="174"/>
      <c r="Y1032" s="174"/>
      <c r="Z1032" s="174"/>
    </row>
    <row r="1033">
      <c r="A1033" s="190" t="str">
        <f>IFERROR(__xludf.DUMMYFUNCTION("""COMPUTED_VALUE"""),"Magic Room")</f>
        <v>Magic Room</v>
      </c>
      <c r="B1033" s="190" t="str">
        <f>IFERROR(__xludf.DUMMYFUNCTION("""COMPUTED_VALUE"""),"Psychic")</f>
        <v>Psychic</v>
      </c>
      <c r="C1033" s="190" t="str">
        <f>IFERROR(__xludf.DUMMYFUNCTION("""COMPUTED_VALUE"""),"Status")</f>
        <v>Status</v>
      </c>
      <c r="D1033" s="190" t="str">
        <f>IFERROR(__xludf.DUMMYFUNCTION("""COMPUTED_VALUE"""),"Scene")</f>
        <v>Scene</v>
      </c>
      <c r="E1033" s="190" t="str">
        <f>IFERROR(__xludf.DUMMYFUNCTION("""COMPUTED_VALUE"""),"Field, Versatile")</f>
        <v>Field, Versatile</v>
      </c>
      <c r="F1033" s="190" t="str">
        <f>IFERROR(__xludf.DUMMYFUNCTION("""COMPUTED_VALUE"""),"--")</f>
        <v>--</v>
      </c>
      <c r="G1033" s="190" t="str">
        <f>IFERROR(__xludf.DUMMYFUNCTION("""COMPUTED_VALUE"""),"--")</f>
        <v>--</v>
      </c>
      <c r="H1033" s="191" t="str">
        <f>IFERROR(__xludf.DUMMYFUNCTION("""COMPUTED_VALUE"""),"The area becomes Magical until you Faint. While Magical, all Save Checks suffer a -2 Modifier and whenever a Mental Affliction is gained it cannot be cured by the afflicted combatant's next Save Check.")</f>
        <v>The area becomes Magical until you Faint. While Magical, all Save Checks suffer a -2 Modifier and whenever a Mental Affliction is gained it cannot be cured by the afflicted combatant's next Save Check.</v>
      </c>
      <c r="I1033"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33" s="190" t="str">
        <f>IFERROR(__xludf.DUMMYFUNCTION("""COMPUTED_VALUE"""),"Tier 3")</f>
        <v>Tier 3</v>
      </c>
      <c r="K1033" s="174" t="b">
        <f>IFERROR(__xludf.DUMMYFUNCTION("""COMPUTED_VALUE"""),TRUE)</f>
        <v>1</v>
      </c>
      <c r="L1033" s="174"/>
      <c r="M1033" s="174"/>
      <c r="N1033" s="174"/>
      <c r="O1033" s="174"/>
      <c r="P1033" s="174"/>
      <c r="Q1033" s="174"/>
      <c r="R1033" s="174"/>
      <c r="S1033" s="174"/>
      <c r="T1033" s="174"/>
      <c r="U1033" s="174"/>
      <c r="V1033" s="174"/>
      <c r="W1033" s="174"/>
      <c r="X1033" s="174"/>
      <c r="Y1033" s="174"/>
      <c r="Z1033" s="174"/>
    </row>
    <row r="1034">
      <c r="A1034" s="190" t="str">
        <f>IFERROR(__xludf.DUMMYFUNCTION("""COMPUTED_VALUE"""),"Meditate")</f>
        <v>Meditate</v>
      </c>
      <c r="B1034" s="190" t="str">
        <f>IFERROR(__xludf.DUMMYFUNCTION("""COMPUTED_VALUE"""),"Psychic")</f>
        <v>Psychic</v>
      </c>
      <c r="C1034" s="190" t="str">
        <f>IFERROR(__xludf.DUMMYFUNCTION("""COMPUTED_VALUE"""),"Status")</f>
        <v>Status</v>
      </c>
      <c r="D1034" s="190" t="str">
        <f>IFERROR(__xludf.DUMMYFUNCTION("""COMPUTED_VALUE"""),"Scene x2")</f>
        <v>Scene x2</v>
      </c>
      <c r="E1034" s="190" t="str">
        <f>IFERROR(__xludf.DUMMYFUNCTION("""COMPUTED_VALUE"""),"Self, Full Action, Healing; or Self, Movement Action, Healing")</f>
        <v>Self, Full Action, Healing; or Self, Movement Action, Healing</v>
      </c>
      <c r="F1034" s="190" t="str">
        <f>IFERROR(__xludf.DUMMYFUNCTION("""COMPUTED_VALUE"""),"--")</f>
        <v>--</v>
      </c>
      <c r="G1034" s="190" t="str">
        <f>IFERROR(__xludf.DUMMYFUNCTION("""COMPUTED_VALUE"""),"--")</f>
        <v>--</v>
      </c>
      <c r="H1034" s="191" t="str">
        <f>IFERROR(__xludf.DUMMYFUNCTION("""COMPUTED_VALUE"""),"The user is cured of all Mental Afflictions if used as a Full Action. If used as a Movement Action the user is cured of a single Mental Affliction.")</f>
        <v>The user is cured of all Mental Afflictions if used as a Full Action. If used as a Movement Action the user is cured of a single Mental Affliction.</v>
      </c>
      <c r="I1034" s="191" t="str">
        <f>IFERROR(__xludf.DUMMYFUNCTION("""COMPUTED_VALUE"""),"--")</f>
        <v>--</v>
      </c>
      <c r="J1034" s="190" t="str">
        <f>IFERROR(__xludf.DUMMYFUNCTION("""COMPUTED_VALUE"""),"Tier 2")</f>
        <v>Tier 2</v>
      </c>
      <c r="K1034" s="174" t="b">
        <f>IFERROR(__xludf.DUMMYFUNCTION("""COMPUTED_VALUE"""),TRUE)</f>
        <v>1</v>
      </c>
      <c r="L1034" s="174"/>
      <c r="M1034" s="174"/>
      <c r="N1034" s="174"/>
      <c r="O1034" s="174"/>
      <c r="P1034" s="174"/>
      <c r="Q1034" s="174"/>
      <c r="R1034" s="174"/>
      <c r="S1034" s="174"/>
      <c r="T1034" s="174"/>
      <c r="U1034" s="174"/>
      <c r="V1034" s="174"/>
      <c r="W1034" s="174"/>
      <c r="X1034" s="174"/>
      <c r="Y1034" s="174"/>
      <c r="Z1034" s="174"/>
    </row>
    <row r="1035">
      <c r="A1035" s="190" t="str">
        <f>IFERROR(__xludf.DUMMYFUNCTION("""COMPUTED_VALUE"""),"Mental Boost")</f>
        <v>Mental Boost</v>
      </c>
      <c r="B1035" s="190" t="str">
        <f>IFERROR(__xludf.DUMMYFUNCTION("""COMPUTED_VALUE"""),"Psychic")</f>
        <v>Psychic</v>
      </c>
      <c r="C1035" s="190" t="str">
        <f>IFERROR(__xludf.DUMMYFUNCTION("""COMPUTED_VALUE"""),"Status")</f>
        <v>Status</v>
      </c>
      <c r="D1035" s="190" t="str">
        <f>IFERROR(__xludf.DUMMYFUNCTION("""COMPUTED_VALUE"""),"Scene x2")</f>
        <v>Scene x2</v>
      </c>
      <c r="E1035" s="190" t="str">
        <f>IFERROR(__xludf.DUMMYFUNCTION("""COMPUTED_VALUE"""),"Self, Full Action")</f>
        <v>Self, Full Action</v>
      </c>
      <c r="F1035" s="190" t="str">
        <f>IFERROR(__xludf.DUMMYFUNCTION("""COMPUTED_VALUE"""),"--")</f>
        <v>--</v>
      </c>
      <c r="G1035" s="190" t="str">
        <f>IFERROR(__xludf.DUMMYFUNCTION("""COMPUTED_VALUE"""),"--")</f>
        <v>--</v>
      </c>
      <c r="H1035" s="191" t="str">
        <f>IFERROR(__xludf.DUMMYFUNCTION("""COMPUTED_VALUE"""),"The user gains +3 CS in Special Attack or Special Defense. This cannot be used if the user has a Mental Affliction")</f>
        <v>The user gains +3 CS in Special Attack or Special Defense. This cannot be used if the user has a Mental Affliction</v>
      </c>
      <c r="I1035" s="191" t="str">
        <f>IFERROR(__xludf.DUMMYFUNCTION("""COMPUTED_VALUE"""),"--")</f>
        <v>--</v>
      </c>
      <c r="J1035" s="190" t="str">
        <f>IFERROR(__xludf.DUMMYFUNCTION("""COMPUTED_VALUE"""),"Tier 2")</f>
        <v>Tier 2</v>
      </c>
      <c r="K1035" s="174" t="b">
        <f>IFERROR(__xludf.DUMMYFUNCTION("""COMPUTED_VALUE"""),TRUE)</f>
        <v>1</v>
      </c>
      <c r="L1035" s="174"/>
      <c r="M1035" s="174"/>
      <c r="N1035" s="174"/>
      <c r="O1035" s="174"/>
      <c r="P1035" s="174"/>
      <c r="Q1035" s="174"/>
      <c r="R1035" s="174"/>
      <c r="S1035" s="174"/>
      <c r="T1035" s="174"/>
      <c r="U1035" s="174"/>
      <c r="V1035" s="174"/>
      <c r="W1035" s="174"/>
      <c r="X1035" s="174"/>
      <c r="Y1035" s="174"/>
      <c r="Z1035" s="174"/>
    </row>
    <row r="1036">
      <c r="A1036" s="190" t="str">
        <f>IFERROR(__xludf.DUMMYFUNCTION("""COMPUTED_VALUE"""),"Migraine")</f>
        <v>Migraine</v>
      </c>
      <c r="B1036" s="190" t="str">
        <f>IFERROR(__xludf.DUMMYFUNCTION("""COMPUTED_VALUE"""),"Psychic")</f>
        <v>Psychic</v>
      </c>
      <c r="C1036" s="190" t="str">
        <f>IFERROR(__xludf.DUMMYFUNCTION("""COMPUTED_VALUE"""),"Special")</f>
        <v>Special</v>
      </c>
      <c r="D1036" s="190" t="str">
        <f>IFERROR(__xludf.DUMMYFUNCTION("""COMPUTED_VALUE"""),"Scene")</f>
        <v>Scene</v>
      </c>
      <c r="E1036" s="190" t="str">
        <f>IFERROR(__xludf.DUMMYFUNCTION("""COMPUTED_VALUE"""),"6, 1 Target")</f>
        <v>6, 1 Target</v>
      </c>
      <c r="F1036" s="190">
        <f>IFERROR(__xludf.DUMMYFUNCTION("""COMPUTED_VALUE"""),5.0)</f>
        <v>5</v>
      </c>
      <c r="G1036" s="190">
        <f>IFERROR(__xludf.DUMMYFUNCTION("""COMPUTED_VALUE"""),10.0)</f>
        <v>10</v>
      </c>
      <c r="H1036" s="191" t="str">
        <f>IFERROR(__xludf.DUMMYFUNCTION("""COMPUTED_VALUE"""),"On a roll of 15+, the Target becomes Dazed. If the Target has a Mental Affliction, this Effect Range automatically Triggers. Spirit Surge.")</f>
        <v>On a roll of 15+, the Target becomes Dazed. If the Target has a Mental Affliction, this Effect Range automatically Triggers. Spirit Surge.</v>
      </c>
      <c r="I1036" s="191" t="str">
        <f>IFERROR(__xludf.DUMMYFUNCTION("""COMPUTED_VALUE"""),"--")</f>
        <v>--</v>
      </c>
      <c r="J1036" s="190" t="str">
        <f>IFERROR(__xludf.DUMMYFUNCTION("""COMPUTED_VALUE"""),"Tier 3")</f>
        <v>Tier 3</v>
      </c>
      <c r="K1036" s="174" t="b">
        <f>IFERROR(__xludf.DUMMYFUNCTION("""COMPUTED_VALUE"""),TRUE)</f>
        <v>1</v>
      </c>
      <c r="L1036" s="174"/>
      <c r="M1036" s="174"/>
      <c r="N1036" s="174"/>
      <c r="O1036" s="174"/>
      <c r="P1036" s="174"/>
      <c r="Q1036" s="174"/>
      <c r="R1036" s="174"/>
      <c r="S1036" s="174"/>
      <c r="T1036" s="174"/>
      <c r="U1036" s="174"/>
      <c r="V1036" s="174"/>
      <c r="W1036" s="174"/>
      <c r="X1036" s="174"/>
      <c r="Y1036" s="174"/>
      <c r="Z1036" s="174"/>
    </row>
    <row r="1037">
      <c r="A1037" s="190" t="str">
        <f>IFERROR(__xludf.DUMMYFUNCTION("""COMPUTED_VALUE"""),"Mind Crush")</f>
        <v>Mind Crush</v>
      </c>
      <c r="B1037" s="190" t="str">
        <f>IFERROR(__xludf.DUMMYFUNCTION("""COMPUTED_VALUE"""),"Psychic")</f>
        <v>Psychic</v>
      </c>
      <c r="C1037" s="190" t="str">
        <f>IFERROR(__xludf.DUMMYFUNCTION("""COMPUTED_VALUE"""),"Physical")</f>
        <v>Physical</v>
      </c>
      <c r="D1037" s="190" t="str">
        <f>IFERROR(__xludf.DUMMYFUNCTION("""COMPUTED_VALUE"""),"Scene x2")</f>
        <v>Scene x2</v>
      </c>
      <c r="E1037" s="190" t="str">
        <f>IFERROR(__xludf.DUMMYFUNCTION("""COMPUTED_VALUE"""),"10, 1 Target")</f>
        <v>10, 1 Target</v>
      </c>
      <c r="F1037" s="190">
        <f>IFERROR(__xludf.DUMMYFUNCTION("""COMPUTED_VALUE"""),5.0)</f>
        <v>5</v>
      </c>
      <c r="G1037" s="190">
        <f>IFERROR(__xludf.DUMMYFUNCTION("""COMPUTED_VALUE"""),8.0)</f>
        <v>8</v>
      </c>
      <c r="H1037" s="191" t="str">
        <f>IFERROR(__xludf.DUMMYFUNCTION("""COMPUTED_VALUE"""),"For every Mental Affliction the Target has, add +4 to Mind Crush's Damage Base (Max DB 20)")</f>
        <v>For every Mental Affliction the Target has, add +4 to Mind Crush's Damage Base (Max DB 20)</v>
      </c>
      <c r="I1037" s="191" t="str">
        <f>IFERROR(__xludf.DUMMYFUNCTION("""COMPUTED_VALUE"""),"--")</f>
        <v>--</v>
      </c>
      <c r="J1037" s="190" t="str">
        <f>IFERROR(__xludf.DUMMYFUNCTION("""COMPUTED_VALUE"""),"Tier 2")</f>
        <v>Tier 2</v>
      </c>
      <c r="K1037" s="174" t="b">
        <f>IFERROR(__xludf.DUMMYFUNCTION("""COMPUTED_VALUE"""),TRUE)</f>
        <v>1</v>
      </c>
      <c r="L1037" s="174"/>
      <c r="M1037" s="174"/>
      <c r="N1037" s="174"/>
      <c r="O1037" s="174"/>
      <c r="P1037" s="174"/>
      <c r="Q1037" s="174"/>
      <c r="R1037" s="174"/>
      <c r="S1037" s="174"/>
      <c r="T1037" s="174"/>
      <c r="U1037" s="174"/>
      <c r="V1037" s="174"/>
      <c r="W1037" s="174"/>
      <c r="X1037" s="174"/>
      <c r="Y1037" s="174"/>
      <c r="Z1037" s="174"/>
    </row>
    <row r="1038">
      <c r="A1038" s="190" t="str">
        <f>IFERROR(__xludf.DUMMYFUNCTION("""COMPUTED_VALUE"""),"Mind Flay")</f>
        <v>Mind Flay</v>
      </c>
      <c r="B1038" s="190" t="str">
        <f>IFERROR(__xludf.DUMMYFUNCTION("""COMPUTED_VALUE"""),"Psychic")</f>
        <v>Psychic</v>
      </c>
      <c r="C1038" s="190" t="str">
        <f>IFERROR(__xludf.DUMMYFUNCTION("""COMPUTED_VALUE"""),"Physical")</f>
        <v>Physical</v>
      </c>
      <c r="D1038" s="190" t="str">
        <f>IFERROR(__xludf.DUMMYFUNCTION("""COMPUTED_VALUE"""),"Scene x2")</f>
        <v>Scene x2</v>
      </c>
      <c r="E1038" s="190" t="str">
        <f>IFERROR(__xludf.DUMMYFUNCTION("""COMPUTED_VALUE"""),"8, 1 Target")</f>
        <v>8, 1 Target</v>
      </c>
      <c r="F1038" s="190">
        <f>IFERROR(__xludf.DUMMYFUNCTION("""COMPUTED_VALUE"""),5.0)</f>
        <v>5</v>
      </c>
      <c r="G1038" s="190">
        <f>IFERROR(__xludf.DUMMYFUNCTION("""COMPUTED_VALUE"""),12.0)</f>
        <v>12</v>
      </c>
      <c r="H1038" s="191" t="str">
        <f>IFERROR(__xludf.DUMMYFUNCTION("""COMPUTED_VALUE"""),"Mind Flay is a Critical Hit on a roll of 18+. This is extended by +2 if the Target has a Mental Affliction. Smite")</f>
        <v>Mind Flay is a Critical Hit on a roll of 18+. This is extended by +2 if the Target has a Mental Affliction. Smite</v>
      </c>
      <c r="I1038" s="191" t="str">
        <f>IFERROR(__xludf.DUMMYFUNCTION("""COMPUTED_VALUE"""),"--")</f>
        <v>--</v>
      </c>
      <c r="J1038" s="190" t="str">
        <f>IFERROR(__xludf.DUMMYFUNCTION("""COMPUTED_VALUE"""),"Tier 3")</f>
        <v>Tier 3</v>
      </c>
      <c r="K1038" s="174" t="b">
        <f>IFERROR(__xludf.DUMMYFUNCTION("""COMPUTED_VALUE"""),TRUE)</f>
        <v>1</v>
      </c>
      <c r="L1038" s="174"/>
      <c r="M1038" s="174"/>
      <c r="N1038" s="174"/>
      <c r="O1038" s="174"/>
      <c r="P1038" s="174"/>
      <c r="Q1038" s="174"/>
      <c r="R1038" s="174"/>
      <c r="S1038" s="174"/>
      <c r="T1038" s="174"/>
      <c r="U1038" s="174"/>
      <c r="V1038" s="174"/>
      <c r="W1038" s="174"/>
      <c r="X1038" s="174"/>
      <c r="Y1038" s="174"/>
      <c r="Z1038" s="174"/>
    </row>
    <row r="1039">
      <c r="A1039" s="190" t="str">
        <f>IFERROR(__xludf.DUMMYFUNCTION("""COMPUTED_VALUE"""),"Miracle Eye")</f>
        <v>Miracle Eye</v>
      </c>
      <c r="B1039" s="190" t="str">
        <f>IFERROR(__xludf.DUMMYFUNCTION("""COMPUTED_VALUE"""),"Psychic")</f>
        <v>Psychic</v>
      </c>
      <c r="C1039" s="190" t="str">
        <f>IFERROR(__xludf.DUMMYFUNCTION("""COMPUTED_VALUE"""),"Status")</f>
        <v>Status</v>
      </c>
      <c r="D1039" s="190" t="str">
        <f>IFERROR(__xludf.DUMMYFUNCTION("""COMPUTED_VALUE"""),"Scene x2")</f>
        <v>Scene x2</v>
      </c>
      <c r="E1039" s="190" t="str">
        <f>IFERROR(__xludf.DUMMYFUNCTION("""COMPUTED_VALUE"""),"Self, Movement Action")</f>
        <v>Self, Movement Action</v>
      </c>
      <c r="F1039" s="190" t="str">
        <f>IFERROR(__xludf.DUMMYFUNCTION("""COMPUTED_VALUE"""),"--")</f>
        <v>--</v>
      </c>
      <c r="G1039" s="190" t="str">
        <f>IFERROR(__xludf.DUMMYFUNCTION("""COMPUTED_VALUE"""),"--")</f>
        <v>--</v>
      </c>
      <c r="H1039" s="191" t="str">
        <f>IFERROR(__xludf.DUMMYFUNCTION("""COMPUTED_VALUE"""),"Until the end of the user's Turn, they ignore Special Evasion and whenever they use a Psychic Attack against a Dark Type Pokemon, it is treated as Neutral Effectiveness instead of Immune.")</f>
        <v>Until the end of the user's Turn, they ignore Special Evasion and whenever they use a Psychic Attack against a Dark Type Pokemon, it is treated as Neutral Effectiveness instead of Immune.</v>
      </c>
      <c r="I1039" s="191" t="str">
        <f>IFERROR(__xludf.DUMMYFUNCTION("""COMPUTED_VALUE"""),"--")</f>
        <v>--</v>
      </c>
      <c r="J1039" s="190" t="str">
        <f>IFERROR(__xludf.DUMMYFUNCTION("""COMPUTED_VALUE"""),"Tier 2")</f>
        <v>Tier 2</v>
      </c>
      <c r="K1039" s="174" t="b">
        <f>IFERROR(__xludf.DUMMYFUNCTION("""COMPUTED_VALUE"""),FALSE)</f>
        <v>0</v>
      </c>
      <c r="L1039" s="174"/>
      <c r="M1039" s="174"/>
      <c r="N1039" s="174"/>
      <c r="O1039" s="174"/>
      <c r="P1039" s="174"/>
      <c r="Q1039" s="174"/>
      <c r="R1039" s="174"/>
      <c r="S1039" s="174"/>
      <c r="T1039" s="174"/>
      <c r="U1039" s="174"/>
      <c r="V1039" s="174"/>
      <c r="W1039" s="174"/>
      <c r="X1039" s="174"/>
      <c r="Y1039" s="174"/>
      <c r="Z1039" s="174"/>
    </row>
    <row r="1040">
      <c r="A1040" s="190" t="str">
        <f>IFERROR(__xludf.DUMMYFUNCTION("""COMPUTED_VALUE"""),"Mirror Coat")</f>
        <v>Mirror Coat</v>
      </c>
      <c r="B1040" s="190" t="str">
        <f>IFERROR(__xludf.DUMMYFUNCTION("""COMPUTED_VALUE"""),"Psychic")</f>
        <v>Psychic</v>
      </c>
      <c r="C1040" s="190" t="str">
        <f>IFERROR(__xludf.DUMMYFUNCTION("""COMPUTED_VALUE"""),"Status")</f>
        <v>Status</v>
      </c>
      <c r="D1040" s="190" t="str">
        <f>IFERROR(__xludf.DUMMYFUNCTION("""COMPUTED_VALUE"""),"Scene x2")</f>
        <v>Scene x2</v>
      </c>
      <c r="E1040" s="190" t="str">
        <f>IFERROR(__xludf.DUMMYFUNCTION("""COMPUTED_VALUE"""),"6, 1 Target, Trigger")</f>
        <v>6, 1 Target, Trigger</v>
      </c>
      <c r="F1040" s="190" t="str">
        <f>IFERROR(__xludf.DUMMYFUNCTION("""COMPUTED_VALUE"""),"--")</f>
        <v>--</v>
      </c>
      <c r="G1040" s="190" t="str">
        <f>IFERROR(__xludf.DUMMYFUNCTION("""COMPUTED_VALUE"""),"X")</f>
        <v>X</v>
      </c>
      <c r="H1040" s="191" t="str">
        <f>IFERROR(__xludf.DUMMYFUNCTION("""COMPUTED_VALUE"""),"Mirror Coat can only be used as a Standard Action + Reaction whenever you’re hit with a Damaging Special Attack from an Enemy in Range. After the Triggering Attack is resolved, if the user isn’t Fainted, perform this Attack against the Triggering Enemy. T"&amp;"he Damage Base is equal to the Triggering Attack’s DB plus double your Tier Level. Sureshot")</f>
        <v>Mirror Coat can only be used as a Standard Action + Reaction whenever you’re hit with a Damaging Special Attack from an Enemy in Range. After the Triggering Attack is resolved, if the user isn’t Fainted, perform this Attack against the Triggering Enemy. The Damage Base is equal to the Triggering Attack’s DB plus double your Tier Level. Sureshot</v>
      </c>
      <c r="I1040" s="191" t="str">
        <f>IFERROR(__xludf.DUMMYFUNCTION("""COMPUTED_VALUE"""),"--")</f>
        <v>--</v>
      </c>
      <c r="J1040" s="190" t="str">
        <f>IFERROR(__xludf.DUMMYFUNCTION("""COMPUTED_VALUE"""),"Tier 2")</f>
        <v>Tier 2</v>
      </c>
      <c r="K1040" s="174" t="b">
        <f>IFERROR(__xludf.DUMMYFUNCTION("""COMPUTED_VALUE"""),FALSE)</f>
        <v>0</v>
      </c>
      <c r="L1040" s="174"/>
      <c r="M1040" s="174"/>
      <c r="N1040" s="174"/>
      <c r="O1040" s="174"/>
      <c r="P1040" s="174"/>
      <c r="Q1040" s="174"/>
      <c r="R1040" s="174"/>
      <c r="S1040" s="174"/>
      <c r="T1040" s="174"/>
      <c r="U1040" s="174"/>
      <c r="V1040" s="174"/>
      <c r="W1040" s="174"/>
      <c r="X1040" s="174"/>
      <c r="Y1040" s="174"/>
      <c r="Z1040" s="174"/>
    </row>
    <row r="1041">
      <c r="A1041" s="190" t="str">
        <f>IFERROR(__xludf.DUMMYFUNCTION("""COMPUTED_VALUE"""),"Mystical Overload")</f>
        <v>Mystical Overload</v>
      </c>
      <c r="B1041" s="190" t="str">
        <f>IFERROR(__xludf.DUMMYFUNCTION("""COMPUTED_VALUE"""),"Psychic")</f>
        <v>Psychic</v>
      </c>
      <c r="C1041" s="190" t="str">
        <f>IFERROR(__xludf.DUMMYFUNCTION("""COMPUTED_VALUE"""),"Special")</f>
        <v>Special</v>
      </c>
      <c r="D1041" s="190" t="str">
        <f>IFERROR(__xludf.DUMMYFUNCTION("""COMPUTED_VALUE"""),"Scene")</f>
        <v>Scene</v>
      </c>
      <c r="E1041" s="190" t="str">
        <f>IFERROR(__xludf.DUMMYFUNCTION("""COMPUTED_VALUE"""),"Burst 1, Recoil 1/2, Set-Up")</f>
        <v>Burst 1, Recoil 1/2, Set-Up</v>
      </c>
      <c r="F1041" s="190">
        <f>IFERROR(__xludf.DUMMYFUNCTION("""COMPUTED_VALUE"""),5.0)</f>
        <v>5</v>
      </c>
      <c r="G1041" s="190">
        <f>IFERROR(__xludf.DUMMYFUNCTION("""COMPUTED_VALUE"""),6.0)</f>
        <v>6</v>
      </c>
      <c r="H1041" s="191" t="str">
        <f>IFERROR(__xludf.DUMMYFUNCTION("""COMPUTED_VALUE"""),"Charge Effect: If the user is below 50% Hit Points or has a Mental Affliction, they gain an additional Charge Token
Resolution Effect: For each Charge Token Expended, add +1 to the Burst Range or +2 to the DB. Smite")</f>
        <v>Charge Effect: If the user is below 50% Hit Points or has a Mental Affliction, they gain an additional Charge Token
Resolution Effect: For each Charge Token Expended, add +1 to the Burst Range or +2 to the DB. Smite</v>
      </c>
      <c r="I1041" s="191" t="str">
        <f>IFERROR(__xludf.DUMMYFUNCTION("""COMPUTED_VALUE"""),"--")</f>
        <v>--</v>
      </c>
      <c r="J1041" s="190" t="str">
        <f>IFERROR(__xludf.DUMMYFUNCTION("""COMPUTED_VALUE"""),"Tier 2")</f>
        <v>Tier 2</v>
      </c>
      <c r="K1041" s="174" t="b">
        <f>IFERROR(__xludf.DUMMYFUNCTION("""COMPUTED_VALUE"""),TRUE)</f>
        <v>1</v>
      </c>
      <c r="L1041" s="174"/>
      <c r="M1041" s="174"/>
      <c r="N1041" s="174"/>
      <c r="O1041" s="174"/>
      <c r="P1041" s="174"/>
      <c r="Q1041" s="174"/>
      <c r="R1041" s="174"/>
      <c r="S1041" s="174"/>
      <c r="T1041" s="174"/>
      <c r="U1041" s="174"/>
      <c r="V1041" s="174"/>
      <c r="W1041" s="174"/>
      <c r="X1041" s="174"/>
      <c r="Y1041" s="174"/>
      <c r="Z1041" s="174"/>
    </row>
    <row r="1042">
      <c r="A1042" s="190" t="str">
        <f>IFERROR(__xludf.DUMMYFUNCTION("""COMPUTED_VALUE"""),"Power Link")</f>
        <v>Power Link</v>
      </c>
      <c r="B1042" s="190" t="str">
        <f>IFERROR(__xludf.DUMMYFUNCTION("""COMPUTED_VALUE"""),"Psychic")</f>
        <v>Psychic</v>
      </c>
      <c r="C1042" s="190" t="str">
        <f>IFERROR(__xludf.DUMMYFUNCTION("""COMPUTED_VALUE"""),"Status")</f>
        <v>Status</v>
      </c>
      <c r="D1042" s="190" t="str">
        <f>IFERROR(__xludf.DUMMYFUNCTION("""COMPUTED_VALUE"""),"EOT")</f>
        <v>EOT</v>
      </c>
      <c r="E1042" s="190" t="str">
        <f>IFERROR(__xludf.DUMMYFUNCTION("""COMPUTED_VALUE"""),"2, 1 Target")</f>
        <v>2, 1 Target</v>
      </c>
      <c r="F1042" s="190" t="str">
        <f>IFERROR(__xludf.DUMMYFUNCTION("""COMPUTED_VALUE"""),"--")</f>
        <v>--</v>
      </c>
      <c r="G1042" s="190" t="str">
        <f>IFERROR(__xludf.DUMMYFUNCTION("""COMPUTED_VALUE"""),"--")</f>
        <v>--</v>
      </c>
      <c r="H1042" s="191" t="str">
        <f>IFERROR(__xludf.DUMMYFUNCTION("""COMPUTED_VALUE"""),"Power Link can only be used as a Reaction whenever an Ally within 2m hits a Damaging Attack. You may choose to either apply your corresponding Offensive Stat towards the Damage Calculations of that Attack instead of its user or grant it a Damage Bonus equ"&amp;"al to your Tier Value. ")</f>
        <v>Power Link can only be used as a Reaction whenever an Ally within 2m hits a Damaging Attack. You may choose to either apply your corresponding Offensive Stat towards the Damage Calculations of that Attack instead of its user or grant it a Damage Bonus equal to your Tier Value. </v>
      </c>
      <c r="I1042" s="191" t="str">
        <f>IFERROR(__xludf.DUMMYFUNCTION("""COMPUTED_VALUE"""),"--")</f>
        <v>--</v>
      </c>
      <c r="J1042" s="190" t="str">
        <f>IFERROR(__xludf.DUMMYFUNCTION("""COMPUTED_VALUE"""),"Tier 1")</f>
        <v>Tier 1</v>
      </c>
      <c r="K1042" s="174" t="b">
        <f>IFERROR(__xludf.DUMMYFUNCTION("""COMPUTED_VALUE"""),TRUE)</f>
        <v>1</v>
      </c>
      <c r="L1042" s="174"/>
      <c r="M1042" s="174"/>
      <c r="N1042" s="174"/>
      <c r="O1042" s="174"/>
      <c r="P1042" s="174"/>
      <c r="Q1042" s="174"/>
      <c r="R1042" s="174"/>
      <c r="S1042" s="174"/>
      <c r="T1042" s="174"/>
      <c r="U1042" s="174"/>
      <c r="V1042" s="174"/>
      <c r="W1042" s="174"/>
      <c r="X1042" s="174"/>
      <c r="Y1042" s="174"/>
      <c r="Z1042" s="174"/>
    </row>
    <row r="1043">
      <c r="A1043" s="190" t="str">
        <f>IFERROR(__xludf.DUMMYFUNCTION("""COMPUTED_VALUE"""),"Power Split")</f>
        <v>Power Split</v>
      </c>
      <c r="B1043" s="190" t="str">
        <f>IFERROR(__xludf.DUMMYFUNCTION("""COMPUTED_VALUE"""),"Psychic")</f>
        <v>Psychic</v>
      </c>
      <c r="C1043" s="190" t="str">
        <f>IFERROR(__xludf.DUMMYFUNCTION("""COMPUTED_VALUE"""),"Status")</f>
        <v>Status</v>
      </c>
      <c r="D1043" s="190" t="str">
        <f>IFERROR(__xludf.DUMMYFUNCTION("""COMPUTED_VALUE"""),"Scene x2")</f>
        <v>Scene x2</v>
      </c>
      <c r="E1043" s="190" t="str">
        <f>IFERROR(__xludf.DUMMYFUNCTION("""COMPUTED_VALUE"""),"3, 1 Target")</f>
        <v>3, 1 Target</v>
      </c>
      <c r="F1043" s="190" t="str">
        <f>IFERROR(__xludf.DUMMYFUNCTION("""COMPUTED_VALUE"""),"--")</f>
        <v>--</v>
      </c>
      <c r="G1043" s="190" t="str">
        <f>IFERROR(__xludf.DUMMYFUNCTION("""COMPUTED_VALUE"""),"--")</f>
        <v>--</v>
      </c>
      <c r="H1043" s="191" t="str">
        <f>IFERROR(__xludf.DUMMYFUNCTION("""COMPUTED_VALUE"""),"The Target's Attack and Special Attack CS are set to half their current CS Value (Rounded Down). Sureshot")</f>
        <v>The Target's Attack and Special Attack CS are set to half their current CS Value (Rounded Down). Sureshot</v>
      </c>
      <c r="I1043" s="191" t="str">
        <f>IFERROR(__xludf.DUMMYFUNCTION("""COMPUTED_VALUE"""),"--")</f>
        <v>--</v>
      </c>
      <c r="J1043" s="190" t="str">
        <f>IFERROR(__xludf.DUMMYFUNCTION("""COMPUTED_VALUE"""),"Tier 2")</f>
        <v>Tier 2</v>
      </c>
      <c r="K1043" s="174" t="b">
        <f>IFERROR(__xludf.DUMMYFUNCTION("""COMPUTED_VALUE"""),TRUE)</f>
        <v>1</v>
      </c>
      <c r="L1043" s="174"/>
      <c r="M1043" s="174"/>
      <c r="N1043" s="174"/>
      <c r="O1043" s="174"/>
      <c r="P1043" s="174"/>
      <c r="Q1043" s="174"/>
      <c r="R1043" s="174"/>
      <c r="S1043" s="174"/>
      <c r="T1043" s="174"/>
      <c r="U1043" s="174"/>
      <c r="V1043" s="174"/>
      <c r="W1043" s="174"/>
      <c r="X1043" s="174"/>
      <c r="Y1043" s="174"/>
      <c r="Z1043" s="174"/>
    </row>
    <row r="1044">
      <c r="A1044" s="190" t="str">
        <f>IFERROR(__xludf.DUMMYFUNCTION("""COMPUTED_VALUE"""),"Power Swap")</f>
        <v>Power Swap</v>
      </c>
      <c r="B1044" s="190" t="str">
        <f>IFERROR(__xludf.DUMMYFUNCTION("""COMPUTED_VALUE"""),"Psychic")</f>
        <v>Psychic</v>
      </c>
      <c r="C1044" s="190" t="str">
        <f>IFERROR(__xludf.DUMMYFUNCTION("""COMPUTED_VALUE"""),"Status")</f>
        <v>Status</v>
      </c>
      <c r="D1044" s="190" t="str">
        <f>IFERROR(__xludf.DUMMYFUNCTION("""COMPUTED_VALUE"""),"Scene x2")</f>
        <v>Scene x2</v>
      </c>
      <c r="E1044" s="190" t="str">
        <f>IFERROR(__xludf.DUMMYFUNCTION("""COMPUTED_VALUE"""),"5, 1 Target, Swift Action")</f>
        <v>5, 1 Target, Swift Action</v>
      </c>
      <c r="F1044" s="190" t="str">
        <f>IFERROR(__xludf.DUMMYFUNCTION("""COMPUTED_VALUE"""),"--")</f>
        <v>--</v>
      </c>
      <c r="G1044" s="190" t="str">
        <f>IFERROR(__xludf.DUMMYFUNCTION("""COMPUTED_VALUE"""),"--")</f>
        <v>--</v>
      </c>
      <c r="H1044" s="191" t="str">
        <f>IFERROR(__xludf.DUMMYFUNCTION("""COMPUTED_VALUE"""),"The user and the Target trade CS values for the Attack Stat, and then for the Special Attack Stat. Sureshot.")</f>
        <v>The user and the Target trade CS values for the Attack Stat, and then for the Special Attack Stat. Sureshot.</v>
      </c>
      <c r="I1044" s="191" t="str">
        <f>IFERROR(__xludf.DUMMYFUNCTION("""COMPUTED_VALUE"""),"--")</f>
        <v>--</v>
      </c>
      <c r="J1044" s="190" t="str">
        <f>IFERROR(__xludf.DUMMYFUNCTION("""COMPUTED_VALUE"""),"Tier 2")</f>
        <v>Tier 2</v>
      </c>
      <c r="K1044" s="174" t="b">
        <f>IFERROR(__xludf.DUMMYFUNCTION("""COMPUTED_VALUE"""),TRUE)</f>
        <v>1</v>
      </c>
      <c r="L1044" s="174"/>
      <c r="M1044" s="174"/>
      <c r="N1044" s="174"/>
      <c r="O1044" s="174"/>
      <c r="P1044" s="174"/>
      <c r="Q1044" s="174"/>
      <c r="R1044" s="174"/>
      <c r="S1044" s="174"/>
      <c r="T1044" s="174"/>
      <c r="U1044" s="174"/>
      <c r="V1044" s="174"/>
      <c r="W1044" s="174"/>
      <c r="X1044" s="174"/>
      <c r="Y1044" s="174"/>
      <c r="Z1044" s="174"/>
    </row>
    <row r="1045">
      <c r="A1045" s="190" t="str">
        <f>IFERROR(__xludf.DUMMYFUNCTION("""COMPUTED_VALUE"""),"Power Trick")</f>
        <v>Power Trick</v>
      </c>
      <c r="B1045" s="190" t="str">
        <f>IFERROR(__xludf.DUMMYFUNCTION("""COMPUTED_VALUE"""),"Psychic")</f>
        <v>Psychic</v>
      </c>
      <c r="C1045" s="190" t="str">
        <f>IFERROR(__xludf.DUMMYFUNCTION("""COMPUTED_VALUE"""),"Status")</f>
        <v>Status</v>
      </c>
      <c r="D1045" s="190" t="str">
        <f>IFERROR(__xludf.DUMMYFUNCTION("""COMPUTED_VALUE"""),"Scene x2")</f>
        <v>Scene x2</v>
      </c>
      <c r="E1045" s="190" t="str">
        <f>IFERROR(__xludf.DUMMYFUNCTION("""COMPUTED_VALUE"""),"Self, Swift Action")</f>
        <v>Self, Swift Action</v>
      </c>
      <c r="F1045" s="190" t="str">
        <f>IFERROR(__xludf.DUMMYFUNCTION("""COMPUTED_VALUE"""),"--")</f>
        <v>--</v>
      </c>
      <c r="G1045" s="190" t="str">
        <f>IFERROR(__xludf.DUMMYFUNCTION("""COMPUTED_VALUE"""),"--")</f>
        <v>--</v>
      </c>
      <c r="H1045" s="191" t="str">
        <f>IFERROR(__xludf.DUMMYFUNCTION("""COMPUTED_VALUE"""),"The user's Attack stat and Defense stat or Special Attack and Special Defense are switched for the remainder of the encounter, or until the user is switched out or Fainted.")</f>
        <v>The user's Attack stat and Defense stat or Special Attack and Special Defense are switched for the remainder of the encounter, or until the user is switched out or Fainted.</v>
      </c>
      <c r="I1045" s="191" t="str">
        <f>IFERROR(__xludf.DUMMYFUNCTION("""COMPUTED_VALUE"""),"--")</f>
        <v>--</v>
      </c>
      <c r="J1045" s="190" t="str">
        <f>IFERROR(__xludf.DUMMYFUNCTION("""COMPUTED_VALUE"""),"Tier 2")</f>
        <v>Tier 2</v>
      </c>
      <c r="K1045" s="174" t="b">
        <f>IFERROR(__xludf.DUMMYFUNCTION("""COMPUTED_VALUE"""),TRUE)</f>
        <v>1</v>
      </c>
      <c r="L1045" s="174"/>
      <c r="M1045" s="174"/>
      <c r="N1045" s="174"/>
      <c r="O1045" s="174"/>
      <c r="P1045" s="174"/>
      <c r="Q1045" s="174"/>
      <c r="R1045" s="174"/>
      <c r="S1045" s="174"/>
      <c r="T1045" s="174"/>
      <c r="U1045" s="174"/>
      <c r="V1045" s="174"/>
      <c r="W1045" s="174"/>
      <c r="X1045" s="174"/>
      <c r="Y1045" s="174"/>
      <c r="Z1045" s="174"/>
    </row>
    <row r="1046">
      <c r="A1046" s="190" t="str">
        <f>IFERROR(__xludf.DUMMYFUNCTION("""COMPUTED_VALUE"""),"Psionic Boost")</f>
        <v>Psionic Boost</v>
      </c>
      <c r="B1046" s="190" t="str">
        <f>IFERROR(__xludf.DUMMYFUNCTION("""COMPUTED_VALUE"""),"Psychic")</f>
        <v>Psychic</v>
      </c>
      <c r="C1046" s="190" t="str">
        <f>IFERROR(__xludf.DUMMYFUNCTION("""COMPUTED_VALUE"""),"Status")</f>
        <v>Status</v>
      </c>
      <c r="D1046" s="190" t="str">
        <f>IFERROR(__xludf.DUMMYFUNCTION("""COMPUTED_VALUE"""),"EOT")</f>
        <v>EOT</v>
      </c>
      <c r="E1046" s="190" t="str">
        <f>IFERROR(__xludf.DUMMYFUNCTION("""COMPUTED_VALUE"""),"Self, Versatile")</f>
        <v>Self, Versatile</v>
      </c>
      <c r="F1046" s="190" t="str">
        <f>IFERROR(__xludf.DUMMYFUNCTION("""COMPUTED_VALUE"""),"--")</f>
        <v>--</v>
      </c>
      <c r="G1046" s="190" t="str">
        <f>IFERROR(__xludf.DUMMYFUNCTION("""COMPUTED_VALUE"""),"--")</f>
        <v>--</v>
      </c>
      <c r="H1046" s="191" t="str">
        <f>IFERROR(__xludf.DUMMYFUNCTION("""COMPUTED_VALUE"""),"The user gains a Psionic Coat. The user may expend a Psionic Coat when successfully hitting an Psychic Damaging Attack to add its Damage Dice an extra time to the Damage Roll. This applies after any other Damage Base Modifiers such as a Critical Hit. 
Not"&amp;"e: If the Damage Base would have the Attack be 2d6+8, this expended Coat turns it into 4d6+16. ")</f>
        <v>The user gains a Psionic Coat. The user may expend a Psionic Coat when successfully hitting an Psychic Damaging Attack to add its Damage Dice an extra time to the Damage Roll. This applies after any other Damage Base Modifiers such as a Critical Hit. 
Note: If the Damage Base would have the Attack be 2d6+8, this expended Coat turns it into 4d6+16. </v>
      </c>
      <c r="I1046" s="191" t="str">
        <f>IFERROR(__xludf.DUMMYFUNCTION("""COMPUTED_VALUE"""),"The user's next Psychic Type Damaging Attack adds +2 to its Damage Base and has the Smite Keyword.")</f>
        <v>The user's next Psychic Type Damaging Attack adds +2 to its Damage Base and has the Smite Keyword.</v>
      </c>
      <c r="J1046" s="190" t="str">
        <f>IFERROR(__xludf.DUMMYFUNCTION("""COMPUTED_VALUE"""),"Tier 2")</f>
        <v>Tier 2</v>
      </c>
      <c r="K1046" s="174" t="b">
        <f>IFERROR(__xludf.DUMMYFUNCTION("""COMPUTED_VALUE"""),TRUE)</f>
        <v>1</v>
      </c>
      <c r="L1046" s="174"/>
      <c r="M1046" s="174"/>
      <c r="N1046" s="174"/>
      <c r="O1046" s="174"/>
      <c r="P1046" s="174"/>
      <c r="Q1046" s="174"/>
      <c r="R1046" s="174"/>
      <c r="S1046" s="174"/>
      <c r="T1046" s="174"/>
      <c r="U1046" s="174"/>
      <c r="V1046" s="174"/>
      <c r="W1046" s="174"/>
      <c r="X1046" s="174"/>
      <c r="Y1046" s="174"/>
      <c r="Z1046" s="174"/>
    </row>
    <row r="1047">
      <c r="A1047" s="190" t="str">
        <f>IFERROR(__xludf.DUMMYFUNCTION("""COMPUTED_VALUE"""),"Psionic Bash")</f>
        <v>Psionic Bash</v>
      </c>
      <c r="B1047" s="190" t="str">
        <f>IFERROR(__xludf.DUMMYFUNCTION("""COMPUTED_VALUE"""),"Psychic")</f>
        <v>Psychic</v>
      </c>
      <c r="C1047" s="190" t="str">
        <f>IFERROR(__xludf.DUMMYFUNCTION("""COMPUTED_VALUE"""),"Physical")</f>
        <v>Physical</v>
      </c>
      <c r="D1047" s="190" t="str">
        <f>IFERROR(__xludf.DUMMYFUNCTION("""COMPUTED_VALUE"""),"EOT")</f>
        <v>EOT</v>
      </c>
      <c r="E1047" s="190" t="str">
        <f>IFERROR(__xludf.DUMMYFUNCTION("""COMPUTED_VALUE"""),"Melee, 1 Target, Dash")</f>
        <v>Melee, 1 Target, Dash</v>
      </c>
      <c r="F1047" s="190">
        <f>IFERROR(__xludf.DUMMYFUNCTION("""COMPUTED_VALUE"""),3.0)</f>
        <v>3</v>
      </c>
      <c r="G1047" s="190">
        <f>IFERROR(__xludf.DUMMYFUNCTION("""COMPUTED_VALUE"""),9.0)</f>
        <v>9</v>
      </c>
      <c r="H1047" s="191" t="str">
        <f>IFERROR(__xludf.DUMMYFUNCTION("""COMPUTED_VALUE"""),"Psionic Bash may use either Attack or Special Attack as the Offensive Stat. If the Dash Keyword is Activated, this may also choose to use the higher of the the user's Defense or Special Defense as if it were the Offensive Stat. ")</f>
        <v>Psionic Bash may use either Attack or Special Attack as the Offensive Stat. If the Dash Keyword is Activated, this may also choose to use the higher of the the user's Defense or Special Defense as if it were the Offensive Stat. </v>
      </c>
      <c r="I1047" s="191" t="str">
        <f>IFERROR(__xludf.DUMMYFUNCTION("""COMPUTED_VALUE"""),"--")</f>
        <v>--</v>
      </c>
      <c r="J1047" s="190" t="str">
        <f>IFERROR(__xludf.DUMMYFUNCTION("""COMPUTED_VALUE"""),"Tier 2")</f>
        <v>Tier 2</v>
      </c>
      <c r="K1047" s="174" t="b">
        <f>IFERROR(__xludf.DUMMYFUNCTION("""COMPUTED_VALUE"""),TRUE)</f>
        <v>1</v>
      </c>
      <c r="L1047" s="174"/>
      <c r="M1047" s="174"/>
      <c r="N1047" s="174"/>
      <c r="O1047" s="174"/>
      <c r="P1047" s="174"/>
      <c r="Q1047" s="174"/>
      <c r="R1047" s="174"/>
      <c r="S1047" s="174"/>
      <c r="T1047" s="174"/>
      <c r="U1047" s="174"/>
      <c r="V1047" s="174"/>
      <c r="W1047" s="174"/>
      <c r="X1047" s="174"/>
      <c r="Y1047" s="174"/>
      <c r="Z1047" s="174"/>
    </row>
    <row r="1048">
      <c r="A1048" s="190" t="str">
        <f>IFERROR(__xludf.DUMMYFUNCTION("""COMPUTED_VALUE"""),"Psionic Surge")</f>
        <v>Psionic Surge</v>
      </c>
      <c r="B1048" s="190" t="str">
        <f>IFERROR(__xludf.DUMMYFUNCTION("""COMPUTED_VALUE"""),"Psychic")</f>
        <v>Psychic</v>
      </c>
      <c r="C1048" s="190" t="str">
        <f>IFERROR(__xludf.DUMMYFUNCTION("""COMPUTED_VALUE"""),"Status")</f>
        <v>Status</v>
      </c>
      <c r="D1048" s="190" t="str">
        <f>IFERROR(__xludf.DUMMYFUNCTION("""COMPUTED_VALUE"""),"Scene x2")</f>
        <v>Scene x2</v>
      </c>
      <c r="E1048" s="190" t="str">
        <f>IFERROR(__xludf.DUMMYFUNCTION("""COMPUTED_VALUE"""),"Blessing, Versatile, Weather")</f>
        <v>Blessing, Versatile, Weather</v>
      </c>
      <c r="F1048" s="190" t="str">
        <f>IFERROR(__xludf.DUMMYFUNCTION("""COMPUTED_VALUE"""),"--")</f>
        <v>--</v>
      </c>
      <c r="G1048" s="190" t="str">
        <f>IFERROR(__xludf.DUMMYFUNCTION("""COMPUTED_VALUE"""),"--")</f>
        <v>--</v>
      </c>
      <c r="H1048" s="191" t="str">
        <f>IFERROR(__xludf.DUMMYFUNCTION("""COMPUTED_VALUE"""),"Blessing - Any user affected by Psionic Surge may activate it as a Free Action when using a Psychic Type Damaging Attack to grant it the Smite Keyword. If the Attack hits, it hits, it is also increased by one damage step. (Max 1.5x Effectiveness). Psionic"&amp;" Surge may be Activated 3 times and then disappears. While this Blessing persists, the Weather becomes Mystical.")</f>
        <v>Blessing - Any user affected by Psionic Surge may activate it as a Free Action when using a Psychic Type Damaging Attack to grant it the Smite Keyword. If the Attack hits, it hits, it is also increased by one damage step. (Max 1.5x Effectiveness). Psionic Surge may be Activated 3 times and then disappears. While this Blessing persists, the Weather becomes Mystical.</v>
      </c>
      <c r="I1048" s="191" t="str">
        <f>IFERROR(__xludf.DUMMYFUNCTION("""COMPUTED_VALUE"""),"Same as the normal Effect, but it only has 1 Activation.")</f>
        <v>Same as the normal Effect, but it only has 1 Activation.</v>
      </c>
      <c r="J1048" s="190" t="str">
        <f>IFERROR(__xludf.DUMMYFUNCTION("""COMPUTED_VALUE"""),"Tier 2")</f>
        <v>Tier 2</v>
      </c>
      <c r="K1048" s="174" t="b">
        <f>IFERROR(__xludf.DUMMYFUNCTION("""COMPUTED_VALUE"""),TRUE)</f>
        <v>1</v>
      </c>
      <c r="L1048" s="174"/>
      <c r="M1048" s="174"/>
      <c r="N1048" s="174"/>
      <c r="O1048" s="174"/>
      <c r="P1048" s="174"/>
      <c r="Q1048" s="174"/>
      <c r="R1048" s="174"/>
      <c r="S1048" s="174"/>
      <c r="T1048" s="174"/>
      <c r="U1048" s="174"/>
      <c r="V1048" s="174"/>
      <c r="W1048" s="174"/>
      <c r="X1048" s="174"/>
      <c r="Y1048" s="174"/>
      <c r="Z1048" s="174"/>
    </row>
    <row r="1049">
      <c r="A1049" s="190" t="str">
        <f>IFERROR(__xludf.DUMMYFUNCTION("""COMPUTED_VALUE"""),"Psybeam")</f>
        <v>Psybeam</v>
      </c>
      <c r="B1049" s="190" t="str">
        <f>IFERROR(__xludf.DUMMYFUNCTION("""COMPUTED_VALUE"""),"Psychic")</f>
        <v>Psychic</v>
      </c>
      <c r="C1049" s="190" t="str">
        <f>IFERROR(__xludf.DUMMYFUNCTION("""COMPUTED_VALUE"""),"Special")</f>
        <v>Special</v>
      </c>
      <c r="D1049" s="190" t="str">
        <f>IFERROR(__xludf.DUMMYFUNCTION("""COMPUTED_VALUE"""),"At-Will")</f>
        <v>At-Will</v>
      </c>
      <c r="E1049" s="190" t="str">
        <f>IFERROR(__xludf.DUMMYFUNCTION("""COMPUTED_VALUE"""),"6, 1 Target")</f>
        <v>6, 1 Target</v>
      </c>
      <c r="F1049" s="190">
        <f>IFERROR(__xludf.DUMMYFUNCTION("""COMPUTED_VALUE"""),3.0)</f>
        <v>3</v>
      </c>
      <c r="G1049" s="190">
        <f>IFERROR(__xludf.DUMMYFUNCTION("""COMPUTED_VALUE"""),7.0)</f>
        <v>7</v>
      </c>
      <c r="H1049" s="191" t="str">
        <f>IFERROR(__xludf.DUMMYFUNCTION("""COMPUTED_VALUE"""),"On a roll of 18+, the Target becomes Dazed. Smite")</f>
        <v>On a roll of 18+, the Target becomes Dazed. Smite</v>
      </c>
      <c r="I1049" s="191" t="str">
        <f>IFERROR(__xludf.DUMMYFUNCTION("""COMPUTED_VALUE"""),"--")</f>
        <v>--</v>
      </c>
      <c r="J1049" s="190" t="str">
        <f>IFERROR(__xludf.DUMMYFUNCTION("""COMPUTED_VALUE"""),"Tier 1")</f>
        <v>Tier 1</v>
      </c>
      <c r="K1049" s="174" t="b">
        <f>IFERROR(__xludf.DUMMYFUNCTION("""COMPUTED_VALUE"""),TRUE)</f>
        <v>1</v>
      </c>
      <c r="L1049" s="174"/>
      <c r="M1049" s="174"/>
      <c r="N1049" s="174"/>
      <c r="O1049" s="174"/>
      <c r="P1049" s="174"/>
      <c r="Q1049" s="174"/>
      <c r="R1049" s="174"/>
      <c r="S1049" s="174"/>
      <c r="T1049" s="174"/>
      <c r="U1049" s="174"/>
      <c r="V1049" s="174"/>
      <c r="W1049" s="174"/>
      <c r="X1049" s="174"/>
      <c r="Y1049" s="174"/>
      <c r="Z1049" s="174"/>
    </row>
    <row r="1050">
      <c r="A1050" s="190" t="str">
        <f>IFERROR(__xludf.DUMMYFUNCTION("""COMPUTED_VALUE"""),"Psy Bolt")</f>
        <v>Psy Bolt</v>
      </c>
      <c r="B1050" s="190" t="str">
        <f>IFERROR(__xludf.DUMMYFUNCTION("""COMPUTED_VALUE"""),"Psychic")</f>
        <v>Psychic</v>
      </c>
      <c r="C1050" s="190" t="str">
        <f>IFERROR(__xludf.DUMMYFUNCTION("""COMPUTED_VALUE"""),"Physical")</f>
        <v>Physical</v>
      </c>
      <c r="D1050" s="190" t="str">
        <f>IFERROR(__xludf.DUMMYFUNCTION("""COMPUTED_VALUE"""),"At-Will")</f>
        <v>At-Will</v>
      </c>
      <c r="E1050" s="190" t="str">
        <f>IFERROR(__xludf.DUMMYFUNCTION("""COMPUTED_VALUE"""),"6, 1 Target")</f>
        <v>6, 1 Target</v>
      </c>
      <c r="F1050" s="190">
        <f>IFERROR(__xludf.DUMMYFUNCTION("""COMPUTED_VALUE"""),3.0)</f>
        <v>3</v>
      </c>
      <c r="G1050" s="190">
        <f>IFERROR(__xludf.DUMMYFUNCTION("""COMPUTED_VALUE"""),4.0)</f>
        <v>4</v>
      </c>
      <c r="H1050" s="191" t="str">
        <f>IFERROR(__xludf.DUMMYFUNCTION("""COMPUTED_VALUE"""),"On a roll of 18+, the Target becomes Dazed. Smite")</f>
        <v>On a roll of 18+, the Target becomes Dazed. Smite</v>
      </c>
      <c r="I1050" s="191" t="str">
        <f>IFERROR(__xludf.DUMMYFUNCTION("""COMPUTED_VALUE"""),"--")</f>
        <v>--</v>
      </c>
      <c r="J1050" s="190" t="str">
        <f>IFERROR(__xludf.DUMMYFUNCTION("""COMPUTED_VALUE"""),"Tier 1")</f>
        <v>Tier 1</v>
      </c>
      <c r="K1050" s="174" t="b">
        <f>IFERROR(__xludf.DUMMYFUNCTION("""COMPUTED_VALUE"""),TRUE)</f>
        <v>1</v>
      </c>
      <c r="L1050" s="174"/>
      <c r="M1050" s="174"/>
      <c r="N1050" s="174"/>
      <c r="O1050" s="174"/>
      <c r="P1050" s="174"/>
      <c r="Q1050" s="174"/>
      <c r="R1050" s="174"/>
      <c r="S1050" s="174"/>
      <c r="T1050" s="174"/>
      <c r="U1050" s="174"/>
      <c r="V1050" s="174"/>
      <c r="W1050" s="174"/>
      <c r="X1050" s="174"/>
      <c r="Y1050" s="174"/>
      <c r="Z1050" s="174"/>
    </row>
    <row r="1051">
      <c r="A1051" s="190" t="str">
        <f>IFERROR(__xludf.DUMMYFUNCTION("""COMPUTED_VALUE"""),"Psychic")</f>
        <v>Psychic</v>
      </c>
      <c r="B1051" s="190" t="str">
        <f>IFERROR(__xludf.DUMMYFUNCTION("""COMPUTED_VALUE"""),"Psychic")</f>
        <v>Psychic</v>
      </c>
      <c r="C1051" s="190" t="str">
        <f>IFERROR(__xludf.DUMMYFUNCTION("""COMPUTED_VALUE"""),"Special")</f>
        <v>Special</v>
      </c>
      <c r="D1051" s="190" t="str">
        <f>IFERROR(__xludf.DUMMYFUNCTION("""COMPUTED_VALUE"""),"EOT")</f>
        <v>EOT</v>
      </c>
      <c r="E1051" s="190" t="str">
        <f>IFERROR(__xludf.DUMMYFUNCTION("""COMPUTED_VALUE"""),"5, 1 Target")</f>
        <v>5, 1 Target</v>
      </c>
      <c r="F1051" s="190">
        <f>IFERROR(__xludf.DUMMYFUNCTION("""COMPUTED_VALUE"""),4.0)</f>
        <v>4</v>
      </c>
      <c r="G1051" s="190">
        <f>IFERROR(__xludf.DUMMYFUNCTION("""COMPUTED_VALUE"""),9.0)</f>
        <v>9</v>
      </c>
      <c r="H1051" s="191" t="str">
        <f>IFERROR(__xludf.DUMMYFUNCTION("""COMPUTED_VALUE"""),"On a roll of 15+, the Target loses -2 CS in Special Defense. Slide 2. Spirit Surge. *Grants Telekinetic. ")</f>
        <v>On a roll of 15+, the Target loses -2 CS in Special Defense. Slide 2. Spirit Surge. *Grants Telekinetic. </v>
      </c>
      <c r="I1051" s="191" t="str">
        <f>IFERROR(__xludf.DUMMYFUNCTION("""COMPUTED_VALUE"""),"--")</f>
        <v>--</v>
      </c>
      <c r="J1051" s="190" t="str">
        <f>IFERROR(__xludf.DUMMYFUNCTION("""COMPUTED_VALUE"""),"Tier 2")</f>
        <v>Tier 2</v>
      </c>
      <c r="K1051" s="174" t="b">
        <f>IFERROR(__xludf.DUMMYFUNCTION("""COMPUTED_VALUE"""),TRUE)</f>
        <v>1</v>
      </c>
      <c r="L1051" s="174"/>
      <c r="M1051" s="174"/>
      <c r="N1051" s="174"/>
      <c r="O1051" s="174"/>
      <c r="P1051" s="174"/>
      <c r="Q1051" s="174"/>
      <c r="R1051" s="174"/>
      <c r="S1051" s="174"/>
      <c r="T1051" s="174"/>
      <c r="U1051" s="174"/>
      <c r="V1051" s="174"/>
      <c r="W1051" s="174"/>
      <c r="X1051" s="174"/>
      <c r="Y1051" s="174"/>
      <c r="Z1051" s="174"/>
    </row>
    <row r="1052">
      <c r="A1052" s="190" t="str">
        <f>IFERROR(__xludf.DUMMYFUNCTION("""COMPUTED_VALUE"""),"Psychic Fangs")</f>
        <v>Psychic Fangs</v>
      </c>
      <c r="B1052" s="190" t="str">
        <f>IFERROR(__xludf.DUMMYFUNCTION("""COMPUTED_VALUE"""),"Psychic")</f>
        <v>Psychic</v>
      </c>
      <c r="C1052" s="190" t="str">
        <f>IFERROR(__xludf.DUMMYFUNCTION("""COMPUTED_VALUE"""),"Physical")</f>
        <v>Physical</v>
      </c>
      <c r="D1052" s="190" t="str">
        <f>IFERROR(__xludf.DUMMYFUNCTION("""COMPUTED_VALUE"""),"EOT")</f>
        <v>EOT</v>
      </c>
      <c r="E1052" s="190" t="str">
        <f>IFERROR(__xludf.DUMMYFUNCTION("""COMPUTED_VALUE"""),"Melee, 1 Target, Bite")</f>
        <v>Melee, 1 Target, Bite</v>
      </c>
      <c r="F1052" s="190">
        <f>IFERROR(__xludf.DUMMYFUNCTION("""COMPUTED_VALUE"""),3.0)</f>
        <v>3</v>
      </c>
      <c r="G1052" s="190">
        <f>IFERROR(__xludf.DUMMYFUNCTION("""COMPUTED_VALUE"""),9.0)</f>
        <v>9</v>
      </c>
      <c r="H1052" s="191" t="str">
        <f>IFERROR(__xludf.DUMMYFUNCTION("""COMPUTED_VALUE"""),"The Target cannot activate any Reactions or Blessings against this Attack.")</f>
        <v>The Target cannot activate any Reactions or Blessings against this Attack.</v>
      </c>
      <c r="I1052" s="191" t="str">
        <f>IFERROR(__xludf.DUMMYFUNCTION("""COMPUTED_VALUE"""),"--")</f>
        <v>--</v>
      </c>
      <c r="J1052" s="190" t="str">
        <f>IFERROR(__xludf.DUMMYFUNCTION("""COMPUTED_VALUE"""),"Tier 2")</f>
        <v>Tier 2</v>
      </c>
      <c r="K1052" s="174" t="b">
        <f>IFERROR(__xludf.DUMMYFUNCTION("""COMPUTED_VALUE"""),TRUE)</f>
        <v>1</v>
      </c>
      <c r="L1052" s="174"/>
      <c r="M1052" s="174"/>
      <c r="N1052" s="174"/>
      <c r="O1052" s="174"/>
      <c r="P1052" s="174"/>
      <c r="Q1052" s="174"/>
      <c r="R1052" s="174"/>
      <c r="S1052" s="174"/>
      <c r="T1052" s="174"/>
      <c r="U1052" s="174"/>
      <c r="V1052" s="174"/>
      <c r="W1052" s="174"/>
      <c r="X1052" s="174"/>
      <c r="Y1052" s="174"/>
      <c r="Z1052" s="174"/>
    </row>
    <row r="1053">
      <c r="A1053" s="190" t="str">
        <f>IFERROR(__xludf.DUMMYFUNCTION("""COMPUTED_VALUE"""),"Psychic Noise")</f>
        <v>Psychic Noise</v>
      </c>
      <c r="B1053" s="190" t="str">
        <f>IFERROR(__xludf.DUMMYFUNCTION("""COMPUTED_VALUE"""),"Psychic")</f>
        <v>Psychic</v>
      </c>
      <c r="C1053" s="190" t="str">
        <f>IFERROR(__xludf.DUMMYFUNCTION("""COMPUTED_VALUE"""),"Special")</f>
        <v>Special</v>
      </c>
      <c r="D1053" s="190" t="str">
        <f>IFERROR(__xludf.DUMMYFUNCTION("""COMPUTED_VALUE"""),"EOT")</f>
        <v>EOT</v>
      </c>
      <c r="E1053" s="190" t="str">
        <f>IFERROR(__xludf.DUMMYFUNCTION("""COMPUTED_VALUE"""),"5, 1 Target or Close Blast 2; Sonic")</f>
        <v>5, 1 Target or Close Blast 2; Sonic</v>
      </c>
      <c r="F1053" s="190">
        <f>IFERROR(__xludf.DUMMYFUNCTION("""COMPUTED_VALUE"""),5.0)</f>
        <v>5</v>
      </c>
      <c r="G1053" s="190">
        <f>IFERROR(__xludf.DUMMYFUNCTION("""COMPUTED_VALUE"""),7.0)</f>
        <v>7</v>
      </c>
      <c r="H1053" s="191" t="str">
        <f>IFERROR(__xludf.DUMMYFUNCTION("""COMPUTED_VALUE"""),"Until the end of their next Turn, Targets hit by this Attack cannot gain Combat Stages.")</f>
        <v>Until the end of their next Turn, Targets hit by this Attack cannot gain Combat Stages.</v>
      </c>
      <c r="I1053" s="191"/>
      <c r="J1053" s="190" t="str">
        <f>IFERROR(__xludf.DUMMYFUNCTION("""COMPUTED_VALUE"""),"Tier 1")</f>
        <v>Tier 1</v>
      </c>
      <c r="K1053" s="174" t="b">
        <f>IFERROR(__xludf.DUMMYFUNCTION("""COMPUTED_VALUE"""),TRUE)</f>
        <v>1</v>
      </c>
      <c r="L1053" s="174"/>
      <c r="M1053" s="174"/>
      <c r="N1053" s="174"/>
      <c r="O1053" s="174"/>
      <c r="P1053" s="174"/>
      <c r="Q1053" s="174"/>
      <c r="R1053" s="174"/>
      <c r="S1053" s="174"/>
      <c r="T1053" s="174"/>
      <c r="U1053" s="174"/>
      <c r="V1053" s="174"/>
      <c r="W1053" s="174"/>
      <c r="X1053" s="174"/>
      <c r="Y1053" s="174"/>
      <c r="Z1053" s="174"/>
    </row>
    <row r="1054">
      <c r="A1054" s="190" t="str">
        <f>IFERROR(__xludf.DUMMYFUNCTION("""COMPUTED_VALUE"""),"Psychic Storm")</f>
        <v>Psychic Storm</v>
      </c>
      <c r="B1054" s="190" t="str">
        <f>IFERROR(__xludf.DUMMYFUNCTION("""COMPUTED_VALUE"""),"Psychic")</f>
        <v>Psychic</v>
      </c>
      <c r="C1054" s="190" t="str">
        <f>IFERROR(__xludf.DUMMYFUNCTION("""COMPUTED_VALUE"""),"Status")</f>
        <v>Status</v>
      </c>
      <c r="D1054" s="190" t="str">
        <f>IFERROR(__xludf.DUMMYFUNCTION("""COMPUTED_VALUE"""),"Scene x2")</f>
        <v>Scene x2</v>
      </c>
      <c r="E1054" s="190" t="str">
        <f>IFERROR(__xludf.DUMMYFUNCTION("""COMPUTED_VALUE"""),"Field, Versatile, Weather")</f>
        <v>Field, Versatile, Weather</v>
      </c>
      <c r="F1054" s="190" t="str">
        <f>IFERROR(__xludf.DUMMYFUNCTION("""COMPUTED_VALUE"""),"--")</f>
        <v>--</v>
      </c>
      <c r="G1054" s="190" t="str">
        <f>IFERROR(__xludf.DUMMYFUNCTION("""COMPUTED_VALUE"""),"--")</f>
        <v>--</v>
      </c>
      <c r="H1054" s="191" t="str">
        <f>IFERROR(__xludf.DUMMYFUNCTION("""COMPUTED_VALUE"""),"The Field becomes Psionic for the next 5 Rounds. While the Field is Psionic, non Psychic Type Enemies lose a Tick of Hit Points at the start of their Turn and Psychic Type Pokemon gain a Tick of Temporary Hit Points at the start of their Turn. While the F"&amp;"ield is Psionic, the Weather becomes Mystical.")</f>
        <v>The Field becomes Psionic for the next 5 Rounds. While the Field is Psionic, non Psychic Type Enemies lose a Tick of Hit Points at the start of their Turn and Psychic Type Pokemon gain a Tick of Temporary Hit Points at the start of their Turn. While the Field is Psionic, the Weather becomes Mystical.</v>
      </c>
      <c r="I1054"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54" s="190" t="str">
        <f>IFERROR(__xludf.DUMMYFUNCTION("""COMPUTED_VALUE"""),"Tier 2")</f>
        <v>Tier 2</v>
      </c>
      <c r="K1054" s="174" t="b">
        <f>IFERROR(__xludf.DUMMYFUNCTION("""COMPUTED_VALUE"""),TRUE)</f>
        <v>1</v>
      </c>
      <c r="L1054" s="174"/>
      <c r="M1054" s="174"/>
      <c r="N1054" s="174"/>
      <c r="O1054" s="174"/>
      <c r="P1054" s="174"/>
      <c r="Q1054" s="174"/>
      <c r="R1054" s="174"/>
      <c r="S1054" s="174"/>
      <c r="T1054" s="174"/>
      <c r="U1054" s="174"/>
      <c r="V1054" s="174"/>
      <c r="W1054" s="174"/>
      <c r="X1054" s="174"/>
      <c r="Y1054" s="174"/>
      <c r="Z1054" s="174"/>
    </row>
    <row r="1055">
      <c r="A1055" s="190" t="str">
        <f>IFERROR(__xludf.DUMMYFUNCTION("""COMPUTED_VALUE"""),"Psychic Terrain")</f>
        <v>Psychic Terrain</v>
      </c>
      <c r="B1055" s="190" t="str">
        <f>IFERROR(__xludf.DUMMYFUNCTION("""COMPUTED_VALUE"""),"Psychic")</f>
        <v>Psychic</v>
      </c>
      <c r="C1055" s="190" t="str">
        <f>IFERROR(__xludf.DUMMYFUNCTION("""COMPUTED_VALUE"""),"Status")</f>
        <v>Status</v>
      </c>
      <c r="D1055" s="190" t="str">
        <f>IFERROR(__xludf.DUMMYFUNCTION("""COMPUTED_VALUE"""),"Scene x2")</f>
        <v>Scene x2</v>
      </c>
      <c r="E1055" s="190" t="str">
        <f>IFERROR(__xludf.DUMMYFUNCTION("""COMPUTED_VALUE"""),"Field, Versatile, Weather")</f>
        <v>Field, Versatile, Weather</v>
      </c>
      <c r="F1055" s="190" t="str">
        <f>IFERROR(__xludf.DUMMYFUNCTION("""COMPUTED_VALUE"""),"--")</f>
        <v>--</v>
      </c>
      <c r="G1055" s="190" t="str">
        <f>IFERROR(__xludf.DUMMYFUNCTION("""COMPUTED_VALUE"""),"--")</f>
        <v>--</v>
      </c>
      <c r="H1055" s="191" t="str">
        <f>IFERROR(__xludf.DUMMYFUNCTION("""COMPUTED_VALUE"""),"The field becomes Weird for the next 5 Rounds. While the field is Weird, Priority Attacks and Reaction Attacks cannot be Triggered, and Psychic Type attacks ignore Speed Evasion. While the Field is Weird, the Weather may become Mystical.")</f>
        <v>The field becomes Weird for the next 5 Rounds. While the field is Weird, Priority Attacks and Reaction Attacks cannot be Triggered, and Psychic Type attacks ignore Speed Evasion. While the Field is Weird, the Weather may become Mystical.</v>
      </c>
      <c r="I1055"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55" s="190" t="str">
        <f>IFERROR(__xludf.DUMMYFUNCTION("""COMPUTED_VALUE"""),"Tier 2")</f>
        <v>Tier 2</v>
      </c>
      <c r="K1055" s="174" t="b">
        <f>IFERROR(__xludf.DUMMYFUNCTION("""COMPUTED_VALUE"""),TRUE)</f>
        <v>1</v>
      </c>
      <c r="L1055" s="174"/>
      <c r="M1055" s="174"/>
      <c r="N1055" s="174"/>
      <c r="O1055" s="174"/>
      <c r="P1055" s="174"/>
      <c r="Q1055" s="174"/>
      <c r="R1055" s="174"/>
      <c r="S1055" s="174"/>
      <c r="T1055" s="174"/>
      <c r="U1055" s="174"/>
      <c r="V1055" s="174"/>
      <c r="W1055" s="174"/>
      <c r="X1055" s="174"/>
      <c r="Y1055" s="174"/>
      <c r="Z1055" s="174"/>
    </row>
    <row r="1056">
      <c r="A1056" s="190" t="str">
        <f>IFERROR(__xludf.DUMMYFUNCTION("""COMPUTED_VALUE"""),"Psycho Boost")</f>
        <v>Psycho Boost</v>
      </c>
      <c r="B1056" s="190" t="str">
        <f>IFERROR(__xludf.DUMMYFUNCTION("""COMPUTED_VALUE"""),"Psychic")</f>
        <v>Psychic</v>
      </c>
      <c r="C1056" s="190" t="str">
        <f>IFERROR(__xludf.DUMMYFUNCTION("""COMPUTED_VALUE"""),"Special")</f>
        <v>Special</v>
      </c>
      <c r="D1056" s="190" t="str">
        <f>IFERROR(__xludf.DUMMYFUNCTION("""COMPUTED_VALUE"""),"Scene")</f>
        <v>Scene</v>
      </c>
      <c r="E1056" s="190" t="str">
        <f>IFERROR(__xludf.DUMMYFUNCTION("""COMPUTED_VALUE"""),"8, Ranged Blast 3, Full Action, Reckless")</f>
        <v>8, Ranged Blast 3, Full Action, Reckless</v>
      </c>
      <c r="F1056" s="190">
        <f>IFERROR(__xludf.DUMMYFUNCTION("""COMPUTED_VALUE"""),6.0)</f>
        <v>6</v>
      </c>
      <c r="G1056" s="190">
        <f>IFERROR(__xludf.DUMMYFUNCTION("""COMPUTED_VALUE"""),13.0)</f>
        <v>13</v>
      </c>
      <c r="H1056" s="191" t="str">
        <f>IFERROR(__xludf.DUMMYFUNCTION("""COMPUTED_VALUE"""),"After Damage Calculations, lower the Offensive Stat used for this Attack by -2 CS. Smite")</f>
        <v>After Damage Calculations, lower the Offensive Stat used for this Attack by -2 CS. Smite</v>
      </c>
      <c r="I1056" s="191" t="str">
        <f>IFERROR(__xludf.DUMMYFUNCTION("""COMPUTED_VALUE"""),"--")</f>
        <v>--</v>
      </c>
      <c r="J1056" s="190" t="str">
        <f>IFERROR(__xludf.DUMMYFUNCTION("""COMPUTED_VALUE"""),"Tier 3")</f>
        <v>Tier 3</v>
      </c>
      <c r="K1056" s="174" t="b">
        <f>IFERROR(__xludf.DUMMYFUNCTION("""COMPUTED_VALUE"""),TRUE)</f>
        <v>1</v>
      </c>
      <c r="L1056" s="174"/>
      <c r="M1056" s="174"/>
      <c r="N1056" s="174"/>
      <c r="O1056" s="174"/>
      <c r="P1056" s="174"/>
      <c r="Q1056" s="174"/>
      <c r="R1056" s="174"/>
      <c r="S1056" s="174"/>
      <c r="T1056" s="174"/>
      <c r="U1056" s="174"/>
      <c r="V1056" s="174"/>
      <c r="W1056" s="174"/>
      <c r="X1056" s="174"/>
      <c r="Y1056" s="174"/>
      <c r="Z1056" s="174"/>
    </row>
    <row r="1057">
      <c r="A1057" s="190" t="str">
        <f>IFERROR(__xludf.DUMMYFUNCTION("""COMPUTED_VALUE"""),"Psycho Cut")</f>
        <v>Psycho Cut</v>
      </c>
      <c r="B1057" s="190" t="str">
        <f>IFERROR(__xludf.DUMMYFUNCTION("""COMPUTED_VALUE"""),"Psychic")</f>
        <v>Psychic</v>
      </c>
      <c r="C1057" s="190" t="str">
        <f>IFERROR(__xludf.DUMMYFUNCTION("""COMPUTED_VALUE"""),"Physical")</f>
        <v>Physical</v>
      </c>
      <c r="D1057" s="190" t="str">
        <f>IFERROR(__xludf.DUMMYFUNCTION("""COMPUTED_VALUE"""),"EOT")</f>
        <v>EOT</v>
      </c>
      <c r="E1057" s="190" t="str">
        <f>IFERROR(__xludf.DUMMYFUNCTION("""COMPUTED_VALUE"""),"6, 1 Target")</f>
        <v>6, 1 Target</v>
      </c>
      <c r="F1057" s="190">
        <f>IFERROR(__xludf.DUMMYFUNCTION("""COMPUTED_VALUE"""),3.0)</f>
        <v>3</v>
      </c>
      <c r="G1057" s="190">
        <f>IFERROR(__xludf.DUMMYFUNCTION("""COMPUTED_VALUE"""),7.0)</f>
        <v>7</v>
      </c>
      <c r="H1057" s="191" t="str">
        <f>IFERROR(__xludf.DUMMYFUNCTION("""COMPUTED_VALUE"""),"Psycho Cut is a Critical Hit on a roll of 18+.")</f>
        <v>Psycho Cut is a Critical Hit on a roll of 18+.</v>
      </c>
      <c r="I1057" s="191" t="str">
        <f>IFERROR(__xludf.DUMMYFUNCTION("""COMPUTED_VALUE"""),"--")</f>
        <v>--</v>
      </c>
      <c r="J1057" s="190" t="str">
        <f>IFERROR(__xludf.DUMMYFUNCTION("""COMPUTED_VALUE"""),"Tier 1")</f>
        <v>Tier 1</v>
      </c>
      <c r="K1057" s="174" t="b">
        <f>IFERROR(__xludf.DUMMYFUNCTION("""COMPUTED_VALUE"""),TRUE)</f>
        <v>1</v>
      </c>
      <c r="L1057" s="174"/>
      <c r="M1057" s="174"/>
      <c r="N1057" s="174"/>
      <c r="O1057" s="174"/>
      <c r="P1057" s="174"/>
      <c r="Q1057" s="174"/>
      <c r="R1057" s="174"/>
      <c r="S1057" s="174"/>
      <c r="T1057" s="174"/>
      <c r="U1057" s="174"/>
      <c r="V1057" s="174"/>
      <c r="W1057" s="174"/>
      <c r="X1057" s="174"/>
      <c r="Y1057" s="174"/>
      <c r="Z1057" s="174"/>
    </row>
    <row r="1058">
      <c r="A1058" s="190" t="str">
        <f>IFERROR(__xludf.DUMMYFUNCTION("""COMPUTED_VALUE"""),"Psycho Shift")</f>
        <v>Psycho Shift</v>
      </c>
      <c r="B1058" s="190" t="str">
        <f>IFERROR(__xludf.DUMMYFUNCTION("""COMPUTED_VALUE"""),"Psychic")</f>
        <v>Psychic</v>
      </c>
      <c r="C1058" s="190" t="str">
        <f>IFERROR(__xludf.DUMMYFUNCTION("""COMPUTED_VALUE"""),"Status")</f>
        <v>Status</v>
      </c>
      <c r="D1058" s="190" t="str">
        <f>IFERROR(__xludf.DUMMYFUNCTION("""COMPUTED_VALUE"""),"Scene x2")</f>
        <v>Scene x2</v>
      </c>
      <c r="E1058" s="190" t="str">
        <f>IFERROR(__xludf.DUMMYFUNCTION("""COMPUTED_VALUE"""),"6, 1 Target, Healing")</f>
        <v>6, 1 Target, Healing</v>
      </c>
      <c r="F1058" s="190" t="str">
        <f>IFERROR(__xludf.DUMMYFUNCTION("""COMPUTED_VALUE"""),"--")</f>
        <v>--</v>
      </c>
      <c r="G1058" s="190" t="str">
        <f>IFERROR(__xludf.DUMMYFUNCTION("""COMPUTED_VALUE"""),"--")</f>
        <v>--</v>
      </c>
      <c r="H1058" s="191" t="str">
        <f>IFERROR(__xludf.DUMMYFUNCTION("""COMPUTED_VALUE"""),"The user is cured of a Status Affliction and the Target is given that Status Affliction. Psycho Shift can only be used if the Target does not have the bestowed Affliction and is not Immune to it. Sureshot.")</f>
        <v>The user is cured of a Status Affliction and the Target is given that Status Affliction. Psycho Shift can only be used if the Target does not have the bestowed Affliction and is not Immune to it. Sureshot.</v>
      </c>
      <c r="I1058" s="191" t="str">
        <f>IFERROR(__xludf.DUMMYFUNCTION("""COMPUTED_VALUE"""),"--")</f>
        <v>--</v>
      </c>
      <c r="J1058" s="190" t="str">
        <f>IFERROR(__xludf.DUMMYFUNCTION("""COMPUTED_VALUE"""),"Tier 2")</f>
        <v>Tier 2</v>
      </c>
      <c r="K1058" s="174" t="b">
        <f>IFERROR(__xludf.DUMMYFUNCTION("""COMPUTED_VALUE"""),FALSE)</f>
        <v>0</v>
      </c>
      <c r="L1058" s="174"/>
      <c r="M1058" s="174"/>
      <c r="N1058" s="174"/>
      <c r="O1058" s="174"/>
      <c r="P1058" s="174"/>
      <c r="Q1058" s="174"/>
      <c r="R1058" s="174"/>
      <c r="S1058" s="174"/>
      <c r="T1058" s="174"/>
      <c r="U1058" s="174"/>
      <c r="V1058" s="174"/>
      <c r="W1058" s="174"/>
      <c r="X1058" s="174"/>
      <c r="Y1058" s="174"/>
      <c r="Z1058" s="174"/>
    </row>
    <row r="1059">
      <c r="A1059" s="190" t="str">
        <f>IFERROR(__xludf.DUMMYFUNCTION("""COMPUTED_VALUE"""),"Psycho Slash")</f>
        <v>Psycho Slash</v>
      </c>
      <c r="B1059" s="190" t="str">
        <f>IFERROR(__xludf.DUMMYFUNCTION("""COMPUTED_VALUE"""),"Psychic")</f>
        <v>Psychic</v>
      </c>
      <c r="C1059" s="190" t="str">
        <f>IFERROR(__xludf.DUMMYFUNCTION("""COMPUTED_VALUE"""),"Physical")</f>
        <v>Physical</v>
      </c>
      <c r="D1059" s="190" t="str">
        <f>IFERROR(__xludf.DUMMYFUNCTION("""COMPUTED_VALUE"""),"Scene x2")</f>
        <v>Scene x2</v>
      </c>
      <c r="E1059" s="190" t="str">
        <f>IFERROR(__xludf.DUMMYFUNCTION("""COMPUTED_VALUE"""),"Melee, Pass, Dash")</f>
        <v>Melee, Pass, Dash</v>
      </c>
      <c r="F1059" s="190">
        <f>IFERROR(__xludf.DUMMYFUNCTION("""COMPUTED_VALUE"""),6.0)</f>
        <v>6</v>
      </c>
      <c r="G1059" s="190">
        <f>IFERROR(__xludf.DUMMYFUNCTION("""COMPUTED_VALUE"""),11.0)</f>
        <v>11</v>
      </c>
      <c r="H1059" s="191" t="str">
        <f>IFERROR(__xludf.DUMMYFUNCTION("""COMPUTED_VALUE"""),"Psycho Slash is a Critical Hit on a roll of 18+. If the Dash Keyword is Activated, this has the Sureshot Keyword.")</f>
        <v>Psycho Slash is a Critical Hit on a roll of 18+. If the Dash Keyword is Activated, this has the Sureshot Keyword.</v>
      </c>
      <c r="I1059" s="191" t="str">
        <f>IFERROR(__xludf.DUMMYFUNCTION("""COMPUTED_VALUE"""),"--")</f>
        <v>--</v>
      </c>
      <c r="J1059" s="190" t="str">
        <f>IFERROR(__xludf.DUMMYFUNCTION("""COMPUTED_VALUE"""),"Tier 3")</f>
        <v>Tier 3</v>
      </c>
      <c r="K1059" s="174" t="b">
        <f>IFERROR(__xludf.DUMMYFUNCTION("""COMPUTED_VALUE"""),TRUE)</f>
        <v>1</v>
      </c>
      <c r="L1059" s="174"/>
      <c r="M1059" s="174"/>
      <c r="N1059" s="174"/>
      <c r="O1059" s="174"/>
      <c r="P1059" s="174"/>
      <c r="Q1059" s="174"/>
      <c r="R1059" s="174"/>
      <c r="S1059" s="174"/>
      <c r="T1059" s="174"/>
      <c r="U1059" s="174"/>
      <c r="V1059" s="174"/>
      <c r="W1059" s="174"/>
      <c r="X1059" s="174"/>
      <c r="Y1059" s="174"/>
      <c r="Z1059" s="174"/>
    </row>
    <row r="1060">
      <c r="A1060" s="190" t="str">
        <f>IFERROR(__xludf.DUMMYFUNCTION("""COMPUTED_VALUE"""),"Psyshock")</f>
        <v>Psyshock</v>
      </c>
      <c r="B1060" s="190" t="str">
        <f>IFERROR(__xludf.DUMMYFUNCTION("""COMPUTED_VALUE"""),"Psychic")</f>
        <v>Psychic</v>
      </c>
      <c r="C1060" s="190" t="str">
        <f>IFERROR(__xludf.DUMMYFUNCTION("""COMPUTED_VALUE"""),"Special")</f>
        <v>Special</v>
      </c>
      <c r="D1060" s="190" t="str">
        <f>IFERROR(__xludf.DUMMYFUNCTION("""COMPUTED_VALUE"""),"At-Will")</f>
        <v>At-Will</v>
      </c>
      <c r="E1060" s="190" t="str">
        <f>IFERROR(__xludf.DUMMYFUNCTION("""COMPUTED_VALUE"""),"4, 1 Target")</f>
        <v>4, 1 Target</v>
      </c>
      <c r="F1060" s="190">
        <f>IFERROR(__xludf.DUMMYFUNCTION("""COMPUTED_VALUE"""),4.0)</f>
        <v>4</v>
      </c>
      <c r="G1060" s="190">
        <f>IFERROR(__xludf.DUMMYFUNCTION("""COMPUTED_VALUE"""),8.0)</f>
        <v>8</v>
      </c>
      <c r="H1060" s="191" t="str">
        <f>IFERROR(__xludf.DUMMYFUNCTION("""COMPUTED_VALUE"""),"During Damage Calculations, Targets hit by this Attack use their Defense instead of Special Defense when subtracting from the Damage Roll. ")</f>
        <v>During Damage Calculations, Targets hit by this Attack use their Defense instead of Special Defense when subtracting from the Damage Roll. </v>
      </c>
      <c r="I1060" s="191" t="str">
        <f>IFERROR(__xludf.DUMMYFUNCTION("""COMPUTED_VALUE"""),"--")</f>
        <v>--</v>
      </c>
      <c r="J1060" s="190" t="str">
        <f>IFERROR(__xludf.DUMMYFUNCTION("""COMPUTED_VALUE"""),"Tier 2")</f>
        <v>Tier 2</v>
      </c>
      <c r="K1060" s="174" t="b">
        <f>IFERROR(__xludf.DUMMYFUNCTION("""COMPUTED_VALUE"""),TRUE)</f>
        <v>1</v>
      </c>
      <c r="L1060" s="174"/>
      <c r="M1060" s="174"/>
      <c r="N1060" s="174"/>
      <c r="O1060" s="174"/>
      <c r="P1060" s="174"/>
      <c r="Q1060" s="174"/>
      <c r="R1060" s="174"/>
      <c r="S1060" s="174"/>
      <c r="T1060" s="174"/>
      <c r="U1060" s="174"/>
      <c r="V1060" s="174"/>
      <c r="W1060" s="174"/>
      <c r="X1060" s="174"/>
      <c r="Y1060" s="174"/>
      <c r="Z1060" s="174"/>
    </row>
    <row r="1061">
      <c r="A1061" s="190" t="str">
        <f>IFERROR(__xludf.DUMMYFUNCTION("""COMPUTED_VALUE"""),"Psywave")</f>
        <v>Psywave</v>
      </c>
      <c r="B1061" s="190" t="str">
        <f>IFERROR(__xludf.DUMMYFUNCTION("""COMPUTED_VALUE"""),"Psychic")</f>
        <v>Psychic</v>
      </c>
      <c r="C1061" s="190" t="str">
        <f>IFERROR(__xludf.DUMMYFUNCTION("""COMPUTED_VALUE"""),"Special")</f>
        <v>Special</v>
      </c>
      <c r="D1061" s="190" t="str">
        <f>IFERROR(__xludf.DUMMYFUNCTION("""COMPUTED_VALUE"""),"EOT")</f>
        <v>EOT</v>
      </c>
      <c r="E1061" s="190" t="str">
        <f>IFERROR(__xludf.DUMMYFUNCTION("""COMPUTED_VALUE"""),"Close Blast 2 or Burst 1")</f>
        <v>Close Blast 2 or Burst 1</v>
      </c>
      <c r="F1061" s="190">
        <f>IFERROR(__xludf.DUMMYFUNCTION("""COMPUTED_VALUE"""),5.0)</f>
        <v>5</v>
      </c>
      <c r="G1061" s="190" t="str">
        <f>IFERROR(__xludf.DUMMYFUNCTION("""COMPUTED_VALUE"""),"X")</f>
        <v>X</v>
      </c>
      <c r="H1061" s="191" t="str">
        <f>IFERROR(__xludf.DUMMYFUNCTION("""COMPUTED_VALUE"""),"X is equal to 3 + double your Tier Level. Slide 1 (Away)")</f>
        <v>X is equal to 3 + double your Tier Level. Slide 1 (Away)</v>
      </c>
      <c r="I1061" s="191" t="str">
        <f>IFERROR(__xludf.DUMMYFUNCTION("""COMPUTED_VALUE"""),"--")</f>
        <v>--</v>
      </c>
      <c r="J1061" s="190" t="str">
        <f>IFERROR(__xludf.DUMMYFUNCTION("""COMPUTED_VALUE"""),"Tier 3")</f>
        <v>Tier 3</v>
      </c>
      <c r="K1061" s="174" t="b">
        <f>IFERROR(__xludf.DUMMYFUNCTION("""COMPUTED_VALUE"""),TRUE)</f>
        <v>1</v>
      </c>
      <c r="L1061" s="174"/>
      <c r="M1061" s="174"/>
      <c r="N1061" s="174"/>
      <c r="O1061" s="174"/>
      <c r="P1061" s="174"/>
      <c r="Q1061" s="174"/>
      <c r="R1061" s="174"/>
      <c r="S1061" s="174"/>
      <c r="T1061" s="174"/>
      <c r="U1061" s="174"/>
      <c r="V1061" s="174"/>
      <c r="W1061" s="174"/>
      <c r="X1061" s="174"/>
      <c r="Y1061" s="174"/>
      <c r="Z1061" s="174"/>
    </row>
    <row r="1062">
      <c r="A1062" s="190" t="str">
        <f>IFERROR(__xludf.DUMMYFUNCTION("""COMPUTED_VALUE"""),"Reflect")</f>
        <v>Reflect</v>
      </c>
      <c r="B1062" s="190" t="str">
        <f>IFERROR(__xludf.DUMMYFUNCTION("""COMPUTED_VALUE"""),"Psychic")</f>
        <v>Psychic</v>
      </c>
      <c r="C1062" s="190" t="str">
        <f>IFERROR(__xludf.DUMMYFUNCTION("""COMPUTED_VALUE"""),"Status")</f>
        <v>Status</v>
      </c>
      <c r="D1062" s="190" t="str">
        <f>IFERROR(__xludf.DUMMYFUNCTION("""COMPUTED_VALUE"""),"Scene x2")</f>
        <v>Scene x2</v>
      </c>
      <c r="E1062" s="190" t="str">
        <f>IFERROR(__xludf.DUMMYFUNCTION("""COMPUTED_VALUE"""),"Blessing, Versatile")</f>
        <v>Blessing, Versatile</v>
      </c>
      <c r="F1062" s="190" t="str">
        <f>IFERROR(__xludf.DUMMYFUNCTION("""COMPUTED_VALUE"""),"--")</f>
        <v>--</v>
      </c>
      <c r="G1062" s="190" t="str">
        <f>IFERROR(__xludf.DUMMYFUNCTION("""COMPUTED_VALUE"""),"--")</f>
        <v>--</v>
      </c>
      <c r="H1062" s="191" t="str">
        <f>IFERROR(__xludf.DUMMYFUNCTION("""COMPUTED_VALUE"""),"Blessing – Any user affected by Reflect may activate it as a Free Action when receiving Physical Damage to resist the Damage one step. Reflect may be Activated 2 times, and then disappears.")</f>
        <v>Blessing – Any user affected by Reflect may activate it as a Free Action when receiving Physical Damage to resist the Damage one step. Reflect may be Activated 2 times, and then disappears.</v>
      </c>
      <c r="I1062" s="191" t="str">
        <f>IFERROR(__xludf.DUMMYFUNCTION("""COMPUTED_VALUE"""),"Same as the normal Effect, but it only has 1 Activation.")</f>
        <v>Same as the normal Effect, but it only has 1 Activation.</v>
      </c>
      <c r="J1062" s="190" t="str">
        <f>IFERROR(__xludf.DUMMYFUNCTION("""COMPUTED_VALUE"""),"Tier 2")</f>
        <v>Tier 2</v>
      </c>
      <c r="K1062" s="174" t="b">
        <f>IFERROR(__xludf.DUMMYFUNCTION("""COMPUTED_VALUE"""),TRUE)</f>
        <v>1</v>
      </c>
      <c r="L1062" s="174"/>
      <c r="M1062" s="174"/>
      <c r="N1062" s="174"/>
      <c r="O1062" s="174"/>
      <c r="P1062" s="174"/>
      <c r="Q1062" s="174"/>
      <c r="R1062" s="174"/>
      <c r="S1062" s="174"/>
      <c r="T1062" s="174"/>
      <c r="U1062" s="174"/>
      <c r="V1062" s="174"/>
      <c r="W1062" s="174"/>
      <c r="X1062" s="174"/>
      <c r="Y1062" s="174"/>
      <c r="Z1062" s="174"/>
    </row>
    <row r="1063">
      <c r="A1063" s="190" t="str">
        <f>IFERROR(__xludf.DUMMYFUNCTION("""COMPUTED_VALUE"""),"Rest")</f>
        <v>Rest</v>
      </c>
      <c r="B1063" s="190" t="str">
        <f>IFERROR(__xludf.DUMMYFUNCTION("""COMPUTED_VALUE"""),"Psychic")</f>
        <v>Psychic</v>
      </c>
      <c r="C1063" s="190" t="str">
        <f>IFERROR(__xludf.DUMMYFUNCTION("""COMPUTED_VALUE"""),"Status")</f>
        <v>Status</v>
      </c>
      <c r="D1063" s="190" t="str">
        <f>IFERROR(__xludf.DUMMYFUNCTION("""COMPUTED_VALUE"""),"Scene x2")</f>
        <v>Scene x2</v>
      </c>
      <c r="E1063" s="190" t="str">
        <f>IFERROR(__xludf.DUMMYFUNCTION("""COMPUTED_VALUE"""),"Self, Healing")</f>
        <v>Self, Healing</v>
      </c>
      <c r="F1063" s="190" t="str">
        <f>IFERROR(__xludf.DUMMYFUNCTION("""COMPUTED_VALUE"""),"--")</f>
        <v>--</v>
      </c>
      <c r="G1063" s="190" t="str">
        <f>IFERROR(__xludf.DUMMYFUNCTION("""COMPUTED_VALUE"""),"--")</f>
        <v>--</v>
      </c>
      <c r="H1063" s="191" t="str">
        <f>IFERROR(__xludf.DUMMYFUNCTION("""COMPUTED_VALUE"""),"The user becomes Drowsy and is cured of all of their other Afflictions. When the Drowsy Affliction is cured, the user restores 5 Ticks of Hit Points. If the user was Drowsy for at least two of their Turns, they instead are reset to Full HP. This cannot be"&amp;" used if the user is Immune to the Drowsy Affliction. ")</f>
        <v>The user becomes Drowsy and is cured of all of their other Afflictions. When the Drowsy Affliction is cured, the user restores 5 Ticks of Hit Points. If the user was Drowsy for at least two of their Turns, they instead are reset to Full HP. This cannot be used if the user is Immune to the Drowsy Affliction. </v>
      </c>
      <c r="I1063" s="191" t="str">
        <f>IFERROR(__xludf.DUMMYFUNCTION("""COMPUTED_VALUE"""),"--")</f>
        <v>--</v>
      </c>
      <c r="J1063" s="190" t="str">
        <f>IFERROR(__xludf.DUMMYFUNCTION("""COMPUTED_VALUE"""),"Tier 2")</f>
        <v>Tier 2</v>
      </c>
      <c r="K1063" s="174" t="b">
        <f>IFERROR(__xludf.DUMMYFUNCTION("""COMPUTED_VALUE"""),TRUE)</f>
        <v>1</v>
      </c>
      <c r="L1063" s="174"/>
      <c r="M1063" s="174"/>
      <c r="N1063" s="174"/>
      <c r="O1063" s="174"/>
      <c r="P1063" s="174"/>
      <c r="Q1063" s="174"/>
      <c r="R1063" s="174"/>
      <c r="S1063" s="174"/>
      <c r="T1063" s="174"/>
      <c r="U1063" s="174"/>
      <c r="V1063" s="174"/>
      <c r="W1063" s="174"/>
      <c r="X1063" s="174"/>
      <c r="Y1063" s="174"/>
      <c r="Z1063" s="174"/>
    </row>
    <row r="1064">
      <c r="A1064" s="190" t="str">
        <f>IFERROR(__xludf.DUMMYFUNCTION("""COMPUTED_VALUE"""),"Role Play")</f>
        <v>Role Play</v>
      </c>
      <c r="B1064" s="190" t="str">
        <f>IFERROR(__xludf.DUMMYFUNCTION("""COMPUTED_VALUE"""),"Psychic")</f>
        <v>Psychic</v>
      </c>
      <c r="C1064" s="190" t="str">
        <f>IFERROR(__xludf.DUMMYFUNCTION("""COMPUTED_VALUE"""),"Status")</f>
        <v>Status</v>
      </c>
      <c r="D1064" s="190" t="str">
        <f>IFERROR(__xludf.DUMMYFUNCTION("""COMPUTED_VALUE"""),"Scene")</f>
        <v>Scene</v>
      </c>
      <c r="E1064" s="190" t="str">
        <f>IFERROR(__xludf.DUMMYFUNCTION("""COMPUTED_VALUE"""),"Melee, 1 Target, Swift Action")</f>
        <v>Melee, 1 Target, Swift Action</v>
      </c>
      <c r="F1064" s="190" t="str">
        <f>IFERROR(__xludf.DUMMYFUNCTION("""COMPUTED_VALUE"""),"--")</f>
        <v>--</v>
      </c>
      <c r="G1064" s="190" t="str">
        <f>IFERROR(__xludf.DUMMYFUNCTION("""COMPUTED_VALUE"""),"--")</f>
        <v>--</v>
      </c>
      <c r="H1064" s="191" t="str">
        <f>IFERROR(__xludf.DUMMYFUNCTION("""COMPUTED_VALUE"""),"The user loses one of their Abilities, then gains one Ability that the Target knows. Both Abilities are chosen at Random and revert when the user is recalled or faints. Boss Abilities or Innate Abilities cannot be gained or lost this way, nor can this be "&amp;"used if the user does not have a legal Ability to lose. Sureshot.")</f>
        <v>The user loses one of their Abilities, then gains one Ability that the Target knows. Both Abilities are chosen at Random and revert when the user is recalled or faints. Boss Abilities or Innate Abilities cannot be gained or lost this way, nor can this be used if the user does not have a legal Ability to lose. Sureshot.</v>
      </c>
      <c r="I1064" s="191" t="str">
        <f>IFERROR(__xludf.DUMMYFUNCTION("""COMPUTED_VALUE"""),"--")</f>
        <v>--</v>
      </c>
      <c r="J1064" s="190" t="str">
        <f>IFERROR(__xludf.DUMMYFUNCTION("""COMPUTED_VALUE"""),"Tier 3")</f>
        <v>Tier 3</v>
      </c>
      <c r="K1064" s="174" t="b">
        <f>IFERROR(__xludf.DUMMYFUNCTION("""COMPUTED_VALUE"""),TRUE)</f>
        <v>1</v>
      </c>
      <c r="L1064" s="174"/>
      <c r="M1064" s="174"/>
      <c r="N1064" s="174"/>
      <c r="O1064" s="174"/>
      <c r="P1064" s="174"/>
      <c r="Q1064" s="174"/>
      <c r="R1064" s="174"/>
      <c r="S1064" s="174"/>
      <c r="T1064" s="174"/>
      <c r="U1064" s="174"/>
      <c r="V1064" s="174"/>
      <c r="W1064" s="174"/>
      <c r="X1064" s="174"/>
      <c r="Y1064" s="174"/>
      <c r="Z1064" s="174"/>
    </row>
    <row r="1065">
      <c r="A1065" s="190" t="str">
        <f>IFERROR(__xludf.DUMMYFUNCTION("""COMPUTED_VALUE"""),"Skill Swap")</f>
        <v>Skill Swap</v>
      </c>
      <c r="B1065" s="190" t="str">
        <f>IFERROR(__xludf.DUMMYFUNCTION("""COMPUTED_VALUE"""),"Psychic")</f>
        <v>Psychic</v>
      </c>
      <c r="C1065" s="190" t="str">
        <f>IFERROR(__xludf.DUMMYFUNCTION("""COMPUTED_VALUE"""),"Status")</f>
        <v>Status</v>
      </c>
      <c r="D1065" s="190" t="str">
        <f>IFERROR(__xludf.DUMMYFUNCTION("""COMPUTED_VALUE"""),"Scene x2")</f>
        <v>Scene x2</v>
      </c>
      <c r="E1065" s="190" t="str">
        <f>IFERROR(__xludf.DUMMYFUNCTION("""COMPUTED_VALUE"""),"Melee, 1 Target, Swift Action")</f>
        <v>Melee, 1 Target, Swift Action</v>
      </c>
      <c r="F1065" s="190">
        <f>IFERROR(__xludf.DUMMYFUNCTION("""COMPUTED_VALUE"""),5.0)</f>
        <v>5</v>
      </c>
      <c r="G1065" s="190" t="str">
        <f>IFERROR(__xludf.DUMMYFUNCTION("""COMPUTED_VALUE"""),"--")</f>
        <v>--</v>
      </c>
      <c r="H1065" s="191" t="str">
        <f>IFERROR(__xludf.DUMMYFUNCTION("""COMPUTED_VALUE"""),"When this Attack hits, choose one of your Abilities to lose, then the controller of the Target chooses an Ability for them to lose. Both Targets gain Ability that the other lost for the remainder of the Scene. Boss Abilities cannot be chosen via Skill Swa"&amp;"p.")</f>
        <v>When this Attack hits, choose one of your Abilities to lose, then the controller of the Target chooses an Ability for them to lose. Both Targets gain Ability that the other lost for the remainder of the Scene. Boss Abilities cannot be chosen via Skill Swap.</v>
      </c>
      <c r="I1065" s="191" t="str">
        <f>IFERROR(__xludf.DUMMYFUNCTION("""COMPUTED_VALUE"""),"--")</f>
        <v>--</v>
      </c>
      <c r="J1065" s="190" t="str">
        <f>IFERROR(__xludf.DUMMYFUNCTION("""COMPUTED_VALUE"""),"Tier 2")</f>
        <v>Tier 2</v>
      </c>
      <c r="K1065" s="174" t="b">
        <f>IFERROR(__xludf.DUMMYFUNCTION("""COMPUTED_VALUE"""),TRUE)</f>
        <v>1</v>
      </c>
      <c r="L1065" s="174"/>
      <c r="M1065" s="174"/>
      <c r="N1065" s="174"/>
      <c r="O1065" s="174"/>
      <c r="P1065" s="174"/>
      <c r="Q1065" s="174"/>
      <c r="R1065" s="174"/>
      <c r="S1065" s="174"/>
      <c r="T1065" s="174"/>
      <c r="U1065" s="174"/>
      <c r="V1065" s="174"/>
      <c r="W1065" s="174"/>
      <c r="X1065" s="174"/>
      <c r="Y1065" s="174"/>
      <c r="Z1065" s="174"/>
    </row>
    <row r="1066">
      <c r="A1066" s="190" t="str">
        <f>IFERROR(__xludf.DUMMYFUNCTION("""COMPUTED_VALUE"""),"Speed Swap")</f>
        <v>Speed Swap</v>
      </c>
      <c r="B1066" s="190" t="str">
        <f>IFERROR(__xludf.DUMMYFUNCTION("""COMPUTED_VALUE"""),"Psychic")</f>
        <v>Psychic</v>
      </c>
      <c r="C1066" s="190" t="str">
        <f>IFERROR(__xludf.DUMMYFUNCTION("""COMPUTED_VALUE"""),"Status")</f>
        <v>Status</v>
      </c>
      <c r="D1066" s="190" t="str">
        <f>IFERROR(__xludf.DUMMYFUNCTION("""COMPUTED_VALUE"""),"Scene x2")</f>
        <v>Scene x2</v>
      </c>
      <c r="E1066" s="190" t="str">
        <f>IFERROR(__xludf.DUMMYFUNCTION("""COMPUTED_VALUE"""),"Melee, 1 Target, Swift Action")</f>
        <v>Melee, 1 Target, Swift Action</v>
      </c>
      <c r="F1066" s="190" t="str">
        <f>IFERROR(__xludf.DUMMYFUNCTION("""COMPUTED_VALUE"""),"--")</f>
        <v>--</v>
      </c>
      <c r="G1066" s="190" t="str">
        <f>IFERROR(__xludf.DUMMYFUNCTION("""COMPUTED_VALUE"""),"--")</f>
        <v>--</v>
      </c>
      <c r="H1066" s="191" t="str">
        <f>IFERROR(__xludf.DUMMYFUNCTION("""COMPUTED_VALUE"""),"The user and the Target trade Speed CS Values. Sureshot")</f>
        <v>The user and the Target trade Speed CS Values. Sureshot</v>
      </c>
      <c r="I1066" s="191" t="str">
        <f>IFERROR(__xludf.DUMMYFUNCTION("""COMPUTED_VALUE"""),"--")</f>
        <v>--</v>
      </c>
      <c r="J1066" s="190" t="str">
        <f>IFERROR(__xludf.DUMMYFUNCTION("""COMPUTED_VALUE"""),"Tier 2")</f>
        <v>Tier 2</v>
      </c>
      <c r="K1066" s="174" t="b">
        <f>IFERROR(__xludf.DUMMYFUNCTION("""COMPUTED_VALUE"""),TRUE)</f>
        <v>1</v>
      </c>
      <c r="L1066" s="174"/>
      <c r="M1066" s="174"/>
      <c r="N1066" s="174"/>
      <c r="O1066" s="174"/>
      <c r="P1066" s="174"/>
      <c r="Q1066" s="174"/>
      <c r="R1066" s="174"/>
      <c r="S1066" s="174"/>
      <c r="T1066" s="174"/>
      <c r="U1066" s="174"/>
      <c r="V1066" s="174"/>
      <c r="W1066" s="174"/>
      <c r="X1066" s="174"/>
      <c r="Y1066" s="174"/>
      <c r="Z1066" s="174"/>
    </row>
    <row r="1067">
      <c r="A1067" s="190" t="str">
        <f>IFERROR(__xludf.DUMMYFUNCTION("""COMPUTED_VALUE"""),"Stored Power")</f>
        <v>Stored Power</v>
      </c>
      <c r="B1067" s="190" t="str">
        <f>IFERROR(__xludf.DUMMYFUNCTION("""COMPUTED_VALUE"""),"Psychic")</f>
        <v>Psychic</v>
      </c>
      <c r="C1067" s="190" t="str">
        <f>IFERROR(__xludf.DUMMYFUNCTION("""COMPUTED_VALUE"""),"Special")</f>
        <v>Special</v>
      </c>
      <c r="D1067" s="190" t="str">
        <f>IFERROR(__xludf.DUMMYFUNCTION("""COMPUTED_VALUE"""),"Scene x2")</f>
        <v>Scene x2</v>
      </c>
      <c r="E1067" s="190" t="str">
        <f>IFERROR(__xludf.DUMMYFUNCTION("""COMPUTED_VALUE"""),"10, 1 Target, Set-Up")</f>
        <v>10, 1 Target, Set-Up</v>
      </c>
      <c r="F1067" s="190">
        <f>IFERROR(__xludf.DUMMYFUNCTION("""COMPUTED_VALUE"""),3.0)</f>
        <v>3</v>
      </c>
      <c r="G1067" s="190">
        <f>IFERROR(__xludf.DUMMYFUNCTION("""COMPUTED_VALUE"""),4.0)</f>
        <v>4</v>
      </c>
      <c r="H1067" s="191" t="str">
        <f>IFERROR(__xludf.DUMMYFUNCTION("""COMPUTED_VALUE"""),"Charge Effect: You may lose any number of Positive CS to gain one more Charge Token per 2 CS lost this way. 
Resolution Effect: For each Charge Token expended, increase the DB of this Attack by +2 and the Crit Range by +1. Smite")</f>
        <v>Charge Effect: You may lose any number of Positive CS to gain one more Charge Token per 2 CS lost this way. 
Resolution Effect: For each Charge Token expended, increase the DB of this Attack by +2 and the Crit Range by +1. Smite</v>
      </c>
      <c r="I1067" s="191" t="str">
        <f>IFERROR(__xludf.DUMMYFUNCTION("""COMPUTED_VALUE"""),"--")</f>
        <v>--</v>
      </c>
      <c r="J1067" s="190" t="str">
        <f>IFERROR(__xludf.DUMMYFUNCTION("""COMPUTED_VALUE"""),"Tier 2")</f>
        <v>Tier 2</v>
      </c>
      <c r="K1067" s="174" t="b">
        <f>IFERROR(__xludf.DUMMYFUNCTION("""COMPUTED_VALUE"""),TRUE)</f>
        <v>1</v>
      </c>
      <c r="L1067" s="174"/>
      <c r="M1067" s="174"/>
      <c r="N1067" s="174"/>
      <c r="O1067" s="174"/>
      <c r="P1067" s="174"/>
      <c r="Q1067" s="174"/>
      <c r="R1067" s="174"/>
      <c r="S1067" s="174"/>
      <c r="T1067" s="174"/>
      <c r="U1067" s="174"/>
      <c r="V1067" s="174"/>
      <c r="W1067" s="174"/>
      <c r="X1067" s="174"/>
      <c r="Y1067" s="174"/>
      <c r="Z1067" s="174"/>
    </row>
    <row r="1068">
      <c r="A1068" s="190" t="str">
        <f>IFERROR(__xludf.DUMMYFUNCTION("""COMPUTED_VALUE"""),"Telekinesis")</f>
        <v>Telekinesis</v>
      </c>
      <c r="B1068" s="190" t="str">
        <f>IFERROR(__xludf.DUMMYFUNCTION("""COMPUTED_VALUE"""),"Psychic")</f>
        <v>Psychic</v>
      </c>
      <c r="C1068" s="190" t="str">
        <f>IFERROR(__xludf.DUMMYFUNCTION("""COMPUTED_VALUE"""),"Status")</f>
        <v>Status</v>
      </c>
      <c r="D1068" s="190" t="str">
        <f>IFERROR(__xludf.DUMMYFUNCTION("""COMPUTED_VALUE"""),"Scene x2")</f>
        <v>Scene x2</v>
      </c>
      <c r="E1068" s="190" t="str">
        <f>IFERROR(__xludf.DUMMYFUNCTION("""COMPUTED_VALUE"""),"4, 1 Target, Versatile")</f>
        <v>4, 1 Target, Versatile</v>
      </c>
      <c r="F1068" s="190">
        <f>IFERROR(__xludf.DUMMYFUNCTION("""COMPUTED_VALUE"""),3.0)</f>
        <v>3</v>
      </c>
      <c r="G1068" s="190" t="str">
        <f>IFERROR(__xludf.DUMMYFUNCTION("""COMPUTED_VALUE"""),"--")</f>
        <v>--</v>
      </c>
      <c r="H1068" s="191" t="str">
        <f>IFERROR(__xludf.DUMMYFUNCTION("""COMPUTED_VALUE"""),"The AC of this Attack is increased by 3 if the Target is Weight Class 5+. The Target gains a Lifted Mark. While Lifted, they are Vulnerable and cannot move through their own Actions. As a Movement Action, Lifted Combatants can perform a Focus Check oppose"&amp;"d by your Focus and if they win, they have the Lifted Mark removed. Each time they would fail this Check, they gain +2d6 to their next Focus Check to cure this (+2d6 then +4d6...)
*Grants Telekinetic")</f>
        <v>The AC of this Attack is increased by 3 if the Target is Weight Class 5+. The Target gains a Lifted Mark. While Lifted, they are Vulnerable and cannot move through their own Actions. As a Movement Action, Lifted Combatants can perform a Focus Check opposed by your Focus and if they win, they have the Lifted Mark removed. Each time they would fail this Check, they gain +2d6 to their next Focus Check to cure this (+2d6 then +4d6...)
*Grants Telekinetic</v>
      </c>
      <c r="I1068" s="191" t="str">
        <f>IFERROR(__xludf.DUMMYFUNCTION("""COMPUTED_VALUE"""),"When used this way, it does not expend the Frequency of Telekinesis. If this Targets an Enemy with your Lifted Mark, you may have them Slide up to 4m instead. Slide 2. Sureshot.")</f>
        <v>When used this way, it does not expend the Frequency of Telekinesis. If this Targets an Enemy with your Lifted Mark, you may have them Slide up to 4m instead. Slide 2. Sureshot.</v>
      </c>
      <c r="J1068" s="190" t="str">
        <f>IFERROR(__xludf.DUMMYFUNCTION("""COMPUTED_VALUE"""),"Tier 2")</f>
        <v>Tier 2</v>
      </c>
      <c r="K1068" s="174" t="b">
        <f>IFERROR(__xludf.DUMMYFUNCTION("""COMPUTED_VALUE"""),TRUE)</f>
        <v>1</v>
      </c>
      <c r="L1068" s="174"/>
      <c r="M1068" s="174"/>
      <c r="N1068" s="174"/>
      <c r="O1068" s="174"/>
      <c r="P1068" s="174"/>
      <c r="Q1068" s="174"/>
      <c r="R1068" s="174"/>
      <c r="S1068" s="174"/>
      <c r="T1068" s="174"/>
      <c r="U1068" s="174"/>
      <c r="V1068" s="174"/>
      <c r="W1068" s="174"/>
      <c r="X1068" s="174"/>
      <c r="Y1068" s="174"/>
      <c r="Z1068" s="174"/>
    </row>
    <row r="1069">
      <c r="A1069" s="190" t="str">
        <f>IFERROR(__xludf.DUMMYFUNCTION("""COMPUTED_VALUE"""),"Teleport")</f>
        <v>Teleport</v>
      </c>
      <c r="B1069" s="190" t="str">
        <f>IFERROR(__xludf.DUMMYFUNCTION("""COMPUTED_VALUE"""),"Psychic")</f>
        <v>Psychic</v>
      </c>
      <c r="C1069" s="190" t="str">
        <f>IFERROR(__xludf.DUMMYFUNCTION("""COMPUTED_VALUE"""),"Status")</f>
        <v>Status</v>
      </c>
      <c r="D1069" s="190" t="str">
        <f>IFERROR(__xludf.DUMMYFUNCTION("""COMPUTED_VALUE"""),"Scene x2")</f>
        <v>Scene x2</v>
      </c>
      <c r="E1069" s="190" t="str">
        <f>IFERROR(__xludf.DUMMYFUNCTION("""COMPUTED_VALUE"""),"Self, Shield, Trigger")</f>
        <v>Self, Shield, Trigger</v>
      </c>
      <c r="F1069" s="190" t="str">
        <f>IFERROR(__xludf.DUMMYFUNCTION("""COMPUTED_VALUE"""),"--")</f>
        <v>--</v>
      </c>
      <c r="G1069" s="190" t="str">
        <f>IFERROR(__xludf.DUMMYFUNCTION("""COMPUTED_VALUE"""),"--")</f>
        <v>--</v>
      </c>
      <c r="H1069" s="191" t="str">
        <f>IFERROR(__xludf.DUMMYFUNCTION("""COMPUTED_VALUE"""),"If the user is hit by a non Adjacent Attack, the user may use Teleport as a Standard Action + Reaction. The Triggering Attack misses the user. After this resolves, the user must Teleport to any unoccupied space within 3m. *Grants Teleporter")</f>
        <v>If the user is hit by a non Adjacent Attack, the user may use Teleport as a Standard Action + Reaction. The Triggering Attack misses the user. After this resolves, the user must Teleport to any unoccupied space within 3m. *Grants Teleporter</v>
      </c>
      <c r="I1069" s="191" t="str">
        <f>IFERROR(__xludf.DUMMYFUNCTION("""COMPUTED_VALUE"""),"--")</f>
        <v>--</v>
      </c>
      <c r="J1069" s="190" t="str">
        <f>IFERROR(__xludf.DUMMYFUNCTION("""COMPUTED_VALUE"""),"Tier 2")</f>
        <v>Tier 2</v>
      </c>
      <c r="K1069" s="174" t="b">
        <f>IFERROR(__xludf.DUMMYFUNCTION("""COMPUTED_VALUE"""),TRUE)</f>
        <v>1</v>
      </c>
      <c r="L1069" s="174"/>
      <c r="M1069" s="174"/>
      <c r="N1069" s="174"/>
      <c r="O1069" s="174"/>
      <c r="P1069" s="174"/>
      <c r="Q1069" s="174"/>
      <c r="R1069" s="174"/>
      <c r="S1069" s="174"/>
      <c r="T1069" s="174"/>
      <c r="U1069" s="174"/>
      <c r="V1069" s="174"/>
      <c r="W1069" s="174"/>
      <c r="X1069" s="174"/>
      <c r="Y1069" s="174"/>
      <c r="Z1069" s="174"/>
    </row>
    <row r="1070">
      <c r="A1070" s="190" t="str">
        <f>IFERROR(__xludf.DUMMYFUNCTION("""COMPUTED_VALUE"""),"Trick")</f>
        <v>Trick</v>
      </c>
      <c r="B1070" s="190" t="str">
        <f>IFERROR(__xludf.DUMMYFUNCTION("""COMPUTED_VALUE"""),"Psychic")</f>
        <v>Psychic</v>
      </c>
      <c r="C1070" s="190" t="str">
        <f>IFERROR(__xludf.DUMMYFUNCTION("""COMPUTED_VALUE"""),"Status")</f>
        <v>Status</v>
      </c>
      <c r="D1070" s="190" t="str">
        <f>IFERROR(__xludf.DUMMYFUNCTION("""COMPUTED_VALUE"""),"Scene x2")</f>
        <v>Scene x2</v>
      </c>
      <c r="E1070" s="190" t="str">
        <f>IFERROR(__xludf.DUMMYFUNCTION("""COMPUTED_VALUE"""),"5, 1 Target, Versatile")</f>
        <v>5, 1 Target, Versatile</v>
      </c>
      <c r="F1070" s="190" t="str">
        <f>IFERROR(__xludf.DUMMYFUNCTION("""COMPUTED_VALUE"""),"--")</f>
        <v>--</v>
      </c>
      <c r="G1070" s="190" t="str">
        <f>IFERROR(__xludf.DUMMYFUNCTION("""COMPUTED_VALUE"""),"--")</f>
        <v>--</v>
      </c>
      <c r="H1070" s="191" t="str">
        <f>IFERROR(__xludf.DUMMYFUNCTION("""COMPUTED_VALUE"""),"You may perform a Disarm, Distract, Hinder, Push or Trip Maneuver against the Target, ignoring Range, as a Free Action. The Maneuver Automatically hits and you automatically pass the Opposed Check. This cannot Target the same Enemy more than once per Scen"&amp;"e. Sureshot.")</f>
        <v>You may perform a Disarm, Distract, Hinder, Push or Trip Maneuver against the Target, ignoring Range, as a Free Action. The Maneuver Automatically hits and you automatically pass the Opposed Check. This cannot Target the same Enemy more than once per Scene. Sureshot.</v>
      </c>
      <c r="I1070" s="191" t="str">
        <f>IFERROR(__xludf.DUMMYFUNCTION("""COMPUTED_VALUE"""),"Same as the normal Effects but you don't automatically pass the Opposed Check and must perform as normal. Sureshot")</f>
        <v>Same as the normal Effects but you don't automatically pass the Opposed Check and must perform as normal. Sureshot</v>
      </c>
      <c r="J1070" s="190" t="str">
        <f>IFERROR(__xludf.DUMMYFUNCTION("""COMPUTED_VALUE"""),"Tier 2")</f>
        <v>Tier 2</v>
      </c>
      <c r="K1070" s="174" t="b">
        <f>IFERROR(__xludf.DUMMYFUNCTION("""COMPUTED_VALUE"""),FALSE)</f>
        <v>0</v>
      </c>
      <c r="L1070" s="174"/>
      <c r="M1070" s="174"/>
      <c r="N1070" s="174"/>
      <c r="O1070" s="174"/>
      <c r="P1070" s="174"/>
      <c r="Q1070" s="174"/>
      <c r="R1070" s="174"/>
      <c r="S1070" s="174"/>
      <c r="T1070" s="174"/>
      <c r="U1070" s="174"/>
      <c r="V1070" s="174"/>
      <c r="W1070" s="174"/>
      <c r="X1070" s="174"/>
      <c r="Y1070" s="174"/>
      <c r="Z1070" s="174"/>
    </row>
    <row r="1071">
      <c r="A1071" s="190" t="str">
        <f>IFERROR(__xludf.DUMMYFUNCTION("""COMPUTED_VALUE"""),"Trick Room")</f>
        <v>Trick Room</v>
      </c>
      <c r="B1071" s="190" t="str">
        <f>IFERROR(__xludf.DUMMYFUNCTION("""COMPUTED_VALUE"""),"Psychic")</f>
        <v>Psychic</v>
      </c>
      <c r="C1071" s="190" t="str">
        <f>IFERROR(__xludf.DUMMYFUNCTION("""COMPUTED_VALUE"""),"Status")</f>
        <v>Status</v>
      </c>
      <c r="D1071" s="190" t="str">
        <f>IFERROR(__xludf.DUMMYFUNCTION("""COMPUTED_VALUE"""),"Scene")</f>
        <v>Scene</v>
      </c>
      <c r="E1071" s="190" t="str">
        <f>IFERROR(__xludf.DUMMYFUNCTION("""COMPUTED_VALUE"""),"Field, Versatile")</f>
        <v>Field, Versatile</v>
      </c>
      <c r="F1071" s="190" t="str">
        <f>IFERROR(__xludf.DUMMYFUNCTION("""COMPUTED_VALUE"""),"--")</f>
        <v>--</v>
      </c>
      <c r="G1071" s="190" t="str">
        <f>IFERROR(__xludf.DUMMYFUNCTION("""COMPUTED_VALUE"""),"--")</f>
        <v>--</v>
      </c>
      <c r="H1071" s="191" t="str">
        <f>IFERROR(__xludf.DUMMYFUNCTION("""COMPUTED_VALUE"""),"For the next 3 Rounds, whenever a Combatant would gain a positive Modifier or increase CS, it becomes a Penalty instead or they lose the same amount of CS instead. If they would lose CS or gain a Penalty, it becomes a bonus instead or they gain the same a"&amp;"mount of CS instead. ")</f>
        <v>For the next 3 Rounds, whenever a Combatant would gain a positive Modifier or increase CS, it becomes a Penalty instead or they lose the same amount of CS instead. If they would lose CS or gain a Penalty, it becomes a bonus instead or they gain the same amount of CS instead. </v>
      </c>
      <c r="I1071"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71" s="190" t="str">
        <f>IFERROR(__xludf.DUMMYFUNCTION("""COMPUTED_VALUE"""),"Tier 3")</f>
        <v>Tier 3</v>
      </c>
      <c r="K1071" s="174" t="b">
        <f>IFERROR(__xludf.DUMMYFUNCTION("""COMPUTED_VALUE"""),TRUE)</f>
        <v>1</v>
      </c>
      <c r="L1071" s="174"/>
      <c r="M1071" s="174"/>
      <c r="N1071" s="174"/>
      <c r="O1071" s="174"/>
      <c r="P1071" s="174"/>
      <c r="Q1071" s="174"/>
      <c r="R1071" s="174"/>
      <c r="S1071" s="174"/>
      <c r="T1071" s="174"/>
      <c r="U1071" s="174"/>
      <c r="V1071" s="174"/>
      <c r="W1071" s="174"/>
      <c r="X1071" s="174"/>
      <c r="Y1071" s="174"/>
      <c r="Z1071" s="174"/>
    </row>
    <row r="1072">
      <c r="A1072" s="190" t="str">
        <f>IFERROR(__xludf.DUMMYFUNCTION("""COMPUTED_VALUE"""),"Twin Beam")</f>
        <v>Twin Beam</v>
      </c>
      <c r="B1072" s="190" t="str">
        <f>IFERROR(__xludf.DUMMYFUNCTION("""COMPUTED_VALUE"""),"Psychic")</f>
        <v>Psychic</v>
      </c>
      <c r="C1072" s="190" t="str">
        <f>IFERROR(__xludf.DUMMYFUNCTION("""COMPUTED_VALUE"""),"Special")</f>
        <v>Special</v>
      </c>
      <c r="D1072" s="190" t="str">
        <f>IFERROR(__xludf.DUMMYFUNCTION("""COMPUTED_VALUE"""),"EOT")</f>
        <v>EOT</v>
      </c>
      <c r="E1072" s="190" t="str">
        <f>IFERROR(__xludf.DUMMYFUNCTION("""COMPUTED_VALUE"""),"6, 2 Targets; or 6, 1 Target")</f>
        <v>6, 2 Targets; or 6, 1 Target</v>
      </c>
      <c r="F1072" s="190">
        <f>IFERROR(__xludf.DUMMYFUNCTION("""COMPUTED_VALUE"""),6.0)</f>
        <v>6</v>
      </c>
      <c r="G1072" s="190">
        <f>IFERROR(__xludf.DUMMYFUNCTION("""COMPUTED_VALUE"""),5.0)</f>
        <v>5</v>
      </c>
      <c r="H1072" s="191" t="str">
        <f>IFERROR(__xludf.DUMMYFUNCTION("""COMPUTED_VALUE"""),"Twin Beam may deal Normal Type Damage if the user wishes. If Twin Beam has 1 Target, it has the Double Strike Keyword.")</f>
        <v>Twin Beam may deal Normal Type Damage if the user wishes. If Twin Beam has 1 Target, it has the Double Strike Keyword.</v>
      </c>
      <c r="I1072" s="191" t="str">
        <f>IFERROR(__xludf.DUMMYFUNCTION("""COMPUTED_VALUE"""),"--")</f>
        <v>--</v>
      </c>
      <c r="J1072" s="190" t="str">
        <f>IFERROR(__xludf.DUMMYFUNCTION("""COMPUTED_VALUE"""),"Tier 1")</f>
        <v>Tier 1</v>
      </c>
      <c r="K1072" s="174" t="b">
        <f>IFERROR(__xludf.DUMMYFUNCTION("""COMPUTED_VALUE"""),TRUE)</f>
        <v>1</v>
      </c>
      <c r="L1072" s="174"/>
      <c r="M1072" s="174"/>
      <c r="N1072" s="174"/>
      <c r="O1072" s="174"/>
      <c r="P1072" s="174"/>
      <c r="Q1072" s="174"/>
      <c r="R1072" s="174"/>
      <c r="S1072" s="174"/>
      <c r="T1072" s="174"/>
      <c r="U1072" s="174"/>
      <c r="V1072" s="174"/>
      <c r="W1072" s="174"/>
      <c r="X1072" s="174"/>
      <c r="Y1072" s="174"/>
      <c r="Z1072" s="174"/>
    </row>
    <row r="1073">
      <c r="A1073" s="190" t="str">
        <f>IFERROR(__xludf.DUMMYFUNCTION("""COMPUTED_VALUE"""),"Wonder Room")</f>
        <v>Wonder Room</v>
      </c>
      <c r="B1073" s="190" t="str">
        <f>IFERROR(__xludf.DUMMYFUNCTION("""COMPUTED_VALUE"""),"Psychic")</f>
        <v>Psychic</v>
      </c>
      <c r="C1073" s="190" t="str">
        <f>IFERROR(__xludf.DUMMYFUNCTION("""COMPUTED_VALUE"""),"Status")</f>
        <v>Status</v>
      </c>
      <c r="D1073" s="190" t="str">
        <f>IFERROR(__xludf.DUMMYFUNCTION("""COMPUTED_VALUE"""),"Scene")</f>
        <v>Scene</v>
      </c>
      <c r="E1073" s="190" t="str">
        <f>IFERROR(__xludf.DUMMYFUNCTION("""COMPUTED_VALUE"""),"Field, Versatile")</f>
        <v>Field, Versatile</v>
      </c>
      <c r="F1073" s="190" t="str">
        <f>IFERROR(__xludf.DUMMYFUNCTION("""COMPUTED_VALUE"""),"--")</f>
        <v>--</v>
      </c>
      <c r="G1073" s="190" t="str">
        <f>IFERROR(__xludf.DUMMYFUNCTION("""COMPUTED_VALUE"""),"--")</f>
        <v>--</v>
      </c>
      <c r="H1073" s="191" t="str">
        <f>IFERROR(__xludf.DUMMYFUNCTION("""COMPUTED_VALUE"""),"for the next 5 Rounds, the area is considered Wondered. While Wondered, when a combatant deals damage with an attack they may choose if that damage is Physical or Special.")</f>
        <v>for the next 5 Rounds, the area is considered Wondered. While Wondered, when a combatant deals damage with an attack they may choose if that damage is Physical or Special.</v>
      </c>
      <c r="I1073"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73" s="190" t="str">
        <f>IFERROR(__xludf.DUMMYFUNCTION("""COMPUTED_VALUE"""),"Tier 3")</f>
        <v>Tier 3</v>
      </c>
      <c r="K1073" s="174" t="b">
        <f>IFERROR(__xludf.DUMMYFUNCTION("""COMPUTED_VALUE"""),TRUE)</f>
        <v>1</v>
      </c>
      <c r="L1073" s="174"/>
      <c r="M1073" s="174"/>
      <c r="N1073" s="174"/>
      <c r="O1073" s="174"/>
      <c r="P1073" s="174"/>
      <c r="Q1073" s="174"/>
      <c r="R1073" s="174"/>
      <c r="S1073" s="174"/>
      <c r="T1073" s="174"/>
      <c r="U1073" s="174"/>
      <c r="V1073" s="174"/>
      <c r="W1073" s="174"/>
      <c r="X1073" s="174"/>
      <c r="Y1073" s="174"/>
      <c r="Z1073" s="174"/>
    </row>
    <row r="1074">
      <c r="A1074" s="190" t="str">
        <f>IFERROR(__xludf.DUMMYFUNCTION("""COMPUTED_VALUE"""),"Zen Headbutt")</f>
        <v>Zen Headbutt</v>
      </c>
      <c r="B1074" s="190" t="str">
        <f>IFERROR(__xludf.DUMMYFUNCTION("""COMPUTED_VALUE"""),"Psychic")</f>
        <v>Psychic</v>
      </c>
      <c r="C1074" s="190" t="str">
        <f>IFERROR(__xludf.DUMMYFUNCTION("""COMPUTED_VALUE"""),"Physical")</f>
        <v>Physical</v>
      </c>
      <c r="D1074" s="190" t="str">
        <f>IFERROR(__xludf.DUMMYFUNCTION("""COMPUTED_VALUE"""),"EOT")</f>
        <v>EOT</v>
      </c>
      <c r="E1074" s="190" t="str">
        <f>IFERROR(__xludf.DUMMYFUNCTION("""COMPUTED_VALUE"""),"Melee, 1 Target, Dash")</f>
        <v>Melee, 1 Target, Dash</v>
      </c>
      <c r="F1074" s="190">
        <f>IFERROR(__xludf.DUMMYFUNCTION("""COMPUTED_VALUE"""),3.0)</f>
        <v>3</v>
      </c>
      <c r="G1074" s="190">
        <f>IFERROR(__xludf.DUMMYFUNCTION("""COMPUTED_VALUE"""),8.0)</f>
        <v>8</v>
      </c>
      <c r="H1074" s="191" t="str">
        <f>IFERROR(__xludf.DUMMYFUNCTION("""COMPUTED_VALUE"""),"If the Dash Keyword is Activated, you may choose which Stat the Target applies towards calculating Damage for this Attack, between Defense or Special Defense.")</f>
        <v>If the Dash Keyword is Activated, you may choose which Stat the Target applies towards calculating Damage for this Attack, between Defense or Special Defense.</v>
      </c>
      <c r="I1074" s="191" t="str">
        <f>IFERROR(__xludf.DUMMYFUNCTION("""COMPUTED_VALUE"""),"--")</f>
        <v>--</v>
      </c>
      <c r="J1074" s="190" t="str">
        <f>IFERROR(__xludf.DUMMYFUNCTION("""COMPUTED_VALUE"""),"Tier 2")</f>
        <v>Tier 2</v>
      </c>
      <c r="K1074" s="174" t="b">
        <f>IFERROR(__xludf.DUMMYFUNCTION("""COMPUTED_VALUE"""),TRUE)</f>
        <v>1</v>
      </c>
      <c r="L1074" s="174"/>
      <c r="M1074" s="174"/>
      <c r="N1074" s="174"/>
      <c r="O1074" s="174"/>
      <c r="P1074" s="174"/>
      <c r="Q1074" s="174"/>
      <c r="R1074" s="174"/>
      <c r="S1074" s="174"/>
      <c r="T1074" s="174"/>
      <c r="U1074" s="174"/>
      <c r="V1074" s="174"/>
      <c r="W1074" s="174"/>
      <c r="X1074" s="174"/>
      <c r="Y1074" s="174"/>
      <c r="Z1074" s="174"/>
    </row>
    <row r="1075">
      <c r="A1075" s="190" t="str">
        <f>IFERROR(__xludf.DUMMYFUNCTION("""COMPUTED_VALUE"""),"Accelerock")</f>
        <v>Accelerock</v>
      </c>
      <c r="B1075" s="190" t="str">
        <f>IFERROR(__xludf.DUMMYFUNCTION("""COMPUTED_VALUE"""),"Rock")</f>
        <v>Rock</v>
      </c>
      <c r="C1075" s="190" t="str">
        <f>IFERROR(__xludf.DUMMYFUNCTION("""COMPUTED_VALUE"""),"Physical")</f>
        <v>Physical</v>
      </c>
      <c r="D1075" s="190" t="str">
        <f>IFERROR(__xludf.DUMMYFUNCTION("""COMPUTED_VALUE"""),"At-Will")</f>
        <v>At-Will</v>
      </c>
      <c r="E1075" s="190" t="str">
        <f>IFERROR(__xludf.DUMMYFUNCTION("""COMPUTED_VALUE"""),"Melee, 1 Target, Priority ")</f>
        <v>Melee, 1 Target, Priority </v>
      </c>
      <c r="F1075" s="190">
        <f>IFERROR(__xludf.DUMMYFUNCTION("""COMPUTED_VALUE"""),2.0)</f>
        <v>2</v>
      </c>
      <c r="G1075" s="190">
        <f>IFERROR(__xludf.DUMMYFUNCTION("""COMPUTED_VALUE"""),4.0)</f>
        <v>4</v>
      </c>
      <c r="H1075" s="191" t="str">
        <f>IFERROR(__xludf.DUMMYFUNCTION("""COMPUTED_VALUE"""),"--")</f>
        <v>--</v>
      </c>
      <c r="I1075" s="191" t="str">
        <f>IFERROR(__xludf.DUMMYFUNCTION("""COMPUTED_VALUE"""),"--")</f>
        <v>--</v>
      </c>
      <c r="J1075" s="190" t="str">
        <f>IFERROR(__xludf.DUMMYFUNCTION("""COMPUTED_VALUE"""),"Tier 1")</f>
        <v>Tier 1</v>
      </c>
      <c r="K1075" s="174" t="b">
        <f>IFERROR(__xludf.DUMMYFUNCTION("""COMPUTED_VALUE"""),TRUE)</f>
        <v>1</v>
      </c>
      <c r="L1075" s="174"/>
      <c r="M1075" s="174"/>
      <c r="N1075" s="174"/>
      <c r="O1075" s="174"/>
      <c r="P1075" s="174"/>
      <c r="Q1075" s="174"/>
      <c r="R1075" s="174"/>
      <c r="S1075" s="174"/>
      <c r="T1075" s="174"/>
      <c r="U1075" s="174"/>
      <c r="V1075" s="174"/>
      <c r="W1075" s="174"/>
      <c r="X1075" s="174"/>
      <c r="Y1075" s="174"/>
      <c r="Z1075" s="174"/>
    </row>
    <row r="1076">
      <c r="A1076" s="190" t="str">
        <f>IFERROR(__xludf.DUMMYFUNCTION("""COMPUTED_VALUE"""),"Ancient Power")</f>
        <v>Ancient Power</v>
      </c>
      <c r="B1076" s="190" t="str">
        <f>IFERROR(__xludf.DUMMYFUNCTION("""COMPUTED_VALUE"""),"Rock")</f>
        <v>Rock</v>
      </c>
      <c r="C1076" s="190" t="str">
        <f>IFERROR(__xludf.DUMMYFUNCTION("""COMPUTED_VALUE"""),"Special")</f>
        <v>Special</v>
      </c>
      <c r="D1076" s="190" t="str">
        <f>IFERROR(__xludf.DUMMYFUNCTION("""COMPUTED_VALUE"""),"EOT")</f>
        <v>EOT</v>
      </c>
      <c r="E1076" s="190" t="str">
        <f>IFERROR(__xludf.DUMMYFUNCTION("""COMPUTED_VALUE"""),"6, 1 Target")</f>
        <v>6, 1 Target</v>
      </c>
      <c r="F1076" s="190">
        <f>IFERROR(__xludf.DUMMYFUNCTION("""COMPUTED_VALUE"""),3.0)</f>
        <v>3</v>
      </c>
      <c r="G1076" s="190">
        <f>IFERROR(__xludf.DUMMYFUNCTION("""COMPUTED_VALUE"""),6.0)</f>
        <v>6</v>
      </c>
      <c r="H1076" s="191" t="str">
        <f>IFERROR(__xludf.DUMMYFUNCTION("""COMPUTED_VALUE"""),"This Attack has a +1 bonus to Accuracy for each Stat the user has Positive CS in. If the user has 3+ CS in any Stat, this may be used as if its Range were 6, Ranged Blast 2, instead.")</f>
        <v>This Attack has a +1 bonus to Accuracy for each Stat the user has Positive CS in. If the user has 3+ CS in any Stat, this may be used as if its Range were 6, Ranged Blast 2, instead.</v>
      </c>
      <c r="I1076" s="191" t="str">
        <f>IFERROR(__xludf.DUMMYFUNCTION("""COMPUTED_VALUE"""),"--")</f>
        <v>--</v>
      </c>
      <c r="J1076" s="190" t="str">
        <f>IFERROR(__xludf.DUMMYFUNCTION("""COMPUTED_VALUE"""),"Tier 1")</f>
        <v>Tier 1</v>
      </c>
      <c r="K1076" s="174" t="b">
        <f>IFERROR(__xludf.DUMMYFUNCTION("""COMPUTED_VALUE"""),TRUE)</f>
        <v>1</v>
      </c>
      <c r="L1076" s="174"/>
      <c r="M1076" s="174"/>
      <c r="N1076" s="174"/>
      <c r="O1076" s="174"/>
      <c r="P1076" s="174"/>
      <c r="Q1076" s="174"/>
      <c r="R1076" s="174"/>
      <c r="S1076" s="174"/>
      <c r="T1076" s="174"/>
      <c r="U1076" s="174"/>
      <c r="V1076" s="174"/>
      <c r="W1076" s="174"/>
      <c r="X1076" s="174"/>
      <c r="Y1076" s="174"/>
      <c r="Z1076" s="174"/>
    </row>
    <row r="1077">
      <c r="A1077" s="190" t="str">
        <f>IFERROR(__xludf.DUMMYFUNCTION("""COMPUTED_VALUE"""),"Ancient Strike")</f>
        <v>Ancient Strike</v>
      </c>
      <c r="B1077" s="190" t="str">
        <f>IFERROR(__xludf.DUMMYFUNCTION("""COMPUTED_VALUE"""),"Rock")</f>
        <v>Rock</v>
      </c>
      <c r="C1077" s="190" t="str">
        <f>IFERROR(__xludf.DUMMYFUNCTION("""COMPUTED_VALUE"""),"Physical")</f>
        <v>Physical</v>
      </c>
      <c r="D1077" s="190" t="str">
        <f>IFERROR(__xludf.DUMMYFUNCTION("""COMPUTED_VALUE"""),"EOT")</f>
        <v>EOT</v>
      </c>
      <c r="E1077" s="190" t="str">
        <f>IFERROR(__xludf.DUMMYFUNCTION("""COMPUTED_VALUE"""),"Melee, Dash, Recoil 1/3")</f>
        <v>Melee, Dash, Recoil 1/3</v>
      </c>
      <c r="F1077" s="190">
        <f>IFERROR(__xludf.DUMMYFUNCTION("""COMPUTED_VALUE"""),3.0)</f>
        <v>3</v>
      </c>
      <c r="G1077" s="190">
        <f>IFERROR(__xludf.DUMMYFUNCTION("""COMPUTED_VALUE"""),9.0)</f>
        <v>9</v>
      </c>
      <c r="H1077" s="191" t="str">
        <f>IFERROR(__xludf.DUMMYFUNCTION("""COMPUTED_VALUE"""),"On a roll of 19+, the user gains +1 CS in all Stats. When the Dash Keyword is Activated, this Effect Range is increased by +3. Smite")</f>
        <v>On a roll of 19+, the user gains +1 CS in all Stats. When the Dash Keyword is Activated, this Effect Range is increased by +3. Smite</v>
      </c>
      <c r="I1077" s="191" t="str">
        <f>IFERROR(__xludf.DUMMYFUNCTION("""COMPUTED_VALUE"""),"--")</f>
        <v>--</v>
      </c>
      <c r="J1077" s="190" t="str">
        <f>IFERROR(__xludf.DUMMYFUNCTION("""COMPUTED_VALUE"""),"Tier 2")</f>
        <v>Tier 2</v>
      </c>
      <c r="K1077" s="174" t="b">
        <f>IFERROR(__xludf.DUMMYFUNCTION("""COMPUTED_VALUE"""),TRUE)</f>
        <v>1</v>
      </c>
      <c r="L1077" s="174"/>
      <c r="M1077" s="174"/>
      <c r="N1077" s="174"/>
      <c r="O1077" s="174"/>
      <c r="P1077" s="174"/>
      <c r="Q1077" s="174"/>
      <c r="R1077" s="174"/>
      <c r="S1077" s="174"/>
      <c r="T1077" s="174"/>
      <c r="U1077" s="174"/>
      <c r="V1077" s="174"/>
      <c r="W1077" s="174"/>
      <c r="X1077" s="174"/>
      <c r="Y1077" s="174"/>
      <c r="Z1077" s="174"/>
    </row>
    <row r="1078">
      <c r="A1078" s="190" t="str">
        <f>IFERROR(__xludf.DUMMYFUNCTION("""COMPUTED_VALUE"""),"Crystal Cyclone")</f>
        <v>Crystal Cyclone</v>
      </c>
      <c r="B1078" s="190" t="str">
        <f>IFERROR(__xludf.DUMMYFUNCTION("""COMPUTED_VALUE"""),"Rock")</f>
        <v>Rock</v>
      </c>
      <c r="C1078" s="190" t="str">
        <f>IFERROR(__xludf.DUMMYFUNCTION("""COMPUTED_VALUE"""),"Special")</f>
        <v>Special</v>
      </c>
      <c r="D1078" s="190" t="str">
        <f>IFERROR(__xludf.DUMMYFUNCTION("""COMPUTED_VALUE"""),"Scene x2")</f>
        <v>Scene x2</v>
      </c>
      <c r="E1078" s="190" t="str">
        <f>IFERROR(__xludf.DUMMYFUNCTION("""COMPUTED_VALUE"""),"8, Ranged Blast 3, Full Action")</f>
        <v>8, Ranged Blast 3, Full Action</v>
      </c>
      <c r="F1078" s="190">
        <f>IFERROR(__xludf.DUMMYFUNCTION("""COMPUTED_VALUE"""),6.0)</f>
        <v>6</v>
      </c>
      <c r="G1078" s="190">
        <f>IFERROR(__xludf.DUMMYFUNCTION("""COMPUTED_VALUE"""),10.0)</f>
        <v>10</v>
      </c>
      <c r="H1078" s="191" t="str">
        <f>IFERROR(__xludf.DUMMYFUNCTION("""COMPUTED_VALUE"""),"After this Attack resolves, create a Zone within the Range of this Attack. Enemies are Vulnerable against Rock Type Attacks while they’re within this Zone. Unless the Weather is Sandstorm, the Zone lasts until you use a Reaction, use an Attack or Faint. S"&amp;"pirit Surge")</f>
        <v>After this Attack resolves, create a Zone within the Range of this Attack. Enemies are Vulnerable against Rock Type Attacks while they’re within this Zone. Unless the Weather is Sandstorm, the Zone lasts until you use a Reaction, use an Attack or Faint. Spirit Surge</v>
      </c>
      <c r="I1078" s="191" t="str">
        <f>IFERROR(__xludf.DUMMYFUNCTION("""COMPUTED_VALUE"""),"--")</f>
        <v>--</v>
      </c>
      <c r="J1078" s="190" t="str">
        <f>IFERROR(__xludf.DUMMYFUNCTION("""COMPUTED_VALUE"""),"Tier 3")</f>
        <v>Tier 3</v>
      </c>
      <c r="K1078" s="174" t="b">
        <f>IFERROR(__xludf.DUMMYFUNCTION("""COMPUTED_VALUE"""),TRUE)</f>
        <v>1</v>
      </c>
      <c r="L1078" s="174"/>
      <c r="M1078" s="174"/>
      <c r="N1078" s="174"/>
      <c r="O1078" s="174"/>
      <c r="P1078" s="174"/>
      <c r="Q1078" s="174"/>
      <c r="R1078" s="174"/>
      <c r="S1078" s="174"/>
      <c r="T1078" s="174"/>
      <c r="U1078" s="174"/>
      <c r="V1078" s="174"/>
      <c r="W1078" s="174"/>
      <c r="X1078" s="174"/>
      <c r="Y1078" s="174"/>
      <c r="Z1078" s="174"/>
    </row>
    <row r="1079">
      <c r="A1079" s="190" t="str">
        <f>IFERROR(__xludf.DUMMYFUNCTION("""COMPUTED_VALUE"""),"Crystal Daggers")</f>
        <v>Crystal Daggers</v>
      </c>
      <c r="B1079" s="190" t="str">
        <f>IFERROR(__xludf.DUMMYFUNCTION("""COMPUTED_VALUE"""),"Rock")</f>
        <v>Rock</v>
      </c>
      <c r="C1079" s="190" t="str">
        <f>IFERROR(__xludf.DUMMYFUNCTION("""COMPUTED_VALUE"""),"Special")</f>
        <v>Special</v>
      </c>
      <c r="D1079" s="190" t="str">
        <f>IFERROR(__xludf.DUMMYFUNCTION("""COMPUTED_VALUE"""),"EOT")</f>
        <v>EOT</v>
      </c>
      <c r="E1079" s="190" t="str">
        <f>IFERROR(__xludf.DUMMYFUNCTION("""COMPUTED_VALUE"""),"6, 1 Target; or 6, 2 Targets")</f>
        <v>6, 1 Target; or 6, 2 Targets</v>
      </c>
      <c r="F1079" s="190">
        <f>IFERROR(__xludf.DUMMYFUNCTION("""COMPUTED_VALUE"""),6.0)</f>
        <v>6</v>
      </c>
      <c r="G1079" s="190">
        <f>IFERROR(__xludf.DUMMYFUNCTION("""COMPUTED_VALUE"""),5.0)</f>
        <v>5</v>
      </c>
      <c r="H1079" s="191" t="str">
        <f>IFERROR(__xludf.DUMMYFUNCTION("""COMPUTED_VALUE"""),"If this Attack only has one Target, it has the Double Strike Keyword. ")</f>
        <v>If this Attack only has one Target, it has the Double Strike Keyword. </v>
      </c>
      <c r="I1079" s="191" t="str">
        <f>IFERROR(__xludf.DUMMYFUNCTION("""COMPUTED_VALUE"""),"--")</f>
        <v>--</v>
      </c>
      <c r="J1079" s="190" t="str">
        <f>IFERROR(__xludf.DUMMYFUNCTION("""COMPUTED_VALUE"""),"Tier 1")</f>
        <v>Tier 1</v>
      </c>
      <c r="K1079" s="174" t="b">
        <f>IFERROR(__xludf.DUMMYFUNCTION("""COMPUTED_VALUE"""),TRUE)</f>
        <v>1</v>
      </c>
      <c r="L1079" s="174"/>
      <c r="M1079" s="174"/>
      <c r="N1079" s="174"/>
      <c r="O1079" s="174"/>
      <c r="P1079" s="174"/>
      <c r="Q1079" s="174"/>
      <c r="R1079" s="174"/>
      <c r="S1079" s="174"/>
      <c r="T1079" s="174"/>
      <c r="U1079" s="174"/>
      <c r="V1079" s="174"/>
      <c r="W1079" s="174"/>
      <c r="X1079" s="174"/>
      <c r="Y1079" s="174"/>
      <c r="Z1079" s="174"/>
    </row>
    <row r="1080">
      <c r="A1080" s="190" t="str">
        <f>IFERROR(__xludf.DUMMYFUNCTION("""COMPUTED_VALUE"""),"Crystal Prison")</f>
        <v>Crystal Prison</v>
      </c>
      <c r="B1080" s="190" t="str">
        <f>IFERROR(__xludf.DUMMYFUNCTION("""COMPUTED_VALUE"""),"Rock")</f>
        <v>Rock</v>
      </c>
      <c r="C1080" s="190" t="str">
        <f>IFERROR(__xludf.DUMMYFUNCTION("""COMPUTED_VALUE"""),"Special")</f>
        <v>Special</v>
      </c>
      <c r="D1080" s="190" t="str">
        <f>IFERROR(__xludf.DUMMYFUNCTION("""COMPUTED_VALUE"""),"Scene x2")</f>
        <v>Scene x2</v>
      </c>
      <c r="E1080" s="190" t="str">
        <f>IFERROR(__xludf.DUMMYFUNCTION("""COMPUTED_VALUE"""),"3, 1 Target")</f>
        <v>3, 1 Target</v>
      </c>
      <c r="F1080" s="190">
        <f>IFERROR(__xludf.DUMMYFUNCTION("""COMPUTED_VALUE"""),4.0)</f>
        <v>4</v>
      </c>
      <c r="G1080" s="190">
        <f>IFERROR(__xludf.DUMMYFUNCTION("""COMPUTED_VALUE"""),10.0)</f>
        <v>10</v>
      </c>
      <c r="H1080" s="191" t="str">
        <f>IFERROR(__xludf.DUMMYFUNCTION("""COMPUTED_VALUE"""),"The Target becomes Trapped. You may destroy two Stealth Rock Hazards within 5m of the Target to make this Attack gain the Spirit Surge Keyword. Smite")</f>
        <v>The Target becomes Trapped. You may destroy two Stealth Rock Hazards within 5m of the Target to make this Attack gain the Spirit Surge Keyword. Smite</v>
      </c>
      <c r="I1080" s="191" t="str">
        <f>IFERROR(__xludf.DUMMYFUNCTION("""COMPUTED_VALUE"""),"--")</f>
        <v>--</v>
      </c>
      <c r="J1080" s="190" t="str">
        <f>IFERROR(__xludf.DUMMYFUNCTION("""COMPUTED_VALUE"""),"Tier 3")</f>
        <v>Tier 3</v>
      </c>
      <c r="K1080" s="174" t="b">
        <f>IFERROR(__xludf.DUMMYFUNCTION("""COMPUTED_VALUE"""),TRUE)</f>
        <v>1</v>
      </c>
      <c r="L1080" s="174"/>
      <c r="M1080" s="174"/>
      <c r="N1080" s="174"/>
      <c r="O1080" s="174"/>
      <c r="P1080" s="174"/>
      <c r="Q1080" s="174"/>
      <c r="R1080" s="174"/>
      <c r="S1080" s="174"/>
      <c r="T1080" s="174"/>
      <c r="U1080" s="174"/>
      <c r="V1080" s="174"/>
      <c r="W1080" s="174"/>
      <c r="X1080" s="174"/>
      <c r="Y1080" s="174"/>
      <c r="Z1080" s="174"/>
    </row>
    <row r="1081">
      <c r="A1081" s="190" t="str">
        <f>IFERROR(__xludf.DUMMYFUNCTION("""COMPUTED_VALUE"""),"Crystal Rupture")</f>
        <v>Crystal Rupture</v>
      </c>
      <c r="B1081" s="190" t="str">
        <f>IFERROR(__xludf.DUMMYFUNCTION("""COMPUTED_VALUE"""),"Rock")</f>
        <v>Rock</v>
      </c>
      <c r="C1081" s="190" t="str">
        <f>IFERROR(__xludf.DUMMYFUNCTION("""COMPUTED_VALUE"""),"Special")</f>
        <v>Special</v>
      </c>
      <c r="D1081" s="190" t="str">
        <f>IFERROR(__xludf.DUMMYFUNCTION("""COMPUTED_VALUE"""),"EOT")</f>
        <v>EOT</v>
      </c>
      <c r="E1081" s="190" t="str">
        <f>IFERROR(__xludf.DUMMYFUNCTION("""COMPUTED_VALUE"""),"Burst 1, Groundsource")</f>
        <v>Burst 1, Groundsource</v>
      </c>
      <c r="F1081" s="190">
        <f>IFERROR(__xludf.DUMMYFUNCTION("""COMPUTED_VALUE"""),5.0)</f>
        <v>5</v>
      </c>
      <c r="G1081" s="190">
        <f>IFERROR(__xludf.DUMMYFUNCTION("""COMPUTED_VALUE"""),6.0)</f>
        <v>6</v>
      </c>
      <c r="H1081" s="191" t="str">
        <f>IFERROR(__xludf.DUMMYFUNCTION("""COMPUTED_VALUE"""),"If the Target is on a Hazard or Rough Terrain, Crystal Rupture has the Sureshot Keyword.")</f>
        <v>If the Target is on a Hazard or Rough Terrain, Crystal Rupture has the Sureshot Keyword.</v>
      </c>
      <c r="I1081" s="191" t="str">
        <f>IFERROR(__xludf.DUMMYFUNCTION("""COMPUTED_VALUE"""),"--")</f>
        <v>--</v>
      </c>
      <c r="J1081" s="190" t="str">
        <f>IFERROR(__xludf.DUMMYFUNCTION("""COMPUTED_VALUE"""),"Tier 1")</f>
        <v>Tier 1</v>
      </c>
      <c r="K1081" s="174" t="b">
        <f>IFERROR(__xludf.DUMMYFUNCTION("""COMPUTED_VALUE"""),TRUE)</f>
        <v>1</v>
      </c>
      <c r="L1081" s="174"/>
      <c r="M1081" s="174"/>
      <c r="N1081" s="174"/>
      <c r="O1081" s="174"/>
      <c r="P1081" s="174"/>
      <c r="Q1081" s="174"/>
      <c r="R1081" s="174"/>
      <c r="S1081" s="174"/>
      <c r="T1081" s="174"/>
      <c r="U1081" s="174"/>
      <c r="V1081" s="174"/>
      <c r="W1081" s="174"/>
      <c r="X1081" s="174"/>
      <c r="Y1081" s="174"/>
      <c r="Z1081" s="174"/>
    </row>
    <row r="1082">
      <c r="A1082" s="190" t="str">
        <f>IFERROR(__xludf.DUMMYFUNCTION("""COMPUTED_VALUE"""),"Crystalize")</f>
        <v>Crystalize</v>
      </c>
      <c r="B1082" s="190" t="str">
        <f>IFERROR(__xludf.DUMMYFUNCTION("""COMPUTED_VALUE"""),"Rock")</f>
        <v>Rock</v>
      </c>
      <c r="C1082" s="190" t="str">
        <f>IFERROR(__xludf.DUMMYFUNCTION("""COMPUTED_VALUE"""),"Status")</f>
        <v>Status</v>
      </c>
      <c r="D1082" s="190" t="str">
        <f>IFERROR(__xludf.DUMMYFUNCTION("""COMPUTED_VALUE"""),"EOT")</f>
        <v>EOT</v>
      </c>
      <c r="E1082" s="190" t="str">
        <f>IFERROR(__xludf.DUMMYFUNCTION("""COMPUTED_VALUE"""),"Self or Melee, 1 Target; Versatile")</f>
        <v>Self or Melee, 1 Target; Versatile</v>
      </c>
      <c r="F1082" s="190" t="str">
        <f>IFERROR(__xludf.DUMMYFUNCTION("""COMPUTED_VALUE"""),"--")</f>
        <v>--</v>
      </c>
      <c r="G1082" s="190" t="str">
        <f>IFERROR(__xludf.DUMMYFUNCTION("""COMPUTED_VALUE"""),"--")</f>
        <v>--</v>
      </c>
      <c r="H1082" s="191" t="str">
        <f>IFERROR(__xludf.DUMMYFUNCTION("""COMPUTED_VALUE"""),"The Target gains +2 CS in Defense. The Target also gains DR equal to your Tick Value until the end of your next Turn.")</f>
        <v>The Target gains +2 CS in Defense. The Target also gains DR equal to your Tick Value until the end of your next Turn.</v>
      </c>
      <c r="I1082" s="191" t="str">
        <f>IFERROR(__xludf.DUMMYFUNCTION("""COMPUTED_VALUE"""),"The Target gains DR equal to your Tick Value until the end of your next Turn.")</f>
        <v>The Target gains DR equal to your Tick Value until the end of your next Turn.</v>
      </c>
      <c r="J1082" s="190" t="str">
        <f>IFERROR(__xludf.DUMMYFUNCTION("""COMPUTED_VALUE"""),"Tier 1")</f>
        <v>Tier 1</v>
      </c>
      <c r="K1082" s="174" t="b">
        <f>IFERROR(__xludf.DUMMYFUNCTION("""COMPUTED_VALUE"""),TRUE)</f>
        <v>1</v>
      </c>
      <c r="L1082" s="174"/>
      <c r="M1082" s="174"/>
      <c r="N1082" s="174"/>
      <c r="O1082" s="174"/>
      <c r="P1082" s="174"/>
      <c r="Q1082" s="174"/>
      <c r="R1082" s="174"/>
      <c r="S1082" s="174"/>
      <c r="T1082" s="174"/>
      <c r="U1082" s="174"/>
      <c r="V1082" s="174"/>
      <c r="W1082" s="174"/>
      <c r="X1082" s="174"/>
      <c r="Y1082" s="174"/>
      <c r="Z1082" s="174"/>
    </row>
    <row r="1083">
      <c r="A1083" s="190" t="str">
        <f>IFERROR(__xludf.DUMMYFUNCTION("""COMPUTED_VALUE"""),"Diamond Dust")</f>
        <v>Diamond Dust</v>
      </c>
      <c r="B1083" s="190" t="str">
        <f>IFERROR(__xludf.DUMMYFUNCTION("""COMPUTED_VALUE"""),"Rock")</f>
        <v>Rock</v>
      </c>
      <c r="C1083" s="190" t="str">
        <f>IFERROR(__xludf.DUMMYFUNCTION("""COMPUTED_VALUE"""),"Status")</f>
        <v>Status</v>
      </c>
      <c r="D1083" s="190" t="str">
        <f>IFERROR(__xludf.DUMMYFUNCTION("""COMPUTED_VALUE"""),"Scene x2")</f>
        <v>Scene x2</v>
      </c>
      <c r="E1083" s="190" t="str">
        <f>IFERROR(__xludf.DUMMYFUNCTION("""COMPUTED_VALUE"""),"Blessing, Versatile, Weather")</f>
        <v>Blessing, Versatile, Weather</v>
      </c>
      <c r="F1083" s="190" t="str">
        <f>IFERROR(__xludf.DUMMYFUNCTION("""COMPUTED_VALUE"""),"--")</f>
        <v>--</v>
      </c>
      <c r="G1083" s="190" t="str">
        <f>IFERROR(__xludf.DUMMYFUNCTION("""COMPUTED_VALUE"""),"--")</f>
        <v>--</v>
      </c>
      <c r="H1083" s="191" t="str">
        <f>IFERROR(__xludf.DUMMYFUNCTION("""COMPUTED_VALUE"""),"Blessing - Any user affected by Diamond Dust may activate it as a Free Action when using a Rock Type Damaging Attack to grant it the Smite Keyword. If the Attack hits, it hits, it is also increased by one damage step. (Max 1.5x Effectiveness). Diamond Dus"&amp;"t may be Activated 3 times and then disappears. While this Blessing persists, the Weather becomes Sandstorm.")</f>
        <v>Blessing - Any user affected by Diamond Dust may activate it as a Free Action when using a Rock Type Damaging Attack to grant it the Smite Keyword. If the Attack hits, it hits, it is also increased by one damage step. (Max 1.5x Effectiveness). Diamond Dust may be Activated 3 times and then disappears. While this Blessing persists, the Weather becomes Sandstorm.</v>
      </c>
      <c r="I1083" s="191" t="str">
        <f>IFERROR(__xludf.DUMMYFUNCTION("""COMPUTED_VALUE"""),"Same as the normal Effect, but it only has 1 Activation.")</f>
        <v>Same as the normal Effect, but it only has 1 Activation.</v>
      </c>
      <c r="J1083" s="190" t="str">
        <f>IFERROR(__xludf.DUMMYFUNCTION("""COMPUTED_VALUE"""),"Tier 2")</f>
        <v>Tier 2</v>
      </c>
      <c r="K1083" s="174" t="b">
        <f>IFERROR(__xludf.DUMMYFUNCTION("""COMPUTED_VALUE"""),TRUE)</f>
        <v>1</v>
      </c>
      <c r="L1083" s="174"/>
      <c r="M1083" s="174"/>
      <c r="N1083" s="174"/>
      <c r="O1083" s="174"/>
      <c r="P1083" s="174"/>
      <c r="Q1083" s="174"/>
      <c r="R1083" s="174"/>
      <c r="S1083" s="174"/>
      <c r="T1083" s="174"/>
      <c r="U1083" s="174"/>
      <c r="V1083" s="174"/>
      <c r="W1083" s="174"/>
      <c r="X1083" s="174"/>
      <c r="Y1083" s="174"/>
      <c r="Z1083" s="174"/>
    </row>
    <row r="1084">
      <c r="A1084" s="190" t="str">
        <f>IFERROR(__xludf.DUMMYFUNCTION("""COMPUTED_VALUE"""),"Fossilize")</f>
        <v>Fossilize</v>
      </c>
      <c r="B1084" s="190" t="str">
        <f>IFERROR(__xludf.DUMMYFUNCTION("""COMPUTED_VALUE"""),"Rock")</f>
        <v>Rock</v>
      </c>
      <c r="C1084" s="190" t="str">
        <f>IFERROR(__xludf.DUMMYFUNCTION("""COMPUTED_VALUE"""),"Status")</f>
        <v>Status</v>
      </c>
      <c r="D1084" s="190" t="str">
        <f>IFERROR(__xludf.DUMMYFUNCTION("""COMPUTED_VALUE"""),"Scene x2")</f>
        <v>Scene x2</v>
      </c>
      <c r="E1084" s="190" t="str">
        <f>IFERROR(__xludf.DUMMYFUNCTION("""COMPUTED_VALUE"""),"Melee, 1 Target, Versatile, Coat")</f>
        <v>Melee, 1 Target, Versatile, Coat</v>
      </c>
      <c r="F1084" s="190" t="str">
        <f>IFERROR(__xludf.DUMMYFUNCTION("""COMPUTED_VALUE"""),"--")</f>
        <v>--</v>
      </c>
      <c r="G1084" s="190" t="str">
        <f>IFERROR(__xludf.DUMMYFUNCTION("""COMPUTED_VALUE"""),"--")</f>
        <v>--</v>
      </c>
      <c r="H1084" s="191" t="str">
        <f>IFERROR(__xludf.DUMMYFUNCTION("""COMPUTED_VALUE"""),"The Target gains a Fossilized Coat. While affected by a Fossilzed Coat, the affected Ally may use the user's Defense Stat when calculating Damage or Evasion against Physical Attacks. As a Reaction, you may reduce the damage effectiveness of a Physical Att"&amp;"ack by one step, then after the Attack resolves, the Fossilized Coat is expended. ")</f>
        <v>The Target gains a Fossilized Coat. While affected by a Fossilzed Coat, the affected Ally may use the user's Defense Stat when calculating Damage or Evasion against Physical Attacks. As a Reaction, you may reduce the damage effectiveness of a Physical Attack by one step, then after the Attack resolves, the Fossilized Coat is expended. </v>
      </c>
      <c r="I1084" s="191" t="str">
        <f>IFERROR(__xludf.DUMMYFUNCTION("""COMPUTED_VALUE"""),"Same as the normal Effects but it cannot be expended by its listed methods and the Coat is expended after resolving a Physical Attack the Target is hit by.")</f>
        <v>Same as the normal Effects but it cannot be expended by its listed methods and the Coat is expended after resolving a Physical Attack the Target is hit by.</v>
      </c>
      <c r="J1084" s="190" t="str">
        <f>IFERROR(__xludf.DUMMYFUNCTION("""COMPUTED_VALUE"""),"Tier 2")</f>
        <v>Tier 2</v>
      </c>
      <c r="K1084" s="174" t="b">
        <f>IFERROR(__xludf.DUMMYFUNCTION("""COMPUTED_VALUE"""),TRUE)</f>
        <v>1</v>
      </c>
      <c r="L1084" s="174"/>
      <c r="M1084" s="174"/>
      <c r="N1084" s="174"/>
      <c r="O1084" s="174"/>
      <c r="P1084" s="174"/>
      <c r="Q1084" s="174"/>
      <c r="R1084" s="174"/>
      <c r="S1084" s="174"/>
      <c r="T1084" s="174"/>
      <c r="U1084" s="174"/>
      <c r="V1084" s="174"/>
      <c r="W1084" s="174"/>
      <c r="X1084" s="174"/>
      <c r="Y1084" s="174"/>
      <c r="Z1084" s="174"/>
    </row>
    <row r="1085">
      <c r="A1085" s="190" t="str">
        <f>IFERROR(__xludf.DUMMYFUNCTION("""COMPUTED_VALUE"""),"Geode Beam")</f>
        <v>Geode Beam</v>
      </c>
      <c r="B1085" s="190" t="str">
        <f>IFERROR(__xludf.DUMMYFUNCTION("""COMPUTED_VALUE"""),"Rock")</f>
        <v>Rock</v>
      </c>
      <c r="C1085" s="190" t="str">
        <f>IFERROR(__xludf.DUMMYFUNCTION("""COMPUTED_VALUE"""),"Special")</f>
        <v>Special</v>
      </c>
      <c r="D1085" s="190" t="str">
        <f>IFERROR(__xludf.DUMMYFUNCTION("""COMPUTED_VALUE"""),"EOT")</f>
        <v>EOT</v>
      </c>
      <c r="E1085" s="190" t="str">
        <f>IFERROR(__xludf.DUMMYFUNCTION("""COMPUTED_VALUE"""),"6, 1 Target")</f>
        <v>6, 1 Target</v>
      </c>
      <c r="F1085" s="190">
        <f>IFERROR(__xludf.DUMMYFUNCTION("""COMPUTED_VALUE"""),4.0)</f>
        <v>4</v>
      </c>
      <c r="G1085" s="190">
        <f>IFERROR(__xludf.DUMMYFUNCTION("""COMPUTED_VALUE"""),9.0)</f>
        <v>9</v>
      </c>
      <c r="H1085" s="191" t="str">
        <f>IFERROR(__xludf.DUMMYFUNCTION("""COMPUTED_VALUE"""),"On a roll of 18+, the Target becomes Wounded. Smite")</f>
        <v>On a roll of 18+, the Target becomes Wounded. Smite</v>
      </c>
      <c r="I1085" s="191" t="str">
        <f>IFERROR(__xludf.DUMMYFUNCTION("""COMPUTED_VALUE"""),"--")</f>
        <v>--</v>
      </c>
      <c r="J1085" s="190" t="str">
        <f>IFERROR(__xludf.DUMMYFUNCTION("""COMPUTED_VALUE"""),"Tier 2")</f>
        <v>Tier 2</v>
      </c>
      <c r="K1085" s="174" t="b">
        <f>IFERROR(__xludf.DUMMYFUNCTION("""COMPUTED_VALUE"""),TRUE)</f>
        <v>1</v>
      </c>
      <c r="L1085" s="174"/>
      <c r="M1085" s="174"/>
      <c r="N1085" s="174"/>
      <c r="O1085" s="174"/>
      <c r="P1085" s="174"/>
      <c r="Q1085" s="174"/>
      <c r="R1085" s="174"/>
      <c r="S1085" s="174"/>
      <c r="T1085" s="174"/>
      <c r="U1085" s="174"/>
      <c r="V1085" s="174"/>
      <c r="W1085" s="174"/>
      <c r="X1085" s="174"/>
      <c r="Y1085" s="174"/>
      <c r="Z1085" s="174"/>
    </row>
    <row r="1086">
      <c r="A1086" s="190" t="str">
        <f>IFERROR(__xludf.DUMMYFUNCTION("""COMPUTED_VALUE"""),"Gleaming Ore")</f>
        <v>Gleaming Ore</v>
      </c>
      <c r="B1086" s="190" t="str">
        <f>IFERROR(__xludf.DUMMYFUNCTION("""COMPUTED_VALUE"""),"Rock")</f>
        <v>Rock</v>
      </c>
      <c r="C1086" s="190" t="str">
        <f>IFERROR(__xludf.DUMMYFUNCTION("""COMPUTED_VALUE"""),"Special")</f>
        <v>Special</v>
      </c>
      <c r="D1086" s="190" t="str">
        <f>IFERROR(__xludf.DUMMYFUNCTION("""COMPUTED_VALUE"""),"EOT")</f>
        <v>EOT</v>
      </c>
      <c r="E1086" s="190" t="str">
        <f>IFERROR(__xludf.DUMMYFUNCTION("""COMPUTED_VALUE"""),"Close Blast 2")</f>
        <v>Close Blast 2</v>
      </c>
      <c r="F1086" s="190">
        <f>IFERROR(__xludf.DUMMYFUNCTION("""COMPUTED_VALUE"""),6.0)</f>
        <v>6</v>
      </c>
      <c r="G1086" s="190">
        <f>IFERROR(__xludf.DUMMYFUNCTION("""COMPUTED_VALUE"""),8.0)</f>
        <v>8</v>
      </c>
      <c r="H1086" s="191" t="str">
        <f>IFERROR(__xludf.DUMMYFUNCTION("""COMPUTED_VALUE"""),"If the Weather is Sandstorm or on a Miss, the Target has a -2 Penalty to Accuracy until the end of their next Turn. Spirit Surge")</f>
        <v>If the Weather is Sandstorm or on a Miss, the Target has a -2 Penalty to Accuracy until the end of their next Turn. Spirit Surge</v>
      </c>
      <c r="I1086" s="191" t="str">
        <f>IFERROR(__xludf.DUMMYFUNCTION("""COMPUTED_VALUE"""),"--")</f>
        <v>--</v>
      </c>
      <c r="J1086" s="190" t="str">
        <f>IFERROR(__xludf.DUMMYFUNCTION("""COMPUTED_VALUE"""),"Tier 2")</f>
        <v>Tier 2</v>
      </c>
      <c r="K1086" s="174" t="b">
        <f>IFERROR(__xludf.DUMMYFUNCTION("""COMPUTED_VALUE"""),TRUE)</f>
        <v>1</v>
      </c>
      <c r="L1086" s="174"/>
      <c r="M1086" s="174"/>
      <c r="N1086" s="174"/>
      <c r="O1086" s="174"/>
      <c r="P1086" s="174"/>
      <c r="Q1086" s="174"/>
      <c r="R1086" s="174"/>
      <c r="S1086" s="174"/>
      <c r="T1086" s="174"/>
      <c r="U1086" s="174"/>
      <c r="V1086" s="174"/>
      <c r="W1086" s="174"/>
      <c r="X1086" s="174"/>
      <c r="Y1086" s="174"/>
      <c r="Z1086" s="174"/>
    </row>
    <row r="1087">
      <c r="A1087" s="190" t="str">
        <f>IFERROR(__xludf.DUMMYFUNCTION("""COMPUTED_VALUE"""),"Head Smash")</f>
        <v>Head Smash</v>
      </c>
      <c r="B1087" s="190" t="str">
        <f>IFERROR(__xludf.DUMMYFUNCTION("""COMPUTED_VALUE"""),"Rock")</f>
        <v>Rock</v>
      </c>
      <c r="C1087" s="190" t="str">
        <f>IFERROR(__xludf.DUMMYFUNCTION("""COMPUTED_VALUE"""),"Physical")</f>
        <v>Physical</v>
      </c>
      <c r="D1087" s="190" t="str">
        <f>IFERROR(__xludf.DUMMYFUNCTION("""COMPUTED_VALUE"""),"Scene")</f>
        <v>Scene</v>
      </c>
      <c r="E1087" s="190" t="str">
        <f>IFERROR(__xludf.DUMMYFUNCTION("""COMPUTED_VALUE"""),"Melee, 1 Target, Full Action, Dash, Recoil 1/3")</f>
        <v>Melee, 1 Target, Full Action, Dash, Recoil 1/3</v>
      </c>
      <c r="F1087" s="190">
        <f>IFERROR(__xludf.DUMMYFUNCTION("""COMPUTED_VALUE"""),5.0)</f>
        <v>5</v>
      </c>
      <c r="G1087" s="190">
        <f>IFERROR(__xludf.DUMMYFUNCTION("""COMPUTED_VALUE"""),15.0)</f>
        <v>15</v>
      </c>
      <c r="H1087" s="191" t="str">
        <f>IFERROR(__xludf.DUMMYFUNCTION("""COMPUTED_VALUE"""),"If the Dash Keyword is Activated, the Target cannot apply Physical Evasion against this Attack. Slide 3 (Away).")</f>
        <v>If the Dash Keyword is Activated, the Target cannot apply Physical Evasion against this Attack. Slide 3 (Away).</v>
      </c>
      <c r="I1087" s="191" t="str">
        <f>IFERROR(__xludf.DUMMYFUNCTION("""COMPUTED_VALUE"""),"--")</f>
        <v>--</v>
      </c>
      <c r="J1087" s="190" t="str">
        <f>IFERROR(__xludf.DUMMYFUNCTION("""COMPUTED_VALUE"""),"Tier 3")</f>
        <v>Tier 3</v>
      </c>
      <c r="K1087" s="174" t="b">
        <f>IFERROR(__xludf.DUMMYFUNCTION("""COMPUTED_VALUE"""),TRUE)</f>
        <v>1</v>
      </c>
      <c r="L1087" s="174"/>
      <c r="M1087" s="174"/>
      <c r="N1087" s="174"/>
      <c r="O1087" s="174"/>
      <c r="P1087" s="174"/>
      <c r="Q1087" s="174"/>
      <c r="R1087" s="174"/>
      <c r="S1087" s="174"/>
      <c r="T1087" s="174"/>
      <c r="U1087" s="174"/>
      <c r="V1087" s="174"/>
      <c r="W1087" s="174"/>
      <c r="X1087" s="174"/>
      <c r="Y1087" s="174"/>
      <c r="Z1087" s="174"/>
    </row>
    <row r="1088">
      <c r="A1088" s="190" t="str">
        <f>IFERROR(__xludf.DUMMYFUNCTION("""COMPUTED_VALUE"""),"Meteor Beam")</f>
        <v>Meteor Beam</v>
      </c>
      <c r="B1088" s="190" t="str">
        <f>IFERROR(__xludf.DUMMYFUNCTION("""COMPUTED_VALUE"""),"Rock")</f>
        <v>Rock</v>
      </c>
      <c r="C1088" s="190" t="str">
        <f>IFERROR(__xludf.DUMMYFUNCTION("""COMPUTED_VALUE"""),"Special")</f>
        <v>Special</v>
      </c>
      <c r="D1088" s="190" t="str">
        <f>IFERROR(__xludf.DUMMYFUNCTION("""COMPUTED_VALUE"""),"Scene")</f>
        <v>Scene</v>
      </c>
      <c r="E1088" s="190" t="str">
        <f>IFERROR(__xludf.DUMMYFUNCTION("""COMPUTED_VALUE"""),"8, Ranged Blast X, Set-Up")</f>
        <v>8, Ranged Blast X, Set-Up</v>
      </c>
      <c r="F1088" s="190">
        <f>IFERROR(__xludf.DUMMYFUNCTION("""COMPUTED_VALUE"""),5.0)</f>
        <v>5</v>
      </c>
      <c r="G1088" s="190">
        <f>IFERROR(__xludf.DUMMYFUNCTION("""COMPUTED_VALUE"""),10.0)</f>
        <v>10</v>
      </c>
      <c r="H1088" s="191" t="str">
        <f>IFERROR(__xludf.DUMMYFUNCTION("""COMPUTED_VALUE"""),"Charge Effect: If the Weather is Rainy, you cannot use this Charge Effect. If the Weather is Sandstorm, you instead gain 2 Charge Tokens. 
Resolution Effect: X is equal to 1 plus the number of Charge Tokens you expend. Smite")</f>
        <v>Charge Effect: If the Weather is Rainy, you cannot use this Charge Effect. If the Weather is Sandstorm, you instead gain 2 Charge Tokens. 
Resolution Effect: X is equal to 1 plus the number of Charge Tokens you expend. Smite</v>
      </c>
      <c r="I1088" s="191" t="str">
        <f>IFERROR(__xludf.DUMMYFUNCTION("""COMPUTED_VALUE"""),"--")</f>
        <v>--</v>
      </c>
      <c r="J1088" s="190" t="str">
        <f>IFERROR(__xludf.DUMMYFUNCTION("""COMPUTED_VALUE"""),"Tier 3")</f>
        <v>Tier 3</v>
      </c>
      <c r="K1088" s="174" t="b">
        <f>IFERROR(__xludf.DUMMYFUNCTION("""COMPUTED_VALUE"""),TRUE)</f>
        <v>1</v>
      </c>
      <c r="L1088" s="174"/>
      <c r="M1088" s="174"/>
      <c r="N1088" s="174"/>
      <c r="O1088" s="174"/>
      <c r="P1088" s="174"/>
      <c r="Q1088" s="174"/>
      <c r="R1088" s="174"/>
      <c r="S1088" s="174"/>
      <c r="T1088" s="174"/>
      <c r="U1088" s="174"/>
      <c r="V1088" s="174"/>
      <c r="W1088" s="174"/>
      <c r="X1088" s="174"/>
      <c r="Y1088" s="174"/>
      <c r="Z1088" s="174"/>
    </row>
    <row r="1089">
      <c r="A1089" s="190" t="str">
        <f>IFERROR(__xludf.DUMMYFUNCTION("""COMPUTED_VALUE"""),"Meteor Shower")</f>
        <v>Meteor Shower</v>
      </c>
      <c r="B1089" s="190" t="str">
        <f>IFERROR(__xludf.DUMMYFUNCTION("""COMPUTED_VALUE"""),"Rock")</f>
        <v>Rock</v>
      </c>
      <c r="C1089" s="190" t="str">
        <f>IFERROR(__xludf.DUMMYFUNCTION("""COMPUTED_VALUE"""),"Special")</f>
        <v>Special</v>
      </c>
      <c r="D1089" s="190" t="str">
        <f>IFERROR(__xludf.DUMMYFUNCTION("""COMPUTED_VALUE"""),"Scene x2")</f>
        <v>Scene x2</v>
      </c>
      <c r="E1089" s="190" t="str">
        <f>IFERROR(__xludf.DUMMYFUNCTION("""COMPUTED_VALUE"""),"8, Ranged Blast 3, Full Action")</f>
        <v>8, Ranged Blast 3, Full Action</v>
      </c>
      <c r="F1089" s="190">
        <f>IFERROR(__xludf.DUMMYFUNCTION("""COMPUTED_VALUE"""),6.0)</f>
        <v>6</v>
      </c>
      <c r="G1089" s="190">
        <f>IFERROR(__xludf.DUMMYFUNCTION("""COMPUTED_VALUE"""),10.0)</f>
        <v>10</v>
      </c>
      <c r="H1089" s="191" t="str">
        <f>IFERROR(__xludf.DUMMYFUNCTION("""COMPUTED_VALUE"""),"After the Attack's Resolution, you may create a 3x3 Zone in the Range of the Attack. At the end of each subsequent Round, you must use Meteor Shower against all Combatants in this Zone as a Free Action, but they resist it an additional damage step. You ma"&amp;"y remove the Zone as a Swift Action. Spirit Surge. Smite")</f>
        <v>After the Attack's Resolution, you may create a 3x3 Zone in the Range of the Attack. At the end of each subsequent Round, you must use Meteor Shower against all Combatants in this Zone as a Free Action, but they resist it an additional damage step. You may remove the Zone as a Swift Action. Spirit Surge. Smite</v>
      </c>
      <c r="I1089" s="191" t="str">
        <f>IFERROR(__xludf.DUMMYFUNCTION("""COMPUTED_VALUE"""),"--")</f>
        <v>--</v>
      </c>
      <c r="J1089" s="190" t="str">
        <f>IFERROR(__xludf.DUMMYFUNCTION("""COMPUTED_VALUE"""),"Tier 3")</f>
        <v>Tier 3</v>
      </c>
      <c r="K1089" s="174" t="b">
        <f>IFERROR(__xludf.DUMMYFUNCTION("""COMPUTED_VALUE"""),TRUE)</f>
        <v>1</v>
      </c>
      <c r="L1089" s="174"/>
      <c r="M1089" s="174"/>
      <c r="N1089" s="174"/>
      <c r="O1089" s="174"/>
      <c r="P1089" s="174"/>
      <c r="Q1089" s="174"/>
      <c r="R1089" s="174"/>
      <c r="S1089" s="174"/>
      <c r="T1089" s="174"/>
      <c r="U1089" s="174"/>
      <c r="V1089" s="174"/>
      <c r="W1089" s="174"/>
      <c r="X1089" s="174"/>
      <c r="Y1089" s="174"/>
      <c r="Z1089" s="174"/>
    </row>
    <row r="1090">
      <c r="A1090" s="190" t="str">
        <f>IFERROR(__xludf.DUMMYFUNCTION("""COMPUTED_VALUE"""),"Power Gem")</f>
        <v>Power Gem</v>
      </c>
      <c r="B1090" s="190" t="str">
        <f>IFERROR(__xludf.DUMMYFUNCTION("""COMPUTED_VALUE"""),"Rock")</f>
        <v>Rock</v>
      </c>
      <c r="C1090" s="190" t="str">
        <f>IFERROR(__xludf.DUMMYFUNCTION("""COMPUTED_VALUE"""),"Special")</f>
        <v>Special</v>
      </c>
      <c r="D1090" s="190" t="str">
        <f>IFERROR(__xludf.DUMMYFUNCTION("""COMPUTED_VALUE"""),"At-Will")</f>
        <v>At-Will</v>
      </c>
      <c r="E1090" s="190" t="str">
        <f>IFERROR(__xludf.DUMMYFUNCTION("""COMPUTED_VALUE"""),"6, 1 Target")</f>
        <v>6, 1 Target</v>
      </c>
      <c r="F1090" s="190">
        <f>IFERROR(__xludf.DUMMYFUNCTION("""COMPUTED_VALUE"""),4.0)</f>
        <v>4</v>
      </c>
      <c r="G1090" s="190">
        <f>IFERROR(__xludf.DUMMYFUNCTION("""COMPUTED_VALUE"""),8.0)</f>
        <v>8</v>
      </c>
      <c r="H1090" s="191" t="str">
        <f>IFERROR(__xludf.DUMMYFUNCTION("""COMPUTED_VALUE"""),"If the Weather is Sandstorm, this ignores Special Evasion.")</f>
        <v>If the Weather is Sandstorm, this ignores Special Evasion.</v>
      </c>
      <c r="I1090" s="191" t="str">
        <f>IFERROR(__xludf.DUMMYFUNCTION("""COMPUTED_VALUE"""),"--")</f>
        <v>--</v>
      </c>
      <c r="J1090" s="190" t="str">
        <f>IFERROR(__xludf.DUMMYFUNCTION("""COMPUTED_VALUE"""),"Tier 2")</f>
        <v>Tier 2</v>
      </c>
      <c r="K1090" s="174" t="b">
        <f>IFERROR(__xludf.DUMMYFUNCTION("""COMPUTED_VALUE"""),TRUE)</f>
        <v>1</v>
      </c>
      <c r="L1090" s="174"/>
      <c r="M1090" s="174"/>
      <c r="N1090" s="174"/>
      <c r="O1090" s="174"/>
      <c r="P1090" s="174"/>
      <c r="Q1090" s="174"/>
      <c r="R1090" s="174"/>
      <c r="S1090" s="174"/>
      <c r="T1090" s="174"/>
      <c r="U1090" s="174"/>
      <c r="V1090" s="174"/>
      <c r="W1090" s="174"/>
      <c r="X1090" s="174"/>
      <c r="Y1090" s="174"/>
      <c r="Z1090" s="174"/>
    </row>
    <row r="1091">
      <c r="A1091" s="190" t="str">
        <f>IFERROR(__xludf.DUMMYFUNCTION("""COMPUTED_VALUE"""),"Rock Blast")</f>
        <v>Rock Blast</v>
      </c>
      <c r="B1091" s="190" t="str">
        <f>IFERROR(__xludf.DUMMYFUNCTION("""COMPUTED_VALUE"""),"Rock")</f>
        <v>Rock</v>
      </c>
      <c r="C1091" s="190" t="str">
        <f>IFERROR(__xludf.DUMMYFUNCTION("""COMPUTED_VALUE"""),"Physical")</f>
        <v>Physical</v>
      </c>
      <c r="D1091" s="190" t="str">
        <f>IFERROR(__xludf.DUMMYFUNCTION("""COMPUTED_VALUE"""),"EOT")</f>
        <v>EOT</v>
      </c>
      <c r="E1091" s="190" t="str">
        <f>IFERROR(__xludf.DUMMYFUNCTION("""COMPUTED_VALUE"""),"6, 1 Target")</f>
        <v>6, 1 Target</v>
      </c>
      <c r="F1091" s="190">
        <f>IFERROR(__xludf.DUMMYFUNCTION("""COMPUTED_VALUE"""),5.0)</f>
        <v>5</v>
      </c>
      <c r="G1091" s="190">
        <f>IFERROR(__xludf.DUMMYFUNCTION("""COMPUTED_VALUE"""),4.0)</f>
        <v>4</v>
      </c>
      <c r="H1091" s="191" t="str">
        <f>IFERROR(__xludf.DUMMYFUNCTION("""COMPUTED_VALUE"""),"If Rock Blast hits at least 4 times, the Target becomes Wounded. Five Strike")</f>
        <v>If Rock Blast hits at least 4 times, the Target becomes Wounded. Five Strike</v>
      </c>
      <c r="I1091" s="191" t="str">
        <f>IFERROR(__xludf.DUMMYFUNCTION("""COMPUTED_VALUE"""),"--")</f>
        <v>--</v>
      </c>
      <c r="J1091" s="190" t="str">
        <f>IFERROR(__xludf.DUMMYFUNCTION("""COMPUTED_VALUE"""),"Tier 1")</f>
        <v>Tier 1</v>
      </c>
      <c r="K1091" s="174" t="b">
        <f>IFERROR(__xludf.DUMMYFUNCTION("""COMPUTED_VALUE"""),TRUE)</f>
        <v>1</v>
      </c>
      <c r="L1091" s="174"/>
      <c r="M1091" s="174"/>
      <c r="N1091" s="174"/>
      <c r="O1091" s="174"/>
      <c r="P1091" s="174"/>
      <c r="Q1091" s="174"/>
      <c r="R1091" s="174"/>
      <c r="S1091" s="174"/>
      <c r="T1091" s="174"/>
      <c r="U1091" s="174"/>
      <c r="V1091" s="174"/>
      <c r="W1091" s="174"/>
      <c r="X1091" s="174"/>
      <c r="Y1091" s="174"/>
      <c r="Z1091" s="174"/>
    </row>
    <row r="1092">
      <c r="A1092" s="190" t="str">
        <f>IFERROR(__xludf.DUMMYFUNCTION("""COMPUTED_VALUE"""),"Rock Polish")</f>
        <v>Rock Polish</v>
      </c>
      <c r="B1092" s="190" t="str">
        <f>IFERROR(__xludf.DUMMYFUNCTION("""COMPUTED_VALUE"""),"Rock")</f>
        <v>Rock</v>
      </c>
      <c r="C1092" s="190" t="str">
        <f>IFERROR(__xludf.DUMMYFUNCTION("""COMPUTED_VALUE"""),"Status")</f>
        <v>Status</v>
      </c>
      <c r="D1092" s="190" t="str">
        <f>IFERROR(__xludf.DUMMYFUNCTION("""COMPUTED_VALUE"""),"EOT")</f>
        <v>EOT</v>
      </c>
      <c r="E1092" s="190" t="str">
        <f>IFERROR(__xludf.DUMMYFUNCTION("""COMPUTED_VALUE"""),"Self, Versatile")</f>
        <v>Self, Versatile</v>
      </c>
      <c r="F1092" s="190" t="str">
        <f>IFERROR(__xludf.DUMMYFUNCTION("""COMPUTED_VALUE"""),"--")</f>
        <v>--</v>
      </c>
      <c r="G1092" s="190" t="str">
        <f>IFERROR(__xludf.DUMMYFUNCTION("""COMPUTED_VALUE"""),"--")</f>
        <v>--</v>
      </c>
      <c r="H1092" s="191" t="str">
        <f>IFERROR(__xludf.DUMMYFUNCTION("""COMPUTED_VALUE"""),"Choose two different Effects to apply to the user: The user gains +2 CS in Defense. The user gains +2 CS in Speed. The user is cured of a Physical Affliction.")</f>
        <v>Choose two different Effects to apply to the user: The user gains +2 CS in Defense. The user gains +2 CS in Speed. The user is cured of a Physical Affliction.</v>
      </c>
      <c r="I1092" s="191" t="str">
        <f>IFERROR(__xludf.DUMMYFUNCTION("""COMPUTED_VALUE"""),"If the user has a Physical Status Affliction, they gain +3 to their next Save Check.")</f>
        <v>If the user has a Physical Status Affliction, they gain +3 to their next Save Check.</v>
      </c>
      <c r="J1092" s="190" t="str">
        <f>IFERROR(__xludf.DUMMYFUNCTION("""COMPUTED_VALUE"""),"Tier 1")</f>
        <v>Tier 1</v>
      </c>
      <c r="K1092" s="174" t="b">
        <f>IFERROR(__xludf.DUMMYFUNCTION("""COMPUTED_VALUE"""),TRUE)</f>
        <v>1</v>
      </c>
      <c r="L1092" s="174"/>
      <c r="M1092" s="174"/>
      <c r="N1092" s="174"/>
      <c r="O1092" s="174"/>
      <c r="P1092" s="174"/>
      <c r="Q1092" s="174"/>
      <c r="R1092" s="174"/>
      <c r="S1092" s="174"/>
      <c r="T1092" s="174"/>
      <c r="U1092" s="174"/>
      <c r="V1092" s="174"/>
      <c r="W1092" s="174"/>
      <c r="X1092" s="174"/>
      <c r="Y1092" s="174"/>
      <c r="Z1092" s="174"/>
    </row>
    <row r="1093">
      <c r="A1093" s="190" t="str">
        <f>IFERROR(__xludf.DUMMYFUNCTION("""COMPUTED_VALUE"""),"Rock Slide")</f>
        <v>Rock Slide</v>
      </c>
      <c r="B1093" s="190" t="str">
        <f>IFERROR(__xludf.DUMMYFUNCTION("""COMPUTED_VALUE"""),"Rock")</f>
        <v>Rock</v>
      </c>
      <c r="C1093" s="190" t="str">
        <f>IFERROR(__xludf.DUMMYFUNCTION("""COMPUTED_VALUE"""),"Physical")</f>
        <v>Physical</v>
      </c>
      <c r="D1093" s="190" t="str">
        <f>IFERROR(__xludf.DUMMYFUNCTION("""COMPUTED_VALUE"""),"Scene x2")</f>
        <v>Scene x2</v>
      </c>
      <c r="E1093" s="190" t="str">
        <f>IFERROR(__xludf.DUMMYFUNCTION("""COMPUTED_VALUE"""),"6, Ranged Blast 3, Full Action")</f>
        <v>6, Ranged Blast 3, Full Action</v>
      </c>
      <c r="F1093" s="190">
        <f>IFERROR(__xludf.DUMMYFUNCTION("""COMPUTED_VALUE"""),6.0)</f>
        <v>6</v>
      </c>
      <c r="G1093" s="190">
        <f>IFERROR(__xludf.DUMMYFUNCTION("""COMPUTED_VALUE"""),8.0)</f>
        <v>8</v>
      </c>
      <c r="H1093" s="191" t="str">
        <f>IFERROR(__xludf.DUMMYFUNCTION("""COMPUTED_VALUE"""),"If the user is in Mountain or Cave Terrain, Rock Slide has the Sureshot Keyword. Smite")</f>
        <v>If the user is in Mountain or Cave Terrain, Rock Slide has the Sureshot Keyword. Smite</v>
      </c>
      <c r="I1093" s="191" t="str">
        <f>IFERROR(__xludf.DUMMYFUNCTION("""COMPUTED_VALUE"""),"--")</f>
        <v>--</v>
      </c>
      <c r="J1093" s="190" t="str">
        <f>IFERROR(__xludf.DUMMYFUNCTION("""COMPUTED_VALUE"""),"Tier 2")</f>
        <v>Tier 2</v>
      </c>
      <c r="K1093" s="174" t="b">
        <f>IFERROR(__xludf.DUMMYFUNCTION("""COMPUTED_VALUE"""),TRUE)</f>
        <v>1</v>
      </c>
      <c r="L1093" s="174"/>
      <c r="M1093" s="174"/>
      <c r="N1093" s="174"/>
      <c r="O1093" s="174"/>
      <c r="P1093" s="174"/>
      <c r="Q1093" s="174"/>
      <c r="R1093" s="174"/>
      <c r="S1093" s="174"/>
      <c r="T1093" s="174"/>
      <c r="U1093" s="174"/>
      <c r="V1093" s="174"/>
      <c r="W1093" s="174"/>
      <c r="X1093" s="174"/>
      <c r="Y1093" s="174"/>
      <c r="Z1093" s="174"/>
    </row>
    <row r="1094">
      <c r="A1094" s="190" t="str">
        <f>IFERROR(__xludf.DUMMYFUNCTION("""COMPUTED_VALUE"""),"Rock Throw")</f>
        <v>Rock Throw</v>
      </c>
      <c r="B1094" s="190" t="str">
        <f>IFERROR(__xludf.DUMMYFUNCTION("""COMPUTED_VALUE"""),"Rock")</f>
        <v>Rock</v>
      </c>
      <c r="C1094" s="190" t="str">
        <f>IFERROR(__xludf.DUMMYFUNCTION("""COMPUTED_VALUE"""),"Physical")</f>
        <v>Physical</v>
      </c>
      <c r="D1094" s="190" t="str">
        <f>IFERROR(__xludf.DUMMYFUNCTION("""COMPUTED_VALUE"""),"At-Will")</f>
        <v>At-Will</v>
      </c>
      <c r="E1094" s="190" t="str">
        <f>IFERROR(__xludf.DUMMYFUNCTION("""COMPUTED_VALUE"""),"6, 1 Target")</f>
        <v>6, 1 Target</v>
      </c>
      <c r="F1094" s="190">
        <f>IFERROR(__xludf.DUMMYFUNCTION("""COMPUTED_VALUE"""),3.0)</f>
        <v>3</v>
      </c>
      <c r="G1094" s="190">
        <f>IFERROR(__xludf.DUMMYFUNCTION("""COMPUTED_VALUE"""),5.0)</f>
        <v>5</v>
      </c>
      <c r="H1094" s="191" t="str">
        <f>IFERROR(__xludf.DUMMYFUNCTION("""COMPUTED_VALUE"""),"Smite")</f>
        <v>Smite</v>
      </c>
      <c r="I1094" s="191" t="str">
        <f>IFERROR(__xludf.DUMMYFUNCTION("""COMPUTED_VALUE"""),"--")</f>
        <v>--</v>
      </c>
      <c r="J1094" s="190" t="str">
        <f>IFERROR(__xludf.DUMMYFUNCTION("""COMPUTED_VALUE"""),"Tier 1")</f>
        <v>Tier 1</v>
      </c>
      <c r="K1094" s="174" t="b">
        <f>IFERROR(__xludf.DUMMYFUNCTION("""COMPUTED_VALUE"""),TRUE)</f>
        <v>1</v>
      </c>
      <c r="L1094" s="174"/>
      <c r="M1094" s="174"/>
      <c r="N1094" s="174"/>
      <c r="O1094" s="174"/>
      <c r="P1094" s="174"/>
      <c r="Q1094" s="174"/>
      <c r="R1094" s="174"/>
      <c r="S1094" s="174"/>
      <c r="T1094" s="174"/>
      <c r="U1094" s="174"/>
      <c r="V1094" s="174"/>
      <c r="W1094" s="174"/>
      <c r="X1094" s="174"/>
      <c r="Y1094" s="174"/>
      <c r="Z1094" s="174"/>
    </row>
    <row r="1095">
      <c r="A1095" s="190" t="str">
        <f>IFERROR(__xludf.DUMMYFUNCTION("""COMPUTED_VALUE"""),"Rock Tomb")</f>
        <v>Rock Tomb</v>
      </c>
      <c r="B1095" s="190" t="str">
        <f>IFERROR(__xludf.DUMMYFUNCTION("""COMPUTED_VALUE"""),"Rock")</f>
        <v>Rock</v>
      </c>
      <c r="C1095" s="190" t="str">
        <f>IFERROR(__xludf.DUMMYFUNCTION("""COMPUTED_VALUE"""),"Physical")</f>
        <v>Physical</v>
      </c>
      <c r="D1095" s="190" t="str">
        <f>IFERROR(__xludf.DUMMYFUNCTION("""COMPUTED_VALUE"""),"EOT")</f>
        <v>EOT</v>
      </c>
      <c r="E1095" s="190" t="str">
        <f>IFERROR(__xludf.DUMMYFUNCTION("""COMPUTED_VALUE"""),"6, 1 Target")</f>
        <v>6, 1 Target</v>
      </c>
      <c r="F1095" s="190">
        <f>IFERROR(__xludf.DUMMYFUNCTION("""COMPUTED_VALUE"""),3.0)</f>
        <v>3</v>
      </c>
      <c r="G1095" s="190">
        <f>IFERROR(__xludf.DUMMYFUNCTION("""COMPUTED_VALUE"""),7.0)</f>
        <v>7</v>
      </c>
      <c r="H1095" s="191" t="str">
        <f>IFERROR(__xludf.DUMMYFUNCTION("""COMPUTED_VALUE"""),"The user may choose up to 3 unoccupied spaces adjacent to the Target to create [Breakable - Fragile] Blocking Terrain in. Spirit Surge")</f>
        <v>The user may choose up to 3 unoccupied spaces adjacent to the Target to create [Breakable - Fragile] Blocking Terrain in. Spirit Surge</v>
      </c>
      <c r="I1095" s="191" t="str">
        <f>IFERROR(__xludf.DUMMYFUNCTION("""COMPUTED_VALUE"""),"--")</f>
        <v>--</v>
      </c>
      <c r="J1095" s="190" t="str">
        <f>IFERROR(__xludf.DUMMYFUNCTION("""COMPUTED_VALUE"""),"Tier 1")</f>
        <v>Tier 1</v>
      </c>
      <c r="K1095" s="174" t="b">
        <f>IFERROR(__xludf.DUMMYFUNCTION("""COMPUTED_VALUE"""),TRUE)</f>
        <v>1</v>
      </c>
      <c r="L1095" s="174"/>
      <c r="M1095" s="174"/>
      <c r="N1095" s="174"/>
      <c r="O1095" s="174"/>
      <c r="P1095" s="174"/>
      <c r="Q1095" s="174"/>
      <c r="R1095" s="174"/>
      <c r="S1095" s="174"/>
      <c r="T1095" s="174"/>
      <c r="U1095" s="174"/>
      <c r="V1095" s="174"/>
      <c r="W1095" s="174"/>
      <c r="X1095" s="174"/>
      <c r="Y1095" s="174"/>
      <c r="Z1095" s="174"/>
    </row>
    <row r="1096">
      <c r="A1096" s="190" t="str">
        <f>IFERROR(__xludf.DUMMYFUNCTION("""COMPUTED_VALUE"""),"Rock Wrecker")</f>
        <v>Rock Wrecker</v>
      </c>
      <c r="B1096" s="190" t="str">
        <f>IFERROR(__xludf.DUMMYFUNCTION("""COMPUTED_VALUE"""),"Rock")</f>
        <v>Rock</v>
      </c>
      <c r="C1096" s="190" t="str">
        <f>IFERROR(__xludf.DUMMYFUNCTION("""COMPUTED_VALUE"""),"Physical")</f>
        <v>Physical</v>
      </c>
      <c r="D1096" s="190" t="str">
        <f>IFERROR(__xludf.DUMMYFUNCTION("""COMPUTED_VALUE"""),"Scene")</f>
        <v>Scene</v>
      </c>
      <c r="E1096" s="190" t="str">
        <f>IFERROR(__xludf.DUMMYFUNCTION("""COMPUTED_VALUE"""),"4, 1 Target, Full Action")</f>
        <v>4, 1 Target, Full Action</v>
      </c>
      <c r="F1096" s="190">
        <f>IFERROR(__xludf.DUMMYFUNCTION("""COMPUTED_VALUE"""),5.0)</f>
        <v>5</v>
      </c>
      <c r="G1096" s="190">
        <f>IFERROR(__xludf.DUMMYFUNCTION("""COMPUTED_VALUE"""),15.0)</f>
        <v>15</v>
      </c>
      <c r="H1096" s="191" t="str">
        <f>IFERROR(__xludf.DUMMYFUNCTION("""COMPUTED_VALUE"""),"Rock Wrecker cannot be resisted outside of the Smite Keyword. If the Target is Small, this has the Sureshot Keyword. Unstoppable. Smite")</f>
        <v>Rock Wrecker cannot be resisted outside of the Smite Keyword. If the Target is Small, this has the Sureshot Keyword. Unstoppable. Smite</v>
      </c>
      <c r="I1096" s="191" t="str">
        <f>IFERROR(__xludf.DUMMYFUNCTION("""COMPUTED_VALUE"""),"--")</f>
        <v>--</v>
      </c>
      <c r="J1096" s="190" t="str">
        <f>IFERROR(__xludf.DUMMYFUNCTION("""COMPUTED_VALUE"""),"Tier 3")</f>
        <v>Tier 3</v>
      </c>
      <c r="K1096" s="174" t="b">
        <f>IFERROR(__xludf.DUMMYFUNCTION("""COMPUTED_VALUE"""),TRUE)</f>
        <v>1</v>
      </c>
      <c r="L1096" s="174"/>
      <c r="M1096" s="174"/>
      <c r="N1096" s="174"/>
      <c r="O1096" s="174"/>
      <c r="P1096" s="174"/>
      <c r="Q1096" s="174"/>
      <c r="R1096" s="174"/>
      <c r="S1096" s="174"/>
      <c r="T1096" s="174"/>
      <c r="U1096" s="174"/>
      <c r="V1096" s="174"/>
      <c r="W1096" s="174"/>
      <c r="X1096" s="174"/>
      <c r="Y1096" s="174"/>
      <c r="Z1096" s="174"/>
    </row>
    <row r="1097">
      <c r="A1097" s="190" t="str">
        <f>IFERROR(__xludf.DUMMYFUNCTION("""COMPUTED_VALUE"""),"Rollout")</f>
        <v>Rollout</v>
      </c>
      <c r="B1097" s="190" t="str">
        <f>IFERROR(__xludf.DUMMYFUNCTION("""COMPUTED_VALUE"""),"Rock")</f>
        <v>Rock</v>
      </c>
      <c r="C1097" s="190" t="str">
        <f>IFERROR(__xludf.DUMMYFUNCTION("""COMPUTED_VALUE"""),"Physical")</f>
        <v>Physical</v>
      </c>
      <c r="D1097" s="190" t="str">
        <f>IFERROR(__xludf.DUMMYFUNCTION("""COMPUTED_VALUE"""),"At-Will")</f>
        <v>At-Will</v>
      </c>
      <c r="E1097" s="190" t="str">
        <f>IFERROR(__xludf.DUMMYFUNCTION("""COMPUTED_VALUE"""),"Melee, Pass, Dash")</f>
        <v>Melee, Pass, Dash</v>
      </c>
      <c r="F1097" s="190">
        <f>IFERROR(__xludf.DUMMYFUNCTION("""COMPUTED_VALUE"""),5.0)</f>
        <v>5</v>
      </c>
      <c r="G1097" s="190">
        <f>IFERROR(__xludf.DUMMYFUNCTION("""COMPUTED_VALUE"""),5.0)</f>
        <v>5</v>
      </c>
      <c r="H1097" s="191" t="str">
        <f>IFERROR(__xludf.DUMMYFUNCTION("""COMPUTED_VALUE"""),"The user gains 2 Rolled Counters. The user has a bonus to Damage Base for their Dash Attacks equal to their Rolled Counters. While they have Rolled Counters, they do not trigger Attacks of Opportunity when moving. The user loses all Rolled Counters if the"&amp;"y miss a Dash Attack. Spirit Surge.")</f>
        <v>The user gains 2 Rolled Counters. The user has a bonus to Damage Base for their Dash Attacks equal to their Rolled Counters. While they have Rolled Counters, they do not trigger Attacks of Opportunity when moving. The user loses all Rolled Counters if they miss a Dash Attack. Spirit Surge.</v>
      </c>
      <c r="I1097" s="191" t="str">
        <f>IFERROR(__xludf.DUMMYFUNCTION("""COMPUTED_VALUE"""),"--")</f>
        <v>--</v>
      </c>
      <c r="J1097" s="190" t="str">
        <f>IFERROR(__xludf.DUMMYFUNCTION("""COMPUTED_VALUE"""),"Tier 2")</f>
        <v>Tier 2</v>
      </c>
      <c r="K1097" s="174" t="b">
        <f>IFERROR(__xludf.DUMMYFUNCTION("""COMPUTED_VALUE"""),TRUE)</f>
        <v>1</v>
      </c>
      <c r="L1097" s="174"/>
      <c r="M1097" s="174"/>
      <c r="N1097" s="174"/>
      <c r="O1097" s="174"/>
      <c r="P1097" s="174"/>
      <c r="Q1097" s="174"/>
      <c r="R1097" s="174"/>
      <c r="S1097" s="174"/>
      <c r="T1097" s="174"/>
      <c r="U1097" s="174"/>
      <c r="V1097" s="174"/>
      <c r="W1097" s="174"/>
      <c r="X1097" s="174"/>
      <c r="Y1097" s="174"/>
      <c r="Z1097" s="174"/>
    </row>
    <row r="1098">
      <c r="A1098" s="190" t="str">
        <f>IFERROR(__xludf.DUMMYFUNCTION("""COMPUTED_VALUE"""),"Sandstorm")</f>
        <v>Sandstorm</v>
      </c>
      <c r="B1098" s="190" t="str">
        <f>IFERROR(__xludf.DUMMYFUNCTION("""COMPUTED_VALUE"""),"Rock")</f>
        <v>Rock</v>
      </c>
      <c r="C1098" s="190" t="str">
        <f>IFERROR(__xludf.DUMMYFUNCTION("""COMPUTED_VALUE"""),"Status")</f>
        <v>Status</v>
      </c>
      <c r="D1098" s="190" t="str">
        <f>IFERROR(__xludf.DUMMYFUNCTION("""COMPUTED_VALUE"""),"Scene x2")</f>
        <v>Scene x2</v>
      </c>
      <c r="E1098" s="190" t="str">
        <f>IFERROR(__xludf.DUMMYFUNCTION("""COMPUTED_VALUE"""),"Field, Versatile, Weather")</f>
        <v>Field, Versatile, Weather</v>
      </c>
      <c r="F1098" s="190" t="str">
        <f>IFERROR(__xludf.DUMMYFUNCTION("""COMPUTED_VALUE"""),"--")</f>
        <v>--</v>
      </c>
      <c r="G1098" s="190" t="str">
        <f>IFERROR(__xludf.DUMMYFUNCTION("""COMPUTED_VALUE"""),"--")</f>
        <v>--</v>
      </c>
      <c r="H1098" s="191" t="str">
        <f>IFERROR(__xludf.DUMMYFUNCTION("""COMPUTED_VALUE"""),"The Field becomes Sandstorming for the next 5 Rounds. While the Field is Sandstorming, non Ground or Rock Type Enemies lose a Tick of Hit Points at the start of their Turn and Ground and Rock Type Pokemon gain a Tick of Temporary Hit Points at the start o"&amp;"f their Turn. While the Field is Sandstorming, the Weather becomes Sandstorm.")</f>
        <v>The Field becomes Sandstorming for the next 5 Rounds. While the Field is Sandstorming, non Ground or Rock Type Enemies lose a Tick of Hit Points at the start of their Turn and Ground and Rock Type Pokemon gain a Tick of Temporary Hit Points at the start of their Turn. While the Field is Sandstorming, the Weather becomes Sandstorm.</v>
      </c>
      <c r="I1098"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98" s="190" t="str">
        <f>IFERROR(__xludf.DUMMYFUNCTION("""COMPUTED_VALUE"""),"Tier 2")</f>
        <v>Tier 2</v>
      </c>
      <c r="K1098" s="174" t="b">
        <f>IFERROR(__xludf.DUMMYFUNCTION("""COMPUTED_VALUE"""),TRUE)</f>
        <v>1</v>
      </c>
      <c r="L1098" s="174"/>
      <c r="M1098" s="174"/>
      <c r="N1098" s="174"/>
      <c r="O1098" s="174"/>
      <c r="P1098" s="174"/>
      <c r="Q1098" s="174"/>
      <c r="R1098" s="174"/>
      <c r="S1098" s="174"/>
      <c r="T1098" s="174"/>
      <c r="U1098" s="174"/>
      <c r="V1098" s="174"/>
      <c r="W1098" s="174"/>
      <c r="X1098" s="174"/>
      <c r="Y1098" s="174"/>
      <c r="Z1098" s="174"/>
    </row>
    <row r="1099">
      <c r="A1099" s="190" t="str">
        <f>IFERROR(__xludf.DUMMYFUNCTION("""COMPUTED_VALUE"""),"Salt Cure")</f>
        <v>Salt Cure</v>
      </c>
      <c r="B1099" s="190" t="str">
        <f>IFERROR(__xludf.DUMMYFUNCTION("""COMPUTED_VALUE"""),"Rock")</f>
        <v>Rock</v>
      </c>
      <c r="C1099" s="190" t="str">
        <f>IFERROR(__xludf.DUMMYFUNCTION("""COMPUTED_VALUE"""),"Physical")</f>
        <v>Physical</v>
      </c>
      <c r="D1099" s="190" t="str">
        <f>IFERROR(__xludf.DUMMYFUNCTION("""COMPUTED_VALUE"""),"Scene x2")</f>
        <v>Scene x2</v>
      </c>
      <c r="E1099" s="190" t="str">
        <f>IFERROR(__xludf.DUMMYFUNCTION("""COMPUTED_VALUE"""),"3, 1 Target")</f>
        <v>3, 1 Target</v>
      </c>
      <c r="F1099" s="190">
        <f>IFERROR(__xludf.DUMMYFUNCTION("""COMPUTED_VALUE"""),3.0)</f>
        <v>3</v>
      </c>
      <c r="G1099" s="190">
        <f>IFERROR(__xludf.DUMMYFUNCTION("""COMPUTED_VALUE"""),7.0)</f>
        <v>7</v>
      </c>
      <c r="H1099" s="191" t="str">
        <f>IFERROR(__xludf.DUMMYFUNCTION("""COMPUTED_VALUE"""),"On a roll of 17+, the Target becomes Wounded. If the Target is Steel or Water Type, this Effect Range automatically triggers.")</f>
        <v>On a roll of 17+, the Target becomes Wounded. If the Target is Steel or Water Type, this Effect Range automatically triggers.</v>
      </c>
      <c r="I1099" s="191" t="str">
        <f>IFERROR(__xludf.DUMMYFUNCTION("""COMPUTED_VALUE"""),"--")</f>
        <v>--</v>
      </c>
      <c r="J1099" s="190" t="str">
        <f>IFERROR(__xludf.DUMMYFUNCTION("""COMPUTED_VALUE"""),"Tier 2")</f>
        <v>Tier 2</v>
      </c>
      <c r="K1099" s="174" t="b">
        <f>IFERROR(__xludf.DUMMYFUNCTION("""COMPUTED_VALUE"""),TRUE)</f>
        <v>1</v>
      </c>
      <c r="L1099" s="174"/>
      <c r="M1099" s="174"/>
      <c r="N1099" s="174"/>
      <c r="O1099" s="174"/>
      <c r="P1099" s="174"/>
      <c r="Q1099" s="174"/>
      <c r="R1099" s="174"/>
      <c r="S1099" s="174"/>
      <c r="T1099" s="174"/>
      <c r="U1099" s="174"/>
      <c r="V1099" s="174"/>
      <c r="W1099" s="174"/>
      <c r="X1099" s="174"/>
      <c r="Y1099" s="174"/>
      <c r="Z1099" s="174"/>
    </row>
    <row r="1100">
      <c r="A1100" s="190" t="str">
        <f>IFERROR(__xludf.DUMMYFUNCTION("""COMPUTED_VALUE"""),"Smack Down")</f>
        <v>Smack Down</v>
      </c>
      <c r="B1100" s="190" t="str">
        <f>IFERROR(__xludf.DUMMYFUNCTION("""COMPUTED_VALUE"""),"Rock")</f>
        <v>Rock</v>
      </c>
      <c r="C1100" s="190" t="str">
        <f>IFERROR(__xludf.DUMMYFUNCTION("""COMPUTED_VALUE"""),"Physical")</f>
        <v>Physical</v>
      </c>
      <c r="D1100" s="190" t="str">
        <f>IFERROR(__xludf.DUMMYFUNCTION("""COMPUTED_VALUE"""),"Scene x2")</f>
        <v>Scene x2</v>
      </c>
      <c r="E1100" s="190" t="str">
        <f>IFERROR(__xludf.DUMMYFUNCTION("""COMPUTED_VALUE"""),"8, 1 Target")</f>
        <v>8, 1 Target</v>
      </c>
      <c r="F1100" s="190">
        <f>IFERROR(__xludf.DUMMYFUNCTION("""COMPUTED_VALUE"""),3.0)</f>
        <v>3</v>
      </c>
      <c r="G1100" s="190">
        <f>IFERROR(__xludf.DUMMYFUNCTION("""COMPUTED_VALUE"""),7.0)</f>
        <v>7</v>
      </c>
      <c r="H1100" s="191" t="str">
        <f>IFERROR(__xludf.DUMMYFUNCTION("""COMPUTED_VALUE"""),"The Target loses the Flier Capability until the end of the Scene and is no longer Immune to Ground Type Attacks if applicable (Becoming Neutral Effectiveness). These Effects can be removed by the Target if they use both a Swift and Movement Action. On a r"&amp;"oll of 16+, the Target becomes Tripped. Spirit Surge")</f>
        <v>The Target loses the Flier Capability until the end of the Scene and is no longer Immune to Ground Type Attacks if applicable (Becoming Neutral Effectiveness). These Effects can be removed by the Target if they use both a Swift and Movement Action. On a roll of 16+, the Target becomes Tripped. Spirit Surge</v>
      </c>
      <c r="I1100" s="191" t="str">
        <f>IFERROR(__xludf.DUMMYFUNCTION("""COMPUTED_VALUE"""),"--")</f>
        <v>--</v>
      </c>
      <c r="J1100" s="190" t="str">
        <f>IFERROR(__xludf.DUMMYFUNCTION("""COMPUTED_VALUE"""),"Tier 2")</f>
        <v>Tier 2</v>
      </c>
      <c r="K1100" s="174" t="b">
        <f>IFERROR(__xludf.DUMMYFUNCTION("""COMPUTED_VALUE"""),TRUE)</f>
        <v>1</v>
      </c>
      <c r="L1100" s="174"/>
      <c r="M1100" s="174"/>
      <c r="N1100" s="174"/>
      <c r="O1100" s="174"/>
      <c r="P1100" s="174"/>
      <c r="Q1100" s="174"/>
      <c r="R1100" s="174"/>
      <c r="S1100" s="174"/>
      <c r="T1100" s="174"/>
      <c r="U1100" s="174"/>
      <c r="V1100" s="174"/>
      <c r="W1100" s="174"/>
      <c r="X1100" s="174"/>
      <c r="Y1100" s="174"/>
      <c r="Z1100" s="174"/>
    </row>
    <row r="1101">
      <c r="A1101" s="190" t="str">
        <f>IFERROR(__xludf.DUMMYFUNCTION("""COMPUTED_VALUE"""),"Stealth Rock")</f>
        <v>Stealth Rock</v>
      </c>
      <c r="B1101" s="190" t="str">
        <f>IFERROR(__xludf.DUMMYFUNCTION("""COMPUTED_VALUE"""),"Rock")</f>
        <v>Rock</v>
      </c>
      <c r="C1101" s="190" t="str">
        <f>IFERROR(__xludf.DUMMYFUNCTION("""COMPUTED_VALUE"""),"Status")</f>
        <v>Status</v>
      </c>
      <c r="D1101" s="190" t="str">
        <f>IFERROR(__xludf.DUMMYFUNCTION("""COMPUTED_VALUE"""),"Scene x2")</f>
        <v>Scene x2</v>
      </c>
      <c r="E1101" s="190" t="str">
        <f>IFERROR(__xludf.DUMMYFUNCTION("""COMPUTED_VALUE"""),"6, Hazard, Swift Action")</f>
        <v>6, Hazard, Swift Action</v>
      </c>
      <c r="F1101" s="190" t="str">
        <f>IFERROR(__xludf.DUMMYFUNCTION("""COMPUTED_VALUE"""),"--")</f>
        <v>--</v>
      </c>
      <c r="G1101" s="190" t="str">
        <f>IFERROR(__xludf.DUMMYFUNCTION("""COMPUTED_VALUE"""),"--")</f>
        <v>--</v>
      </c>
      <c r="H1101" s="191" t="str">
        <f>IFERROR(__xludf.DUMMYFUNCTION("""COMPUTED_VALUE"""),"Choose 6 Spaces within the Range of this Attack to create Stealth Rock Hazards in, such that all 6 Spaces are Adjacent to at least one other Stealth Rock Hazard.
Stealth Rock Hazard - Spaces with Stealth Rock Hazards are treated as Rough Terrain. Any Ene"&amp;"my that would move through a space this Hazard occupies or is adjacent to loses a Tick of Hit Points, then this Hazard is destroyed. If the Triggering Enemy would be Weak to Rock Type Attacks, they lose Two Ticks.")</f>
        <v>Choose 6 Spaces within the Range of this Attack to create Stealth Rock Hazards in, such that all 6 Spaces are Adjacent to at least one other Stealth Rock Hazard.
Stealth Rock Hazard - Spaces with Stealth Rock Hazards are treated as Rough Terrain. Any Enemy that would move through a space this Hazard occupies or is adjacent to loses a Tick of Hit Points, then this Hazard is destroyed. If the Triggering Enemy would be Weak to Rock Type Attacks, they lose Two Ticks.</v>
      </c>
      <c r="I1101" s="191" t="str">
        <f>IFERROR(__xludf.DUMMYFUNCTION("""COMPUTED_VALUE"""),"--")</f>
        <v>--</v>
      </c>
      <c r="J1101" s="190" t="str">
        <f>IFERROR(__xludf.DUMMYFUNCTION("""COMPUTED_VALUE"""),"Tier 2")</f>
        <v>Tier 2</v>
      </c>
      <c r="K1101" s="174" t="b">
        <f>IFERROR(__xludf.DUMMYFUNCTION("""COMPUTED_VALUE"""),TRUE)</f>
        <v>1</v>
      </c>
      <c r="L1101" s="174"/>
      <c r="M1101" s="174"/>
      <c r="N1101" s="174"/>
      <c r="O1101" s="174"/>
      <c r="P1101" s="174"/>
      <c r="Q1101" s="174"/>
      <c r="R1101" s="174"/>
      <c r="S1101" s="174"/>
      <c r="T1101" s="174"/>
      <c r="U1101" s="174"/>
      <c r="V1101" s="174"/>
      <c r="W1101" s="174"/>
      <c r="X1101" s="174"/>
      <c r="Y1101" s="174"/>
      <c r="Z1101" s="174"/>
    </row>
    <row r="1102">
      <c r="A1102" s="190" t="str">
        <f>IFERROR(__xludf.DUMMYFUNCTION("""COMPUTED_VALUE"""),"Stone Axe")</f>
        <v>Stone Axe</v>
      </c>
      <c r="B1102" s="190" t="str">
        <f>IFERROR(__xludf.DUMMYFUNCTION("""COMPUTED_VALUE"""),"Rock")</f>
        <v>Rock</v>
      </c>
      <c r="C1102" s="190" t="str">
        <f>IFERROR(__xludf.DUMMYFUNCTION("""COMPUTED_VALUE"""),"Physical")</f>
        <v>Physical</v>
      </c>
      <c r="D1102" s="190" t="str">
        <f>IFERROR(__xludf.DUMMYFUNCTION("""COMPUTED_VALUE"""),"Scene x2")</f>
        <v>Scene x2</v>
      </c>
      <c r="E1102" s="190" t="str">
        <f>IFERROR(__xludf.DUMMYFUNCTION("""COMPUTED_VALUE"""),"Line 4 ")</f>
        <v>Line 4 </v>
      </c>
      <c r="F1102" s="190">
        <f>IFERROR(__xludf.DUMMYFUNCTION("""COMPUTED_VALUE"""),6.0)</f>
        <v>6</v>
      </c>
      <c r="G1102" s="190">
        <f>IFERROR(__xludf.DUMMYFUNCTION("""COMPUTED_VALUE"""),8.0)</f>
        <v>8</v>
      </c>
      <c r="H1102" s="191" t="str">
        <f>IFERROR(__xludf.DUMMYFUNCTION("""COMPUTED_VALUE"""),"On an Even Roll, all Targets become Vulnerable until the end of the next Round. On an Odd Roll, all Targets become Wounded. Smite")</f>
        <v>On an Even Roll, all Targets become Vulnerable until the end of the next Round. On an Odd Roll, all Targets become Wounded. Smite</v>
      </c>
      <c r="I1102" s="191" t="str">
        <f>IFERROR(__xludf.DUMMYFUNCTION("""COMPUTED_VALUE"""),"--")</f>
        <v>--</v>
      </c>
      <c r="J1102" s="190" t="str">
        <f>IFERROR(__xludf.DUMMYFUNCTION("""COMPUTED_VALUE"""),"Tier 2")</f>
        <v>Tier 2</v>
      </c>
      <c r="K1102" s="174" t="b">
        <f>IFERROR(__xludf.DUMMYFUNCTION("""COMPUTED_VALUE"""),TRUE)</f>
        <v>1</v>
      </c>
      <c r="L1102" s="174"/>
      <c r="M1102" s="174"/>
      <c r="N1102" s="174"/>
      <c r="O1102" s="174"/>
      <c r="P1102" s="174"/>
      <c r="Q1102" s="174"/>
      <c r="R1102" s="174"/>
      <c r="S1102" s="174"/>
      <c r="T1102" s="174"/>
      <c r="U1102" s="174"/>
      <c r="V1102" s="174"/>
      <c r="W1102" s="174"/>
      <c r="X1102" s="174"/>
      <c r="Y1102" s="174"/>
      <c r="Z1102" s="174"/>
    </row>
    <row r="1103">
      <c r="A1103" s="190" t="str">
        <f>IFERROR(__xludf.DUMMYFUNCTION("""COMPUTED_VALUE"""),"Stone Edge")</f>
        <v>Stone Edge</v>
      </c>
      <c r="B1103" s="190" t="str">
        <f>IFERROR(__xludf.DUMMYFUNCTION("""COMPUTED_VALUE"""),"Rock")</f>
        <v>Rock</v>
      </c>
      <c r="C1103" s="190" t="str">
        <f>IFERROR(__xludf.DUMMYFUNCTION("""COMPUTED_VALUE"""),"Physical")</f>
        <v>Physical</v>
      </c>
      <c r="D1103" s="190" t="str">
        <f>IFERROR(__xludf.DUMMYFUNCTION("""COMPUTED_VALUE"""),"EOT")</f>
        <v>EOT</v>
      </c>
      <c r="E1103" s="190" t="str">
        <f>IFERROR(__xludf.DUMMYFUNCTION("""COMPUTED_VALUE"""),"8, 1 Target ")</f>
        <v>8, 1 Target </v>
      </c>
      <c r="F1103" s="190">
        <f>IFERROR(__xludf.DUMMYFUNCTION("""COMPUTED_VALUE"""),4.0)</f>
        <v>4</v>
      </c>
      <c r="G1103" s="190">
        <f>IFERROR(__xludf.DUMMYFUNCTION("""COMPUTED_VALUE"""),10.0)</f>
        <v>10</v>
      </c>
      <c r="H1103" s="191" t="str">
        <f>IFERROR(__xludf.DUMMYFUNCTION("""COMPUTED_VALUE"""),"Stone Edge is a Critical Hit on a roll of 17+. Smite")</f>
        <v>Stone Edge is a Critical Hit on a roll of 17+. Smite</v>
      </c>
      <c r="I1103" s="191" t="str">
        <f>IFERROR(__xludf.DUMMYFUNCTION("""COMPUTED_VALUE"""),"--")</f>
        <v>--</v>
      </c>
      <c r="J1103" s="190" t="str">
        <f>IFERROR(__xludf.DUMMYFUNCTION("""COMPUTED_VALUE"""),"Tier 3")</f>
        <v>Tier 3</v>
      </c>
      <c r="K1103" s="174" t="b">
        <f>IFERROR(__xludf.DUMMYFUNCTION("""COMPUTED_VALUE"""),TRUE)</f>
        <v>1</v>
      </c>
      <c r="L1103" s="174"/>
      <c r="M1103" s="174"/>
      <c r="N1103" s="174"/>
      <c r="O1103" s="174"/>
      <c r="P1103" s="174"/>
      <c r="Q1103" s="174"/>
      <c r="R1103" s="174"/>
      <c r="S1103" s="174"/>
      <c r="T1103" s="174"/>
      <c r="U1103" s="174"/>
      <c r="V1103" s="174"/>
      <c r="W1103" s="174"/>
      <c r="X1103" s="174"/>
      <c r="Y1103" s="174"/>
      <c r="Z1103" s="174"/>
    </row>
    <row r="1104">
      <c r="A1104" s="190" t="str">
        <f>IFERROR(__xludf.DUMMYFUNCTION("""COMPUTED_VALUE"""),"Stone Pillar")</f>
        <v>Stone Pillar</v>
      </c>
      <c r="B1104" s="190" t="str">
        <f>IFERROR(__xludf.DUMMYFUNCTION("""COMPUTED_VALUE"""),"Rock")</f>
        <v>Rock</v>
      </c>
      <c r="C1104" s="190" t="str">
        <f>IFERROR(__xludf.DUMMYFUNCTION("""COMPUTED_VALUE"""),"Physical")</f>
        <v>Physical</v>
      </c>
      <c r="D1104" s="190" t="str">
        <f>IFERROR(__xludf.DUMMYFUNCTION("""COMPUTED_VALUE"""),"Scene x2")</f>
        <v>Scene x2</v>
      </c>
      <c r="E1104" s="190" t="str">
        <f>IFERROR(__xludf.DUMMYFUNCTION("""COMPUTED_VALUE"""),"4, Ranged Blast 2, Groundsource")</f>
        <v>4, Ranged Blast 2, Groundsource</v>
      </c>
      <c r="F1104" s="190">
        <f>IFERROR(__xludf.DUMMYFUNCTION("""COMPUTED_VALUE"""),6.0)</f>
        <v>6</v>
      </c>
      <c r="G1104" s="190">
        <f>IFERROR(__xludf.DUMMYFUNCTION("""COMPUTED_VALUE"""),9.0)</f>
        <v>9</v>
      </c>
      <c r="H1104" s="191" t="str">
        <f>IFERROR(__xludf.DUMMYFUNCTION("""COMPUTED_VALUE"""),"After this Attack resolves, as a Swift Action, the user may create a [Fragile - Breakable] Blocking Terrain any number of spaces within this Range. Slide 2, Smite. Spirit Surge. *Grants Groundshaper")</f>
        <v>After this Attack resolves, as a Swift Action, the user may create a [Fragile - Breakable] Blocking Terrain any number of spaces within this Range. Slide 2, Smite. Spirit Surge. *Grants Groundshaper</v>
      </c>
      <c r="I1104" s="191" t="str">
        <f>IFERROR(__xludf.DUMMYFUNCTION("""COMPUTED_VALUE"""),"--")</f>
        <v>--</v>
      </c>
      <c r="J1104" s="190" t="str">
        <f>IFERROR(__xludf.DUMMYFUNCTION("""COMPUTED_VALUE"""),"Tier 2")</f>
        <v>Tier 2</v>
      </c>
      <c r="K1104" s="174" t="b">
        <f>IFERROR(__xludf.DUMMYFUNCTION("""COMPUTED_VALUE"""),TRUE)</f>
        <v>1</v>
      </c>
      <c r="L1104" s="174"/>
      <c r="M1104" s="174"/>
      <c r="N1104" s="174"/>
      <c r="O1104" s="174"/>
      <c r="P1104" s="174"/>
      <c r="Q1104" s="174"/>
      <c r="R1104" s="174"/>
      <c r="S1104" s="174"/>
      <c r="T1104" s="174"/>
      <c r="U1104" s="174"/>
      <c r="V1104" s="174"/>
      <c r="W1104" s="174"/>
      <c r="X1104" s="174"/>
      <c r="Y1104" s="174"/>
      <c r="Z1104" s="174"/>
    </row>
    <row r="1105">
      <c r="A1105" s="190" t="str">
        <f>IFERROR(__xludf.DUMMYFUNCTION("""COMPUTED_VALUE"""),"Stygian Stone")</f>
        <v>Stygian Stone</v>
      </c>
      <c r="B1105" s="190" t="str">
        <f>IFERROR(__xludf.DUMMYFUNCTION("""COMPUTED_VALUE"""),"Rock")</f>
        <v>Rock</v>
      </c>
      <c r="C1105" s="190" t="str">
        <f>IFERROR(__xludf.DUMMYFUNCTION("""COMPUTED_VALUE"""),"Special")</f>
        <v>Special</v>
      </c>
      <c r="D1105" s="190" t="str">
        <f>IFERROR(__xludf.DUMMYFUNCTION("""COMPUTED_VALUE"""),"At-Will")</f>
        <v>At-Will</v>
      </c>
      <c r="E1105" s="190" t="str">
        <f>IFERROR(__xludf.DUMMYFUNCTION("""COMPUTED_VALUE"""),"4, 1 Target")</f>
        <v>4, 1 Target</v>
      </c>
      <c r="F1105" s="190">
        <f>IFERROR(__xludf.DUMMYFUNCTION("""COMPUTED_VALUE"""),3.0)</f>
        <v>3</v>
      </c>
      <c r="G1105" s="190">
        <f>IFERROR(__xludf.DUMMYFUNCTION("""COMPUTED_VALUE"""),4.0)</f>
        <v>4</v>
      </c>
      <c r="H1105" s="191" t="str">
        <f>IFERROR(__xludf.DUMMYFUNCTION("""COMPUTED_VALUE"""),"On a roll of 18+, the Target becomes Wounded. Smite")</f>
        <v>On a roll of 18+, the Target becomes Wounded. Smite</v>
      </c>
      <c r="I1105" s="191" t="str">
        <f>IFERROR(__xludf.DUMMYFUNCTION("""COMPUTED_VALUE"""),"--")</f>
        <v>--</v>
      </c>
      <c r="J1105" s="190" t="str">
        <f>IFERROR(__xludf.DUMMYFUNCTION("""COMPUTED_VALUE"""),"Tier 1")</f>
        <v>Tier 1</v>
      </c>
      <c r="K1105" s="174" t="b">
        <f>IFERROR(__xludf.DUMMYFUNCTION("""COMPUTED_VALUE"""),TRUE)</f>
        <v>1</v>
      </c>
      <c r="L1105" s="174"/>
      <c r="M1105" s="174"/>
      <c r="N1105" s="174"/>
      <c r="O1105" s="174"/>
      <c r="P1105" s="174"/>
      <c r="Q1105" s="174"/>
      <c r="R1105" s="174"/>
      <c r="S1105" s="174"/>
      <c r="T1105" s="174"/>
      <c r="U1105" s="174"/>
      <c r="V1105" s="174"/>
      <c r="W1105" s="174"/>
      <c r="X1105" s="174"/>
      <c r="Y1105" s="174"/>
      <c r="Z1105" s="174"/>
    </row>
    <row r="1106">
      <c r="A1106" s="190" t="str">
        <f>IFERROR(__xludf.DUMMYFUNCTION("""COMPUTED_VALUE"""),"Subterranean Strike")</f>
        <v>Subterranean Strike</v>
      </c>
      <c r="B1106" s="190" t="str">
        <f>IFERROR(__xludf.DUMMYFUNCTION("""COMPUTED_VALUE"""),"Rock")</f>
        <v>Rock</v>
      </c>
      <c r="C1106" s="190" t="str">
        <f>IFERROR(__xludf.DUMMYFUNCTION("""COMPUTED_VALUE"""),"Physical")</f>
        <v>Physical</v>
      </c>
      <c r="D1106" s="190" t="str">
        <f>IFERROR(__xludf.DUMMYFUNCTION("""COMPUTED_VALUE"""),"EOT")</f>
        <v>EOT</v>
      </c>
      <c r="E1106" s="190" t="str">
        <f>IFERROR(__xludf.DUMMYFUNCTION("""COMPUTED_VALUE"""),"3, 2 Targets, Full Action, Groundsource ")</f>
        <v>3, 2 Targets, Full Action, Groundsource </v>
      </c>
      <c r="F1106" s="190">
        <f>IFERROR(__xludf.DUMMYFUNCTION("""COMPUTED_VALUE"""),6.0)</f>
        <v>6</v>
      </c>
      <c r="G1106" s="190">
        <f>IFERROR(__xludf.DUMMYFUNCTION("""COMPUTED_VALUE"""),8.0)</f>
        <v>8</v>
      </c>
      <c r="H1106" s="191" t="str">
        <f>IFERROR(__xludf.DUMMYFUNCTION("""COMPUTED_VALUE"""),"When using this Attack, you may use a Movement Action to treat this as having the Sureshot Keyword. *Grants Burrower")</f>
        <v>When using this Attack, you may use a Movement Action to treat this as having the Sureshot Keyword. *Grants Burrower</v>
      </c>
      <c r="I1106" s="191" t="str">
        <f>IFERROR(__xludf.DUMMYFUNCTION("""COMPUTED_VALUE"""),"--")</f>
        <v>--</v>
      </c>
      <c r="J1106" s="190" t="str">
        <f>IFERROR(__xludf.DUMMYFUNCTION("""COMPUTED_VALUE"""),"Tier 2")</f>
        <v>Tier 2</v>
      </c>
      <c r="K1106" s="174" t="b">
        <f>IFERROR(__xludf.DUMMYFUNCTION("""COMPUTED_VALUE"""),TRUE)</f>
        <v>1</v>
      </c>
      <c r="L1106" s="174"/>
      <c r="M1106" s="174"/>
      <c r="N1106" s="174"/>
      <c r="O1106" s="174"/>
      <c r="P1106" s="174"/>
      <c r="Q1106" s="174"/>
      <c r="R1106" s="174"/>
      <c r="S1106" s="174"/>
      <c r="T1106" s="174"/>
      <c r="U1106" s="174"/>
      <c r="V1106" s="174"/>
      <c r="W1106" s="174"/>
      <c r="X1106" s="174"/>
      <c r="Y1106" s="174"/>
      <c r="Z1106" s="174"/>
    </row>
    <row r="1107">
      <c r="A1107" s="190" t="str">
        <f>IFERROR(__xludf.DUMMYFUNCTION("""COMPUTED_VALUE"""),"Tar Blast")</f>
        <v>Tar Blast</v>
      </c>
      <c r="B1107" s="190" t="str">
        <f>IFERROR(__xludf.DUMMYFUNCTION("""COMPUTED_VALUE"""),"Rock")</f>
        <v>Rock</v>
      </c>
      <c r="C1107" s="190" t="str">
        <f>IFERROR(__xludf.DUMMYFUNCTION("""COMPUTED_VALUE"""),"Special")</f>
        <v>Special</v>
      </c>
      <c r="D1107" s="190" t="str">
        <f>IFERROR(__xludf.DUMMYFUNCTION("""COMPUTED_VALUE"""),"Scene")</f>
        <v>Scene</v>
      </c>
      <c r="E1107" s="190" t="str">
        <f>IFERROR(__xludf.DUMMYFUNCTION("""COMPUTED_VALUE"""),"8, 1 Target or Close Blast 2")</f>
        <v>8, 1 Target or Close Blast 2</v>
      </c>
      <c r="F1107" s="190">
        <f>IFERROR(__xludf.DUMMYFUNCTION("""COMPUTED_VALUE"""),6.0)</f>
        <v>6</v>
      </c>
      <c r="G1107" s="190">
        <f>IFERROR(__xludf.DUMMYFUNCTION("""COMPUTED_VALUE"""),10.0)</f>
        <v>10</v>
      </c>
      <c r="H1107" s="191" t="str">
        <f>IFERROR(__xludf.DUMMYFUNCTION("""COMPUTED_VALUE"""),"All Targets gain a Tar Coat. A Tar Coat is automatically expended upon being hit with a Fire Type attack in order to increase it by one damage step. (Max 1.5x Effectiveness) Spirit Surge.")</f>
        <v>All Targets gain a Tar Coat. A Tar Coat is automatically expended upon being hit with a Fire Type attack in order to increase it by one damage step. (Max 1.5x Effectiveness) Spirit Surge.</v>
      </c>
      <c r="I1107" s="191" t="str">
        <f>IFERROR(__xludf.DUMMYFUNCTION("""COMPUTED_VALUE"""),"--")</f>
        <v>--</v>
      </c>
      <c r="J1107" s="190" t="str">
        <f>IFERROR(__xludf.DUMMYFUNCTION("""COMPUTED_VALUE"""),"Tier 3")</f>
        <v>Tier 3</v>
      </c>
      <c r="K1107" s="174" t="b">
        <f>IFERROR(__xludf.DUMMYFUNCTION("""COMPUTED_VALUE"""),TRUE)</f>
        <v>1</v>
      </c>
      <c r="L1107" s="174"/>
      <c r="M1107" s="174"/>
      <c r="N1107" s="174"/>
      <c r="O1107" s="174"/>
      <c r="P1107" s="174"/>
      <c r="Q1107" s="174"/>
      <c r="R1107" s="174"/>
      <c r="S1107" s="174"/>
      <c r="T1107" s="174"/>
      <c r="U1107" s="174"/>
      <c r="V1107" s="174"/>
      <c r="W1107" s="174"/>
      <c r="X1107" s="174"/>
      <c r="Y1107" s="174"/>
      <c r="Z1107" s="174"/>
    </row>
    <row r="1108">
      <c r="A1108" s="190" t="str">
        <f>IFERROR(__xludf.DUMMYFUNCTION("""COMPUTED_VALUE"""),"Tar Shot")</f>
        <v>Tar Shot</v>
      </c>
      <c r="B1108" s="190" t="str">
        <f>IFERROR(__xludf.DUMMYFUNCTION("""COMPUTED_VALUE"""),"Rock")</f>
        <v>Rock</v>
      </c>
      <c r="C1108" s="190" t="str">
        <f>IFERROR(__xludf.DUMMYFUNCTION("""COMPUTED_VALUE"""),"Status")</f>
        <v>Status</v>
      </c>
      <c r="D1108" s="190" t="str">
        <f>IFERROR(__xludf.DUMMYFUNCTION("""COMPUTED_VALUE"""),"Scene x2")</f>
        <v>Scene x2</v>
      </c>
      <c r="E1108" s="190" t="str">
        <f>IFERROR(__xludf.DUMMYFUNCTION("""COMPUTED_VALUE"""),"Close Blast 3, Versatile")</f>
        <v>Close Blast 3, Versatile</v>
      </c>
      <c r="F1108" s="190">
        <f>IFERROR(__xludf.DUMMYFUNCTION("""COMPUTED_VALUE"""),5.0)</f>
        <v>5</v>
      </c>
      <c r="G1108" s="190" t="str">
        <f>IFERROR(__xludf.DUMMYFUNCTION("""COMPUTED_VALUE"""),"--")</f>
        <v>--</v>
      </c>
      <c r="H1108" s="191" t="str">
        <f>IFERROR(__xludf.DUMMYFUNCTION("""COMPUTED_VALUE"""),"All Targets gain a Tar Coat. While a Combatant has a Tar Coat, they are Slowed. A Tar Coat is automatically expended upon being hit with a Fire Type attack in order to increase it by one damage step. (Max 1.5x Effectiveness)")</f>
        <v>All Targets gain a Tar Coat. While a Combatant has a Tar Coat, they are Slowed. A Tar Coat is automatically expended upon being hit with a Fire Type attack in order to increase it by one damage step. (Max 1.5x Effectiveness)</v>
      </c>
      <c r="I1108" s="191" t="str">
        <f>IFERROR(__xludf.DUMMYFUNCTION("""COMPUTED_VALUE"""),"All Spaces within the Range of this Attack become Slick Hazards.
Slick Hazards - Slick Hazards are treated as Slow Terrain, however it takes 3m of Movement to move through one of these spaces. It may be treated as normal Terrain, however at the end of th"&amp;"e Movement, they must pass a CR X Acrobatics Check, where X is equal to the number of Slick Hazards moved through (Rounded Up) or else they become Tripped.")</f>
        <v>All Spaces within the Range of this Attack become Slick Hazards.
Slick Hazards - Slick Hazards are treated as Slow Terrain, however it takes 3m of Movement to move through one of these spaces. It may be treated as normal Terrain, however at the end of the Movement, they must pass a CR X Acrobatics Check, where X is equal to the number of Slick Hazards moved through (Rounded Up) or else they become Tripped.</v>
      </c>
      <c r="J1108" s="190" t="str">
        <f>IFERROR(__xludf.DUMMYFUNCTION("""COMPUTED_VALUE"""),"Tier 2")</f>
        <v>Tier 2</v>
      </c>
      <c r="K1108" s="174" t="b">
        <f>IFERROR(__xludf.DUMMYFUNCTION("""COMPUTED_VALUE"""),TRUE)</f>
        <v>1</v>
      </c>
      <c r="L1108" s="174"/>
      <c r="M1108" s="174"/>
      <c r="N1108" s="174"/>
      <c r="O1108" s="174"/>
      <c r="P1108" s="174"/>
      <c r="Q1108" s="174"/>
      <c r="R1108" s="174"/>
      <c r="S1108" s="174"/>
      <c r="T1108" s="174"/>
      <c r="U1108" s="174"/>
      <c r="V1108" s="174"/>
      <c r="W1108" s="174"/>
      <c r="X1108" s="174"/>
      <c r="Y1108" s="174"/>
      <c r="Z1108" s="174"/>
    </row>
    <row r="1109">
      <c r="A1109" s="190" t="str">
        <f>IFERROR(__xludf.DUMMYFUNCTION("""COMPUTED_VALUE"""),"Terra Burst")</f>
        <v>Terra Burst</v>
      </c>
      <c r="B1109" s="190" t="str">
        <f>IFERROR(__xludf.DUMMYFUNCTION("""COMPUTED_VALUE"""),"Rock")</f>
        <v>Rock</v>
      </c>
      <c r="C1109" s="190" t="str">
        <f>IFERROR(__xludf.DUMMYFUNCTION("""COMPUTED_VALUE"""),"Physical")</f>
        <v>Physical</v>
      </c>
      <c r="D1109" s="190" t="str">
        <f>IFERROR(__xludf.DUMMYFUNCTION("""COMPUTED_VALUE"""),"Scene x2")</f>
        <v>Scene x2</v>
      </c>
      <c r="E1109" s="190" t="str">
        <f>IFERROR(__xludf.DUMMYFUNCTION("""COMPUTED_VALUE"""),"Burst 2, Full Action, Groundsource")</f>
        <v>Burst 2, Full Action, Groundsource</v>
      </c>
      <c r="F1109" s="190">
        <f>IFERROR(__xludf.DUMMYFUNCTION("""COMPUTED_VALUE"""),6.0)</f>
        <v>6</v>
      </c>
      <c r="G1109" s="190">
        <f>IFERROR(__xludf.DUMMYFUNCTION("""COMPUTED_VALUE"""),7.0)</f>
        <v>7</v>
      </c>
      <c r="H1109" s="191" t="str">
        <f>IFERROR(__xludf.DUMMYFUNCTION("""COMPUTED_VALUE"""),"After Terra Burst is resolved, you may place 4 Stealth Rock Hazards on any unoccupied space within the range of this Attack. This effect can only occur once per Scene. Spirit Surge.
Stealth Rock Hazard - Spaces with Stealth Rock Hazards are treated as Ro"&amp;"ugh Terrain. Any Enemy that would move through or move within 1m of this Hazard loses a Tick of Hit Points, then this Hazard is destroyed. If the Triggering Enemy would be Weak to Rock Type Attacks, they lose Two Ticks.")</f>
        <v>After Terra Burst is resolved, you may place 4 Stealth Rock Hazards on any unoccupied space within the range of this Attack. This effect can only occur once per Scene. Spirit Surge.
Stealth Rock Hazard - Spaces with Stealth Rock Hazards are treated as Rough Terrain. Any Enemy that would move through or move within 1m of this Hazard loses a Tick of Hit Points, then this Hazard is destroyed. If the Triggering Enemy would be Weak to Rock Type Attacks, they lose Two Ticks.</v>
      </c>
      <c r="I1109" s="191" t="str">
        <f>IFERROR(__xludf.DUMMYFUNCTION("""COMPUTED_VALUE"""),"--")</f>
        <v>--</v>
      </c>
      <c r="J1109" s="190" t="str">
        <f>IFERROR(__xludf.DUMMYFUNCTION("""COMPUTED_VALUE"""),"Tier 2")</f>
        <v>Tier 2</v>
      </c>
      <c r="K1109" s="174" t="b">
        <f>IFERROR(__xludf.DUMMYFUNCTION("""COMPUTED_VALUE"""),TRUE)</f>
        <v>1</v>
      </c>
      <c r="L1109" s="174"/>
      <c r="M1109" s="174"/>
      <c r="N1109" s="174"/>
      <c r="O1109" s="174"/>
      <c r="P1109" s="174"/>
      <c r="Q1109" s="174"/>
      <c r="R1109" s="174"/>
      <c r="S1109" s="174"/>
      <c r="T1109" s="174"/>
      <c r="U1109" s="174"/>
      <c r="V1109" s="174"/>
      <c r="W1109" s="174"/>
      <c r="X1109" s="174"/>
      <c r="Y1109" s="174"/>
      <c r="Z1109" s="174"/>
    </row>
    <row r="1110">
      <c r="A1110" s="190" t="str">
        <f>IFERROR(__xludf.DUMMYFUNCTION("""COMPUTED_VALUE"""),"Terra Charge")</f>
        <v>Terra Charge</v>
      </c>
      <c r="B1110" s="190" t="str">
        <f>IFERROR(__xludf.DUMMYFUNCTION("""COMPUTED_VALUE"""),"Rock")</f>
        <v>Rock</v>
      </c>
      <c r="C1110" s="190" t="str">
        <f>IFERROR(__xludf.DUMMYFUNCTION("""COMPUTED_VALUE"""),"Physical")</f>
        <v>Physical</v>
      </c>
      <c r="D1110" s="190" t="str">
        <f>IFERROR(__xludf.DUMMYFUNCTION("""COMPUTED_VALUE"""),"At-Will")</f>
        <v>At-Will</v>
      </c>
      <c r="E1110" s="190" t="str">
        <f>IFERROR(__xludf.DUMMYFUNCTION("""COMPUTED_VALUE"""),"Melee, 1 Target, Dash")</f>
        <v>Melee, 1 Target, Dash</v>
      </c>
      <c r="F1110" s="190">
        <f>IFERROR(__xludf.DUMMYFUNCTION("""COMPUTED_VALUE"""),2.0)</f>
        <v>2</v>
      </c>
      <c r="G1110" s="190">
        <f>IFERROR(__xludf.DUMMYFUNCTION("""COMPUTED_VALUE"""),4.0)</f>
        <v>4</v>
      </c>
      <c r="H1110" s="191" t="str">
        <f>IFERROR(__xludf.DUMMYFUNCTION("""COMPUTED_VALUE"""),"If the Dash Keyword is Activated, this Attack has the Smite Keyword. Slide 2 (Away).")</f>
        <v>If the Dash Keyword is Activated, this Attack has the Smite Keyword. Slide 2 (Away).</v>
      </c>
      <c r="I1110" s="191" t="str">
        <f>IFERROR(__xludf.DUMMYFUNCTION("""COMPUTED_VALUE"""),"--")</f>
        <v>--</v>
      </c>
      <c r="J1110" s="190" t="str">
        <f>IFERROR(__xludf.DUMMYFUNCTION("""COMPUTED_VALUE"""),"Tier 1")</f>
        <v>Tier 1</v>
      </c>
      <c r="K1110" s="174" t="b">
        <f>IFERROR(__xludf.DUMMYFUNCTION("""COMPUTED_VALUE"""),TRUE)</f>
        <v>1</v>
      </c>
      <c r="L1110" s="174"/>
      <c r="M1110" s="174"/>
      <c r="N1110" s="174"/>
      <c r="O1110" s="174"/>
      <c r="P1110" s="174"/>
      <c r="Q1110" s="174"/>
      <c r="R1110" s="174"/>
      <c r="S1110" s="174"/>
      <c r="T1110" s="174"/>
      <c r="U1110" s="174"/>
      <c r="V1110" s="174"/>
      <c r="W1110" s="174"/>
      <c r="X1110" s="174"/>
      <c r="Y1110" s="174"/>
      <c r="Z1110" s="174"/>
    </row>
    <row r="1111">
      <c r="A1111" s="190" t="str">
        <f>IFERROR(__xludf.DUMMYFUNCTION("""COMPUTED_VALUE"""),"Wide Guard")</f>
        <v>Wide Guard</v>
      </c>
      <c r="B1111" s="190" t="str">
        <f>IFERROR(__xludf.DUMMYFUNCTION("""COMPUTED_VALUE"""),"Rock")</f>
        <v>Rock</v>
      </c>
      <c r="C1111" s="190" t="str">
        <f>IFERROR(__xludf.DUMMYFUNCTION("""COMPUTED_VALUE"""),"Status")</f>
        <v>Status</v>
      </c>
      <c r="D1111" s="190" t="str">
        <f>IFERROR(__xludf.DUMMYFUNCTION("""COMPUTED_VALUE"""),"Scene x2")</f>
        <v>Scene x2</v>
      </c>
      <c r="E1111" s="190" t="str">
        <f>IFERROR(__xludf.DUMMYFUNCTION("""COMPUTED_VALUE"""),"Burst 1, Shield, Trigger")</f>
        <v>Burst 1, Shield, Trigger</v>
      </c>
      <c r="F1111" s="190" t="str">
        <f>IFERROR(__xludf.DUMMYFUNCTION("""COMPUTED_VALUE"""),"--")</f>
        <v>--</v>
      </c>
      <c r="G1111" s="190" t="str">
        <f>IFERROR(__xludf.DUMMYFUNCTION("""COMPUTED_VALUE"""),"--")</f>
        <v>--</v>
      </c>
      <c r="H1111" s="191" t="str">
        <f>IFERROR(__xludf.DUMMYFUNCTION("""COMPUTED_VALUE"""),"If an Ally adjacent to the user is hit by a Physical Attack, you may use Wide Guard as a Reaction. All Targets adjacent to Wide Guard’s user, may use the user's Defense when resolving Damage Calculations.")</f>
        <v>If an Ally adjacent to the user is hit by a Physical Attack, you may use Wide Guard as a Reaction. All Targets adjacent to Wide Guard’s user, may use the user's Defense when resolving Damage Calculations.</v>
      </c>
      <c r="I1111" s="191" t="str">
        <f>IFERROR(__xludf.DUMMYFUNCTION("""COMPUTED_VALUE"""),"--")</f>
        <v>--</v>
      </c>
      <c r="J1111" s="190" t="str">
        <f>IFERROR(__xludf.DUMMYFUNCTION("""COMPUTED_VALUE"""),"Tier 2")</f>
        <v>Tier 2</v>
      </c>
      <c r="K1111" s="174" t="b">
        <f>IFERROR(__xludf.DUMMYFUNCTION("""COMPUTED_VALUE"""),FALSE)</f>
        <v>0</v>
      </c>
      <c r="L1111" s="174"/>
      <c r="M1111" s="174"/>
      <c r="N1111" s="174"/>
      <c r="O1111" s="174"/>
      <c r="P1111" s="174"/>
      <c r="Q1111" s="174"/>
      <c r="R1111" s="174"/>
      <c r="S1111" s="174"/>
      <c r="T1111" s="174"/>
      <c r="U1111" s="174"/>
      <c r="V1111" s="174"/>
      <c r="W1111" s="174"/>
      <c r="X1111" s="174"/>
      <c r="Y1111" s="174"/>
      <c r="Z1111" s="174"/>
    </row>
    <row r="1112">
      <c r="A1112" s="190" t="str">
        <f>IFERROR(__xludf.DUMMYFUNCTION("""COMPUTED_VALUE"""),"Anchor Shot")</f>
        <v>Anchor Shot</v>
      </c>
      <c r="B1112" s="190" t="str">
        <f>IFERROR(__xludf.DUMMYFUNCTION("""COMPUTED_VALUE"""),"Steel")</f>
        <v>Steel</v>
      </c>
      <c r="C1112" s="190" t="str">
        <f>IFERROR(__xludf.DUMMYFUNCTION("""COMPUTED_VALUE"""),"Physical")</f>
        <v>Physical</v>
      </c>
      <c r="D1112" s="190" t="str">
        <f>IFERROR(__xludf.DUMMYFUNCTION("""COMPUTED_VALUE"""),"EOT")</f>
        <v>EOT</v>
      </c>
      <c r="E1112" s="190" t="str">
        <f>IFERROR(__xludf.DUMMYFUNCTION("""COMPUTED_VALUE"""),"Melee, 1 Target")</f>
        <v>Melee, 1 Target</v>
      </c>
      <c r="F1112" s="190">
        <f>IFERROR(__xludf.DUMMYFUNCTION("""COMPUTED_VALUE"""),3.0)</f>
        <v>3</v>
      </c>
      <c r="G1112" s="190">
        <f>IFERROR(__xludf.DUMMYFUNCTION("""COMPUTED_VALUE"""),8.0)</f>
        <v>8</v>
      </c>
      <c r="H1112" s="191" t="str">
        <f>IFERROR(__xludf.DUMMYFUNCTION("""COMPUTED_VALUE"""),"The Target becomes Trapped. Spirit Surge")</f>
        <v>The Target becomes Trapped. Spirit Surge</v>
      </c>
      <c r="I1112" s="191" t="str">
        <f>IFERROR(__xludf.DUMMYFUNCTION("""COMPUTED_VALUE"""),"--")</f>
        <v>--</v>
      </c>
      <c r="J1112" s="190" t="str">
        <f>IFERROR(__xludf.DUMMYFUNCTION("""COMPUTED_VALUE"""),"Tier 2")</f>
        <v>Tier 2</v>
      </c>
      <c r="K1112" s="174" t="b">
        <f>IFERROR(__xludf.DUMMYFUNCTION("""COMPUTED_VALUE"""),FALSE)</f>
        <v>0</v>
      </c>
      <c r="L1112" s="174"/>
      <c r="M1112" s="174"/>
      <c r="N1112" s="174"/>
      <c r="O1112" s="174"/>
      <c r="P1112" s="174"/>
      <c r="Q1112" s="174"/>
      <c r="R1112" s="174"/>
      <c r="S1112" s="174"/>
      <c r="T1112" s="174"/>
      <c r="U1112" s="174"/>
      <c r="V1112" s="174"/>
      <c r="W1112" s="174"/>
      <c r="X1112" s="174"/>
      <c r="Y1112" s="174"/>
      <c r="Z1112" s="174"/>
    </row>
    <row r="1113">
      <c r="A1113" s="190" t="str">
        <f>IFERROR(__xludf.DUMMYFUNCTION("""COMPUTED_VALUE"""),"Alloy Beam")</f>
        <v>Alloy Beam</v>
      </c>
      <c r="B1113" s="190" t="str">
        <f>IFERROR(__xludf.DUMMYFUNCTION("""COMPUTED_VALUE"""),"Steel")</f>
        <v>Steel</v>
      </c>
      <c r="C1113" s="190" t="str">
        <f>IFERROR(__xludf.DUMMYFUNCTION("""COMPUTED_VALUE"""),"Special")</f>
        <v>Special</v>
      </c>
      <c r="D1113" s="190" t="str">
        <f>IFERROR(__xludf.DUMMYFUNCTION("""COMPUTED_VALUE"""),"At-Will")</f>
        <v>At-Will</v>
      </c>
      <c r="E1113" s="190" t="str">
        <f>IFERROR(__xludf.DUMMYFUNCTION("""COMPUTED_VALUE"""),"4, 1 Target")</f>
        <v>4, 1 Target</v>
      </c>
      <c r="F1113" s="190">
        <f>IFERROR(__xludf.DUMMYFUNCTION("""COMPUTED_VALUE"""),3.0)</f>
        <v>3</v>
      </c>
      <c r="G1113" s="190">
        <f>IFERROR(__xludf.DUMMYFUNCTION("""COMPUTED_VALUE"""),4.0)</f>
        <v>4</v>
      </c>
      <c r="H1113" s="191" t="str">
        <f>IFERROR(__xludf.DUMMYFUNCTION("""COMPUTED_VALUE"""),"The user may also use their Attack Stat as if it were the Offensive Stat when resolving this Attack.")</f>
        <v>The user may also use their Attack Stat as if it were the Offensive Stat when resolving this Attack.</v>
      </c>
      <c r="I1113" s="191" t="str">
        <f>IFERROR(__xludf.DUMMYFUNCTION("""COMPUTED_VALUE"""),"--")</f>
        <v>--</v>
      </c>
      <c r="J1113" s="190" t="str">
        <f>IFERROR(__xludf.DUMMYFUNCTION("""COMPUTED_VALUE"""),"Tier 1")</f>
        <v>Tier 1</v>
      </c>
      <c r="K1113" s="174" t="b">
        <f>IFERROR(__xludf.DUMMYFUNCTION("""COMPUTED_VALUE"""),TRUE)</f>
        <v>1</v>
      </c>
      <c r="L1113" s="174"/>
      <c r="M1113" s="174"/>
      <c r="N1113" s="174"/>
      <c r="O1113" s="174"/>
      <c r="P1113" s="174"/>
      <c r="Q1113" s="174"/>
      <c r="R1113" s="174"/>
      <c r="S1113" s="174"/>
      <c r="T1113" s="174"/>
      <c r="U1113" s="174"/>
      <c r="V1113" s="174"/>
      <c r="W1113" s="174"/>
      <c r="X1113" s="174"/>
      <c r="Y1113" s="174"/>
      <c r="Z1113" s="174"/>
    </row>
    <row r="1114">
      <c r="A1114" s="190" t="str">
        <f>IFERROR(__xludf.DUMMYFUNCTION("""COMPUTED_VALUE"""),"Autotomize")</f>
        <v>Autotomize</v>
      </c>
      <c r="B1114" s="190" t="str">
        <f>IFERROR(__xludf.DUMMYFUNCTION("""COMPUTED_VALUE"""),"Steel")</f>
        <v>Steel</v>
      </c>
      <c r="C1114" s="190" t="str">
        <f>IFERROR(__xludf.DUMMYFUNCTION("""COMPUTED_VALUE"""),"Status")</f>
        <v>Status</v>
      </c>
      <c r="D1114" s="190" t="str">
        <f>IFERROR(__xludf.DUMMYFUNCTION("""COMPUTED_VALUE"""),"EOT")</f>
        <v>EOT</v>
      </c>
      <c r="E1114" s="190" t="str">
        <f>IFERROR(__xludf.DUMMYFUNCTION("""COMPUTED_VALUE"""),"Self, Swift Action")</f>
        <v>Self, Swift Action</v>
      </c>
      <c r="F1114" s="190" t="str">
        <f>IFERROR(__xludf.DUMMYFUNCTION("""COMPUTED_VALUE"""),"--")</f>
        <v>--</v>
      </c>
      <c r="G1114" s="190" t="str">
        <f>IFERROR(__xludf.DUMMYFUNCTION("""COMPUTED_VALUE"""),"--")</f>
        <v>--</v>
      </c>
      <c r="H1114" s="191" t="str">
        <f>IFERROR(__xludf.DUMMYFUNCTION("""COMPUTED_VALUE"""),"Choose two Stats other than HP. One of the chosen Stats is lowered to +0 CS, then the other chosen Stat gains CS equal to the amount of CS lowered this way. The user’s Weight Class is lowered to 1 for the rest of the Scene.")</f>
        <v>Choose two Stats other than HP. One of the chosen Stats is lowered to +0 CS, then the other chosen Stat gains CS equal to the amount of CS lowered this way. The user’s Weight Class is lowered to 1 for the rest of the Scene.</v>
      </c>
      <c r="I1114" s="191" t="str">
        <f>IFERROR(__xludf.DUMMYFUNCTION("""COMPUTED_VALUE"""),"--")</f>
        <v>--</v>
      </c>
      <c r="J1114" s="190" t="str">
        <f>IFERROR(__xludf.DUMMYFUNCTION("""COMPUTED_VALUE"""),"Tier 1")</f>
        <v>Tier 1</v>
      </c>
      <c r="K1114" s="174" t="b">
        <f>IFERROR(__xludf.DUMMYFUNCTION("""COMPUTED_VALUE"""),TRUE)</f>
        <v>1</v>
      </c>
      <c r="L1114" s="174"/>
      <c r="M1114" s="174"/>
      <c r="N1114" s="174"/>
      <c r="O1114" s="174"/>
      <c r="P1114" s="174"/>
      <c r="Q1114" s="174"/>
      <c r="R1114" s="174"/>
      <c r="S1114" s="174"/>
      <c r="T1114" s="174"/>
      <c r="U1114" s="174"/>
      <c r="V1114" s="174"/>
      <c r="W1114" s="174"/>
      <c r="X1114" s="174"/>
      <c r="Y1114" s="174"/>
      <c r="Z1114" s="174"/>
    </row>
    <row r="1115">
      <c r="A1115" s="190" t="str">
        <f>IFERROR(__xludf.DUMMYFUNCTION("""COMPUTED_VALUE"""),"Bullet Punch")</f>
        <v>Bullet Punch</v>
      </c>
      <c r="B1115" s="190" t="str">
        <f>IFERROR(__xludf.DUMMYFUNCTION("""COMPUTED_VALUE"""),"Steel")</f>
        <v>Steel</v>
      </c>
      <c r="C1115" s="190" t="str">
        <f>IFERROR(__xludf.DUMMYFUNCTION("""COMPUTED_VALUE"""),"Physical")</f>
        <v>Physical</v>
      </c>
      <c r="D1115" s="190" t="str">
        <f>IFERROR(__xludf.DUMMYFUNCTION("""COMPUTED_VALUE"""),"At-Will")</f>
        <v>At-Will</v>
      </c>
      <c r="E1115" s="190" t="str">
        <f>IFERROR(__xludf.DUMMYFUNCTION("""COMPUTED_VALUE"""),"Melee, 1 Target, Priority, Punch")</f>
        <v>Melee, 1 Target, Priority, Punch</v>
      </c>
      <c r="F1115" s="190">
        <f>IFERROR(__xludf.DUMMYFUNCTION("""COMPUTED_VALUE"""),2.0)</f>
        <v>2</v>
      </c>
      <c r="G1115" s="190">
        <f>IFERROR(__xludf.DUMMYFUNCTION("""COMPUTED_VALUE"""),4.0)</f>
        <v>4</v>
      </c>
      <c r="H1115" s="191" t="str">
        <f>IFERROR(__xludf.DUMMYFUNCTION("""COMPUTED_VALUE"""),"--")</f>
        <v>--</v>
      </c>
      <c r="I1115" s="191" t="str">
        <f>IFERROR(__xludf.DUMMYFUNCTION("""COMPUTED_VALUE"""),"--")</f>
        <v>--</v>
      </c>
      <c r="J1115" s="190" t="str">
        <f>IFERROR(__xludf.DUMMYFUNCTION("""COMPUTED_VALUE"""),"Tier 1")</f>
        <v>Tier 1</v>
      </c>
      <c r="K1115" s="174" t="b">
        <f>IFERROR(__xludf.DUMMYFUNCTION("""COMPUTED_VALUE"""),TRUE)</f>
        <v>1</v>
      </c>
      <c r="L1115" s="174"/>
      <c r="M1115" s="174"/>
      <c r="N1115" s="174"/>
      <c r="O1115" s="174"/>
      <c r="P1115" s="174"/>
      <c r="Q1115" s="174"/>
      <c r="R1115" s="174"/>
      <c r="S1115" s="174"/>
      <c r="T1115" s="174"/>
      <c r="U1115" s="174"/>
      <c r="V1115" s="174"/>
      <c r="W1115" s="174"/>
      <c r="X1115" s="174"/>
      <c r="Y1115" s="174"/>
      <c r="Z1115" s="174"/>
    </row>
    <row r="1116">
      <c r="A1116" s="190" t="str">
        <f>IFERROR(__xludf.DUMMYFUNCTION("""COMPUTED_VALUE"""),"Double Iron Bash")</f>
        <v>Double Iron Bash</v>
      </c>
      <c r="B1116" s="190" t="str">
        <f>IFERROR(__xludf.DUMMYFUNCTION("""COMPUTED_VALUE"""),"Steel")</f>
        <v>Steel</v>
      </c>
      <c r="C1116" s="190" t="str">
        <f>IFERROR(__xludf.DUMMYFUNCTION("""COMPUTED_VALUE"""),"Physical")</f>
        <v>Physical</v>
      </c>
      <c r="D1116" s="190" t="str">
        <f>IFERROR(__xludf.DUMMYFUNCTION("""COMPUTED_VALUE"""),"EOT")</f>
        <v>EOT</v>
      </c>
      <c r="E1116" s="190" t="str">
        <f>IFERROR(__xludf.DUMMYFUNCTION("""COMPUTED_VALUE"""),"Melee, 1 Target; or Melee, 2 Targets")</f>
        <v>Melee, 1 Target; or Melee, 2 Targets</v>
      </c>
      <c r="F1116" s="190">
        <f>IFERROR(__xludf.DUMMYFUNCTION("""COMPUTED_VALUE"""),5.0)</f>
        <v>5</v>
      </c>
      <c r="G1116" s="190">
        <f>IFERROR(__xludf.DUMMYFUNCTION("""COMPUTED_VALUE"""),6.0)</f>
        <v>6</v>
      </c>
      <c r="H1116" s="191" t="str">
        <f>IFERROR(__xludf.DUMMYFUNCTION("""COMPUTED_VALUE"""),"If Double Iron Bash has 1 Target, it has the Double Strike Keyword. Smite")</f>
        <v>If Double Iron Bash has 1 Target, it has the Double Strike Keyword. Smite</v>
      </c>
      <c r="I1116" s="191" t="str">
        <f>IFERROR(__xludf.DUMMYFUNCTION("""COMPUTED_VALUE"""),"--")</f>
        <v>--</v>
      </c>
      <c r="J1116" s="190"/>
      <c r="K1116" s="174"/>
      <c r="L1116" s="174"/>
      <c r="M1116" s="174"/>
      <c r="N1116" s="174"/>
      <c r="O1116" s="174"/>
      <c r="P1116" s="174"/>
      <c r="Q1116" s="174"/>
      <c r="R1116" s="174"/>
      <c r="S1116" s="174"/>
      <c r="T1116" s="174"/>
      <c r="U1116" s="174"/>
      <c r="V1116" s="174"/>
      <c r="W1116" s="174"/>
      <c r="X1116" s="174"/>
      <c r="Y1116" s="174"/>
      <c r="Z1116" s="174"/>
    </row>
    <row r="1117">
      <c r="A1117" s="190" t="str">
        <f>IFERROR(__xludf.DUMMYFUNCTION("""COMPUTED_VALUE"""),"Execution")</f>
        <v>Execution</v>
      </c>
      <c r="B1117" s="190" t="str">
        <f>IFERROR(__xludf.DUMMYFUNCTION("""COMPUTED_VALUE"""),"Steel")</f>
        <v>Steel</v>
      </c>
      <c r="C1117" s="190" t="str">
        <f>IFERROR(__xludf.DUMMYFUNCTION("""COMPUTED_VALUE"""),"Physical")</f>
        <v>Physical</v>
      </c>
      <c r="D1117" s="190" t="str">
        <f>IFERROR(__xludf.DUMMYFUNCTION("""COMPUTED_VALUE"""),"Scene x2")</f>
        <v>Scene x2</v>
      </c>
      <c r="E1117" s="190" t="str">
        <f>IFERROR(__xludf.DUMMYFUNCTION("""COMPUTED_VALUE"""),"Melee, 1 Target")</f>
        <v>Melee, 1 Target</v>
      </c>
      <c r="F1117" s="190">
        <f>IFERROR(__xludf.DUMMYFUNCTION("""COMPUTED_VALUE"""),3.0)</f>
        <v>3</v>
      </c>
      <c r="G1117" s="190">
        <f>IFERROR(__xludf.DUMMYFUNCTION("""COMPUTED_VALUE"""),7.0)</f>
        <v>7</v>
      </c>
      <c r="H1117" s="191" t="str">
        <f>IFERROR(__xludf.DUMMYFUNCTION("""COMPUTED_VALUE"""),"If the Target’s Hit Points are under 50% or are Wounded, Execution is automatically a Critical Hit")</f>
        <v>If the Target’s Hit Points are under 50% or are Wounded, Execution is automatically a Critical Hit</v>
      </c>
      <c r="I1117" s="191" t="str">
        <f>IFERROR(__xludf.DUMMYFUNCTION("""COMPUTED_VALUE"""),"--")</f>
        <v>--</v>
      </c>
      <c r="J1117" s="190" t="str">
        <f>IFERROR(__xludf.DUMMYFUNCTION("""COMPUTED_VALUE"""),"Tier 2")</f>
        <v>Tier 2</v>
      </c>
      <c r="K1117" s="174" t="b">
        <f>IFERROR(__xludf.DUMMYFUNCTION("""COMPUTED_VALUE"""),TRUE)</f>
        <v>1</v>
      </c>
      <c r="L1117" s="174"/>
      <c r="M1117" s="174"/>
      <c r="N1117" s="174"/>
      <c r="O1117" s="174"/>
      <c r="P1117" s="174"/>
      <c r="Q1117" s="174"/>
      <c r="R1117" s="174"/>
      <c r="S1117" s="174"/>
      <c r="T1117" s="174"/>
      <c r="U1117" s="174"/>
      <c r="V1117" s="174"/>
      <c r="W1117" s="174"/>
      <c r="X1117" s="174"/>
      <c r="Y1117" s="174"/>
      <c r="Z1117" s="174"/>
    </row>
    <row r="1118">
      <c r="A1118" s="190" t="str">
        <f>IFERROR(__xludf.DUMMYFUNCTION("""COMPUTED_VALUE"""),"Ferrous Flash")</f>
        <v>Ferrous Flash</v>
      </c>
      <c r="B1118" s="190" t="str">
        <f>IFERROR(__xludf.DUMMYFUNCTION("""COMPUTED_VALUE"""),"Steel")</f>
        <v>Steel</v>
      </c>
      <c r="C1118" s="190" t="str">
        <f>IFERROR(__xludf.DUMMYFUNCTION("""COMPUTED_VALUE"""),"Special")</f>
        <v>Special</v>
      </c>
      <c r="D1118" s="190" t="str">
        <f>IFERROR(__xludf.DUMMYFUNCTION("""COMPUTED_VALUE"""),"Scene x2")</f>
        <v>Scene x2</v>
      </c>
      <c r="E1118" s="190" t="str">
        <f>IFERROR(__xludf.DUMMYFUNCTION("""COMPUTED_VALUE"""),"Close Blast 2, Full Action")</f>
        <v>Close Blast 2, Full Action</v>
      </c>
      <c r="F1118" s="190">
        <f>IFERROR(__xludf.DUMMYFUNCTION("""COMPUTED_VALUE"""),6.0)</f>
        <v>6</v>
      </c>
      <c r="G1118" s="190">
        <f>IFERROR(__xludf.DUMMYFUNCTION("""COMPUTED_VALUE"""),12.0)</f>
        <v>12</v>
      </c>
      <c r="H1118" s="191" t="str">
        <f>IFERROR(__xludf.DUMMYFUNCTION("""COMPUTED_VALUE"""),"Ferrous Flash lowers the Accuracy of all Targets by -1.")</f>
        <v>Ferrous Flash lowers the Accuracy of all Targets by -1.</v>
      </c>
      <c r="I1118" s="191" t="str">
        <f>IFERROR(__xludf.DUMMYFUNCTION("""COMPUTED_VALUE"""),"--")</f>
        <v>--</v>
      </c>
      <c r="J1118" s="190" t="str">
        <f>IFERROR(__xludf.DUMMYFUNCTION("""COMPUTED_VALUE"""),"Tier 3")</f>
        <v>Tier 3</v>
      </c>
      <c r="K1118" s="174" t="b">
        <f>IFERROR(__xludf.DUMMYFUNCTION("""COMPUTED_VALUE"""),TRUE)</f>
        <v>1</v>
      </c>
      <c r="L1118" s="174"/>
      <c r="M1118" s="174"/>
      <c r="N1118" s="174"/>
      <c r="O1118" s="174"/>
      <c r="P1118" s="174"/>
      <c r="Q1118" s="174"/>
      <c r="R1118" s="174"/>
      <c r="S1118" s="174"/>
      <c r="T1118" s="174"/>
      <c r="U1118" s="174"/>
      <c r="V1118" s="174"/>
      <c r="W1118" s="174"/>
      <c r="X1118" s="174"/>
      <c r="Y1118" s="174"/>
      <c r="Z1118" s="174"/>
    </row>
    <row r="1119">
      <c r="A1119" s="190" t="str">
        <f>IFERROR(__xludf.DUMMYFUNCTION("""COMPUTED_VALUE"""),"Flash Cannon")</f>
        <v>Flash Cannon</v>
      </c>
      <c r="B1119" s="190" t="str">
        <f>IFERROR(__xludf.DUMMYFUNCTION("""COMPUTED_VALUE"""),"Steel")</f>
        <v>Steel</v>
      </c>
      <c r="C1119" s="190" t="str">
        <f>IFERROR(__xludf.DUMMYFUNCTION("""COMPUTED_VALUE"""),"Special")</f>
        <v>Special</v>
      </c>
      <c r="D1119" s="190" t="str">
        <f>IFERROR(__xludf.DUMMYFUNCTION("""COMPUTED_VALUE"""),"EOT")</f>
        <v>EOT</v>
      </c>
      <c r="E1119" s="190" t="str">
        <f>IFERROR(__xludf.DUMMYFUNCTION("""COMPUTED_VALUE"""),"6, 1 Target, Set-Up")</f>
        <v>6, 1 Target, Set-Up</v>
      </c>
      <c r="F1119" s="190">
        <f>IFERROR(__xludf.DUMMYFUNCTION("""COMPUTED_VALUE"""),4.0)</f>
        <v>4</v>
      </c>
      <c r="G1119" s="190">
        <f>IFERROR(__xludf.DUMMYFUNCTION("""COMPUTED_VALUE"""),8.0)</f>
        <v>8</v>
      </c>
      <c r="H1119" s="191" t="str">
        <f>IFERROR(__xludf.DUMMYFUNCTION("""COMPUTED_VALUE"""),"Charge Effect: The user may use a Movement Action as well as a Swift Action to gain 2 Charge Tokens instead. 
Resolution Effect: This Attack may ignore the Set-Up Keyword if desired and be used without expending Charge Tokens. If you expend a Charge Token"&amp;" when using Flash Cannon, the Range becomes Line X, where X is the number of Charge Tokens expended multiplied by 3. Smite")</f>
        <v>Charge Effect: The user may use a Movement Action as well as a Swift Action to gain 2 Charge Tokens instead. 
Resolution Effect: This Attack may ignore the Set-Up Keyword if desired and be used without expending Charge Tokens. If you expend a Charge Token when using Flash Cannon, the Range becomes Line X, where X is the number of Charge Tokens expended multiplied by 3. Smite</v>
      </c>
      <c r="I1119" s="191" t="str">
        <f>IFERROR(__xludf.DUMMYFUNCTION("""COMPUTED_VALUE"""),"--")</f>
        <v>--</v>
      </c>
      <c r="J1119" s="190" t="str">
        <f>IFERROR(__xludf.DUMMYFUNCTION("""COMPUTED_VALUE"""),"Tier 2")</f>
        <v>Tier 2</v>
      </c>
      <c r="K1119" s="174" t="b">
        <f>IFERROR(__xludf.DUMMYFUNCTION("""COMPUTED_VALUE"""),TRUE)</f>
        <v>1</v>
      </c>
      <c r="L1119" s="174"/>
      <c r="M1119" s="174"/>
      <c r="N1119" s="174"/>
      <c r="O1119" s="174"/>
      <c r="P1119" s="174"/>
      <c r="Q1119" s="174"/>
      <c r="R1119" s="174"/>
      <c r="S1119" s="174"/>
      <c r="T1119" s="174"/>
      <c r="U1119" s="174"/>
      <c r="V1119" s="174"/>
      <c r="W1119" s="174"/>
      <c r="X1119" s="174"/>
      <c r="Y1119" s="174"/>
      <c r="Z1119" s="174"/>
    </row>
    <row r="1120">
      <c r="A1120" s="190" t="str">
        <f>IFERROR(__xludf.DUMMYFUNCTION("""COMPUTED_VALUE"""),"Gear Grind")</f>
        <v>Gear Grind</v>
      </c>
      <c r="B1120" s="190" t="str">
        <f>IFERROR(__xludf.DUMMYFUNCTION("""COMPUTED_VALUE"""),"Steel")</f>
        <v>Steel</v>
      </c>
      <c r="C1120" s="190" t="str">
        <f>IFERROR(__xludf.DUMMYFUNCTION("""COMPUTED_VALUE"""),"Physical")</f>
        <v>Physical</v>
      </c>
      <c r="D1120" s="190" t="str">
        <f>IFERROR(__xludf.DUMMYFUNCTION("""COMPUTED_VALUE"""),"EOT")</f>
        <v>EOT</v>
      </c>
      <c r="E1120" s="190" t="str">
        <f>IFERROR(__xludf.DUMMYFUNCTION("""COMPUTED_VALUE"""),"Melee, 1 Target")</f>
        <v>Melee, 1 Target</v>
      </c>
      <c r="F1120" s="190">
        <f>IFERROR(__xludf.DUMMYFUNCTION("""COMPUTED_VALUE"""),4.0)</f>
        <v>4</v>
      </c>
      <c r="G1120" s="190">
        <f>IFERROR(__xludf.DUMMYFUNCTION("""COMPUTED_VALUE"""),5.0)</f>
        <v>5</v>
      </c>
      <c r="H1120" s="191" t="str">
        <f>IFERROR(__xludf.DUMMYFUNCTION("""COMPUTED_VALUE"""),"Double Strike.")</f>
        <v>Double Strike.</v>
      </c>
      <c r="I1120" s="191" t="str">
        <f>IFERROR(__xludf.DUMMYFUNCTION("""COMPUTED_VALUE"""),"--")</f>
        <v>--</v>
      </c>
      <c r="J1120" s="190" t="str">
        <f>IFERROR(__xludf.DUMMYFUNCTION("""COMPUTED_VALUE"""),"Tier 1")</f>
        <v>Tier 1</v>
      </c>
      <c r="K1120" s="174" t="b">
        <f>IFERROR(__xludf.DUMMYFUNCTION("""COMPUTED_VALUE"""),TRUE)</f>
        <v>1</v>
      </c>
      <c r="L1120" s="174"/>
      <c r="M1120" s="174"/>
      <c r="N1120" s="174"/>
      <c r="O1120" s="174"/>
      <c r="P1120" s="174"/>
      <c r="Q1120" s="174"/>
      <c r="R1120" s="174"/>
      <c r="S1120" s="174"/>
      <c r="T1120" s="174"/>
      <c r="U1120" s="174"/>
      <c r="V1120" s="174"/>
      <c r="W1120" s="174"/>
      <c r="X1120" s="174"/>
      <c r="Y1120" s="174"/>
      <c r="Z1120" s="174"/>
    </row>
    <row r="1121">
      <c r="A1121" s="190" t="str">
        <f>IFERROR(__xludf.DUMMYFUNCTION("""COMPUTED_VALUE"""),"Gear Up")</f>
        <v>Gear Up</v>
      </c>
      <c r="B1121" s="190" t="str">
        <f>IFERROR(__xludf.DUMMYFUNCTION("""COMPUTED_VALUE"""),"Steel")</f>
        <v>Steel</v>
      </c>
      <c r="C1121" s="190" t="str">
        <f>IFERROR(__xludf.DUMMYFUNCTION("""COMPUTED_VALUE"""),"Status")</f>
        <v>Status</v>
      </c>
      <c r="D1121" s="190" t="str">
        <f>IFERROR(__xludf.DUMMYFUNCTION("""COMPUTED_VALUE"""),"Scene x2")</f>
        <v>Scene x2</v>
      </c>
      <c r="E1121" s="190" t="str">
        <f>IFERROR(__xludf.DUMMYFUNCTION("""COMPUTED_VALUE"""),"Self, Versatile")</f>
        <v>Self, Versatile</v>
      </c>
      <c r="F1121" s="190" t="str">
        <f>IFERROR(__xludf.DUMMYFUNCTION("""COMPUTED_VALUE"""),"--")</f>
        <v>--</v>
      </c>
      <c r="G1121" s="190" t="str">
        <f>IFERROR(__xludf.DUMMYFUNCTION("""COMPUTED_VALUE"""),"--")</f>
        <v>--</v>
      </c>
      <c r="H1121" s="191" t="str">
        <f>IFERROR(__xludf.DUMMYFUNCTION("""COMPUTED_VALUE"""),"The user may swap as many of their Stat Combat Stage Values as they wish. Then, any Stats with Negative CS are raised to its Default Value.")</f>
        <v>The user may swap as many of their Stat Combat Stage Values as they wish. Then, any Stats with Negative CS are raised to its Default Value.</v>
      </c>
      <c r="I1121" s="191" t="str">
        <f>IFERROR(__xludf.DUMMYFUNCTION("""COMPUTED_VALUE"""),"The user may swap the Combat Values of two different Stats.")</f>
        <v>The user may swap the Combat Values of two different Stats.</v>
      </c>
      <c r="J1121" s="190" t="str">
        <f>IFERROR(__xludf.DUMMYFUNCTION("""COMPUTED_VALUE"""),"Tier 2")</f>
        <v>Tier 2</v>
      </c>
      <c r="K1121" s="174" t="b">
        <f>IFERROR(__xludf.DUMMYFUNCTION("""COMPUTED_VALUE"""),TRUE)</f>
        <v>1</v>
      </c>
      <c r="L1121" s="174"/>
      <c r="M1121" s="174"/>
      <c r="N1121" s="174"/>
      <c r="O1121" s="174"/>
      <c r="P1121" s="174"/>
      <c r="Q1121" s="174"/>
      <c r="R1121" s="174"/>
      <c r="S1121" s="174"/>
      <c r="T1121" s="174"/>
      <c r="U1121" s="174"/>
      <c r="V1121" s="174"/>
      <c r="W1121" s="174"/>
      <c r="X1121" s="174"/>
      <c r="Y1121" s="174"/>
      <c r="Z1121" s="174"/>
    </row>
    <row r="1122">
      <c r="A1122" s="190" t="str">
        <f>IFERROR(__xludf.DUMMYFUNCTION("""COMPUTED_VALUE"""),"Gigaton Strike")</f>
        <v>Gigaton Strike</v>
      </c>
      <c r="B1122" s="190" t="str">
        <f>IFERROR(__xludf.DUMMYFUNCTION("""COMPUTED_VALUE"""),"Steel")</f>
        <v>Steel</v>
      </c>
      <c r="C1122" s="190" t="str">
        <f>IFERROR(__xludf.DUMMYFUNCTION("""COMPUTED_VALUE"""),"Physical")</f>
        <v>Physical</v>
      </c>
      <c r="D1122" s="190" t="str">
        <f>IFERROR(__xludf.DUMMYFUNCTION("""COMPUTED_VALUE"""),"EOT")</f>
        <v>EOT</v>
      </c>
      <c r="E1122" s="190" t="str">
        <f>IFERROR(__xludf.DUMMYFUNCTION("""COMPUTED_VALUE"""),"Close Blast 3, Full Action, Reckless")</f>
        <v>Close Blast 3, Full Action, Reckless</v>
      </c>
      <c r="F1122" s="190">
        <f>IFERROR(__xludf.DUMMYFUNCTION("""COMPUTED_VALUE"""),7.0)</f>
        <v>7</v>
      </c>
      <c r="G1122" s="190">
        <f>IFERROR(__xludf.DUMMYFUNCTION("""COMPUTED_VALUE"""),14.0)</f>
        <v>14</v>
      </c>
      <c r="H1122" s="191" t="str">
        <f>IFERROR(__xludf.DUMMYFUNCTION("""COMPUTED_VALUE"""),"Until the end of the next Round, all Attacks against the user automatically hit and cannot be resisted by any means. Smite")</f>
        <v>Until the end of the next Round, all Attacks against the user automatically hit and cannot be resisted by any means. Smite</v>
      </c>
      <c r="I1122" s="191" t="str">
        <f>IFERROR(__xludf.DUMMYFUNCTION("""COMPUTED_VALUE"""),"--")</f>
        <v>--</v>
      </c>
      <c r="J1122" s="190" t="str">
        <f>IFERROR(__xludf.DUMMYFUNCTION("""COMPUTED_VALUE"""),"Tier 3")</f>
        <v>Tier 3</v>
      </c>
      <c r="K1122" s="174" t="b">
        <f>IFERROR(__xludf.DUMMYFUNCTION("""COMPUTED_VALUE"""),TRUE)</f>
        <v>1</v>
      </c>
      <c r="L1122" s="174"/>
      <c r="M1122" s="174"/>
      <c r="N1122" s="174"/>
      <c r="O1122" s="174"/>
      <c r="P1122" s="174"/>
      <c r="Q1122" s="174"/>
      <c r="R1122" s="174"/>
      <c r="S1122" s="174"/>
      <c r="T1122" s="174"/>
      <c r="U1122" s="174"/>
      <c r="V1122" s="174"/>
      <c r="W1122" s="174"/>
      <c r="X1122" s="174"/>
      <c r="Y1122" s="174"/>
      <c r="Z1122" s="174"/>
    </row>
    <row r="1123">
      <c r="A1123" s="190" t="str">
        <f>IFERROR(__xludf.DUMMYFUNCTION("""COMPUTED_VALUE"""),"Gyro Ball")</f>
        <v>Gyro Ball</v>
      </c>
      <c r="B1123" s="190" t="str">
        <f>IFERROR(__xludf.DUMMYFUNCTION("""COMPUTED_VALUE"""),"Steel")</f>
        <v>Steel</v>
      </c>
      <c r="C1123" s="190" t="str">
        <f>IFERROR(__xludf.DUMMYFUNCTION("""COMPUTED_VALUE"""),"Physical")</f>
        <v>Physical</v>
      </c>
      <c r="D1123" s="190" t="str">
        <f>IFERROR(__xludf.DUMMYFUNCTION("""COMPUTED_VALUE"""),"Scene x2")</f>
        <v>Scene x2</v>
      </c>
      <c r="E1123" s="190" t="str">
        <f>IFERROR(__xludf.DUMMYFUNCTION("""COMPUTED_VALUE"""),"Melee, 1 Target, Dash")</f>
        <v>Melee, 1 Target, Dash</v>
      </c>
      <c r="F1123" s="190">
        <f>IFERROR(__xludf.DUMMYFUNCTION("""COMPUTED_VALUE"""),3.0)</f>
        <v>3</v>
      </c>
      <c r="G1123" s="190">
        <f>IFERROR(__xludf.DUMMYFUNCTION("""COMPUTED_VALUE"""),8.0)</f>
        <v>8</v>
      </c>
      <c r="H1123" s="191" t="str">
        <f>IFERROR(__xludf.DUMMYFUNCTION("""COMPUTED_VALUE"""),"If the Dash Keyword is Activated, this Attack ignores Speed Evasion.")</f>
        <v>If the Dash Keyword is Activated, this Attack ignores Speed Evasion.</v>
      </c>
      <c r="I1123" s="191" t="str">
        <f>IFERROR(__xludf.DUMMYFUNCTION("""COMPUTED_VALUE"""),"--")</f>
        <v>--</v>
      </c>
      <c r="J1123" s="190" t="str">
        <f>IFERROR(__xludf.DUMMYFUNCTION("""COMPUTED_VALUE"""),"Tier 2")</f>
        <v>Tier 2</v>
      </c>
      <c r="K1123" s="174" t="b">
        <f>IFERROR(__xludf.DUMMYFUNCTION("""COMPUTED_VALUE"""),TRUE)</f>
        <v>1</v>
      </c>
      <c r="L1123" s="174"/>
      <c r="M1123" s="174"/>
      <c r="N1123" s="174"/>
      <c r="O1123" s="174"/>
      <c r="P1123" s="174"/>
      <c r="Q1123" s="174"/>
      <c r="R1123" s="174"/>
      <c r="S1123" s="174"/>
      <c r="T1123" s="174"/>
      <c r="U1123" s="174"/>
      <c r="V1123" s="174"/>
      <c r="W1123" s="174"/>
      <c r="X1123" s="174"/>
      <c r="Y1123" s="174"/>
      <c r="Z1123" s="174"/>
    </row>
    <row r="1124">
      <c r="A1124" s="190" t="str">
        <f>IFERROR(__xludf.DUMMYFUNCTION("""COMPUTED_VALUE"""),"Heavy Slam")</f>
        <v>Heavy Slam</v>
      </c>
      <c r="B1124" s="190" t="str">
        <f>IFERROR(__xludf.DUMMYFUNCTION("""COMPUTED_VALUE"""),"Steel")</f>
        <v>Steel</v>
      </c>
      <c r="C1124" s="190" t="str">
        <f>IFERROR(__xludf.DUMMYFUNCTION("""COMPUTED_VALUE"""),"Physical")</f>
        <v>Physical</v>
      </c>
      <c r="D1124" s="190" t="str">
        <f>IFERROR(__xludf.DUMMYFUNCTION("""COMPUTED_VALUE"""),"EOT")</f>
        <v>EOT</v>
      </c>
      <c r="E1124" s="190" t="str">
        <f>IFERROR(__xludf.DUMMYFUNCTION("""COMPUTED_VALUE"""),"Melee, 1 Target ")</f>
        <v>Melee, 1 Target </v>
      </c>
      <c r="F1124" s="190">
        <f>IFERROR(__xludf.DUMMYFUNCTION("""COMPUTED_VALUE"""),3.0)</f>
        <v>3</v>
      </c>
      <c r="G1124" s="190">
        <f>IFERROR(__xludf.DUMMYFUNCTION("""COMPUTED_VALUE"""),4.0)</f>
        <v>4</v>
      </c>
      <c r="H1124" s="191" t="str">
        <f>IFERROR(__xludf.DUMMYFUNCTION("""COMPUTED_VALUE"""),"For each weight class the user is above the Target, increase Heavy Slam's Damage Base by +2.")</f>
        <v>For each weight class the user is above the Target, increase Heavy Slam's Damage Base by +2.</v>
      </c>
      <c r="I1124" s="191" t="str">
        <f>IFERROR(__xludf.DUMMYFUNCTION("""COMPUTED_VALUE"""),"--")</f>
        <v>--</v>
      </c>
      <c r="J1124" s="190" t="str">
        <f>IFERROR(__xludf.DUMMYFUNCTION("""COMPUTED_VALUE"""),"Tier 2")</f>
        <v>Tier 2</v>
      </c>
      <c r="K1124" s="174" t="b">
        <f>IFERROR(__xludf.DUMMYFUNCTION("""COMPUTED_VALUE"""),TRUE)</f>
        <v>1</v>
      </c>
      <c r="L1124" s="174"/>
      <c r="M1124" s="174"/>
      <c r="N1124" s="174"/>
      <c r="O1124" s="174"/>
      <c r="P1124" s="174"/>
      <c r="Q1124" s="174"/>
      <c r="R1124" s="174"/>
      <c r="S1124" s="174"/>
      <c r="T1124" s="174"/>
      <c r="U1124" s="174"/>
      <c r="V1124" s="174"/>
      <c r="W1124" s="174"/>
      <c r="X1124" s="174"/>
      <c r="Y1124" s="174"/>
      <c r="Z1124" s="174"/>
    </row>
    <row r="1125">
      <c r="A1125" s="190" t="str">
        <f>IFERROR(__xludf.DUMMYFUNCTION("""COMPUTED_VALUE"""),"Inertial Throw")</f>
        <v>Inertial Throw</v>
      </c>
      <c r="B1125" s="190" t="str">
        <f>IFERROR(__xludf.DUMMYFUNCTION("""COMPUTED_VALUE"""),"Steel")</f>
        <v>Steel</v>
      </c>
      <c r="C1125" s="190" t="str">
        <f>IFERROR(__xludf.DUMMYFUNCTION("""COMPUTED_VALUE"""),"Special")</f>
        <v>Special</v>
      </c>
      <c r="D1125" s="190" t="str">
        <f>IFERROR(__xludf.DUMMYFUNCTION("""COMPUTED_VALUE"""),"EOT")</f>
        <v>EOT</v>
      </c>
      <c r="E1125" s="190" t="str">
        <f>IFERROR(__xludf.DUMMYFUNCTION("""COMPUTED_VALUE"""),"6, 1 Target")</f>
        <v>6, 1 Target</v>
      </c>
      <c r="F1125" s="190">
        <f>IFERROR(__xludf.DUMMYFUNCTION("""COMPUTED_VALUE"""),3.0)</f>
        <v>3</v>
      </c>
      <c r="G1125" s="190">
        <f>IFERROR(__xludf.DUMMYFUNCTION("""COMPUTED_VALUE"""),6.0)</f>
        <v>6</v>
      </c>
      <c r="H1125" s="191" t="str">
        <f>IFERROR(__xludf.DUMMYFUNCTION("""COMPUTED_VALUE"""),"The user may Slide the Target a number of Meters equal to 6 minus their Weight Class.")</f>
        <v>The user may Slide the Target a number of Meters equal to 6 minus their Weight Class.</v>
      </c>
      <c r="I1125" s="191" t="str">
        <f>IFERROR(__xludf.DUMMYFUNCTION("""COMPUTED_VALUE"""),"--")</f>
        <v>--</v>
      </c>
      <c r="J1125" s="190" t="str">
        <f>IFERROR(__xludf.DUMMYFUNCTION("""COMPUTED_VALUE"""),"Tier 1")</f>
        <v>Tier 1</v>
      </c>
      <c r="K1125" s="174" t="b">
        <f>IFERROR(__xludf.DUMMYFUNCTION("""COMPUTED_VALUE"""),TRUE)</f>
        <v>1</v>
      </c>
      <c r="L1125" s="174"/>
      <c r="M1125" s="174"/>
      <c r="N1125" s="174"/>
      <c r="O1125" s="174"/>
      <c r="P1125" s="174"/>
      <c r="Q1125" s="174"/>
      <c r="R1125" s="174"/>
      <c r="S1125" s="174"/>
      <c r="T1125" s="174"/>
      <c r="U1125" s="174"/>
      <c r="V1125" s="174"/>
      <c r="W1125" s="174"/>
      <c r="X1125" s="174"/>
      <c r="Y1125" s="174"/>
      <c r="Z1125" s="174"/>
    </row>
    <row r="1126">
      <c r="A1126" s="190" t="str">
        <f>IFERROR(__xludf.DUMMYFUNCTION("""COMPUTED_VALUE"""),"Iron Blade")</f>
        <v>Iron Blade</v>
      </c>
      <c r="B1126" s="190" t="str">
        <f>IFERROR(__xludf.DUMMYFUNCTION("""COMPUTED_VALUE"""),"Steel")</f>
        <v>Steel</v>
      </c>
      <c r="C1126" s="190" t="str">
        <f>IFERROR(__xludf.DUMMYFUNCTION("""COMPUTED_VALUE"""),"Physical")</f>
        <v>Physical</v>
      </c>
      <c r="D1126" s="190" t="str">
        <f>IFERROR(__xludf.DUMMYFUNCTION("""COMPUTED_VALUE"""),"EOT")</f>
        <v>EOT</v>
      </c>
      <c r="E1126" s="190" t="str">
        <f>IFERROR(__xludf.DUMMYFUNCTION("""COMPUTED_VALUE"""),"Melee, Pass, Dash")</f>
        <v>Melee, Pass, Dash</v>
      </c>
      <c r="F1126" s="190">
        <f>IFERROR(__xludf.DUMMYFUNCTION("""COMPUTED_VALUE"""),6.0)</f>
        <v>6</v>
      </c>
      <c r="G1126" s="190">
        <f>IFERROR(__xludf.DUMMYFUNCTION("""COMPUTED_VALUE"""),9.0)</f>
        <v>9</v>
      </c>
      <c r="H1126" s="191" t="str">
        <f>IFERROR(__xludf.DUMMYFUNCTION("""COMPUTED_VALUE"""),"Iron Blade is a Critical Hit on a roll of 18+, or a 16+ if the Dash Keyword is Activated.")</f>
        <v>Iron Blade is a Critical Hit on a roll of 18+, or a 16+ if the Dash Keyword is Activated.</v>
      </c>
      <c r="I1126" s="191" t="str">
        <f>IFERROR(__xludf.DUMMYFUNCTION("""COMPUTED_VALUE"""),"--")</f>
        <v>--</v>
      </c>
      <c r="J1126" s="190" t="str">
        <f>IFERROR(__xludf.DUMMYFUNCTION("""COMPUTED_VALUE"""),"Tier 2")</f>
        <v>Tier 2</v>
      </c>
      <c r="K1126" s="174" t="b">
        <f>IFERROR(__xludf.DUMMYFUNCTION("""COMPUTED_VALUE"""),TRUE)</f>
        <v>1</v>
      </c>
      <c r="L1126" s="174"/>
      <c r="M1126" s="174"/>
      <c r="N1126" s="174"/>
      <c r="O1126" s="174"/>
      <c r="P1126" s="174"/>
      <c r="Q1126" s="174"/>
      <c r="R1126" s="174"/>
      <c r="S1126" s="174"/>
      <c r="T1126" s="174"/>
      <c r="U1126" s="174"/>
      <c r="V1126" s="174"/>
      <c r="W1126" s="174"/>
      <c r="X1126" s="174"/>
      <c r="Y1126" s="174"/>
      <c r="Z1126" s="174"/>
    </row>
    <row r="1127">
      <c r="A1127" s="190" t="str">
        <f>IFERROR(__xludf.DUMMYFUNCTION("""COMPUTED_VALUE"""),"Iron Coating")</f>
        <v>Iron Coating</v>
      </c>
      <c r="B1127" s="190" t="str">
        <f>IFERROR(__xludf.DUMMYFUNCTION("""COMPUTED_VALUE"""),"Steel")</f>
        <v>Steel</v>
      </c>
      <c r="C1127" s="190" t="str">
        <f>IFERROR(__xludf.DUMMYFUNCTION("""COMPUTED_VALUE"""),"Status")</f>
        <v>Status</v>
      </c>
      <c r="D1127" s="190" t="str">
        <f>IFERROR(__xludf.DUMMYFUNCTION("""COMPUTED_VALUE"""),"Scene x2")</f>
        <v>Scene x2</v>
      </c>
      <c r="E1127" s="190" t="str">
        <f>IFERROR(__xludf.DUMMYFUNCTION("""COMPUTED_VALUE"""),"Melee, 1 Target or Self; Coat, Versatile")</f>
        <v>Melee, 1 Target or Self; Coat, Versatile</v>
      </c>
      <c r="F1127" s="190" t="str">
        <f>IFERROR(__xludf.DUMMYFUNCTION("""COMPUTED_VALUE"""),"--")</f>
        <v>--</v>
      </c>
      <c r="G1127" s="190" t="str">
        <f>IFERROR(__xludf.DUMMYFUNCTION("""COMPUTED_VALUE"""),"--")</f>
        <v>--</v>
      </c>
      <c r="H1127" s="191" t="str">
        <f>IFERROR(__xludf.DUMMYFUNCTION("""COMPUTED_VALUE"""),"The Target gains an Iron Coat. While a Combatant has an Iron Coat, they gain Damage Reduction equal to your Tick Value. Whenever the Target takes damage they reduce the DR gained this way -5 after Damage Calculations. The Coat is expended when the DR gain"&amp;"ed this way goes to 0 or lower.")</f>
        <v>The Target gains an Iron Coat. While a Combatant has an Iron Coat, they gain Damage Reduction equal to your Tick Value. Whenever the Target takes damage they reduce the DR gained this way -5 after Damage Calculations. The Coat is expended when the DR gained this way goes to 0 or lower.</v>
      </c>
      <c r="I1127" s="191" t="str">
        <f>IFERROR(__xludf.DUMMYFUNCTION("""COMPUTED_VALUE"""),"Same as the normal Effects, but whenever the Target takes damage, the Iron Coat is expended.")</f>
        <v>Same as the normal Effects, but whenever the Target takes damage, the Iron Coat is expended.</v>
      </c>
      <c r="J1127" s="190" t="str">
        <f>IFERROR(__xludf.DUMMYFUNCTION("""COMPUTED_VALUE"""),"Tier 2")</f>
        <v>Tier 2</v>
      </c>
      <c r="K1127" s="174" t="b">
        <f>IFERROR(__xludf.DUMMYFUNCTION("""COMPUTED_VALUE"""),TRUE)</f>
        <v>1</v>
      </c>
      <c r="L1127" s="174"/>
      <c r="M1127" s="174"/>
      <c r="N1127" s="174"/>
      <c r="O1127" s="174"/>
      <c r="P1127" s="174"/>
      <c r="Q1127" s="174"/>
      <c r="R1127" s="174"/>
      <c r="S1127" s="174"/>
      <c r="T1127" s="174"/>
      <c r="U1127" s="174"/>
      <c r="V1127" s="174"/>
      <c r="W1127" s="174"/>
      <c r="X1127" s="174"/>
      <c r="Y1127" s="174"/>
      <c r="Z1127" s="174"/>
    </row>
    <row r="1128">
      <c r="A1128" s="190" t="str">
        <f>IFERROR(__xludf.DUMMYFUNCTION("""COMPUTED_VALUE"""),"Iron Defense")</f>
        <v>Iron Defense</v>
      </c>
      <c r="B1128" s="190" t="str">
        <f>IFERROR(__xludf.DUMMYFUNCTION("""COMPUTED_VALUE"""),"Steel")</f>
        <v>Steel</v>
      </c>
      <c r="C1128" s="190" t="str">
        <f>IFERROR(__xludf.DUMMYFUNCTION("""COMPUTED_VALUE"""),"Status")</f>
        <v>Status</v>
      </c>
      <c r="D1128" s="190" t="str">
        <f>IFERROR(__xludf.DUMMYFUNCTION("""COMPUTED_VALUE"""),"EOT")</f>
        <v>EOT</v>
      </c>
      <c r="E1128" s="190" t="str">
        <f>IFERROR(__xludf.DUMMYFUNCTION("""COMPUTED_VALUE"""),"Self, Versatile")</f>
        <v>Self, Versatile</v>
      </c>
      <c r="F1128" s="190" t="str">
        <f>IFERROR(__xludf.DUMMYFUNCTION("""COMPUTED_VALUE"""),"--")</f>
        <v>--</v>
      </c>
      <c r="G1128" s="190" t="str">
        <f>IFERROR(__xludf.DUMMYFUNCTION("""COMPUTED_VALUE"""),"--")</f>
        <v>--</v>
      </c>
      <c r="H1128" s="191" t="str">
        <f>IFERROR(__xludf.DUMMYFUNCTION("""COMPUTED_VALUE"""),"Raise the user's Defense by +2 CS and is cured of a Physical Affliction.")</f>
        <v>Raise the user's Defense by +2 CS and is cured of a Physical Affliction.</v>
      </c>
      <c r="I1128" s="191" t="str">
        <f>IFERROR(__xludf.DUMMYFUNCTION("""COMPUTED_VALUE"""),"The user gains +1 CS in Defense. ")</f>
        <v>The user gains +1 CS in Defense. </v>
      </c>
      <c r="J1128" s="190" t="str">
        <f>IFERROR(__xludf.DUMMYFUNCTION("""COMPUTED_VALUE"""),"Tier 1")</f>
        <v>Tier 1</v>
      </c>
      <c r="K1128" s="174" t="b">
        <f>IFERROR(__xludf.DUMMYFUNCTION("""COMPUTED_VALUE"""),TRUE)</f>
        <v>1</v>
      </c>
      <c r="L1128" s="174"/>
      <c r="M1128" s="174"/>
      <c r="N1128" s="174"/>
      <c r="O1128" s="174"/>
      <c r="P1128" s="174"/>
      <c r="Q1128" s="174"/>
      <c r="R1128" s="174"/>
      <c r="S1128" s="174"/>
      <c r="T1128" s="174"/>
      <c r="U1128" s="174"/>
      <c r="V1128" s="174"/>
      <c r="W1128" s="174"/>
      <c r="X1128" s="174"/>
      <c r="Y1128" s="174"/>
      <c r="Z1128" s="174"/>
    </row>
    <row r="1129">
      <c r="A1129" s="190" t="str">
        <f>IFERROR(__xludf.DUMMYFUNCTION("""COMPUTED_VALUE"""),"Iron Head")</f>
        <v>Iron Head</v>
      </c>
      <c r="B1129" s="190" t="str">
        <f>IFERROR(__xludf.DUMMYFUNCTION("""COMPUTED_VALUE"""),"Steel")</f>
        <v>Steel</v>
      </c>
      <c r="C1129" s="190" t="str">
        <f>IFERROR(__xludf.DUMMYFUNCTION("""COMPUTED_VALUE"""),"Physical")</f>
        <v>Physical</v>
      </c>
      <c r="D1129" s="190" t="str">
        <f>IFERROR(__xludf.DUMMYFUNCTION("""COMPUTED_VALUE"""),"EOT")</f>
        <v>EOT</v>
      </c>
      <c r="E1129" s="190" t="str">
        <f>IFERROR(__xludf.DUMMYFUNCTION("""COMPUTED_VALUE"""),"Melee, 1 Target, Dash")</f>
        <v>Melee, 1 Target, Dash</v>
      </c>
      <c r="F1129" s="190">
        <f>IFERROR(__xludf.DUMMYFUNCTION("""COMPUTED_VALUE"""),3.0)</f>
        <v>3</v>
      </c>
      <c r="G1129" s="190">
        <f>IFERROR(__xludf.DUMMYFUNCTION("""COMPUTED_VALUE"""),8.0)</f>
        <v>8</v>
      </c>
      <c r="H1129" s="191" t="str">
        <f>IFERROR(__xludf.DUMMYFUNCTION("""COMPUTED_VALUE"""),"If the Dash Keyword is Activated, they cannot apply Physical Evasion against this Attack. Smite")</f>
        <v>If the Dash Keyword is Activated, they cannot apply Physical Evasion against this Attack. Smite</v>
      </c>
      <c r="I1129" s="191" t="str">
        <f>IFERROR(__xludf.DUMMYFUNCTION("""COMPUTED_VALUE"""),"--")</f>
        <v>--</v>
      </c>
      <c r="J1129" s="190" t="str">
        <f>IFERROR(__xludf.DUMMYFUNCTION("""COMPUTED_VALUE"""),"Tier 2")</f>
        <v>Tier 2</v>
      </c>
      <c r="K1129" s="174" t="b">
        <f>IFERROR(__xludf.DUMMYFUNCTION("""COMPUTED_VALUE"""),TRUE)</f>
        <v>1</v>
      </c>
      <c r="L1129" s="174"/>
      <c r="M1129" s="174"/>
      <c r="N1129" s="174"/>
      <c r="O1129" s="174"/>
      <c r="P1129" s="174"/>
      <c r="Q1129" s="174"/>
      <c r="R1129" s="174"/>
      <c r="S1129" s="174"/>
      <c r="T1129" s="174"/>
      <c r="U1129" s="174"/>
      <c r="V1129" s="174"/>
      <c r="W1129" s="174"/>
      <c r="X1129" s="174"/>
      <c r="Y1129" s="174"/>
      <c r="Z1129" s="174"/>
    </row>
    <row r="1130">
      <c r="A1130" s="190" t="str">
        <f>IFERROR(__xludf.DUMMYFUNCTION("""COMPUTED_VALUE"""),"Iron Jaw")</f>
        <v>Iron Jaw</v>
      </c>
      <c r="B1130" s="190" t="str">
        <f>IFERROR(__xludf.DUMMYFUNCTION("""COMPUTED_VALUE"""),"Steel")</f>
        <v>Steel</v>
      </c>
      <c r="C1130" s="190" t="str">
        <f>IFERROR(__xludf.DUMMYFUNCTION("""COMPUTED_VALUE"""),"Physical")</f>
        <v>Physical</v>
      </c>
      <c r="D1130" s="190" t="str">
        <f>IFERROR(__xludf.DUMMYFUNCTION("""COMPUTED_VALUE"""),"EOT")</f>
        <v>EOT</v>
      </c>
      <c r="E1130" s="190" t="str">
        <f>IFERROR(__xludf.DUMMYFUNCTION("""COMPUTED_VALUE"""),"Melee, 1 Target, Bite")</f>
        <v>Melee, 1 Target, Bite</v>
      </c>
      <c r="F1130" s="190">
        <f>IFERROR(__xludf.DUMMYFUNCTION("""COMPUTED_VALUE"""),3.0)</f>
        <v>3</v>
      </c>
      <c r="G1130" s="190">
        <f>IFERROR(__xludf.DUMMYFUNCTION("""COMPUTED_VALUE"""),8.0)</f>
        <v>8</v>
      </c>
      <c r="H1130" s="191" t="str">
        <f>IFERROR(__xludf.DUMMYFUNCTION("""COMPUTED_VALUE"""),"The Target loses -2 CS in Defense. On a roll of 17+, the Target becomes Wounded. Spirit Surge.")</f>
        <v>The Target loses -2 CS in Defense. On a roll of 17+, the Target becomes Wounded. Spirit Surge.</v>
      </c>
      <c r="I1130" s="191" t="str">
        <f>IFERROR(__xludf.DUMMYFUNCTION("""COMPUTED_VALUE"""),"--")</f>
        <v>--</v>
      </c>
      <c r="J1130" s="190" t="str">
        <f>IFERROR(__xludf.DUMMYFUNCTION("""COMPUTED_VALUE"""),"Tier 2")</f>
        <v>Tier 2</v>
      </c>
      <c r="K1130" s="174" t="b">
        <f>IFERROR(__xludf.DUMMYFUNCTION("""COMPUTED_VALUE"""),TRUE)</f>
        <v>1</v>
      </c>
      <c r="L1130" s="174"/>
      <c r="M1130" s="174"/>
      <c r="N1130" s="174"/>
      <c r="O1130" s="174"/>
      <c r="P1130" s="174"/>
      <c r="Q1130" s="174"/>
      <c r="R1130" s="174"/>
      <c r="S1130" s="174"/>
      <c r="T1130" s="174"/>
      <c r="U1130" s="174"/>
      <c r="V1130" s="174"/>
      <c r="W1130" s="174"/>
      <c r="X1130" s="174"/>
      <c r="Y1130" s="174"/>
      <c r="Z1130" s="174"/>
    </row>
    <row r="1131">
      <c r="A1131" s="190" t="str">
        <f>IFERROR(__xludf.DUMMYFUNCTION("""COMPUTED_VALUE"""),"Iron Spikes")</f>
        <v>Iron Spikes</v>
      </c>
      <c r="B1131" s="190" t="str">
        <f>IFERROR(__xludf.DUMMYFUNCTION("""COMPUTED_VALUE"""),"Steel")</f>
        <v>Steel</v>
      </c>
      <c r="C1131" s="190" t="str">
        <f>IFERROR(__xludf.DUMMYFUNCTION("""COMPUTED_VALUE"""),"Status")</f>
        <v>Status</v>
      </c>
      <c r="D1131" s="190" t="str">
        <f>IFERROR(__xludf.DUMMYFUNCTION("""COMPUTED_VALUE"""),"EOT")</f>
        <v>EOT</v>
      </c>
      <c r="E1131" s="190" t="str">
        <f>IFERROR(__xludf.DUMMYFUNCTION("""COMPUTED_VALUE"""),"6, Hazard, Swift Action")</f>
        <v>6, Hazard, Swift Action</v>
      </c>
      <c r="F1131" s="190" t="str">
        <f>IFERROR(__xludf.DUMMYFUNCTION("""COMPUTED_VALUE"""),"--")</f>
        <v>--</v>
      </c>
      <c r="G1131" s="190" t="str">
        <f>IFERROR(__xludf.DUMMYFUNCTION("""COMPUTED_VALUE"""),"--")</f>
        <v>--</v>
      </c>
      <c r="H1131" s="191" t="str">
        <f>IFERROR(__xludf.DUMMYFUNCTION("""COMPUTED_VALUE"""),"Choose 8 Spaces within the Range of this Attack to create Spike Hazards in, such that all 8 Spaces are Adjacent to at least one other Spike Hazard. Enemies that Trigger Spike Hazards created this way also become Wounded.
Spike Hazards - Spaces with Spike"&amp;" Hazards are treated as Slow Terrain. Any Enemy that passes through a Spike Hazard loses One Tick of Hit Points and cannot gain Hit Points or Temporary Hit Points until the end of the next Round.")</f>
        <v>Choose 8 Spaces within the Range of this Attack to create Spike Hazards in, such that all 8 Spaces are Adjacent to at least one other Spike Hazard. Enemies that Trigger Spike Hazards created this way also become Wounded.
Spike Hazards - Spaces with Spike Hazards are treated as Slow Terrain. Any Enemy that passes through a Spike Hazard loses One Tick of Hit Points and cannot gain Hit Points or Temporary Hit Points until the end of the next Round.</v>
      </c>
      <c r="I1131" s="191" t="str">
        <f>IFERROR(__xludf.DUMMYFUNCTION("""COMPUTED_VALUE"""),"--")</f>
        <v>--</v>
      </c>
      <c r="J1131" s="190" t="str">
        <f>IFERROR(__xludf.DUMMYFUNCTION("""COMPUTED_VALUE"""),"Tier 1")</f>
        <v>Tier 1</v>
      </c>
      <c r="K1131" s="174" t="b">
        <f>IFERROR(__xludf.DUMMYFUNCTION("""COMPUTED_VALUE"""),TRUE)</f>
        <v>1</v>
      </c>
      <c r="L1131" s="174"/>
      <c r="M1131" s="174"/>
      <c r="N1131" s="174"/>
      <c r="O1131" s="174"/>
      <c r="P1131" s="174"/>
      <c r="Q1131" s="174"/>
      <c r="R1131" s="174"/>
      <c r="S1131" s="174"/>
      <c r="T1131" s="174"/>
      <c r="U1131" s="174"/>
      <c r="V1131" s="174"/>
      <c r="W1131" s="174"/>
      <c r="X1131" s="174"/>
      <c r="Y1131" s="174"/>
      <c r="Z1131" s="174"/>
    </row>
    <row r="1132">
      <c r="A1132" s="190" t="str">
        <f>IFERROR(__xludf.DUMMYFUNCTION("""COMPUTED_VALUE"""),"Iron Tail")</f>
        <v>Iron Tail</v>
      </c>
      <c r="B1132" s="190" t="str">
        <f>IFERROR(__xludf.DUMMYFUNCTION("""COMPUTED_VALUE"""),"Steel")</f>
        <v>Steel</v>
      </c>
      <c r="C1132" s="190" t="str">
        <f>IFERROR(__xludf.DUMMYFUNCTION("""COMPUTED_VALUE"""),"Physical")</f>
        <v>Physical</v>
      </c>
      <c r="D1132" s="190" t="str">
        <f>IFERROR(__xludf.DUMMYFUNCTION("""COMPUTED_VALUE"""),"Scene x2")</f>
        <v>Scene x2</v>
      </c>
      <c r="E1132" s="190" t="str">
        <f>IFERROR(__xludf.DUMMYFUNCTION("""COMPUTED_VALUE"""),"Melee, 1 Target, Dash")</f>
        <v>Melee, 1 Target, Dash</v>
      </c>
      <c r="F1132" s="190">
        <f>IFERROR(__xludf.DUMMYFUNCTION("""COMPUTED_VALUE"""),3.0)</f>
        <v>3</v>
      </c>
      <c r="G1132" s="190">
        <f>IFERROR(__xludf.DUMMYFUNCTION("""COMPUTED_VALUE"""),10.0)</f>
        <v>10</v>
      </c>
      <c r="H1132" s="191" t="str">
        <f>IFERROR(__xludf.DUMMYFUNCTION("""COMPUTED_VALUE"""),"If the Dash Keyword is Activated, the user may use their Defense as if it were the Offensive Stat for this Attack. If the user is Huge Sized, this Attack may also be used as if it were Close Blast 2. Smite")</f>
        <v>If the Dash Keyword is Activated, the user may use their Defense as if it were the Offensive Stat for this Attack. If the user is Huge Sized, this Attack may also be used as if it were Close Blast 2. Smite</v>
      </c>
      <c r="I1132" s="191" t="str">
        <f>IFERROR(__xludf.DUMMYFUNCTION("""COMPUTED_VALUE"""),"--")</f>
        <v>--</v>
      </c>
      <c r="J1132" s="190" t="str">
        <f>IFERROR(__xludf.DUMMYFUNCTION("""COMPUTED_VALUE"""),"Tier 3")</f>
        <v>Tier 3</v>
      </c>
      <c r="K1132" s="174" t="b">
        <f>IFERROR(__xludf.DUMMYFUNCTION("""COMPUTED_VALUE"""),TRUE)</f>
        <v>1</v>
      </c>
      <c r="L1132" s="174"/>
      <c r="M1132" s="174"/>
      <c r="N1132" s="174"/>
      <c r="O1132" s="174"/>
      <c r="P1132" s="174"/>
      <c r="Q1132" s="174"/>
      <c r="R1132" s="174"/>
      <c r="S1132" s="174"/>
      <c r="T1132" s="174"/>
      <c r="U1132" s="174"/>
      <c r="V1132" s="174"/>
      <c r="W1132" s="174"/>
      <c r="X1132" s="174"/>
      <c r="Y1132" s="174"/>
      <c r="Z1132" s="174"/>
    </row>
    <row r="1133">
      <c r="A1133" s="190" t="str">
        <f>IFERROR(__xludf.DUMMYFUNCTION("""COMPUTED_VALUE"""),"Kinetic Strike")</f>
        <v>Kinetic Strike</v>
      </c>
      <c r="B1133" s="190" t="str">
        <f>IFERROR(__xludf.DUMMYFUNCTION("""COMPUTED_VALUE"""),"Steel")</f>
        <v>Steel</v>
      </c>
      <c r="C1133" s="190" t="str">
        <f>IFERROR(__xludf.DUMMYFUNCTION("""COMPUTED_VALUE"""),"Physical")</f>
        <v>Physical</v>
      </c>
      <c r="D1133" s="190" t="str">
        <f>IFERROR(__xludf.DUMMYFUNCTION("""COMPUTED_VALUE"""),"Scene x2")</f>
        <v>Scene x2</v>
      </c>
      <c r="E1133" s="190" t="str">
        <f>IFERROR(__xludf.DUMMYFUNCTION("""COMPUTED_VALUE"""),"Melee, 1 Target")</f>
        <v>Melee, 1 Target</v>
      </c>
      <c r="F1133" s="190">
        <f>IFERROR(__xludf.DUMMYFUNCTION("""COMPUTED_VALUE"""),3.0)</f>
        <v>3</v>
      </c>
      <c r="G1133" s="190">
        <f>IFERROR(__xludf.DUMMYFUNCTION("""COMPUTED_VALUE"""),10.0)</f>
        <v>10</v>
      </c>
      <c r="H1133" s="191" t="str">
        <f>IFERROR(__xludf.DUMMYFUNCTION("""COMPUTED_VALUE"""),"Calculate the difference in Weight Class between the user and the Target. If the user is heavier by less than 3 WC, this has the Smite Keyword. If they're heavier by 3 or more WC, this has Sureshot and is a Critical Hit on 17+.")</f>
        <v>Calculate the difference in Weight Class between the user and the Target. If the user is heavier by less than 3 WC, this has the Smite Keyword. If they're heavier by 3 or more WC, this has Sureshot and is a Critical Hit on 17+.</v>
      </c>
      <c r="I1133" s="191" t="str">
        <f>IFERROR(__xludf.DUMMYFUNCTION("""COMPUTED_VALUE"""),"--")</f>
        <v>--</v>
      </c>
      <c r="J1133" s="190" t="str">
        <f>IFERROR(__xludf.DUMMYFUNCTION("""COMPUTED_VALUE"""),"Tier 3")</f>
        <v>Tier 3</v>
      </c>
      <c r="K1133" s="174" t="b">
        <f>IFERROR(__xludf.DUMMYFUNCTION("""COMPUTED_VALUE"""),TRUE)</f>
        <v>1</v>
      </c>
      <c r="L1133" s="174"/>
      <c r="M1133" s="174"/>
      <c r="N1133" s="174"/>
      <c r="O1133" s="174"/>
      <c r="P1133" s="174"/>
      <c r="Q1133" s="174"/>
      <c r="R1133" s="174"/>
      <c r="S1133" s="174"/>
      <c r="T1133" s="174"/>
      <c r="U1133" s="174"/>
      <c r="V1133" s="174"/>
      <c r="W1133" s="174"/>
      <c r="X1133" s="174"/>
      <c r="Y1133" s="174"/>
      <c r="Z1133" s="174"/>
    </row>
    <row r="1134">
      <c r="A1134" s="190" t="str">
        <f>IFERROR(__xludf.DUMMYFUNCTION("""COMPUTED_VALUE"""),"King's Shield")</f>
        <v>King's Shield</v>
      </c>
      <c r="B1134" s="190" t="str">
        <f>IFERROR(__xludf.DUMMYFUNCTION("""COMPUTED_VALUE"""),"Steel")</f>
        <v>Steel</v>
      </c>
      <c r="C1134" s="190" t="str">
        <f>IFERROR(__xludf.DUMMYFUNCTION("""COMPUTED_VALUE"""),"Status")</f>
        <v>Status</v>
      </c>
      <c r="D1134" s="190" t="str">
        <f>IFERROR(__xludf.DUMMYFUNCTION("""COMPUTED_VALUE"""),"Scene")</f>
        <v>Scene</v>
      </c>
      <c r="E1134" s="190" t="str">
        <f>IFERROR(__xludf.DUMMYFUNCTION("""COMPUTED_VALUE""")," Self, Shield, Trigger")</f>
        <v> Self, Shield, Trigger</v>
      </c>
      <c r="F1134" s="190" t="str">
        <f>IFERROR(__xludf.DUMMYFUNCTION("""COMPUTED_VALUE"""),"--")</f>
        <v>--</v>
      </c>
      <c r="G1134" s="190" t="str">
        <f>IFERROR(__xludf.DUMMYFUNCTION("""COMPUTED_VALUE"""),"--")</f>
        <v>--</v>
      </c>
      <c r="H1134" s="191" t="str">
        <f>IFERROR(__xludf.DUMMYFUNCTION("""COMPUTED_VALUE"""),"If the user is hit by an attack, the user may use King’s Shield as a Standard Action + Reaction. The user is instead not hit by the Attack. You do not take any damage nor are you affected by any of the Attack’s effects. In addition, if the triggering atta"&amp;"ck was Melee ranged, the attacker’s Attack is lowered by -2 CS.  ")</f>
        <v>If the user is hit by an attack, the user may use King’s Shield as a Standard Action + Reaction. The user is instead not hit by the Attack. You do not take any damage nor are you affected by any of the Attack’s effects. In addition, if the triggering attack was Melee ranged, the attacker’s Attack is lowered by -2 CS.  </v>
      </c>
      <c r="I1134" s="191" t="str">
        <f>IFERROR(__xludf.DUMMYFUNCTION("""COMPUTED_VALUE"""),"--")</f>
        <v>--</v>
      </c>
      <c r="J1134" s="190" t="str">
        <f>IFERROR(__xludf.DUMMYFUNCTION("""COMPUTED_VALUE"""),"Tier 3")</f>
        <v>Tier 3</v>
      </c>
      <c r="K1134" s="174" t="b">
        <f>IFERROR(__xludf.DUMMYFUNCTION("""COMPUTED_VALUE"""),FALSE)</f>
        <v>0</v>
      </c>
      <c r="L1134" s="174"/>
      <c r="M1134" s="174"/>
      <c r="N1134" s="174"/>
      <c r="O1134" s="174"/>
      <c r="P1134" s="174"/>
      <c r="Q1134" s="174"/>
      <c r="R1134" s="174"/>
      <c r="S1134" s="174"/>
      <c r="T1134" s="174"/>
      <c r="U1134" s="174"/>
      <c r="V1134" s="174"/>
      <c r="W1134" s="174"/>
      <c r="X1134" s="174"/>
      <c r="Y1134" s="174"/>
      <c r="Z1134" s="174"/>
    </row>
    <row r="1135">
      <c r="A1135" s="190" t="str">
        <f>IFERROR(__xludf.DUMMYFUNCTION("""COMPUTED_VALUE"""),"Magnet Bomb")</f>
        <v>Magnet Bomb</v>
      </c>
      <c r="B1135" s="190" t="str">
        <f>IFERROR(__xludf.DUMMYFUNCTION("""COMPUTED_VALUE"""),"Steel")</f>
        <v>Steel</v>
      </c>
      <c r="C1135" s="190" t="str">
        <f>IFERROR(__xludf.DUMMYFUNCTION("""COMPUTED_VALUE"""),"Special")</f>
        <v>Special</v>
      </c>
      <c r="D1135" s="190" t="str">
        <f>IFERROR(__xludf.DUMMYFUNCTION("""COMPUTED_VALUE"""),"EOT")</f>
        <v>EOT</v>
      </c>
      <c r="E1135" s="190" t="str">
        <f>IFERROR(__xludf.DUMMYFUNCTION("""COMPUTED_VALUE"""),"8, 1 Target")</f>
        <v>8, 1 Target</v>
      </c>
      <c r="F1135" s="190" t="str">
        <f>IFERROR(__xludf.DUMMYFUNCTION("""COMPUTED_VALUE"""),"--")</f>
        <v>--</v>
      </c>
      <c r="G1135" s="190">
        <f>IFERROR(__xludf.DUMMYFUNCTION("""COMPUTED_VALUE"""),6.0)</f>
        <v>6</v>
      </c>
      <c r="H1135" s="191" t="str">
        <f>IFERROR(__xludf.DUMMYFUNCTION("""COMPUTED_VALUE"""),"Sureshot. *Grants Magnetic")</f>
        <v>Sureshot. *Grants Magnetic</v>
      </c>
      <c r="I1135" s="191" t="str">
        <f>IFERROR(__xludf.DUMMYFUNCTION("""COMPUTED_VALUE"""),"--")</f>
        <v>--</v>
      </c>
      <c r="J1135" s="190" t="str">
        <f>IFERROR(__xludf.DUMMYFUNCTION("""COMPUTED_VALUE"""),"Tier 1")</f>
        <v>Tier 1</v>
      </c>
      <c r="K1135" s="174" t="b">
        <f>IFERROR(__xludf.DUMMYFUNCTION("""COMPUTED_VALUE"""),TRUE)</f>
        <v>1</v>
      </c>
      <c r="L1135" s="174"/>
      <c r="M1135" s="174"/>
      <c r="N1135" s="174"/>
      <c r="O1135" s="174"/>
      <c r="P1135" s="174"/>
      <c r="Q1135" s="174"/>
      <c r="R1135" s="174"/>
      <c r="S1135" s="174"/>
      <c r="T1135" s="174"/>
      <c r="U1135" s="174"/>
      <c r="V1135" s="174"/>
      <c r="W1135" s="174"/>
      <c r="X1135" s="174"/>
      <c r="Y1135" s="174"/>
      <c r="Z1135" s="174"/>
    </row>
    <row r="1136">
      <c r="A1136" s="190" t="str">
        <f>IFERROR(__xludf.DUMMYFUNCTION("""COMPUTED_VALUE"""),"Magnetic Grip")</f>
        <v>Magnetic Grip</v>
      </c>
      <c r="B1136" s="190" t="str">
        <f>IFERROR(__xludf.DUMMYFUNCTION("""COMPUTED_VALUE"""),"Steel")</f>
        <v>Steel</v>
      </c>
      <c r="C1136" s="190" t="str">
        <f>IFERROR(__xludf.DUMMYFUNCTION("""COMPUTED_VALUE"""),"Special")</f>
        <v>Special</v>
      </c>
      <c r="D1136" s="190" t="str">
        <f>IFERROR(__xludf.DUMMYFUNCTION("""COMPUTED_VALUE"""),"Scene x2")</f>
        <v>Scene x2</v>
      </c>
      <c r="E1136" s="190" t="str">
        <f>IFERROR(__xludf.DUMMYFUNCTION("""COMPUTED_VALUE"""),"3, 1 Target")</f>
        <v>3, 1 Target</v>
      </c>
      <c r="F1136" s="190">
        <f>IFERROR(__xludf.DUMMYFUNCTION("""COMPUTED_VALUE"""),4.0)</f>
        <v>4</v>
      </c>
      <c r="G1136" s="190">
        <f>IFERROR(__xludf.DUMMYFUNCTION("""COMPUTED_VALUE"""),8.0)</f>
        <v>8</v>
      </c>
      <c r="H1136" s="191" t="str">
        <f>IFERROR(__xludf.DUMMYFUNCTION("""COMPUTED_VALUE"""),"The Target becomes Trapped. On a roll of 17+, the Target becomes Slowed. If the Target has the Magnetic Capability this Effect Range is automatically triggered.")</f>
        <v>The Target becomes Trapped. On a roll of 17+, the Target becomes Slowed. If the Target has the Magnetic Capability this Effect Range is automatically triggered.</v>
      </c>
      <c r="I1136" s="191" t="str">
        <f>IFERROR(__xludf.DUMMYFUNCTION("""COMPUTED_VALUE"""),"--")</f>
        <v>--</v>
      </c>
      <c r="J1136" s="190" t="str">
        <f>IFERROR(__xludf.DUMMYFUNCTION("""COMPUTED_VALUE"""),"Tier 2")</f>
        <v>Tier 2</v>
      </c>
      <c r="K1136" s="174" t="b">
        <f>IFERROR(__xludf.DUMMYFUNCTION("""COMPUTED_VALUE"""),TRUE)</f>
        <v>1</v>
      </c>
      <c r="L1136" s="174"/>
      <c r="M1136" s="174"/>
      <c r="N1136" s="174"/>
      <c r="O1136" s="174"/>
      <c r="P1136" s="174"/>
      <c r="Q1136" s="174"/>
      <c r="R1136" s="174"/>
      <c r="S1136" s="174"/>
      <c r="T1136" s="174"/>
      <c r="U1136" s="174"/>
      <c r="V1136" s="174"/>
      <c r="W1136" s="174"/>
      <c r="X1136" s="174"/>
      <c r="Y1136" s="174"/>
      <c r="Z1136" s="174"/>
    </row>
    <row r="1137">
      <c r="A1137" s="190" t="str">
        <f>IFERROR(__xludf.DUMMYFUNCTION("""COMPUTED_VALUE"""),"Magnetic Pulse")</f>
        <v>Magnetic Pulse</v>
      </c>
      <c r="B1137" s="190" t="str">
        <f>IFERROR(__xludf.DUMMYFUNCTION("""COMPUTED_VALUE"""),"Steel")</f>
        <v>Steel</v>
      </c>
      <c r="C1137" s="190" t="str">
        <f>IFERROR(__xludf.DUMMYFUNCTION("""COMPUTED_VALUE"""),"Special")</f>
        <v>Special</v>
      </c>
      <c r="D1137" s="190" t="str">
        <f>IFERROR(__xludf.DUMMYFUNCTION("""COMPUTED_VALUE"""),"EOT")</f>
        <v>EOT</v>
      </c>
      <c r="E1137" s="190" t="str">
        <f>IFERROR(__xludf.DUMMYFUNCTION("""COMPUTED_VALUE"""),"8, 1 Target or Burst 1; Aura")</f>
        <v>8, 1 Target or Burst 1; Aura</v>
      </c>
      <c r="F1137" s="190">
        <f>IFERROR(__xludf.DUMMYFUNCTION("""COMPUTED_VALUE"""),5.0)</f>
        <v>5</v>
      </c>
      <c r="G1137" s="190">
        <f>IFERROR(__xludf.DUMMYFUNCTION("""COMPUTED_VALUE"""),7.0)</f>
        <v>7</v>
      </c>
      <c r="H1137" s="191" t="str">
        <f>IFERROR(__xludf.DUMMYFUNCTION("""COMPUTED_VALUE"""),"All Steel Type Enemies within 3m of the Target become Slowed or Trapped. Spirit Surge. *Grants Magnetic")</f>
        <v>All Steel Type Enemies within 3m of the Target become Slowed or Trapped. Spirit Surge. *Grants Magnetic</v>
      </c>
      <c r="I1137" s="191" t="str">
        <f>IFERROR(__xludf.DUMMYFUNCTION("""COMPUTED_VALUE"""),"--")</f>
        <v>--</v>
      </c>
      <c r="J1137" s="190" t="str">
        <f>IFERROR(__xludf.DUMMYFUNCTION("""COMPUTED_VALUE"""),"Tier 1")</f>
        <v>Tier 1</v>
      </c>
      <c r="K1137" s="174" t="b">
        <f>IFERROR(__xludf.DUMMYFUNCTION("""COMPUTED_VALUE"""),TRUE)</f>
        <v>1</v>
      </c>
      <c r="L1137" s="174"/>
      <c r="M1137" s="174"/>
      <c r="N1137" s="174"/>
      <c r="O1137" s="174"/>
      <c r="P1137" s="174"/>
      <c r="Q1137" s="174"/>
      <c r="R1137" s="174"/>
      <c r="S1137" s="174"/>
      <c r="T1137" s="174"/>
      <c r="U1137" s="174"/>
      <c r="V1137" s="174"/>
      <c r="W1137" s="174"/>
      <c r="X1137" s="174"/>
      <c r="Y1137" s="174"/>
      <c r="Z1137" s="174"/>
    </row>
    <row r="1138">
      <c r="A1138" s="190" t="str">
        <f>IFERROR(__xludf.DUMMYFUNCTION("""COMPUTED_VALUE"""),"Magnetic Storm")</f>
        <v>Magnetic Storm</v>
      </c>
      <c r="B1138" s="190" t="str">
        <f>IFERROR(__xludf.DUMMYFUNCTION("""COMPUTED_VALUE"""),"Steel")</f>
        <v>Steel</v>
      </c>
      <c r="C1138" s="190" t="str">
        <f>IFERROR(__xludf.DUMMYFUNCTION("""COMPUTED_VALUE"""),"Status")</f>
        <v>Status</v>
      </c>
      <c r="D1138" s="190" t="str">
        <f>IFERROR(__xludf.DUMMYFUNCTION("""COMPUTED_VALUE"""),"Scene x2")</f>
        <v>Scene x2</v>
      </c>
      <c r="E1138" s="190" t="str">
        <f>IFERROR(__xludf.DUMMYFUNCTION("""COMPUTED_VALUE"""),"Field, Versatile")</f>
        <v>Field, Versatile</v>
      </c>
      <c r="F1138" s="190" t="str">
        <f>IFERROR(__xludf.DUMMYFUNCTION("""COMPUTED_VALUE"""),"--")</f>
        <v>--</v>
      </c>
      <c r="G1138" s="190" t="str">
        <f>IFERROR(__xludf.DUMMYFUNCTION("""COMPUTED_VALUE"""),"--")</f>
        <v>--</v>
      </c>
      <c r="H1138" s="191" t="str">
        <f>IFERROR(__xludf.DUMMYFUNCTION("""COMPUTED_VALUE"""),"The Field becomes Magnetic for the next 5 Rounds. While the Field is Magnetic, non Steel Type Enemies lose a Tick of Hit Points at the start of their Turn and Steel Type Pokemon gain a Tick of Temporary Hit Points at the start of their Turn.")</f>
        <v>The Field becomes Magnetic for the next 5 Rounds. While the Field is Magnetic, non Steel Type Enemies lose a Tick of Hit Points at the start of their Turn and Steel Type Pokemon gain a Tick of Temporary Hit Points at the start of their Turn.</v>
      </c>
      <c r="I1138"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138" s="190" t="str">
        <f>IFERROR(__xludf.DUMMYFUNCTION("""COMPUTED_VALUE"""),"Tier 2")</f>
        <v>Tier 2</v>
      </c>
      <c r="K1138" s="174" t="b">
        <f>IFERROR(__xludf.DUMMYFUNCTION("""COMPUTED_VALUE"""),TRUE)</f>
        <v>1</v>
      </c>
      <c r="L1138" s="174"/>
      <c r="M1138" s="174"/>
      <c r="N1138" s="174"/>
      <c r="O1138" s="174"/>
      <c r="P1138" s="174"/>
      <c r="Q1138" s="174"/>
      <c r="R1138" s="174"/>
      <c r="S1138" s="174"/>
      <c r="T1138" s="174"/>
      <c r="U1138" s="174"/>
      <c r="V1138" s="174"/>
      <c r="W1138" s="174"/>
      <c r="X1138" s="174"/>
      <c r="Y1138" s="174"/>
      <c r="Z1138" s="174"/>
    </row>
    <row r="1139">
      <c r="A1139" s="190" t="str">
        <f>IFERROR(__xludf.DUMMYFUNCTION("""COMPUTED_VALUE"""),"Magnetic Surge")</f>
        <v>Magnetic Surge</v>
      </c>
      <c r="B1139" s="190" t="str">
        <f>IFERROR(__xludf.DUMMYFUNCTION("""COMPUTED_VALUE"""),"Steel")</f>
        <v>Steel</v>
      </c>
      <c r="C1139" s="190" t="str">
        <f>IFERROR(__xludf.DUMMYFUNCTION("""COMPUTED_VALUE"""),"Status")</f>
        <v>Status</v>
      </c>
      <c r="D1139" s="190" t="str">
        <f>IFERROR(__xludf.DUMMYFUNCTION("""COMPUTED_VALUE"""),"Scene x2")</f>
        <v>Scene x2</v>
      </c>
      <c r="E1139" s="190" t="str">
        <f>IFERROR(__xludf.DUMMYFUNCTION("""COMPUTED_VALUE"""),"Blessing, Versatile")</f>
        <v>Blessing, Versatile</v>
      </c>
      <c r="F1139" s="190" t="str">
        <f>IFERROR(__xludf.DUMMYFUNCTION("""COMPUTED_VALUE"""),"--")</f>
        <v>--</v>
      </c>
      <c r="G1139" s="190" t="str">
        <f>IFERROR(__xludf.DUMMYFUNCTION("""COMPUTED_VALUE"""),"--")</f>
        <v>--</v>
      </c>
      <c r="H1139" s="191" t="str">
        <f>IFERROR(__xludf.DUMMYFUNCTION("""COMPUTED_VALUE"""),"Blessing - Any user affected by Magnetic Surge may activate it as a Free Action when using a Steel Type Damaging Attack to grant it the Smite Keyword. If the Attack hits, it hits, it is also increased by one damage step. (Max 1.5x Effectiveness). Magnetic"&amp;" Surge may be Activated 3 times and then disappears. ")</f>
        <v>Blessing - Any user affected by Magnetic Surge may activate it as a Free Action when using a Steel Type Damaging Attack to grant it the Smite Keyword. If the Attack hits, it hits, it is also increased by one damage step. (Max 1.5x Effectiveness). Magnetic Surge may be Activated 3 times and then disappears. </v>
      </c>
      <c r="I1139" s="191" t="str">
        <f>IFERROR(__xludf.DUMMYFUNCTION("""COMPUTED_VALUE"""),"Same as the normal Effect, but it only has 1 Activation.")</f>
        <v>Same as the normal Effect, but it only has 1 Activation.</v>
      </c>
      <c r="J1139" s="190" t="str">
        <f>IFERROR(__xludf.DUMMYFUNCTION("""COMPUTED_VALUE"""),"Tier 2")</f>
        <v>Tier 2</v>
      </c>
      <c r="K1139" s="174" t="b">
        <f>IFERROR(__xludf.DUMMYFUNCTION("""COMPUTED_VALUE"""),TRUE)</f>
        <v>1</v>
      </c>
      <c r="L1139" s="174"/>
      <c r="M1139" s="174"/>
      <c r="N1139" s="174"/>
      <c r="O1139" s="174"/>
      <c r="P1139" s="174"/>
      <c r="Q1139" s="174"/>
      <c r="R1139" s="174"/>
      <c r="S1139" s="174"/>
      <c r="T1139" s="174"/>
      <c r="U1139" s="174"/>
      <c r="V1139" s="174"/>
      <c r="W1139" s="174"/>
      <c r="X1139" s="174"/>
      <c r="Y1139" s="174"/>
      <c r="Z1139" s="174"/>
    </row>
    <row r="1140">
      <c r="A1140" s="190" t="str">
        <f>IFERROR(__xludf.DUMMYFUNCTION("""COMPUTED_VALUE"""),"Make It Rain")</f>
        <v>Make It Rain</v>
      </c>
      <c r="B1140" s="190" t="str">
        <f>IFERROR(__xludf.DUMMYFUNCTION("""COMPUTED_VALUE"""),"Steel")</f>
        <v>Steel</v>
      </c>
      <c r="C1140" s="190" t="str">
        <f>IFERROR(__xludf.DUMMYFUNCTION("""COMPUTED_VALUE"""),"Special")</f>
        <v>Special</v>
      </c>
      <c r="D1140" s="190" t="str">
        <f>IFERROR(__xludf.DUMMYFUNCTION("""COMPUTED_VALUE"""),"Scene")</f>
        <v>Scene</v>
      </c>
      <c r="E1140" s="190" t="str">
        <f>IFERROR(__xludf.DUMMYFUNCTION("""COMPUTED_VALUE"""),"7, Ranged Blast 5")</f>
        <v>7, Ranged Blast 5</v>
      </c>
      <c r="F1140" s="190">
        <f>IFERROR(__xludf.DUMMYFUNCTION("""COMPUTED_VALUE"""),7.0)</f>
        <v>7</v>
      </c>
      <c r="G1140" s="190">
        <f>IFERROR(__xludf.DUMMYFUNCTION("""COMPUTED_VALUE"""),7.0)</f>
        <v>7</v>
      </c>
      <c r="H1140" s="191" t="str">
        <f>IFERROR(__xludf.DUMMYFUNCTION("""COMPUTED_VALUE"""),"Upon Declaration of this Attack, roll 3d10. For each result that is 7 or above, apply the following. 
1+ - This has the Smite Keyword
2+ - This has the Friendly Keyword
3+ - This has the Sureshot Keyword")</f>
        <v>Upon Declaration of this Attack, roll 3d10. For each result that is 7 or above, apply the following. 
1+ - This has the Smite Keyword
2+ - This has the Friendly Keyword
3+ - This has the Sureshot Keyword</v>
      </c>
      <c r="I1140" s="191" t="str">
        <f>IFERROR(__xludf.DUMMYFUNCTION("""COMPUTED_VALUE"""),"--")</f>
        <v>--</v>
      </c>
      <c r="J1140" s="190" t="str">
        <f>IFERROR(__xludf.DUMMYFUNCTION("""COMPUTED_VALUE"""),"Tier 3")</f>
        <v>Tier 3</v>
      </c>
      <c r="K1140" s="174" t="b">
        <f>IFERROR(__xludf.DUMMYFUNCTION("""COMPUTED_VALUE"""),TRUE)</f>
        <v>1</v>
      </c>
      <c r="L1140" s="174"/>
      <c r="M1140" s="174"/>
      <c r="N1140" s="174"/>
      <c r="O1140" s="174"/>
      <c r="P1140" s="174"/>
      <c r="Q1140" s="174"/>
      <c r="R1140" s="174"/>
      <c r="S1140" s="174"/>
      <c r="T1140" s="174"/>
      <c r="U1140" s="174"/>
      <c r="V1140" s="174"/>
      <c r="W1140" s="174"/>
      <c r="X1140" s="174"/>
      <c r="Y1140" s="174"/>
      <c r="Z1140" s="174"/>
    </row>
    <row r="1141">
      <c r="A1141" s="190" t="str">
        <f>IFERROR(__xludf.DUMMYFUNCTION("""COMPUTED_VALUE"""),"Metal Burst")</f>
        <v>Metal Burst</v>
      </c>
      <c r="B1141" s="190" t="str">
        <f>IFERROR(__xludf.DUMMYFUNCTION("""COMPUTED_VALUE"""),"Steel")</f>
        <v>Steel</v>
      </c>
      <c r="C1141" s="190" t="str">
        <f>IFERROR(__xludf.DUMMYFUNCTION("""COMPUTED_VALUE"""),"Physical")</f>
        <v>Physical</v>
      </c>
      <c r="D1141" s="190" t="str">
        <f>IFERROR(__xludf.DUMMYFUNCTION("""COMPUTED_VALUE"""),"Scene x2")</f>
        <v>Scene x2</v>
      </c>
      <c r="E1141" s="190" t="str">
        <f>IFERROR(__xludf.DUMMYFUNCTION("""COMPUTED_VALUE"""),"Burst 1,Trigger")</f>
        <v>Burst 1,Trigger</v>
      </c>
      <c r="F1141" s="190" t="str">
        <f>IFERROR(__xludf.DUMMYFUNCTION("""COMPUTED_VALUE"""),"--")</f>
        <v>--</v>
      </c>
      <c r="G1141" s="190" t="str">
        <f>IFERROR(__xludf.DUMMYFUNCTION("""COMPUTED_VALUE"""),"See Effect")</f>
        <v>See Effect</v>
      </c>
      <c r="H1141" s="191" t="str">
        <f>IFERROR(__xludf.DUMMYFUNCTION("""COMPUTED_VALUE"""),"Metal Burst can only be used as a Standard Action + Reaction when the user is hit by a Damaging Attack. The Damage Base of this Attack is equal to the Triggering Attack. The user may use their Defense as if it were the Offensive Stat for this Attack. Sure"&amp;"shot")</f>
        <v>Metal Burst can only be used as a Standard Action + Reaction when the user is hit by a Damaging Attack. The Damage Base of this Attack is equal to the Triggering Attack. The user may use their Defense as if it were the Offensive Stat for this Attack. Sureshot</v>
      </c>
      <c r="I1141" s="191" t="str">
        <f>IFERROR(__xludf.DUMMYFUNCTION("""COMPUTED_VALUE"""),"--")</f>
        <v>--</v>
      </c>
      <c r="J1141" s="190" t="str">
        <f>IFERROR(__xludf.DUMMYFUNCTION("""COMPUTED_VALUE"""),"Tier 2")</f>
        <v>Tier 2</v>
      </c>
      <c r="K1141" s="174" t="b">
        <f>IFERROR(__xludf.DUMMYFUNCTION("""COMPUTED_VALUE"""),TRUE)</f>
        <v>1</v>
      </c>
      <c r="L1141" s="174"/>
      <c r="M1141" s="174"/>
      <c r="N1141" s="174"/>
      <c r="O1141" s="174"/>
      <c r="P1141" s="174"/>
      <c r="Q1141" s="174"/>
      <c r="R1141" s="174"/>
      <c r="S1141" s="174"/>
      <c r="T1141" s="174"/>
      <c r="U1141" s="174"/>
      <c r="V1141" s="174"/>
      <c r="W1141" s="174"/>
      <c r="X1141" s="174"/>
      <c r="Y1141" s="174"/>
      <c r="Z1141" s="174"/>
    </row>
    <row r="1142">
      <c r="A1142" s="190" t="str">
        <f>IFERROR(__xludf.DUMMYFUNCTION("""COMPUTED_VALUE"""),"Metal Claw")</f>
        <v>Metal Claw</v>
      </c>
      <c r="B1142" s="190" t="str">
        <f>IFERROR(__xludf.DUMMYFUNCTION("""COMPUTED_VALUE"""),"Steel")</f>
        <v>Steel</v>
      </c>
      <c r="C1142" s="190" t="str">
        <f>IFERROR(__xludf.DUMMYFUNCTION("""COMPUTED_VALUE"""),"Physical")</f>
        <v>Physical</v>
      </c>
      <c r="D1142" s="190" t="str">
        <f>IFERROR(__xludf.DUMMYFUNCTION("""COMPUTED_VALUE"""),"At-Will")</f>
        <v>At-Will</v>
      </c>
      <c r="E1142" s="190" t="str">
        <f>IFERROR(__xludf.DUMMYFUNCTION("""COMPUTED_VALUE"""),"Melee, Pass")</f>
        <v>Melee, Pass</v>
      </c>
      <c r="F1142" s="190">
        <f>IFERROR(__xludf.DUMMYFUNCTION("""COMPUTED_VALUE"""),5.0)</f>
        <v>5</v>
      </c>
      <c r="G1142" s="190">
        <f>IFERROR(__xludf.DUMMYFUNCTION("""COMPUTED_VALUE"""),4.0)</f>
        <v>4</v>
      </c>
      <c r="H1142" s="191" t="str">
        <f>IFERROR(__xludf.DUMMYFUNCTION("""COMPUTED_VALUE"""),"On a Roll of 18+, the Target becomes Wounded. If the Pass Keyword wasn't Activated, this has the Smite Keyword.")</f>
        <v>On a Roll of 18+, the Target becomes Wounded. If the Pass Keyword wasn't Activated, this has the Smite Keyword.</v>
      </c>
      <c r="I1142" s="191" t="str">
        <f>IFERROR(__xludf.DUMMYFUNCTION("""COMPUTED_VALUE"""),"--")</f>
        <v>--</v>
      </c>
      <c r="J1142" s="190" t="str">
        <f>IFERROR(__xludf.DUMMYFUNCTION("""COMPUTED_VALUE"""),"Tier 1")</f>
        <v>Tier 1</v>
      </c>
      <c r="K1142" s="174" t="b">
        <f>IFERROR(__xludf.DUMMYFUNCTION("""COMPUTED_VALUE"""),TRUE)</f>
        <v>1</v>
      </c>
      <c r="L1142" s="174"/>
      <c r="M1142" s="174"/>
      <c r="N1142" s="174"/>
      <c r="O1142" s="174"/>
      <c r="P1142" s="174"/>
      <c r="Q1142" s="174"/>
      <c r="R1142" s="174"/>
      <c r="S1142" s="174"/>
      <c r="T1142" s="174"/>
      <c r="U1142" s="174"/>
      <c r="V1142" s="174"/>
      <c r="W1142" s="174"/>
      <c r="X1142" s="174"/>
      <c r="Y1142" s="174"/>
      <c r="Z1142" s="174"/>
    </row>
    <row r="1143">
      <c r="A1143" s="190" t="str">
        <f>IFERROR(__xludf.DUMMYFUNCTION("""COMPUTED_VALUE"""),"Metal Sound")</f>
        <v>Metal Sound</v>
      </c>
      <c r="B1143" s="190" t="str">
        <f>IFERROR(__xludf.DUMMYFUNCTION("""COMPUTED_VALUE"""),"Steel")</f>
        <v>Steel</v>
      </c>
      <c r="C1143" s="190" t="str">
        <f>IFERROR(__xludf.DUMMYFUNCTION("""COMPUTED_VALUE"""),"Status")</f>
        <v>Status</v>
      </c>
      <c r="D1143" s="190" t="str">
        <f>IFERROR(__xludf.DUMMYFUNCTION("""COMPUTED_VALUE"""),"EOT")</f>
        <v>EOT</v>
      </c>
      <c r="E1143" s="190" t="str">
        <f>IFERROR(__xludf.DUMMYFUNCTION("""COMPUTED_VALUE"""),"Burst 1, Sonic, Versatile")</f>
        <v>Burst 1, Sonic, Versatile</v>
      </c>
      <c r="F1143" s="190">
        <f>IFERROR(__xludf.DUMMYFUNCTION("""COMPUTED_VALUE"""),5.0)</f>
        <v>5</v>
      </c>
      <c r="G1143" s="190" t="str">
        <f>IFERROR(__xludf.DUMMYFUNCTION("""COMPUTED_VALUE"""),"--")</f>
        <v>--</v>
      </c>
      <c r="H1143" s="191" t="str">
        <f>IFERROR(__xludf.DUMMYFUNCTION("""COMPUTED_VALUE"""),"All Targets have their Special Defense lowered by -3 CS. When this Attack hits, all Targets also become Dazed. Friendly.")</f>
        <v>All Targets have their Special Defense lowered by -3 CS. When this Attack hits, all Targets also become Dazed. Friendly.</v>
      </c>
      <c r="I1143" s="191" t="str">
        <f>IFERROR(__xludf.DUMMYFUNCTION("""COMPUTED_VALUE"""),"All Targets lose -2 CS in Special Defense. If this misses, they instead lose -1 CS. Friendly.")</f>
        <v>All Targets lose -2 CS in Special Defense. If this misses, they instead lose -1 CS. Friendly.</v>
      </c>
      <c r="J1143" s="190" t="str">
        <f>IFERROR(__xludf.DUMMYFUNCTION("""COMPUTED_VALUE"""),"Tier 1")</f>
        <v>Tier 1</v>
      </c>
      <c r="K1143" s="174" t="b">
        <f>IFERROR(__xludf.DUMMYFUNCTION("""COMPUTED_VALUE"""),TRUE)</f>
        <v>1</v>
      </c>
      <c r="L1143" s="174"/>
      <c r="M1143" s="174"/>
      <c r="N1143" s="174"/>
      <c r="O1143" s="174"/>
      <c r="P1143" s="174"/>
      <c r="Q1143" s="174"/>
      <c r="R1143" s="174"/>
      <c r="S1143" s="174"/>
      <c r="T1143" s="174"/>
      <c r="U1143" s="174"/>
      <c r="V1143" s="174"/>
      <c r="W1143" s="174"/>
      <c r="X1143" s="174"/>
      <c r="Y1143" s="174"/>
      <c r="Z1143" s="174"/>
    </row>
    <row r="1144">
      <c r="A1144" s="190" t="str">
        <f>IFERROR(__xludf.DUMMYFUNCTION("""COMPUTED_VALUE"""),"Metal Swipe")</f>
        <v>Metal Swipe</v>
      </c>
      <c r="B1144" s="190" t="str">
        <f>IFERROR(__xludf.DUMMYFUNCTION("""COMPUTED_VALUE"""),"Steel")</f>
        <v>Steel</v>
      </c>
      <c r="C1144" s="190" t="str">
        <f>IFERROR(__xludf.DUMMYFUNCTION("""COMPUTED_VALUE"""),"Physical")</f>
        <v>Physical</v>
      </c>
      <c r="D1144" s="190" t="str">
        <f>IFERROR(__xludf.DUMMYFUNCTION("""COMPUTED_VALUE"""),"EOT")</f>
        <v>EOT</v>
      </c>
      <c r="E1144" s="190" t="str">
        <f>IFERROR(__xludf.DUMMYFUNCTION("""COMPUTED_VALUE"""),"Melee, 1 Target")</f>
        <v>Melee, 1 Target</v>
      </c>
      <c r="F1144" s="190">
        <f>IFERROR(__xludf.DUMMYFUNCTION("""COMPUTED_VALUE"""),3.0)</f>
        <v>3</v>
      </c>
      <c r="G1144" s="190">
        <f>IFERROR(__xludf.DUMMYFUNCTION("""COMPUTED_VALUE"""),6.0)</f>
        <v>6</v>
      </c>
      <c r="H1144" s="191" t="str">
        <f>IFERROR(__xludf.DUMMYFUNCTION("""COMPUTED_VALUE"""),"If the user's Weight Class is 3 or lower, Metal Swipe has the Priority and Pass Keyword. If the user's Weight Class is 4 or higher, Metal Swipe gains the Smite Keyword and may be used as if it were Close Blast 2. ")</f>
        <v>If the user's Weight Class is 3 or lower, Metal Swipe has the Priority and Pass Keyword. If the user's Weight Class is 4 or higher, Metal Swipe gains the Smite Keyword and may be used as if it were Close Blast 2. </v>
      </c>
      <c r="I1144" s="191" t="str">
        <f>IFERROR(__xludf.DUMMYFUNCTION("""COMPUTED_VALUE"""),"--")</f>
        <v>--</v>
      </c>
      <c r="J1144" s="190" t="str">
        <f>IFERROR(__xludf.DUMMYFUNCTION("""COMPUTED_VALUE"""),"Tier 1")</f>
        <v>Tier 1</v>
      </c>
      <c r="K1144" s="174" t="b">
        <f>IFERROR(__xludf.DUMMYFUNCTION("""COMPUTED_VALUE"""),TRUE)</f>
        <v>1</v>
      </c>
      <c r="L1144" s="174"/>
      <c r="M1144" s="174"/>
      <c r="N1144" s="174"/>
      <c r="O1144" s="174"/>
      <c r="P1144" s="174"/>
      <c r="Q1144" s="174"/>
      <c r="R1144" s="174"/>
      <c r="S1144" s="174"/>
      <c r="T1144" s="174"/>
      <c r="U1144" s="174"/>
      <c r="V1144" s="174"/>
      <c r="W1144" s="174"/>
      <c r="X1144" s="174"/>
      <c r="Y1144" s="174"/>
      <c r="Z1144" s="174"/>
    </row>
    <row r="1145">
      <c r="A1145" s="190" t="str">
        <f>IFERROR(__xludf.DUMMYFUNCTION("""COMPUTED_VALUE"""),"Metallurgy")</f>
        <v>Metallurgy</v>
      </c>
      <c r="B1145" s="190" t="str">
        <f>IFERROR(__xludf.DUMMYFUNCTION("""COMPUTED_VALUE"""),"Steel")</f>
        <v>Steel</v>
      </c>
      <c r="C1145" s="190" t="str">
        <f>IFERROR(__xludf.DUMMYFUNCTION("""COMPUTED_VALUE"""),"Status")</f>
        <v>Status</v>
      </c>
      <c r="D1145" s="190" t="str">
        <f>IFERROR(__xludf.DUMMYFUNCTION("""COMPUTED_VALUE"""),"Scene x2")</f>
        <v>Scene x2</v>
      </c>
      <c r="E1145" s="190" t="str">
        <f>IFERROR(__xludf.DUMMYFUNCTION("""COMPUTED_VALUE"""),"Self, Coat, Versatile")</f>
        <v>Self, Coat, Versatile</v>
      </c>
      <c r="F1145" s="190" t="str">
        <f>IFERROR(__xludf.DUMMYFUNCTION("""COMPUTED_VALUE"""),"--")</f>
        <v>--</v>
      </c>
      <c r="G1145" s="190" t="str">
        <f>IFERROR(__xludf.DUMMYFUNCTION("""COMPUTED_VALUE"""),"--")</f>
        <v>--</v>
      </c>
      <c r="H1145" s="191" t="str">
        <f>IFERROR(__xludf.DUMMYFUNCTION("""COMPUTED_VALUE"""),"The user gains a Metallic Coat. While the user has a Metallic Coat, they gain a Temporary Tick of Hit Points at the end of each of their turns. The Metallic Coat can be expended as a Reaction when the user is hit by a Physical Attack to resist that attack"&amp;" two steps further.")</f>
        <v>The user gains a Metallic Coat. While the user has a Metallic Coat, they gain a Temporary Tick of Hit Points at the end of each of their turns. The Metallic Coat can be expended as a Reaction when the user is hit by a Physical Attack to resist that attack two steps further.</v>
      </c>
      <c r="I1145" s="191" t="str">
        <f>IFERROR(__xludf.DUMMYFUNCTION("""COMPUTED_VALUE"""),"The user gains a Metallic Coat. The Metallic Coat gained this way can be expended as a Free Action to resist a Physical Damaging Attack by an additional Damage Step.")</f>
        <v>The user gains a Metallic Coat. The Metallic Coat gained this way can be expended as a Free Action to resist a Physical Damaging Attack by an additional Damage Step.</v>
      </c>
      <c r="J1145" s="190" t="str">
        <f>IFERROR(__xludf.DUMMYFUNCTION("""COMPUTED_VALUE"""),"Tier 2")</f>
        <v>Tier 2</v>
      </c>
      <c r="K1145" s="174" t="b">
        <f>IFERROR(__xludf.DUMMYFUNCTION("""COMPUTED_VALUE"""),TRUE)</f>
        <v>1</v>
      </c>
      <c r="L1145" s="174"/>
      <c r="M1145" s="174"/>
      <c r="N1145" s="174"/>
      <c r="O1145" s="174"/>
      <c r="P1145" s="174"/>
      <c r="Q1145" s="174"/>
      <c r="R1145" s="174"/>
      <c r="S1145" s="174"/>
      <c r="T1145" s="174"/>
      <c r="U1145" s="174"/>
      <c r="V1145" s="174"/>
      <c r="W1145" s="174"/>
      <c r="X1145" s="174"/>
      <c r="Y1145" s="174"/>
      <c r="Z1145" s="174"/>
    </row>
    <row r="1146">
      <c r="A1146" s="190" t="str">
        <f>IFERROR(__xludf.DUMMYFUNCTION("""COMPUTED_VALUE"""),"Meteor Mash")</f>
        <v>Meteor Mash</v>
      </c>
      <c r="B1146" s="190" t="str">
        <f>IFERROR(__xludf.DUMMYFUNCTION("""COMPUTED_VALUE"""),"Steel")</f>
        <v>Steel</v>
      </c>
      <c r="C1146" s="190" t="str">
        <f>IFERROR(__xludf.DUMMYFUNCTION("""COMPUTED_VALUE"""),"Physical")</f>
        <v>Physical</v>
      </c>
      <c r="D1146" s="190" t="str">
        <f>IFERROR(__xludf.DUMMYFUNCTION("""COMPUTED_VALUE"""),"EOT")</f>
        <v>EOT</v>
      </c>
      <c r="E1146" s="190" t="str">
        <f>IFERROR(__xludf.DUMMYFUNCTION("""COMPUTED_VALUE"""),"Melee, 1 Target, Full Action, Punch")</f>
        <v>Melee, 1 Target, Full Action, Punch</v>
      </c>
      <c r="F1146" s="190">
        <f>IFERROR(__xludf.DUMMYFUNCTION("""COMPUTED_VALUE"""),4.0)</f>
        <v>4</v>
      </c>
      <c r="G1146" s="190">
        <f>IFERROR(__xludf.DUMMYFUNCTION("""COMPUTED_VALUE"""),9.0)</f>
        <v>9</v>
      </c>
      <c r="H1146" s="191" t="str">
        <f>IFERROR(__xludf.DUMMYFUNCTION("""COMPUTED_VALUE"""),"The user gains +1 CS in Attack. Spirit Surge")</f>
        <v>The user gains +1 CS in Attack. Spirit Surge</v>
      </c>
      <c r="I1146" s="191" t="str">
        <f>IFERROR(__xludf.DUMMYFUNCTION("""COMPUTED_VALUE"""),"--")</f>
        <v>--</v>
      </c>
      <c r="J1146" s="190" t="str">
        <f>IFERROR(__xludf.DUMMYFUNCTION("""COMPUTED_VALUE"""),"Tier 2")</f>
        <v>Tier 2</v>
      </c>
      <c r="K1146" s="174" t="b">
        <f>IFERROR(__xludf.DUMMYFUNCTION("""COMPUTED_VALUE"""),TRUE)</f>
        <v>1</v>
      </c>
      <c r="L1146" s="174"/>
      <c r="M1146" s="174"/>
      <c r="N1146" s="174"/>
      <c r="O1146" s="174"/>
      <c r="P1146" s="174"/>
      <c r="Q1146" s="174"/>
      <c r="R1146" s="174"/>
      <c r="S1146" s="174"/>
      <c r="T1146" s="174"/>
      <c r="U1146" s="174"/>
      <c r="V1146" s="174"/>
      <c r="W1146" s="174"/>
      <c r="X1146" s="174"/>
      <c r="Y1146" s="174"/>
      <c r="Z1146" s="174"/>
    </row>
    <row r="1147">
      <c r="A1147" s="190" t="str">
        <f>IFERROR(__xludf.DUMMYFUNCTION("""COMPUTED_VALUE"""),"Mirror Shot")</f>
        <v>Mirror Shot</v>
      </c>
      <c r="B1147" s="190" t="str">
        <f>IFERROR(__xludf.DUMMYFUNCTION("""COMPUTED_VALUE"""),"Steel")</f>
        <v>Steel</v>
      </c>
      <c r="C1147" s="190" t="str">
        <f>IFERROR(__xludf.DUMMYFUNCTION("""COMPUTED_VALUE"""),"Special")</f>
        <v>Special</v>
      </c>
      <c r="D1147" s="190" t="str">
        <f>IFERROR(__xludf.DUMMYFUNCTION("""COMPUTED_VALUE"""),"EOT")</f>
        <v>EOT</v>
      </c>
      <c r="E1147" s="190" t="str">
        <f>IFERROR(__xludf.DUMMYFUNCTION("""COMPUTED_VALUE"""),"6, Ranged Blast 2")</f>
        <v>6, Ranged Blast 2</v>
      </c>
      <c r="F1147" s="190">
        <f>IFERROR(__xludf.DUMMYFUNCTION("""COMPUTED_VALUE"""),5.0)</f>
        <v>5</v>
      </c>
      <c r="G1147" s="190">
        <f>IFERROR(__xludf.DUMMYFUNCTION("""COMPUTED_VALUE"""),7.0)</f>
        <v>7</v>
      </c>
      <c r="H1147" s="191" t="str">
        <f>IFERROR(__xludf.DUMMYFUNCTION("""COMPUTED_VALUE"""),"On a roll of 17+, all Targets lose -1 Accuracy.")</f>
        <v>On a roll of 17+, all Targets lose -1 Accuracy.</v>
      </c>
      <c r="I1147" s="191" t="str">
        <f>IFERROR(__xludf.DUMMYFUNCTION("""COMPUTED_VALUE"""),"--")</f>
        <v>--</v>
      </c>
      <c r="J1147" s="190" t="str">
        <f>IFERROR(__xludf.DUMMYFUNCTION("""COMPUTED_VALUE"""),"Tier 1")</f>
        <v>Tier 1</v>
      </c>
      <c r="K1147" s="174" t="b">
        <f>IFERROR(__xludf.DUMMYFUNCTION("""COMPUTED_VALUE"""),TRUE)</f>
        <v>1</v>
      </c>
      <c r="L1147" s="174"/>
      <c r="M1147" s="174"/>
      <c r="N1147" s="174"/>
      <c r="O1147" s="174"/>
      <c r="P1147" s="174"/>
      <c r="Q1147" s="174"/>
      <c r="R1147" s="174"/>
      <c r="S1147" s="174"/>
      <c r="T1147" s="174"/>
      <c r="U1147" s="174"/>
      <c r="V1147" s="174"/>
      <c r="W1147" s="174"/>
      <c r="X1147" s="174"/>
      <c r="Y1147" s="174"/>
      <c r="Z1147" s="174"/>
    </row>
    <row r="1148">
      <c r="A1148" s="190" t="str">
        <f>IFERROR(__xludf.DUMMYFUNCTION("""COMPUTED_VALUE"""),"Overclock")</f>
        <v>Overclock</v>
      </c>
      <c r="B1148" s="190" t="str">
        <f>IFERROR(__xludf.DUMMYFUNCTION("""COMPUTED_VALUE"""),"Steel")</f>
        <v>Steel</v>
      </c>
      <c r="C1148" s="190" t="str">
        <f>IFERROR(__xludf.DUMMYFUNCTION("""COMPUTED_VALUE"""),"Status")</f>
        <v>Status</v>
      </c>
      <c r="D1148" s="190" t="str">
        <f>IFERROR(__xludf.DUMMYFUNCTION("""COMPUTED_VALUE"""),"Scene x2")</f>
        <v>Scene x2</v>
      </c>
      <c r="E1148" s="190" t="str">
        <f>IFERROR(__xludf.DUMMYFUNCTION("""COMPUTED_VALUE"""),"Self, Versatile")</f>
        <v>Self, Versatile</v>
      </c>
      <c r="F1148" s="190" t="str">
        <f>IFERROR(__xludf.DUMMYFUNCTION("""COMPUTED_VALUE"""),"--")</f>
        <v>--</v>
      </c>
      <c r="G1148" s="190" t="str">
        <f>IFERROR(__xludf.DUMMYFUNCTION("""COMPUTED_VALUE"""),"--")</f>
        <v>--</v>
      </c>
      <c r="H1148" s="191" t="str">
        <f>IFERROR(__xludf.DUMMYFUNCTION("""COMPUTED_VALUE"""),"The user becomes Suppressed. If they do, they gain +3 CS to two stats of their choice.")</f>
        <v>The user becomes Suppressed. If they do, they gain +3 CS to two stats of their choice.</v>
      </c>
      <c r="I1148" s="191" t="str">
        <f>IFERROR(__xludf.DUMMYFUNCTION("""COMPUTED_VALUE"""),"Until the end of the next Round, the user becomes Suppressed and Vulnerable. If they do, they gain +2 CS to a Stat of their choice.")</f>
        <v>Until the end of the next Round, the user becomes Suppressed and Vulnerable. If they do, they gain +2 CS to a Stat of their choice.</v>
      </c>
      <c r="J1148" s="190" t="str">
        <f>IFERROR(__xludf.DUMMYFUNCTION("""COMPUTED_VALUE"""),"Tier 2")</f>
        <v>Tier 2</v>
      </c>
      <c r="K1148" s="174" t="b">
        <f>IFERROR(__xludf.DUMMYFUNCTION("""COMPUTED_VALUE"""),TRUE)</f>
        <v>1</v>
      </c>
      <c r="L1148" s="174"/>
      <c r="M1148" s="174"/>
      <c r="N1148" s="174"/>
      <c r="O1148" s="174"/>
      <c r="P1148" s="174"/>
      <c r="Q1148" s="174"/>
      <c r="R1148" s="174"/>
      <c r="S1148" s="174"/>
      <c r="T1148" s="174"/>
      <c r="U1148" s="174"/>
      <c r="V1148" s="174"/>
      <c r="W1148" s="174"/>
      <c r="X1148" s="174"/>
      <c r="Y1148" s="174"/>
      <c r="Z1148" s="174"/>
    </row>
    <row r="1149">
      <c r="A1149" s="190" t="str">
        <f>IFERROR(__xludf.DUMMYFUNCTION("""COMPUTED_VALUE"""),"Plasma Beam")</f>
        <v>Plasma Beam</v>
      </c>
      <c r="B1149" s="190" t="str">
        <f>IFERROR(__xludf.DUMMYFUNCTION("""COMPUTED_VALUE"""),"Steel")</f>
        <v>Steel</v>
      </c>
      <c r="C1149" s="190" t="str">
        <f>IFERROR(__xludf.DUMMYFUNCTION("""COMPUTED_VALUE"""),"Special")</f>
        <v>Special</v>
      </c>
      <c r="D1149" s="190" t="str">
        <f>IFERROR(__xludf.DUMMYFUNCTION("""COMPUTED_VALUE"""),"EOT")</f>
        <v>EOT</v>
      </c>
      <c r="E1149" s="190" t="str">
        <f>IFERROR(__xludf.DUMMYFUNCTION("""COMPUTED_VALUE"""),"8, 1 Target")</f>
        <v>8, 1 Target</v>
      </c>
      <c r="F1149" s="190">
        <f>IFERROR(__xludf.DUMMYFUNCTION("""COMPUTED_VALUE"""),4.0)</f>
        <v>4</v>
      </c>
      <c r="G1149" s="190">
        <f>IFERROR(__xludf.DUMMYFUNCTION("""COMPUTED_VALUE"""),9.0)</f>
        <v>9</v>
      </c>
      <c r="H1149" s="191" t="str">
        <f>IFERROR(__xludf.DUMMYFUNCTION("""COMPUTED_VALUE"""),"On a roll of 18+, the Target becomes Burned or Paralyzed. Smite")</f>
        <v>On a roll of 18+, the Target becomes Burned or Paralyzed. Smite</v>
      </c>
      <c r="I1149" s="191" t="str">
        <f>IFERROR(__xludf.DUMMYFUNCTION("""COMPUTED_VALUE"""),"--")</f>
        <v>--</v>
      </c>
      <c r="J1149" s="190" t="str">
        <f>IFERROR(__xludf.DUMMYFUNCTION("""COMPUTED_VALUE"""),"Tier 2")</f>
        <v>Tier 2</v>
      </c>
      <c r="K1149" s="174" t="b">
        <f>IFERROR(__xludf.DUMMYFUNCTION("""COMPUTED_VALUE"""),TRUE)</f>
        <v>1</v>
      </c>
      <c r="L1149" s="174"/>
      <c r="M1149" s="174"/>
      <c r="N1149" s="174"/>
      <c r="O1149" s="174"/>
      <c r="P1149" s="174"/>
      <c r="Q1149" s="174"/>
      <c r="R1149" s="174"/>
      <c r="S1149" s="174"/>
      <c r="T1149" s="174"/>
      <c r="U1149" s="174"/>
      <c r="V1149" s="174"/>
      <c r="W1149" s="174"/>
      <c r="X1149" s="174"/>
      <c r="Y1149" s="174"/>
      <c r="Z1149" s="174"/>
    </row>
    <row r="1150">
      <c r="A1150" s="190" t="str">
        <f>IFERROR(__xludf.DUMMYFUNCTION("""COMPUTED_VALUE"""),"Scrap Shield")</f>
        <v>Scrap Shield</v>
      </c>
      <c r="B1150" s="190" t="str">
        <f>IFERROR(__xludf.DUMMYFUNCTION("""COMPUTED_VALUE"""),"Steel")</f>
        <v>Steel</v>
      </c>
      <c r="C1150" s="190" t="str">
        <f>IFERROR(__xludf.DUMMYFUNCTION("""COMPUTED_VALUE"""),"Status")</f>
        <v>Status</v>
      </c>
      <c r="D1150" s="190" t="str">
        <f>IFERROR(__xludf.DUMMYFUNCTION("""COMPUTED_VALUE"""),"Scene x2")</f>
        <v>Scene x2</v>
      </c>
      <c r="E1150" s="190" t="str">
        <f>IFERROR(__xludf.DUMMYFUNCTION("""COMPUTED_VALUE"""),"Self, Swift Action")</f>
        <v>Self, Swift Action</v>
      </c>
      <c r="F1150" s="190" t="str">
        <f>IFERROR(__xludf.DUMMYFUNCTION("""COMPUTED_VALUE"""),"--")</f>
        <v>--</v>
      </c>
      <c r="G1150" s="190" t="str">
        <f>IFERROR(__xludf.DUMMYFUNCTION("""COMPUTED_VALUE"""),"--")</f>
        <v>--</v>
      </c>
      <c r="H1150" s="191" t="str">
        <f>IFERROR(__xludf.DUMMYFUNCTION("""COMPUTED_VALUE"""),"All Hazards within 1m of the user are destroyed, then the user gains a Scrap Coat. Whenever the user is hit by an Adjacent Enemy they may expend the Scrap Coat, then apply the effects of one of the destroyed Hazards to the Triggering Enemy. ")</f>
        <v>All Hazards within 1m of the user are destroyed, then the user gains a Scrap Coat. Whenever the user is hit by an Adjacent Enemy they may expend the Scrap Coat, then apply the effects of one of the destroyed Hazards to the Triggering Enemy. </v>
      </c>
      <c r="I1150" s="191" t="str">
        <f>IFERROR(__xludf.DUMMYFUNCTION("""COMPUTED_VALUE"""),"--")</f>
        <v>--</v>
      </c>
      <c r="J1150" s="190" t="str">
        <f>IFERROR(__xludf.DUMMYFUNCTION("""COMPUTED_VALUE"""),"Tier 2")</f>
        <v>Tier 2</v>
      </c>
      <c r="K1150" s="174" t="b">
        <f>IFERROR(__xludf.DUMMYFUNCTION("""COMPUTED_VALUE"""),TRUE)</f>
        <v>1</v>
      </c>
      <c r="L1150" s="174"/>
      <c r="M1150" s="174"/>
      <c r="N1150" s="174"/>
      <c r="O1150" s="174"/>
      <c r="P1150" s="174"/>
      <c r="Q1150" s="174"/>
      <c r="R1150" s="174"/>
      <c r="S1150" s="174"/>
      <c r="T1150" s="174"/>
      <c r="U1150" s="174"/>
      <c r="V1150" s="174"/>
      <c r="W1150" s="174"/>
      <c r="X1150" s="174"/>
      <c r="Y1150" s="174"/>
      <c r="Z1150" s="174"/>
    </row>
    <row r="1151">
      <c r="A1151" s="190" t="str">
        <f>IFERROR(__xludf.DUMMYFUNCTION("""COMPUTED_VALUE"""),"Shell Shelter")</f>
        <v>Shell Shelter</v>
      </c>
      <c r="B1151" s="190" t="str">
        <f>IFERROR(__xludf.DUMMYFUNCTION("""COMPUTED_VALUE"""),"Steel")</f>
        <v>Steel</v>
      </c>
      <c r="C1151" s="190" t="str">
        <f>IFERROR(__xludf.DUMMYFUNCTION("""COMPUTED_VALUE"""),"Status")</f>
        <v>Status</v>
      </c>
      <c r="D1151" s="190" t="str">
        <f>IFERROR(__xludf.DUMMYFUNCTION("""COMPUTED_VALUE"""),"Scene")</f>
        <v>Scene</v>
      </c>
      <c r="E1151" s="190" t="str">
        <f>IFERROR(__xludf.DUMMYFUNCTION("""COMPUTED_VALUE"""),"Melee, 1 Target, Free Action")</f>
        <v>Melee, 1 Target, Free Action</v>
      </c>
      <c r="F1151" s="190" t="str">
        <f>IFERROR(__xludf.DUMMYFUNCTION("""COMPUTED_VALUE"""),"--")</f>
        <v>--</v>
      </c>
      <c r="G1151" s="190" t="str">
        <f>IFERROR(__xludf.DUMMYFUNCTION("""COMPUTED_VALUE"""),"--")</f>
        <v>--</v>
      </c>
      <c r="H1151" s="191" t="str">
        <f>IFERROR(__xludf.DUMMYFUNCTION("""COMPUTED_VALUE"""),"Shell Shelter must be used as a Free Action using the Intercept Maneuver on an Ally that was Adjacent to you. After the Triggering Attack Resolves, the Ally you intercepted for becomes Untargetable until you use another Action or either of you are no long"&amp;"er Adjacent to one another.")</f>
        <v>Shell Shelter must be used as a Free Action using the Intercept Maneuver on an Ally that was Adjacent to you. After the Triggering Attack Resolves, the Ally you intercepted for becomes Untargetable until you use another Action or either of you are no longer Adjacent to one another.</v>
      </c>
      <c r="I1151" s="191" t="str">
        <f>IFERROR(__xludf.DUMMYFUNCTION("""COMPUTED_VALUE"""),"--")</f>
        <v>--</v>
      </c>
      <c r="J1151" s="190" t="str">
        <f>IFERROR(__xludf.DUMMYFUNCTION("""COMPUTED_VALUE"""),"Tier 3")</f>
        <v>Tier 3</v>
      </c>
      <c r="K1151" s="174" t="b">
        <f>IFERROR(__xludf.DUMMYFUNCTION("""COMPUTED_VALUE"""),FALSE)</f>
        <v>0</v>
      </c>
      <c r="L1151" s="174"/>
      <c r="M1151" s="174"/>
      <c r="N1151" s="174"/>
      <c r="O1151" s="174"/>
      <c r="P1151" s="174"/>
      <c r="Q1151" s="174"/>
      <c r="R1151" s="174"/>
      <c r="S1151" s="174"/>
      <c r="T1151" s="174"/>
      <c r="U1151" s="174"/>
      <c r="V1151" s="174"/>
      <c r="W1151" s="174"/>
      <c r="X1151" s="174"/>
      <c r="Y1151" s="174"/>
      <c r="Z1151" s="174"/>
    </row>
    <row r="1152">
      <c r="A1152" s="190" t="str">
        <f>IFERROR(__xludf.DUMMYFUNCTION("""COMPUTED_VALUE"""),"Shift Gear")</f>
        <v>Shift Gear</v>
      </c>
      <c r="B1152" s="190" t="str">
        <f>IFERROR(__xludf.DUMMYFUNCTION("""COMPUTED_VALUE"""),"Steel")</f>
        <v>Steel</v>
      </c>
      <c r="C1152" s="190" t="str">
        <f>IFERROR(__xludf.DUMMYFUNCTION("""COMPUTED_VALUE"""),"Status")</f>
        <v>Status</v>
      </c>
      <c r="D1152" s="190" t="str">
        <f>IFERROR(__xludf.DUMMYFUNCTION("""COMPUTED_VALUE"""),"Scene")</f>
        <v>Scene</v>
      </c>
      <c r="E1152" s="190" t="str">
        <f>IFERROR(__xludf.DUMMYFUNCTION("""COMPUTED_VALUE"""),"Self, Movement Action")</f>
        <v>Self, Movement Action</v>
      </c>
      <c r="F1152" s="190" t="str">
        <f>IFERROR(__xludf.DUMMYFUNCTION("""COMPUTED_VALUE"""),"--")</f>
        <v>--</v>
      </c>
      <c r="G1152" s="190" t="str">
        <f>IFERROR(__xludf.DUMMYFUNCTION("""COMPUTED_VALUE"""),"--")</f>
        <v>--</v>
      </c>
      <c r="H1152" s="191" t="str">
        <f>IFERROR(__xludf.DUMMYFUNCTION("""COMPUTED_VALUE"""),"Choose two Stats and swap their CS Value. The user becomes Slowed.")</f>
        <v>Choose two Stats and swap their CS Value. The user becomes Slowed.</v>
      </c>
      <c r="I1152" s="191" t="str">
        <f>IFERROR(__xludf.DUMMYFUNCTION("""COMPUTED_VALUE"""),"--")</f>
        <v>--</v>
      </c>
      <c r="J1152" s="190" t="str">
        <f>IFERROR(__xludf.DUMMYFUNCTION("""COMPUTED_VALUE"""),"Tier 3")</f>
        <v>Tier 3</v>
      </c>
      <c r="K1152" s="174" t="b">
        <f>IFERROR(__xludf.DUMMYFUNCTION("""COMPUTED_VALUE"""),TRUE)</f>
        <v>1</v>
      </c>
      <c r="L1152" s="174"/>
      <c r="M1152" s="174"/>
      <c r="N1152" s="174"/>
      <c r="O1152" s="174"/>
      <c r="P1152" s="174"/>
      <c r="Q1152" s="174"/>
      <c r="R1152" s="174"/>
      <c r="S1152" s="174"/>
      <c r="T1152" s="174"/>
      <c r="U1152" s="174"/>
      <c r="V1152" s="174"/>
      <c r="W1152" s="174"/>
      <c r="X1152" s="174"/>
      <c r="Y1152" s="174"/>
      <c r="Z1152" s="174"/>
    </row>
    <row r="1153">
      <c r="A1153" s="190" t="str">
        <f>IFERROR(__xludf.DUMMYFUNCTION("""COMPUTED_VALUE"""),"Shrapnel Shot")</f>
        <v>Shrapnel Shot</v>
      </c>
      <c r="B1153" s="190" t="str">
        <f>IFERROR(__xludf.DUMMYFUNCTION("""COMPUTED_VALUE"""),"Steel")</f>
        <v>Steel</v>
      </c>
      <c r="C1153" s="190" t="str">
        <f>IFERROR(__xludf.DUMMYFUNCTION("""COMPUTED_VALUE"""),"Physical")</f>
        <v>Physical</v>
      </c>
      <c r="D1153" s="190" t="str">
        <f>IFERROR(__xludf.DUMMYFUNCTION("""COMPUTED_VALUE"""),"EOT")</f>
        <v>EOT</v>
      </c>
      <c r="E1153" s="190" t="str">
        <f>IFERROR(__xludf.DUMMYFUNCTION("""COMPUTED_VALUE"""),"6, 1 Target")</f>
        <v>6, 1 Target</v>
      </c>
      <c r="F1153" s="190">
        <f>IFERROR(__xludf.DUMMYFUNCTION("""COMPUTED_VALUE"""),3.0)</f>
        <v>3</v>
      </c>
      <c r="G1153" s="190">
        <f>IFERROR(__xludf.DUMMYFUNCTION("""COMPUTED_VALUE"""),7.0)</f>
        <v>7</v>
      </c>
      <c r="H1153" s="191" t="str">
        <f>IFERROR(__xludf.DUMMYFUNCTION("""COMPUTED_VALUE"""),"On a roll of 15+, choose an Enemy within 2m of the Target. The chosen Enemy becomes Wounded.")</f>
        <v>On a roll of 15+, choose an Enemy within 2m of the Target. The chosen Enemy becomes Wounded.</v>
      </c>
      <c r="I1153" s="191" t="str">
        <f>IFERROR(__xludf.DUMMYFUNCTION("""COMPUTED_VALUE"""),"--")</f>
        <v>--</v>
      </c>
      <c r="J1153" s="190" t="str">
        <f>IFERROR(__xludf.DUMMYFUNCTION("""COMPUTED_VALUE"""),"Tier 1")</f>
        <v>Tier 1</v>
      </c>
      <c r="K1153" s="174" t="b">
        <f>IFERROR(__xludf.DUMMYFUNCTION("""COMPUTED_VALUE"""),TRUE)</f>
        <v>1</v>
      </c>
      <c r="L1153" s="174"/>
      <c r="M1153" s="174"/>
      <c r="N1153" s="174"/>
      <c r="O1153" s="174"/>
      <c r="P1153" s="174"/>
      <c r="Q1153" s="174"/>
      <c r="R1153" s="174"/>
      <c r="S1153" s="174"/>
      <c r="T1153" s="174"/>
      <c r="U1153" s="174"/>
      <c r="V1153" s="174"/>
      <c r="W1153" s="174"/>
      <c r="X1153" s="174"/>
      <c r="Y1153" s="174"/>
      <c r="Z1153" s="174"/>
    </row>
    <row r="1154">
      <c r="A1154" s="190" t="str">
        <f>IFERROR(__xludf.DUMMYFUNCTION("""COMPUTED_VALUE"""),"Slice")</f>
        <v>Slice</v>
      </c>
      <c r="B1154" s="190" t="str">
        <f>IFERROR(__xludf.DUMMYFUNCTION("""COMPUTED_VALUE"""),"Steel")</f>
        <v>Steel</v>
      </c>
      <c r="C1154" s="190" t="str">
        <f>IFERROR(__xludf.DUMMYFUNCTION("""COMPUTED_VALUE"""),"Physical")</f>
        <v>Physical</v>
      </c>
      <c r="D1154" s="190" t="str">
        <f>IFERROR(__xludf.DUMMYFUNCTION("""COMPUTED_VALUE"""),"At-Will")</f>
        <v>At-Will</v>
      </c>
      <c r="E1154" s="190" t="str">
        <f>IFERROR(__xludf.DUMMYFUNCTION("""COMPUTED_VALUE"""),"Melee, 1 Target")</f>
        <v>Melee, 1 Target</v>
      </c>
      <c r="F1154" s="190">
        <f>IFERROR(__xludf.DUMMYFUNCTION("""COMPUTED_VALUE"""),3.0)</f>
        <v>3</v>
      </c>
      <c r="G1154" s="190">
        <f>IFERROR(__xludf.DUMMYFUNCTION("""COMPUTED_VALUE"""),4.0)</f>
        <v>4</v>
      </c>
      <c r="H1154" s="191" t="str">
        <f>IFERROR(__xludf.DUMMYFUNCTION("""COMPUTED_VALUE"""),"On a roll of 18+, all Targets become Wounded. This Attack may be used as a Full Action to treat the Range as if it were Close Blast 2.")</f>
        <v>On a roll of 18+, all Targets become Wounded. This Attack may be used as a Full Action to treat the Range as if it were Close Blast 2.</v>
      </c>
      <c r="I1154" s="191" t="str">
        <f>IFERROR(__xludf.DUMMYFUNCTION("""COMPUTED_VALUE"""),"--")</f>
        <v>--</v>
      </c>
      <c r="J1154" s="190" t="str">
        <f>IFERROR(__xludf.DUMMYFUNCTION("""COMPUTED_VALUE"""),"Tier 1")</f>
        <v>Tier 1</v>
      </c>
      <c r="K1154" s="174" t="b">
        <f>IFERROR(__xludf.DUMMYFUNCTION("""COMPUTED_VALUE"""),TRUE)</f>
        <v>1</v>
      </c>
      <c r="L1154" s="174"/>
      <c r="M1154" s="174"/>
      <c r="N1154" s="174"/>
      <c r="O1154" s="174"/>
      <c r="P1154" s="174"/>
      <c r="Q1154" s="174"/>
      <c r="R1154" s="174"/>
      <c r="S1154" s="174"/>
      <c r="T1154" s="174"/>
      <c r="U1154" s="174"/>
      <c r="V1154" s="174"/>
      <c r="W1154" s="174"/>
      <c r="X1154" s="174"/>
      <c r="Y1154" s="174"/>
      <c r="Z1154" s="174"/>
    </row>
    <row r="1155">
      <c r="A1155" s="190" t="str">
        <f>IFERROR(__xludf.DUMMYFUNCTION("""COMPUTED_VALUE"""),"Smart Strike")</f>
        <v>Smart Strike</v>
      </c>
      <c r="B1155" s="190" t="str">
        <f>IFERROR(__xludf.DUMMYFUNCTION("""COMPUTED_VALUE"""),"Steel")</f>
        <v>Steel</v>
      </c>
      <c r="C1155" s="190" t="str">
        <f>IFERROR(__xludf.DUMMYFUNCTION("""COMPUTED_VALUE"""),"Physical")</f>
        <v>Physical</v>
      </c>
      <c r="D1155" s="190" t="str">
        <f>IFERROR(__xludf.DUMMYFUNCTION("""COMPUTED_VALUE"""),"EOT")</f>
        <v>EOT</v>
      </c>
      <c r="E1155" s="190" t="str">
        <f>IFERROR(__xludf.DUMMYFUNCTION("""COMPUTED_VALUE"""),"Melee, 1 Target")</f>
        <v>Melee, 1 Target</v>
      </c>
      <c r="F1155" s="190" t="str">
        <f>IFERROR(__xludf.DUMMYFUNCTION("""COMPUTED_VALUE"""),"--")</f>
        <v>--</v>
      </c>
      <c r="G1155" s="190">
        <f>IFERROR(__xludf.DUMMYFUNCTION("""COMPUTED_VALUE"""),6.0)</f>
        <v>6</v>
      </c>
      <c r="H1155" s="191" t="str">
        <f>IFERROR(__xludf.DUMMYFUNCTION("""COMPUTED_VALUE"""),"Sureshot.")</f>
        <v>Sureshot.</v>
      </c>
      <c r="I1155" s="191" t="str">
        <f>IFERROR(__xludf.DUMMYFUNCTION("""COMPUTED_VALUE"""),"--")</f>
        <v>--</v>
      </c>
      <c r="J1155" s="190" t="str">
        <f>IFERROR(__xludf.DUMMYFUNCTION("""COMPUTED_VALUE"""),"Tier 1")</f>
        <v>Tier 1</v>
      </c>
      <c r="K1155" s="174" t="b">
        <f>IFERROR(__xludf.DUMMYFUNCTION("""COMPUTED_VALUE"""),TRUE)</f>
        <v>1</v>
      </c>
      <c r="L1155" s="174"/>
      <c r="M1155" s="174"/>
      <c r="N1155" s="174"/>
      <c r="O1155" s="174"/>
      <c r="P1155" s="174"/>
      <c r="Q1155" s="174"/>
      <c r="R1155" s="174"/>
      <c r="S1155" s="174"/>
      <c r="T1155" s="174"/>
      <c r="U1155" s="174"/>
      <c r="V1155" s="174"/>
      <c r="W1155" s="174"/>
      <c r="X1155" s="174"/>
      <c r="Y1155" s="174"/>
      <c r="Z1155" s="174"/>
    </row>
    <row r="1156">
      <c r="A1156" s="190" t="str">
        <f>IFERROR(__xludf.DUMMYFUNCTION("""COMPUTED_VALUE"""),"Spin Out")</f>
        <v>Spin Out</v>
      </c>
      <c r="B1156" s="190" t="str">
        <f>IFERROR(__xludf.DUMMYFUNCTION("""COMPUTED_VALUE"""),"Steel")</f>
        <v>Steel</v>
      </c>
      <c r="C1156" s="190" t="str">
        <f>IFERROR(__xludf.DUMMYFUNCTION("""COMPUTED_VALUE"""),"Physical")</f>
        <v>Physical</v>
      </c>
      <c r="D1156" s="190" t="str">
        <f>IFERROR(__xludf.DUMMYFUNCTION("""COMPUTED_VALUE"""),"Scene")</f>
        <v>Scene</v>
      </c>
      <c r="E1156" s="190" t="str">
        <f>IFERROR(__xludf.DUMMYFUNCTION("""COMPUTED_VALUE"""),"Line 8, Dash, Reckless")</f>
        <v>Line 8, Dash, Reckless</v>
      </c>
      <c r="F1156" s="190">
        <f>IFERROR(__xludf.DUMMYFUNCTION("""COMPUTED_VALUE"""),6.0)</f>
        <v>6</v>
      </c>
      <c r="G1156" s="190">
        <f>IFERROR(__xludf.DUMMYFUNCTION("""COMPUTED_VALUE"""),13.0)</f>
        <v>13</v>
      </c>
      <c r="H1156" s="191" t="str">
        <f>IFERROR(__xludf.DUMMYFUNCTION("""COMPUTED_VALUE"""),"After this Attack resolves, the user Slides to the further unoccupied space in the Range of this Attack. If Spin Out is used through the Dash Keyword, this has the Smite Keyword. After Damage Calculations, the user becomes Slowed.")</f>
        <v>After this Attack resolves, the user Slides to the further unoccupied space in the Range of this Attack. If Spin Out is used through the Dash Keyword, this has the Smite Keyword. After Damage Calculations, the user becomes Slowed.</v>
      </c>
      <c r="I1156" s="191" t="str">
        <f>IFERROR(__xludf.DUMMYFUNCTION("""COMPUTED_VALUE"""),"--")</f>
        <v>--</v>
      </c>
      <c r="J1156" s="190" t="str">
        <f>IFERROR(__xludf.DUMMYFUNCTION("""COMPUTED_VALUE"""),"Tier 3")</f>
        <v>Tier 3</v>
      </c>
      <c r="K1156" s="174" t="b">
        <f>IFERROR(__xludf.DUMMYFUNCTION("""COMPUTED_VALUE"""),TRUE)</f>
        <v>1</v>
      </c>
      <c r="L1156" s="174"/>
      <c r="M1156" s="174"/>
      <c r="N1156" s="174"/>
      <c r="O1156" s="174"/>
      <c r="P1156" s="174"/>
      <c r="Q1156" s="174"/>
      <c r="R1156" s="174"/>
      <c r="S1156" s="174"/>
      <c r="T1156" s="174"/>
      <c r="U1156" s="174"/>
      <c r="V1156" s="174"/>
      <c r="W1156" s="174"/>
      <c r="X1156" s="174"/>
      <c r="Y1156" s="174"/>
      <c r="Z1156" s="174"/>
    </row>
    <row r="1157">
      <c r="A1157" s="190" t="str">
        <f>IFERROR(__xludf.DUMMYFUNCTION("""COMPUTED_VALUE"""),"Steel Beam")</f>
        <v>Steel Beam</v>
      </c>
      <c r="B1157" s="190" t="str">
        <f>IFERROR(__xludf.DUMMYFUNCTION("""COMPUTED_VALUE"""),"Steel")</f>
        <v>Steel</v>
      </c>
      <c r="C1157" s="190" t="str">
        <f>IFERROR(__xludf.DUMMYFUNCTION("""COMPUTED_VALUE"""),"Special")</f>
        <v>Special</v>
      </c>
      <c r="D1157" s="190" t="str">
        <f>IFERROR(__xludf.DUMMYFUNCTION("""COMPUTED_VALUE"""),"Scene")</f>
        <v>Scene</v>
      </c>
      <c r="E1157" s="190" t="str">
        <f>IFERROR(__xludf.DUMMYFUNCTION("""COMPUTED_VALUE"""),"Close Blast 3, Full Action")</f>
        <v>Close Blast 3, Full Action</v>
      </c>
      <c r="F1157" s="190">
        <f>IFERROR(__xludf.DUMMYFUNCTION("""COMPUTED_VALUE"""),6.0)</f>
        <v>6</v>
      </c>
      <c r="G1157" s="190">
        <f>IFERROR(__xludf.DUMMYFUNCTION("""COMPUTED_VALUE"""),13.0)</f>
        <v>13</v>
      </c>
      <c r="H1157" s="191" t="str">
        <f>IFERROR(__xludf.DUMMYFUNCTION("""COMPUTED_VALUE"""),"After Damage Calculations, lower the Offensive Stat used for this Attack by -2 CS. Smite")</f>
        <v>After Damage Calculations, lower the Offensive Stat used for this Attack by -2 CS. Smite</v>
      </c>
      <c r="I1157" s="191" t="str">
        <f>IFERROR(__xludf.DUMMYFUNCTION("""COMPUTED_VALUE"""),"--")</f>
        <v>--</v>
      </c>
      <c r="J1157" s="190" t="str">
        <f>IFERROR(__xludf.DUMMYFUNCTION("""COMPUTED_VALUE"""),"Tier 3")</f>
        <v>Tier 3</v>
      </c>
      <c r="K1157" s="174" t="b">
        <f>IFERROR(__xludf.DUMMYFUNCTION("""COMPUTED_VALUE"""),TRUE)</f>
        <v>1</v>
      </c>
      <c r="L1157" s="174"/>
      <c r="M1157" s="174"/>
      <c r="N1157" s="174"/>
      <c r="O1157" s="174"/>
      <c r="P1157" s="174"/>
      <c r="Q1157" s="174"/>
      <c r="R1157" s="174"/>
      <c r="S1157" s="174"/>
      <c r="T1157" s="174"/>
      <c r="U1157" s="174"/>
      <c r="V1157" s="174"/>
      <c r="W1157" s="174"/>
      <c r="X1157" s="174"/>
      <c r="Y1157" s="174"/>
      <c r="Z1157" s="174"/>
    </row>
    <row r="1158">
      <c r="A1158" s="190" t="str">
        <f>IFERROR(__xludf.DUMMYFUNCTION("""COMPUTED_VALUE"""),"Steel Roller")</f>
        <v>Steel Roller</v>
      </c>
      <c r="B1158" s="190" t="str">
        <f>IFERROR(__xludf.DUMMYFUNCTION("""COMPUTED_VALUE"""),"Steel")</f>
        <v>Steel</v>
      </c>
      <c r="C1158" s="190" t="str">
        <f>IFERROR(__xludf.DUMMYFUNCTION("""COMPUTED_VALUE"""),"Physical")</f>
        <v>Physical</v>
      </c>
      <c r="D1158" s="190" t="str">
        <f>IFERROR(__xludf.DUMMYFUNCTION("""COMPUTED_VALUE"""),"Scene")</f>
        <v>Scene</v>
      </c>
      <c r="E1158" s="190" t="str">
        <f>IFERROR(__xludf.DUMMYFUNCTION("""COMPUTED_VALUE"""),"Melee, Pass, Dash")</f>
        <v>Melee, Pass, Dash</v>
      </c>
      <c r="F1158" s="190">
        <f>IFERROR(__xludf.DUMMYFUNCTION("""COMPUTED_VALUE"""),7.0)</f>
        <v>7</v>
      </c>
      <c r="G1158" s="190">
        <f>IFERROR(__xludf.DUMMYFUNCTION("""COMPUTED_VALUE"""),12.0)</f>
        <v>12</v>
      </c>
      <c r="H1158" s="191" t="str">
        <f>IFERROR(__xludf.DUMMYFUNCTION("""COMPUTED_VALUE"""),"Steel Roller may be declared at the start of the user's Turn, but must activate the Dash Keyword to do so. If you do, any spaces you move through and all spaces adjacent to them have Hazards and Cover Terrain destroyed. Smite. Spirit Surge.")</f>
        <v>Steel Roller may be declared at the start of the user's Turn, but must activate the Dash Keyword to do so. If you do, any spaces you move through and all spaces adjacent to them have Hazards and Cover Terrain destroyed. Smite. Spirit Surge.</v>
      </c>
      <c r="I1158" s="191" t="str">
        <f>IFERROR(__xludf.DUMMYFUNCTION("""COMPUTED_VALUE"""),"--")</f>
        <v>--</v>
      </c>
      <c r="J1158" s="190" t="str">
        <f>IFERROR(__xludf.DUMMYFUNCTION("""COMPUTED_VALUE"""),"Tier 3")</f>
        <v>Tier 3</v>
      </c>
      <c r="K1158" s="174" t="b">
        <f>IFERROR(__xludf.DUMMYFUNCTION("""COMPUTED_VALUE"""),TRUE)</f>
        <v>1</v>
      </c>
      <c r="L1158" s="174"/>
      <c r="M1158" s="174"/>
      <c r="N1158" s="174"/>
      <c r="O1158" s="174"/>
      <c r="P1158" s="174"/>
      <c r="Q1158" s="174"/>
      <c r="R1158" s="174"/>
      <c r="S1158" s="174"/>
      <c r="T1158" s="174"/>
      <c r="U1158" s="174"/>
      <c r="V1158" s="174"/>
      <c r="W1158" s="174"/>
      <c r="X1158" s="174"/>
      <c r="Y1158" s="174"/>
      <c r="Z1158" s="174"/>
    </row>
    <row r="1159">
      <c r="A1159" s="190" t="str">
        <f>IFERROR(__xludf.DUMMYFUNCTION("""COMPUTED_VALUE"""),"Steel Wing")</f>
        <v>Steel Wing</v>
      </c>
      <c r="B1159" s="190" t="str">
        <f>IFERROR(__xludf.DUMMYFUNCTION("""COMPUTED_VALUE"""),"Steel")</f>
        <v>Steel</v>
      </c>
      <c r="C1159" s="190" t="str">
        <f>IFERROR(__xludf.DUMMYFUNCTION("""COMPUTED_VALUE"""),"Physical")</f>
        <v>Physical</v>
      </c>
      <c r="D1159" s="190" t="str">
        <f>IFERROR(__xludf.DUMMYFUNCTION("""COMPUTED_VALUE"""),"EOT")</f>
        <v>EOT</v>
      </c>
      <c r="E1159" s="190" t="str">
        <f>IFERROR(__xludf.DUMMYFUNCTION("""COMPUTED_VALUE"""),"Melee, Pass ")</f>
        <v>Melee, Pass </v>
      </c>
      <c r="F1159" s="190">
        <f>IFERROR(__xludf.DUMMYFUNCTION("""COMPUTED_VALUE"""),6.0)</f>
        <v>6</v>
      </c>
      <c r="G1159" s="190">
        <f>IFERROR(__xludf.DUMMYFUNCTION("""COMPUTED_VALUE"""),8.0)</f>
        <v>8</v>
      </c>
      <c r="H1159" s="191" t="str">
        <f>IFERROR(__xludf.DUMMYFUNCTION("""COMPUTED_VALUE"""),"The user may use their Defense as if it were the Offensive Stat for this Attack.")</f>
        <v>The user may use their Defense as if it were the Offensive Stat for this Attack.</v>
      </c>
      <c r="I1159" s="191" t="str">
        <f>IFERROR(__xludf.DUMMYFUNCTION("""COMPUTED_VALUE"""),"--")</f>
        <v>--</v>
      </c>
      <c r="J1159" s="190" t="str">
        <f>IFERROR(__xludf.DUMMYFUNCTION("""COMPUTED_VALUE"""),"Tier 2")</f>
        <v>Tier 2</v>
      </c>
      <c r="K1159" s="174" t="b">
        <f>IFERROR(__xludf.DUMMYFUNCTION("""COMPUTED_VALUE"""),TRUE)</f>
        <v>1</v>
      </c>
      <c r="L1159" s="174"/>
      <c r="M1159" s="174"/>
      <c r="N1159" s="174"/>
      <c r="O1159" s="174"/>
      <c r="P1159" s="174"/>
      <c r="Q1159" s="174"/>
      <c r="R1159" s="174"/>
      <c r="S1159" s="174"/>
      <c r="T1159" s="174"/>
      <c r="U1159" s="174"/>
      <c r="V1159" s="174"/>
      <c r="W1159" s="174"/>
      <c r="X1159" s="174"/>
      <c r="Y1159" s="174"/>
      <c r="Z1159" s="174"/>
    </row>
    <row r="1160">
      <c r="A1160" s="190" t="str">
        <f>IFERROR(__xludf.DUMMYFUNCTION("""COMPUTED_VALUE"""),"Aqua Cutter")</f>
        <v>Aqua Cutter</v>
      </c>
      <c r="B1160" s="190" t="str">
        <f>IFERROR(__xludf.DUMMYFUNCTION("""COMPUTED_VALUE"""),"Water")</f>
        <v>Water</v>
      </c>
      <c r="C1160" s="190" t="str">
        <f>IFERROR(__xludf.DUMMYFUNCTION("""COMPUTED_VALUE"""),"Physical")</f>
        <v>Physical</v>
      </c>
      <c r="D1160" s="190" t="str">
        <f>IFERROR(__xludf.DUMMYFUNCTION("""COMPUTED_VALUE"""),"EOT")</f>
        <v>EOT</v>
      </c>
      <c r="E1160" s="190" t="str">
        <f>IFERROR(__xludf.DUMMYFUNCTION("""COMPUTED_VALUE"""),"6, 1 Target")</f>
        <v>6, 1 Target</v>
      </c>
      <c r="F1160" s="190">
        <f>IFERROR(__xludf.DUMMYFUNCTION("""COMPUTED_VALUE"""),3.0)</f>
        <v>3</v>
      </c>
      <c r="G1160" s="190">
        <f>IFERROR(__xludf.DUMMYFUNCTION("""COMPUTED_VALUE"""),7.0)</f>
        <v>7</v>
      </c>
      <c r="H1160" s="191" t="str">
        <f>IFERROR(__xludf.DUMMYFUNCTION("""COMPUTED_VALUE"""),"Aqua Cutter is a Critical Hit on a roll of 18+")</f>
        <v>Aqua Cutter is a Critical Hit on a roll of 18+</v>
      </c>
      <c r="I1160" s="191" t="str">
        <f>IFERROR(__xludf.DUMMYFUNCTION("""COMPUTED_VALUE"""),"--")</f>
        <v>--</v>
      </c>
      <c r="J1160" s="190" t="str">
        <f>IFERROR(__xludf.DUMMYFUNCTION("""COMPUTED_VALUE"""),"Tier 1")</f>
        <v>Tier 1</v>
      </c>
      <c r="K1160" s="174" t="b">
        <f>IFERROR(__xludf.DUMMYFUNCTION("""COMPUTED_VALUE"""),TRUE)</f>
        <v>1</v>
      </c>
      <c r="L1160" s="174"/>
      <c r="M1160" s="174"/>
      <c r="N1160" s="174"/>
      <c r="O1160" s="174"/>
      <c r="P1160" s="174"/>
      <c r="Q1160" s="174"/>
      <c r="R1160" s="174"/>
      <c r="S1160" s="174"/>
      <c r="T1160" s="174"/>
      <c r="U1160" s="174"/>
      <c r="V1160" s="174"/>
      <c r="W1160" s="174"/>
      <c r="X1160" s="174"/>
      <c r="Y1160" s="174"/>
      <c r="Z1160" s="174"/>
    </row>
    <row r="1161">
      <c r="A1161" s="190" t="str">
        <f>IFERROR(__xludf.DUMMYFUNCTION("""COMPUTED_VALUE"""),"Aqua Fist")</f>
        <v>Aqua Fist</v>
      </c>
      <c r="B1161" s="190" t="str">
        <f>IFERROR(__xludf.DUMMYFUNCTION("""COMPUTED_VALUE"""),"Water")</f>
        <v>Water</v>
      </c>
      <c r="C1161" s="190" t="str">
        <f>IFERROR(__xludf.DUMMYFUNCTION("""COMPUTED_VALUE"""),"Physical")</f>
        <v>Physical</v>
      </c>
      <c r="D1161" s="190" t="str">
        <f>IFERROR(__xludf.DUMMYFUNCTION("""COMPUTED_VALUE"""),"Scene x2")</f>
        <v>Scene x2</v>
      </c>
      <c r="E1161" s="190" t="str">
        <f>IFERROR(__xludf.DUMMYFUNCTION("""COMPUTED_VALUE"""),"Melee, 1 Target")</f>
        <v>Melee, 1 Target</v>
      </c>
      <c r="F1161" s="190">
        <f>IFERROR(__xludf.DUMMYFUNCTION("""COMPUTED_VALUE"""),3.0)</f>
        <v>3</v>
      </c>
      <c r="G1161" s="190">
        <f>IFERROR(__xludf.DUMMYFUNCTION("""COMPUTED_VALUE"""),8.0)</f>
        <v>8</v>
      </c>
      <c r="H1161" s="191" t="str">
        <f>IFERROR(__xludf.DUMMYFUNCTION("""COMPUTED_VALUE"""),"If the Weather is Rainy, the Target cannot apply Physical Evasion against this Attack.")</f>
        <v>If the Weather is Rainy, the Target cannot apply Physical Evasion against this Attack.</v>
      </c>
      <c r="I1161" s="191" t="str">
        <f>IFERROR(__xludf.DUMMYFUNCTION("""COMPUTED_VALUE"""),"--")</f>
        <v>--</v>
      </c>
      <c r="J1161" s="190" t="str">
        <f>IFERROR(__xludf.DUMMYFUNCTION("""COMPUTED_VALUE"""),"Tier 2")</f>
        <v>Tier 2</v>
      </c>
      <c r="K1161" s="174" t="b">
        <f>IFERROR(__xludf.DUMMYFUNCTION("""COMPUTED_VALUE"""),TRUE)</f>
        <v>1</v>
      </c>
      <c r="L1161" s="174"/>
      <c r="M1161" s="174"/>
      <c r="N1161" s="174"/>
      <c r="O1161" s="174"/>
      <c r="P1161" s="174"/>
      <c r="Q1161" s="174"/>
      <c r="R1161" s="174"/>
      <c r="S1161" s="174"/>
      <c r="T1161" s="174"/>
      <c r="U1161" s="174"/>
      <c r="V1161" s="174"/>
      <c r="W1161" s="174"/>
      <c r="X1161" s="174"/>
      <c r="Y1161" s="174"/>
      <c r="Z1161" s="174"/>
    </row>
    <row r="1162">
      <c r="A1162" s="190" t="str">
        <f>IFERROR(__xludf.DUMMYFUNCTION("""COMPUTED_VALUE"""),"Aqua Infusion")</f>
        <v>Aqua Infusion</v>
      </c>
      <c r="B1162" s="190" t="str">
        <f>IFERROR(__xludf.DUMMYFUNCTION("""COMPUTED_VALUE"""),"Water")</f>
        <v>Water</v>
      </c>
      <c r="C1162" s="190" t="str">
        <f>IFERROR(__xludf.DUMMYFUNCTION("""COMPUTED_VALUE"""),"Status")</f>
        <v>Status</v>
      </c>
      <c r="D1162" s="190" t="str">
        <f>IFERROR(__xludf.DUMMYFUNCTION("""COMPUTED_VALUE"""),"Scene x2")</f>
        <v>Scene x2</v>
      </c>
      <c r="E1162" s="190" t="str">
        <f>IFERROR(__xludf.DUMMYFUNCTION("""COMPUTED_VALUE"""),"6, 1 Target, Coat, Versatile")</f>
        <v>6, 1 Target, Coat, Versatile</v>
      </c>
      <c r="F1162" s="190" t="str">
        <f>IFERROR(__xludf.DUMMYFUNCTION("""COMPUTED_VALUE"""),"--")</f>
        <v>--</v>
      </c>
      <c r="G1162" s="190" t="str">
        <f>IFERROR(__xludf.DUMMYFUNCTION("""COMPUTED_VALUE"""),"--")</f>
        <v>--</v>
      </c>
      <c r="H1162" s="191" t="str">
        <f>IFERROR(__xludf.DUMMYFUNCTION("""COMPUTED_VALUE"""),"The Target gains 2 activations of a Aqua Infusion Coat. The Target can activate Aqua Infusion once per Round to cure one of their Status Afflictions, gain two Ticks of Temporary Hit Points, or reset a Stat to its Default CS Value.")</f>
        <v>The Target gains 2 activations of a Aqua Infusion Coat. The Target can activate Aqua Infusion once per Round to cure one of their Status Afflictions, gain two Ticks of Temporary Hit Points, or reset a Stat to its Default CS Value.</v>
      </c>
      <c r="I1162" s="191" t="str">
        <f>IFERROR(__xludf.DUMMYFUNCTION("""COMPUTED_VALUE"""),"Same as the normal Effect, but it only has 1 Activation.")</f>
        <v>Same as the normal Effect, but it only has 1 Activation.</v>
      </c>
      <c r="J1162" s="190" t="str">
        <f>IFERROR(__xludf.DUMMYFUNCTION("""COMPUTED_VALUE"""),"Tier 2")</f>
        <v>Tier 2</v>
      </c>
      <c r="K1162" s="174" t="b">
        <f>IFERROR(__xludf.DUMMYFUNCTION("""COMPUTED_VALUE"""),TRUE)</f>
        <v>1</v>
      </c>
      <c r="L1162" s="174"/>
      <c r="M1162" s="174"/>
      <c r="N1162" s="174"/>
      <c r="O1162" s="174"/>
      <c r="P1162" s="174"/>
      <c r="Q1162" s="174"/>
      <c r="R1162" s="174"/>
      <c r="S1162" s="174"/>
      <c r="T1162" s="174"/>
      <c r="U1162" s="174"/>
      <c r="V1162" s="174"/>
      <c r="W1162" s="174"/>
      <c r="X1162" s="174"/>
      <c r="Y1162" s="174"/>
      <c r="Z1162" s="174"/>
    </row>
    <row r="1163">
      <c r="A1163" s="190" t="str">
        <f>IFERROR(__xludf.DUMMYFUNCTION("""COMPUTED_VALUE"""),"Aqua Jet")</f>
        <v>Aqua Jet</v>
      </c>
      <c r="B1163" s="190" t="str">
        <f>IFERROR(__xludf.DUMMYFUNCTION("""COMPUTED_VALUE"""),"Water")</f>
        <v>Water</v>
      </c>
      <c r="C1163" s="190" t="str">
        <f>IFERROR(__xludf.DUMMYFUNCTION("""COMPUTED_VALUE"""),"Physical")</f>
        <v>Physical</v>
      </c>
      <c r="D1163" s="190" t="str">
        <f>IFERROR(__xludf.DUMMYFUNCTION("""COMPUTED_VALUE"""),"At-Will")</f>
        <v>At-Will</v>
      </c>
      <c r="E1163" s="190" t="str">
        <f>IFERROR(__xludf.DUMMYFUNCTION("""COMPUTED_VALUE"""),"Melee, 1 Target, Priority")</f>
        <v>Melee, 1 Target, Priority</v>
      </c>
      <c r="F1163" s="190">
        <f>IFERROR(__xludf.DUMMYFUNCTION("""COMPUTED_VALUE"""),2.0)</f>
        <v>2</v>
      </c>
      <c r="G1163" s="190">
        <f>IFERROR(__xludf.DUMMYFUNCTION("""COMPUTED_VALUE"""),4.0)</f>
        <v>4</v>
      </c>
      <c r="H1163" s="191" t="str">
        <f>IFERROR(__xludf.DUMMYFUNCTION("""COMPUTED_VALUE"""),"--")</f>
        <v>--</v>
      </c>
      <c r="I1163" s="191" t="str">
        <f>IFERROR(__xludf.DUMMYFUNCTION("""COMPUTED_VALUE"""),"--")</f>
        <v>--</v>
      </c>
      <c r="J1163" s="190" t="str">
        <f>IFERROR(__xludf.DUMMYFUNCTION("""COMPUTED_VALUE"""),"Tier 1")</f>
        <v>Tier 1</v>
      </c>
      <c r="K1163" s="174" t="b">
        <f>IFERROR(__xludf.DUMMYFUNCTION("""COMPUTED_VALUE"""),TRUE)</f>
        <v>1</v>
      </c>
      <c r="L1163" s="174"/>
      <c r="M1163" s="174"/>
      <c r="N1163" s="174"/>
      <c r="O1163" s="174"/>
      <c r="P1163" s="174"/>
      <c r="Q1163" s="174"/>
      <c r="R1163" s="174"/>
      <c r="S1163" s="174"/>
      <c r="T1163" s="174"/>
      <c r="U1163" s="174"/>
      <c r="V1163" s="174"/>
      <c r="W1163" s="174"/>
      <c r="X1163" s="174"/>
      <c r="Y1163" s="174"/>
      <c r="Z1163" s="174"/>
    </row>
    <row r="1164">
      <c r="A1164" s="190" t="str">
        <f>IFERROR(__xludf.DUMMYFUNCTION("""COMPUTED_VALUE"""),"Aqua Ring")</f>
        <v>Aqua Ring</v>
      </c>
      <c r="B1164" s="190" t="str">
        <f>IFERROR(__xludf.DUMMYFUNCTION("""COMPUTED_VALUE"""),"Water")</f>
        <v>Water</v>
      </c>
      <c r="C1164" s="190" t="str">
        <f>IFERROR(__xludf.DUMMYFUNCTION("""COMPUTED_VALUE"""),"Status")</f>
        <v>Status</v>
      </c>
      <c r="D1164" s="190" t="str">
        <f>IFERROR(__xludf.DUMMYFUNCTION("""COMPUTED_VALUE"""),"Scene x2")</f>
        <v>Scene x2</v>
      </c>
      <c r="E1164" s="190" t="str">
        <f>IFERROR(__xludf.DUMMYFUNCTION("""COMPUTED_VALUE"""),"4, 1 Target or Self; Coat")</f>
        <v>4, 1 Target or Self; Coat</v>
      </c>
      <c r="F1164" s="190" t="str">
        <f>IFERROR(__xludf.DUMMYFUNCTION("""COMPUTED_VALUE"""),"--")</f>
        <v>--</v>
      </c>
      <c r="G1164" s="190" t="str">
        <f>IFERROR(__xludf.DUMMYFUNCTION("""COMPUTED_VALUE"""),"--")</f>
        <v>--</v>
      </c>
      <c r="H1164" s="191" t="str">
        <f>IFERROR(__xludf.DUMMYFUNCTION("""COMPUTED_VALUE"""),"The Target gains an Aqua Ring Coat. Combatants affected by an Aqua Ring Coat gain a Tick of Hit Points at the start of their Turn. Aqua Ring Coats may be expended as a Swift Action to cure themselves of a Physical Affliction. ")</f>
        <v>The Target gains an Aqua Ring Coat. Combatants affected by an Aqua Ring Coat gain a Tick of Hit Points at the start of their Turn. Aqua Ring Coats may be expended as a Swift Action to cure themselves of a Physical Affliction. </v>
      </c>
      <c r="I1164" s="191" t="str">
        <f>IFERROR(__xludf.DUMMYFUNCTION("""COMPUTED_VALUE"""),"Same as the normal Effects, but you cannot Target yourself and the Coat cannot be expended as a Swift Action.")</f>
        <v>Same as the normal Effects, but you cannot Target yourself and the Coat cannot be expended as a Swift Action.</v>
      </c>
      <c r="J1164" s="190" t="str">
        <f>IFERROR(__xludf.DUMMYFUNCTION("""COMPUTED_VALUE"""),"Tier 2")</f>
        <v>Tier 2</v>
      </c>
      <c r="K1164" s="174" t="b">
        <f>IFERROR(__xludf.DUMMYFUNCTION("""COMPUTED_VALUE"""),TRUE)</f>
        <v>1</v>
      </c>
      <c r="L1164" s="174"/>
      <c r="M1164" s="174"/>
      <c r="N1164" s="174"/>
      <c r="O1164" s="174"/>
      <c r="P1164" s="174"/>
      <c r="Q1164" s="174"/>
      <c r="R1164" s="174"/>
      <c r="S1164" s="174"/>
      <c r="T1164" s="174"/>
      <c r="U1164" s="174"/>
      <c r="V1164" s="174"/>
      <c r="W1164" s="174"/>
      <c r="X1164" s="174"/>
      <c r="Y1164" s="174"/>
      <c r="Z1164" s="174"/>
    </row>
    <row r="1165">
      <c r="A1165" s="190" t="str">
        <f>IFERROR(__xludf.DUMMYFUNCTION("""COMPUTED_VALUE"""),"Aqua Slap")</f>
        <v>Aqua Slap</v>
      </c>
      <c r="B1165" s="190" t="str">
        <f>IFERROR(__xludf.DUMMYFUNCTION("""COMPUTED_VALUE"""),"Water")</f>
        <v>Water</v>
      </c>
      <c r="C1165" s="190" t="str">
        <f>IFERROR(__xludf.DUMMYFUNCTION("""COMPUTED_VALUE"""),"Physical")</f>
        <v>Physical</v>
      </c>
      <c r="D1165" s="190" t="str">
        <f>IFERROR(__xludf.DUMMYFUNCTION("""COMPUTED_VALUE"""),"At-Will")</f>
        <v>At-Will</v>
      </c>
      <c r="E1165" s="190" t="str">
        <f>IFERROR(__xludf.DUMMYFUNCTION("""COMPUTED_VALUE"""),"Close Blast 2")</f>
        <v>Close Blast 2</v>
      </c>
      <c r="F1165" s="190">
        <f>IFERROR(__xludf.DUMMYFUNCTION("""COMPUTED_VALUE"""),5.0)</f>
        <v>5</v>
      </c>
      <c r="G1165" s="190">
        <f>IFERROR(__xludf.DUMMYFUNCTION("""COMPUTED_VALUE"""),4.0)</f>
        <v>4</v>
      </c>
      <c r="H1165" s="191" t="str">
        <f>IFERROR(__xludf.DUMMYFUNCTION("""COMPUTED_VALUE"""),"On a roll of 18+, the Target becomes Blinded until the end of their next Turn.")</f>
        <v>On a roll of 18+, the Target becomes Blinded until the end of their next Turn.</v>
      </c>
      <c r="I1165" s="191" t="str">
        <f>IFERROR(__xludf.DUMMYFUNCTION("""COMPUTED_VALUE"""),"--")</f>
        <v>--</v>
      </c>
      <c r="J1165" s="190" t="str">
        <f>IFERROR(__xludf.DUMMYFUNCTION("""COMPUTED_VALUE"""),"Tier 1")</f>
        <v>Tier 1</v>
      </c>
      <c r="K1165" s="174" t="b">
        <f>IFERROR(__xludf.DUMMYFUNCTION("""COMPUTED_VALUE"""),TRUE)</f>
        <v>1</v>
      </c>
      <c r="L1165" s="174"/>
      <c r="M1165" s="174"/>
      <c r="N1165" s="174"/>
      <c r="O1165" s="174"/>
      <c r="P1165" s="174"/>
      <c r="Q1165" s="174"/>
      <c r="R1165" s="174"/>
      <c r="S1165" s="174"/>
      <c r="T1165" s="174"/>
      <c r="U1165" s="174"/>
      <c r="V1165" s="174"/>
      <c r="W1165" s="174"/>
      <c r="X1165" s="174"/>
      <c r="Y1165" s="174"/>
      <c r="Z1165" s="174"/>
    </row>
    <row r="1166">
      <c r="A1166" s="190" t="str">
        <f>IFERROR(__xludf.DUMMYFUNCTION("""COMPUTED_VALUE"""),"Aqua Step")</f>
        <v>Aqua Step</v>
      </c>
      <c r="B1166" s="190" t="str">
        <f>IFERROR(__xludf.DUMMYFUNCTION("""COMPUTED_VALUE"""),"Water")</f>
        <v>Water</v>
      </c>
      <c r="C1166" s="190" t="str">
        <f>IFERROR(__xludf.DUMMYFUNCTION("""COMPUTED_VALUE"""),"Physical")</f>
        <v>Physical</v>
      </c>
      <c r="D1166" s="190" t="str">
        <f>IFERROR(__xludf.DUMMYFUNCTION("""COMPUTED_VALUE"""),"EOT")</f>
        <v>EOT</v>
      </c>
      <c r="E1166" s="190" t="str">
        <f>IFERROR(__xludf.DUMMYFUNCTION("""COMPUTED_VALUE"""),"Melee, 1 Target")</f>
        <v>Melee, 1 Target</v>
      </c>
      <c r="F1166" s="190">
        <f>IFERROR(__xludf.DUMMYFUNCTION("""COMPUTED_VALUE"""),3.0)</f>
        <v>3</v>
      </c>
      <c r="G1166" s="190">
        <f>IFERROR(__xludf.DUMMYFUNCTION("""COMPUTED_VALUE"""),8.0)</f>
        <v>8</v>
      </c>
      <c r="H1166" s="191" t="str">
        <f>IFERROR(__xludf.DUMMYFUNCTION("""COMPUTED_VALUE"""),"The user may use a Disengage Maneuver as a Free Action  after resolving the Attack. If they do so, the user's Speed is increased by +1 CS")</f>
        <v>The user may use a Disengage Maneuver as a Free Action  after resolving the Attack. If they do so, the user's Speed is increased by +1 CS</v>
      </c>
      <c r="I1166" s="191" t="str">
        <f>IFERROR(__xludf.DUMMYFUNCTION("""COMPUTED_VALUE"""),"--")</f>
        <v>--</v>
      </c>
      <c r="J1166" s="190" t="str">
        <f>IFERROR(__xludf.DUMMYFUNCTION("""COMPUTED_VALUE"""),"Tier 2")</f>
        <v>Tier 2</v>
      </c>
      <c r="K1166" s="174" t="b">
        <f>IFERROR(__xludf.DUMMYFUNCTION("""COMPUTED_VALUE"""),TRUE)</f>
        <v>1</v>
      </c>
      <c r="L1166" s="174"/>
      <c r="M1166" s="174"/>
      <c r="N1166" s="174"/>
      <c r="O1166" s="174"/>
      <c r="P1166" s="174"/>
      <c r="Q1166" s="174"/>
      <c r="R1166" s="174"/>
      <c r="S1166" s="174"/>
      <c r="T1166" s="174"/>
      <c r="U1166" s="174"/>
      <c r="V1166" s="174"/>
      <c r="W1166" s="174"/>
      <c r="X1166" s="174"/>
      <c r="Y1166" s="174"/>
      <c r="Z1166" s="174"/>
    </row>
    <row r="1167">
      <c r="A1167" s="190" t="str">
        <f>IFERROR(__xludf.DUMMYFUNCTION("""COMPUTED_VALUE"""),"Aqua Tail")</f>
        <v>Aqua Tail</v>
      </c>
      <c r="B1167" s="190" t="str">
        <f>IFERROR(__xludf.DUMMYFUNCTION("""COMPUTED_VALUE"""),"Water")</f>
        <v>Water</v>
      </c>
      <c r="C1167" s="190" t="str">
        <f>IFERROR(__xludf.DUMMYFUNCTION("""COMPUTED_VALUE"""),"Physical")</f>
        <v>Physical</v>
      </c>
      <c r="D1167" s="190" t="str">
        <f>IFERROR(__xludf.DUMMYFUNCTION("""COMPUTED_VALUE"""),"EOT")</f>
        <v>EOT</v>
      </c>
      <c r="E1167" s="190" t="str">
        <f>IFERROR(__xludf.DUMMYFUNCTION("""COMPUTED_VALUE"""),"Melee, Pass or Close Blast 2")</f>
        <v>Melee, Pass or Close Blast 2</v>
      </c>
      <c r="F1167" s="190">
        <f>IFERROR(__xludf.DUMMYFUNCTION("""COMPUTED_VALUE"""),6.0)</f>
        <v>6</v>
      </c>
      <c r="G1167" s="190">
        <f>IFERROR(__xludf.DUMMYFUNCTION("""COMPUTED_VALUE"""),9.0)</f>
        <v>9</v>
      </c>
      <c r="H1167" s="191" t="str">
        <f>IFERROR(__xludf.DUMMYFUNCTION("""COMPUTED_VALUE"""),"If the Weather is Rainy or this Attack has one Target, this has the Smite Keyword.")</f>
        <v>If the Weather is Rainy or this Attack has one Target, this has the Smite Keyword.</v>
      </c>
      <c r="I1167" s="191" t="str">
        <f>IFERROR(__xludf.DUMMYFUNCTION("""COMPUTED_VALUE"""),"--")</f>
        <v>--</v>
      </c>
      <c r="J1167" s="190" t="str">
        <f>IFERROR(__xludf.DUMMYFUNCTION("""COMPUTED_VALUE"""),"Tier 2")</f>
        <v>Tier 2</v>
      </c>
      <c r="K1167" s="174" t="b">
        <f>IFERROR(__xludf.DUMMYFUNCTION("""COMPUTED_VALUE"""),TRUE)</f>
        <v>1</v>
      </c>
      <c r="L1167" s="174"/>
      <c r="M1167" s="174"/>
      <c r="N1167" s="174"/>
      <c r="O1167" s="174"/>
      <c r="P1167" s="174"/>
      <c r="Q1167" s="174"/>
      <c r="R1167" s="174"/>
      <c r="S1167" s="174"/>
      <c r="T1167" s="174"/>
      <c r="U1167" s="174"/>
      <c r="V1167" s="174"/>
      <c r="W1167" s="174"/>
      <c r="X1167" s="174"/>
      <c r="Y1167" s="174"/>
      <c r="Z1167" s="174"/>
    </row>
    <row r="1168">
      <c r="A1168" s="190" t="str">
        <f>IFERROR(__xludf.DUMMYFUNCTION("""COMPUTED_VALUE"""),"Brine")</f>
        <v>Brine</v>
      </c>
      <c r="B1168" s="190" t="str">
        <f>IFERROR(__xludf.DUMMYFUNCTION("""COMPUTED_VALUE"""),"Water")</f>
        <v>Water</v>
      </c>
      <c r="C1168" s="190" t="str">
        <f>IFERROR(__xludf.DUMMYFUNCTION("""COMPUTED_VALUE"""),"Special")</f>
        <v>Special</v>
      </c>
      <c r="D1168" s="190" t="str">
        <f>IFERROR(__xludf.DUMMYFUNCTION("""COMPUTED_VALUE"""),"EOT")</f>
        <v>EOT</v>
      </c>
      <c r="E1168" s="190" t="str">
        <f>IFERROR(__xludf.DUMMYFUNCTION("""COMPUTED_VALUE"""),"6, 1 Target")</f>
        <v>6, 1 Target</v>
      </c>
      <c r="F1168" s="190">
        <f>IFERROR(__xludf.DUMMYFUNCTION("""COMPUTED_VALUE"""),4.0)</f>
        <v>4</v>
      </c>
      <c r="G1168" s="190">
        <f>IFERROR(__xludf.DUMMYFUNCTION("""COMPUTED_VALUE"""),8.0)</f>
        <v>8</v>
      </c>
      <c r="H1168" s="191" t="str">
        <f>IFERROR(__xludf.DUMMYFUNCTION("""COMPUTED_VALUE"""),"If the Target has a Physical Affliction, they’re Vulnerable against this Attack and cannot use Reactions in response to it. ")</f>
        <v>If the Target has a Physical Affliction, they’re Vulnerable against this Attack and cannot use Reactions in response to it. </v>
      </c>
      <c r="I1168" s="191" t="str">
        <f>IFERROR(__xludf.DUMMYFUNCTION("""COMPUTED_VALUE"""),"--")</f>
        <v>--</v>
      </c>
      <c r="J1168" s="190" t="str">
        <f>IFERROR(__xludf.DUMMYFUNCTION("""COMPUTED_VALUE"""),"Tier 2")</f>
        <v>Tier 2</v>
      </c>
      <c r="K1168" s="174" t="b">
        <f>IFERROR(__xludf.DUMMYFUNCTION("""COMPUTED_VALUE"""),TRUE)</f>
        <v>1</v>
      </c>
      <c r="L1168" s="174"/>
      <c r="M1168" s="174"/>
      <c r="N1168" s="174"/>
      <c r="O1168" s="174"/>
      <c r="P1168" s="174"/>
      <c r="Q1168" s="174"/>
      <c r="R1168" s="174"/>
      <c r="S1168" s="174"/>
      <c r="T1168" s="174"/>
      <c r="U1168" s="174"/>
      <c r="V1168" s="174"/>
      <c r="W1168" s="174"/>
      <c r="X1168" s="174"/>
      <c r="Y1168" s="174"/>
      <c r="Z1168" s="174"/>
    </row>
    <row r="1169">
      <c r="A1169" s="190" t="str">
        <f>IFERROR(__xludf.DUMMYFUNCTION("""COMPUTED_VALUE"""),"Bubble")</f>
        <v>Bubble</v>
      </c>
      <c r="B1169" s="190" t="str">
        <f>IFERROR(__xludf.DUMMYFUNCTION("""COMPUTED_VALUE"""),"Water")</f>
        <v>Water</v>
      </c>
      <c r="C1169" s="190" t="str">
        <f>IFERROR(__xludf.DUMMYFUNCTION("""COMPUTED_VALUE"""),"Special")</f>
        <v>Special</v>
      </c>
      <c r="D1169" s="190" t="str">
        <f>IFERROR(__xludf.DUMMYFUNCTION("""COMPUTED_VALUE"""),"At-Will")</f>
        <v>At-Will</v>
      </c>
      <c r="E1169" s="190" t="str">
        <f>IFERROR(__xludf.DUMMYFUNCTION("""COMPUTED_VALUE"""),"6, 1 Target")</f>
        <v>6, 1 Target</v>
      </c>
      <c r="F1169" s="190">
        <f>IFERROR(__xludf.DUMMYFUNCTION("""COMPUTED_VALUE"""),3.0)</f>
        <v>3</v>
      </c>
      <c r="G1169" s="190">
        <f>IFERROR(__xludf.DUMMYFUNCTION("""COMPUTED_VALUE"""),4.0)</f>
        <v>4</v>
      </c>
      <c r="H1169" s="191" t="str">
        <f>IFERROR(__xludf.DUMMYFUNCTION("""COMPUTED_VALUE"""),"On a roll of 16+, the Target have a -2 Accuracy Penalty to their next Attack. Smite")</f>
        <v>On a roll of 16+, the Target have a -2 Accuracy Penalty to their next Attack. Smite</v>
      </c>
      <c r="I1169" s="191" t="str">
        <f>IFERROR(__xludf.DUMMYFUNCTION("""COMPUTED_VALUE"""),"--")</f>
        <v>--</v>
      </c>
      <c r="J1169" s="190" t="str">
        <f>IFERROR(__xludf.DUMMYFUNCTION("""COMPUTED_VALUE"""),"Tier 1")</f>
        <v>Tier 1</v>
      </c>
      <c r="K1169" s="174" t="b">
        <f>IFERROR(__xludf.DUMMYFUNCTION("""COMPUTED_VALUE"""),TRUE)</f>
        <v>1</v>
      </c>
      <c r="L1169" s="174"/>
      <c r="M1169" s="174"/>
      <c r="N1169" s="174"/>
      <c r="O1169" s="174"/>
      <c r="P1169" s="174"/>
      <c r="Q1169" s="174"/>
      <c r="R1169" s="174"/>
      <c r="S1169" s="174"/>
      <c r="T1169" s="174"/>
      <c r="U1169" s="174"/>
      <c r="V1169" s="174"/>
      <c r="W1169" s="174"/>
      <c r="X1169" s="174"/>
      <c r="Y1169" s="174"/>
      <c r="Z1169" s="174"/>
    </row>
    <row r="1170">
      <c r="A1170" s="190" t="str">
        <f>IFERROR(__xludf.DUMMYFUNCTION("""COMPUTED_VALUE"""),"Bubblebeam")</f>
        <v>Bubblebeam</v>
      </c>
      <c r="B1170" s="190" t="str">
        <f>IFERROR(__xludf.DUMMYFUNCTION("""COMPUTED_VALUE"""),"Water")</f>
        <v>Water</v>
      </c>
      <c r="C1170" s="190" t="str">
        <f>IFERROR(__xludf.DUMMYFUNCTION("""COMPUTED_VALUE"""),"Special")</f>
        <v>Special</v>
      </c>
      <c r="D1170" s="190" t="str">
        <f>IFERROR(__xludf.DUMMYFUNCTION("""COMPUTED_VALUE"""),"At-Will")</f>
        <v>At-Will</v>
      </c>
      <c r="E1170" s="190" t="str">
        <f>IFERROR(__xludf.DUMMYFUNCTION("""COMPUTED_VALUE"""),"4, 1 Target or Line 3")</f>
        <v>4, 1 Target or Line 3</v>
      </c>
      <c r="F1170" s="190">
        <f>IFERROR(__xludf.DUMMYFUNCTION("""COMPUTED_VALUE"""),5.0)</f>
        <v>5</v>
      </c>
      <c r="G1170" s="190">
        <f>IFERROR(__xludf.DUMMYFUNCTION("""COMPUTED_VALUE"""),7.0)</f>
        <v>7</v>
      </c>
      <c r="H1170" s="191" t="str">
        <f>IFERROR(__xludf.DUMMYFUNCTION("""COMPUTED_VALUE"""),"On a roll of 16+, the Target have a -2 Accuracy Penalty to their next Attack. Smite")</f>
        <v>On a roll of 16+, the Target have a -2 Accuracy Penalty to their next Attack. Smite</v>
      </c>
      <c r="I1170" s="191" t="str">
        <f>IFERROR(__xludf.DUMMYFUNCTION("""COMPUTED_VALUE"""),"--")</f>
        <v>--</v>
      </c>
      <c r="J1170" s="190" t="str">
        <f>IFERROR(__xludf.DUMMYFUNCTION("""COMPUTED_VALUE"""),"Tier 1")</f>
        <v>Tier 1</v>
      </c>
      <c r="K1170" s="174" t="b">
        <f>IFERROR(__xludf.DUMMYFUNCTION("""COMPUTED_VALUE"""),TRUE)</f>
        <v>1</v>
      </c>
      <c r="L1170" s="174"/>
      <c r="M1170" s="174"/>
      <c r="N1170" s="174"/>
      <c r="O1170" s="174"/>
      <c r="P1170" s="174"/>
      <c r="Q1170" s="174"/>
      <c r="R1170" s="174"/>
      <c r="S1170" s="174"/>
      <c r="T1170" s="174"/>
      <c r="U1170" s="174"/>
      <c r="V1170" s="174"/>
      <c r="W1170" s="174"/>
      <c r="X1170" s="174"/>
      <c r="Y1170" s="174"/>
      <c r="Z1170" s="174"/>
    </row>
    <row r="1171">
      <c r="A1171" s="190" t="str">
        <f>IFERROR(__xludf.DUMMYFUNCTION("""COMPUTED_VALUE"""),"Chilling Water")</f>
        <v>Chilling Water</v>
      </c>
      <c r="B1171" s="190" t="str">
        <f>IFERROR(__xludf.DUMMYFUNCTION("""COMPUTED_VALUE"""),"Water")</f>
        <v>Water</v>
      </c>
      <c r="C1171" s="190" t="str">
        <f>IFERROR(__xludf.DUMMYFUNCTION("""COMPUTED_VALUE"""),"Special")</f>
        <v>Special</v>
      </c>
      <c r="D1171" s="190" t="str">
        <f>IFERROR(__xludf.DUMMYFUNCTION("""COMPUTED_VALUE"""),"EOT")</f>
        <v>EOT</v>
      </c>
      <c r="E1171" s="190" t="str">
        <f>IFERROR(__xludf.DUMMYFUNCTION("""COMPUTED_VALUE"""),"6, 1 Target")</f>
        <v>6, 1 Target</v>
      </c>
      <c r="F1171" s="190">
        <f>IFERROR(__xludf.DUMMYFUNCTION("""COMPUTED_VALUE"""),3.0)</f>
        <v>3</v>
      </c>
      <c r="G1171" s="190">
        <f>IFERROR(__xludf.DUMMYFUNCTION("""COMPUTED_VALUE"""),7.0)</f>
        <v>7</v>
      </c>
      <c r="H1171" s="191" t="str">
        <f>IFERROR(__xludf.DUMMYFUNCTION("""COMPUTED_VALUE"""),"When calculating Weakness and Resistance for Chilling Water, Water Typed Targets calculate damage as if Water was weak to Water. On a roll of 18+, the Target becomes Chilled.")</f>
        <v>When calculating Weakness and Resistance for Chilling Water, Water Typed Targets calculate damage as if Water was weak to Water. On a roll of 18+, the Target becomes Chilled.</v>
      </c>
      <c r="I1171" s="191" t="str">
        <f>IFERROR(__xludf.DUMMYFUNCTION("""COMPUTED_VALUE"""),"--")</f>
        <v>--</v>
      </c>
      <c r="J1171" s="190" t="str">
        <f>IFERROR(__xludf.DUMMYFUNCTION("""COMPUTED_VALUE"""),"Tier 1")</f>
        <v>Tier 1</v>
      </c>
      <c r="K1171" s="174" t="b">
        <f>IFERROR(__xludf.DUMMYFUNCTION("""COMPUTED_VALUE"""),TRUE)</f>
        <v>1</v>
      </c>
      <c r="L1171" s="174"/>
      <c r="M1171" s="174"/>
      <c r="N1171" s="174"/>
      <c r="O1171" s="174"/>
      <c r="P1171" s="174"/>
      <c r="Q1171" s="174"/>
      <c r="R1171" s="174"/>
      <c r="S1171" s="174"/>
      <c r="T1171" s="174"/>
      <c r="U1171" s="174"/>
      <c r="V1171" s="174"/>
      <c r="W1171" s="174"/>
      <c r="X1171" s="174"/>
      <c r="Y1171" s="174"/>
      <c r="Z1171" s="174"/>
    </row>
    <row r="1172">
      <c r="A1172" s="190" t="str">
        <f>IFERROR(__xludf.DUMMYFUNCTION("""COMPUTED_VALUE"""),"Clamp")</f>
        <v>Clamp</v>
      </c>
      <c r="B1172" s="190" t="str">
        <f>IFERROR(__xludf.DUMMYFUNCTION("""COMPUTED_VALUE"""),"Water")</f>
        <v>Water</v>
      </c>
      <c r="C1172" s="190" t="str">
        <f>IFERROR(__xludf.DUMMYFUNCTION("""COMPUTED_VALUE"""),"Static")</f>
        <v>Static</v>
      </c>
      <c r="D1172" s="190" t="str">
        <f>IFERROR(__xludf.DUMMYFUNCTION("""COMPUTED_VALUE"""),"Scene x2")</f>
        <v>Scene x2</v>
      </c>
      <c r="E1172" s="190" t="str">
        <f>IFERROR(__xludf.DUMMYFUNCTION("""COMPUTED_VALUE"""),"Melee, 1 Target")</f>
        <v>Melee, 1 Target</v>
      </c>
      <c r="F1172" s="190">
        <f>IFERROR(__xludf.DUMMYFUNCTION("""COMPUTED_VALUE"""),2.0)</f>
        <v>2</v>
      </c>
      <c r="G1172" s="190" t="str">
        <f>IFERROR(__xludf.DUMMYFUNCTION("""COMPUTED_VALUE"""),"--")</f>
        <v>--</v>
      </c>
      <c r="H1172" s="191" t="str">
        <f>IFERROR(__xludf.DUMMYFUNCTION("""COMPUTED_VALUE"""),"The Target becomes Slowed and it cannot be cured other than thorugh this Effect. While Slowed this way, the user is Provoked by the Target and whenever the Target moves, the user Slides into an adjacent space. If the user is in a space that isn't adjacent"&amp;" to the Target, the Target becomes cured of the Slowed Affliction. ")</f>
        <v>The Target becomes Slowed and it cannot be cured other than thorugh this Effect. While Slowed this way, the user is Provoked by the Target and whenever the Target moves, the user Slides into an adjacent space. If the user is in a space that isn't adjacent to the Target, the Target becomes cured of the Slowed Affliction. </v>
      </c>
      <c r="I1172" s="191" t="str">
        <f>IFERROR(__xludf.DUMMYFUNCTION("""COMPUTED_VALUE"""),"--")</f>
        <v>--</v>
      </c>
      <c r="J1172" s="190" t="str">
        <f>IFERROR(__xludf.DUMMYFUNCTION("""COMPUTED_VALUE"""),"Tier 2")</f>
        <v>Tier 2</v>
      </c>
      <c r="K1172" s="174" t="b">
        <f>IFERROR(__xludf.DUMMYFUNCTION("""COMPUTED_VALUE"""),TRUE)</f>
        <v>1</v>
      </c>
      <c r="L1172" s="174"/>
      <c r="M1172" s="174"/>
      <c r="N1172" s="174"/>
      <c r="O1172" s="174"/>
      <c r="P1172" s="174"/>
      <c r="Q1172" s="174"/>
      <c r="R1172" s="174"/>
      <c r="S1172" s="174"/>
      <c r="T1172" s="174"/>
      <c r="U1172" s="174"/>
      <c r="V1172" s="174"/>
      <c r="W1172" s="174"/>
      <c r="X1172" s="174"/>
      <c r="Y1172" s="174"/>
      <c r="Z1172" s="174"/>
    </row>
    <row r="1173">
      <c r="A1173" s="190" t="str">
        <f>IFERROR(__xludf.DUMMYFUNCTION("""COMPUTED_VALUE"""),"Crabhammer")</f>
        <v>Crabhammer</v>
      </c>
      <c r="B1173" s="190" t="str">
        <f>IFERROR(__xludf.DUMMYFUNCTION("""COMPUTED_VALUE"""),"Water")</f>
        <v>Water</v>
      </c>
      <c r="C1173" s="190" t="str">
        <f>IFERROR(__xludf.DUMMYFUNCTION("""COMPUTED_VALUE"""),"Physical")</f>
        <v>Physical</v>
      </c>
      <c r="D1173" s="190" t="str">
        <f>IFERROR(__xludf.DUMMYFUNCTION("""COMPUTED_VALUE"""),"Scene x2")</f>
        <v>Scene x2</v>
      </c>
      <c r="E1173" s="190" t="str">
        <f>IFERROR(__xludf.DUMMYFUNCTION("""COMPUTED_VALUE"""),"Melee, 1 Target, Recoil 1/3, Reckless")</f>
        <v>Melee, 1 Target, Recoil 1/3, Reckless</v>
      </c>
      <c r="F1173" s="190">
        <f>IFERROR(__xludf.DUMMYFUNCTION("""COMPUTED_VALUE"""),3.0)</f>
        <v>3</v>
      </c>
      <c r="G1173" s="190">
        <f>IFERROR(__xludf.DUMMYFUNCTION("""COMPUTED_VALUE"""),11.0)</f>
        <v>11</v>
      </c>
      <c r="H1173" s="191" t="str">
        <f>IFERROR(__xludf.DUMMYFUNCTION("""COMPUTED_VALUE"""),"If the Target is smaller than the user, this has the Sureshot Keyword.")</f>
        <v>If the Target is smaller than the user, this has the Sureshot Keyword.</v>
      </c>
      <c r="I1173" s="191" t="str">
        <f>IFERROR(__xludf.DUMMYFUNCTION("""COMPUTED_VALUE"""),"--")</f>
        <v>--</v>
      </c>
      <c r="J1173" s="190" t="str">
        <f>IFERROR(__xludf.DUMMYFUNCTION("""COMPUTED_VALUE"""),"Tier 3")</f>
        <v>Tier 3</v>
      </c>
      <c r="K1173" s="174" t="b">
        <f>IFERROR(__xludf.DUMMYFUNCTION("""COMPUTED_VALUE"""),TRUE)</f>
        <v>1</v>
      </c>
      <c r="L1173" s="174"/>
      <c r="M1173" s="174"/>
      <c r="N1173" s="174"/>
      <c r="O1173" s="174"/>
      <c r="P1173" s="174"/>
      <c r="Q1173" s="174"/>
      <c r="R1173" s="174"/>
      <c r="S1173" s="174"/>
      <c r="T1173" s="174"/>
      <c r="U1173" s="174"/>
      <c r="V1173" s="174"/>
      <c r="W1173" s="174"/>
      <c r="X1173" s="174"/>
      <c r="Y1173" s="174"/>
      <c r="Z1173" s="174"/>
    </row>
    <row r="1174">
      <c r="A1174" s="190" t="str">
        <f>IFERROR(__xludf.DUMMYFUNCTION("""COMPUTED_VALUE"""),"Fishious Rend")</f>
        <v>Fishious Rend</v>
      </c>
      <c r="B1174" s="190" t="str">
        <f>IFERROR(__xludf.DUMMYFUNCTION("""COMPUTED_VALUE"""),"Water")</f>
        <v>Water</v>
      </c>
      <c r="C1174" s="190" t="str">
        <f>IFERROR(__xludf.DUMMYFUNCTION("""COMPUTED_VALUE"""),"Physical")</f>
        <v>Physical</v>
      </c>
      <c r="D1174" s="190" t="str">
        <f>IFERROR(__xludf.DUMMYFUNCTION("""COMPUTED_VALUE"""),"Scene x2")</f>
        <v>Scene x2</v>
      </c>
      <c r="E1174" s="190" t="str">
        <f>IFERROR(__xludf.DUMMYFUNCTION("""COMPUTED_VALUE"""),"Melee, 1 Target, Bite")</f>
        <v>Melee, 1 Target, Bite</v>
      </c>
      <c r="F1174" s="190">
        <f>IFERROR(__xludf.DUMMYFUNCTION("""COMPUTED_VALUE"""),3.0)</f>
        <v>3</v>
      </c>
      <c r="G1174" s="190">
        <f>IFERROR(__xludf.DUMMYFUNCTION("""COMPUTED_VALUE"""),9.0)</f>
        <v>9</v>
      </c>
      <c r="H1174" s="191" t="str">
        <f>IFERROR(__xludf.DUMMYFUNCTION("""COMPUTED_VALUE"""),"Unstoppable")</f>
        <v>Unstoppable</v>
      </c>
      <c r="I1174" s="191" t="str">
        <f>IFERROR(__xludf.DUMMYFUNCTION("""COMPUTED_VALUE"""),"--")</f>
        <v>--</v>
      </c>
      <c r="J1174" s="190" t="str">
        <f>IFERROR(__xludf.DUMMYFUNCTION("""COMPUTED_VALUE"""),"Tier 2")</f>
        <v>Tier 2</v>
      </c>
      <c r="K1174" s="174" t="b">
        <f>IFERROR(__xludf.DUMMYFUNCTION("""COMPUTED_VALUE"""),TRUE)</f>
        <v>1</v>
      </c>
      <c r="L1174" s="174"/>
      <c r="M1174" s="174"/>
      <c r="N1174" s="174"/>
      <c r="O1174" s="174"/>
      <c r="P1174" s="174"/>
      <c r="Q1174" s="174"/>
      <c r="R1174" s="174"/>
      <c r="S1174" s="174"/>
      <c r="T1174" s="174"/>
      <c r="U1174" s="174"/>
      <c r="V1174" s="174"/>
      <c r="W1174" s="174"/>
      <c r="X1174" s="174"/>
      <c r="Y1174" s="174"/>
      <c r="Z1174" s="174"/>
    </row>
    <row r="1175">
      <c r="A1175" s="190" t="str">
        <f>IFERROR(__xludf.DUMMYFUNCTION("""COMPUTED_VALUE"""),"Fin Swipe")</f>
        <v>Fin Swipe</v>
      </c>
      <c r="B1175" s="190" t="str">
        <f>IFERROR(__xludf.DUMMYFUNCTION("""COMPUTED_VALUE"""),"Water")</f>
        <v>Water</v>
      </c>
      <c r="C1175" s="190" t="str">
        <f>IFERROR(__xludf.DUMMYFUNCTION("""COMPUTED_VALUE"""),"Physical")</f>
        <v>Physical</v>
      </c>
      <c r="D1175" s="190" t="str">
        <f>IFERROR(__xludf.DUMMYFUNCTION("""COMPUTED_VALUE"""),"EOT")</f>
        <v>EOT</v>
      </c>
      <c r="E1175" s="190" t="str">
        <f>IFERROR(__xludf.DUMMYFUNCTION("""COMPUTED_VALUE"""),"Melee, Pass, Dash")</f>
        <v>Melee, Pass, Dash</v>
      </c>
      <c r="F1175" s="190">
        <f>IFERROR(__xludf.DUMMYFUNCTION("""COMPUTED_VALUE"""),5.0)</f>
        <v>5</v>
      </c>
      <c r="G1175" s="190">
        <f>IFERROR(__xludf.DUMMYFUNCTION("""COMPUTED_VALUE"""),6.0)</f>
        <v>6</v>
      </c>
      <c r="H1175" s="191" t="str">
        <f>IFERROR(__xludf.DUMMYFUNCTION("""COMPUTED_VALUE"""),"If the Dash or Pass Keyword are Activated, this Attack ignores Speed Evasion.")</f>
        <v>If the Dash or Pass Keyword are Activated, this Attack ignores Speed Evasion.</v>
      </c>
      <c r="I1175" s="191" t="str">
        <f>IFERROR(__xludf.DUMMYFUNCTION("""COMPUTED_VALUE"""),"--")</f>
        <v>--</v>
      </c>
      <c r="J1175" s="190" t="str">
        <f>IFERROR(__xludf.DUMMYFUNCTION("""COMPUTED_VALUE"""),"Tier 1")</f>
        <v>Tier 1</v>
      </c>
      <c r="K1175" s="174" t="b">
        <f>IFERROR(__xludf.DUMMYFUNCTION("""COMPUTED_VALUE"""),TRUE)</f>
        <v>1</v>
      </c>
      <c r="L1175" s="174"/>
      <c r="M1175" s="174"/>
      <c r="N1175" s="174"/>
      <c r="O1175" s="174"/>
      <c r="P1175" s="174"/>
      <c r="Q1175" s="174"/>
      <c r="R1175" s="174"/>
      <c r="S1175" s="174"/>
      <c r="T1175" s="174"/>
      <c r="U1175" s="174"/>
      <c r="V1175" s="174"/>
      <c r="W1175" s="174"/>
      <c r="X1175" s="174"/>
      <c r="Y1175" s="174"/>
      <c r="Z1175" s="174"/>
    </row>
    <row r="1176">
      <c r="A1176" s="190" t="str">
        <f>IFERROR(__xludf.DUMMYFUNCTION("""COMPUTED_VALUE"""),"Flip Turn")</f>
        <v>Flip Turn</v>
      </c>
      <c r="B1176" s="190" t="str">
        <f>IFERROR(__xludf.DUMMYFUNCTION("""COMPUTED_VALUE"""),"Water")</f>
        <v>Water</v>
      </c>
      <c r="C1176" s="190" t="str">
        <f>IFERROR(__xludf.DUMMYFUNCTION("""COMPUTED_VALUE"""),"Physical")</f>
        <v>Physical</v>
      </c>
      <c r="D1176" s="190" t="str">
        <f>IFERROR(__xludf.DUMMYFUNCTION("""COMPUTED_VALUE"""),"At-Will")</f>
        <v>At-Will</v>
      </c>
      <c r="E1176" s="190" t="str">
        <f>IFERROR(__xludf.DUMMYFUNCTION("""COMPUTED_VALUE"""),"Melee, 1 Target, Dash")</f>
        <v>Melee, 1 Target, Dash</v>
      </c>
      <c r="F1176" s="190">
        <f>IFERROR(__xludf.DUMMYFUNCTION("""COMPUTED_VALUE"""),2.0)</f>
        <v>2</v>
      </c>
      <c r="G1176" s="190">
        <f>IFERROR(__xludf.DUMMYFUNCTION("""COMPUTED_VALUE"""),7.0)</f>
        <v>7</v>
      </c>
      <c r="H1176" s="191" t="str">
        <f>IFERROR(__xludf.DUMMYFUNCTION("""COMPUTED_VALUE"""),"After Damage Calculations, the user may Disengage as a Free Action or they may perform a Full Switch as a Free Action.")</f>
        <v>After Damage Calculations, the user may Disengage as a Free Action or they may perform a Full Switch as a Free Action.</v>
      </c>
      <c r="I1176" s="191" t="str">
        <f>IFERROR(__xludf.DUMMYFUNCTION("""COMPUTED_VALUE"""),"--")</f>
        <v>--</v>
      </c>
      <c r="J1176" s="190" t="str">
        <f>IFERROR(__xludf.DUMMYFUNCTION("""COMPUTED_VALUE"""),"Tier 1")</f>
        <v>Tier 1</v>
      </c>
      <c r="K1176" s="174" t="b">
        <f>IFERROR(__xludf.DUMMYFUNCTION("""COMPUTED_VALUE"""),TRUE)</f>
        <v>1</v>
      </c>
      <c r="L1176" s="174"/>
      <c r="M1176" s="174"/>
      <c r="N1176" s="174"/>
      <c r="O1176" s="174"/>
      <c r="P1176" s="174"/>
      <c r="Q1176" s="174"/>
      <c r="R1176" s="174"/>
      <c r="S1176" s="174"/>
      <c r="T1176" s="174"/>
      <c r="U1176" s="174"/>
      <c r="V1176" s="174"/>
      <c r="W1176" s="174"/>
      <c r="X1176" s="174"/>
      <c r="Y1176" s="174"/>
      <c r="Z1176" s="174"/>
    </row>
    <row r="1177">
      <c r="A1177" s="190" t="str">
        <f>IFERROR(__xludf.DUMMYFUNCTION("""COMPUTED_VALUE"""),"Geyser Surge")</f>
        <v>Geyser Surge</v>
      </c>
      <c r="B1177" s="190" t="str">
        <f>IFERROR(__xludf.DUMMYFUNCTION("""COMPUTED_VALUE"""),"Water")</f>
        <v>Water</v>
      </c>
      <c r="C1177" s="190" t="str">
        <f>IFERROR(__xludf.DUMMYFUNCTION("""COMPUTED_VALUE"""),"Physical")</f>
        <v>Physical</v>
      </c>
      <c r="D1177" s="190" t="str">
        <f>IFERROR(__xludf.DUMMYFUNCTION("""COMPUTED_VALUE"""),"Scene x2")</f>
        <v>Scene x2</v>
      </c>
      <c r="E1177" s="190" t="str">
        <f>IFERROR(__xludf.DUMMYFUNCTION("""COMPUTED_VALUE"""),"2, 1 Target")</f>
        <v>2, 1 Target</v>
      </c>
      <c r="F1177" s="190">
        <f>IFERROR(__xludf.DUMMYFUNCTION("""COMPUTED_VALUE"""),4.0)</f>
        <v>4</v>
      </c>
      <c r="G1177" s="190">
        <f>IFERROR(__xludf.DUMMYFUNCTION("""COMPUTED_VALUE"""),10.0)</f>
        <v>10</v>
      </c>
      <c r="H1177" s="191" t="str">
        <f>IFERROR(__xludf.DUMMYFUNCTION("""COMPUTED_VALUE"""),"Geyser Surge Burns on a roll of 15+. This has the Sureshot Keyword against any Targets with the Flier Capability.")</f>
        <v>Geyser Surge Burns on a roll of 15+. This has the Sureshot Keyword against any Targets with the Flier Capability.</v>
      </c>
      <c r="I1177" s="191" t="str">
        <f>IFERROR(__xludf.DUMMYFUNCTION("""COMPUTED_VALUE"""),"--")</f>
        <v>--</v>
      </c>
      <c r="J1177" s="190" t="str">
        <f>IFERROR(__xludf.DUMMYFUNCTION("""COMPUTED_VALUE"""),"Tier 3")</f>
        <v>Tier 3</v>
      </c>
      <c r="K1177" s="174" t="b">
        <f>IFERROR(__xludf.DUMMYFUNCTION("""COMPUTED_VALUE"""),TRUE)</f>
        <v>1</v>
      </c>
      <c r="L1177" s="174"/>
      <c r="M1177" s="174"/>
      <c r="N1177" s="174"/>
      <c r="O1177" s="174"/>
      <c r="P1177" s="174"/>
      <c r="Q1177" s="174"/>
      <c r="R1177" s="174"/>
      <c r="S1177" s="174"/>
      <c r="T1177" s="174"/>
      <c r="U1177" s="174"/>
      <c r="V1177" s="174"/>
      <c r="W1177" s="174"/>
      <c r="X1177" s="174"/>
      <c r="Y1177" s="174"/>
      <c r="Z1177" s="174"/>
    </row>
    <row r="1178">
      <c r="A1178" s="190" t="str">
        <f>IFERROR(__xludf.DUMMYFUNCTION("""COMPUTED_VALUE"""),"Hydro Cannon")</f>
        <v>Hydro Cannon</v>
      </c>
      <c r="B1178" s="190" t="str">
        <f>IFERROR(__xludf.DUMMYFUNCTION("""COMPUTED_VALUE"""),"Water")</f>
        <v>Water</v>
      </c>
      <c r="C1178" s="190" t="str">
        <f>IFERROR(__xludf.DUMMYFUNCTION("""COMPUTED_VALUE"""),"Special")</f>
        <v>Special</v>
      </c>
      <c r="D1178" s="190" t="str">
        <f>IFERROR(__xludf.DUMMYFUNCTION("""COMPUTED_VALUE"""),"Scene")</f>
        <v>Scene</v>
      </c>
      <c r="E1178" s="190" t="str">
        <f>IFERROR(__xludf.DUMMYFUNCTION("""COMPUTED_VALUE"""),"Line 9, Full Action ")</f>
        <v>Line 9, Full Action </v>
      </c>
      <c r="F1178" s="190">
        <f>IFERROR(__xludf.DUMMYFUNCTION("""COMPUTED_VALUE"""),7.0)</f>
        <v>7</v>
      </c>
      <c r="G1178" s="190">
        <f>IFERROR(__xludf.DUMMYFUNCTION("""COMPUTED_VALUE"""),15.0)</f>
        <v>15</v>
      </c>
      <c r="H1178" s="191" t="str">
        <f>IFERROR(__xludf.DUMMYFUNCTION("""COMPUTED_VALUE"""),"All Hazards or Cover Terrain in the Range of this Attack are destroyed. Slide 6 (Away). Smite. Spirit Surge.")</f>
        <v>All Hazards or Cover Terrain in the Range of this Attack are destroyed. Slide 6 (Away). Smite. Spirit Surge.</v>
      </c>
      <c r="I1178" s="191" t="str">
        <f>IFERROR(__xludf.DUMMYFUNCTION("""COMPUTED_VALUE"""),"--")</f>
        <v>--</v>
      </c>
      <c r="J1178" s="190" t="str">
        <f>IFERROR(__xludf.DUMMYFUNCTION("""COMPUTED_VALUE"""),"Tier 3")</f>
        <v>Tier 3</v>
      </c>
      <c r="K1178" s="174" t="b">
        <f>IFERROR(__xludf.DUMMYFUNCTION("""COMPUTED_VALUE"""),TRUE)</f>
        <v>1</v>
      </c>
      <c r="L1178" s="174"/>
      <c r="M1178" s="174"/>
      <c r="N1178" s="174"/>
      <c r="O1178" s="174"/>
      <c r="P1178" s="174"/>
      <c r="Q1178" s="174"/>
      <c r="R1178" s="174"/>
      <c r="S1178" s="174"/>
      <c r="T1178" s="174"/>
      <c r="U1178" s="174"/>
      <c r="V1178" s="174"/>
      <c r="W1178" s="174"/>
      <c r="X1178" s="174"/>
      <c r="Y1178" s="174"/>
      <c r="Z1178" s="174"/>
    </row>
    <row r="1179">
      <c r="A1179" s="190" t="str">
        <f>IFERROR(__xludf.DUMMYFUNCTION("""COMPUTED_VALUE"""),"Hydro Cleanse")</f>
        <v>Hydro Cleanse</v>
      </c>
      <c r="B1179" s="190" t="str">
        <f>IFERROR(__xludf.DUMMYFUNCTION("""COMPUTED_VALUE"""),"Water")</f>
        <v>Water</v>
      </c>
      <c r="C1179" s="190" t="str">
        <f>IFERROR(__xludf.DUMMYFUNCTION("""COMPUTED_VALUE"""),"Status")</f>
        <v>Status</v>
      </c>
      <c r="D1179" s="190" t="str">
        <f>IFERROR(__xludf.DUMMYFUNCTION("""COMPUTED_VALUE"""),"Scene x2")</f>
        <v>Scene x2</v>
      </c>
      <c r="E1179" s="190" t="str">
        <f>IFERROR(__xludf.DUMMYFUNCTION("""COMPUTED_VALUE"""),"6, 1 Target, Healing, Versatile")</f>
        <v>6, 1 Target, Healing, Versatile</v>
      </c>
      <c r="F1179" s="190" t="str">
        <f>IFERROR(__xludf.DUMMYFUNCTION("""COMPUTED_VALUE"""),"--")</f>
        <v>--</v>
      </c>
      <c r="G1179" s="190" t="str">
        <f>IFERROR(__xludf.DUMMYFUNCTION("""COMPUTED_VALUE"""),"--")</f>
        <v>--</v>
      </c>
      <c r="H1179" s="191" t="str">
        <f>IFERROR(__xludf.DUMMYFUNCTION("""COMPUTED_VALUE"""),"The Target gains Three Ticks of Hit Points and is cured of one Physical Affliction. If the Weather is Rainy, the cured Affliction may also be Mental.  ")</f>
        <v>The Target gains Three Ticks of Hit Points and is cured of one Physical Affliction. If the Weather is Rainy, the cured Affliction may also be Mental.  </v>
      </c>
      <c r="I1179" s="191" t="str">
        <f>IFERROR(__xludf.DUMMYFUNCTION("""COMPUTED_VALUE"""),"The Target is cured of a Status Affliction. Hydro Cleanse may only be used this way if the Weather is Rainy.")</f>
        <v>The Target is cured of a Status Affliction. Hydro Cleanse may only be used this way if the Weather is Rainy.</v>
      </c>
      <c r="J1179" s="190" t="str">
        <f>IFERROR(__xludf.DUMMYFUNCTION("""COMPUTED_VALUE"""),"Tier 2")</f>
        <v>Tier 2</v>
      </c>
      <c r="K1179" s="174" t="b">
        <f>IFERROR(__xludf.DUMMYFUNCTION("""COMPUTED_VALUE"""),TRUE)</f>
        <v>1</v>
      </c>
      <c r="L1179" s="174"/>
      <c r="M1179" s="174"/>
      <c r="N1179" s="174"/>
      <c r="O1179" s="174"/>
      <c r="P1179" s="174"/>
      <c r="Q1179" s="174"/>
      <c r="R1179" s="174"/>
      <c r="S1179" s="174"/>
      <c r="T1179" s="174"/>
      <c r="U1179" s="174"/>
      <c r="V1179" s="174"/>
      <c r="W1179" s="174"/>
      <c r="X1179" s="174"/>
      <c r="Y1179" s="174"/>
      <c r="Z1179" s="174"/>
    </row>
    <row r="1180">
      <c r="A1180" s="190" t="str">
        <f>IFERROR(__xludf.DUMMYFUNCTION("""COMPUTED_VALUE"""),"Hydro Pump")</f>
        <v>Hydro Pump</v>
      </c>
      <c r="B1180" s="190" t="str">
        <f>IFERROR(__xludf.DUMMYFUNCTION("""COMPUTED_VALUE"""),"Water")</f>
        <v>Water</v>
      </c>
      <c r="C1180" s="190" t="str">
        <f>IFERROR(__xludf.DUMMYFUNCTION("""COMPUTED_VALUE"""),"Special")</f>
        <v>Special</v>
      </c>
      <c r="D1180" s="190" t="str">
        <f>IFERROR(__xludf.DUMMYFUNCTION("""COMPUTED_VALUE"""),"Scene x2")</f>
        <v>Scene x2</v>
      </c>
      <c r="E1180" s="190" t="str">
        <f>IFERROR(__xludf.DUMMYFUNCTION("""COMPUTED_VALUE"""),"Line 6, Full Action")</f>
        <v>Line 6, Full Action</v>
      </c>
      <c r="F1180" s="190">
        <f>IFERROR(__xludf.DUMMYFUNCTION("""COMPUTED_VALUE"""),6.0)</f>
        <v>6</v>
      </c>
      <c r="G1180" s="190">
        <f>IFERROR(__xludf.DUMMYFUNCTION("""COMPUTED_VALUE"""),11.0)</f>
        <v>11</v>
      </c>
      <c r="H1180" s="191" t="str">
        <f>IFERROR(__xludf.DUMMYFUNCTION("""COMPUTED_VALUE"""),"Any Hazards or Cover Terrain in the range of Hydro Pump are destroyed. Slide 4 (Away). Smite. Spirit Surge")</f>
        <v>Any Hazards or Cover Terrain in the range of Hydro Pump are destroyed. Slide 4 (Away). Smite. Spirit Surge</v>
      </c>
      <c r="I1180" s="191" t="str">
        <f>IFERROR(__xludf.DUMMYFUNCTION("""COMPUTED_VALUE"""),"--")</f>
        <v>--</v>
      </c>
      <c r="J1180" s="190" t="str">
        <f>IFERROR(__xludf.DUMMYFUNCTION("""COMPUTED_VALUE"""),"Tier 3")</f>
        <v>Tier 3</v>
      </c>
      <c r="K1180" s="174" t="b">
        <f>IFERROR(__xludf.DUMMYFUNCTION("""COMPUTED_VALUE"""),TRUE)</f>
        <v>1</v>
      </c>
      <c r="L1180" s="174"/>
      <c r="M1180" s="174"/>
      <c r="N1180" s="174"/>
      <c r="O1180" s="174"/>
      <c r="P1180" s="174"/>
      <c r="Q1180" s="174"/>
      <c r="R1180" s="174"/>
      <c r="S1180" s="174"/>
      <c r="T1180" s="174"/>
      <c r="U1180" s="174"/>
      <c r="V1180" s="174"/>
      <c r="W1180" s="174"/>
      <c r="X1180" s="174"/>
      <c r="Y1180" s="174"/>
      <c r="Z1180" s="174"/>
    </row>
    <row r="1181">
      <c r="A1181" s="190" t="str">
        <f>IFERROR(__xludf.DUMMYFUNCTION("""COMPUTED_VALUE"""),"Jet Punch")</f>
        <v>Jet Punch</v>
      </c>
      <c r="B1181" s="190" t="str">
        <f>IFERROR(__xludf.DUMMYFUNCTION("""COMPUTED_VALUE"""),"Water")</f>
        <v>Water</v>
      </c>
      <c r="C1181" s="190" t="str">
        <f>IFERROR(__xludf.DUMMYFUNCTION("""COMPUTED_VALUE"""),"Physical")</f>
        <v>Physical</v>
      </c>
      <c r="D1181" s="190" t="str">
        <f>IFERROR(__xludf.DUMMYFUNCTION("""COMPUTED_VALUE"""),"EOT")</f>
        <v>EOT</v>
      </c>
      <c r="E1181" s="190" t="str">
        <f>IFERROR(__xludf.DUMMYFUNCTION("""COMPUTED_VALUE"""),"Melee, 1 Target, Dash, Priority  ")</f>
        <v>Melee, 1 Target, Dash, Priority  </v>
      </c>
      <c r="F1181" s="190">
        <f>IFERROR(__xludf.DUMMYFUNCTION("""COMPUTED_VALUE"""),2.0)</f>
        <v>2</v>
      </c>
      <c r="G1181" s="190">
        <f>IFERROR(__xludf.DUMMYFUNCTION("""COMPUTED_VALUE"""),7.0)</f>
        <v>7</v>
      </c>
      <c r="H1181" s="191" t="str">
        <f>IFERROR(__xludf.DUMMYFUNCTION("""COMPUTED_VALUE"""),"If the Target Attacked an Ally with a Damaging Attack since your last Turn, they cannot apply Physical Evasion against this Attack")</f>
        <v>If the Target Attacked an Ally with a Damaging Attack since your last Turn, they cannot apply Physical Evasion against this Attack</v>
      </c>
      <c r="I1181" s="191" t="str">
        <f>IFERROR(__xludf.DUMMYFUNCTION("""COMPUTED_VALUE"""),"--")</f>
        <v>--</v>
      </c>
      <c r="J1181" s="190" t="str">
        <f>IFERROR(__xludf.DUMMYFUNCTION("""COMPUTED_VALUE"""),"Tier 1")</f>
        <v>Tier 1</v>
      </c>
      <c r="K1181" s="174" t="b">
        <f>IFERROR(__xludf.DUMMYFUNCTION("""COMPUTED_VALUE"""),TRUE)</f>
        <v>1</v>
      </c>
      <c r="L1181" s="174"/>
      <c r="M1181" s="174"/>
      <c r="N1181" s="174"/>
      <c r="O1181" s="174"/>
      <c r="P1181" s="174"/>
      <c r="Q1181" s="174"/>
      <c r="R1181" s="174"/>
      <c r="S1181" s="174"/>
      <c r="T1181" s="174"/>
      <c r="U1181" s="174"/>
      <c r="V1181" s="174"/>
      <c r="W1181" s="174"/>
      <c r="X1181" s="174"/>
      <c r="Y1181" s="174"/>
      <c r="Z1181" s="174"/>
    </row>
    <row r="1182">
      <c r="A1182" s="190" t="str">
        <f>IFERROR(__xludf.DUMMYFUNCTION("""COMPUTED_VALUE"""),"Life Dew")</f>
        <v>Life Dew</v>
      </c>
      <c r="B1182" s="190" t="str">
        <f>IFERROR(__xludf.DUMMYFUNCTION("""COMPUTED_VALUE"""),"Water")</f>
        <v>Water</v>
      </c>
      <c r="C1182" s="190" t="str">
        <f>IFERROR(__xludf.DUMMYFUNCTION("""COMPUTED_VALUE"""),"Status")</f>
        <v>Status</v>
      </c>
      <c r="D1182" s="190" t="str">
        <f>IFERROR(__xludf.DUMMYFUNCTION("""COMPUTED_VALUE"""),"Scene x2")</f>
        <v>Scene x2</v>
      </c>
      <c r="E1182" s="190" t="str">
        <f>IFERROR(__xludf.DUMMYFUNCTION("""COMPUTED_VALUE"""),"Burst 1, Healing, Versatile")</f>
        <v>Burst 1, Healing, Versatile</v>
      </c>
      <c r="F1182" s="190" t="str">
        <f>IFERROR(__xludf.DUMMYFUNCTION("""COMPUTED_VALUE"""),"--")</f>
        <v>--</v>
      </c>
      <c r="G1182" s="190" t="str">
        <f>IFERROR(__xludf.DUMMYFUNCTION("""COMPUTED_VALUE"""),"--")</f>
        <v>--</v>
      </c>
      <c r="H1182" s="191" t="str">
        <f>IFERROR(__xludf.DUMMYFUNCTION("""COMPUTED_VALUE"""),"The user and all allies within this Range restore Hit Points equal to your Tick Value multiplied by 3.")</f>
        <v>The user and all allies within this Range restore Hit Points equal to your Tick Value multiplied by 3.</v>
      </c>
      <c r="I1182" s="191" t="str">
        <f>IFERROR(__xludf.DUMMYFUNCTION("""COMPUTED_VALUE"""),"All allies within this Range restore Hit Points equal to your Tick Value. When used this way, Life Dew's Frequency is not expended.")</f>
        <v>All allies within this Range restore Hit Points equal to your Tick Value. When used this way, Life Dew's Frequency is not expended.</v>
      </c>
      <c r="J1182" s="190" t="str">
        <f>IFERROR(__xludf.DUMMYFUNCTION("""COMPUTED_VALUE"""),"Tier 2")</f>
        <v>Tier 2</v>
      </c>
      <c r="K1182" s="174" t="b">
        <f>IFERROR(__xludf.DUMMYFUNCTION("""COMPUTED_VALUE"""),TRUE)</f>
        <v>1</v>
      </c>
      <c r="L1182" s="174"/>
      <c r="M1182" s="174"/>
      <c r="N1182" s="174"/>
      <c r="O1182" s="174"/>
      <c r="P1182" s="174"/>
      <c r="Q1182" s="174"/>
      <c r="R1182" s="174"/>
      <c r="S1182" s="174"/>
      <c r="T1182" s="174"/>
      <c r="U1182" s="174"/>
      <c r="V1182" s="174"/>
      <c r="W1182" s="174"/>
      <c r="X1182" s="174"/>
      <c r="Y1182" s="174"/>
      <c r="Z1182" s="174"/>
    </row>
    <row r="1183">
      <c r="A1183" s="190" t="str">
        <f>IFERROR(__xludf.DUMMYFUNCTION("""COMPUTED_VALUE"""),"Liquidation")</f>
        <v>Liquidation</v>
      </c>
      <c r="B1183" s="190" t="str">
        <f>IFERROR(__xludf.DUMMYFUNCTION("""COMPUTED_VALUE"""),"Water")</f>
        <v>Water</v>
      </c>
      <c r="C1183" s="190" t="str">
        <f>IFERROR(__xludf.DUMMYFUNCTION("""COMPUTED_VALUE"""),"Physical")</f>
        <v>Physical</v>
      </c>
      <c r="D1183" s="190" t="str">
        <f>IFERROR(__xludf.DUMMYFUNCTION("""COMPUTED_VALUE"""),"EOT")</f>
        <v>EOT</v>
      </c>
      <c r="E1183" s="190" t="str">
        <f>IFERROR(__xludf.DUMMYFUNCTION("""COMPUTED_VALUE"""),"Melee, 1 Target")</f>
        <v>Melee, 1 Target</v>
      </c>
      <c r="F1183" s="190">
        <f>IFERROR(__xludf.DUMMYFUNCTION("""COMPUTED_VALUE"""),3.0)</f>
        <v>3</v>
      </c>
      <c r="G1183" s="190">
        <f>IFERROR(__xludf.DUMMYFUNCTION("""COMPUTED_VALUE"""),9.0)</f>
        <v>9</v>
      </c>
      <c r="H1183" s="191" t="str">
        <f>IFERROR(__xludf.DUMMYFUNCTION("""COMPUTED_VALUE"""),"If the Weather is Rainy, the Target cannot activate any Blessings or Reactions against this Attack.")</f>
        <v>If the Weather is Rainy, the Target cannot activate any Blessings or Reactions against this Attack.</v>
      </c>
      <c r="I1183" s="191" t="str">
        <f>IFERROR(__xludf.DUMMYFUNCTION("""COMPUTED_VALUE"""),"--")</f>
        <v>--</v>
      </c>
      <c r="J1183" s="190" t="str">
        <f>IFERROR(__xludf.DUMMYFUNCTION("""COMPUTED_VALUE"""),"Tier 2")</f>
        <v>Tier 2</v>
      </c>
      <c r="K1183" s="174" t="b">
        <f>IFERROR(__xludf.DUMMYFUNCTION("""COMPUTED_VALUE"""),TRUE)</f>
        <v>1</v>
      </c>
      <c r="L1183" s="174"/>
      <c r="M1183" s="174"/>
      <c r="N1183" s="174"/>
      <c r="O1183" s="174"/>
      <c r="P1183" s="174"/>
      <c r="Q1183" s="174"/>
      <c r="R1183" s="174"/>
      <c r="S1183" s="174"/>
      <c r="T1183" s="174"/>
      <c r="U1183" s="174"/>
      <c r="V1183" s="174"/>
      <c r="W1183" s="174"/>
      <c r="X1183" s="174"/>
      <c r="Y1183" s="174"/>
      <c r="Z1183" s="174"/>
    </row>
    <row r="1184">
      <c r="A1184" s="190" t="str">
        <f>IFERROR(__xludf.DUMMYFUNCTION("""COMPUTED_VALUE"""),"Muddy Water")</f>
        <v>Muddy Water</v>
      </c>
      <c r="B1184" s="190" t="str">
        <f>IFERROR(__xludf.DUMMYFUNCTION("""COMPUTED_VALUE"""),"Water")</f>
        <v>Water</v>
      </c>
      <c r="C1184" s="190" t="str">
        <f>IFERROR(__xludf.DUMMYFUNCTION("""COMPUTED_VALUE"""),"Special")</f>
        <v>Special</v>
      </c>
      <c r="D1184" s="190" t="str">
        <f>IFERROR(__xludf.DUMMYFUNCTION("""COMPUTED_VALUE"""),"EOT")</f>
        <v>EOT</v>
      </c>
      <c r="E1184" s="190" t="str">
        <f>IFERROR(__xludf.DUMMYFUNCTION("""COMPUTED_VALUE"""),"Close Blast 2")</f>
        <v>Close Blast 2</v>
      </c>
      <c r="F1184" s="190">
        <f>IFERROR(__xludf.DUMMYFUNCTION("""COMPUTED_VALUE"""),6.0)</f>
        <v>6</v>
      </c>
      <c r="G1184" s="190">
        <f>IFERROR(__xludf.DUMMYFUNCTION("""COMPUTED_VALUE"""),9.0)</f>
        <v>9</v>
      </c>
      <c r="H1184" s="191" t="str">
        <f>IFERROR(__xludf.DUMMYFUNCTION("""COMPUTED_VALUE"""),"All Hazards in the Range of this Attack are destroyed. On a roll of 16+, all Targets lose -1 Accuracy. Spirit Surge.")</f>
        <v>All Hazards in the Range of this Attack are destroyed. On a roll of 16+, all Targets lose -1 Accuracy. Spirit Surge.</v>
      </c>
      <c r="I1184" s="191" t="str">
        <f>IFERROR(__xludf.DUMMYFUNCTION("""COMPUTED_VALUE"""),"--")</f>
        <v>--</v>
      </c>
      <c r="J1184" s="190" t="str">
        <f>IFERROR(__xludf.DUMMYFUNCTION("""COMPUTED_VALUE"""),"Tier 2")</f>
        <v>Tier 2</v>
      </c>
      <c r="K1184" s="174" t="b">
        <f>IFERROR(__xludf.DUMMYFUNCTION("""COMPUTED_VALUE"""),TRUE)</f>
        <v>1</v>
      </c>
      <c r="L1184" s="174"/>
      <c r="M1184" s="174"/>
      <c r="N1184" s="174"/>
      <c r="O1184" s="174"/>
      <c r="P1184" s="174"/>
      <c r="Q1184" s="174"/>
      <c r="R1184" s="174"/>
      <c r="S1184" s="174"/>
      <c r="T1184" s="174"/>
      <c r="U1184" s="174"/>
      <c r="V1184" s="174"/>
      <c r="W1184" s="174"/>
      <c r="X1184" s="174"/>
      <c r="Y1184" s="174"/>
      <c r="Z1184" s="174"/>
    </row>
    <row r="1185">
      <c r="A1185" s="190" t="str">
        <f>IFERROR(__xludf.DUMMYFUNCTION("""COMPUTED_VALUE"""),"Octazooka")</f>
        <v>Octazooka</v>
      </c>
      <c r="B1185" s="190" t="str">
        <f>IFERROR(__xludf.DUMMYFUNCTION("""COMPUTED_VALUE"""),"Water")</f>
        <v>Water</v>
      </c>
      <c r="C1185" s="190" t="str">
        <f>IFERROR(__xludf.DUMMYFUNCTION("""COMPUTED_VALUE"""),"Special")</f>
        <v>Special</v>
      </c>
      <c r="D1185" s="190" t="str">
        <f>IFERROR(__xludf.DUMMYFUNCTION("""COMPUTED_VALUE"""),"EOT")</f>
        <v>EOT</v>
      </c>
      <c r="E1185" s="190" t="str">
        <f>IFERROR(__xludf.DUMMYFUNCTION("""COMPUTED_VALUE"""),"6, 1 Target")</f>
        <v>6, 1 Target</v>
      </c>
      <c r="F1185" s="190">
        <f>IFERROR(__xludf.DUMMYFUNCTION("""COMPUTED_VALUE"""),3.0)</f>
        <v>3</v>
      </c>
      <c r="G1185" s="190">
        <f>IFERROR(__xludf.DUMMYFUNCTION("""COMPUTED_VALUE"""),7.0)</f>
        <v>7</v>
      </c>
      <c r="H1185" s="191" t="str">
        <f>IFERROR(__xludf.DUMMYFUNCTION("""COMPUTED_VALUE"""),"On a roll of 17+, the Target gains an Ink Coat. Enemies with an Ink Coat have a penalty to Accuracy equal to your Tier Level. Ink Coats may be removed as a Swift+Movement Action.")</f>
        <v>On a roll of 17+, the Target gains an Ink Coat. Enemies with an Ink Coat have a penalty to Accuracy equal to your Tier Level. Ink Coats may be removed as a Swift+Movement Action.</v>
      </c>
      <c r="I1185" s="191" t="str">
        <f>IFERROR(__xludf.DUMMYFUNCTION("""COMPUTED_VALUE"""),"--")</f>
        <v>--</v>
      </c>
      <c r="J1185" s="190" t="str">
        <f>IFERROR(__xludf.DUMMYFUNCTION("""COMPUTED_VALUE"""),"Tier 1")</f>
        <v>Tier 1</v>
      </c>
      <c r="K1185" s="174" t="b">
        <f>IFERROR(__xludf.DUMMYFUNCTION("""COMPUTED_VALUE"""),TRUE)</f>
        <v>1</v>
      </c>
      <c r="L1185" s="174"/>
      <c r="M1185" s="174"/>
      <c r="N1185" s="174"/>
      <c r="O1185" s="174"/>
      <c r="P1185" s="174"/>
      <c r="Q1185" s="174"/>
      <c r="R1185" s="174"/>
      <c r="S1185" s="174"/>
      <c r="T1185" s="174"/>
      <c r="U1185" s="174"/>
      <c r="V1185" s="174"/>
      <c r="W1185" s="174"/>
      <c r="X1185" s="174"/>
      <c r="Y1185" s="174"/>
      <c r="Z1185" s="174"/>
    </row>
    <row r="1186">
      <c r="A1186" s="190" t="str">
        <f>IFERROR(__xludf.DUMMYFUNCTION("""COMPUTED_VALUE"""),"Rain Dance")</f>
        <v>Rain Dance</v>
      </c>
      <c r="B1186" s="190" t="str">
        <f>IFERROR(__xludf.DUMMYFUNCTION("""COMPUTED_VALUE"""),"Water")</f>
        <v>Water</v>
      </c>
      <c r="C1186" s="190" t="str">
        <f>IFERROR(__xludf.DUMMYFUNCTION("""COMPUTED_VALUE"""),"Status")</f>
        <v>Status</v>
      </c>
      <c r="D1186" s="190" t="str">
        <f>IFERROR(__xludf.DUMMYFUNCTION("""COMPUTED_VALUE"""),"Scene x2")</f>
        <v>Scene x2</v>
      </c>
      <c r="E1186" s="190" t="str">
        <f>IFERROR(__xludf.DUMMYFUNCTION("""COMPUTED_VALUE"""),"Blessing, Versatile, Weather")</f>
        <v>Blessing, Versatile, Weather</v>
      </c>
      <c r="F1186" s="190" t="str">
        <f>IFERROR(__xludf.DUMMYFUNCTION("""COMPUTED_VALUE"""),"--")</f>
        <v>--</v>
      </c>
      <c r="G1186" s="190" t="str">
        <f>IFERROR(__xludf.DUMMYFUNCTION("""COMPUTED_VALUE"""),"--")</f>
        <v>--</v>
      </c>
      <c r="H1186" s="191" t="str">
        <f>IFERROR(__xludf.DUMMYFUNCTION("""COMPUTED_VALUE"""),"Blessing - Any user affected by Rain Dance may activate it as a Free Action when using a Water Type Damaging Attack to grant it the Smite Keyword. If the Attack hits, it hits, it is also increased by one damage step. (Max 1.5x Effectiveness). Rain Dance m"&amp;"ay be Activated 3 times and then disappears. While this Blessing persists, the Weather becomes Rainy.")</f>
        <v>Blessing - Any user affected by Rain Dance may activate it as a Free Action when using a Water Type Damaging Attack to grant it the Smite Keyword. If the Attack hits, it hits, it is also increased by one damage step. (Max 1.5x Effectiveness). Rain Dance may be Activated 3 times and then disappears. While this Blessing persists, the Weather becomes Rainy.</v>
      </c>
      <c r="I1186" s="191" t="str">
        <f>IFERROR(__xludf.DUMMYFUNCTION("""COMPUTED_VALUE"""),"Same as the normal Effect, but it only has 1 Activation.")</f>
        <v>Same as the normal Effect, but it only has 1 Activation.</v>
      </c>
      <c r="J1186" s="190" t="str">
        <f>IFERROR(__xludf.DUMMYFUNCTION("""COMPUTED_VALUE"""),"Tier 2")</f>
        <v>Tier 2</v>
      </c>
      <c r="K1186" s="174" t="b">
        <f>IFERROR(__xludf.DUMMYFUNCTION("""COMPUTED_VALUE"""),TRUE)</f>
        <v>1</v>
      </c>
      <c r="L1186" s="174"/>
      <c r="M1186" s="174"/>
      <c r="N1186" s="174"/>
      <c r="O1186" s="174"/>
      <c r="P1186" s="174"/>
      <c r="Q1186" s="174"/>
      <c r="R1186" s="174"/>
      <c r="S1186" s="174"/>
      <c r="T1186" s="174"/>
      <c r="U1186" s="174"/>
      <c r="V1186" s="174"/>
      <c r="W1186" s="174"/>
      <c r="X1186" s="174"/>
      <c r="Y1186" s="174"/>
      <c r="Z1186" s="174"/>
    </row>
    <row r="1187">
      <c r="A1187" s="190" t="str">
        <f>IFERROR(__xludf.DUMMYFUNCTION("""COMPUTED_VALUE"""),"Razor Shell")</f>
        <v>Razor Shell</v>
      </c>
      <c r="B1187" s="190" t="str">
        <f>IFERROR(__xludf.DUMMYFUNCTION("""COMPUTED_VALUE"""),"Water")</f>
        <v>Water</v>
      </c>
      <c r="C1187" s="190" t="str">
        <f>IFERROR(__xludf.DUMMYFUNCTION("""COMPUTED_VALUE"""),"Physical")</f>
        <v>Physical</v>
      </c>
      <c r="D1187" s="190" t="str">
        <f>IFERROR(__xludf.DUMMYFUNCTION("""COMPUTED_VALUE"""),"EOT")</f>
        <v>EOT</v>
      </c>
      <c r="E1187" s="190" t="str">
        <f>IFERROR(__xludf.DUMMYFUNCTION("""COMPUTED_VALUE"""),"Melee, 1 Target, Dash")</f>
        <v>Melee, 1 Target, Dash</v>
      </c>
      <c r="F1187" s="190">
        <f>IFERROR(__xludf.DUMMYFUNCTION("""COMPUTED_VALUE"""),3.0)</f>
        <v>3</v>
      </c>
      <c r="G1187" s="190">
        <f>IFERROR(__xludf.DUMMYFUNCTION("""COMPUTED_VALUE"""),8.0)</f>
        <v>8</v>
      </c>
      <c r="H1187" s="191" t="str">
        <f>IFERROR(__xludf.DUMMYFUNCTION("""COMPUTED_VALUE"""),"On a roll of 18+, the Target becomes Wounded. If the Dash Keyword is Activated, this Effect Range is increased by +2.")</f>
        <v>On a roll of 18+, the Target becomes Wounded. If the Dash Keyword is Activated, this Effect Range is increased by +2.</v>
      </c>
      <c r="I1187" s="191" t="str">
        <f>IFERROR(__xludf.DUMMYFUNCTION("""COMPUTED_VALUE"""),"--")</f>
        <v>--</v>
      </c>
      <c r="J1187" s="190" t="str">
        <f>IFERROR(__xludf.DUMMYFUNCTION("""COMPUTED_VALUE"""),"Tier 2")</f>
        <v>Tier 2</v>
      </c>
      <c r="K1187" s="174" t="b">
        <f>IFERROR(__xludf.DUMMYFUNCTION("""COMPUTED_VALUE"""),TRUE)</f>
        <v>1</v>
      </c>
      <c r="L1187" s="174"/>
      <c r="M1187" s="174"/>
      <c r="N1187" s="174"/>
      <c r="O1187" s="174"/>
      <c r="P1187" s="174"/>
      <c r="Q1187" s="174"/>
      <c r="R1187" s="174"/>
      <c r="S1187" s="174"/>
      <c r="T1187" s="174"/>
      <c r="U1187" s="174"/>
      <c r="V1187" s="174"/>
      <c r="W1187" s="174"/>
      <c r="X1187" s="174"/>
      <c r="Y1187" s="174"/>
      <c r="Z1187" s="174"/>
    </row>
    <row r="1188">
      <c r="A1188" s="190" t="str">
        <f>IFERROR(__xludf.DUMMYFUNCTION("""COMPUTED_VALUE"""),"Riptide")</f>
        <v>Riptide</v>
      </c>
      <c r="B1188" s="190" t="str">
        <f>IFERROR(__xludf.DUMMYFUNCTION("""COMPUTED_VALUE"""),"Water")</f>
        <v>Water</v>
      </c>
      <c r="C1188" s="190" t="str">
        <f>IFERROR(__xludf.DUMMYFUNCTION("""COMPUTED_VALUE"""),"Physical")</f>
        <v>Physical</v>
      </c>
      <c r="D1188" s="190" t="str">
        <f>IFERROR(__xludf.DUMMYFUNCTION("""COMPUTED_VALUE"""),"Scene")</f>
        <v>Scene</v>
      </c>
      <c r="E1188" s="190" t="str">
        <f>IFERROR(__xludf.DUMMYFUNCTION("""COMPUTED_VALUE"""),"3, 1 Target")</f>
        <v>3, 1 Target</v>
      </c>
      <c r="F1188" s="190">
        <f>IFERROR(__xludf.DUMMYFUNCTION("""COMPUTED_VALUE"""),4.0)</f>
        <v>4</v>
      </c>
      <c r="G1188" s="190">
        <f>IFERROR(__xludf.DUMMYFUNCTION("""COMPUTED_VALUE"""),11.0)</f>
        <v>11</v>
      </c>
      <c r="H1188" s="191" t="str">
        <f>IFERROR(__xludf.DUMMYFUNCTION("""COMPUTED_VALUE"""),"On a 15+ or if the Weather is Rainy, the Target becomes Slowed. Smite")</f>
        <v>On a 15+ or if the Weather is Rainy, the Target becomes Slowed. Smite</v>
      </c>
      <c r="I1188" s="191" t="str">
        <f>IFERROR(__xludf.DUMMYFUNCTION("""COMPUTED_VALUE"""),"--")</f>
        <v>--</v>
      </c>
      <c r="J1188" s="190" t="str">
        <f>IFERROR(__xludf.DUMMYFUNCTION("""COMPUTED_VALUE"""),"Tier 3")</f>
        <v>Tier 3</v>
      </c>
      <c r="K1188" s="174" t="b">
        <f>IFERROR(__xludf.DUMMYFUNCTION("""COMPUTED_VALUE"""),TRUE)</f>
        <v>1</v>
      </c>
      <c r="L1188" s="174"/>
      <c r="M1188" s="174"/>
      <c r="N1188" s="174"/>
      <c r="O1188" s="174"/>
      <c r="P1188" s="174"/>
      <c r="Q1188" s="174"/>
      <c r="R1188" s="174"/>
      <c r="S1188" s="174"/>
      <c r="T1188" s="174"/>
      <c r="U1188" s="174"/>
      <c r="V1188" s="174"/>
      <c r="W1188" s="174"/>
      <c r="X1188" s="174"/>
      <c r="Y1188" s="174"/>
      <c r="Z1188" s="174"/>
    </row>
    <row r="1189">
      <c r="A1189" s="190" t="str">
        <f>IFERROR(__xludf.DUMMYFUNCTION("""COMPUTED_VALUE"""),"Scald")</f>
        <v>Scald</v>
      </c>
      <c r="B1189" s="190" t="str">
        <f>IFERROR(__xludf.DUMMYFUNCTION("""COMPUTED_VALUE"""),"Water")</f>
        <v>Water</v>
      </c>
      <c r="C1189" s="190" t="str">
        <f>IFERROR(__xludf.DUMMYFUNCTION("""COMPUTED_VALUE"""),"Special")</f>
        <v>Special</v>
      </c>
      <c r="D1189" s="190" t="str">
        <f>IFERROR(__xludf.DUMMYFUNCTION("""COMPUTED_VALUE"""),"EOT")</f>
        <v>EOT</v>
      </c>
      <c r="E1189" s="190" t="str">
        <f>IFERROR(__xludf.DUMMYFUNCTION("""COMPUTED_VALUE"""),"5, 1 Target")</f>
        <v>5, 1 Target</v>
      </c>
      <c r="F1189" s="190">
        <f>IFERROR(__xludf.DUMMYFUNCTION("""COMPUTED_VALUE"""),4.0)</f>
        <v>4</v>
      </c>
      <c r="G1189" s="190">
        <f>IFERROR(__xludf.DUMMYFUNCTION("""COMPUTED_VALUE"""),8.0)</f>
        <v>8</v>
      </c>
      <c r="H1189" s="191" t="str">
        <f>IFERROR(__xludf.DUMMYFUNCTION("""COMPUTED_VALUE"""),"On a roll of 15+, the Target becomes Burned. If applicable, the user and Target are cured of the Chilled Affliction.")</f>
        <v>On a roll of 15+, the Target becomes Burned. If applicable, the user and Target are cured of the Chilled Affliction.</v>
      </c>
      <c r="I1189" s="191" t="str">
        <f>IFERROR(__xludf.DUMMYFUNCTION("""COMPUTED_VALUE"""),"--")</f>
        <v>--</v>
      </c>
      <c r="J1189" s="190" t="str">
        <f>IFERROR(__xludf.DUMMYFUNCTION("""COMPUTED_VALUE"""),"Tier 2")</f>
        <v>Tier 2</v>
      </c>
      <c r="K1189" s="174" t="b">
        <f>IFERROR(__xludf.DUMMYFUNCTION("""COMPUTED_VALUE"""),TRUE)</f>
        <v>1</v>
      </c>
      <c r="L1189" s="174"/>
      <c r="M1189" s="174"/>
      <c r="N1189" s="174"/>
      <c r="O1189" s="174"/>
      <c r="P1189" s="174"/>
      <c r="Q1189" s="174"/>
      <c r="R1189" s="174"/>
      <c r="S1189" s="174"/>
      <c r="T1189" s="174"/>
      <c r="U1189" s="174"/>
      <c r="V1189" s="174"/>
      <c r="W1189" s="174"/>
      <c r="X1189" s="174"/>
      <c r="Y1189" s="174"/>
      <c r="Z1189" s="174"/>
    </row>
    <row r="1190">
      <c r="A1190" s="190" t="str">
        <f>IFERROR(__xludf.DUMMYFUNCTION("""COMPUTED_VALUE"""),"Slipstream")</f>
        <v>Slipstream</v>
      </c>
      <c r="B1190" s="190" t="str">
        <f>IFERROR(__xludf.DUMMYFUNCTION("""COMPUTED_VALUE"""),"Water")</f>
        <v>Water</v>
      </c>
      <c r="C1190" s="190" t="str">
        <f>IFERROR(__xludf.DUMMYFUNCTION("""COMPUTED_VALUE"""),"Physical")</f>
        <v>Physical</v>
      </c>
      <c r="D1190" s="190" t="str">
        <f>IFERROR(__xludf.DUMMYFUNCTION("""COMPUTED_VALUE"""),"EOT")</f>
        <v>EOT</v>
      </c>
      <c r="E1190" s="190" t="str">
        <f>IFERROR(__xludf.DUMMYFUNCTION("""COMPUTED_VALUE"""),"Melee, 1 Target, Priority  ")</f>
        <v>Melee, 1 Target, Priority  </v>
      </c>
      <c r="F1190" s="190">
        <f>IFERROR(__xludf.DUMMYFUNCTION("""COMPUTED_VALUE"""),2.0)</f>
        <v>2</v>
      </c>
      <c r="G1190" s="190">
        <f>IFERROR(__xludf.DUMMYFUNCTION("""COMPUTED_VALUE"""),7.0)</f>
        <v>7</v>
      </c>
      <c r="H1190" s="191" t="str">
        <f>IFERROR(__xludf.DUMMYFUNCTION("""COMPUTED_VALUE"""),"If the Weather is Rainy, Slipstream can be declared at the start of the user’s turn. If done this way the user does not provoke Attacks of Opportunity this round when moving to use Slipstream. ")</f>
        <v>If the Weather is Rainy, Slipstream can be declared at the start of the user’s turn. If done this way the user does not provoke Attacks of Opportunity this round when moving to use Slipstream. </v>
      </c>
      <c r="I1190" s="191" t="str">
        <f>IFERROR(__xludf.DUMMYFUNCTION("""COMPUTED_VALUE"""),"--")</f>
        <v>--</v>
      </c>
      <c r="J1190" s="190" t="str">
        <f>IFERROR(__xludf.DUMMYFUNCTION("""COMPUTED_VALUE"""),"Tier 1")</f>
        <v>Tier 1</v>
      </c>
      <c r="K1190" s="174" t="b">
        <f>IFERROR(__xludf.DUMMYFUNCTION("""COMPUTED_VALUE"""),TRUE)</f>
        <v>1</v>
      </c>
      <c r="L1190" s="174"/>
      <c r="M1190" s="174"/>
      <c r="N1190" s="174"/>
      <c r="O1190" s="174"/>
      <c r="P1190" s="174"/>
      <c r="Q1190" s="174"/>
      <c r="R1190" s="174"/>
      <c r="S1190" s="174"/>
      <c r="T1190" s="174"/>
      <c r="U1190" s="174"/>
      <c r="V1190" s="174"/>
      <c r="W1190" s="174"/>
      <c r="X1190" s="174"/>
      <c r="Y1190" s="174"/>
      <c r="Z1190" s="174"/>
    </row>
    <row r="1191">
      <c r="A1191" s="190" t="str">
        <f>IFERROR(__xludf.DUMMYFUNCTION("""COMPUTED_VALUE"""),"Snipe Shot")</f>
        <v>Snipe Shot</v>
      </c>
      <c r="B1191" s="190" t="str">
        <f>IFERROR(__xludf.DUMMYFUNCTION("""COMPUTED_VALUE"""),"Water")</f>
        <v>Water</v>
      </c>
      <c r="C1191" s="190" t="str">
        <f>IFERROR(__xludf.DUMMYFUNCTION("""COMPUTED_VALUE"""),"Special")</f>
        <v>Special</v>
      </c>
      <c r="D1191" s="190" t="str">
        <f>IFERROR(__xludf.DUMMYFUNCTION("""COMPUTED_VALUE"""),"EOT")</f>
        <v>EOT</v>
      </c>
      <c r="E1191" s="190" t="str">
        <f>IFERROR(__xludf.DUMMYFUNCTION("""COMPUTED_VALUE"""),"10, 1 Target")</f>
        <v>10, 1 Target</v>
      </c>
      <c r="F1191" s="190">
        <f>IFERROR(__xludf.DUMMYFUNCTION("""COMPUTED_VALUE"""),4.0)</f>
        <v>4</v>
      </c>
      <c r="G1191" s="190">
        <f>IFERROR(__xludf.DUMMYFUNCTION("""COMPUTED_VALUE"""),8.0)</f>
        <v>8</v>
      </c>
      <c r="H1191" s="191" t="str">
        <f>IFERROR(__xludf.DUMMYFUNCTION("""COMPUTED_VALUE"""),"Snipe Shot is a Critical Hit on a roll of 18+. If the Target is at least 6m away from you and you expend a Movement Action, this gains the Sureshot Keyword.")</f>
        <v>Snipe Shot is a Critical Hit on a roll of 18+. If the Target is at least 6m away from you and you expend a Movement Action, this gains the Sureshot Keyword.</v>
      </c>
      <c r="I1191" s="191" t="str">
        <f>IFERROR(__xludf.DUMMYFUNCTION("""COMPUTED_VALUE"""),"--")</f>
        <v>--</v>
      </c>
      <c r="J1191" s="190" t="str">
        <f>IFERROR(__xludf.DUMMYFUNCTION("""COMPUTED_VALUE"""),"Tier 2")</f>
        <v>Tier 2</v>
      </c>
      <c r="K1191" s="174" t="b">
        <f>IFERROR(__xludf.DUMMYFUNCTION("""COMPUTED_VALUE"""),TRUE)</f>
        <v>1</v>
      </c>
      <c r="L1191" s="174"/>
      <c r="M1191" s="174"/>
      <c r="N1191" s="174"/>
      <c r="O1191" s="174"/>
      <c r="P1191" s="174"/>
      <c r="Q1191" s="174"/>
      <c r="R1191" s="174"/>
      <c r="S1191" s="174"/>
      <c r="T1191" s="174"/>
      <c r="U1191" s="174"/>
      <c r="V1191" s="174"/>
      <c r="W1191" s="174"/>
      <c r="X1191" s="174"/>
      <c r="Y1191" s="174"/>
      <c r="Z1191" s="174"/>
    </row>
    <row r="1192">
      <c r="A1192" s="190" t="str">
        <f>IFERROR(__xludf.DUMMYFUNCTION("""COMPUTED_VALUE"""),"Soak")</f>
        <v>Soak</v>
      </c>
      <c r="B1192" s="190" t="str">
        <f>IFERROR(__xludf.DUMMYFUNCTION("""COMPUTED_VALUE"""),"Water")</f>
        <v>Water</v>
      </c>
      <c r="C1192" s="190" t="str">
        <f>IFERROR(__xludf.DUMMYFUNCTION("""COMPUTED_VALUE"""),"Status")</f>
        <v>Status</v>
      </c>
      <c r="D1192" s="190" t="str">
        <f>IFERROR(__xludf.DUMMYFUNCTION("""COMPUTED_VALUE"""),"Scene x2")</f>
        <v>Scene x2</v>
      </c>
      <c r="E1192" s="190" t="str">
        <f>IFERROR(__xludf.DUMMYFUNCTION("""COMPUTED_VALUE"""),"Close Blast 3, Coat, Versatile")</f>
        <v>Close Blast 3, Coat, Versatile</v>
      </c>
      <c r="F1192" s="190" t="str">
        <f>IFERROR(__xludf.DUMMYFUNCTION("""COMPUTED_VALUE"""),"--")</f>
        <v>--</v>
      </c>
      <c r="G1192" s="190" t="str">
        <f>IFERROR(__xludf.DUMMYFUNCTION("""COMPUTED_VALUE"""),"--")</f>
        <v>--</v>
      </c>
      <c r="H1192" s="191" t="str">
        <f>IFERROR(__xludf.DUMMYFUNCTION("""COMPUTED_VALUE"""),"All Targets gain a Saturated Coat. While Saturated, all Electric and Ice Attacks are one step more effective against them and all attacks gain a +2 to Effect Ranges for Paralyzing or Chilling the Saturated Combatant. The Coat is removed when they become C"&amp;"hilled, become Paralyzed or are hit by an Electric or Ice Type Damaging Attack. Sureshot.")</f>
        <v>All Targets gain a Saturated Coat. While Saturated, all Electric and Ice Attacks are one step more effective against them and all attacks gain a +2 to Effect Ranges for Paralyzing or Chilling the Saturated Combatant. The Coat is removed when they become Chilled, become Paralyzed or are hit by an Electric or Ice Type Damaging Attack. Sureshot.</v>
      </c>
      <c r="I1192" s="191" t="str">
        <f>IFERROR(__xludf.DUMMYFUNCTION("""COMPUTED_VALUE"""),"Same as the normal Effects, but the AC becomes 3, the Range is changed to 4, 1 Target.")</f>
        <v>Same as the normal Effects, but the AC becomes 3, the Range is changed to 4, 1 Target.</v>
      </c>
      <c r="J1192" s="190" t="str">
        <f>IFERROR(__xludf.DUMMYFUNCTION("""COMPUTED_VALUE"""),"Tier 2")</f>
        <v>Tier 2</v>
      </c>
      <c r="K1192" s="174" t="b">
        <f>IFERROR(__xludf.DUMMYFUNCTION("""COMPUTED_VALUE"""),TRUE)</f>
        <v>1</v>
      </c>
      <c r="L1192" s="174"/>
      <c r="M1192" s="174"/>
      <c r="N1192" s="174"/>
      <c r="O1192" s="174"/>
      <c r="P1192" s="174"/>
      <c r="Q1192" s="174"/>
      <c r="R1192" s="174"/>
      <c r="S1192" s="174"/>
      <c r="T1192" s="174"/>
      <c r="U1192" s="174"/>
      <c r="V1192" s="174"/>
      <c r="W1192" s="174"/>
      <c r="X1192" s="174"/>
      <c r="Y1192" s="174"/>
      <c r="Z1192" s="174"/>
    </row>
    <row r="1193">
      <c r="A1193" s="190" t="str">
        <f>IFERROR(__xludf.DUMMYFUNCTION("""COMPUTED_VALUE"""),"Sparkling Aria")</f>
        <v>Sparkling Aria</v>
      </c>
      <c r="B1193" s="190" t="str">
        <f>IFERROR(__xludf.DUMMYFUNCTION("""COMPUTED_VALUE"""),"Water")</f>
        <v>Water</v>
      </c>
      <c r="C1193" s="190" t="str">
        <f>IFERROR(__xludf.DUMMYFUNCTION("""COMPUTED_VALUE"""),"Special")</f>
        <v>Special</v>
      </c>
      <c r="D1193" s="190" t="str">
        <f>IFERROR(__xludf.DUMMYFUNCTION("""COMPUTED_VALUE"""),"EOT")</f>
        <v>EOT</v>
      </c>
      <c r="E1193" s="190" t="str">
        <f>IFERROR(__xludf.DUMMYFUNCTION("""COMPUTED_VALUE"""),"Burst 1, Sonic")</f>
        <v>Burst 1, Sonic</v>
      </c>
      <c r="F1193" s="190">
        <f>IFERROR(__xludf.DUMMYFUNCTION("""COMPUTED_VALUE"""),6.0)</f>
        <v>6</v>
      </c>
      <c r="G1193" s="190">
        <f>IFERROR(__xludf.DUMMYFUNCTION("""COMPUTED_VALUE"""),8.0)</f>
        <v>8</v>
      </c>
      <c r="H1193" s="191" t="str">
        <f>IFERROR(__xludf.DUMMYFUNCTION("""COMPUTED_VALUE"""),"Allies within the Range of this Attack do not take damage and may become cured of Burned or a Mental Affliction.")</f>
        <v>Allies within the Range of this Attack do not take damage and may become cured of Burned or a Mental Affliction.</v>
      </c>
      <c r="I1193" s="191" t="str">
        <f>IFERROR(__xludf.DUMMYFUNCTION("""COMPUTED_VALUE"""),"--")</f>
        <v>--</v>
      </c>
      <c r="J1193" s="190" t="str">
        <f>IFERROR(__xludf.DUMMYFUNCTION("""COMPUTED_VALUE"""),"Tier 2")</f>
        <v>Tier 2</v>
      </c>
      <c r="K1193" s="174" t="b">
        <f>IFERROR(__xludf.DUMMYFUNCTION("""COMPUTED_VALUE"""),TRUE)</f>
        <v>1</v>
      </c>
      <c r="L1193" s="174"/>
      <c r="M1193" s="174"/>
      <c r="N1193" s="174"/>
      <c r="O1193" s="174"/>
      <c r="P1193" s="174"/>
      <c r="Q1193" s="174"/>
      <c r="R1193" s="174"/>
      <c r="S1193" s="174"/>
      <c r="T1193" s="174"/>
      <c r="U1193" s="174"/>
      <c r="V1193" s="174"/>
      <c r="W1193" s="174"/>
      <c r="X1193" s="174"/>
      <c r="Y1193" s="174"/>
      <c r="Z1193" s="174"/>
    </row>
    <row r="1194">
      <c r="A1194" s="190" t="str">
        <f>IFERROR(__xludf.DUMMYFUNCTION("""COMPUTED_VALUE"""),"Spiral Drain")</f>
        <v>Spiral Drain</v>
      </c>
      <c r="B1194" s="190" t="str">
        <f>IFERROR(__xludf.DUMMYFUNCTION("""COMPUTED_VALUE"""),"Water")</f>
        <v>Water</v>
      </c>
      <c r="C1194" s="190" t="str">
        <f>IFERROR(__xludf.DUMMYFUNCTION("""COMPUTED_VALUE"""),"Special")</f>
        <v>Special</v>
      </c>
      <c r="D1194" s="190" t="str">
        <f>IFERROR(__xludf.DUMMYFUNCTION("""COMPUTED_VALUE"""),"EOT")</f>
        <v>EOT</v>
      </c>
      <c r="E1194" s="190" t="str">
        <f>IFERROR(__xludf.DUMMYFUNCTION("""COMPUTED_VALUE"""),"6, 1 Target")</f>
        <v>6, 1 Target</v>
      </c>
      <c r="F1194" s="190">
        <f>IFERROR(__xludf.DUMMYFUNCTION("""COMPUTED_VALUE"""),4.0)</f>
        <v>4</v>
      </c>
      <c r="G1194" s="190">
        <f>IFERROR(__xludf.DUMMYFUNCTION("""COMPUTED_VALUE"""),6.0)</f>
        <v>6</v>
      </c>
      <c r="H1194" s="191" t="str">
        <f>IFERROR(__xludf.DUMMYFUNCTION("""COMPUTED_VALUE"""),"Drain.")</f>
        <v>Drain.</v>
      </c>
      <c r="I1194" s="191" t="str">
        <f>IFERROR(__xludf.DUMMYFUNCTION("""COMPUTED_VALUE"""),"--")</f>
        <v>--</v>
      </c>
      <c r="J1194" s="190" t="str">
        <f>IFERROR(__xludf.DUMMYFUNCTION("""COMPUTED_VALUE"""),"Tier 1")</f>
        <v>Tier 1</v>
      </c>
      <c r="K1194" s="174" t="b">
        <f>IFERROR(__xludf.DUMMYFUNCTION("""COMPUTED_VALUE"""),TRUE)</f>
        <v>1</v>
      </c>
      <c r="L1194" s="174"/>
      <c r="M1194" s="174"/>
      <c r="N1194" s="174"/>
      <c r="O1194" s="174"/>
      <c r="P1194" s="174"/>
      <c r="Q1194" s="174"/>
      <c r="R1194" s="174"/>
      <c r="S1194" s="174"/>
      <c r="T1194" s="174"/>
      <c r="U1194" s="174"/>
      <c r="V1194" s="174"/>
      <c r="W1194" s="174"/>
      <c r="X1194" s="174"/>
      <c r="Y1194" s="174"/>
      <c r="Z1194" s="174"/>
    </row>
    <row r="1195">
      <c r="A1195" s="190" t="str">
        <f>IFERROR(__xludf.DUMMYFUNCTION("""COMPUTED_VALUE"""),"Steam Blast")</f>
        <v>Steam Blast</v>
      </c>
      <c r="B1195" s="190" t="str">
        <f>IFERROR(__xludf.DUMMYFUNCTION("""COMPUTED_VALUE"""),"Water")</f>
        <v>Water</v>
      </c>
      <c r="C1195" s="190" t="str">
        <f>IFERROR(__xludf.DUMMYFUNCTION("""COMPUTED_VALUE"""),"Physical")</f>
        <v>Physical</v>
      </c>
      <c r="D1195" s="190" t="str">
        <f>IFERROR(__xludf.DUMMYFUNCTION("""COMPUTED_VALUE"""),"EOT")</f>
        <v>EOT</v>
      </c>
      <c r="E1195" s="190" t="str">
        <f>IFERROR(__xludf.DUMMYFUNCTION("""COMPUTED_VALUE"""),"Close Blast 2")</f>
        <v>Close Blast 2</v>
      </c>
      <c r="F1195" s="190">
        <f>IFERROR(__xludf.DUMMYFUNCTION("""COMPUTED_VALUE"""),6.0)</f>
        <v>6</v>
      </c>
      <c r="G1195" s="190">
        <f>IFERROR(__xludf.DUMMYFUNCTION("""COMPUTED_VALUE"""),8.0)</f>
        <v>8</v>
      </c>
      <c r="H1195" s="191" t="str">
        <f>IFERROR(__xludf.DUMMYFUNCTION("""COMPUTED_VALUE"""),"Steam Blast cannot Miss against Targets that are Burned")</f>
        <v>Steam Blast cannot Miss against Targets that are Burned</v>
      </c>
      <c r="I1195" s="191" t="str">
        <f>IFERROR(__xludf.DUMMYFUNCTION("""COMPUTED_VALUE"""),"--")</f>
        <v>--</v>
      </c>
      <c r="J1195" s="190" t="str">
        <f>IFERROR(__xludf.DUMMYFUNCTION("""COMPUTED_VALUE"""),"Tier 2")</f>
        <v>Tier 2</v>
      </c>
      <c r="K1195" s="174" t="b">
        <f>IFERROR(__xludf.DUMMYFUNCTION("""COMPUTED_VALUE"""),TRUE)</f>
        <v>1</v>
      </c>
      <c r="L1195" s="174"/>
      <c r="M1195" s="174"/>
      <c r="N1195" s="174"/>
      <c r="O1195" s="174"/>
      <c r="P1195" s="174"/>
      <c r="Q1195" s="174"/>
      <c r="R1195" s="174"/>
      <c r="S1195" s="174"/>
      <c r="T1195" s="174"/>
      <c r="U1195" s="174"/>
      <c r="V1195" s="174"/>
      <c r="W1195" s="174"/>
      <c r="X1195" s="174"/>
      <c r="Y1195" s="174"/>
      <c r="Z1195" s="174"/>
    </row>
    <row r="1196">
      <c r="A1196" s="190" t="str">
        <f>IFERROR(__xludf.DUMMYFUNCTION("""COMPUTED_VALUE"""),"Steam Cloud")</f>
        <v>Steam Cloud</v>
      </c>
      <c r="B1196" s="190" t="str">
        <f>IFERROR(__xludf.DUMMYFUNCTION("""COMPUTED_VALUE"""),"Water")</f>
        <v>Water</v>
      </c>
      <c r="C1196" s="190" t="str">
        <f>IFERROR(__xludf.DUMMYFUNCTION("""COMPUTED_VALUE"""),"Status")</f>
        <v>Status</v>
      </c>
      <c r="D1196" s="190" t="str">
        <f>IFERROR(__xludf.DUMMYFUNCTION("""COMPUTED_VALUE"""),"EOT")</f>
        <v>EOT</v>
      </c>
      <c r="E1196" s="190" t="str">
        <f>IFERROR(__xludf.DUMMYFUNCTION("""COMPUTED_VALUE"""),"5, Ranged Blast 3, Hazard, Versatile")</f>
        <v>5, Ranged Blast 3, Hazard, Versatile</v>
      </c>
      <c r="F1196" s="190" t="str">
        <f>IFERROR(__xludf.DUMMYFUNCTION("""COMPUTED_VALUE"""),"--")</f>
        <v>--</v>
      </c>
      <c r="G1196" s="190" t="str">
        <f>IFERROR(__xludf.DUMMYFUNCTION("""COMPUTED_VALUE"""),"--")</f>
        <v>--</v>
      </c>
      <c r="H1196" s="191" t="str">
        <f>IFERROR(__xludf.DUMMYFUNCTION("""COMPUTED_VALUE"""),"Steam Cloud creates Smoke Hazards within the Range of this Attack. Smoke Hazards created this way also Burn Combatants that begin or end their Turns on them. The Burned Affliction cannot be cured by Combatants standing in Smoke Hazards created this way.
"&amp;"Smoke Hazard - Smoke Hazards break line of sight. Combatants on a Smoke Hazards are treated as Untargetable by all other Combatants that aren't in a contiguous Smoke Hazard. Combatants on a Smoke Hazard treat all Combatants that aren't in a contigous Smok"&amp;"e Hazard as if they were Untargetable. These Effects are ignored by Combatants with Tremorsense or Blindsense. You can still be Untargetable this way even if you were last Round.")</f>
        <v>Steam Cloud creates Smoke Hazards within the Range of this Attack. Smoke Hazards created this way also Burn Combatants that begin or end their Turns on them. The Burned Affliction cannot be cured by Combatants standing in Smoke Hazards created this way.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1196" s="191" t="str">
        <f>IFERROR(__xludf.DUMMYFUNCTION("""COMPUTED_VALUE"""),"Same as the normal Effects, but the Hazards are removed at the end of the Round.")</f>
        <v>Same as the normal Effects, but the Hazards are removed at the end of the Round.</v>
      </c>
      <c r="J1196" s="190" t="str">
        <f>IFERROR(__xludf.DUMMYFUNCTION("""COMPUTED_VALUE"""),"Tier 1")</f>
        <v>Tier 1</v>
      </c>
      <c r="K1196" s="174" t="b">
        <f>IFERROR(__xludf.DUMMYFUNCTION("""COMPUTED_VALUE"""),TRUE)</f>
        <v>1</v>
      </c>
      <c r="L1196" s="174"/>
      <c r="M1196" s="174"/>
      <c r="N1196" s="174"/>
      <c r="O1196" s="174"/>
      <c r="P1196" s="174"/>
      <c r="Q1196" s="174"/>
      <c r="R1196" s="174"/>
      <c r="S1196" s="174"/>
      <c r="T1196" s="174"/>
      <c r="U1196" s="174"/>
      <c r="V1196" s="174"/>
      <c r="W1196" s="174"/>
      <c r="X1196" s="174"/>
      <c r="Y1196" s="174"/>
      <c r="Z1196" s="174"/>
    </row>
    <row r="1197">
      <c r="A1197" s="190" t="str">
        <f>IFERROR(__xludf.DUMMYFUNCTION("""COMPUTED_VALUE"""),"Surf")</f>
        <v>Surf</v>
      </c>
      <c r="B1197" s="190" t="str">
        <f>IFERROR(__xludf.DUMMYFUNCTION("""COMPUTED_VALUE"""),"Water")</f>
        <v>Water</v>
      </c>
      <c r="C1197" s="190" t="str">
        <f>IFERROR(__xludf.DUMMYFUNCTION("""COMPUTED_VALUE"""),"Special")</f>
        <v>Special</v>
      </c>
      <c r="D1197" s="190" t="str">
        <f>IFERROR(__xludf.DUMMYFUNCTION("""COMPUTED_VALUE"""),"EOT")</f>
        <v>EOT</v>
      </c>
      <c r="E1197" s="190" t="str">
        <f>IFERROR(__xludf.DUMMYFUNCTION("""COMPUTED_VALUE"""),"Line 6, Full Action ")</f>
        <v>Line 6, Full Action </v>
      </c>
      <c r="F1197" s="190">
        <f>IFERROR(__xludf.DUMMYFUNCTION("""COMPUTED_VALUE"""),6.0)</f>
        <v>6</v>
      </c>
      <c r="G1197" s="190">
        <f>IFERROR(__xludf.DUMMYFUNCTION("""COMPUTED_VALUE"""),9.0)</f>
        <v>9</v>
      </c>
      <c r="H1197" s="191" t="str">
        <f>IFERROR(__xludf.DUMMYFUNCTION("""COMPUTED_VALUE"""),"The user may Slide to any open square in Surf ’s area of effect. Spirit Surge.")</f>
        <v>The user may Slide to any open square in Surf ’s area of effect. Spirit Surge.</v>
      </c>
      <c r="I1197" s="191" t="str">
        <f>IFERROR(__xludf.DUMMYFUNCTION("""COMPUTED_VALUE"""),"--")</f>
        <v>--</v>
      </c>
      <c r="J1197" s="190" t="str">
        <f>IFERROR(__xludf.DUMMYFUNCTION("""COMPUTED_VALUE"""),"Tier 2")</f>
        <v>Tier 2</v>
      </c>
      <c r="K1197" s="174" t="b">
        <f>IFERROR(__xludf.DUMMYFUNCTION("""COMPUTED_VALUE"""),TRUE)</f>
        <v>1</v>
      </c>
      <c r="L1197" s="174"/>
      <c r="M1197" s="174"/>
      <c r="N1197" s="174"/>
      <c r="O1197" s="174"/>
      <c r="P1197" s="174"/>
      <c r="Q1197" s="174"/>
      <c r="R1197" s="174"/>
      <c r="S1197" s="174"/>
      <c r="T1197" s="174"/>
      <c r="U1197" s="174"/>
      <c r="V1197" s="174"/>
      <c r="W1197" s="174"/>
      <c r="X1197" s="174"/>
      <c r="Y1197" s="174"/>
      <c r="Z1197" s="174"/>
    </row>
    <row r="1198">
      <c r="A1198" s="190" t="str">
        <f>IFERROR(__xludf.DUMMYFUNCTION("""COMPUTED_VALUE"""),"Torpedo Smash")</f>
        <v>Torpedo Smash</v>
      </c>
      <c r="B1198" s="190" t="str">
        <f>IFERROR(__xludf.DUMMYFUNCTION("""COMPUTED_VALUE"""),"Water")</f>
        <v>Water</v>
      </c>
      <c r="C1198" s="190" t="str">
        <f>IFERROR(__xludf.DUMMYFUNCTION("""COMPUTED_VALUE"""),"Physical")</f>
        <v>Physical</v>
      </c>
      <c r="D1198" s="190" t="str">
        <f>IFERROR(__xludf.DUMMYFUNCTION("""COMPUTED_VALUE"""),"Scene x2")</f>
        <v>Scene x2</v>
      </c>
      <c r="E1198" s="190" t="str">
        <f>IFERROR(__xludf.DUMMYFUNCTION("""COMPUTED_VALUE"""),"Melee, 1 Target, Dash")</f>
        <v>Melee, 1 Target, Dash</v>
      </c>
      <c r="F1198" s="190">
        <f>IFERROR(__xludf.DUMMYFUNCTION("""COMPUTED_VALUE"""),3.0)</f>
        <v>3</v>
      </c>
      <c r="G1198" s="190">
        <f>IFERROR(__xludf.DUMMYFUNCTION("""COMPUTED_VALUE"""),6.0)</f>
        <v>6</v>
      </c>
      <c r="H1198" s="191" t="str">
        <f>IFERROR(__xludf.DUMMYFUNCTION("""COMPUTED_VALUE"""),"If the Dash Keyword is Activated, the user may add half of their Attack or Speed (Whichever isn't the Offensive Stat) as a Damage Bonus. If this is performed, the Target may add their Speed Stat to their Defense when calculating damage.")</f>
        <v>If the Dash Keyword is Activated, the user may add half of their Attack or Speed (Whichever isn't the Offensive Stat) as a Damage Bonus. If this is performed, the Target may add their Speed Stat to their Defense when calculating damage.</v>
      </c>
      <c r="I1198" s="191" t="str">
        <f>IFERROR(__xludf.DUMMYFUNCTION("""COMPUTED_VALUE"""),"--")</f>
        <v>--</v>
      </c>
      <c r="J1198" s="190" t="str">
        <f>IFERROR(__xludf.DUMMYFUNCTION("""COMPUTED_VALUE"""),"Tier 2")</f>
        <v>Tier 2</v>
      </c>
      <c r="K1198" s="174" t="b">
        <f>IFERROR(__xludf.DUMMYFUNCTION("""COMPUTED_VALUE"""),TRUE)</f>
        <v>1</v>
      </c>
      <c r="L1198" s="174"/>
      <c r="M1198" s="174"/>
      <c r="N1198" s="174"/>
      <c r="O1198" s="174"/>
      <c r="P1198" s="174"/>
      <c r="Q1198" s="174"/>
      <c r="R1198" s="174"/>
      <c r="S1198" s="174"/>
      <c r="T1198" s="174"/>
      <c r="U1198" s="174"/>
      <c r="V1198" s="174"/>
      <c r="W1198" s="174"/>
      <c r="X1198" s="174"/>
      <c r="Y1198" s="174"/>
      <c r="Z1198" s="174"/>
    </row>
    <row r="1199">
      <c r="A1199" s="190" t="str">
        <f>IFERROR(__xludf.DUMMYFUNCTION("""COMPUTED_VALUE"""),"Torrential Typhoon")</f>
        <v>Torrential Typhoon</v>
      </c>
      <c r="B1199" s="190" t="str">
        <f>IFERROR(__xludf.DUMMYFUNCTION("""COMPUTED_VALUE"""),"Water")</f>
        <v>Water</v>
      </c>
      <c r="C1199" s="190" t="str">
        <f>IFERROR(__xludf.DUMMYFUNCTION("""COMPUTED_VALUE"""),"Status")</f>
        <v>Status</v>
      </c>
      <c r="D1199" s="190" t="str">
        <f>IFERROR(__xludf.DUMMYFUNCTION("""COMPUTED_VALUE"""),"Scene x2")</f>
        <v>Scene x2</v>
      </c>
      <c r="E1199" s="190" t="str">
        <f>IFERROR(__xludf.DUMMYFUNCTION("""COMPUTED_VALUE"""),"Field, Versatile, Weather")</f>
        <v>Field, Versatile, Weather</v>
      </c>
      <c r="F1199" s="190" t="str">
        <f>IFERROR(__xludf.DUMMYFUNCTION("""COMPUTED_VALUE"""),"--")</f>
        <v>--</v>
      </c>
      <c r="G1199" s="190" t="str">
        <f>IFERROR(__xludf.DUMMYFUNCTION("""COMPUTED_VALUE"""),"--")</f>
        <v>--</v>
      </c>
      <c r="H1199" s="191" t="str">
        <f>IFERROR(__xludf.DUMMYFUNCTION("""COMPUTED_VALUE"""),"The Field becomes Typhooning for the next 5 Rounds. While the Field is Typhooning, non Water Type Enemies lose a Tick of Hit Points at the start of their Turn and Water Type Pokemon gain a Tick of Temporary Hit Points at the start of their Turn. While the"&amp;" Field is Typhooning, the Weather becomes Rainy.")</f>
        <v>The Field becomes Typhooning for the next 5 Rounds. While the Field is Typhooning, non Water Type Enemies lose a Tick of Hit Points at the start of their Turn and Water Type Pokemon gain a Tick of Temporary Hit Points at the start of their Turn. While the Field is Typhooning, the Weather becomes Rainy.</v>
      </c>
      <c r="I1199" s="191"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199" s="190" t="str">
        <f>IFERROR(__xludf.DUMMYFUNCTION("""COMPUTED_VALUE"""),"Tier 2")</f>
        <v>Tier 2</v>
      </c>
      <c r="K1199" s="174" t="b">
        <f>IFERROR(__xludf.DUMMYFUNCTION("""COMPUTED_VALUE"""),TRUE)</f>
        <v>1</v>
      </c>
      <c r="L1199" s="174"/>
      <c r="M1199" s="174"/>
      <c r="N1199" s="174"/>
      <c r="O1199" s="174"/>
      <c r="P1199" s="174"/>
      <c r="Q1199" s="174"/>
      <c r="R1199" s="174"/>
      <c r="S1199" s="174"/>
      <c r="T1199" s="174"/>
      <c r="U1199" s="174"/>
      <c r="V1199" s="174"/>
      <c r="W1199" s="174"/>
      <c r="X1199" s="174"/>
      <c r="Y1199" s="174"/>
      <c r="Z1199" s="174"/>
    </row>
    <row r="1200">
      <c r="A1200" s="190" t="str">
        <f>IFERROR(__xludf.DUMMYFUNCTION("""COMPUTED_VALUE"""),"Triple Dive")</f>
        <v>Triple Dive</v>
      </c>
      <c r="B1200" s="190" t="str">
        <f>IFERROR(__xludf.DUMMYFUNCTION("""COMPUTED_VALUE"""),"Water")</f>
        <v>Water</v>
      </c>
      <c r="C1200" s="190" t="str">
        <f>IFERROR(__xludf.DUMMYFUNCTION("""COMPUTED_VALUE"""),"Physical")</f>
        <v>Physical</v>
      </c>
      <c r="D1200" s="190" t="str">
        <f>IFERROR(__xludf.DUMMYFUNCTION("""COMPUTED_VALUE"""),"Scene x2")</f>
        <v>Scene x2</v>
      </c>
      <c r="E1200" s="190" t="str">
        <f>IFERROR(__xludf.DUMMYFUNCTION("""COMPUTED_VALUE"""),"8, 3 Targets, Full Action, Groundsource")</f>
        <v>8, 3 Targets, Full Action, Groundsource</v>
      </c>
      <c r="F1200" s="190">
        <f>IFERROR(__xludf.DUMMYFUNCTION("""COMPUTED_VALUE"""),7.0)</f>
        <v>7</v>
      </c>
      <c r="G1200" s="190">
        <f>IFERROR(__xludf.DUMMYFUNCTION("""COMPUTED_VALUE"""),8.0)</f>
        <v>8</v>
      </c>
      <c r="H1200" s="191" t="str">
        <f>IFERROR(__xludf.DUMMYFUNCTION("""COMPUTED_VALUE"""),"If you only choose 2 Targets for Triple Dive, neither Target can apply Stat Evasion against this Attack. If you only choose one Target for Triple Dive, it has the Sureshot Keyword.")</f>
        <v>If you only choose 2 Targets for Triple Dive, neither Target can apply Stat Evasion against this Attack. If you only choose one Target for Triple Dive, it has the Sureshot Keyword.</v>
      </c>
      <c r="I1200" s="191" t="str">
        <f>IFERROR(__xludf.DUMMYFUNCTION("""COMPUTED_VALUE"""),"--")</f>
        <v>--</v>
      </c>
      <c r="J1200" s="190" t="str">
        <f>IFERROR(__xludf.DUMMYFUNCTION("""COMPUTED_VALUE"""),"Tier 2")</f>
        <v>Tier 2</v>
      </c>
      <c r="K1200" s="174" t="b">
        <f>IFERROR(__xludf.DUMMYFUNCTION("""COMPUTED_VALUE"""),TRUE)</f>
        <v>1</v>
      </c>
      <c r="L1200" s="174"/>
      <c r="M1200" s="174"/>
      <c r="N1200" s="174"/>
      <c r="O1200" s="174"/>
      <c r="P1200" s="174"/>
      <c r="Q1200" s="174"/>
      <c r="R1200" s="174"/>
      <c r="S1200" s="174"/>
      <c r="T1200" s="174"/>
      <c r="U1200" s="174"/>
      <c r="V1200" s="174"/>
      <c r="W1200" s="174"/>
      <c r="X1200" s="174"/>
      <c r="Y1200" s="174"/>
      <c r="Z1200" s="174"/>
    </row>
    <row r="1201">
      <c r="A1201" s="190" t="str">
        <f>IFERROR(__xludf.DUMMYFUNCTION("""COMPUTED_VALUE"""),"Water Gun")</f>
        <v>Water Gun</v>
      </c>
      <c r="B1201" s="190" t="str">
        <f>IFERROR(__xludf.DUMMYFUNCTION("""COMPUTED_VALUE"""),"Water")</f>
        <v>Water</v>
      </c>
      <c r="C1201" s="190" t="str">
        <f>IFERROR(__xludf.DUMMYFUNCTION("""COMPUTED_VALUE"""),"Special")</f>
        <v>Special</v>
      </c>
      <c r="D1201" s="190" t="str">
        <f>IFERROR(__xludf.DUMMYFUNCTION("""COMPUTED_VALUE"""),"At-Will")</f>
        <v>At-Will</v>
      </c>
      <c r="E1201" s="190" t="str">
        <f>IFERROR(__xludf.DUMMYFUNCTION("""COMPUTED_VALUE"""),"4, 1 Target; or Line 3")</f>
        <v>4, 1 Target; or Line 3</v>
      </c>
      <c r="F1201" s="190">
        <f>IFERROR(__xludf.DUMMYFUNCTION("""COMPUTED_VALUE"""),3.0)</f>
        <v>3</v>
      </c>
      <c r="G1201" s="190">
        <f>IFERROR(__xludf.DUMMYFUNCTION("""COMPUTED_VALUE"""),4.0)</f>
        <v>4</v>
      </c>
      <c r="H1201" s="191" t="str">
        <f>IFERROR(__xludf.DUMMYFUNCTION("""COMPUTED_VALUE"""),"If this is used as a Line Attack, its AC is increased by +2")</f>
        <v>If this is used as a Line Attack, its AC is increased by +2</v>
      </c>
      <c r="I1201" s="191" t="str">
        <f>IFERROR(__xludf.DUMMYFUNCTION("""COMPUTED_VALUE"""),"--")</f>
        <v>--</v>
      </c>
      <c r="J1201" s="190" t="str">
        <f>IFERROR(__xludf.DUMMYFUNCTION("""COMPUTED_VALUE"""),"Tier 1")</f>
        <v>Tier 1</v>
      </c>
      <c r="K1201" s="174" t="b">
        <f>IFERROR(__xludf.DUMMYFUNCTION("""COMPUTED_VALUE"""),TRUE)</f>
        <v>1</v>
      </c>
      <c r="L1201" s="174"/>
      <c r="M1201" s="174"/>
      <c r="N1201" s="174"/>
      <c r="O1201" s="174"/>
      <c r="P1201" s="174"/>
      <c r="Q1201" s="174"/>
      <c r="R1201" s="174"/>
      <c r="S1201" s="174"/>
      <c r="T1201" s="174"/>
      <c r="U1201" s="174"/>
      <c r="V1201" s="174"/>
      <c r="W1201" s="174"/>
      <c r="X1201" s="174"/>
      <c r="Y1201" s="174"/>
      <c r="Z1201" s="174"/>
    </row>
    <row r="1202">
      <c r="A1202" s="190" t="str">
        <f>IFERROR(__xludf.DUMMYFUNCTION("""COMPUTED_VALUE"""),"Water Pledge")</f>
        <v>Water Pledge</v>
      </c>
      <c r="B1202" s="190" t="str">
        <f>IFERROR(__xludf.DUMMYFUNCTION("""COMPUTED_VALUE"""),"Water")</f>
        <v>Water</v>
      </c>
      <c r="C1202" s="190" t="str">
        <f>IFERROR(__xludf.DUMMYFUNCTION("""COMPUTED_VALUE"""),"Special")</f>
        <v>Special</v>
      </c>
      <c r="D1202" s="190" t="str">
        <f>IFERROR(__xludf.DUMMYFUNCTION("""COMPUTED_VALUE"""),"Scene x2")</f>
        <v>Scene x2</v>
      </c>
      <c r="E1202" s="190" t="str">
        <f>IFERROR(__xludf.DUMMYFUNCTION("""COMPUTED_VALUE"""),"Line 3")</f>
        <v>Line 3</v>
      </c>
      <c r="F1202" s="190">
        <f>IFERROR(__xludf.DUMMYFUNCTION("""COMPUTED_VALUE"""),6.0)</f>
        <v>6</v>
      </c>
      <c r="G1202" s="190">
        <f>IFERROR(__xludf.DUMMYFUNCTION("""COMPUTED_VALUE"""),8.0)</f>
        <v>8</v>
      </c>
      <c r="H1202" s="191" t="str">
        <f>IFERROR(__xludf.DUMMYFUNCTION("""COMPUTED_VALUE"""),"Water Pledge heals the user a Tick of Hit Points for each Target it hit. If an Ally has used a Water Type Attack since your last turn, this Attack's range can become Close Blast 3, has the Friendly Keyword and heals all allies in its range as well.")</f>
        <v>Water Pledge heals the user a Tick of Hit Points for each Target it hit. If an Ally has used a Water Type Attack since your last turn, this Attack's range can become Close Blast 3, has the Friendly Keyword and heals all allies in its range as well.</v>
      </c>
      <c r="I1202" s="191" t="str">
        <f>IFERROR(__xludf.DUMMYFUNCTION("""COMPUTED_VALUE"""),"--")</f>
        <v>--</v>
      </c>
      <c r="J1202" s="190" t="str">
        <f>IFERROR(__xludf.DUMMYFUNCTION("""COMPUTED_VALUE"""),"Tier 2")</f>
        <v>Tier 2</v>
      </c>
      <c r="K1202" s="174" t="b">
        <f>IFERROR(__xludf.DUMMYFUNCTION("""COMPUTED_VALUE"""),TRUE)</f>
        <v>1</v>
      </c>
      <c r="L1202" s="174"/>
      <c r="M1202" s="174"/>
      <c r="N1202" s="174"/>
      <c r="O1202" s="174"/>
      <c r="P1202" s="174"/>
      <c r="Q1202" s="174"/>
      <c r="R1202" s="174"/>
      <c r="S1202" s="174"/>
      <c r="T1202" s="174"/>
      <c r="U1202" s="174"/>
      <c r="V1202" s="174"/>
      <c r="W1202" s="174"/>
      <c r="X1202" s="174"/>
      <c r="Y1202" s="174"/>
      <c r="Z1202" s="174"/>
    </row>
    <row r="1203">
      <c r="A1203" s="190" t="str">
        <f>IFERROR(__xludf.DUMMYFUNCTION("""COMPUTED_VALUE"""),"Water Pulse")</f>
        <v>Water Pulse</v>
      </c>
      <c r="B1203" s="190" t="str">
        <f>IFERROR(__xludf.DUMMYFUNCTION("""COMPUTED_VALUE"""),"Water")</f>
        <v>Water</v>
      </c>
      <c r="C1203" s="190" t="str">
        <f>IFERROR(__xludf.DUMMYFUNCTION("""COMPUTED_VALUE"""),"Special")</f>
        <v>Special</v>
      </c>
      <c r="D1203" s="190" t="str">
        <f>IFERROR(__xludf.DUMMYFUNCTION("""COMPUTED_VALUE"""),"At-Will")</f>
        <v>At-Will</v>
      </c>
      <c r="E1203" s="190" t="str">
        <f>IFERROR(__xludf.DUMMYFUNCTION("""COMPUTED_VALUE"""),"8, 1 Target, Aura")</f>
        <v>8, 1 Target, Aura</v>
      </c>
      <c r="F1203" s="190">
        <f>IFERROR(__xludf.DUMMYFUNCTION("""COMPUTED_VALUE"""),3.0)</f>
        <v>3</v>
      </c>
      <c r="G1203" s="190">
        <f>IFERROR(__xludf.DUMMYFUNCTION("""COMPUTED_VALUE"""),6.0)</f>
        <v>6</v>
      </c>
      <c r="H1203" s="191" t="str">
        <f>IFERROR(__xludf.DUMMYFUNCTION("""COMPUTED_VALUE"""),"On a roll of 17+, the Target becomes Dazed. If the Weather is Rainy, this may also be used as if it were Burst 1.")</f>
        <v>On a roll of 17+, the Target becomes Dazed. If the Weather is Rainy, this may also be used as if it were Burst 1.</v>
      </c>
      <c r="I1203" s="191" t="str">
        <f>IFERROR(__xludf.DUMMYFUNCTION("""COMPUTED_VALUE"""),"--")</f>
        <v>--</v>
      </c>
      <c r="J1203" s="190" t="str">
        <f>IFERROR(__xludf.DUMMYFUNCTION("""COMPUTED_VALUE"""),"Tier 1")</f>
        <v>Tier 1</v>
      </c>
      <c r="K1203" s="174" t="b">
        <f>IFERROR(__xludf.DUMMYFUNCTION("""COMPUTED_VALUE"""),TRUE)</f>
        <v>1</v>
      </c>
      <c r="L1203" s="174"/>
      <c r="M1203" s="174"/>
      <c r="N1203" s="174"/>
      <c r="O1203" s="174"/>
      <c r="P1203" s="174"/>
      <c r="Q1203" s="174"/>
      <c r="R1203" s="174"/>
      <c r="S1203" s="174"/>
      <c r="T1203" s="174"/>
      <c r="U1203" s="174"/>
      <c r="V1203" s="174"/>
      <c r="W1203" s="174"/>
      <c r="X1203" s="174"/>
      <c r="Y1203" s="174"/>
      <c r="Z1203" s="174"/>
    </row>
    <row r="1204">
      <c r="A1204" s="190" t="str">
        <f>IFERROR(__xludf.DUMMYFUNCTION("""COMPUTED_VALUE"""),"Water Shuriken")</f>
        <v>Water Shuriken</v>
      </c>
      <c r="B1204" s="190" t="str">
        <f>IFERROR(__xludf.DUMMYFUNCTION("""COMPUTED_VALUE"""),"Water")</f>
        <v>Water</v>
      </c>
      <c r="C1204" s="190" t="str">
        <f>IFERROR(__xludf.DUMMYFUNCTION("""COMPUTED_VALUE"""),"Special")</f>
        <v>Special</v>
      </c>
      <c r="D1204" s="190" t="str">
        <f>IFERROR(__xludf.DUMMYFUNCTION("""COMPUTED_VALUE"""),"EOT")</f>
        <v>EOT</v>
      </c>
      <c r="E1204" s="190" t="str">
        <f>IFERROR(__xludf.DUMMYFUNCTION("""COMPUTED_VALUE""")," 6, 1 Target, Priority ")</f>
        <v> 6, 1 Target, Priority </v>
      </c>
      <c r="F1204" s="190">
        <f>IFERROR(__xludf.DUMMYFUNCTION("""COMPUTED_VALUE"""),4.0)</f>
        <v>4</v>
      </c>
      <c r="G1204" s="190">
        <f>IFERROR(__xludf.DUMMYFUNCTION("""COMPUTED_VALUE"""),4.0)</f>
        <v>4</v>
      </c>
      <c r="H1204" s="191" t="str">
        <f>IFERROR(__xludf.DUMMYFUNCTION("""COMPUTED_VALUE"""),"If Water Shuriken hits at least 4 times, the Target becomes Wounded. Five Strike")</f>
        <v>If Water Shuriken hits at least 4 times, the Target becomes Wounded. Five Strike</v>
      </c>
      <c r="I1204" s="191" t="str">
        <f>IFERROR(__xludf.DUMMYFUNCTION("""COMPUTED_VALUE"""),"--")</f>
        <v>--</v>
      </c>
      <c r="J1204" s="190" t="str">
        <f>IFERROR(__xludf.DUMMYFUNCTION("""COMPUTED_VALUE"""),"Tier 1")</f>
        <v>Tier 1</v>
      </c>
      <c r="K1204" s="174" t="b">
        <f>IFERROR(__xludf.DUMMYFUNCTION("""COMPUTED_VALUE"""),TRUE)</f>
        <v>1</v>
      </c>
      <c r="L1204" s="174"/>
      <c r="M1204" s="174"/>
      <c r="N1204" s="174"/>
      <c r="O1204" s="174"/>
      <c r="P1204" s="174"/>
      <c r="Q1204" s="174"/>
      <c r="R1204" s="174"/>
      <c r="S1204" s="174"/>
      <c r="T1204" s="174"/>
      <c r="U1204" s="174"/>
      <c r="V1204" s="174"/>
      <c r="W1204" s="174"/>
      <c r="X1204" s="174"/>
      <c r="Y1204" s="174"/>
      <c r="Z1204" s="174"/>
    </row>
    <row r="1205">
      <c r="A1205" s="190" t="str">
        <f>IFERROR(__xludf.DUMMYFUNCTION("""COMPUTED_VALUE"""),"Water Sport")</f>
        <v>Water Sport</v>
      </c>
      <c r="B1205" s="190" t="str">
        <f>IFERROR(__xludf.DUMMYFUNCTION("""COMPUTED_VALUE"""),"Water")</f>
        <v>Water</v>
      </c>
      <c r="C1205" s="190" t="str">
        <f>IFERROR(__xludf.DUMMYFUNCTION("""COMPUTED_VALUE"""),"Status")</f>
        <v>Status</v>
      </c>
      <c r="D1205" s="190" t="str">
        <f>IFERROR(__xludf.DUMMYFUNCTION("""COMPUTED_VALUE"""),"EOT")</f>
        <v>EOT</v>
      </c>
      <c r="E1205" s="190" t="str">
        <f>IFERROR(__xludf.DUMMYFUNCTION("""COMPUTED_VALUE"""),"Burst 2, Coat, Versatile")</f>
        <v>Burst 2, Coat, Versatile</v>
      </c>
      <c r="F1205" s="190">
        <f>IFERROR(__xludf.DUMMYFUNCTION("""COMPUTED_VALUE"""),5.0)</f>
        <v>5</v>
      </c>
      <c r="G1205" s="190" t="str">
        <f>IFERROR(__xludf.DUMMYFUNCTION("""COMPUTED_VALUE"""),"--")</f>
        <v>--</v>
      </c>
      <c r="H1205" s="191" t="str">
        <f>IFERROR(__xludf.DUMMYFUNCTION("""COMPUTED_VALUE"""),"All Targets in the burst gain a Saturated Coat. While Saturated, all Electric and Ice Attacks are one step more effective against them and all attacks gain a +2 to Effect Ranges for Paralyzing or Chilling the Target. The Coat is removed when they become C"&amp;"hilled, become Paralyzed or are hit by an Electric or Ice Type Damaging Attack. ")</f>
        <v>All Targets in the burst gain a Saturated Coat. While Saturated, all Electric and Ice Attacks are one step more effective against them and all attacks gain a +2 to Effect Ranges for Paralyzing or Chilling the Target. The Coat is removed when they become Chilled, become Paralyzed or are hit by an Electric or Ice Type Damaging Attack. </v>
      </c>
      <c r="I1205" s="191" t="str">
        <f>IFERROR(__xludf.DUMMYFUNCTION("""COMPUTED_VALUE"""),"All Allies within this Range gain a Wet Coat. This Coat may be expended as a Swift Action to cure the Burn Affliction. This Coat may also be expended as a Free Action when hit by a Fire Type Attack to treat it as if it were Resisted Type Effectiveness. ")</f>
        <v>All Allies within this Range gain a Wet Coat. This Coat may be expended as a Swift Action to cure the Burn Affliction. This Coat may also be expended as a Free Action when hit by a Fire Type Attack to treat it as if it were Resisted Type Effectiveness. </v>
      </c>
      <c r="J1205" s="190" t="str">
        <f>IFERROR(__xludf.DUMMYFUNCTION("""COMPUTED_VALUE"""),"Tier 1")</f>
        <v>Tier 1</v>
      </c>
      <c r="K1205" s="174" t="b">
        <f>IFERROR(__xludf.DUMMYFUNCTION("""COMPUTED_VALUE"""),TRUE)</f>
        <v>1</v>
      </c>
      <c r="L1205" s="174"/>
      <c r="M1205" s="174"/>
      <c r="N1205" s="174"/>
      <c r="O1205" s="174"/>
      <c r="P1205" s="174"/>
      <c r="Q1205" s="174"/>
      <c r="R1205" s="174"/>
      <c r="S1205" s="174"/>
      <c r="T1205" s="174"/>
      <c r="U1205" s="174"/>
      <c r="V1205" s="174"/>
      <c r="W1205" s="174"/>
      <c r="X1205" s="174"/>
      <c r="Y1205" s="174"/>
      <c r="Z1205" s="174"/>
    </row>
    <row r="1206">
      <c r="A1206" s="190" t="str">
        <f>IFERROR(__xludf.DUMMYFUNCTION("""COMPUTED_VALUE"""),"Water Spout")</f>
        <v>Water Spout</v>
      </c>
      <c r="B1206" s="190" t="str">
        <f>IFERROR(__xludf.DUMMYFUNCTION("""COMPUTED_VALUE"""),"Water")</f>
        <v>Water</v>
      </c>
      <c r="C1206" s="190" t="str">
        <f>IFERROR(__xludf.DUMMYFUNCTION("""COMPUTED_VALUE"""),"Special")</f>
        <v>Special</v>
      </c>
      <c r="D1206" s="190" t="str">
        <f>IFERROR(__xludf.DUMMYFUNCTION("""COMPUTED_VALUE"""),"Scene")</f>
        <v>Scene</v>
      </c>
      <c r="E1206" s="190" t="str">
        <f>IFERROR(__xludf.DUMMYFUNCTION("""COMPUTED_VALUE"""),"Burst 1")</f>
        <v>Burst 1</v>
      </c>
      <c r="F1206" s="190">
        <f>IFERROR(__xludf.DUMMYFUNCTION("""COMPUTED_VALUE"""),6.0)</f>
        <v>6</v>
      </c>
      <c r="G1206" s="190">
        <f>IFERROR(__xludf.DUMMYFUNCTION("""COMPUTED_VALUE"""),13.0)</f>
        <v>13</v>
      </c>
      <c r="H1206" s="191" t="str">
        <f>IFERROR(__xludf.DUMMYFUNCTION("""COMPUTED_VALUE"""),"After this Attack resolves, create a 3x3 Zone centered on the user. At the end of the next Round, you must use Water Spout as a Free Action against all Combatants within this Zone. This subsequent Attack is resisted by an additional Damage Step. Spirit Su"&amp;"rge. Smite")</f>
        <v>After this Attack resolves, create a 3x3 Zone centered on the user. At the end of the next Round, you must use Water Spout as a Free Action against all Combatants within this Zone. This subsequent Attack is resisted by an additional Damage Step. Spirit Surge. Smite</v>
      </c>
      <c r="I1206" s="191" t="str">
        <f>IFERROR(__xludf.DUMMYFUNCTION("""COMPUTED_VALUE"""),"--")</f>
        <v>--</v>
      </c>
      <c r="J1206" s="190" t="str">
        <f>IFERROR(__xludf.DUMMYFUNCTION("""COMPUTED_VALUE"""),"Tier 3")</f>
        <v>Tier 3</v>
      </c>
      <c r="K1206" s="174" t="b">
        <f>IFERROR(__xludf.DUMMYFUNCTION("""COMPUTED_VALUE"""),TRUE)</f>
        <v>1</v>
      </c>
      <c r="L1206" s="174"/>
      <c r="M1206" s="174"/>
      <c r="N1206" s="174"/>
      <c r="O1206" s="174"/>
      <c r="P1206" s="174"/>
      <c r="Q1206" s="174"/>
      <c r="R1206" s="174"/>
      <c r="S1206" s="174"/>
      <c r="T1206" s="174"/>
      <c r="U1206" s="174"/>
      <c r="V1206" s="174"/>
      <c r="W1206" s="174"/>
      <c r="X1206" s="174"/>
      <c r="Y1206" s="174"/>
      <c r="Z1206" s="174"/>
    </row>
    <row r="1207">
      <c r="A1207" s="190" t="str">
        <f>IFERROR(__xludf.DUMMYFUNCTION("""COMPUTED_VALUE"""),"Waterfall")</f>
        <v>Waterfall</v>
      </c>
      <c r="B1207" s="190" t="str">
        <f>IFERROR(__xludf.DUMMYFUNCTION("""COMPUTED_VALUE"""),"Water")</f>
        <v>Water</v>
      </c>
      <c r="C1207" s="190" t="str">
        <f>IFERROR(__xludf.DUMMYFUNCTION("""COMPUTED_VALUE"""),"Physical")</f>
        <v>Physical</v>
      </c>
      <c r="D1207" s="190" t="str">
        <f>IFERROR(__xludf.DUMMYFUNCTION("""COMPUTED_VALUE"""),"EOT")</f>
        <v>EOT</v>
      </c>
      <c r="E1207" s="190" t="str">
        <f>IFERROR(__xludf.DUMMYFUNCTION("""COMPUTED_VALUE"""),"Melee, 1 Target")</f>
        <v>Melee, 1 Target</v>
      </c>
      <c r="F1207" s="190">
        <f>IFERROR(__xludf.DUMMYFUNCTION("""COMPUTED_VALUE"""),3.0)</f>
        <v>3</v>
      </c>
      <c r="G1207" s="190">
        <f>IFERROR(__xludf.DUMMYFUNCTION("""COMPUTED_VALUE"""),8.0)</f>
        <v>8</v>
      </c>
      <c r="H1207" s="191" t="str">
        <f>IFERROR(__xludf.DUMMYFUNCTION("""COMPUTED_VALUE"""),"At the start of the user's Turn they may declare the usage of Waterfall. During this Turn when moving, you ignore all Movement Penalties.  ")</f>
        <v>At the start of the user's Turn they may declare the usage of Waterfall. During this Turn when moving, you ignore all Movement Penalties.  </v>
      </c>
      <c r="I1207" s="191" t="str">
        <f>IFERROR(__xludf.DUMMYFUNCTION("""COMPUTED_VALUE"""),"--")</f>
        <v>--</v>
      </c>
      <c r="J1207" s="190" t="str">
        <f>IFERROR(__xludf.DUMMYFUNCTION("""COMPUTED_VALUE"""),"Tier 2")</f>
        <v>Tier 2</v>
      </c>
      <c r="K1207" s="174" t="b">
        <f>IFERROR(__xludf.DUMMYFUNCTION("""COMPUTED_VALUE"""),TRUE)</f>
        <v>1</v>
      </c>
      <c r="L1207" s="174"/>
      <c r="M1207" s="174"/>
      <c r="N1207" s="174"/>
      <c r="O1207" s="174"/>
      <c r="P1207" s="174"/>
      <c r="Q1207" s="174"/>
      <c r="R1207" s="174"/>
      <c r="S1207" s="174"/>
      <c r="T1207" s="174"/>
      <c r="U1207" s="174"/>
      <c r="V1207" s="174"/>
      <c r="W1207" s="174"/>
      <c r="X1207" s="174"/>
      <c r="Y1207" s="174"/>
      <c r="Z1207" s="174"/>
    </row>
    <row r="1208">
      <c r="A1208" s="190" t="str">
        <f>IFERROR(__xludf.DUMMYFUNCTION("""COMPUTED_VALUE"""),"Wave Crash")</f>
        <v>Wave Crash</v>
      </c>
      <c r="B1208" s="190" t="str">
        <f>IFERROR(__xludf.DUMMYFUNCTION("""COMPUTED_VALUE"""),"Water")</f>
        <v>Water</v>
      </c>
      <c r="C1208" s="190" t="str">
        <f>IFERROR(__xludf.DUMMYFUNCTION("""COMPUTED_VALUE"""),"Physical")</f>
        <v>Physical</v>
      </c>
      <c r="D1208" s="190" t="str">
        <f>IFERROR(__xludf.DUMMYFUNCTION("""COMPUTED_VALUE"""),"At-Will")</f>
        <v>At-Will</v>
      </c>
      <c r="E1208" s="190" t="str">
        <f>IFERROR(__xludf.DUMMYFUNCTION("""COMPUTED_VALUE"""),"Close Blast 2, Recoil 1/4")</f>
        <v>Close Blast 2, Recoil 1/4</v>
      </c>
      <c r="F1208" s="190">
        <f>IFERROR(__xludf.DUMMYFUNCTION("""COMPUTED_VALUE"""),6.0)</f>
        <v>6</v>
      </c>
      <c r="G1208" s="190">
        <f>IFERROR(__xludf.DUMMYFUNCTION("""COMPUTED_VALUE"""),9.0)</f>
        <v>9</v>
      </c>
      <c r="H1208" s="191" t="str">
        <f>IFERROR(__xludf.DUMMYFUNCTION("""COMPUTED_VALUE"""),"If the Weather is Rainy, this ignores the Recoil Keyword.")</f>
        <v>If the Weather is Rainy, this ignores the Recoil Keyword.</v>
      </c>
      <c r="I1208" s="191" t="str">
        <f>IFERROR(__xludf.DUMMYFUNCTION("""COMPUTED_VALUE"""),"--")</f>
        <v>--</v>
      </c>
      <c r="J1208" s="190" t="str">
        <f>IFERROR(__xludf.DUMMYFUNCTION("""COMPUTED_VALUE"""),"Tier 2")</f>
        <v>Tier 2</v>
      </c>
      <c r="K1208" s="174" t="b">
        <f>IFERROR(__xludf.DUMMYFUNCTION("""COMPUTED_VALUE"""),TRUE)</f>
        <v>1</v>
      </c>
      <c r="L1208" s="174"/>
      <c r="M1208" s="174"/>
      <c r="N1208" s="174"/>
      <c r="O1208" s="174"/>
      <c r="P1208" s="174"/>
      <c r="Q1208" s="174"/>
      <c r="R1208" s="174"/>
      <c r="S1208" s="174"/>
      <c r="T1208" s="174"/>
      <c r="U1208" s="174"/>
      <c r="V1208" s="174"/>
      <c r="W1208" s="174"/>
      <c r="X1208" s="174"/>
      <c r="Y1208" s="174"/>
      <c r="Z1208" s="174"/>
    </row>
    <row r="1209">
      <c r="A1209" s="190" t="str">
        <f>IFERROR(__xludf.DUMMYFUNCTION("""COMPUTED_VALUE"""),"Whirlpool")</f>
        <v>Whirlpool</v>
      </c>
      <c r="B1209" s="190" t="str">
        <f>IFERROR(__xludf.DUMMYFUNCTION("""COMPUTED_VALUE"""),"Water")</f>
        <v>Water</v>
      </c>
      <c r="C1209" s="190" t="str">
        <f>IFERROR(__xludf.DUMMYFUNCTION("""COMPUTED_VALUE"""),"Special")</f>
        <v>Special</v>
      </c>
      <c r="D1209" s="190" t="str">
        <f>IFERROR(__xludf.DUMMYFUNCTION("""COMPUTED_VALUE"""),"Scene x2")</f>
        <v>Scene x2</v>
      </c>
      <c r="E1209" s="190" t="str">
        <f>IFERROR(__xludf.DUMMYFUNCTION("""COMPUTED_VALUE"""),"3, 1 Target")</f>
        <v>3, 1 Target</v>
      </c>
      <c r="F1209" s="190">
        <f>IFERROR(__xludf.DUMMYFUNCTION("""COMPUTED_VALUE"""),5.0)</f>
        <v>5</v>
      </c>
      <c r="G1209" s="190">
        <f>IFERROR(__xludf.DUMMYFUNCTION("""COMPUTED_VALUE"""),6.0)</f>
        <v>6</v>
      </c>
      <c r="H1209" s="191" t="str">
        <f>IFERROR(__xludf.DUMMYFUNCTION("""COMPUTED_VALUE"""),"If the Weather is Rainy, the Target cannot use a Movement Action during their next Turn. On a 16+, the Target becomes Slowed. ")</f>
        <v>If the Weather is Rainy, the Target cannot use a Movement Action during their next Turn. On a 16+, the Target becomes Slowed. </v>
      </c>
      <c r="I1209" s="191" t="str">
        <f>IFERROR(__xludf.DUMMYFUNCTION("""COMPUTED_VALUE"""),"--")</f>
        <v>--</v>
      </c>
      <c r="J1209" s="190" t="str">
        <f>IFERROR(__xludf.DUMMYFUNCTION("""COMPUTED_VALUE"""),"Tier 2")</f>
        <v>Tier 2</v>
      </c>
      <c r="K1209" s="174" t="b">
        <f>IFERROR(__xludf.DUMMYFUNCTION("""COMPUTED_VALUE"""),TRUE)</f>
        <v>1</v>
      </c>
      <c r="L1209" s="174"/>
      <c r="M1209" s="174"/>
      <c r="N1209" s="174"/>
      <c r="O1209" s="174"/>
      <c r="P1209" s="174"/>
      <c r="Q1209" s="174"/>
      <c r="R1209" s="174"/>
      <c r="S1209" s="174"/>
      <c r="T1209" s="174"/>
      <c r="U1209" s="174"/>
      <c r="V1209" s="174"/>
      <c r="W1209" s="174"/>
      <c r="X1209" s="174"/>
      <c r="Y1209" s="174"/>
      <c r="Z1209" s="174"/>
    </row>
    <row r="1210">
      <c r="A1210" s="190" t="str">
        <f>IFERROR(__xludf.DUMMYFUNCTION("""COMPUTED_VALUE"""),"Withdraw")</f>
        <v>Withdraw</v>
      </c>
      <c r="B1210" s="190" t="str">
        <f>IFERROR(__xludf.DUMMYFUNCTION("""COMPUTED_VALUE"""),"Water")</f>
        <v>Water</v>
      </c>
      <c r="C1210" s="190" t="str">
        <f>IFERROR(__xludf.DUMMYFUNCTION("""COMPUTED_VALUE"""),"Status")</f>
        <v>Status</v>
      </c>
      <c r="D1210" s="190" t="str">
        <f>IFERROR(__xludf.DUMMYFUNCTION("""COMPUTED_VALUE"""),"EOT")</f>
        <v>EOT</v>
      </c>
      <c r="E1210" s="190" t="str">
        <f>IFERROR(__xludf.DUMMYFUNCTION("""COMPUTED_VALUE"""),"Self, Coat, Versatile")</f>
        <v>Self, Coat, Versatile</v>
      </c>
      <c r="F1210" s="190" t="str">
        <f>IFERROR(__xludf.DUMMYFUNCTION("""COMPUTED_VALUE"""),"--")</f>
        <v>--</v>
      </c>
      <c r="G1210" s="190" t="str">
        <f>IFERROR(__xludf.DUMMYFUNCTION("""COMPUTED_VALUE"""),"--")</f>
        <v>--</v>
      </c>
      <c r="H1210" s="191" t="str">
        <f>IFERROR(__xludf.DUMMYFUNCTION("""COMPUTED_VALUE"""),"The user gains a Withdrawn Coat. While Withdrawn, they resist all Damage by an additional step. This Coat is expended when the user uses a Standard Action. In addition, each time they're hit by an Attack, they must pass a TN 10 Save Check or else the Coat"&amp;" is expended.")</f>
        <v>The user gains a Withdrawn Coat. While Withdrawn, they resist all Damage by an additional step. This Coat is expended when the user uses a Standard Action. In addition, each time they're hit by an Attack, they must pass a TN 10 Save Check or else the Coat is expended.</v>
      </c>
      <c r="I1210" s="191" t="str">
        <f>IFERROR(__xludf.DUMMYFUNCTION("""COMPUTED_VALUE"""),"The user gains a Withdrawn Coat. While Withdrawn, they resist all Physical Damage by an additional step. This Coat is expended after they're hit by a Damaging Attack or when they start their next Turn.")</f>
        <v>The user gains a Withdrawn Coat. While Withdrawn, they resist all Physical Damage by an additional step. This Coat is expended after they're hit by a Damaging Attack or when they start their next Turn.</v>
      </c>
      <c r="J1210" s="190" t="str">
        <f>IFERROR(__xludf.DUMMYFUNCTION("""COMPUTED_VALUE"""),"Tier 1")</f>
        <v>Tier 1</v>
      </c>
      <c r="K1210" s="174" t="b">
        <f>IFERROR(__xludf.DUMMYFUNCTION("""COMPUTED_VALUE"""),TRUE)</f>
        <v>1</v>
      </c>
      <c r="L1210" s="174"/>
      <c r="M1210" s="174"/>
      <c r="N1210" s="174"/>
      <c r="O1210" s="174"/>
      <c r="P1210" s="174"/>
      <c r="Q1210" s="174"/>
      <c r="R1210" s="174"/>
      <c r="S1210" s="174"/>
      <c r="T1210" s="174"/>
      <c r="U1210" s="174"/>
      <c r="V1210" s="174"/>
      <c r="W1210" s="174"/>
      <c r="X1210" s="174"/>
      <c r="Y1210" s="174"/>
      <c r="Z1210" s="174"/>
    </row>
    <row r="1211">
      <c r="A1211" s="190" t="str">
        <f>IFERROR(__xludf.DUMMYFUNCTION("""COMPUTED_VALUE"""),"Hidden Power Bug")</f>
        <v>Hidden Power Bug</v>
      </c>
      <c r="B1211" s="190" t="str">
        <f>IFERROR(__xludf.DUMMYFUNCTION("""COMPUTED_VALUE"""),"Bug")</f>
        <v>Bug</v>
      </c>
      <c r="C1211" s="190" t="str">
        <f>IFERROR(__xludf.DUMMYFUNCTION("""COMPUTED_VALUE"""),"Special")</f>
        <v>Special</v>
      </c>
      <c r="D1211" s="190" t="str">
        <f>IFERROR(__xludf.DUMMYFUNCTION("""COMPUTED_VALUE"""),"EOT")</f>
        <v>EOT</v>
      </c>
      <c r="E1211" s="190" t="str">
        <f>IFERROR(__xludf.DUMMYFUNCTION("""COMPUTED_VALUE"""),"Burst 1")</f>
        <v>Burst 1</v>
      </c>
      <c r="F1211" s="190">
        <f>IFERROR(__xludf.DUMMYFUNCTION("""COMPUTED_VALUE"""),5.0)</f>
        <v>5</v>
      </c>
      <c r="G1211" s="190">
        <f>IFERROR(__xludf.DUMMYFUNCTION("""COMPUTED_VALUE"""),7.0)</f>
        <v>7</v>
      </c>
      <c r="H1211" s="191" t="str">
        <f>IFERROR(__xludf.DUMMYFUNCTION("""COMPUTED_VALUE"""),"--")</f>
        <v>--</v>
      </c>
      <c r="I1211" s="191" t="str">
        <f>IFERROR(__xludf.DUMMYFUNCTION("""COMPUTED_VALUE"""),"--")</f>
        <v>--</v>
      </c>
      <c r="J1211" s="190" t="str">
        <f>IFERROR(__xludf.DUMMYFUNCTION("""COMPUTED_VALUE"""),"Tier 1")</f>
        <v>Tier 1</v>
      </c>
      <c r="K1211" s="174" t="b">
        <f>IFERROR(__xludf.DUMMYFUNCTION("""COMPUTED_VALUE"""),TRUE)</f>
        <v>1</v>
      </c>
      <c r="L1211" s="174"/>
      <c r="M1211" s="174"/>
      <c r="N1211" s="174"/>
      <c r="O1211" s="174"/>
      <c r="P1211" s="174"/>
      <c r="Q1211" s="174"/>
      <c r="R1211" s="174"/>
      <c r="S1211" s="174"/>
      <c r="T1211" s="174"/>
      <c r="U1211" s="174"/>
      <c r="V1211" s="174"/>
      <c r="W1211" s="174"/>
      <c r="X1211" s="174"/>
      <c r="Y1211" s="174"/>
      <c r="Z1211" s="174"/>
    </row>
    <row r="1212">
      <c r="A1212" s="190" t="str">
        <f>IFERROR(__xludf.DUMMYFUNCTION("""COMPUTED_VALUE"""),"Hidden Power Dark")</f>
        <v>Hidden Power Dark</v>
      </c>
      <c r="B1212" s="190" t="str">
        <f>IFERROR(__xludf.DUMMYFUNCTION("""COMPUTED_VALUE"""),"Dark")</f>
        <v>Dark</v>
      </c>
      <c r="C1212" s="190" t="str">
        <f>IFERROR(__xludf.DUMMYFUNCTION("""COMPUTED_VALUE"""),"Special")</f>
        <v>Special</v>
      </c>
      <c r="D1212" s="190" t="str">
        <f>IFERROR(__xludf.DUMMYFUNCTION("""COMPUTED_VALUE"""),"EOT")</f>
        <v>EOT</v>
      </c>
      <c r="E1212" s="190" t="str">
        <f>IFERROR(__xludf.DUMMYFUNCTION("""COMPUTED_VALUE"""),"Burst 1")</f>
        <v>Burst 1</v>
      </c>
      <c r="F1212" s="190">
        <f>IFERROR(__xludf.DUMMYFUNCTION("""COMPUTED_VALUE"""),5.0)</f>
        <v>5</v>
      </c>
      <c r="G1212" s="190">
        <f>IFERROR(__xludf.DUMMYFUNCTION("""COMPUTED_VALUE"""),7.0)</f>
        <v>7</v>
      </c>
      <c r="H1212" s="191" t="str">
        <f>IFERROR(__xludf.DUMMYFUNCTION("""COMPUTED_VALUE"""),"--")</f>
        <v>--</v>
      </c>
      <c r="I1212" s="191" t="str">
        <f>IFERROR(__xludf.DUMMYFUNCTION("""COMPUTED_VALUE"""),"--")</f>
        <v>--</v>
      </c>
      <c r="J1212" s="190" t="str">
        <f>IFERROR(__xludf.DUMMYFUNCTION("""COMPUTED_VALUE"""),"Tier 1")</f>
        <v>Tier 1</v>
      </c>
      <c r="K1212" s="174" t="b">
        <f>IFERROR(__xludf.DUMMYFUNCTION("""COMPUTED_VALUE"""),TRUE)</f>
        <v>1</v>
      </c>
      <c r="L1212" s="174"/>
      <c r="M1212" s="174"/>
      <c r="N1212" s="174"/>
      <c r="O1212" s="174"/>
      <c r="P1212" s="174"/>
      <c r="Q1212" s="174"/>
      <c r="R1212" s="174"/>
      <c r="S1212" s="174"/>
      <c r="T1212" s="174"/>
      <c r="U1212" s="174"/>
      <c r="V1212" s="174"/>
      <c r="W1212" s="174"/>
      <c r="X1212" s="174"/>
      <c r="Y1212" s="174"/>
      <c r="Z1212" s="174"/>
    </row>
    <row r="1213">
      <c r="A1213" s="190" t="str">
        <f>IFERROR(__xludf.DUMMYFUNCTION("""COMPUTED_VALUE"""),"Hidden Power Dragon")</f>
        <v>Hidden Power Dragon</v>
      </c>
      <c r="B1213" s="190" t="str">
        <f>IFERROR(__xludf.DUMMYFUNCTION("""COMPUTED_VALUE"""),"Dragon")</f>
        <v>Dragon</v>
      </c>
      <c r="C1213" s="190" t="str">
        <f>IFERROR(__xludf.DUMMYFUNCTION("""COMPUTED_VALUE"""),"Special")</f>
        <v>Special</v>
      </c>
      <c r="D1213" s="190" t="str">
        <f>IFERROR(__xludf.DUMMYFUNCTION("""COMPUTED_VALUE"""),"EOT")</f>
        <v>EOT</v>
      </c>
      <c r="E1213" s="190" t="str">
        <f>IFERROR(__xludf.DUMMYFUNCTION("""COMPUTED_VALUE"""),"Burst 1")</f>
        <v>Burst 1</v>
      </c>
      <c r="F1213" s="190">
        <f>IFERROR(__xludf.DUMMYFUNCTION("""COMPUTED_VALUE"""),5.0)</f>
        <v>5</v>
      </c>
      <c r="G1213" s="190">
        <f>IFERROR(__xludf.DUMMYFUNCTION("""COMPUTED_VALUE"""),7.0)</f>
        <v>7</v>
      </c>
      <c r="H1213" s="191" t="str">
        <f>IFERROR(__xludf.DUMMYFUNCTION("""COMPUTED_VALUE"""),"--")</f>
        <v>--</v>
      </c>
      <c r="I1213" s="191" t="str">
        <f>IFERROR(__xludf.DUMMYFUNCTION("""COMPUTED_VALUE"""),"--")</f>
        <v>--</v>
      </c>
      <c r="J1213" s="190" t="str">
        <f>IFERROR(__xludf.DUMMYFUNCTION("""COMPUTED_VALUE"""),"Tier 1")</f>
        <v>Tier 1</v>
      </c>
      <c r="K1213" s="174" t="b">
        <f>IFERROR(__xludf.DUMMYFUNCTION("""COMPUTED_VALUE"""),TRUE)</f>
        <v>1</v>
      </c>
      <c r="L1213" s="174"/>
      <c r="M1213" s="174"/>
      <c r="N1213" s="174"/>
      <c r="O1213" s="174"/>
      <c r="P1213" s="174"/>
      <c r="Q1213" s="174"/>
      <c r="R1213" s="174"/>
      <c r="S1213" s="174"/>
      <c r="T1213" s="174"/>
      <c r="U1213" s="174"/>
      <c r="V1213" s="174"/>
      <c r="W1213" s="174"/>
      <c r="X1213" s="174"/>
      <c r="Y1213" s="174"/>
      <c r="Z1213" s="174"/>
    </row>
    <row r="1214">
      <c r="A1214" s="190" t="str">
        <f>IFERROR(__xludf.DUMMYFUNCTION("""COMPUTED_VALUE"""),"Hidden Power Electric")</f>
        <v>Hidden Power Electric</v>
      </c>
      <c r="B1214" s="190" t="str">
        <f>IFERROR(__xludf.DUMMYFUNCTION("""COMPUTED_VALUE"""),"Electric")</f>
        <v>Electric</v>
      </c>
      <c r="C1214" s="190" t="str">
        <f>IFERROR(__xludf.DUMMYFUNCTION("""COMPUTED_VALUE"""),"Special")</f>
        <v>Special</v>
      </c>
      <c r="D1214" s="190" t="str">
        <f>IFERROR(__xludf.DUMMYFUNCTION("""COMPUTED_VALUE"""),"EOT")</f>
        <v>EOT</v>
      </c>
      <c r="E1214" s="190" t="str">
        <f>IFERROR(__xludf.DUMMYFUNCTION("""COMPUTED_VALUE"""),"Burst 1")</f>
        <v>Burst 1</v>
      </c>
      <c r="F1214" s="190">
        <f>IFERROR(__xludf.DUMMYFUNCTION("""COMPUTED_VALUE"""),5.0)</f>
        <v>5</v>
      </c>
      <c r="G1214" s="190">
        <f>IFERROR(__xludf.DUMMYFUNCTION("""COMPUTED_VALUE"""),7.0)</f>
        <v>7</v>
      </c>
      <c r="H1214" s="191" t="str">
        <f>IFERROR(__xludf.DUMMYFUNCTION("""COMPUTED_VALUE"""),"--")</f>
        <v>--</v>
      </c>
      <c r="I1214" s="191" t="str">
        <f>IFERROR(__xludf.DUMMYFUNCTION("""COMPUTED_VALUE"""),"--")</f>
        <v>--</v>
      </c>
      <c r="J1214" s="190" t="str">
        <f>IFERROR(__xludf.DUMMYFUNCTION("""COMPUTED_VALUE"""),"Tier 1")</f>
        <v>Tier 1</v>
      </c>
      <c r="K1214" s="174" t="b">
        <f>IFERROR(__xludf.DUMMYFUNCTION("""COMPUTED_VALUE"""),TRUE)</f>
        <v>1</v>
      </c>
      <c r="L1214" s="174"/>
      <c r="M1214" s="174"/>
      <c r="N1214" s="174"/>
      <c r="O1214" s="174"/>
      <c r="P1214" s="174"/>
      <c r="Q1214" s="174"/>
      <c r="R1214" s="174"/>
      <c r="S1214" s="174"/>
      <c r="T1214" s="174"/>
      <c r="U1214" s="174"/>
      <c r="V1214" s="174"/>
      <c r="W1214" s="174"/>
      <c r="X1214" s="174"/>
      <c r="Y1214" s="174"/>
      <c r="Z1214" s="174"/>
    </row>
    <row r="1215">
      <c r="A1215" s="190" t="str">
        <f>IFERROR(__xludf.DUMMYFUNCTION("""COMPUTED_VALUE"""),"Hidden Power Fairy")</f>
        <v>Hidden Power Fairy</v>
      </c>
      <c r="B1215" s="190" t="str">
        <f>IFERROR(__xludf.DUMMYFUNCTION("""COMPUTED_VALUE"""),"Fairy")</f>
        <v>Fairy</v>
      </c>
      <c r="C1215" s="190" t="str">
        <f>IFERROR(__xludf.DUMMYFUNCTION("""COMPUTED_VALUE"""),"Special")</f>
        <v>Special</v>
      </c>
      <c r="D1215" s="190" t="str">
        <f>IFERROR(__xludf.DUMMYFUNCTION("""COMPUTED_VALUE"""),"EOT")</f>
        <v>EOT</v>
      </c>
      <c r="E1215" s="190" t="str">
        <f>IFERROR(__xludf.DUMMYFUNCTION("""COMPUTED_VALUE"""),"Burst 1")</f>
        <v>Burst 1</v>
      </c>
      <c r="F1215" s="190">
        <f>IFERROR(__xludf.DUMMYFUNCTION("""COMPUTED_VALUE"""),5.0)</f>
        <v>5</v>
      </c>
      <c r="G1215" s="190">
        <f>IFERROR(__xludf.DUMMYFUNCTION("""COMPUTED_VALUE"""),7.0)</f>
        <v>7</v>
      </c>
      <c r="H1215" s="191" t="str">
        <f>IFERROR(__xludf.DUMMYFUNCTION("""COMPUTED_VALUE"""),"--")</f>
        <v>--</v>
      </c>
      <c r="I1215" s="191" t="str">
        <f>IFERROR(__xludf.DUMMYFUNCTION("""COMPUTED_VALUE"""),"--")</f>
        <v>--</v>
      </c>
      <c r="J1215" s="190" t="str">
        <f>IFERROR(__xludf.DUMMYFUNCTION("""COMPUTED_VALUE"""),"Tier 1")</f>
        <v>Tier 1</v>
      </c>
      <c r="K1215" s="174" t="b">
        <f>IFERROR(__xludf.DUMMYFUNCTION("""COMPUTED_VALUE"""),TRUE)</f>
        <v>1</v>
      </c>
      <c r="L1215" s="174"/>
      <c r="M1215" s="174"/>
      <c r="N1215" s="174"/>
      <c r="O1215" s="174"/>
      <c r="P1215" s="174"/>
      <c r="Q1215" s="174"/>
      <c r="R1215" s="174"/>
      <c r="S1215" s="174"/>
      <c r="T1215" s="174"/>
      <c r="U1215" s="174"/>
      <c r="V1215" s="174"/>
      <c r="W1215" s="174"/>
      <c r="X1215" s="174"/>
      <c r="Y1215" s="174"/>
      <c r="Z1215" s="174"/>
    </row>
    <row r="1216">
      <c r="A1216" s="190" t="str">
        <f>IFERROR(__xludf.DUMMYFUNCTION("""COMPUTED_VALUE"""),"Hidden Power Fighting")</f>
        <v>Hidden Power Fighting</v>
      </c>
      <c r="B1216" s="190" t="str">
        <f>IFERROR(__xludf.DUMMYFUNCTION("""COMPUTED_VALUE"""),"Fighting")</f>
        <v>Fighting</v>
      </c>
      <c r="C1216" s="190" t="str">
        <f>IFERROR(__xludf.DUMMYFUNCTION("""COMPUTED_VALUE"""),"Special")</f>
        <v>Special</v>
      </c>
      <c r="D1216" s="190" t="str">
        <f>IFERROR(__xludf.DUMMYFUNCTION("""COMPUTED_VALUE"""),"EOT")</f>
        <v>EOT</v>
      </c>
      <c r="E1216" s="190" t="str">
        <f>IFERROR(__xludf.DUMMYFUNCTION("""COMPUTED_VALUE"""),"Burst 1")</f>
        <v>Burst 1</v>
      </c>
      <c r="F1216" s="190">
        <f>IFERROR(__xludf.DUMMYFUNCTION("""COMPUTED_VALUE"""),5.0)</f>
        <v>5</v>
      </c>
      <c r="G1216" s="190">
        <f>IFERROR(__xludf.DUMMYFUNCTION("""COMPUTED_VALUE"""),7.0)</f>
        <v>7</v>
      </c>
      <c r="H1216" s="191" t="str">
        <f>IFERROR(__xludf.DUMMYFUNCTION("""COMPUTED_VALUE"""),"--")</f>
        <v>--</v>
      </c>
      <c r="I1216" s="191" t="str">
        <f>IFERROR(__xludf.DUMMYFUNCTION("""COMPUTED_VALUE"""),"--")</f>
        <v>--</v>
      </c>
      <c r="J1216" s="190" t="str">
        <f>IFERROR(__xludf.DUMMYFUNCTION("""COMPUTED_VALUE"""),"Tier 1")</f>
        <v>Tier 1</v>
      </c>
      <c r="K1216" s="174" t="b">
        <f>IFERROR(__xludf.DUMMYFUNCTION("""COMPUTED_VALUE"""),TRUE)</f>
        <v>1</v>
      </c>
      <c r="L1216" s="174"/>
      <c r="M1216" s="174"/>
      <c r="N1216" s="174"/>
      <c r="O1216" s="174"/>
      <c r="P1216" s="174"/>
      <c r="Q1216" s="174"/>
      <c r="R1216" s="174"/>
      <c r="S1216" s="174"/>
      <c r="T1216" s="174"/>
      <c r="U1216" s="174"/>
      <c r="V1216" s="174"/>
      <c r="W1216" s="174"/>
      <c r="X1216" s="174"/>
      <c r="Y1216" s="174"/>
      <c r="Z1216" s="174"/>
    </row>
    <row r="1217">
      <c r="A1217" s="190" t="str">
        <f>IFERROR(__xludf.DUMMYFUNCTION("""COMPUTED_VALUE"""),"Hidden Power Fire")</f>
        <v>Hidden Power Fire</v>
      </c>
      <c r="B1217" s="190" t="str">
        <f>IFERROR(__xludf.DUMMYFUNCTION("""COMPUTED_VALUE"""),"Fire")</f>
        <v>Fire</v>
      </c>
      <c r="C1217" s="190" t="str">
        <f>IFERROR(__xludf.DUMMYFUNCTION("""COMPUTED_VALUE"""),"Special")</f>
        <v>Special</v>
      </c>
      <c r="D1217" s="190" t="str">
        <f>IFERROR(__xludf.DUMMYFUNCTION("""COMPUTED_VALUE"""),"EOT")</f>
        <v>EOT</v>
      </c>
      <c r="E1217" s="190" t="str">
        <f>IFERROR(__xludf.DUMMYFUNCTION("""COMPUTED_VALUE"""),"Burst 1")</f>
        <v>Burst 1</v>
      </c>
      <c r="F1217" s="190">
        <f>IFERROR(__xludf.DUMMYFUNCTION("""COMPUTED_VALUE"""),5.0)</f>
        <v>5</v>
      </c>
      <c r="G1217" s="190">
        <f>IFERROR(__xludf.DUMMYFUNCTION("""COMPUTED_VALUE"""),7.0)</f>
        <v>7</v>
      </c>
      <c r="H1217" s="191" t="str">
        <f>IFERROR(__xludf.DUMMYFUNCTION("""COMPUTED_VALUE"""),"--")</f>
        <v>--</v>
      </c>
      <c r="I1217" s="191" t="str">
        <f>IFERROR(__xludf.DUMMYFUNCTION("""COMPUTED_VALUE"""),"--")</f>
        <v>--</v>
      </c>
      <c r="J1217" s="190" t="str">
        <f>IFERROR(__xludf.DUMMYFUNCTION("""COMPUTED_VALUE"""),"Tier 1")</f>
        <v>Tier 1</v>
      </c>
      <c r="K1217" s="174" t="b">
        <f>IFERROR(__xludf.DUMMYFUNCTION("""COMPUTED_VALUE"""),TRUE)</f>
        <v>1</v>
      </c>
      <c r="L1217" s="174"/>
      <c r="M1217" s="174"/>
      <c r="N1217" s="174"/>
      <c r="O1217" s="174"/>
      <c r="P1217" s="174"/>
      <c r="Q1217" s="174"/>
      <c r="R1217" s="174"/>
      <c r="S1217" s="174"/>
      <c r="T1217" s="174"/>
      <c r="U1217" s="174"/>
      <c r="V1217" s="174"/>
      <c r="W1217" s="174"/>
      <c r="X1217" s="174"/>
      <c r="Y1217" s="174"/>
      <c r="Z1217" s="174"/>
    </row>
    <row r="1218">
      <c r="A1218" s="190" t="str">
        <f>IFERROR(__xludf.DUMMYFUNCTION("""COMPUTED_VALUE"""),"Hidden Power Flying")</f>
        <v>Hidden Power Flying</v>
      </c>
      <c r="B1218" s="190" t="str">
        <f>IFERROR(__xludf.DUMMYFUNCTION("""COMPUTED_VALUE"""),"Flying")</f>
        <v>Flying</v>
      </c>
      <c r="C1218" s="190" t="str">
        <f>IFERROR(__xludf.DUMMYFUNCTION("""COMPUTED_VALUE"""),"Special")</f>
        <v>Special</v>
      </c>
      <c r="D1218" s="190" t="str">
        <f>IFERROR(__xludf.DUMMYFUNCTION("""COMPUTED_VALUE"""),"EOT")</f>
        <v>EOT</v>
      </c>
      <c r="E1218" s="190" t="str">
        <f>IFERROR(__xludf.DUMMYFUNCTION("""COMPUTED_VALUE"""),"Burst 1")</f>
        <v>Burst 1</v>
      </c>
      <c r="F1218" s="190">
        <f>IFERROR(__xludf.DUMMYFUNCTION("""COMPUTED_VALUE"""),5.0)</f>
        <v>5</v>
      </c>
      <c r="G1218" s="190">
        <f>IFERROR(__xludf.DUMMYFUNCTION("""COMPUTED_VALUE"""),7.0)</f>
        <v>7</v>
      </c>
      <c r="H1218" s="191" t="str">
        <f>IFERROR(__xludf.DUMMYFUNCTION("""COMPUTED_VALUE"""),"--")</f>
        <v>--</v>
      </c>
      <c r="I1218" s="191" t="str">
        <f>IFERROR(__xludf.DUMMYFUNCTION("""COMPUTED_VALUE"""),"--")</f>
        <v>--</v>
      </c>
      <c r="J1218" s="190" t="str">
        <f>IFERROR(__xludf.DUMMYFUNCTION("""COMPUTED_VALUE"""),"Tier 1")</f>
        <v>Tier 1</v>
      </c>
      <c r="K1218" s="174" t="b">
        <f>IFERROR(__xludf.DUMMYFUNCTION("""COMPUTED_VALUE"""),TRUE)</f>
        <v>1</v>
      </c>
      <c r="L1218" s="174"/>
      <c r="M1218" s="174"/>
      <c r="N1218" s="174"/>
      <c r="O1218" s="174"/>
      <c r="P1218" s="174"/>
      <c r="Q1218" s="174"/>
      <c r="R1218" s="174"/>
      <c r="S1218" s="174"/>
      <c r="T1218" s="174"/>
      <c r="U1218" s="174"/>
      <c r="V1218" s="174"/>
      <c r="W1218" s="174"/>
      <c r="X1218" s="174"/>
      <c r="Y1218" s="174"/>
      <c r="Z1218" s="174"/>
    </row>
    <row r="1219">
      <c r="A1219" s="190" t="str">
        <f>IFERROR(__xludf.DUMMYFUNCTION("""COMPUTED_VALUE"""),"Hidden Power Ghost")</f>
        <v>Hidden Power Ghost</v>
      </c>
      <c r="B1219" s="190" t="str">
        <f>IFERROR(__xludf.DUMMYFUNCTION("""COMPUTED_VALUE"""),"Ghost")</f>
        <v>Ghost</v>
      </c>
      <c r="C1219" s="190" t="str">
        <f>IFERROR(__xludf.DUMMYFUNCTION("""COMPUTED_VALUE"""),"Special")</f>
        <v>Special</v>
      </c>
      <c r="D1219" s="190" t="str">
        <f>IFERROR(__xludf.DUMMYFUNCTION("""COMPUTED_VALUE"""),"EOT")</f>
        <v>EOT</v>
      </c>
      <c r="E1219" s="190" t="str">
        <f>IFERROR(__xludf.DUMMYFUNCTION("""COMPUTED_VALUE"""),"Burst 1")</f>
        <v>Burst 1</v>
      </c>
      <c r="F1219" s="190">
        <f>IFERROR(__xludf.DUMMYFUNCTION("""COMPUTED_VALUE"""),5.0)</f>
        <v>5</v>
      </c>
      <c r="G1219" s="190">
        <f>IFERROR(__xludf.DUMMYFUNCTION("""COMPUTED_VALUE"""),7.0)</f>
        <v>7</v>
      </c>
      <c r="H1219" s="191" t="str">
        <f>IFERROR(__xludf.DUMMYFUNCTION("""COMPUTED_VALUE"""),"--")</f>
        <v>--</v>
      </c>
      <c r="I1219" s="191" t="str">
        <f>IFERROR(__xludf.DUMMYFUNCTION("""COMPUTED_VALUE"""),"--")</f>
        <v>--</v>
      </c>
      <c r="J1219" s="190" t="str">
        <f>IFERROR(__xludf.DUMMYFUNCTION("""COMPUTED_VALUE"""),"Tier 1")</f>
        <v>Tier 1</v>
      </c>
      <c r="K1219" s="174" t="b">
        <f>IFERROR(__xludf.DUMMYFUNCTION("""COMPUTED_VALUE"""),TRUE)</f>
        <v>1</v>
      </c>
      <c r="L1219" s="174"/>
      <c r="M1219" s="174"/>
      <c r="N1219" s="174"/>
      <c r="O1219" s="174"/>
      <c r="P1219" s="174"/>
      <c r="Q1219" s="174"/>
      <c r="R1219" s="174"/>
      <c r="S1219" s="174"/>
      <c r="T1219" s="174"/>
      <c r="U1219" s="174"/>
      <c r="V1219" s="174"/>
      <c r="W1219" s="174"/>
      <c r="X1219" s="174"/>
      <c r="Y1219" s="174"/>
      <c r="Z1219" s="174"/>
    </row>
    <row r="1220">
      <c r="A1220" s="190" t="str">
        <f>IFERROR(__xludf.DUMMYFUNCTION("""COMPUTED_VALUE"""),"Hidden Power Grass")</f>
        <v>Hidden Power Grass</v>
      </c>
      <c r="B1220" s="190" t="str">
        <f>IFERROR(__xludf.DUMMYFUNCTION("""COMPUTED_VALUE"""),"Grass")</f>
        <v>Grass</v>
      </c>
      <c r="C1220" s="190" t="str">
        <f>IFERROR(__xludf.DUMMYFUNCTION("""COMPUTED_VALUE"""),"Special")</f>
        <v>Special</v>
      </c>
      <c r="D1220" s="190" t="str">
        <f>IFERROR(__xludf.DUMMYFUNCTION("""COMPUTED_VALUE"""),"EOT")</f>
        <v>EOT</v>
      </c>
      <c r="E1220" s="190" t="str">
        <f>IFERROR(__xludf.DUMMYFUNCTION("""COMPUTED_VALUE"""),"Burst 1")</f>
        <v>Burst 1</v>
      </c>
      <c r="F1220" s="190">
        <f>IFERROR(__xludf.DUMMYFUNCTION("""COMPUTED_VALUE"""),5.0)</f>
        <v>5</v>
      </c>
      <c r="G1220" s="190">
        <f>IFERROR(__xludf.DUMMYFUNCTION("""COMPUTED_VALUE"""),7.0)</f>
        <v>7</v>
      </c>
      <c r="H1220" s="191" t="str">
        <f>IFERROR(__xludf.DUMMYFUNCTION("""COMPUTED_VALUE"""),"--")</f>
        <v>--</v>
      </c>
      <c r="I1220" s="191" t="str">
        <f>IFERROR(__xludf.DUMMYFUNCTION("""COMPUTED_VALUE"""),"--")</f>
        <v>--</v>
      </c>
      <c r="J1220" s="190" t="str">
        <f>IFERROR(__xludf.DUMMYFUNCTION("""COMPUTED_VALUE"""),"Tier 1")</f>
        <v>Tier 1</v>
      </c>
      <c r="K1220" s="174" t="b">
        <f>IFERROR(__xludf.DUMMYFUNCTION("""COMPUTED_VALUE"""),TRUE)</f>
        <v>1</v>
      </c>
      <c r="L1220" s="174"/>
      <c r="M1220" s="174"/>
      <c r="N1220" s="174"/>
      <c r="O1220" s="174"/>
      <c r="P1220" s="174"/>
      <c r="Q1220" s="174"/>
      <c r="R1220" s="174"/>
      <c r="S1220" s="174"/>
      <c r="T1220" s="174"/>
      <c r="U1220" s="174"/>
      <c r="V1220" s="174"/>
      <c r="W1220" s="174"/>
      <c r="X1220" s="174"/>
      <c r="Y1220" s="174"/>
      <c r="Z1220" s="174"/>
    </row>
    <row r="1221">
      <c r="A1221" s="190" t="str">
        <f>IFERROR(__xludf.DUMMYFUNCTION("""COMPUTED_VALUE"""),"Hidden Power Ground")</f>
        <v>Hidden Power Ground</v>
      </c>
      <c r="B1221" s="190" t="str">
        <f>IFERROR(__xludf.DUMMYFUNCTION("""COMPUTED_VALUE"""),"Ground")</f>
        <v>Ground</v>
      </c>
      <c r="C1221" s="190" t="str">
        <f>IFERROR(__xludf.DUMMYFUNCTION("""COMPUTED_VALUE"""),"Special")</f>
        <v>Special</v>
      </c>
      <c r="D1221" s="190" t="str">
        <f>IFERROR(__xludf.DUMMYFUNCTION("""COMPUTED_VALUE"""),"EOT")</f>
        <v>EOT</v>
      </c>
      <c r="E1221" s="190" t="str">
        <f>IFERROR(__xludf.DUMMYFUNCTION("""COMPUTED_VALUE"""),"Burst 1")</f>
        <v>Burst 1</v>
      </c>
      <c r="F1221" s="190">
        <f>IFERROR(__xludf.DUMMYFUNCTION("""COMPUTED_VALUE"""),5.0)</f>
        <v>5</v>
      </c>
      <c r="G1221" s="190">
        <f>IFERROR(__xludf.DUMMYFUNCTION("""COMPUTED_VALUE"""),7.0)</f>
        <v>7</v>
      </c>
      <c r="H1221" s="191" t="str">
        <f>IFERROR(__xludf.DUMMYFUNCTION("""COMPUTED_VALUE"""),"--")</f>
        <v>--</v>
      </c>
      <c r="I1221" s="191" t="str">
        <f>IFERROR(__xludf.DUMMYFUNCTION("""COMPUTED_VALUE"""),"--")</f>
        <v>--</v>
      </c>
      <c r="J1221" s="190" t="str">
        <f>IFERROR(__xludf.DUMMYFUNCTION("""COMPUTED_VALUE"""),"Tier 1")</f>
        <v>Tier 1</v>
      </c>
      <c r="K1221" s="174" t="b">
        <f>IFERROR(__xludf.DUMMYFUNCTION("""COMPUTED_VALUE"""),TRUE)</f>
        <v>1</v>
      </c>
      <c r="L1221" s="174"/>
      <c r="M1221" s="174"/>
      <c r="N1221" s="174"/>
      <c r="O1221" s="174"/>
      <c r="P1221" s="174"/>
      <c r="Q1221" s="174"/>
      <c r="R1221" s="174"/>
      <c r="S1221" s="174"/>
      <c r="T1221" s="174"/>
      <c r="U1221" s="174"/>
      <c r="V1221" s="174"/>
      <c r="W1221" s="174"/>
      <c r="X1221" s="174"/>
      <c r="Y1221" s="174"/>
      <c r="Z1221" s="174"/>
    </row>
    <row r="1222">
      <c r="A1222" s="190" t="str">
        <f>IFERROR(__xludf.DUMMYFUNCTION("""COMPUTED_VALUE"""),"Hidden Power Ice")</f>
        <v>Hidden Power Ice</v>
      </c>
      <c r="B1222" s="190" t="str">
        <f>IFERROR(__xludf.DUMMYFUNCTION("""COMPUTED_VALUE"""),"Ice")</f>
        <v>Ice</v>
      </c>
      <c r="C1222" s="190" t="str">
        <f>IFERROR(__xludf.DUMMYFUNCTION("""COMPUTED_VALUE"""),"Special")</f>
        <v>Special</v>
      </c>
      <c r="D1222" s="190" t="str">
        <f>IFERROR(__xludf.DUMMYFUNCTION("""COMPUTED_VALUE"""),"EOT")</f>
        <v>EOT</v>
      </c>
      <c r="E1222" s="190" t="str">
        <f>IFERROR(__xludf.DUMMYFUNCTION("""COMPUTED_VALUE"""),"Burst 1")</f>
        <v>Burst 1</v>
      </c>
      <c r="F1222" s="190">
        <f>IFERROR(__xludf.DUMMYFUNCTION("""COMPUTED_VALUE"""),5.0)</f>
        <v>5</v>
      </c>
      <c r="G1222" s="190">
        <f>IFERROR(__xludf.DUMMYFUNCTION("""COMPUTED_VALUE"""),7.0)</f>
        <v>7</v>
      </c>
      <c r="H1222" s="191" t="str">
        <f>IFERROR(__xludf.DUMMYFUNCTION("""COMPUTED_VALUE"""),"--")</f>
        <v>--</v>
      </c>
      <c r="I1222" s="191" t="str">
        <f>IFERROR(__xludf.DUMMYFUNCTION("""COMPUTED_VALUE"""),"--")</f>
        <v>--</v>
      </c>
      <c r="J1222" s="190" t="str">
        <f>IFERROR(__xludf.DUMMYFUNCTION("""COMPUTED_VALUE"""),"Tier 1")</f>
        <v>Tier 1</v>
      </c>
      <c r="K1222" s="174" t="b">
        <f>IFERROR(__xludf.DUMMYFUNCTION("""COMPUTED_VALUE"""),TRUE)</f>
        <v>1</v>
      </c>
      <c r="L1222" s="174"/>
      <c r="M1222" s="174"/>
      <c r="N1222" s="174"/>
      <c r="O1222" s="174"/>
      <c r="P1222" s="174"/>
      <c r="Q1222" s="174"/>
      <c r="R1222" s="174"/>
      <c r="S1222" s="174"/>
      <c r="T1222" s="174"/>
      <c r="U1222" s="174"/>
      <c r="V1222" s="174"/>
      <c r="W1222" s="174"/>
      <c r="X1222" s="174"/>
      <c r="Y1222" s="174"/>
      <c r="Z1222" s="174"/>
    </row>
    <row r="1223">
      <c r="A1223" s="190" t="str">
        <f>IFERROR(__xludf.DUMMYFUNCTION("""COMPUTED_VALUE"""),"Hidden Power Normal")</f>
        <v>Hidden Power Normal</v>
      </c>
      <c r="B1223" s="190" t="str">
        <f>IFERROR(__xludf.DUMMYFUNCTION("""COMPUTED_VALUE"""),"Normal")</f>
        <v>Normal</v>
      </c>
      <c r="C1223" s="190" t="str">
        <f>IFERROR(__xludf.DUMMYFUNCTION("""COMPUTED_VALUE"""),"Special")</f>
        <v>Special</v>
      </c>
      <c r="D1223" s="190" t="str">
        <f>IFERROR(__xludf.DUMMYFUNCTION("""COMPUTED_VALUE"""),"EOT")</f>
        <v>EOT</v>
      </c>
      <c r="E1223" s="190" t="str">
        <f>IFERROR(__xludf.DUMMYFUNCTION("""COMPUTED_VALUE"""),"Burst 1")</f>
        <v>Burst 1</v>
      </c>
      <c r="F1223" s="190">
        <f>IFERROR(__xludf.DUMMYFUNCTION("""COMPUTED_VALUE"""),5.0)</f>
        <v>5</v>
      </c>
      <c r="G1223" s="190">
        <f>IFERROR(__xludf.DUMMYFUNCTION("""COMPUTED_VALUE"""),7.0)</f>
        <v>7</v>
      </c>
      <c r="H1223" s="191" t="str">
        <f>IFERROR(__xludf.DUMMYFUNCTION("""COMPUTED_VALUE"""),"--")</f>
        <v>--</v>
      </c>
      <c r="I1223" s="191" t="str">
        <f>IFERROR(__xludf.DUMMYFUNCTION("""COMPUTED_VALUE"""),"--")</f>
        <v>--</v>
      </c>
      <c r="J1223" s="190" t="str">
        <f>IFERROR(__xludf.DUMMYFUNCTION("""COMPUTED_VALUE"""),"Tier 1")</f>
        <v>Tier 1</v>
      </c>
      <c r="K1223" s="174" t="b">
        <f>IFERROR(__xludf.DUMMYFUNCTION("""COMPUTED_VALUE"""),TRUE)</f>
        <v>1</v>
      </c>
      <c r="L1223" s="174"/>
      <c r="M1223" s="174"/>
      <c r="N1223" s="174"/>
      <c r="O1223" s="174"/>
      <c r="P1223" s="174"/>
      <c r="Q1223" s="174"/>
      <c r="R1223" s="174"/>
      <c r="S1223" s="174"/>
      <c r="T1223" s="174"/>
      <c r="U1223" s="174"/>
      <c r="V1223" s="174"/>
      <c r="W1223" s="174"/>
      <c r="X1223" s="174"/>
      <c r="Y1223" s="174"/>
      <c r="Z1223" s="174"/>
    </row>
    <row r="1224">
      <c r="A1224" s="190" t="str">
        <f>IFERROR(__xludf.DUMMYFUNCTION("""COMPUTED_VALUE"""),"Hidden Power Poison")</f>
        <v>Hidden Power Poison</v>
      </c>
      <c r="B1224" s="190" t="str">
        <f>IFERROR(__xludf.DUMMYFUNCTION("""COMPUTED_VALUE"""),"Poison")</f>
        <v>Poison</v>
      </c>
      <c r="C1224" s="190" t="str">
        <f>IFERROR(__xludf.DUMMYFUNCTION("""COMPUTED_VALUE"""),"Special")</f>
        <v>Special</v>
      </c>
      <c r="D1224" s="190" t="str">
        <f>IFERROR(__xludf.DUMMYFUNCTION("""COMPUTED_VALUE"""),"EOT")</f>
        <v>EOT</v>
      </c>
      <c r="E1224" s="190" t="str">
        <f>IFERROR(__xludf.DUMMYFUNCTION("""COMPUTED_VALUE"""),"Burst 1")</f>
        <v>Burst 1</v>
      </c>
      <c r="F1224" s="190">
        <f>IFERROR(__xludf.DUMMYFUNCTION("""COMPUTED_VALUE"""),5.0)</f>
        <v>5</v>
      </c>
      <c r="G1224" s="190">
        <f>IFERROR(__xludf.DUMMYFUNCTION("""COMPUTED_VALUE"""),7.0)</f>
        <v>7</v>
      </c>
      <c r="H1224" s="191" t="str">
        <f>IFERROR(__xludf.DUMMYFUNCTION("""COMPUTED_VALUE"""),"--")</f>
        <v>--</v>
      </c>
      <c r="I1224" s="191" t="str">
        <f>IFERROR(__xludf.DUMMYFUNCTION("""COMPUTED_VALUE"""),"--")</f>
        <v>--</v>
      </c>
      <c r="J1224" s="190" t="str">
        <f>IFERROR(__xludf.DUMMYFUNCTION("""COMPUTED_VALUE"""),"Tier 1")</f>
        <v>Tier 1</v>
      </c>
      <c r="K1224" s="174" t="b">
        <f>IFERROR(__xludf.DUMMYFUNCTION("""COMPUTED_VALUE"""),TRUE)</f>
        <v>1</v>
      </c>
      <c r="L1224" s="174"/>
      <c r="M1224" s="174"/>
      <c r="N1224" s="174"/>
      <c r="O1224" s="174"/>
      <c r="P1224" s="174"/>
      <c r="Q1224" s="174"/>
      <c r="R1224" s="174"/>
      <c r="S1224" s="174"/>
      <c r="T1224" s="174"/>
      <c r="U1224" s="174"/>
      <c r="V1224" s="174"/>
      <c r="W1224" s="174"/>
      <c r="X1224" s="174"/>
      <c r="Y1224" s="174"/>
      <c r="Z1224" s="174"/>
    </row>
    <row r="1225">
      <c r="A1225" s="190" t="str">
        <f>IFERROR(__xludf.DUMMYFUNCTION("""COMPUTED_VALUE"""),"Hidden Power Psychic")</f>
        <v>Hidden Power Psychic</v>
      </c>
      <c r="B1225" s="190" t="str">
        <f>IFERROR(__xludf.DUMMYFUNCTION("""COMPUTED_VALUE"""),"Psychic")</f>
        <v>Psychic</v>
      </c>
      <c r="C1225" s="190" t="str">
        <f>IFERROR(__xludf.DUMMYFUNCTION("""COMPUTED_VALUE"""),"Special")</f>
        <v>Special</v>
      </c>
      <c r="D1225" s="190" t="str">
        <f>IFERROR(__xludf.DUMMYFUNCTION("""COMPUTED_VALUE"""),"EOT")</f>
        <v>EOT</v>
      </c>
      <c r="E1225" s="190" t="str">
        <f>IFERROR(__xludf.DUMMYFUNCTION("""COMPUTED_VALUE"""),"Burst 1")</f>
        <v>Burst 1</v>
      </c>
      <c r="F1225" s="190">
        <f>IFERROR(__xludf.DUMMYFUNCTION("""COMPUTED_VALUE"""),5.0)</f>
        <v>5</v>
      </c>
      <c r="G1225" s="190">
        <f>IFERROR(__xludf.DUMMYFUNCTION("""COMPUTED_VALUE"""),7.0)</f>
        <v>7</v>
      </c>
      <c r="H1225" s="191" t="str">
        <f>IFERROR(__xludf.DUMMYFUNCTION("""COMPUTED_VALUE"""),"--")</f>
        <v>--</v>
      </c>
      <c r="I1225" s="191" t="str">
        <f>IFERROR(__xludf.DUMMYFUNCTION("""COMPUTED_VALUE"""),"--")</f>
        <v>--</v>
      </c>
      <c r="J1225" s="190" t="str">
        <f>IFERROR(__xludf.DUMMYFUNCTION("""COMPUTED_VALUE"""),"Tier 1")</f>
        <v>Tier 1</v>
      </c>
      <c r="K1225" s="174" t="b">
        <f>IFERROR(__xludf.DUMMYFUNCTION("""COMPUTED_VALUE"""),TRUE)</f>
        <v>1</v>
      </c>
      <c r="L1225" s="174"/>
      <c r="M1225" s="174"/>
      <c r="N1225" s="174"/>
      <c r="O1225" s="174"/>
      <c r="P1225" s="174"/>
      <c r="Q1225" s="174"/>
      <c r="R1225" s="174"/>
      <c r="S1225" s="174"/>
      <c r="T1225" s="174"/>
      <c r="U1225" s="174"/>
      <c r="V1225" s="174"/>
      <c r="W1225" s="174"/>
      <c r="X1225" s="174"/>
      <c r="Y1225" s="174"/>
      <c r="Z1225" s="174"/>
    </row>
    <row r="1226">
      <c r="A1226" s="190" t="str">
        <f>IFERROR(__xludf.DUMMYFUNCTION("""COMPUTED_VALUE"""),"Hidden Power Rock")</f>
        <v>Hidden Power Rock</v>
      </c>
      <c r="B1226" s="190" t="str">
        <f>IFERROR(__xludf.DUMMYFUNCTION("""COMPUTED_VALUE"""),"Rock")</f>
        <v>Rock</v>
      </c>
      <c r="C1226" s="190" t="str">
        <f>IFERROR(__xludf.DUMMYFUNCTION("""COMPUTED_VALUE"""),"Special")</f>
        <v>Special</v>
      </c>
      <c r="D1226" s="190" t="str">
        <f>IFERROR(__xludf.DUMMYFUNCTION("""COMPUTED_VALUE"""),"EOT")</f>
        <v>EOT</v>
      </c>
      <c r="E1226" s="190" t="str">
        <f>IFERROR(__xludf.DUMMYFUNCTION("""COMPUTED_VALUE"""),"Burst 1")</f>
        <v>Burst 1</v>
      </c>
      <c r="F1226" s="190">
        <f>IFERROR(__xludf.DUMMYFUNCTION("""COMPUTED_VALUE"""),5.0)</f>
        <v>5</v>
      </c>
      <c r="G1226" s="190">
        <f>IFERROR(__xludf.DUMMYFUNCTION("""COMPUTED_VALUE"""),7.0)</f>
        <v>7</v>
      </c>
      <c r="H1226" s="191" t="str">
        <f>IFERROR(__xludf.DUMMYFUNCTION("""COMPUTED_VALUE"""),"--")</f>
        <v>--</v>
      </c>
      <c r="I1226" s="191" t="str">
        <f>IFERROR(__xludf.DUMMYFUNCTION("""COMPUTED_VALUE"""),"--")</f>
        <v>--</v>
      </c>
      <c r="J1226" s="190" t="str">
        <f>IFERROR(__xludf.DUMMYFUNCTION("""COMPUTED_VALUE"""),"Tier 1")</f>
        <v>Tier 1</v>
      </c>
      <c r="K1226" s="174" t="b">
        <f>IFERROR(__xludf.DUMMYFUNCTION("""COMPUTED_VALUE"""),TRUE)</f>
        <v>1</v>
      </c>
      <c r="L1226" s="174"/>
      <c r="M1226" s="174"/>
      <c r="N1226" s="174"/>
      <c r="O1226" s="174"/>
      <c r="P1226" s="174"/>
      <c r="Q1226" s="174"/>
      <c r="R1226" s="174"/>
      <c r="S1226" s="174"/>
      <c r="T1226" s="174"/>
      <c r="U1226" s="174"/>
      <c r="V1226" s="174"/>
      <c r="W1226" s="174"/>
      <c r="X1226" s="174"/>
      <c r="Y1226" s="174"/>
      <c r="Z1226" s="174"/>
    </row>
    <row r="1227">
      <c r="A1227" s="190" t="str">
        <f>IFERROR(__xludf.DUMMYFUNCTION("""COMPUTED_VALUE"""),"Hidden Power Steel")</f>
        <v>Hidden Power Steel</v>
      </c>
      <c r="B1227" s="190" t="str">
        <f>IFERROR(__xludf.DUMMYFUNCTION("""COMPUTED_VALUE"""),"Steel")</f>
        <v>Steel</v>
      </c>
      <c r="C1227" s="190" t="str">
        <f>IFERROR(__xludf.DUMMYFUNCTION("""COMPUTED_VALUE"""),"Special")</f>
        <v>Special</v>
      </c>
      <c r="D1227" s="190" t="str">
        <f>IFERROR(__xludf.DUMMYFUNCTION("""COMPUTED_VALUE"""),"EOT")</f>
        <v>EOT</v>
      </c>
      <c r="E1227" s="190" t="str">
        <f>IFERROR(__xludf.DUMMYFUNCTION("""COMPUTED_VALUE"""),"Burst 1")</f>
        <v>Burst 1</v>
      </c>
      <c r="F1227" s="190">
        <f>IFERROR(__xludf.DUMMYFUNCTION("""COMPUTED_VALUE"""),5.0)</f>
        <v>5</v>
      </c>
      <c r="G1227" s="190">
        <f>IFERROR(__xludf.DUMMYFUNCTION("""COMPUTED_VALUE"""),7.0)</f>
        <v>7</v>
      </c>
      <c r="H1227" s="191" t="str">
        <f>IFERROR(__xludf.DUMMYFUNCTION("""COMPUTED_VALUE"""),"--")</f>
        <v>--</v>
      </c>
      <c r="I1227" s="191" t="str">
        <f>IFERROR(__xludf.DUMMYFUNCTION("""COMPUTED_VALUE"""),"--")</f>
        <v>--</v>
      </c>
      <c r="J1227" s="190" t="str">
        <f>IFERROR(__xludf.DUMMYFUNCTION("""COMPUTED_VALUE"""),"Tier 1")</f>
        <v>Tier 1</v>
      </c>
      <c r="K1227" s="174" t="b">
        <f>IFERROR(__xludf.DUMMYFUNCTION("""COMPUTED_VALUE"""),TRUE)</f>
        <v>1</v>
      </c>
      <c r="L1227" s="174"/>
      <c r="M1227" s="174"/>
      <c r="N1227" s="174"/>
      <c r="O1227" s="174"/>
      <c r="P1227" s="174"/>
      <c r="Q1227" s="174"/>
      <c r="R1227" s="174"/>
      <c r="S1227" s="174"/>
      <c r="T1227" s="174"/>
      <c r="U1227" s="174"/>
      <c r="V1227" s="174"/>
      <c r="W1227" s="174"/>
      <c r="X1227" s="174"/>
      <c r="Y1227" s="174"/>
      <c r="Z1227" s="174"/>
    </row>
    <row r="1228">
      <c r="A1228" s="190" t="str">
        <f>IFERROR(__xludf.DUMMYFUNCTION("""COMPUTED_VALUE"""),"Hidden Power Water")</f>
        <v>Hidden Power Water</v>
      </c>
      <c r="B1228" s="190" t="str">
        <f>IFERROR(__xludf.DUMMYFUNCTION("""COMPUTED_VALUE"""),"Water")</f>
        <v>Water</v>
      </c>
      <c r="C1228" s="190" t="str">
        <f>IFERROR(__xludf.DUMMYFUNCTION("""COMPUTED_VALUE"""),"Special")</f>
        <v>Special</v>
      </c>
      <c r="D1228" s="190" t="str">
        <f>IFERROR(__xludf.DUMMYFUNCTION("""COMPUTED_VALUE"""),"EOT")</f>
        <v>EOT</v>
      </c>
      <c r="E1228" s="190" t="str">
        <f>IFERROR(__xludf.DUMMYFUNCTION("""COMPUTED_VALUE"""),"Burst 1")</f>
        <v>Burst 1</v>
      </c>
      <c r="F1228" s="190">
        <f>IFERROR(__xludf.DUMMYFUNCTION("""COMPUTED_VALUE"""),5.0)</f>
        <v>5</v>
      </c>
      <c r="G1228" s="190">
        <f>IFERROR(__xludf.DUMMYFUNCTION("""COMPUTED_VALUE"""),7.0)</f>
        <v>7</v>
      </c>
      <c r="H1228" s="191" t="str">
        <f>IFERROR(__xludf.DUMMYFUNCTION("""COMPUTED_VALUE"""),"--")</f>
        <v>--</v>
      </c>
      <c r="I1228" s="191" t="str">
        <f>IFERROR(__xludf.DUMMYFUNCTION("""COMPUTED_VALUE"""),"--")</f>
        <v>--</v>
      </c>
      <c r="J1228" s="190" t="str">
        <f>IFERROR(__xludf.DUMMYFUNCTION("""COMPUTED_VALUE"""),"Tier 1")</f>
        <v>Tier 1</v>
      </c>
      <c r="K1228" s="174" t="b">
        <f>IFERROR(__xludf.DUMMYFUNCTION("""COMPUTED_VALUE"""),TRUE)</f>
        <v>1</v>
      </c>
      <c r="L1228" s="174"/>
      <c r="M1228" s="174"/>
      <c r="N1228" s="174"/>
      <c r="O1228" s="174"/>
      <c r="P1228" s="174"/>
      <c r="Q1228" s="174"/>
      <c r="R1228" s="174"/>
      <c r="S1228" s="174"/>
      <c r="T1228" s="174"/>
      <c r="U1228" s="174"/>
      <c r="V1228" s="174"/>
      <c r="W1228" s="174"/>
      <c r="X1228" s="174"/>
      <c r="Y1228" s="174"/>
      <c r="Z1228" s="174"/>
    </row>
    <row r="1229">
      <c r="A1229" s="190" t="str">
        <f>IFERROR(__xludf.DUMMYFUNCTION("""COMPUTED_VALUE"""),"Arcane Fury")</f>
        <v>Arcane Fury</v>
      </c>
      <c r="B1229" s="190" t="str">
        <f>IFERROR(__xludf.DUMMYFUNCTION("""COMPUTED_VALUE"""),"Normal")</f>
        <v>Normal</v>
      </c>
      <c r="C1229" s="190" t="str">
        <f>IFERROR(__xludf.DUMMYFUNCTION("""COMPUTED_VALUE"""),"Special")</f>
        <v>Special</v>
      </c>
      <c r="D1229" s="190" t="str">
        <f>IFERROR(__xludf.DUMMYFUNCTION("""COMPUTED_VALUE"""),"EOT")</f>
        <v>EOT</v>
      </c>
      <c r="E1229" s="190" t="str">
        <f>IFERROR(__xludf.DUMMYFUNCTION("""COMPUTED_VALUE"""),"Close Blast 2, Reckless")</f>
        <v>Close Blast 2, Reckless</v>
      </c>
      <c r="F1229" s="190">
        <f>IFERROR(__xludf.DUMMYFUNCTION("""COMPUTED_VALUE"""),5.0)</f>
        <v>5</v>
      </c>
      <c r="G1229" s="190">
        <f>IFERROR(__xludf.DUMMYFUNCTION("""COMPUTED_VALUE"""),7.0)</f>
        <v>7</v>
      </c>
      <c r="H1229" s="191" t="str">
        <f>IFERROR(__xludf.DUMMYFUNCTION("""COMPUTED_VALUE"""),"The user loses a Tick of Hit Points after Damage Resolution for each Target hit by this Attack. Smite.
[Novice] [Arcane]")</f>
        <v>The user loses a Tick of Hit Points after Damage Resolution for each Target hit by this Attack. Smite.
[Novice] [Arcane]</v>
      </c>
      <c r="I1229" s="191" t="str">
        <f>IFERROR(__xludf.DUMMYFUNCTION("""COMPUTED_VALUE"""),"--")</f>
        <v>--</v>
      </c>
      <c r="J1229" s="190" t="str">
        <f>IFERROR(__xludf.DUMMYFUNCTION("""COMPUTED_VALUE"""),"Basic Weapon")</f>
        <v>Basic Weapon</v>
      </c>
      <c r="K1229" s="174" t="b">
        <f>IFERROR(__xludf.DUMMYFUNCTION("""COMPUTED_VALUE"""),FALSE)</f>
        <v>0</v>
      </c>
      <c r="L1229" s="174"/>
      <c r="M1229" s="174"/>
      <c r="N1229" s="174"/>
      <c r="O1229" s="174"/>
      <c r="P1229" s="174"/>
      <c r="Q1229" s="174"/>
      <c r="R1229" s="174"/>
      <c r="S1229" s="174"/>
      <c r="T1229" s="174"/>
      <c r="U1229" s="174"/>
      <c r="V1229" s="174"/>
      <c r="W1229" s="174"/>
      <c r="X1229" s="174"/>
      <c r="Y1229" s="174"/>
      <c r="Z1229" s="174"/>
    </row>
    <row r="1230">
      <c r="A1230" s="190" t="str">
        <f>IFERROR(__xludf.DUMMYFUNCTION("""COMPUTED_VALUE"""),"Bane")</f>
        <v>Bane</v>
      </c>
      <c r="B1230" s="190" t="str">
        <f>IFERROR(__xludf.DUMMYFUNCTION("""COMPUTED_VALUE"""),"Normal")</f>
        <v>Normal</v>
      </c>
      <c r="C1230" s="190" t="str">
        <f>IFERROR(__xludf.DUMMYFUNCTION("""COMPUTED_VALUE"""),"Special")</f>
        <v>Special</v>
      </c>
      <c r="D1230" s="190" t="str">
        <f>IFERROR(__xludf.DUMMYFUNCTION("""COMPUTED_VALUE"""),"EOT")</f>
        <v>EOT</v>
      </c>
      <c r="E1230" s="190" t="str">
        <f>IFERROR(__xludf.DUMMYFUNCTION("""COMPUTED_VALUE"""),"WR, 1 Target")</f>
        <v>WR, 1 Target</v>
      </c>
      <c r="F1230" s="190">
        <f>IFERROR(__xludf.DUMMYFUNCTION("""COMPUTED_VALUE"""),2.0)</f>
        <v>2</v>
      </c>
      <c r="G1230" s="190">
        <f>IFERROR(__xludf.DUMMYFUNCTION("""COMPUTED_VALUE"""),6.0)</f>
        <v>6</v>
      </c>
      <c r="H1230" s="191" t="str">
        <f>IFERROR(__xludf.DUMMYFUNCTION("""COMPUTED_VALUE"""),"Targets hit by Bane have a -2 Modifier to their next Save Check
[Novice] [Arcane]")</f>
        <v>Targets hit by Bane have a -2 Modifier to their next Save Check
[Novice] [Arcane]</v>
      </c>
      <c r="I1230" s="191" t="str">
        <f>IFERROR(__xludf.DUMMYFUNCTION("""COMPUTED_VALUE"""),"--")</f>
        <v>--</v>
      </c>
      <c r="J1230" s="190" t="str">
        <f>IFERROR(__xludf.DUMMYFUNCTION("""COMPUTED_VALUE"""),"Basic Weapon")</f>
        <v>Basic Weapon</v>
      </c>
      <c r="K1230" s="174" t="b">
        <f>IFERROR(__xludf.DUMMYFUNCTION("""COMPUTED_VALUE"""),FALSE)</f>
        <v>0</v>
      </c>
      <c r="L1230" s="174"/>
      <c r="M1230" s="174"/>
      <c r="N1230" s="174"/>
      <c r="O1230" s="174"/>
      <c r="P1230" s="174"/>
      <c r="Q1230" s="174"/>
      <c r="R1230" s="174"/>
      <c r="S1230" s="174"/>
      <c r="T1230" s="174"/>
      <c r="U1230" s="174"/>
      <c r="V1230" s="174"/>
      <c r="W1230" s="174"/>
      <c r="X1230" s="174"/>
      <c r="Y1230" s="174"/>
      <c r="Z1230" s="174"/>
    </row>
    <row r="1231">
      <c r="A1231" s="190" t="str">
        <f>IFERROR(__xludf.DUMMYFUNCTION("""COMPUTED_VALUE"""),"Beatdown")</f>
        <v>Beatdown</v>
      </c>
      <c r="B1231" s="190" t="str">
        <f>IFERROR(__xludf.DUMMYFUNCTION("""COMPUTED_VALUE"""),"Normal")</f>
        <v>Normal</v>
      </c>
      <c r="C1231" s="190" t="str">
        <f>IFERROR(__xludf.DUMMYFUNCTION("""COMPUTED_VALUE"""),"WT")</f>
        <v>WT</v>
      </c>
      <c r="D1231" s="190" t="str">
        <f>IFERROR(__xludf.DUMMYFUNCTION("""COMPUTED_VALUE"""),"At-Will")</f>
        <v>At-Will</v>
      </c>
      <c r="E1231" s="190" t="str">
        <f>IFERROR(__xludf.DUMMYFUNCTION("""COMPUTED_VALUE"""),"WR, 1 Target")</f>
        <v>WR, 1 Target</v>
      </c>
      <c r="F1231" s="190">
        <f>IFERROR(__xludf.DUMMYFUNCTION("""COMPUTED_VALUE"""),2.0)</f>
        <v>2</v>
      </c>
      <c r="G1231" s="190">
        <f>IFERROR(__xludf.DUMMYFUNCTION("""COMPUTED_VALUE"""),6.0)</f>
        <v>6</v>
      </c>
      <c r="H1231" s="191" t="str">
        <f>IFERROR(__xludf.DUMMYFUNCTION("""COMPUTED_VALUE"""),"Smite.
[Novice] [Melee]")</f>
        <v>Smite.
[Novice] [Melee]</v>
      </c>
      <c r="I1231" s="191" t="str">
        <f>IFERROR(__xludf.DUMMYFUNCTION("""COMPUTED_VALUE"""),"--")</f>
        <v>--</v>
      </c>
      <c r="J1231" s="190" t="str">
        <f>IFERROR(__xludf.DUMMYFUNCTION("""COMPUTED_VALUE"""),"Basic Weapon")</f>
        <v>Basic Weapon</v>
      </c>
      <c r="K1231" s="174" t="b">
        <f>IFERROR(__xludf.DUMMYFUNCTION("""COMPUTED_VALUE"""),FALSE)</f>
        <v>0</v>
      </c>
      <c r="L1231" s="174"/>
      <c r="M1231" s="174"/>
      <c r="N1231" s="174"/>
      <c r="O1231" s="174"/>
      <c r="P1231" s="174"/>
      <c r="Q1231" s="174"/>
      <c r="R1231" s="174"/>
      <c r="S1231" s="174"/>
      <c r="T1231" s="174"/>
      <c r="U1231" s="174"/>
      <c r="V1231" s="174"/>
      <c r="W1231" s="174"/>
      <c r="X1231" s="174"/>
      <c r="Y1231" s="174"/>
      <c r="Z1231" s="174"/>
    </row>
    <row r="1232">
      <c r="A1232" s="190" t="str">
        <f>IFERROR(__xludf.DUMMYFUNCTION("""COMPUTED_VALUE"""),"Braced Strike")</f>
        <v>Braced Strike</v>
      </c>
      <c r="B1232" s="190" t="str">
        <f>IFERROR(__xludf.DUMMYFUNCTION("""COMPUTED_VALUE"""),"Normal")</f>
        <v>Normal</v>
      </c>
      <c r="C1232" s="190" t="str">
        <f>IFERROR(__xludf.DUMMYFUNCTION("""COMPUTED_VALUE"""),"Status")</f>
        <v>Status</v>
      </c>
      <c r="D1232" s="190" t="str">
        <f>IFERROR(__xludf.DUMMYFUNCTION("""COMPUTED_VALUE"""),"EOT")</f>
        <v>EOT</v>
      </c>
      <c r="E1232" s="190" t="str">
        <f>IFERROR(__xludf.DUMMYFUNCTION("""COMPUTED_VALUE"""),"Self, Movement Action")</f>
        <v>Self, Movement Action</v>
      </c>
      <c r="F1232" s="190" t="str">
        <f>IFERROR(__xludf.DUMMYFUNCTION("""COMPUTED_VALUE"""),"--")</f>
        <v>--</v>
      </c>
      <c r="G1232" s="190" t="str">
        <f>IFERROR(__xludf.DUMMYFUNCTION("""COMPUTED_VALUE"""),"--")</f>
        <v>--</v>
      </c>
      <c r="H1232" s="191" t="str">
        <f>IFERROR(__xludf.DUMMYFUNCTION("""COMPUTED_VALUE"""),"Your next Melee Attack this Turn gains the Smite Keyword and has its Damage Base increased by +2.
[Novice] [Melee]")</f>
        <v>Your next Melee Attack this Turn gains the Smite Keyword and has its Damage Base increased by +2.
[Novice] [Melee]</v>
      </c>
      <c r="I1232" s="191" t="str">
        <f>IFERROR(__xludf.DUMMYFUNCTION("""COMPUTED_VALUE"""),"--")</f>
        <v>--</v>
      </c>
      <c r="J1232" s="190" t="str">
        <f>IFERROR(__xludf.DUMMYFUNCTION("""COMPUTED_VALUE"""),"Basic Weapon")</f>
        <v>Basic Weapon</v>
      </c>
      <c r="K1232" s="174" t="b">
        <f>IFERROR(__xludf.DUMMYFUNCTION("""COMPUTED_VALUE"""),FALSE)</f>
        <v>0</v>
      </c>
      <c r="L1232" s="174"/>
      <c r="M1232" s="174"/>
      <c r="N1232" s="174"/>
      <c r="O1232" s="174"/>
      <c r="P1232" s="174"/>
      <c r="Q1232" s="174"/>
      <c r="R1232" s="174"/>
      <c r="S1232" s="174"/>
      <c r="T1232" s="174"/>
      <c r="U1232" s="174"/>
      <c r="V1232" s="174"/>
      <c r="W1232" s="174"/>
      <c r="X1232" s="174"/>
      <c r="Y1232" s="174"/>
      <c r="Z1232" s="174"/>
    </row>
    <row r="1233">
      <c r="A1233" s="190" t="str">
        <f>IFERROR(__xludf.DUMMYFUNCTION("""COMPUTED_VALUE"""),"Bullseye")</f>
        <v>Bullseye</v>
      </c>
      <c r="B1233" s="190" t="str">
        <f>IFERROR(__xludf.DUMMYFUNCTION("""COMPUTED_VALUE"""),"Normal")</f>
        <v>Normal</v>
      </c>
      <c r="C1233" s="190" t="str">
        <f>IFERROR(__xludf.DUMMYFUNCTION("""COMPUTED_VALUE"""),"WT")</f>
        <v>WT</v>
      </c>
      <c r="D1233" s="190" t="str">
        <f>IFERROR(__xludf.DUMMYFUNCTION("""COMPUTED_VALUE"""),"EOT")</f>
        <v>EOT</v>
      </c>
      <c r="E1233" s="190" t="str">
        <f>IFERROR(__xludf.DUMMYFUNCTION("""COMPUTED_VALUE"""),"WR, 1 Target")</f>
        <v>WR, 1 Target</v>
      </c>
      <c r="F1233" s="190">
        <f>IFERROR(__xludf.DUMMYFUNCTION("""COMPUTED_VALUE"""),2.0)</f>
        <v>2</v>
      </c>
      <c r="G1233" s="190">
        <f>IFERROR(__xludf.DUMMYFUNCTION("""COMPUTED_VALUE"""),6.0)</f>
        <v>6</v>
      </c>
      <c r="H1233" s="191" t="str">
        <f>IFERROR(__xludf.DUMMYFUNCTION("""COMPUTED_VALUE"""),"Bullseye is a Critical Hit on a roll of 17+.
[Novice] [Ranged]")</f>
        <v>Bullseye is a Critical Hit on a roll of 17+.
[Novice] [Ranged]</v>
      </c>
      <c r="I1233" s="191" t="str">
        <f>IFERROR(__xludf.DUMMYFUNCTION("""COMPUTED_VALUE"""),"--")</f>
        <v>--</v>
      </c>
      <c r="J1233" s="190" t="str">
        <f>IFERROR(__xludf.DUMMYFUNCTION("""COMPUTED_VALUE"""),"Basic Weapon")</f>
        <v>Basic Weapon</v>
      </c>
      <c r="K1233" s="174" t="b">
        <f>IFERROR(__xludf.DUMMYFUNCTION("""COMPUTED_VALUE"""),FALSE)</f>
        <v>0</v>
      </c>
      <c r="L1233" s="174"/>
      <c r="M1233" s="174"/>
      <c r="N1233" s="174"/>
      <c r="O1233" s="174"/>
      <c r="P1233" s="174"/>
      <c r="Q1233" s="174"/>
      <c r="R1233" s="174"/>
      <c r="S1233" s="174"/>
      <c r="T1233" s="174"/>
      <c r="U1233" s="174"/>
      <c r="V1233" s="174"/>
      <c r="W1233" s="174"/>
      <c r="X1233" s="174"/>
      <c r="Y1233" s="174"/>
      <c r="Z1233" s="174"/>
    </row>
    <row r="1234">
      <c r="A1234" s="190" t="str">
        <f>IFERROR(__xludf.DUMMYFUNCTION("""COMPUTED_VALUE"""),"Cheap Shot")</f>
        <v>Cheap Shot</v>
      </c>
      <c r="B1234" s="190" t="str">
        <f>IFERROR(__xludf.DUMMYFUNCTION("""COMPUTED_VALUE"""),"Normal")</f>
        <v>Normal</v>
      </c>
      <c r="C1234" s="190" t="str">
        <f>IFERROR(__xludf.DUMMYFUNCTION("""COMPUTED_VALUE"""),"WT")</f>
        <v>WT</v>
      </c>
      <c r="D1234" s="190" t="str">
        <f>IFERROR(__xludf.DUMMYFUNCTION("""COMPUTED_VALUE"""),"EOT")</f>
        <v>EOT</v>
      </c>
      <c r="E1234" s="190" t="str">
        <f>IFERROR(__xludf.DUMMYFUNCTION("""COMPUTED_VALUE"""),"WR, 1 Target")</f>
        <v>WR, 1 Target</v>
      </c>
      <c r="F1234" s="190" t="str">
        <f>IFERROR(__xludf.DUMMYFUNCTION("""COMPUTED_VALUE"""),"--")</f>
        <v>--</v>
      </c>
      <c r="G1234" s="190">
        <f>IFERROR(__xludf.DUMMYFUNCTION("""COMPUTED_VALUE"""),6.0)</f>
        <v>6</v>
      </c>
      <c r="H1234" s="191" t="str">
        <f>IFERROR(__xludf.DUMMYFUNCTION("""COMPUTED_VALUE"""),"Sureshot.
[Novice] [Small]")</f>
        <v>Sureshot.
[Novice] [Small]</v>
      </c>
      <c r="I1234" s="191" t="str">
        <f>IFERROR(__xludf.DUMMYFUNCTION("""COMPUTED_VALUE"""),"--")</f>
        <v>--</v>
      </c>
      <c r="J1234" s="190" t="str">
        <f>IFERROR(__xludf.DUMMYFUNCTION("""COMPUTED_VALUE"""),"Basic Weapon")</f>
        <v>Basic Weapon</v>
      </c>
      <c r="K1234" s="174" t="b">
        <f>IFERROR(__xludf.DUMMYFUNCTION("""COMPUTED_VALUE"""),FALSE)</f>
        <v>0</v>
      </c>
      <c r="L1234" s="174"/>
      <c r="M1234" s="174"/>
      <c r="N1234" s="174"/>
      <c r="O1234" s="174"/>
      <c r="P1234" s="174"/>
      <c r="Q1234" s="174"/>
      <c r="R1234" s="174"/>
      <c r="S1234" s="174"/>
      <c r="T1234" s="174"/>
      <c r="U1234" s="174"/>
      <c r="V1234" s="174"/>
      <c r="W1234" s="174"/>
      <c r="X1234" s="174"/>
      <c r="Y1234" s="174"/>
      <c r="Z1234" s="174"/>
    </row>
    <row r="1235">
      <c r="A1235" s="190" t="str">
        <f>IFERROR(__xludf.DUMMYFUNCTION("""COMPUTED_VALUE"""),"Double Strike")</f>
        <v>Double Strike</v>
      </c>
      <c r="B1235" s="190" t="str">
        <f>IFERROR(__xludf.DUMMYFUNCTION("""COMPUTED_VALUE"""),"Normal")</f>
        <v>Normal</v>
      </c>
      <c r="C1235" s="190" t="str">
        <f>IFERROR(__xludf.DUMMYFUNCTION("""COMPUTED_VALUE"""),"WT")</f>
        <v>WT</v>
      </c>
      <c r="D1235" s="190" t="str">
        <f>IFERROR(__xludf.DUMMYFUNCTION("""COMPUTED_VALUE"""),"EOT")</f>
        <v>EOT</v>
      </c>
      <c r="E1235" s="190" t="str">
        <f>IFERROR(__xludf.DUMMYFUNCTION("""COMPUTED_VALUE"""),"WR, 2 Targets; or WR, 1 Target")</f>
        <v>WR, 2 Targets; or WR, 1 Target</v>
      </c>
      <c r="F1235" s="190">
        <f>IFERROR(__xludf.DUMMYFUNCTION("""COMPUTED_VALUE"""),6.0)</f>
        <v>6</v>
      </c>
      <c r="G1235" s="190">
        <f>IFERROR(__xludf.DUMMYFUNCTION("""COMPUTED_VALUE"""),4.0)</f>
        <v>4</v>
      </c>
      <c r="H1235" s="191" t="str">
        <f>IFERROR(__xludf.DUMMYFUNCTION("""COMPUTED_VALUE"""),"If Double Strike only has 1 Target, it has the Double Strike Keyword.
[Novice]")</f>
        <v>If Double Strike only has 1 Target, it has the Double Strike Keyword.
[Novice]</v>
      </c>
      <c r="I1235" s="191" t="str">
        <f>IFERROR(__xludf.DUMMYFUNCTION("""COMPUTED_VALUE"""),"--")</f>
        <v>--</v>
      </c>
      <c r="J1235" s="190" t="str">
        <f>IFERROR(__xludf.DUMMYFUNCTION("""COMPUTED_VALUE"""),"Basic Weapon")</f>
        <v>Basic Weapon</v>
      </c>
      <c r="K1235" s="174" t="b">
        <f>IFERROR(__xludf.DUMMYFUNCTION("""COMPUTED_VALUE"""),FALSE)</f>
        <v>0</v>
      </c>
      <c r="L1235" s="174"/>
      <c r="M1235" s="174"/>
      <c r="N1235" s="174"/>
      <c r="O1235" s="174"/>
      <c r="P1235" s="174"/>
      <c r="Q1235" s="174"/>
      <c r="R1235" s="174"/>
      <c r="S1235" s="174"/>
      <c r="T1235" s="174"/>
      <c r="U1235" s="174"/>
      <c r="V1235" s="174"/>
      <c r="W1235" s="174"/>
      <c r="X1235" s="174"/>
      <c r="Y1235" s="174"/>
      <c r="Z1235" s="174"/>
    </row>
    <row r="1236">
      <c r="A1236" s="190" t="str">
        <f>IFERROR(__xludf.DUMMYFUNCTION("""COMPUTED_VALUE"""),"Draining Siphon")</f>
        <v>Draining Siphon</v>
      </c>
      <c r="B1236" s="190" t="str">
        <f>IFERROR(__xludf.DUMMYFUNCTION("""COMPUTED_VALUE"""),"Normal")</f>
        <v>Normal</v>
      </c>
      <c r="C1236" s="190" t="str">
        <f>IFERROR(__xludf.DUMMYFUNCTION("""COMPUTED_VALUE"""),"WT")</f>
        <v>WT</v>
      </c>
      <c r="D1236" s="190" t="str">
        <f>IFERROR(__xludf.DUMMYFUNCTION("""COMPUTED_VALUE"""),"EOT")</f>
        <v>EOT</v>
      </c>
      <c r="E1236" s="190" t="str">
        <f>IFERROR(__xludf.DUMMYFUNCTION("""COMPUTED_VALUE"""),"WR, 1 Target")</f>
        <v>WR, 1 Target</v>
      </c>
      <c r="F1236" s="190">
        <f>IFERROR(__xludf.DUMMYFUNCTION("""COMPUTED_VALUE"""),4.0)</f>
        <v>4</v>
      </c>
      <c r="G1236" s="190">
        <f>IFERROR(__xludf.DUMMYFUNCTION("""COMPUTED_VALUE"""),6.0)</f>
        <v>6</v>
      </c>
      <c r="H1236" s="191" t="str">
        <f>IFERROR(__xludf.DUMMYFUNCTION("""COMPUTED_VALUE"""),"Drain.
[Novice] [Lifesteal]")</f>
        <v>Drain.
[Novice] [Lifesteal]</v>
      </c>
      <c r="I1236" s="191" t="str">
        <f>IFERROR(__xludf.DUMMYFUNCTION("""COMPUTED_VALUE"""),"--")</f>
        <v>--</v>
      </c>
      <c r="J1236" s="190" t="str">
        <f>IFERROR(__xludf.DUMMYFUNCTION("""COMPUTED_VALUE"""),"Basic Weapon")</f>
        <v>Basic Weapon</v>
      </c>
      <c r="K1236" s="174" t="b">
        <f>IFERROR(__xludf.DUMMYFUNCTION("""COMPUTED_VALUE"""),FALSE)</f>
        <v>0</v>
      </c>
      <c r="L1236" s="174"/>
      <c r="M1236" s="174"/>
      <c r="N1236" s="174"/>
      <c r="O1236" s="174"/>
      <c r="P1236" s="174"/>
      <c r="Q1236" s="174"/>
      <c r="R1236" s="174"/>
      <c r="S1236" s="174"/>
      <c r="T1236" s="174"/>
      <c r="U1236" s="174"/>
      <c r="V1236" s="174"/>
      <c r="W1236" s="174"/>
      <c r="X1236" s="174"/>
      <c r="Y1236" s="174"/>
      <c r="Z1236" s="174"/>
    </row>
    <row r="1237">
      <c r="A1237" s="190" t="str">
        <f>IFERROR(__xludf.DUMMYFUNCTION("""COMPUTED_VALUE"""),"Energy Blast")</f>
        <v>Energy Blast</v>
      </c>
      <c r="B1237" s="190" t="str">
        <f>IFERROR(__xludf.DUMMYFUNCTION("""COMPUTED_VALUE"""),"Normal")</f>
        <v>Normal</v>
      </c>
      <c r="C1237" s="190" t="str">
        <f>IFERROR(__xludf.DUMMYFUNCTION("""COMPUTED_VALUE"""),"Special")</f>
        <v>Special</v>
      </c>
      <c r="D1237" s="190" t="str">
        <f>IFERROR(__xludf.DUMMYFUNCTION("""COMPUTED_VALUE"""),"EOT")</f>
        <v>EOT</v>
      </c>
      <c r="E1237" s="190" t="str">
        <f>IFERROR(__xludf.DUMMYFUNCTION("""COMPUTED_VALUE"""),"WR, Blast 3")</f>
        <v>WR, Blast 3</v>
      </c>
      <c r="F1237" s="190">
        <f>IFERROR(__xludf.DUMMYFUNCTION("""COMPUTED_VALUE"""),6.0)</f>
        <v>6</v>
      </c>
      <c r="G1237" s="190">
        <f>IFERROR(__xludf.DUMMYFUNCTION("""COMPUTED_VALUE"""),5.0)</f>
        <v>5</v>
      </c>
      <c r="H1237" s="191" t="str">
        <f>IFERROR(__xludf.DUMMYFUNCTION("""COMPUTED_VALUE"""),"Smite.
[Novice] [Arcane]")</f>
        <v>Smite.
[Novice] [Arcane]</v>
      </c>
      <c r="I1237" s="191" t="str">
        <f>IFERROR(__xludf.DUMMYFUNCTION("""COMPUTED_VALUE"""),"--")</f>
        <v>--</v>
      </c>
      <c r="J1237" s="190" t="str">
        <f>IFERROR(__xludf.DUMMYFUNCTION("""COMPUTED_VALUE"""),"Basic Weapon")</f>
        <v>Basic Weapon</v>
      </c>
      <c r="K1237" s="174" t="b">
        <f>IFERROR(__xludf.DUMMYFUNCTION("""COMPUTED_VALUE"""),FALSE)</f>
        <v>0</v>
      </c>
      <c r="L1237" s="174"/>
      <c r="M1237" s="174"/>
      <c r="N1237" s="174"/>
      <c r="O1237" s="174"/>
      <c r="P1237" s="174"/>
      <c r="Q1237" s="174"/>
      <c r="R1237" s="174"/>
      <c r="S1237" s="174"/>
      <c r="T1237" s="174"/>
      <c r="U1237" s="174"/>
      <c r="V1237" s="174"/>
      <c r="W1237" s="174"/>
      <c r="X1237" s="174"/>
      <c r="Y1237" s="174"/>
      <c r="Z1237" s="174"/>
    </row>
    <row r="1238">
      <c r="A1238" s="190" t="str">
        <f>IFERROR(__xludf.DUMMYFUNCTION("""COMPUTED_VALUE"""),"Healing Aura")</f>
        <v>Healing Aura</v>
      </c>
      <c r="B1238" s="190" t="str">
        <f>IFERROR(__xludf.DUMMYFUNCTION("""COMPUTED_VALUE"""),"Normal")</f>
        <v>Normal</v>
      </c>
      <c r="C1238" s="190" t="str">
        <f>IFERROR(__xludf.DUMMYFUNCTION("""COMPUTED_VALUE"""),"Status")</f>
        <v>Status</v>
      </c>
      <c r="D1238" s="190" t="str">
        <f>IFERROR(__xludf.DUMMYFUNCTION("""COMPUTED_VALUE"""),"EOT")</f>
        <v>EOT</v>
      </c>
      <c r="E1238" s="190" t="str">
        <f>IFERROR(__xludf.DUMMYFUNCTION("""COMPUTED_VALUE"""),"WR, 1 Target, Versatile")</f>
        <v>WR, 1 Target, Versatile</v>
      </c>
      <c r="F1238" s="190" t="str">
        <f>IFERROR(__xludf.DUMMYFUNCTION("""COMPUTED_VALUE"""),"--")</f>
        <v>--</v>
      </c>
      <c r="G1238" s="190" t="str">
        <f>IFERROR(__xludf.DUMMYFUNCTION("""COMPUTED_VALUE"""),"--")</f>
        <v>--</v>
      </c>
      <c r="H1238" s="191" t="str">
        <f>IFERROR(__xludf.DUMMYFUNCTION("""COMPUTED_VALUE"""),"The Target is cured of a Status Affliction. If the Target was Adjacent to the user, they also gain a Tick of Temporary Hit Points.
[Novice] [Arcane]")</f>
        <v>The Target is cured of a Status Affliction. If the Target was Adjacent to the user, they also gain a Tick of Temporary Hit Points.
[Novice] [Arcane]</v>
      </c>
      <c r="I1238" s="191" t="str">
        <f>IFERROR(__xludf.DUMMYFUNCTION("""COMPUTED_VALUE"""),"The Target restores a Tick of Hit Points.")</f>
        <v>The Target restores a Tick of Hit Points.</v>
      </c>
      <c r="J1238" s="190" t="str">
        <f>IFERROR(__xludf.DUMMYFUNCTION("""COMPUTED_VALUE"""),"Basic Weapon")</f>
        <v>Basic Weapon</v>
      </c>
      <c r="K1238" s="174" t="b">
        <f>IFERROR(__xludf.DUMMYFUNCTION("""COMPUTED_VALUE"""),FALSE)</f>
        <v>0</v>
      </c>
      <c r="L1238" s="174"/>
      <c r="M1238" s="174"/>
      <c r="N1238" s="174"/>
      <c r="O1238" s="174"/>
      <c r="P1238" s="174"/>
      <c r="Q1238" s="174"/>
      <c r="R1238" s="174"/>
      <c r="S1238" s="174"/>
      <c r="T1238" s="174"/>
      <c r="U1238" s="174"/>
      <c r="V1238" s="174"/>
      <c r="W1238" s="174"/>
      <c r="X1238" s="174"/>
      <c r="Y1238" s="174"/>
      <c r="Z1238" s="174"/>
    </row>
    <row r="1239">
      <c r="A1239" s="190" t="str">
        <f>IFERROR(__xludf.DUMMYFUNCTION("""COMPUTED_VALUE"""),"Hooked Shot")</f>
        <v>Hooked Shot</v>
      </c>
      <c r="B1239" s="190" t="str">
        <f>IFERROR(__xludf.DUMMYFUNCTION("""COMPUTED_VALUE"""),"Normal")</f>
        <v>Normal</v>
      </c>
      <c r="C1239" s="190" t="str">
        <f>IFERROR(__xludf.DUMMYFUNCTION("""COMPUTED_VALUE"""),"WT")</f>
        <v>WT</v>
      </c>
      <c r="D1239" s="190" t="str">
        <f>IFERROR(__xludf.DUMMYFUNCTION("""COMPUTED_VALUE"""),"EOT")</f>
        <v>EOT</v>
      </c>
      <c r="E1239" s="190" t="str">
        <f>IFERROR(__xludf.DUMMYFUNCTION("""COMPUTED_VALUE"""),"WR, 1 Target")</f>
        <v>WR, 1 Target</v>
      </c>
      <c r="F1239" s="190">
        <f>IFERROR(__xludf.DUMMYFUNCTION("""COMPUTED_VALUE"""),2.0)</f>
        <v>2</v>
      </c>
      <c r="G1239" s="190">
        <f>IFERROR(__xludf.DUMMYFUNCTION("""COMPUTED_VALUE"""),6.0)</f>
        <v>6</v>
      </c>
      <c r="H1239" s="191" t="str">
        <f>IFERROR(__xludf.DUMMYFUNCTION("""COMPUTED_VALUE"""),"The Target cannot apply Speed Evasion until the end of their next Turn.
[Novice] [Barbed]")</f>
        <v>The Target cannot apply Speed Evasion until the end of their next Turn.
[Novice] [Barbed]</v>
      </c>
      <c r="I1239" s="191"/>
      <c r="J1239" s="190" t="str">
        <f>IFERROR(__xludf.DUMMYFUNCTION("""COMPUTED_VALUE"""),"Basic Weapon")</f>
        <v>Basic Weapon</v>
      </c>
      <c r="K1239" s="174" t="b">
        <f>IFERROR(__xludf.DUMMYFUNCTION("""COMPUTED_VALUE"""),FALSE)</f>
        <v>0</v>
      </c>
      <c r="L1239" s="174"/>
      <c r="M1239" s="174"/>
      <c r="N1239" s="174"/>
      <c r="O1239" s="174"/>
      <c r="P1239" s="174"/>
      <c r="Q1239" s="174"/>
      <c r="R1239" s="174"/>
      <c r="S1239" s="174"/>
      <c r="T1239" s="174"/>
      <c r="U1239" s="174"/>
      <c r="V1239" s="174"/>
      <c r="W1239" s="174"/>
      <c r="X1239" s="174"/>
      <c r="Y1239" s="174"/>
      <c r="Z1239" s="174"/>
    </row>
    <row r="1240">
      <c r="A1240" s="190" t="str">
        <f>IFERROR(__xludf.DUMMYFUNCTION("""COMPUTED_VALUE"""),"Pierce")</f>
        <v>Pierce</v>
      </c>
      <c r="B1240" s="190" t="str">
        <f>IFERROR(__xludf.DUMMYFUNCTION("""COMPUTED_VALUE"""),"Normal")</f>
        <v>Normal</v>
      </c>
      <c r="C1240" s="190" t="str">
        <f>IFERROR(__xludf.DUMMYFUNCTION("""COMPUTED_VALUE"""),"WT")</f>
        <v>WT</v>
      </c>
      <c r="D1240" s="190" t="str">
        <f>IFERROR(__xludf.DUMMYFUNCTION("""COMPUTED_VALUE"""),"EOT")</f>
        <v>EOT</v>
      </c>
      <c r="E1240" s="190" t="str">
        <f>IFERROR(__xludf.DUMMYFUNCTION("""COMPUTED_VALUE"""),"WR, 1 Target")</f>
        <v>WR, 1 Target</v>
      </c>
      <c r="F1240" s="190">
        <f>IFERROR(__xludf.DUMMYFUNCTION("""COMPUTED_VALUE"""),2.0)</f>
        <v>2</v>
      </c>
      <c r="G1240" s="190">
        <f>IFERROR(__xludf.DUMMYFUNCTION("""COMPUTED_VALUE"""),6.0)</f>
        <v>6</v>
      </c>
      <c r="H1240" s="191" t="str">
        <f>IFERROR(__xludf.DUMMYFUNCTION("""COMPUTED_VALUE"""),"This Attack ignores positive CS in Defense or Special Defense.
[Novice]")</f>
        <v>This Attack ignores positive CS in Defense or Special Defense.
[Novice]</v>
      </c>
      <c r="I1240" s="191" t="str">
        <f>IFERROR(__xludf.DUMMYFUNCTION("""COMPUTED_VALUE"""),"--")</f>
        <v>--</v>
      </c>
      <c r="J1240" s="190" t="str">
        <f>IFERROR(__xludf.DUMMYFUNCTION("""COMPUTED_VALUE"""),"Basic Weapon")</f>
        <v>Basic Weapon</v>
      </c>
      <c r="K1240" s="174" t="b">
        <f>IFERROR(__xludf.DUMMYFUNCTION("""COMPUTED_VALUE"""),FALSE)</f>
        <v>0</v>
      </c>
      <c r="L1240" s="174"/>
      <c r="M1240" s="174"/>
      <c r="N1240" s="174"/>
      <c r="O1240" s="174"/>
      <c r="P1240" s="174"/>
      <c r="Q1240" s="174"/>
      <c r="R1240" s="174"/>
      <c r="S1240" s="174"/>
      <c r="T1240" s="174"/>
      <c r="U1240" s="174"/>
      <c r="V1240" s="174"/>
      <c r="W1240" s="174"/>
      <c r="X1240" s="174"/>
      <c r="Y1240" s="174"/>
      <c r="Z1240" s="174"/>
    </row>
    <row r="1241">
      <c r="A1241" s="190" t="str">
        <f>IFERROR(__xludf.DUMMYFUNCTION("""COMPUTED_VALUE"""),"Quick Draw")</f>
        <v>Quick Draw</v>
      </c>
      <c r="B1241" s="190" t="str">
        <f>IFERROR(__xludf.DUMMYFUNCTION("""COMPUTED_VALUE"""),"Normal")</f>
        <v>Normal</v>
      </c>
      <c r="C1241" s="190" t="str">
        <f>IFERROR(__xludf.DUMMYFUNCTION("""COMPUTED_VALUE"""),"WT")</f>
        <v>WT</v>
      </c>
      <c r="D1241" s="190" t="str">
        <f>IFERROR(__xludf.DUMMYFUNCTION("""COMPUTED_VALUE"""),"EOT")</f>
        <v>EOT</v>
      </c>
      <c r="E1241" s="190" t="str">
        <f>IFERROR(__xludf.DUMMYFUNCTION("""COMPUTED_VALUE"""),"WR, 1 Target ")</f>
        <v>WR, 1 Target </v>
      </c>
      <c r="F1241" s="190">
        <f>IFERROR(__xludf.DUMMYFUNCTION("""COMPUTED_VALUE"""),2.0)</f>
        <v>2</v>
      </c>
      <c r="G1241" s="190">
        <f>IFERROR(__xludf.DUMMYFUNCTION("""COMPUTED_VALUE"""),6.0)</f>
        <v>6</v>
      </c>
      <c r="H1241" s="191" t="str">
        <f>IFERROR(__xludf.DUMMYFUNCTION("""COMPUTED_VALUE"""),"If Quick Draw Targets a Combatant whose Turn was the most recent to end, they cannot apply Speed Evasion towards this Attack.
[Novice] [Melee or Short Ranged]")</f>
        <v>If Quick Draw Targets a Combatant whose Turn was the most recent to end, they cannot apply Speed Evasion towards this Attack.
[Novice] [Melee or Short Ranged]</v>
      </c>
      <c r="I1241" s="191" t="str">
        <f>IFERROR(__xludf.DUMMYFUNCTION("""COMPUTED_VALUE"""),"--")</f>
        <v>--</v>
      </c>
      <c r="J1241" s="190" t="str">
        <f>IFERROR(__xludf.DUMMYFUNCTION("""COMPUTED_VALUE"""),"Basic Weapon")</f>
        <v>Basic Weapon</v>
      </c>
      <c r="K1241" s="174" t="b">
        <f>IFERROR(__xludf.DUMMYFUNCTION("""COMPUTED_VALUE"""),FALSE)</f>
        <v>0</v>
      </c>
      <c r="L1241" s="174"/>
      <c r="M1241" s="174"/>
      <c r="N1241" s="174"/>
      <c r="O1241" s="174"/>
      <c r="P1241" s="174"/>
      <c r="Q1241" s="174"/>
      <c r="R1241" s="174"/>
      <c r="S1241" s="174"/>
      <c r="T1241" s="174"/>
      <c r="U1241" s="174"/>
      <c r="V1241" s="174"/>
      <c r="W1241" s="174"/>
      <c r="X1241" s="174"/>
      <c r="Y1241" s="174"/>
      <c r="Z1241" s="174"/>
    </row>
    <row r="1242">
      <c r="A1242" s="190" t="str">
        <f>IFERROR(__xludf.DUMMYFUNCTION("""COMPUTED_VALUE"""),"Rapid Shot")</f>
        <v>Rapid Shot</v>
      </c>
      <c r="B1242" s="190" t="str">
        <f>IFERROR(__xludf.DUMMYFUNCTION("""COMPUTED_VALUE"""),"Normal")</f>
        <v>Normal</v>
      </c>
      <c r="C1242" s="190" t="str">
        <f>IFERROR(__xludf.DUMMYFUNCTION("""COMPUTED_VALUE"""),"WT")</f>
        <v>WT</v>
      </c>
      <c r="D1242" s="190" t="str">
        <f>IFERROR(__xludf.DUMMYFUNCTION("""COMPUTED_VALUE"""),"EOT")</f>
        <v>EOT</v>
      </c>
      <c r="E1242" s="190" t="str">
        <f>IFERROR(__xludf.DUMMYFUNCTION("""COMPUTED_VALUE"""),"WR, 1 Target")</f>
        <v>WR, 1 Target</v>
      </c>
      <c r="F1242" s="190">
        <f>IFERROR(__xludf.DUMMYFUNCTION("""COMPUTED_VALUE"""),2.0)</f>
        <v>2</v>
      </c>
      <c r="G1242" s="190">
        <f>IFERROR(__xludf.DUMMYFUNCTION("""COMPUTED_VALUE"""),6.0)</f>
        <v>6</v>
      </c>
      <c r="H1242" s="191" t="str">
        <f>IFERROR(__xludf.DUMMYFUNCTION("""COMPUTED_VALUE"""),"If you miss with this Attack, you may expend an Ammo to reroll the Accuracy Roll. This may continue until you choose not to reroll or you have no Ammo left.
[Novice] [Ammo]")</f>
        <v>If you miss with this Attack, you may expend an Ammo to reroll the Accuracy Roll. This may continue until you choose not to reroll or you have no Ammo left.
[Novice] [Ammo]</v>
      </c>
      <c r="I1242" s="191"/>
      <c r="J1242" s="190" t="str">
        <f>IFERROR(__xludf.DUMMYFUNCTION("""COMPUTED_VALUE"""),"Basic Weapon")</f>
        <v>Basic Weapon</v>
      </c>
      <c r="K1242" s="174" t="b">
        <f>IFERROR(__xludf.DUMMYFUNCTION("""COMPUTED_VALUE"""),FALSE)</f>
        <v>0</v>
      </c>
      <c r="L1242" s="174"/>
      <c r="M1242" s="174"/>
      <c r="N1242" s="174"/>
      <c r="O1242" s="174"/>
      <c r="P1242" s="174"/>
      <c r="Q1242" s="174"/>
      <c r="R1242" s="174"/>
      <c r="S1242" s="174"/>
      <c r="T1242" s="174"/>
      <c r="U1242" s="174"/>
      <c r="V1242" s="174"/>
      <c r="W1242" s="174"/>
      <c r="X1242" s="174"/>
      <c r="Y1242" s="174"/>
      <c r="Z1242" s="174"/>
    </row>
    <row r="1243">
      <c r="A1243" s="190" t="str">
        <f>IFERROR(__xludf.DUMMYFUNCTION("""COMPUTED_VALUE"""),"Rending Spell")</f>
        <v>Rending Spell</v>
      </c>
      <c r="B1243" s="190" t="str">
        <f>IFERROR(__xludf.DUMMYFUNCTION("""COMPUTED_VALUE"""),"Normal")</f>
        <v>Normal</v>
      </c>
      <c r="C1243" s="190" t="str">
        <f>IFERROR(__xludf.DUMMYFUNCTION("""COMPUTED_VALUE"""),"Special")</f>
        <v>Special</v>
      </c>
      <c r="D1243" s="190" t="str">
        <f>IFERROR(__xludf.DUMMYFUNCTION("""COMPUTED_VALUE"""),"EOT")</f>
        <v>EOT</v>
      </c>
      <c r="E1243" s="190" t="str">
        <f>IFERROR(__xludf.DUMMYFUNCTION("""COMPUTED_VALUE"""),"WR, 1 Target")</f>
        <v>WR, 1 Target</v>
      </c>
      <c r="F1243" s="190">
        <f>IFERROR(__xludf.DUMMYFUNCTION("""COMPUTED_VALUE"""),2.0)</f>
        <v>2</v>
      </c>
      <c r="G1243" s="190">
        <f>IFERROR(__xludf.DUMMYFUNCTION("""COMPUTED_VALUE"""),6.0)</f>
        <v>6</v>
      </c>
      <c r="H1243" s="191" t="str">
        <f>IFERROR(__xludf.DUMMYFUNCTION("""COMPUTED_VALUE"""),"Targets hit by Rending Spell have the last Attack they used Disabled.
[Novice] [Arcane]")</f>
        <v>Targets hit by Rending Spell have the last Attack they used Disabled.
[Novice] [Arcane]</v>
      </c>
      <c r="I1243" s="191" t="str">
        <f>IFERROR(__xludf.DUMMYFUNCTION("""COMPUTED_VALUE"""),"--")</f>
        <v>--</v>
      </c>
      <c r="J1243" s="190" t="str">
        <f>IFERROR(__xludf.DUMMYFUNCTION("""COMPUTED_VALUE"""),"Basic Weapon")</f>
        <v>Basic Weapon</v>
      </c>
      <c r="K1243" s="174" t="b">
        <f>IFERROR(__xludf.DUMMYFUNCTION("""COMPUTED_VALUE"""),FALSE)</f>
        <v>0</v>
      </c>
      <c r="L1243" s="174"/>
      <c r="M1243" s="174"/>
      <c r="N1243" s="174"/>
      <c r="O1243" s="174"/>
      <c r="P1243" s="174"/>
      <c r="Q1243" s="174"/>
      <c r="R1243" s="174"/>
      <c r="S1243" s="174"/>
      <c r="T1243" s="174"/>
      <c r="U1243" s="174"/>
      <c r="V1243" s="174"/>
      <c r="W1243" s="174"/>
      <c r="X1243" s="174"/>
      <c r="Y1243" s="174"/>
      <c r="Z1243" s="174"/>
    </row>
    <row r="1244">
      <c r="A1244" s="190" t="str">
        <f>IFERROR(__xludf.DUMMYFUNCTION("""COMPUTED_VALUE"""),"Resonance Beam")</f>
        <v>Resonance Beam</v>
      </c>
      <c r="B1244" s="190" t="str">
        <f>IFERROR(__xludf.DUMMYFUNCTION("""COMPUTED_VALUE"""),"Normal")</f>
        <v>Normal</v>
      </c>
      <c r="C1244" s="190" t="str">
        <f>IFERROR(__xludf.DUMMYFUNCTION("""COMPUTED_VALUE"""),"Special")</f>
        <v>Special</v>
      </c>
      <c r="D1244" s="190" t="str">
        <f>IFERROR(__xludf.DUMMYFUNCTION("""COMPUTED_VALUE"""),"EOT")</f>
        <v>EOT</v>
      </c>
      <c r="E1244" s="190" t="str">
        <f>IFERROR(__xludf.DUMMYFUNCTION("""COMPUTED_VALUE"""),"Line 4")</f>
        <v>Line 4</v>
      </c>
      <c r="F1244" s="190">
        <f>IFERROR(__xludf.DUMMYFUNCTION("""COMPUTED_VALUE"""),5.0)</f>
        <v>5</v>
      </c>
      <c r="G1244" s="190">
        <f>IFERROR(__xludf.DUMMYFUNCTION("""COMPUTED_VALUE"""),5.0)</f>
        <v>5</v>
      </c>
      <c r="H1244" s="191" t="str">
        <f>IFERROR(__xludf.DUMMYFUNCTION("""COMPUTED_VALUE"""),"On a roll of 15+, the user's Special Attack or Special Defense are raised by +1 CS.
[Novice] [Arcane]")</f>
        <v>On a roll of 15+, the user's Special Attack or Special Defense are raised by +1 CS.
[Novice] [Arcane]</v>
      </c>
      <c r="I1244" s="191" t="str">
        <f>IFERROR(__xludf.DUMMYFUNCTION("""COMPUTED_VALUE"""),"--")</f>
        <v>--</v>
      </c>
      <c r="J1244" s="190" t="str">
        <f>IFERROR(__xludf.DUMMYFUNCTION("""COMPUTED_VALUE"""),"Basic Weapon")</f>
        <v>Basic Weapon</v>
      </c>
      <c r="K1244" s="174" t="b">
        <f>IFERROR(__xludf.DUMMYFUNCTION("""COMPUTED_VALUE"""),FALSE)</f>
        <v>0</v>
      </c>
      <c r="L1244" s="174"/>
      <c r="M1244" s="174"/>
      <c r="N1244" s="174"/>
      <c r="O1244" s="174"/>
      <c r="P1244" s="174"/>
      <c r="Q1244" s="174"/>
      <c r="R1244" s="174"/>
      <c r="S1244" s="174"/>
      <c r="T1244" s="174"/>
      <c r="U1244" s="174"/>
      <c r="V1244" s="174"/>
      <c r="W1244" s="174"/>
      <c r="X1244" s="174"/>
      <c r="Y1244" s="174"/>
      <c r="Z1244" s="174"/>
    </row>
    <row r="1245">
      <c r="A1245" s="190" t="str">
        <f>IFERROR(__xludf.DUMMYFUNCTION("""COMPUTED_VALUE"""),"Salvo")</f>
        <v>Salvo</v>
      </c>
      <c r="B1245" s="190" t="str">
        <f>IFERROR(__xludf.DUMMYFUNCTION("""COMPUTED_VALUE"""),"Normal")</f>
        <v>Normal</v>
      </c>
      <c r="C1245" s="190" t="str">
        <f>IFERROR(__xludf.DUMMYFUNCTION("""COMPUTED_VALUE"""),"WT")</f>
        <v>WT</v>
      </c>
      <c r="D1245" s="190" t="str">
        <f>IFERROR(__xludf.DUMMYFUNCTION("""COMPUTED_VALUE"""),"EOT")</f>
        <v>EOT</v>
      </c>
      <c r="E1245" s="190" t="str">
        <f>IFERROR(__xludf.DUMMYFUNCTION("""COMPUTED_VALUE"""),"WR, Ranged Blast 2")</f>
        <v>WR, Ranged Blast 2</v>
      </c>
      <c r="F1245" s="190">
        <f>IFERROR(__xludf.DUMMYFUNCTION("""COMPUTED_VALUE"""),5.0)</f>
        <v>5</v>
      </c>
      <c r="G1245" s="190">
        <f>IFERROR(__xludf.DUMMYFUNCTION("""COMPUTED_VALUE"""),6.0)</f>
        <v>6</v>
      </c>
      <c r="H1245" s="191" t="str">
        <f>IFERROR(__xludf.DUMMYFUNCTION("""COMPUTED_VALUE"""),"--
[Novice] [Ranged]")</f>
        <v>--
[Novice] [Ranged]</v>
      </c>
      <c r="I1245" s="191" t="str">
        <f>IFERROR(__xludf.DUMMYFUNCTION("""COMPUTED_VALUE"""),"--")</f>
        <v>--</v>
      </c>
      <c r="J1245" s="190" t="str">
        <f>IFERROR(__xludf.DUMMYFUNCTION("""COMPUTED_VALUE"""),"Basic Weapon")</f>
        <v>Basic Weapon</v>
      </c>
      <c r="K1245" s="174" t="b">
        <f>IFERROR(__xludf.DUMMYFUNCTION("""COMPUTED_VALUE"""),FALSE)</f>
        <v>0</v>
      </c>
      <c r="L1245" s="174"/>
      <c r="M1245" s="174"/>
      <c r="N1245" s="174"/>
      <c r="O1245" s="174"/>
      <c r="P1245" s="174"/>
      <c r="Q1245" s="174"/>
      <c r="R1245" s="174"/>
      <c r="S1245" s="174"/>
      <c r="T1245" s="174"/>
      <c r="U1245" s="174"/>
      <c r="V1245" s="174"/>
      <c r="W1245" s="174"/>
      <c r="X1245" s="174"/>
      <c r="Y1245" s="174"/>
      <c r="Z1245" s="174"/>
    </row>
    <row r="1246">
      <c r="A1246" s="190" t="str">
        <f>IFERROR(__xludf.DUMMYFUNCTION("""COMPUTED_VALUE"""),"Take Aim")</f>
        <v>Take Aim</v>
      </c>
      <c r="B1246" s="190" t="str">
        <f>IFERROR(__xludf.DUMMYFUNCTION("""COMPUTED_VALUE"""),"Normal")</f>
        <v>Normal</v>
      </c>
      <c r="C1246" s="190" t="str">
        <f>IFERROR(__xludf.DUMMYFUNCTION("""COMPUTED_VALUE"""),"Status")</f>
        <v>Status</v>
      </c>
      <c r="D1246" s="190" t="str">
        <f>IFERROR(__xludf.DUMMYFUNCTION("""COMPUTED_VALUE"""),"EOT")</f>
        <v>EOT</v>
      </c>
      <c r="E1246" s="190" t="str">
        <f>IFERROR(__xludf.DUMMYFUNCTION("""COMPUTED_VALUE"""),"Self, Versatile")</f>
        <v>Self, Versatile</v>
      </c>
      <c r="F1246" s="190" t="str">
        <f>IFERROR(__xludf.DUMMYFUNCTION("""COMPUTED_VALUE"""),"--")</f>
        <v>--</v>
      </c>
      <c r="G1246" s="190" t="str">
        <f>IFERROR(__xludf.DUMMYFUNCTION("""COMPUTED_VALUE"""),"--")</f>
        <v>--</v>
      </c>
      <c r="H1246" s="191" t="str">
        <f>IFERROR(__xludf.DUMMYFUNCTION("""COMPUTED_VALUE"""),"The user gains a Aiming Coat and gains +1 Accuracy. The user may expend a Aiming Coat when successfully hitting a Damaging Weapon Attack to add its Damage Dice an extra time to the Damage Roll. This applies after any other Damage Base Modifiers such as a "&amp;"Critical Hit. 
Note: If the Damage Base would have the Attack be 2d6+8, this expended Coat turns it into 4d6+16. 
[Novice] [Ranged]")</f>
        <v>The user gains a Aiming Coat and gains +1 Accuracy. The user may expend a Aiming Coat when successfully hitting a Damaging Weapon Attack to add its Damage Dice an extra time to the Damage Roll. This applies after any other Damage Base Modifiers such as a Critical Hit. 
Note: If the Damage Base would have the Attack be 2d6+8, this expended Coat turns it into 4d6+16. 
[Novice] [Ranged]</v>
      </c>
      <c r="I1246" s="191" t="str">
        <f>IFERROR(__xludf.DUMMYFUNCTION("""COMPUTED_VALUE"""),"The user gains +1 Accuracy.")</f>
        <v>The user gains +1 Accuracy.</v>
      </c>
      <c r="J1246" s="190" t="str">
        <f>IFERROR(__xludf.DUMMYFUNCTION("""COMPUTED_VALUE"""),"Basic Weapon")</f>
        <v>Basic Weapon</v>
      </c>
      <c r="K1246" s="174" t="b">
        <f>IFERROR(__xludf.DUMMYFUNCTION("""COMPUTED_VALUE"""),FALSE)</f>
        <v>0</v>
      </c>
      <c r="L1246" s="174"/>
      <c r="M1246" s="174"/>
      <c r="N1246" s="174"/>
      <c r="O1246" s="174"/>
      <c r="P1246" s="174"/>
      <c r="Q1246" s="174"/>
      <c r="R1246" s="174"/>
      <c r="S1246" s="174"/>
      <c r="T1246" s="174"/>
      <c r="U1246" s="174"/>
      <c r="V1246" s="174"/>
      <c r="W1246" s="174"/>
      <c r="X1246" s="174"/>
      <c r="Y1246" s="174"/>
      <c r="Z1246" s="174"/>
    </row>
    <row r="1247">
      <c r="A1247" s="190" t="str">
        <f>IFERROR(__xludf.DUMMYFUNCTION("""COMPUTED_VALUE"""),"Wounding Strike")</f>
        <v>Wounding Strike</v>
      </c>
      <c r="B1247" s="190" t="str">
        <f>IFERROR(__xludf.DUMMYFUNCTION("""COMPUTED_VALUE"""),"Normal")</f>
        <v>Normal</v>
      </c>
      <c r="C1247" s="190" t="str">
        <f>IFERROR(__xludf.DUMMYFUNCTION("""COMPUTED_VALUE"""),"Physical")</f>
        <v>Physical</v>
      </c>
      <c r="D1247" s="190" t="str">
        <f>IFERROR(__xludf.DUMMYFUNCTION("""COMPUTED_VALUE"""),"EOT")</f>
        <v>EOT</v>
      </c>
      <c r="E1247" s="190" t="str">
        <f>IFERROR(__xludf.DUMMYFUNCTION("""COMPUTED_VALUE"""),"WR, 1 Target")</f>
        <v>WR, 1 Target</v>
      </c>
      <c r="F1247" s="190">
        <f>IFERROR(__xludf.DUMMYFUNCTION("""COMPUTED_VALUE"""),2.0)</f>
        <v>2</v>
      </c>
      <c r="G1247" s="190">
        <f>IFERROR(__xludf.DUMMYFUNCTION("""COMPUTED_VALUE"""),6.0)</f>
        <v>6</v>
      </c>
      <c r="H1247" s="191" t="str">
        <f>IFERROR(__xludf.DUMMYFUNCTION("""COMPUTED_VALUE"""),"On a roll of 17+, the Target becomes Wounded.
[Novice] [Martial}")</f>
        <v>On a roll of 17+, the Target becomes Wounded.
[Novice] [Martial}</v>
      </c>
      <c r="I1247" s="191" t="str">
        <f>IFERROR(__xludf.DUMMYFUNCTION("""COMPUTED_VALUE"""),"--")</f>
        <v>--</v>
      </c>
      <c r="J1247" s="190" t="str">
        <f>IFERROR(__xludf.DUMMYFUNCTION("""COMPUTED_VALUE"""),"Basic Weapon")</f>
        <v>Basic Weapon</v>
      </c>
      <c r="K1247" s="174" t="b">
        <f>IFERROR(__xludf.DUMMYFUNCTION("""COMPUTED_VALUE"""),FALSE)</f>
        <v>0</v>
      </c>
      <c r="L1247" s="174"/>
      <c r="M1247" s="174"/>
      <c r="N1247" s="174"/>
      <c r="O1247" s="174"/>
      <c r="P1247" s="174"/>
      <c r="Q1247" s="174"/>
      <c r="R1247" s="174"/>
      <c r="S1247" s="174"/>
      <c r="T1247" s="174"/>
      <c r="U1247" s="174"/>
      <c r="V1247" s="174"/>
      <c r="W1247" s="174"/>
      <c r="X1247" s="174"/>
      <c r="Y1247" s="174"/>
      <c r="Z1247" s="174"/>
    </row>
    <row r="1248">
      <c r="A1248" s="190" t="str">
        <f>IFERROR(__xludf.DUMMYFUNCTION("""COMPUTED_VALUE"""),"Backswing")</f>
        <v>Backswing</v>
      </c>
      <c r="B1248" s="190" t="str">
        <f>IFERROR(__xludf.DUMMYFUNCTION("""COMPUTED_VALUE"""),"Normal")</f>
        <v>Normal</v>
      </c>
      <c r="C1248" s="190" t="str">
        <f>IFERROR(__xludf.DUMMYFUNCTION("""COMPUTED_VALUE"""),"WT")</f>
        <v>WT</v>
      </c>
      <c r="D1248" s="190" t="str">
        <f>IFERROR(__xludf.DUMMYFUNCTION("""COMPUTED_VALUE"""),"EOT")</f>
        <v>EOT</v>
      </c>
      <c r="E1248" s="190" t="str">
        <f>IFERROR(__xludf.DUMMYFUNCTION("""COMPUTED_VALUE"""),"Melee, 2 Targets")</f>
        <v>Melee, 2 Targets</v>
      </c>
      <c r="F1248" s="190">
        <f>IFERROR(__xludf.DUMMYFUNCTION("""COMPUTED_VALUE"""),7.0)</f>
        <v>7</v>
      </c>
      <c r="G1248" s="190">
        <f>IFERROR(__xludf.DUMMYFUNCTION("""COMPUTED_VALUE"""),8.0)</f>
        <v>8</v>
      </c>
      <c r="H1248" s="191" t="str">
        <f>IFERROR(__xludf.DUMMYFUNCTION("""COMPUTED_VALUE"""),"If you are currently being Flanked by both Targets of this Attack, you may choose one of them to be treated as Vulnerable against this Attack.
[Advanced] [Melee]")</f>
        <v>If you are currently being Flanked by both Targets of this Attack, you may choose one of them to be treated as Vulnerable against this Attack.
[Advanced] [Melee]</v>
      </c>
      <c r="I1248" s="191" t="str">
        <f>IFERROR(__xludf.DUMMYFUNCTION("""COMPUTED_VALUE"""),"--")</f>
        <v>--</v>
      </c>
      <c r="J1248" s="190" t="str">
        <f>IFERROR(__xludf.DUMMYFUNCTION("""COMPUTED_VALUE"""),"Advanced Weapon")</f>
        <v>Advanced Weapon</v>
      </c>
      <c r="K1248" s="174" t="b">
        <f>IFERROR(__xludf.DUMMYFUNCTION("""COMPUTED_VALUE"""),FALSE)</f>
        <v>0</v>
      </c>
      <c r="L1248" s="174"/>
      <c r="M1248" s="174"/>
      <c r="N1248" s="174"/>
      <c r="O1248" s="174"/>
      <c r="P1248" s="174"/>
      <c r="Q1248" s="174"/>
      <c r="R1248" s="174"/>
      <c r="S1248" s="174"/>
      <c r="T1248" s="174"/>
      <c r="U1248" s="174"/>
      <c r="V1248" s="174"/>
      <c r="W1248" s="174"/>
      <c r="X1248" s="174"/>
      <c r="Y1248" s="174"/>
      <c r="Z1248" s="174"/>
    </row>
    <row r="1249">
      <c r="A1249" s="190" t="str">
        <f>IFERROR(__xludf.DUMMYFUNCTION("""COMPUTED_VALUE"""),"Cone of Force")</f>
        <v>Cone of Force</v>
      </c>
      <c r="B1249" s="190" t="str">
        <f>IFERROR(__xludf.DUMMYFUNCTION("""COMPUTED_VALUE"""),"Normal")</f>
        <v>Normal</v>
      </c>
      <c r="C1249" s="190" t="str">
        <f>IFERROR(__xludf.DUMMYFUNCTION("""COMPUTED_VALUE"""),"WT")</f>
        <v>WT</v>
      </c>
      <c r="D1249" s="190" t="str">
        <f>IFERROR(__xludf.DUMMYFUNCTION("""COMPUTED_VALUE"""),"Scene x2 ")</f>
        <v>Scene x2 </v>
      </c>
      <c r="E1249" s="190" t="str">
        <f>IFERROR(__xludf.DUMMYFUNCTION("""COMPUTED_VALUE"""),"Close Blast 3")</f>
        <v>Close Blast 3</v>
      </c>
      <c r="F1249" s="190">
        <f>IFERROR(__xludf.DUMMYFUNCTION("""COMPUTED_VALUE"""),7.0)</f>
        <v>7</v>
      </c>
      <c r="G1249" s="190">
        <f>IFERROR(__xludf.DUMMYFUNCTION("""COMPUTED_VALUE"""),8.0)</f>
        <v>8</v>
      </c>
      <c r="H1249" s="191" t="str">
        <f>IFERROR(__xludf.DUMMYFUNCTION("""COMPUTED_VALUE"""),"Friendly, Slide 3 (Away), Smite, Spirit Surge.
[Advanced] [Large]")</f>
        <v>Friendly, Slide 3 (Away), Smite, Spirit Surge.
[Advanced] [Large]</v>
      </c>
      <c r="I1249" s="191" t="str">
        <f>IFERROR(__xludf.DUMMYFUNCTION("""COMPUTED_VALUE"""),"--")</f>
        <v>--</v>
      </c>
      <c r="J1249" s="190" t="str">
        <f>IFERROR(__xludf.DUMMYFUNCTION("""COMPUTED_VALUE"""),"Advanced Weapon")</f>
        <v>Advanced Weapon</v>
      </c>
      <c r="K1249" s="174" t="b">
        <f>IFERROR(__xludf.DUMMYFUNCTION("""COMPUTED_VALUE"""),FALSE)</f>
        <v>0</v>
      </c>
      <c r="L1249" s="174"/>
      <c r="M1249" s="174"/>
      <c r="N1249" s="174"/>
      <c r="O1249" s="174"/>
      <c r="P1249" s="174"/>
      <c r="Q1249" s="174"/>
      <c r="R1249" s="174"/>
      <c r="S1249" s="174"/>
      <c r="T1249" s="174"/>
      <c r="U1249" s="174"/>
      <c r="V1249" s="174"/>
      <c r="W1249" s="174"/>
      <c r="X1249" s="174"/>
      <c r="Y1249" s="174"/>
      <c r="Z1249" s="174"/>
    </row>
    <row r="1250">
      <c r="A1250" s="190" t="str">
        <f>IFERROR(__xludf.DUMMYFUNCTION("""COMPUTED_VALUE"""),"Counter (Weapon)")</f>
        <v>Counter (Weapon)</v>
      </c>
      <c r="B1250" s="190" t="str">
        <f>IFERROR(__xludf.DUMMYFUNCTION("""COMPUTED_VALUE"""),"Fighting")</f>
        <v>Fighting</v>
      </c>
      <c r="C1250" s="190" t="str">
        <f>IFERROR(__xludf.DUMMYFUNCTION("""COMPUTED_VALUE"""),"Status")</f>
        <v>Status</v>
      </c>
      <c r="D1250" s="190" t="str">
        <f>IFERROR(__xludf.DUMMYFUNCTION("""COMPUTED_VALUE"""),"Scene x2")</f>
        <v>Scene x2</v>
      </c>
      <c r="E1250" s="190" t="str">
        <f>IFERROR(__xludf.DUMMYFUNCTION("""COMPUTED_VALUE"""),"WR, 1 Target, Trigger")</f>
        <v>WR, 1 Target, Trigger</v>
      </c>
      <c r="F1250" s="190" t="str">
        <f>IFERROR(__xludf.DUMMYFUNCTION("""COMPUTED_VALUE"""),"--")</f>
        <v>--</v>
      </c>
      <c r="G1250" s="190" t="str">
        <f>IFERROR(__xludf.DUMMYFUNCTION("""COMPUTED_VALUE"""),"X")</f>
        <v>X</v>
      </c>
      <c r="H1250" s="191" t="str">
        <f>IFERROR(__xludf.DUMMYFUNCTION("""COMPUTED_VALUE"""),"Counter can only be used as a Standard Action + Reaction whenever you’re hit with a Damaging Physical Attack from an Enemy in Range. After the Triggering Attack is resolved, if the user isn’t Fainted, perform this Attack against the Triggering Enemy. The "&amp;"Damage Base is equal to the Triggering Attack’s DB plus double your Tier Level. Sureshot")</f>
        <v>Counter can only be used as a Standard Action + Reaction whenever you’re hit with a Damaging Physical Attack from an Enemy in Range. After the Triggering Attack is resolved, if the user isn’t Fainted, perform this Attack against the Triggering Enemy. The Damage Base is equal to the Triggering Attack’s DB plus double your Tier Level. Sureshot</v>
      </c>
      <c r="I1250" s="191" t="str">
        <f>IFERROR(__xludf.DUMMYFUNCTION("""COMPUTED_VALUE"""),"--")</f>
        <v>--</v>
      </c>
      <c r="J1250" s="190" t="str">
        <f>IFERROR(__xludf.DUMMYFUNCTION("""COMPUTED_VALUE"""),"Advanced Weapon")</f>
        <v>Advanced Weapon</v>
      </c>
      <c r="K1250" s="174" t="b">
        <f>IFERROR(__xludf.DUMMYFUNCTION("""COMPUTED_VALUE"""),FALSE)</f>
        <v>0</v>
      </c>
      <c r="L1250" s="174"/>
      <c r="M1250" s="174"/>
      <c r="N1250" s="174"/>
      <c r="O1250" s="174"/>
      <c r="P1250" s="174"/>
      <c r="Q1250" s="174"/>
      <c r="R1250" s="174"/>
      <c r="S1250" s="174"/>
      <c r="T1250" s="174"/>
      <c r="U1250" s="174"/>
      <c r="V1250" s="174"/>
      <c r="W1250" s="174"/>
      <c r="X1250" s="174"/>
      <c r="Y1250" s="174"/>
      <c r="Z1250" s="174"/>
    </row>
    <row r="1251">
      <c r="A1251" s="190" t="str">
        <f>IFERROR(__xludf.DUMMYFUNCTION("""COMPUTED_VALUE"""),"Counter Strike")</f>
        <v>Counter Strike</v>
      </c>
      <c r="B1251" s="190" t="str">
        <f>IFERROR(__xludf.DUMMYFUNCTION("""COMPUTED_VALUE"""),"Normal")</f>
        <v>Normal</v>
      </c>
      <c r="C1251" s="190" t="str">
        <f>IFERROR(__xludf.DUMMYFUNCTION("""COMPUTED_VALUE"""),"WT")</f>
        <v>WT</v>
      </c>
      <c r="D1251" s="190" t="str">
        <f>IFERROR(__xludf.DUMMYFUNCTION("""COMPUTED_VALUE"""),"Scene x2 ")</f>
        <v>Scene x2 </v>
      </c>
      <c r="E1251" s="190" t="str">
        <f>IFERROR(__xludf.DUMMYFUNCTION("""COMPUTED_VALUE"""),"WR, 1 Target, Trigger")</f>
        <v>WR, 1 Target, Trigger</v>
      </c>
      <c r="F1251" s="190">
        <f>IFERROR(__xludf.DUMMYFUNCTION("""COMPUTED_VALUE"""),3.0)</f>
        <v>3</v>
      </c>
      <c r="G1251" s="190">
        <f>IFERROR(__xludf.DUMMYFUNCTION("""COMPUTED_VALUE"""),9.0)</f>
        <v>9</v>
      </c>
      <c r="H1251" s="191" t="str">
        <f>IFERROR(__xludf.DUMMYFUNCTION("""COMPUTED_VALUE"""),"If an Enemy within your Weapon Range hits you, you may use Counter Strike as a Standard Action + Reaction against the Triggering Enemy. When using Counter Strike this way, it gains the Sureshot Keyword.
[Advanced] [Martial or Defensive]")</f>
        <v>If an Enemy within your Weapon Range hits you, you may use Counter Strike as a Standard Action + Reaction against the Triggering Enemy. When using Counter Strike this way, it gains the Sureshot Keyword.
[Advanced] [Martial or Defensive]</v>
      </c>
      <c r="I1251" s="191" t="str">
        <f>IFERROR(__xludf.DUMMYFUNCTION("""COMPUTED_VALUE"""),"--")</f>
        <v>--</v>
      </c>
      <c r="J1251" s="190" t="str">
        <f>IFERROR(__xludf.DUMMYFUNCTION("""COMPUTED_VALUE"""),"Advanced Weapon")</f>
        <v>Advanced Weapon</v>
      </c>
      <c r="K1251" s="174" t="b">
        <f>IFERROR(__xludf.DUMMYFUNCTION("""COMPUTED_VALUE"""),FALSE)</f>
        <v>0</v>
      </c>
      <c r="L1251" s="174"/>
      <c r="M1251" s="174"/>
      <c r="N1251" s="174"/>
      <c r="O1251" s="174"/>
      <c r="P1251" s="174"/>
      <c r="Q1251" s="174"/>
      <c r="R1251" s="174"/>
      <c r="S1251" s="174"/>
      <c r="T1251" s="174"/>
      <c r="U1251" s="174"/>
      <c r="V1251" s="174"/>
      <c r="W1251" s="174"/>
      <c r="X1251" s="174"/>
      <c r="Y1251" s="174"/>
      <c r="Z1251" s="174"/>
    </row>
    <row r="1252">
      <c r="A1252" s="190" t="str">
        <f>IFERROR(__xludf.DUMMYFUNCTION("""COMPUTED_VALUE"""),"Deadly Strike")</f>
        <v>Deadly Strike</v>
      </c>
      <c r="B1252" s="190" t="str">
        <f>IFERROR(__xludf.DUMMYFUNCTION("""COMPUTED_VALUE"""),"Normal")</f>
        <v>Normal</v>
      </c>
      <c r="C1252" s="190" t="str">
        <f>IFERROR(__xludf.DUMMYFUNCTION("""COMPUTED_VALUE"""),"WT")</f>
        <v>WT</v>
      </c>
      <c r="D1252" s="190" t="str">
        <f>IFERROR(__xludf.DUMMYFUNCTION("""COMPUTED_VALUE"""),"Scene x2 ")</f>
        <v>Scene x2 </v>
      </c>
      <c r="E1252" s="190" t="str">
        <f>IFERROR(__xludf.DUMMYFUNCTION("""COMPUTED_VALUE"""),"WR, 1 Target ")</f>
        <v>WR, 1 Target </v>
      </c>
      <c r="F1252" s="190">
        <f>IFERROR(__xludf.DUMMYFUNCTION("""COMPUTED_VALUE"""),4.0)</f>
        <v>4</v>
      </c>
      <c r="G1252" s="190">
        <f>IFERROR(__xludf.DUMMYFUNCTION("""COMPUTED_VALUE"""),6.0)</f>
        <v>6</v>
      </c>
      <c r="H1252" s="191" t="str">
        <f>IFERROR(__xludf.DUMMYFUNCTION("""COMPUTED_VALUE"""),"If Deadly Strike Hits, it is automatically a Critical Hit.
[Advanced]")</f>
        <v>If Deadly Strike Hits, it is automatically a Critical Hit.
[Advanced]</v>
      </c>
      <c r="I1252" s="191" t="str">
        <f>IFERROR(__xludf.DUMMYFUNCTION("""COMPUTED_VALUE"""),"--")</f>
        <v>--</v>
      </c>
      <c r="J1252" s="190" t="str">
        <f>IFERROR(__xludf.DUMMYFUNCTION("""COMPUTED_VALUE"""),"Advanced Weapon")</f>
        <v>Advanced Weapon</v>
      </c>
      <c r="K1252" s="174" t="b">
        <f>IFERROR(__xludf.DUMMYFUNCTION("""COMPUTED_VALUE"""),FALSE)</f>
        <v>0</v>
      </c>
      <c r="L1252" s="174"/>
      <c r="M1252" s="174"/>
      <c r="N1252" s="174"/>
      <c r="O1252" s="174"/>
      <c r="P1252" s="174"/>
      <c r="Q1252" s="174"/>
      <c r="R1252" s="174"/>
      <c r="S1252" s="174"/>
      <c r="T1252" s="174"/>
      <c r="U1252" s="174"/>
      <c r="V1252" s="174"/>
      <c r="W1252" s="174"/>
      <c r="X1252" s="174"/>
      <c r="Y1252" s="174"/>
      <c r="Z1252" s="174"/>
    </row>
    <row r="1253">
      <c r="A1253" s="190" t="str">
        <f>IFERROR(__xludf.DUMMYFUNCTION("""COMPUTED_VALUE"""),"Empowerment")</f>
        <v>Empowerment</v>
      </c>
      <c r="B1253" s="190" t="str">
        <f>IFERROR(__xludf.DUMMYFUNCTION("""COMPUTED_VALUE"""),"Normal")</f>
        <v>Normal</v>
      </c>
      <c r="C1253" s="190" t="str">
        <f>IFERROR(__xludf.DUMMYFUNCTION("""COMPUTED_VALUE"""),"Status")</f>
        <v>Status</v>
      </c>
      <c r="D1253" s="190" t="str">
        <f>IFERROR(__xludf.DUMMYFUNCTION("""COMPUTED_VALUE"""),"EOT")</f>
        <v>EOT</v>
      </c>
      <c r="E1253" s="190" t="str">
        <f>IFERROR(__xludf.DUMMYFUNCTION("""COMPUTED_VALUE"""),"WR, 1 Target; or Self, Versatile")</f>
        <v>WR, 1 Target; or Self, Versatile</v>
      </c>
      <c r="F1253" s="190" t="str">
        <f>IFERROR(__xludf.DUMMYFUNCTION("""COMPUTED_VALUE"""),"--")</f>
        <v>--</v>
      </c>
      <c r="G1253" s="190" t="str">
        <f>IFERROR(__xludf.DUMMYFUNCTION("""COMPUTED_VALUE"""),"--")</f>
        <v>--</v>
      </c>
      <c r="H1253" s="191" t="str">
        <f>IFERROR(__xludf.DUMMYFUNCTION("""COMPUTED_VALUE"""),"The Target gains +2 CS in a Stat of your Choice or their next Attack gains the Sureshot Keyword.
[Advanced] [Arcane or Enhancing]")</f>
        <v>The Target gains +2 CS in a Stat of your Choice or their next Attack gains the Sureshot Keyword.
[Advanced] [Arcane or Enhancing]</v>
      </c>
      <c r="I1253" s="191" t="str">
        <f>IFERROR(__xludf.DUMMYFUNCTION("""COMPUTED_VALUE"""),"The user gains +1 CS in a Stat of their Choice.")</f>
        <v>The user gains +1 CS in a Stat of their Choice.</v>
      </c>
      <c r="J1253" s="190" t="str">
        <f>IFERROR(__xludf.DUMMYFUNCTION("""COMPUTED_VALUE"""),"Advanced Weapon")</f>
        <v>Advanced Weapon</v>
      </c>
      <c r="K1253" s="174" t="b">
        <f>IFERROR(__xludf.DUMMYFUNCTION("""COMPUTED_VALUE"""),FALSE)</f>
        <v>0</v>
      </c>
      <c r="L1253" s="174"/>
      <c r="M1253" s="174"/>
      <c r="N1253" s="174"/>
      <c r="O1253" s="174"/>
      <c r="P1253" s="174"/>
      <c r="Q1253" s="174"/>
      <c r="R1253" s="174"/>
      <c r="S1253" s="174"/>
      <c r="T1253" s="174"/>
      <c r="U1253" s="174"/>
      <c r="V1253" s="174"/>
      <c r="W1253" s="174"/>
      <c r="X1253" s="174"/>
      <c r="Y1253" s="174"/>
      <c r="Z1253" s="174"/>
    </row>
    <row r="1254">
      <c r="A1254" s="190" t="str">
        <f>IFERROR(__xludf.DUMMYFUNCTION("""COMPUTED_VALUE"""),"Elemental Strike")</f>
        <v>Elemental Strike</v>
      </c>
      <c r="B1254" s="190" t="str">
        <f>IFERROR(__xludf.DUMMYFUNCTION("""COMPUTED_VALUE"""),"Normal")</f>
        <v>Normal</v>
      </c>
      <c r="C1254" s="190" t="str">
        <f>IFERROR(__xludf.DUMMYFUNCTION("""COMPUTED_VALUE"""),"WT")</f>
        <v>WT</v>
      </c>
      <c r="D1254" s="190" t="str">
        <f>IFERROR(__xludf.DUMMYFUNCTION("""COMPUTED_VALUE"""),"Scene x2")</f>
        <v>Scene x2</v>
      </c>
      <c r="E1254" s="190" t="str">
        <f>IFERROR(__xludf.DUMMYFUNCTION("""COMPUTED_VALUE"""),"WR, 1 Target")</f>
        <v>WR, 1 Target</v>
      </c>
      <c r="F1254" s="190">
        <f>IFERROR(__xludf.DUMMYFUNCTION("""COMPUTED_VALUE"""),3.0)</f>
        <v>3</v>
      </c>
      <c r="G1254" s="190">
        <f>IFERROR(__xludf.DUMMYFUNCTION("""COMPUTED_VALUE"""),8.0)</f>
        <v>8</v>
      </c>
      <c r="H1254" s="191" t="str">
        <f>IFERROR(__xludf.DUMMYFUNCTION("""COMPUTED_VALUE"""),"This Attack's Type is based on the chosen Type of this Weapon or your Elemental Affinity.
[Advanced] [Elemental]")</f>
        <v>This Attack's Type is based on the chosen Type of this Weapon or your Elemental Affinity.
[Advanced] [Elemental]</v>
      </c>
      <c r="I1254" s="191"/>
      <c r="J1254" s="190" t="str">
        <f>IFERROR(__xludf.DUMMYFUNCTION("""COMPUTED_VALUE"""),"Advanced Weapon")</f>
        <v>Advanced Weapon</v>
      </c>
      <c r="K1254" s="174" t="b">
        <f>IFERROR(__xludf.DUMMYFUNCTION("""COMPUTED_VALUE"""),FALSE)</f>
        <v>0</v>
      </c>
      <c r="L1254" s="174"/>
      <c r="M1254" s="174"/>
      <c r="N1254" s="174"/>
      <c r="O1254" s="174"/>
      <c r="P1254" s="174"/>
      <c r="Q1254" s="174"/>
      <c r="R1254" s="174"/>
      <c r="S1254" s="174"/>
      <c r="T1254" s="174"/>
      <c r="U1254" s="174"/>
      <c r="V1254" s="174"/>
      <c r="W1254" s="174"/>
      <c r="X1254" s="174"/>
      <c r="Y1254" s="174"/>
      <c r="Z1254" s="174"/>
    </row>
    <row r="1255">
      <c r="A1255" s="190" t="str">
        <f>IFERROR(__xludf.DUMMYFUNCTION("""COMPUTED_VALUE"""),"Furious Strikes")</f>
        <v>Furious Strikes</v>
      </c>
      <c r="B1255" s="190" t="str">
        <f>IFERROR(__xludf.DUMMYFUNCTION("""COMPUTED_VALUE"""),"Normal")</f>
        <v>Normal</v>
      </c>
      <c r="C1255" s="190" t="str">
        <f>IFERROR(__xludf.DUMMYFUNCTION("""COMPUTED_VALUE"""),"WT")</f>
        <v>WT</v>
      </c>
      <c r="D1255" s="190" t="str">
        <f>IFERROR(__xludf.DUMMYFUNCTION("""COMPUTED_VALUE"""),"Scene x2 ")</f>
        <v>Scene x2 </v>
      </c>
      <c r="E1255" s="190" t="str">
        <f>IFERROR(__xludf.DUMMYFUNCTION("""COMPUTED_VALUE"""),"WR, 1 Target; or WR, 2 Targets")</f>
        <v>WR, 1 Target; or WR, 2 Targets</v>
      </c>
      <c r="F1255" s="190">
        <f>IFERROR(__xludf.DUMMYFUNCTION("""COMPUTED_VALUE"""),6.0)</f>
        <v>6</v>
      </c>
      <c r="G1255" s="190">
        <f>IFERROR(__xludf.DUMMYFUNCTION("""COMPUTED_VALUE"""),4.0)</f>
        <v>4</v>
      </c>
      <c r="H1255" s="191" t="str">
        <f>IFERROR(__xludf.DUMMYFUNCTION("""COMPUTED_VALUE"""),"If this Attack has 1 Target, it has the Five Strike Keyword. If it has 2 Targets, it has the Double Strike Keyword.
[Advanced]")</f>
        <v>If this Attack has 1 Target, it has the Five Strike Keyword. If it has 2 Targets, it has the Double Strike Keyword.
[Advanced]</v>
      </c>
      <c r="I1255" s="191" t="str">
        <f>IFERROR(__xludf.DUMMYFUNCTION("""COMPUTED_VALUE"""),"--")</f>
        <v>--</v>
      </c>
      <c r="J1255" s="190" t="str">
        <f>IFERROR(__xludf.DUMMYFUNCTION("""COMPUTED_VALUE"""),"Advanced Weapon")</f>
        <v>Advanced Weapon</v>
      </c>
      <c r="K1255" s="174" t="b">
        <f>IFERROR(__xludf.DUMMYFUNCTION("""COMPUTED_VALUE"""),FALSE)</f>
        <v>0</v>
      </c>
      <c r="L1255" s="174"/>
      <c r="M1255" s="174"/>
      <c r="N1255" s="174"/>
      <c r="O1255" s="174"/>
      <c r="P1255" s="174"/>
      <c r="Q1255" s="174"/>
      <c r="R1255" s="174"/>
      <c r="S1255" s="174"/>
      <c r="T1255" s="174"/>
      <c r="U1255" s="174"/>
      <c r="V1255" s="174"/>
      <c r="W1255" s="174"/>
      <c r="X1255" s="174"/>
      <c r="Y1255" s="174"/>
      <c r="Z1255" s="174"/>
    </row>
    <row r="1256">
      <c r="A1256" s="190" t="str">
        <f>IFERROR(__xludf.DUMMYFUNCTION("""COMPUTED_VALUE"""),"Heal Pulse (Weapon)")</f>
        <v>Heal Pulse (Weapon)</v>
      </c>
      <c r="B1256" s="190" t="str">
        <f>IFERROR(__xludf.DUMMYFUNCTION("""COMPUTED_VALUE"""),"Psychic")</f>
        <v>Psychic</v>
      </c>
      <c r="C1256" s="190" t="str">
        <f>IFERROR(__xludf.DUMMYFUNCTION("""COMPUTED_VALUE"""),"Status")</f>
        <v>Status</v>
      </c>
      <c r="D1256" s="190" t="str">
        <f>IFERROR(__xludf.DUMMYFUNCTION("""COMPUTED_VALUE"""),"Scene x2")</f>
        <v>Scene x2</v>
      </c>
      <c r="E1256" s="190" t="str">
        <f>IFERROR(__xludf.DUMMYFUNCTION("""COMPUTED_VALUE"""),"6m, 1 Target, Aura, Healing, Versatile")</f>
        <v>6m, 1 Target, Aura, Healing, Versatile</v>
      </c>
      <c r="F1256" s="190" t="str">
        <f>IFERROR(__xludf.DUMMYFUNCTION("""COMPUTED_VALUE"""),"--")</f>
        <v>--</v>
      </c>
      <c r="G1256" s="190" t="str">
        <f>IFERROR(__xludf.DUMMYFUNCTION("""COMPUTED_VALUE"""),"--")</f>
        <v>--</v>
      </c>
      <c r="H1256" s="191" t="str">
        <f>IFERROR(__xludf.DUMMYFUNCTION("""COMPUTED_VALUE"""),"The Target restores 5 Ticks of Hit Points. If the Weather is Mystical, this may also be used as if it were Burst 1.")</f>
        <v>The Target restores 5 Ticks of Hit Points. If the Weather is Mystical, this may also be used as if it were Burst 1.</v>
      </c>
      <c r="I1256" s="191" t="str">
        <f>IFERROR(__xludf.DUMMYFUNCTION("""COMPUTED_VALUE"""),"The Target restores a Tick of Hit Points. When used this way, it doesn't expend the Frequency of Heal Pulse.")</f>
        <v>The Target restores a Tick of Hit Points. When used this way, it doesn't expend the Frequency of Heal Pulse.</v>
      </c>
      <c r="J1256" s="190" t="str">
        <f>IFERROR(__xludf.DUMMYFUNCTION("""COMPUTED_VALUE"""),"Advanced Weapon")</f>
        <v>Advanced Weapon</v>
      </c>
      <c r="K1256" s="174" t="b">
        <f>IFERROR(__xludf.DUMMYFUNCTION("""COMPUTED_VALUE"""),FALSE)</f>
        <v>0</v>
      </c>
      <c r="L1256" s="174"/>
      <c r="M1256" s="174"/>
      <c r="N1256" s="174"/>
      <c r="O1256" s="174"/>
      <c r="P1256" s="174"/>
      <c r="Q1256" s="174"/>
      <c r="R1256" s="174"/>
      <c r="S1256" s="174"/>
      <c r="T1256" s="174"/>
      <c r="U1256" s="174"/>
      <c r="V1256" s="174"/>
      <c r="W1256" s="174"/>
      <c r="X1256" s="174"/>
      <c r="Y1256" s="174"/>
      <c r="Z1256" s="174"/>
    </row>
    <row r="1257">
      <c r="A1257" s="190" t="str">
        <f>IFERROR(__xludf.DUMMYFUNCTION("""COMPUTED_VALUE"""),"Missile Shot")</f>
        <v>Missile Shot</v>
      </c>
      <c r="B1257" s="190" t="str">
        <f>IFERROR(__xludf.DUMMYFUNCTION("""COMPUTED_VALUE"""),"Normal")</f>
        <v>Normal</v>
      </c>
      <c r="C1257" s="190" t="str">
        <f>IFERROR(__xludf.DUMMYFUNCTION("""COMPUTED_VALUE"""),"Special")</f>
        <v>Special</v>
      </c>
      <c r="D1257" s="190" t="str">
        <f>IFERROR(__xludf.DUMMYFUNCTION("""COMPUTED_VALUE"""),"Scene x2")</f>
        <v>Scene x2</v>
      </c>
      <c r="E1257" s="190" t="str">
        <f>IFERROR(__xludf.DUMMYFUNCTION("""COMPUTED_VALUE"""),"WR, 3 Targets")</f>
        <v>WR, 3 Targets</v>
      </c>
      <c r="F1257" s="190" t="str">
        <f>IFERROR(__xludf.DUMMYFUNCTION("""COMPUTED_VALUE"""),"--")</f>
        <v>--</v>
      </c>
      <c r="G1257" s="190">
        <f>IFERROR(__xludf.DUMMYFUNCTION("""COMPUTED_VALUE"""),5.0)</f>
        <v>5</v>
      </c>
      <c r="H1257" s="191" t="str">
        <f>IFERROR(__xludf.DUMMYFUNCTION("""COMPUTED_VALUE"""),"Smite.
[Advanced] [Arcane and Homing]")</f>
        <v>Smite.
[Advanced] [Arcane and Homing]</v>
      </c>
      <c r="I1257" s="191" t="str">
        <f>IFERROR(__xludf.DUMMYFUNCTION("""COMPUTED_VALUE"""),"--")</f>
        <v>--</v>
      </c>
      <c r="J1257" s="190" t="str">
        <f>IFERROR(__xludf.DUMMYFUNCTION("""COMPUTED_VALUE"""),"Advanced Weapon")</f>
        <v>Advanced Weapon</v>
      </c>
      <c r="K1257" s="174" t="b">
        <f>IFERROR(__xludf.DUMMYFUNCTION("""COMPUTED_VALUE"""),FALSE)</f>
        <v>0</v>
      </c>
      <c r="L1257" s="174"/>
      <c r="M1257" s="174"/>
      <c r="N1257" s="174"/>
      <c r="O1257" s="174"/>
      <c r="P1257" s="174"/>
      <c r="Q1257" s="174"/>
      <c r="R1257" s="174"/>
      <c r="S1257" s="174"/>
      <c r="T1257" s="174"/>
      <c r="U1257" s="174"/>
      <c r="V1257" s="174"/>
      <c r="W1257" s="174"/>
      <c r="X1257" s="174"/>
      <c r="Y1257" s="174"/>
      <c r="Z1257" s="174"/>
    </row>
    <row r="1258">
      <c r="A1258" s="190" t="str">
        <f>IFERROR(__xludf.DUMMYFUNCTION("""COMPUTED_VALUE"""),"Magical Burst")</f>
        <v>Magical Burst</v>
      </c>
      <c r="B1258" s="190" t="str">
        <f>IFERROR(__xludf.DUMMYFUNCTION("""COMPUTED_VALUE"""),"Normal")</f>
        <v>Normal</v>
      </c>
      <c r="C1258" s="190" t="str">
        <f>IFERROR(__xludf.DUMMYFUNCTION("""COMPUTED_VALUE"""),"Special")</f>
        <v>Special</v>
      </c>
      <c r="D1258" s="190" t="str">
        <f>IFERROR(__xludf.DUMMYFUNCTION("""COMPUTED_VALUE"""),"EOT")</f>
        <v>EOT</v>
      </c>
      <c r="E1258" s="190" t="str">
        <f>IFERROR(__xludf.DUMMYFUNCTION("""COMPUTED_VALUE"""),"Burst 1")</f>
        <v>Burst 1</v>
      </c>
      <c r="F1258" s="190">
        <f>IFERROR(__xludf.DUMMYFUNCTION("""COMPUTED_VALUE"""),6.0)</f>
        <v>6</v>
      </c>
      <c r="G1258" s="190">
        <f>IFERROR(__xludf.DUMMYFUNCTION("""COMPUTED_VALUE"""),8.0)</f>
        <v>8</v>
      </c>
      <c r="H1258" s="191" t="str">
        <f>IFERROR(__xludf.DUMMYFUNCTION("""COMPUTED_VALUE"""),"Smite.
[Advanced] [Arcane]")</f>
        <v>Smite.
[Advanced] [Arcane]</v>
      </c>
      <c r="I1258" s="191" t="str">
        <f>IFERROR(__xludf.DUMMYFUNCTION("""COMPUTED_VALUE"""),"--")</f>
        <v>--</v>
      </c>
      <c r="J1258" s="190" t="str">
        <f>IFERROR(__xludf.DUMMYFUNCTION("""COMPUTED_VALUE"""),"Advanced Weapon")</f>
        <v>Advanced Weapon</v>
      </c>
      <c r="K1258" s="174" t="b">
        <f>IFERROR(__xludf.DUMMYFUNCTION("""COMPUTED_VALUE"""),FALSE)</f>
        <v>0</v>
      </c>
      <c r="L1258" s="174"/>
      <c r="M1258" s="174"/>
      <c r="N1258" s="174"/>
      <c r="O1258" s="174"/>
      <c r="P1258" s="174"/>
      <c r="Q1258" s="174"/>
      <c r="R1258" s="174"/>
      <c r="S1258" s="174"/>
      <c r="T1258" s="174"/>
      <c r="U1258" s="174"/>
      <c r="V1258" s="174"/>
      <c r="W1258" s="174"/>
      <c r="X1258" s="174"/>
      <c r="Y1258" s="174"/>
      <c r="Z1258" s="174"/>
    </row>
    <row r="1259">
      <c r="A1259" s="190" t="str">
        <f>IFERROR(__xludf.DUMMYFUNCTION("""COMPUTED_VALUE"""),"Mirror Coat (Weapon)")</f>
        <v>Mirror Coat (Weapon)</v>
      </c>
      <c r="B1259" s="190" t="str">
        <f>IFERROR(__xludf.DUMMYFUNCTION("""COMPUTED_VALUE"""),"Psychic")</f>
        <v>Psychic</v>
      </c>
      <c r="C1259" s="190" t="str">
        <f>IFERROR(__xludf.DUMMYFUNCTION("""COMPUTED_VALUE"""),"Status")</f>
        <v>Status</v>
      </c>
      <c r="D1259" s="190" t="str">
        <f>IFERROR(__xludf.DUMMYFUNCTION("""COMPUTED_VALUE"""),"Scene x2")</f>
        <v>Scene x2</v>
      </c>
      <c r="E1259" s="190" t="str">
        <f>IFERROR(__xludf.DUMMYFUNCTION("""COMPUTED_VALUE"""),"WR, 1 Target, Trigger")</f>
        <v>WR, 1 Target, Trigger</v>
      </c>
      <c r="F1259" s="190" t="str">
        <f>IFERROR(__xludf.DUMMYFUNCTION("""COMPUTED_VALUE"""),"--")</f>
        <v>--</v>
      </c>
      <c r="G1259" s="190" t="str">
        <f>IFERROR(__xludf.DUMMYFUNCTION("""COMPUTED_VALUE"""),"X")</f>
        <v>X</v>
      </c>
      <c r="H1259" s="191" t="str">
        <f>IFERROR(__xludf.DUMMYFUNCTION("""COMPUTED_VALUE"""),"Mirror Coat can only be used as a Standard Action + Reaction whenever you’re hit with a Damaging Special Attack from an Enemy in Range. After the Triggering Attack is resolved, if the user isn’t Fainted, perform this Attack against the Triggering Enemy. T"&amp;"he Damage Base is equal to the Triggering Attack’s DB plus double your Tier Level. Sureshot")</f>
        <v>Mirror Coat can only be used as a Standard Action + Reaction whenever you’re hit with a Damaging Special Attack from an Enemy in Range. After the Triggering Attack is resolved, if the user isn’t Fainted, perform this Attack against the Triggering Enemy. The Damage Base is equal to the Triggering Attack’s DB plus double your Tier Level. Sureshot</v>
      </c>
      <c r="I1259" s="191" t="str">
        <f>IFERROR(__xludf.DUMMYFUNCTION("""COMPUTED_VALUE"""),"--")</f>
        <v>--</v>
      </c>
      <c r="J1259" s="190" t="str">
        <f>IFERROR(__xludf.DUMMYFUNCTION("""COMPUTED_VALUE"""),"Advanced Weapon")</f>
        <v>Advanced Weapon</v>
      </c>
      <c r="K1259" s="174" t="b">
        <f>IFERROR(__xludf.DUMMYFUNCTION("""COMPUTED_VALUE"""),FALSE)</f>
        <v>0</v>
      </c>
      <c r="L1259" s="174"/>
      <c r="M1259" s="174"/>
      <c r="N1259" s="174"/>
      <c r="O1259" s="174"/>
      <c r="P1259" s="174"/>
      <c r="Q1259" s="174"/>
      <c r="R1259" s="174"/>
      <c r="S1259" s="174"/>
      <c r="T1259" s="174"/>
      <c r="U1259" s="174"/>
      <c r="V1259" s="174"/>
      <c r="W1259" s="174"/>
      <c r="X1259" s="174"/>
      <c r="Y1259" s="174"/>
      <c r="Z1259" s="174"/>
    </row>
    <row r="1260">
      <c r="A1260" s="190" t="str">
        <f>IFERROR(__xludf.DUMMYFUNCTION("""COMPUTED_VALUE"""),"Mystic Ward")</f>
        <v>Mystic Ward</v>
      </c>
      <c r="B1260" s="190" t="str">
        <f>IFERROR(__xludf.DUMMYFUNCTION("""COMPUTED_VALUE"""),"Normal")</f>
        <v>Normal</v>
      </c>
      <c r="C1260" s="190" t="str">
        <f>IFERROR(__xludf.DUMMYFUNCTION("""COMPUTED_VALUE"""),"Status")</f>
        <v>Status</v>
      </c>
      <c r="D1260" s="190" t="str">
        <f>IFERROR(__xludf.DUMMYFUNCTION("""COMPUTED_VALUE"""),"EOT")</f>
        <v>EOT</v>
      </c>
      <c r="E1260" s="190" t="str">
        <f>IFERROR(__xludf.DUMMYFUNCTION("""COMPUTED_VALUE"""),"WR, 1 Target or Self; Coat, Versatile")</f>
        <v>WR, 1 Target or Self; Coat, Versatile</v>
      </c>
      <c r="F1260" s="190" t="str">
        <f>IFERROR(__xludf.DUMMYFUNCTION("""COMPUTED_VALUE"""),"--")</f>
        <v>--</v>
      </c>
      <c r="G1260" s="190" t="str">
        <f>IFERROR(__xludf.DUMMYFUNCTION("""COMPUTED_VALUE"""),"--")</f>
        <v>--</v>
      </c>
      <c r="H1260" s="191" t="str">
        <f>IFERROR(__xludf.DUMMYFUNCTION("""COMPUTED_VALUE"""),"The Target gains +2 CS in Special Defense and gains a Warded Coat. Combatants with a Warded Coat may expend it as a Reaction when hit with a Special Attack in order to resist it by an additional damage step.
[Advanced] [Arcane]")</f>
        <v>The Target gains +2 CS in Special Defense and gains a Warded Coat. Combatants with a Warded Coat may expend it as a Reaction when hit with a Special Attack in order to resist it by an additional damage step.
[Advanced] [Arcane]</v>
      </c>
      <c r="I1260" s="191" t="str">
        <f>IFERROR(__xludf.DUMMYFUNCTION("""COMPUTED_VALUE"""),"The Target gains +1 Special Defense CS.")</f>
        <v>The Target gains +1 Special Defense CS.</v>
      </c>
      <c r="J1260" s="190" t="str">
        <f>IFERROR(__xludf.DUMMYFUNCTION("""COMPUTED_VALUE"""),"Advanced Weapon")</f>
        <v>Advanced Weapon</v>
      </c>
      <c r="K1260" s="174" t="b">
        <f>IFERROR(__xludf.DUMMYFUNCTION("""COMPUTED_VALUE"""),FALSE)</f>
        <v>0</v>
      </c>
      <c r="L1260" s="174"/>
      <c r="M1260" s="174"/>
      <c r="N1260" s="174"/>
      <c r="O1260" s="174"/>
      <c r="P1260" s="174"/>
      <c r="Q1260" s="174"/>
      <c r="R1260" s="174"/>
      <c r="S1260" s="174"/>
      <c r="T1260" s="174"/>
      <c r="U1260" s="174"/>
      <c r="V1260" s="174"/>
      <c r="W1260" s="174"/>
      <c r="X1260" s="174"/>
      <c r="Y1260" s="174"/>
      <c r="Z1260" s="174"/>
    </row>
    <row r="1261">
      <c r="A1261" s="190" t="str">
        <f>IFERROR(__xludf.DUMMYFUNCTION("""COMPUTED_VALUE"""),"Parry")</f>
        <v>Parry</v>
      </c>
      <c r="B1261" s="190" t="str">
        <f>IFERROR(__xludf.DUMMYFUNCTION("""COMPUTED_VALUE"""),"Normal")</f>
        <v>Normal</v>
      </c>
      <c r="C1261" s="190" t="str">
        <f>IFERROR(__xludf.DUMMYFUNCTION("""COMPUTED_VALUE"""),"Physical")</f>
        <v>Physical</v>
      </c>
      <c r="D1261" s="190" t="str">
        <f>IFERROR(__xludf.DUMMYFUNCTION("""COMPUTED_VALUE"""),"Scene x2")</f>
        <v>Scene x2</v>
      </c>
      <c r="E1261" s="190" t="str">
        <f>IFERROR(__xludf.DUMMYFUNCTION("""COMPUTED_VALUE"""),"Self, Shield, Trigger")</f>
        <v>Self, Shield, Trigger</v>
      </c>
      <c r="F1261" s="190" t="str">
        <f>IFERROR(__xludf.DUMMYFUNCTION("""COMPUTED_VALUE"""),"--")</f>
        <v>--</v>
      </c>
      <c r="G1261" s="190" t="str">
        <f>IFERROR(__xludf.DUMMYFUNCTION("""COMPUTED_VALUE"""),"--")</f>
        <v>--</v>
      </c>
      <c r="H1261" s="191" t="str">
        <f>IFERROR(__xludf.DUMMYFUNCTION("""COMPUTED_VALUE"""),"If the user is hit by a Melee Attack, the user may use Parry as a Swift Action + Reaction. The user resists the Attack by an additional Damage Step. If they use a Melee Attack against the Triggering Enemy during their next Turn, it has the Sureshot Keywor"&amp;"d.
[Advanced] [Martial and Melee] OR [Defensive]")</f>
        <v>If the user is hit by a Melee Attack, the user may use Parry as a Swift Action + Reaction. The user resists the Attack by an additional Damage Step. If they use a Melee Attack against the Triggering Enemy during their next Turn, it has the Sureshot Keyword.
[Advanced] [Martial and Melee] OR [Defensive]</v>
      </c>
      <c r="I1261" s="191" t="str">
        <f>IFERROR(__xludf.DUMMYFUNCTION("""COMPUTED_VALUE"""),"--")</f>
        <v>--</v>
      </c>
      <c r="J1261" s="190" t="str">
        <f>IFERROR(__xludf.DUMMYFUNCTION("""COMPUTED_VALUE"""),"Advanced Weapon")</f>
        <v>Advanced Weapon</v>
      </c>
      <c r="K1261" s="174" t="b">
        <f>IFERROR(__xludf.DUMMYFUNCTION("""COMPUTED_VALUE"""),FALSE)</f>
        <v>0</v>
      </c>
      <c r="L1261" s="174"/>
      <c r="M1261" s="174"/>
      <c r="N1261" s="174"/>
      <c r="O1261" s="174"/>
      <c r="P1261" s="174"/>
      <c r="Q1261" s="174"/>
      <c r="R1261" s="174"/>
      <c r="S1261" s="174"/>
      <c r="T1261" s="174"/>
      <c r="U1261" s="174"/>
      <c r="V1261" s="174"/>
      <c r="W1261" s="174"/>
      <c r="X1261" s="174"/>
      <c r="Y1261" s="174"/>
      <c r="Z1261" s="174"/>
    </row>
    <row r="1262">
      <c r="A1262" s="190" t="str">
        <f>IFERROR(__xludf.DUMMYFUNCTION("""COMPUTED_VALUE"""),"Reckless Strike")</f>
        <v>Reckless Strike</v>
      </c>
      <c r="B1262" s="190" t="str">
        <f>IFERROR(__xludf.DUMMYFUNCTION("""COMPUTED_VALUE"""),"Normal")</f>
        <v>Normal</v>
      </c>
      <c r="C1262" s="190" t="str">
        <f>IFERROR(__xludf.DUMMYFUNCTION("""COMPUTED_VALUE"""),"WT")</f>
        <v>WT</v>
      </c>
      <c r="D1262" s="190" t="str">
        <f>IFERROR(__xludf.DUMMYFUNCTION("""COMPUTED_VALUE"""),"Scene x2")</f>
        <v>Scene x2</v>
      </c>
      <c r="E1262" s="190" t="str">
        <f>IFERROR(__xludf.DUMMYFUNCTION("""COMPUTED_VALUE"""),"WR, 1 Target, Recoil 1/3, Reckless")</f>
        <v>WR, 1 Target, Recoil 1/3, Reckless</v>
      </c>
      <c r="F1262" s="190">
        <f>IFERROR(__xludf.DUMMYFUNCTION("""COMPUTED_VALUE"""),3.0)</f>
        <v>3</v>
      </c>
      <c r="G1262" s="190">
        <f>IFERROR(__xludf.DUMMYFUNCTION("""COMPUTED_VALUE"""),12.0)</f>
        <v>12</v>
      </c>
      <c r="H1262" s="191" t="str">
        <f>IFERROR(__xludf.DUMMYFUNCTION("""COMPUTED_VALUE"""),"Smite.
[Advanced] [Large]")</f>
        <v>Smite.
[Advanced] [Large]</v>
      </c>
      <c r="I1262" s="191" t="str">
        <f>IFERROR(__xludf.DUMMYFUNCTION("""COMPUTED_VALUE"""),"--")</f>
        <v>--</v>
      </c>
      <c r="J1262" s="190" t="str">
        <f>IFERROR(__xludf.DUMMYFUNCTION("""COMPUTED_VALUE"""),"Advanced Weapon")</f>
        <v>Advanced Weapon</v>
      </c>
      <c r="K1262" s="174" t="b">
        <f>IFERROR(__xludf.DUMMYFUNCTION("""COMPUTED_VALUE"""),FALSE)</f>
        <v>0</v>
      </c>
      <c r="L1262" s="174"/>
      <c r="M1262" s="174"/>
      <c r="N1262" s="174"/>
      <c r="O1262" s="174"/>
      <c r="P1262" s="174"/>
      <c r="Q1262" s="174"/>
      <c r="R1262" s="174"/>
      <c r="S1262" s="174"/>
      <c r="T1262" s="174"/>
      <c r="U1262" s="174"/>
      <c r="V1262" s="174"/>
      <c r="W1262" s="174"/>
      <c r="X1262" s="174"/>
      <c r="Y1262" s="174"/>
      <c r="Z1262" s="174"/>
    </row>
    <row r="1263">
      <c r="A1263" s="190" t="str">
        <f>IFERROR(__xludf.DUMMYFUNCTION("""COMPUTED_VALUE"""),"Riposte")</f>
        <v>Riposte</v>
      </c>
      <c r="B1263" s="190" t="str">
        <f>IFERROR(__xludf.DUMMYFUNCTION("""COMPUTED_VALUE"""),"Normal")</f>
        <v>Normal</v>
      </c>
      <c r="C1263" s="190" t="str">
        <f>IFERROR(__xludf.DUMMYFUNCTION("""COMPUTED_VALUE"""),"WT")</f>
        <v>WT</v>
      </c>
      <c r="D1263" s="190" t="str">
        <f>IFERROR(__xludf.DUMMYFUNCTION("""COMPUTED_VALUE"""),"Scene x2")</f>
        <v>Scene x2</v>
      </c>
      <c r="E1263" s="190" t="str">
        <f>IFERROR(__xludf.DUMMYFUNCTION("""COMPUTED_VALUE"""),"Melee, 1 Target, Trigger")</f>
        <v>Melee, 1 Target, Trigger</v>
      </c>
      <c r="F1263" s="190" t="str">
        <f>IFERROR(__xludf.DUMMYFUNCTION("""COMPUTED_VALUE"""),"--")</f>
        <v>--</v>
      </c>
      <c r="G1263" s="190">
        <f>IFERROR(__xludf.DUMMYFUNCTION("""COMPUTED_VALUE"""),11.0)</f>
        <v>11</v>
      </c>
      <c r="H1263" s="191" t="str">
        <f>IFERROR(__xludf.DUMMYFUNCTION("""COMPUTED_VALUE"""),"Riposte can only be used as a Standard Action + Reaction when an Adjacent Enemy misses you with an Attack. Sureshot.
[Advanced] [Martial and Melee]")</f>
        <v>Riposte can only be used as a Standard Action + Reaction when an Adjacent Enemy misses you with an Attack. Sureshot.
[Advanced] [Martial and Melee]</v>
      </c>
      <c r="I1263" s="191" t="str">
        <f>IFERROR(__xludf.DUMMYFUNCTION("""COMPUTED_VALUE"""),"--")</f>
        <v>--</v>
      </c>
      <c r="J1263" s="190" t="str">
        <f>IFERROR(__xludf.DUMMYFUNCTION("""COMPUTED_VALUE"""),"Advanced Weapon")</f>
        <v>Advanced Weapon</v>
      </c>
      <c r="K1263" s="174" t="b">
        <f>IFERROR(__xludf.DUMMYFUNCTION("""COMPUTED_VALUE"""),FALSE)</f>
        <v>0</v>
      </c>
      <c r="L1263" s="174"/>
      <c r="M1263" s="174"/>
      <c r="N1263" s="174"/>
      <c r="O1263" s="174"/>
      <c r="P1263" s="174"/>
      <c r="Q1263" s="174"/>
      <c r="R1263" s="174"/>
      <c r="S1263" s="174"/>
      <c r="T1263" s="174"/>
      <c r="U1263" s="174"/>
      <c r="V1263" s="174"/>
      <c r="W1263" s="174"/>
      <c r="X1263" s="174"/>
      <c r="Y1263" s="174"/>
      <c r="Z1263" s="174"/>
    </row>
    <row r="1264">
      <c r="A1264" s="190" t="str">
        <f>IFERROR(__xludf.DUMMYFUNCTION("""COMPUTED_VALUE"""),"Rushing Strike")</f>
        <v>Rushing Strike</v>
      </c>
      <c r="B1264" s="190" t="str">
        <f>IFERROR(__xludf.DUMMYFUNCTION("""COMPUTED_VALUE"""),"Normal")</f>
        <v>Normal</v>
      </c>
      <c r="C1264" s="190" t="str">
        <f>IFERROR(__xludf.DUMMYFUNCTION("""COMPUTED_VALUE"""),"WT")</f>
        <v>WT</v>
      </c>
      <c r="D1264" s="190" t="str">
        <f>IFERROR(__xludf.DUMMYFUNCTION("""COMPUTED_VALUE"""),"EOT")</f>
        <v>EOT</v>
      </c>
      <c r="E1264" s="190" t="str">
        <f>IFERROR(__xludf.DUMMYFUNCTION("""COMPUTED_VALUE"""),"Melee, Dash")</f>
        <v>Melee, Dash</v>
      </c>
      <c r="F1264" s="190">
        <f>IFERROR(__xludf.DUMMYFUNCTION("""COMPUTED_VALUE"""),4.0)</f>
        <v>4</v>
      </c>
      <c r="G1264" s="190">
        <f>IFERROR(__xludf.DUMMYFUNCTION("""COMPUTED_VALUE"""),8.0)</f>
        <v>8</v>
      </c>
      <c r="H1264" s="191" t="str">
        <f>IFERROR(__xludf.DUMMYFUNCTION("""COMPUTED_VALUE"""),"If the Dash Keyword is Activated, this Attack may gain the Pass Keyword. Smite.
[Advanced] [Melee]")</f>
        <v>If the Dash Keyword is Activated, this Attack may gain the Pass Keyword. Smite.
[Advanced] [Melee]</v>
      </c>
      <c r="I1264" s="191"/>
      <c r="J1264" s="190" t="str">
        <f>IFERROR(__xludf.DUMMYFUNCTION("""COMPUTED_VALUE"""),"Advanced Weapon")</f>
        <v>Advanced Weapon</v>
      </c>
      <c r="K1264" s="174" t="b">
        <f>IFERROR(__xludf.DUMMYFUNCTION("""COMPUTED_VALUE"""),FALSE)</f>
        <v>0</v>
      </c>
      <c r="L1264" s="174"/>
      <c r="M1264" s="174"/>
      <c r="N1264" s="174"/>
      <c r="O1264" s="174"/>
      <c r="P1264" s="174"/>
      <c r="Q1264" s="174"/>
      <c r="R1264" s="174"/>
      <c r="S1264" s="174"/>
      <c r="T1264" s="174"/>
      <c r="U1264" s="174"/>
      <c r="V1264" s="174"/>
      <c r="W1264" s="174"/>
      <c r="X1264" s="174"/>
      <c r="Y1264" s="174"/>
      <c r="Z1264" s="174"/>
    </row>
    <row r="1265">
      <c r="A1265" s="190" t="str">
        <f>IFERROR(__xludf.DUMMYFUNCTION("""COMPUTED_VALUE"""),"Shield")</f>
        <v>Shield</v>
      </c>
      <c r="B1265" s="190" t="str">
        <f>IFERROR(__xludf.DUMMYFUNCTION("""COMPUTED_VALUE"""),"Normal")</f>
        <v>Normal</v>
      </c>
      <c r="C1265" s="190" t="str">
        <f>IFERROR(__xludf.DUMMYFUNCTION("""COMPUTED_VALUE"""),"Status")</f>
        <v>Status</v>
      </c>
      <c r="D1265" s="190" t="str">
        <f>IFERROR(__xludf.DUMMYFUNCTION("""COMPUTED_VALUE"""),"Scene")</f>
        <v>Scene</v>
      </c>
      <c r="E1265" s="190" t="str">
        <f>IFERROR(__xludf.DUMMYFUNCTION("""COMPUTED_VALUE"""),"WR, 1 Target, Shield, Trigger")</f>
        <v>WR, 1 Target, Shield, Trigger</v>
      </c>
      <c r="F1265" s="190" t="str">
        <f>IFERROR(__xludf.DUMMYFUNCTION("""COMPUTED_VALUE"""),"--")</f>
        <v>--</v>
      </c>
      <c r="G1265" s="190" t="str">
        <f>IFERROR(__xludf.DUMMYFUNCTION("""COMPUTED_VALUE"""),"--")</f>
        <v>--</v>
      </c>
      <c r="H1265" s="191" t="str">
        <f>IFERROR(__xludf.DUMMYFUNCTION("""COMPUTED_VALUE"""),"If an Ally within your Weapon Range is hit by an Attack, you may use Shield as a Standard Action + Reaction. The Ally is instead not hit by the Triggering Attack and does not suffer any of its effects. If the Ally was Adjacent to the user, they also gain "&amp;"Damage Reduction equal to your Tick Value until the start of your next Turn.
[Advanced] [Arcane or Defensive]")</f>
        <v>If an Ally within your Weapon Range is hit by an Attack, you may use Shield as a Standard Action + Reaction. The Ally is instead not hit by the Triggering Attack and does not suffer any of its effects. If the Ally was Adjacent to the user, they also gain Damage Reduction equal to your Tick Value until the start of your next Turn.
[Advanced] [Arcane or Defensive]</v>
      </c>
      <c r="I1265" s="191" t="str">
        <f>IFERROR(__xludf.DUMMYFUNCTION("""COMPUTED_VALUE"""),"--")</f>
        <v>--</v>
      </c>
      <c r="J1265" s="190" t="str">
        <f>IFERROR(__xludf.DUMMYFUNCTION("""COMPUTED_VALUE"""),"Advanced Weapon")</f>
        <v>Advanced Weapon</v>
      </c>
      <c r="K1265" s="174" t="b">
        <f>IFERROR(__xludf.DUMMYFUNCTION("""COMPUTED_VALUE"""),FALSE)</f>
        <v>0</v>
      </c>
      <c r="L1265" s="174"/>
      <c r="M1265" s="174"/>
      <c r="N1265" s="174"/>
      <c r="O1265" s="174"/>
      <c r="P1265" s="174"/>
      <c r="Q1265" s="174"/>
      <c r="R1265" s="174"/>
      <c r="S1265" s="174"/>
      <c r="T1265" s="174"/>
      <c r="U1265" s="174"/>
      <c r="V1265" s="174"/>
      <c r="W1265" s="174"/>
      <c r="X1265" s="174"/>
      <c r="Y1265" s="174"/>
      <c r="Z1265" s="174"/>
    </row>
    <row r="1266">
      <c r="A1266" s="190" t="str">
        <f>IFERROR(__xludf.DUMMYFUNCTION("""COMPUTED_VALUE"""),"Slicing Strike")</f>
        <v>Slicing Strike</v>
      </c>
      <c r="B1266" s="190" t="str">
        <f>IFERROR(__xludf.DUMMYFUNCTION("""COMPUTED_VALUE"""),"Normal")</f>
        <v>Normal</v>
      </c>
      <c r="C1266" s="190" t="str">
        <f>IFERROR(__xludf.DUMMYFUNCTION("""COMPUTED_VALUE"""),"WT")</f>
        <v>WT</v>
      </c>
      <c r="D1266" s="190" t="str">
        <f>IFERROR(__xludf.DUMMYFUNCTION("""COMPUTED_VALUE"""),"Scene x2")</f>
        <v>Scene x2</v>
      </c>
      <c r="E1266" s="190" t="str">
        <f>IFERROR(__xludf.DUMMYFUNCTION("""COMPUTED_VALUE"""),"Melee, Pass")</f>
        <v>Melee, Pass</v>
      </c>
      <c r="F1266" s="190">
        <f>IFERROR(__xludf.DUMMYFUNCTION("""COMPUTED_VALUE"""),6.0)</f>
        <v>6</v>
      </c>
      <c r="G1266" s="190">
        <f>IFERROR(__xludf.DUMMYFUNCTION("""COMPUTED_VALUE"""),9.0)</f>
        <v>9</v>
      </c>
      <c r="H1266" s="191" t="str">
        <f>IFERROR(__xludf.DUMMYFUNCTION("""COMPUTED_VALUE"""),"Slicing Strike is a Critical Hit on a roll of 18+. If this Attack only has one Target it has the Smite Keyword.
[Advanced] [Melee]")</f>
        <v>Slicing Strike is a Critical Hit on a roll of 18+. If this Attack only has one Target it has the Smite Keyword.
[Advanced] [Melee]</v>
      </c>
      <c r="I1266" s="191" t="str">
        <f>IFERROR(__xludf.DUMMYFUNCTION("""COMPUTED_VALUE"""),"--")</f>
        <v>--</v>
      </c>
      <c r="J1266" s="190" t="str">
        <f>IFERROR(__xludf.DUMMYFUNCTION("""COMPUTED_VALUE"""),"Advanced Weapon")</f>
        <v>Advanced Weapon</v>
      </c>
      <c r="K1266" s="174" t="b">
        <f>IFERROR(__xludf.DUMMYFUNCTION("""COMPUTED_VALUE"""),FALSE)</f>
        <v>0</v>
      </c>
      <c r="L1266" s="174"/>
      <c r="M1266" s="174"/>
      <c r="N1266" s="174"/>
      <c r="O1266" s="174"/>
      <c r="P1266" s="174"/>
      <c r="Q1266" s="174"/>
      <c r="R1266" s="174"/>
      <c r="S1266" s="174"/>
      <c r="T1266" s="174"/>
      <c r="U1266" s="174"/>
      <c r="V1266" s="174"/>
      <c r="W1266" s="174"/>
      <c r="X1266" s="174"/>
      <c r="Y1266" s="174"/>
      <c r="Z1266" s="174"/>
    </row>
    <row r="1267">
      <c r="A1267" s="190" t="str">
        <f>IFERROR(__xludf.DUMMYFUNCTION("""COMPUTED_VALUE"""),"Sweeping Strike")</f>
        <v>Sweeping Strike</v>
      </c>
      <c r="B1267" s="190" t="str">
        <f>IFERROR(__xludf.DUMMYFUNCTION("""COMPUTED_VALUE"""),"Normal")</f>
        <v>Normal</v>
      </c>
      <c r="C1267" s="190" t="str">
        <f>IFERROR(__xludf.DUMMYFUNCTION("""COMPUTED_VALUE"""),"WT")</f>
        <v>WT</v>
      </c>
      <c r="D1267" s="190" t="str">
        <f>IFERROR(__xludf.DUMMYFUNCTION("""COMPUTED_VALUE"""),"Scene x2")</f>
        <v>Scene x2</v>
      </c>
      <c r="E1267" s="190" t="str">
        <f>IFERROR(__xludf.DUMMYFUNCTION("""COMPUTED_VALUE"""),"Burst 1 or Close Blast 2, Full Action")</f>
        <v>Burst 1 or Close Blast 2, Full Action</v>
      </c>
      <c r="F1267" s="190">
        <f>IFERROR(__xludf.DUMMYFUNCTION("""COMPUTED_VALUE"""),6.0)</f>
        <v>6</v>
      </c>
      <c r="G1267" s="190">
        <f>IFERROR(__xludf.DUMMYFUNCTION("""COMPUTED_VALUE"""),9.0)</f>
        <v>9</v>
      </c>
      <c r="H1267" s="191" t="str">
        <f>IFERROR(__xludf.DUMMYFUNCTION("""COMPUTED_VALUE"""),"You may perform a Trip Maneuver against all Targets as a Swift Action. Spirit Surge
[Advanced] [Melee]")</f>
        <v>You may perform a Trip Maneuver against all Targets as a Swift Action. Spirit Surge
[Advanced] [Melee]</v>
      </c>
      <c r="I1267" s="191" t="str">
        <f>IFERROR(__xludf.DUMMYFUNCTION("""COMPUTED_VALUE"""),"--")</f>
        <v>--</v>
      </c>
      <c r="J1267" s="190" t="str">
        <f>IFERROR(__xludf.DUMMYFUNCTION("""COMPUTED_VALUE"""),"Advanced Weapon")</f>
        <v>Advanced Weapon</v>
      </c>
      <c r="K1267" s="174" t="b">
        <f>IFERROR(__xludf.DUMMYFUNCTION("""COMPUTED_VALUE"""),FALSE)</f>
        <v>0</v>
      </c>
      <c r="L1267" s="174"/>
      <c r="M1267" s="174"/>
      <c r="N1267" s="174"/>
      <c r="O1267" s="174"/>
      <c r="P1267" s="174"/>
      <c r="Q1267" s="174"/>
      <c r="R1267" s="174"/>
      <c r="S1267" s="174"/>
      <c r="T1267" s="174"/>
      <c r="U1267" s="174"/>
      <c r="V1267" s="174"/>
      <c r="W1267" s="174"/>
      <c r="X1267" s="174"/>
      <c r="Y1267" s="174"/>
      <c r="Z1267" s="174"/>
    </row>
    <row r="1268">
      <c r="A1268" s="190" t="str">
        <f>IFERROR(__xludf.DUMMYFUNCTION("""COMPUTED_VALUE"""),"Trick Shot")</f>
        <v>Trick Shot</v>
      </c>
      <c r="B1268" s="190" t="str">
        <f>IFERROR(__xludf.DUMMYFUNCTION("""COMPUTED_VALUE"""),"Normal")</f>
        <v>Normal</v>
      </c>
      <c r="C1268" s="190" t="str">
        <f>IFERROR(__xludf.DUMMYFUNCTION("""COMPUTED_VALUE"""),"WT")</f>
        <v>WT</v>
      </c>
      <c r="D1268" s="190" t="str">
        <f>IFERROR(__xludf.DUMMYFUNCTION("""COMPUTED_VALUE"""),"EOT")</f>
        <v>EOT</v>
      </c>
      <c r="E1268" s="190" t="str">
        <f>IFERROR(__xludf.DUMMYFUNCTION("""COMPUTED_VALUE"""),"WR, 1 Target")</f>
        <v>WR, 1 Target</v>
      </c>
      <c r="F1268" s="190">
        <f>IFERROR(__xludf.DUMMYFUNCTION("""COMPUTED_VALUE"""),4.0)</f>
        <v>4</v>
      </c>
      <c r="G1268" s="190">
        <f>IFERROR(__xludf.DUMMYFUNCTION("""COMPUTED_VALUE"""),8.0)</f>
        <v>8</v>
      </c>
      <c r="H1268" s="191" t="str">
        <f>IFERROR(__xludf.DUMMYFUNCTION("""COMPUTED_VALUE"""),"If the Target is Adjacent to Blocking or Cover Terrain, this Attack gains the Sureshot Keyword. This also may do damage to the Adjacent Terrain if desired.
[Advanced] [Ranged]")</f>
        <v>If the Target is Adjacent to Blocking or Cover Terrain, this Attack gains the Sureshot Keyword. This also may do damage to the Adjacent Terrain if desired.
[Advanced] [Ranged]</v>
      </c>
      <c r="I1268" s="191"/>
      <c r="J1268" s="190" t="str">
        <f>IFERROR(__xludf.DUMMYFUNCTION("""COMPUTED_VALUE"""),"Advanced Weapon")</f>
        <v>Advanced Weapon</v>
      </c>
      <c r="K1268" s="174" t="b">
        <f>IFERROR(__xludf.DUMMYFUNCTION("""COMPUTED_VALUE"""),FALSE)</f>
        <v>0</v>
      </c>
      <c r="L1268" s="174"/>
      <c r="M1268" s="174"/>
      <c r="N1268" s="174"/>
      <c r="O1268" s="174"/>
      <c r="P1268" s="174"/>
      <c r="Q1268" s="174"/>
      <c r="R1268" s="174"/>
      <c r="S1268" s="174"/>
      <c r="T1268" s="174"/>
      <c r="U1268" s="174"/>
      <c r="V1268" s="174"/>
      <c r="W1268" s="174"/>
      <c r="X1268" s="174"/>
      <c r="Y1268" s="174"/>
      <c r="Z1268" s="174"/>
    </row>
    <row r="1269">
      <c r="A1269" s="190" t="str">
        <f>IFERROR(__xludf.DUMMYFUNCTION("""COMPUTED_VALUE"""),"Wild Whirlwind")</f>
        <v>Wild Whirlwind</v>
      </c>
      <c r="B1269" s="190" t="str">
        <f>IFERROR(__xludf.DUMMYFUNCTION("""COMPUTED_VALUE"""),"Normal")</f>
        <v>Normal</v>
      </c>
      <c r="C1269" s="190" t="str">
        <f>IFERROR(__xludf.DUMMYFUNCTION("""COMPUTED_VALUE"""),"WT")</f>
        <v>WT</v>
      </c>
      <c r="D1269" s="190" t="str">
        <f>IFERROR(__xludf.DUMMYFUNCTION("""COMPUTED_VALUE"""),"Scene x2")</f>
        <v>Scene x2</v>
      </c>
      <c r="E1269" s="190" t="str">
        <f>IFERROR(__xludf.DUMMYFUNCTION("""COMPUTED_VALUE"""),"Burst 2, Full Action, Reckless")</f>
        <v>Burst 2, Full Action, Reckless</v>
      </c>
      <c r="F1269" s="190">
        <f>IFERROR(__xludf.DUMMYFUNCTION("""COMPUTED_VALUE"""),6.0)</f>
        <v>6</v>
      </c>
      <c r="G1269" s="190">
        <f>IFERROR(__xludf.DUMMYFUNCTION("""COMPUTED_VALUE"""),9.0)</f>
        <v>9</v>
      </c>
      <c r="H1269" s="191" t="str">
        <f>IFERROR(__xludf.DUMMYFUNCTION("""COMPUTED_VALUE"""),"If the user misses all Targets with this Attack, they cannot apply Speed Evasion until the start of their next Turn. Smite.
[Advanced]")</f>
        <v>If the user misses all Targets with this Attack, they cannot apply Speed Evasion until the start of their next Turn. Smite.
[Advanced]</v>
      </c>
      <c r="I1269" s="191" t="str">
        <f>IFERROR(__xludf.DUMMYFUNCTION("""COMPUTED_VALUE"""),"--")</f>
        <v>--</v>
      </c>
      <c r="J1269" s="190" t="str">
        <f>IFERROR(__xludf.DUMMYFUNCTION("""COMPUTED_VALUE"""),"Advanced Weapon")</f>
        <v>Advanced Weapon</v>
      </c>
      <c r="K1269" s="174" t="b">
        <f>IFERROR(__xludf.DUMMYFUNCTION("""COMPUTED_VALUE"""),FALSE)</f>
        <v>0</v>
      </c>
      <c r="L1269" s="174"/>
      <c r="M1269" s="174"/>
      <c r="N1269" s="174"/>
      <c r="O1269" s="174"/>
      <c r="P1269" s="174"/>
      <c r="Q1269" s="174"/>
      <c r="R1269" s="174"/>
      <c r="S1269" s="174"/>
      <c r="T1269" s="174"/>
      <c r="U1269" s="174"/>
      <c r="V1269" s="174"/>
      <c r="W1269" s="174"/>
      <c r="X1269" s="174"/>
      <c r="Y1269" s="174"/>
      <c r="Z1269" s="174"/>
    </row>
    <row r="1270">
      <c r="A1270" s="190" t="str">
        <f>IFERROR(__xludf.DUMMYFUNCTION("""COMPUTED_VALUE"""),"Arcane Storm")</f>
        <v>Arcane Storm</v>
      </c>
      <c r="B1270" s="190" t="str">
        <f>IFERROR(__xludf.DUMMYFUNCTION("""COMPUTED_VALUE"""),"Normal")</f>
        <v>Normal</v>
      </c>
      <c r="C1270" s="190" t="str">
        <f>IFERROR(__xludf.DUMMYFUNCTION("""COMPUTED_VALUE"""),"Special")</f>
        <v>Special</v>
      </c>
      <c r="D1270" s="190" t="str">
        <f>IFERROR(__xludf.DUMMYFUNCTION("""COMPUTED_VALUE"""),"Scene")</f>
        <v>Scene</v>
      </c>
      <c r="E1270" s="190" t="str">
        <f>IFERROR(__xludf.DUMMYFUNCTION("""COMPUTED_VALUE"""),"WR, Blast 3, Reckless, Full Action")</f>
        <v>WR, Blast 3, Reckless, Full Action</v>
      </c>
      <c r="F1270" s="190">
        <f>IFERROR(__xludf.DUMMYFUNCTION("""COMPUTED_VALUE"""),6.0)</f>
        <v>6</v>
      </c>
      <c r="G1270" s="190">
        <f>IFERROR(__xludf.DUMMYFUNCTION("""COMPUTED_VALUE"""),13.0)</f>
        <v>13</v>
      </c>
      <c r="H1270" s="191" t="str">
        <f>IFERROR(__xludf.DUMMYFUNCTION("""COMPUTED_VALUE"""),"After Attack Resolution, the user loses -2 CS in the Offensive Stat used for this Attack. Smite.
[Master] [Arcane]")</f>
        <v>After Attack Resolution, the user loses -2 CS in the Offensive Stat used for this Attack. Smite.
[Master] [Arcane]</v>
      </c>
      <c r="I1270" s="191" t="str">
        <f>IFERROR(__xludf.DUMMYFUNCTION("""COMPUTED_VALUE"""),"--")</f>
        <v>--</v>
      </c>
      <c r="J1270" s="190" t="str">
        <f>IFERROR(__xludf.DUMMYFUNCTION("""COMPUTED_VALUE"""),"Master Weapon")</f>
        <v>Master Weapon</v>
      </c>
      <c r="K1270" s="174" t="b">
        <f>IFERROR(__xludf.DUMMYFUNCTION("""COMPUTED_VALUE"""),FALSE)</f>
        <v>0</v>
      </c>
      <c r="L1270" s="174"/>
      <c r="M1270" s="174"/>
      <c r="N1270" s="174"/>
      <c r="O1270" s="174"/>
      <c r="P1270" s="174"/>
      <c r="Q1270" s="174"/>
      <c r="R1270" s="174"/>
      <c r="S1270" s="174"/>
      <c r="T1270" s="174"/>
      <c r="U1270" s="174"/>
      <c r="V1270" s="174"/>
      <c r="W1270" s="174"/>
      <c r="X1270" s="174"/>
      <c r="Y1270" s="174"/>
      <c r="Z1270" s="174"/>
    </row>
    <row r="1271">
      <c r="A1271" s="190" t="str">
        <f>IFERROR(__xludf.DUMMYFUNCTION("""COMPUTED_VALUE"""),"Deadly Volley")</f>
        <v>Deadly Volley</v>
      </c>
      <c r="B1271" s="190" t="str">
        <f>IFERROR(__xludf.DUMMYFUNCTION("""COMPUTED_VALUE"""),"Normal")</f>
        <v>Normal</v>
      </c>
      <c r="C1271" s="190" t="str">
        <f>IFERROR(__xludf.DUMMYFUNCTION("""COMPUTED_VALUE"""),"WT")</f>
        <v>WT</v>
      </c>
      <c r="D1271" s="190" t="str">
        <f>IFERROR(__xludf.DUMMYFUNCTION("""COMPUTED_VALUE"""),"Scene x2")</f>
        <v>Scene x2</v>
      </c>
      <c r="E1271" s="190" t="str">
        <f>IFERROR(__xludf.DUMMYFUNCTION("""COMPUTED_VALUE"""),"WR, Ranged Blast 3")</f>
        <v>WR, Ranged Blast 3</v>
      </c>
      <c r="F1271" s="190">
        <f>IFERROR(__xludf.DUMMYFUNCTION("""COMPUTED_VALUE"""),6.0)</f>
        <v>6</v>
      </c>
      <c r="G1271" s="190">
        <f>IFERROR(__xludf.DUMMYFUNCTION("""COMPUTED_VALUE"""),7.0)</f>
        <v>7</v>
      </c>
      <c r="H1271" s="191" t="str">
        <f>IFERROR(__xludf.DUMMYFUNCTION("""COMPUTED_VALUE"""),"If Both Rolls for Double Strike Miss, this instead deals Damage as if it had the Smite Keyword. Double Strike.
[Master] [Ranged]")</f>
        <v>If Both Rolls for Double Strike Miss, this instead deals Damage as if it had the Smite Keyword. Double Strike.
[Master] [Ranged]</v>
      </c>
      <c r="I1271" s="191"/>
      <c r="J1271" s="190" t="str">
        <f>IFERROR(__xludf.DUMMYFUNCTION("""COMPUTED_VALUE"""),"Master Weapon")</f>
        <v>Master Weapon</v>
      </c>
      <c r="K1271" s="174" t="b">
        <f>IFERROR(__xludf.DUMMYFUNCTION("""COMPUTED_VALUE"""),FALSE)</f>
        <v>0</v>
      </c>
      <c r="L1271" s="174"/>
      <c r="M1271" s="174"/>
      <c r="N1271" s="174"/>
      <c r="O1271" s="174"/>
      <c r="P1271" s="174"/>
      <c r="Q1271" s="174"/>
      <c r="R1271" s="174"/>
      <c r="S1271" s="174"/>
      <c r="T1271" s="174"/>
      <c r="U1271" s="174"/>
      <c r="V1271" s="174"/>
      <c r="W1271" s="174"/>
      <c r="X1271" s="174"/>
      <c r="Y1271" s="174"/>
      <c r="Z1271" s="174"/>
    </row>
    <row r="1272">
      <c r="A1272" s="190" t="str">
        <f>IFERROR(__xludf.DUMMYFUNCTION("""COMPUTED_VALUE"""),"Fierce Assault")</f>
        <v>Fierce Assault</v>
      </c>
      <c r="B1272" s="190" t="str">
        <f>IFERROR(__xludf.DUMMYFUNCTION("""COMPUTED_VALUE"""),"Normal")</f>
        <v>Normal</v>
      </c>
      <c r="C1272" s="190" t="str">
        <f>IFERROR(__xludf.DUMMYFUNCTION("""COMPUTED_VALUE"""),"WT")</f>
        <v>WT</v>
      </c>
      <c r="D1272" s="190" t="str">
        <f>IFERROR(__xludf.DUMMYFUNCTION("""COMPUTED_VALUE"""),"Scene x2")</f>
        <v>Scene x2</v>
      </c>
      <c r="E1272" s="190" t="str">
        <f>IFERROR(__xludf.DUMMYFUNCTION("""COMPUTED_VALUE"""),"Melee, Dash")</f>
        <v>Melee, Dash</v>
      </c>
      <c r="F1272" s="190">
        <f>IFERROR(__xludf.DUMMYFUNCTION("""COMPUTED_VALUE"""),3.0)</f>
        <v>3</v>
      </c>
      <c r="G1272" s="190">
        <f>IFERROR(__xludf.DUMMYFUNCTION("""COMPUTED_VALUE"""),10.0)</f>
        <v>10</v>
      </c>
      <c r="H1272" s="191" t="str">
        <f>IFERROR(__xludf.DUMMYFUNCTION("""COMPUTED_VALUE"""),"If the Dash Keyword is activated, this Attack cannot be Resisted by any means other than by Smite. Smite.
[Master] [Melee]")</f>
        <v>If the Dash Keyword is activated, this Attack cannot be Resisted by any means other than by Smite. Smite.
[Master] [Melee]</v>
      </c>
      <c r="I1272" s="191"/>
      <c r="J1272" s="190" t="str">
        <f>IFERROR(__xludf.DUMMYFUNCTION("""COMPUTED_VALUE"""),"Master Weapon")</f>
        <v>Master Weapon</v>
      </c>
      <c r="K1272" s="174" t="b">
        <f>IFERROR(__xludf.DUMMYFUNCTION("""COMPUTED_VALUE"""),FALSE)</f>
        <v>0</v>
      </c>
      <c r="L1272" s="174"/>
      <c r="M1272" s="174"/>
      <c r="N1272" s="174"/>
      <c r="O1272" s="174"/>
      <c r="P1272" s="174"/>
      <c r="Q1272" s="174"/>
      <c r="R1272" s="174"/>
      <c r="S1272" s="174"/>
      <c r="T1272" s="174"/>
      <c r="U1272" s="174"/>
      <c r="V1272" s="174"/>
      <c r="W1272" s="174"/>
      <c r="X1272" s="174"/>
      <c r="Y1272" s="174"/>
      <c r="Z1272" s="174"/>
    </row>
    <row r="1273">
      <c r="A1273" s="190" t="str">
        <f>IFERROR(__xludf.DUMMYFUNCTION("""COMPUTED_VALUE"""),"Grand Rupture")</f>
        <v>Grand Rupture</v>
      </c>
      <c r="B1273" s="190" t="str">
        <f>IFERROR(__xludf.DUMMYFUNCTION("""COMPUTED_VALUE"""),"Normal")</f>
        <v>Normal</v>
      </c>
      <c r="C1273" s="190" t="str">
        <f>IFERROR(__xludf.DUMMYFUNCTION("""COMPUTED_VALUE"""),"WT")</f>
        <v>WT</v>
      </c>
      <c r="D1273" s="190" t="str">
        <f>IFERROR(__xludf.DUMMYFUNCTION("""COMPUTED_VALUE"""),"Scene")</f>
        <v>Scene</v>
      </c>
      <c r="E1273" s="190" t="str">
        <f>IFERROR(__xludf.DUMMYFUNCTION("""COMPUTED_VALUE"""),"WR, Blast 3 or Burst 2; Groundsource, Full Action")</f>
        <v>WR, Blast 3 or Burst 2; Groundsource, Full Action</v>
      </c>
      <c r="F1273" s="190">
        <f>IFERROR(__xludf.DUMMYFUNCTION("""COMPUTED_VALUE"""),7.0)</f>
        <v>7</v>
      </c>
      <c r="G1273" s="190">
        <f>IFERROR(__xludf.DUMMYFUNCTION("""COMPUTED_VALUE"""),11.0)</f>
        <v>11</v>
      </c>
      <c r="H1273" s="191" t="str">
        <f>IFERROR(__xludf.DUMMYFUNCTION("""COMPUTED_VALUE"""),"Hazards that are applied to Spaces within this Range are destroyed. These Spaces are also changed to Rough Terrain if the user desires. Smite.
[Master] [Large]")</f>
        <v>Hazards that are applied to Spaces within this Range are destroyed. These Spaces are also changed to Rough Terrain if the user desires. Smite.
[Master] [Large]</v>
      </c>
      <c r="I1273" s="191"/>
      <c r="J1273" s="190" t="str">
        <f>IFERROR(__xludf.DUMMYFUNCTION("""COMPUTED_VALUE"""),"Master Weapon")</f>
        <v>Master Weapon</v>
      </c>
      <c r="K1273" s="174" t="b">
        <f>IFERROR(__xludf.DUMMYFUNCTION("""COMPUTED_VALUE"""),FALSE)</f>
        <v>0</v>
      </c>
      <c r="L1273" s="174"/>
      <c r="M1273" s="174"/>
      <c r="N1273" s="174"/>
      <c r="O1273" s="174"/>
      <c r="P1273" s="174"/>
      <c r="Q1273" s="174"/>
      <c r="R1273" s="174"/>
      <c r="S1273" s="174"/>
      <c r="T1273" s="174"/>
      <c r="U1273" s="174"/>
      <c r="V1273" s="174"/>
      <c r="W1273" s="174"/>
      <c r="X1273" s="174"/>
      <c r="Y1273" s="174"/>
      <c r="Z1273" s="174"/>
    </row>
    <row r="1274">
      <c r="A1274" s="190" t="str">
        <f>IFERROR(__xludf.DUMMYFUNCTION("""COMPUTED_VALUE"""),"Impaling Shot")</f>
        <v>Impaling Shot</v>
      </c>
      <c r="B1274" s="190" t="str">
        <f>IFERROR(__xludf.DUMMYFUNCTION("""COMPUTED_VALUE"""),"Normal")</f>
        <v>Normal</v>
      </c>
      <c r="C1274" s="190" t="str">
        <f>IFERROR(__xludf.DUMMYFUNCTION("""COMPUTED_VALUE"""),"WT")</f>
        <v>WT</v>
      </c>
      <c r="D1274" s="190" t="str">
        <f>IFERROR(__xludf.DUMMYFUNCTION("""COMPUTED_VALUE"""),"Scene x2")</f>
        <v>Scene x2</v>
      </c>
      <c r="E1274" s="190" t="str">
        <f>IFERROR(__xludf.DUMMYFUNCTION("""COMPUTED_VALUE"""),"WR, 1 Target")</f>
        <v>WR, 1 Target</v>
      </c>
      <c r="F1274" s="190">
        <f>IFERROR(__xludf.DUMMYFUNCTION("""COMPUTED_VALUE"""),5.0)</f>
        <v>5</v>
      </c>
      <c r="G1274" s="190">
        <f>IFERROR(__xludf.DUMMYFUNCTION("""COMPUTED_VALUE"""),8.0)</f>
        <v>8</v>
      </c>
      <c r="H1274" s="191" t="str">
        <f>IFERROR(__xludf.DUMMYFUNCTION("""COMPUTED_VALUE"""),"The Target becomes Wounded. While Wounded this way, the Wounded Combatant needs to spend a Swift or Movement Action to perform a Save Check. Smite.
[Master] [Barbed or Piercing]")</f>
        <v>The Target becomes Wounded. While Wounded this way, the Wounded Combatant needs to spend a Swift or Movement Action to perform a Save Check. Smite.
[Master] [Barbed or Piercing]</v>
      </c>
      <c r="I1274" s="191"/>
      <c r="J1274" s="190" t="str">
        <f>IFERROR(__xludf.DUMMYFUNCTION("""COMPUTED_VALUE"""),"Master Weapon")</f>
        <v>Master Weapon</v>
      </c>
      <c r="K1274" s="174" t="b">
        <f>IFERROR(__xludf.DUMMYFUNCTION("""COMPUTED_VALUE"""),FALSE)</f>
        <v>0</v>
      </c>
      <c r="L1274" s="174"/>
      <c r="M1274" s="174"/>
      <c r="N1274" s="174"/>
      <c r="O1274" s="174"/>
      <c r="P1274" s="174"/>
      <c r="Q1274" s="174"/>
      <c r="R1274" s="174"/>
      <c r="S1274" s="174"/>
      <c r="T1274" s="174"/>
      <c r="U1274" s="174"/>
      <c r="V1274" s="174"/>
      <c r="W1274" s="174"/>
      <c r="X1274" s="174"/>
      <c r="Y1274" s="174"/>
      <c r="Z1274" s="174"/>
    </row>
    <row r="1275">
      <c r="A1275" s="190" t="str">
        <f>IFERROR(__xludf.DUMMYFUNCTION("""COMPUTED_VALUE"""),"Limit Break")</f>
        <v>Limit Break</v>
      </c>
      <c r="B1275" s="190" t="str">
        <f>IFERROR(__xludf.DUMMYFUNCTION("""COMPUTED_VALUE"""),"Normal")</f>
        <v>Normal</v>
      </c>
      <c r="C1275" s="190" t="str">
        <f>IFERROR(__xludf.DUMMYFUNCTION("""COMPUTED_VALUE"""),"Status")</f>
        <v>Status</v>
      </c>
      <c r="D1275" s="190" t="str">
        <f>IFERROR(__xludf.DUMMYFUNCTION("""COMPUTED_VALUE"""),"Scene")</f>
        <v>Scene</v>
      </c>
      <c r="E1275" s="190" t="str">
        <f>IFERROR(__xludf.DUMMYFUNCTION("""COMPUTED_VALUE"""),"Self, Trigger")</f>
        <v>Self, Trigger</v>
      </c>
      <c r="F1275" s="190" t="str">
        <f>IFERROR(__xludf.DUMMYFUNCTION("""COMPUTED_VALUE"""),"--")</f>
        <v>--</v>
      </c>
      <c r="G1275" s="190" t="str">
        <f>IFERROR(__xludf.DUMMYFUNCTION("""COMPUTED_VALUE"""),"--")</f>
        <v>--</v>
      </c>
      <c r="H1275" s="191" t="str">
        <f>IFERROR(__xludf.DUMMYFUNCTION("""COMPUTED_VALUE"""),"When the user falls below 50% of their Hit Points they may use Limit Break as a Swift Action+Reaction to gain +2 CS in a Stat of their Choice or +2 to a Combat Value of thier Choice for the rest of the Scene.
[Master] [Enhancing]")</f>
        <v>When the user falls below 50% of their Hit Points they may use Limit Break as a Swift Action+Reaction to gain +2 CS in a Stat of their Choice or +2 to a Combat Value of thier Choice for the rest of the Scene.
[Master] [Enhancing]</v>
      </c>
      <c r="I1275" s="191"/>
      <c r="J1275" s="190" t="str">
        <f>IFERROR(__xludf.DUMMYFUNCTION("""COMPUTED_VALUE"""),"Master Weapon")</f>
        <v>Master Weapon</v>
      </c>
      <c r="K1275" s="174" t="b">
        <f>IFERROR(__xludf.DUMMYFUNCTION("""COMPUTED_VALUE"""),FALSE)</f>
        <v>0</v>
      </c>
      <c r="L1275" s="174"/>
      <c r="M1275" s="174"/>
      <c r="N1275" s="174"/>
      <c r="O1275" s="174"/>
      <c r="P1275" s="174"/>
      <c r="Q1275" s="174"/>
      <c r="R1275" s="174"/>
      <c r="S1275" s="174"/>
      <c r="T1275" s="174"/>
      <c r="U1275" s="174"/>
      <c r="V1275" s="174"/>
      <c r="W1275" s="174"/>
      <c r="X1275" s="174"/>
      <c r="Y1275" s="174"/>
      <c r="Z1275" s="174"/>
    </row>
    <row r="1276">
      <c r="A1276" s="190" t="str">
        <f>IFERROR(__xludf.DUMMYFUNCTION("""COMPUTED_VALUE"""),"Mystic Curse")</f>
        <v>Mystic Curse</v>
      </c>
      <c r="B1276" s="190" t="str">
        <f>IFERROR(__xludf.DUMMYFUNCTION("""COMPUTED_VALUE"""),"Normal")</f>
        <v>Normal</v>
      </c>
      <c r="C1276" s="190" t="str">
        <f>IFERROR(__xludf.DUMMYFUNCTION("""COMPUTED_VALUE"""),"Status")</f>
        <v>Status</v>
      </c>
      <c r="D1276" s="190" t="str">
        <f>IFERROR(__xludf.DUMMYFUNCTION("""COMPUTED_VALUE"""),"Scene x2")</f>
        <v>Scene x2</v>
      </c>
      <c r="E1276" s="190" t="str">
        <f>IFERROR(__xludf.DUMMYFUNCTION("""COMPUTED_VALUE"""),"WR, 1 Target, Versatile")</f>
        <v>WR, 1 Target, Versatile</v>
      </c>
      <c r="F1276" s="190">
        <f>IFERROR(__xludf.DUMMYFUNCTION("""COMPUTED_VALUE"""),4.0)</f>
        <v>4</v>
      </c>
      <c r="G1276" s="190" t="str">
        <f>IFERROR(__xludf.DUMMYFUNCTION("""COMPUTED_VALUE"""),"--")</f>
        <v>--</v>
      </c>
      <c r="H1276" s="191" t="str">
        <f>IFERROR(__xludf.DUMMYFUNCTION("""COMPUTED_VALUE"""),"The Target becomes Cursed, Dazed or Suppressed of your choice. 
[Master] [Arcane]")</f>
        <v>The Target becomes Cursed, Dazed or Suppressed of your choice. 
[Master] [Arcane]</v>
      </c>
      <c r="I1276" s="191" t="str">
        <f>IFERROR(__xludf.DUMMYFUNCTION("""COMPUTED_VALUE"""),"When used this way, the AC becomes 6 and on a hit, roll a d3 to determine which they're affected by. On a 1, they're Cursed. On a 2, they're Dazed. On a 3, they're Suppressed.")</f>
        <v>When used this way, the AC becomes 6 and on a hit, roll a d3 to determine which they're affected by. On a 1, they're Cursed. On a 2, they're Dazed. On a 3, they're Suppressed.</v>
      </c>
      <c r="J1276" s="190" t="str">
        <f>IFERROR(__xludf.DUMMYFUNCTION("""COMPUTED_VALUE"""),"Master Weapon")</f>
        <v>Master Weapon</v>
      </c>
      <c r="K1276" s="174" t="b">
        <f>IFERROR(__xludf.DUMMYFUNCTION("""COMPUTED_VALUE"""),FALSE)</f>
        <v>0</v>
      </c>
      <c r="L1276" s="174"/>
      <c r="M1276" s="174"/>
      <c r="N1276" s="174"/>
      <c r="O1276" s="174"/>
      <c r="P1276" s="174"/>
      <c r="Q1276" s="174"/>
      <c r="R1276" s="174"/>
      <c r="S1276" s="174"/>
      <c r="T1276" s="174"/>
      <c r="U1276" s="174"/>
      <c r="V1276" s="174"/>
      <c r="W1276" s="174"/>
      <c r="X1276" s="174"/>
      <c r="Y1276" s="174"/>
      <c r="Z1276" s="174"/>
    </row>
    <row r="1277">
      <c r="A1277" s="190" t="str">
        <f>IFERROR(__xludf.DUMMYFUNCTION("""COMPUTED_VALUE"""),"Rapid Strikes")</f>
        <v>Rapid Strikes</v>
      </c>
      <c r="B1277" s="190" t="str">
        <f>IFERROR(__xludf.DUMMYFUNCTION("""COMPUTED_VALUE"""),"Normal")</f>
        <v>Normal</v>
      </c>
      <c r="C1277" s="190" t="str">
        <f>IFERROR(__xludf.DUMMYFUNCTION("""COMPUTED_VALUE"""),"WT")</f>
        <v>WT</v>
      </c>
      <c r="D1277" s="190" t="str">
        <f>IFERROR(__xludf.DUMMYFUNCTION("""COMPUTED_VALUE"""),"Scene")</f>
        <v>Scene</v>
      </c>
      <c r="E1277" s="190" t="str">
        <f>IFERROR(__xludf.DUMMYFUNCTION("""COMPUTED_VALUE"""),"WR, 1 Target")</f>
        <v>WR, 1 Target</v>
      </c>
      <c r="F1277" s="190">
        <f>IFERROR(__xludf.DUMMYFUNCTION("""COMPUTED_VALUE"""),5.0)</f>
        <v>5</v>
      </c>
      <c r="G1277" s="190">
        <f>IFERROR(__xludf.DUMMYFUNCTION("""COMPUTED_VALUE"""),8.0)</f>
        <v>8</v>
      </c>
      <c r="H1277" s="191" t="str">
        <f>IFERROR(__xludf.DUMMYFUNCTION("""COMPUTED_VALUE"""),"You may roll the Accuracy Roll all five times instead of stopping when you miss, when referring to the Five Strike Keyword. The Attack hitting, Critial Hitting, or Triggering an Effect Range is still based on the first roll, however the five rolls determi"&amp;"ne its Damage Base. Five Strike, Smite.
[Master] [Small]")</f>
        <v>You may roll the Accuracy Roll all five times instead of stopping when you miss, when referring to the Five Strike Keyword. The Attack hitting, Critial Hitting, or Triggering an Effect Range is still based on the first roll, however the five rolls determine its Damage Base. Five Strike, Smite.
[Master] [Small]</v>
      </c>
      <c r="I1277" s="191" t="str">
        <f>IFERROR(__xludf.DUMMYFUNCTION("""COMPUTED_VALUE"""),"--")</f>
        <v>--</v>
      </c>
      <c r="J1277" s="190" t="str">
        <f>IFERROR(__xludf.DUMMYFUNCTION("""COMPUTED_VALUE"""),"Master Weapon")</f>
        <v>Master Weapon</v>
      </c>
      <c r="K1277" s="174" t="b">
        <f>IFERROR(__xludf.DUMMYFUNCTION("""COMPUTED_VALUE"""),FALSE)</f>
        <v>0</v>
      </c>
      <c r="L1277" s="174"/>
      <c r="M1277" s="174"/>
      <c r="N1277" s="174"/>
      <c r="O1277" s="174"/>
      <c r="P1277" s="174"/>
      <c r="Q1277" s="174"/>
      <c r="R1277" s="174"/>
      <c r="S1277" s="174"/>
      <c r="T1277" s="174"/>
      <c r="U1277" s="174"/>
      <c r="V1277" s="174"/>
      <c r="W1277" s="174"/>
      <c r="X1277" s="174"/>
      <c r="Y1277" s="174"/>
      <c r="Z1277" s="174"/>
    </row>
    <row r="1278">
      <c r="A1278" s="190" t="str">
        <f>IFERROR(__xludf.DUMMYFUNCTION("""COMPUTED_VALUE"""),"Recover (Weapon)")</f>
        <v>Recover (Weapon)</v>
      </c>
      <c r="B1278" s="190" t="str">
        <f>IFERROR(__xludf.DUMMYFUNCTION("""COMPUTED_VALUE"""),"Normal")</f>
        <v>Normal</v>
      </c>
      <c r="C1278" s="190" t="str">
        <f>IFERROR(__xludf.DUMMYFUNCTION("""COMPUTED_VALUE"""),"Status")</f>
        <v>Status</v>
      </c>
      <c r="D1278" s="190" t="str">
        <f>IFERROR(__xludf.DUMMYFUNCTION("""COMPUTED_VALUE"""),"Scene x2")</f>
        <v>Scene x2</v>
      </c>
      <c r="E1278" s="190" t="str">
        <f>IFERROR(__xludf.DUMMYFUNCTION("""COMPUTED_VALUE"""),"Self, Healing, Versatile")</f>
        <v>Self, Healing, Versatile</v>
      </c>
      <c r="F1278" s="190" t="str">
        <f>IFERROR(__xludf.DUMMYFUNCTION("""COMPUTED_VALUE"""),"--")</f>
        <v>--</v>
      </c>
      <c r="G1278" s="190" t="str">
        <f>IFERROR(__xludf.DUMMYFUNCTION("""COMPUTED_VALUE"""),"--")</f>
        <v>--</v>
      </c>
      <c r="H1278" s="191" t="str">
        <f>IFERROR(__xludf.DUMMYFUNCTION("""COMPUTED_VALUE"""),"The user restores 5 Ticks of Hit Points and gains +2 to Save Checks for the rest of the Scene. ")</f>
        <v>The user restores 5 Ticks of Hit Points and gains +2 to Save Checks for the rest of the Scene. </v>
      </c>
      <c r="I1278" s="191" t="str">
        <f>IFERROR(__xludf.DUMMYFUNCTION("""COMPUTED_VALUE"""),"The user is cured of a Physical Affliction.")</f>
        <v>The user is cured of a Physical Affliction.</v>
      </c>
      <c r="J1278" s="190" t="str">
        <f>IFERROR(__xludf.DUMMYFUNCTION("""COMPUTED_VALUE"""),"Master Weapon")</f>
        <v>Master Weapon</v>
      </c>
      <c r="K1278" s="174" t="b">
        <f>IFERROR(__xludf.DUMMYFUNCTION("""COMPUTED_VALUE"""),FALSE)</f>
        <v>0</v>
      </c>
      <c r="L1278" s="174"/>
      <c r="M1278" s="174"/>
      <c r="N1278" s="174"/>
      <c r="O1278" s="174"/>
      <c r="P1278" s="174"/>
      <c r="Q1278" s="174"/>
      <c r="R1278" s="174"/>
      <c r="S1278" s="174"/>
      <c r="T1278" s="174"/>
      <c r="U1278" s="174"/>
      <c r="V1278" s="174"/>
      <c r="W1278" s="174"/>
      <c r="X1278" s="174"/>
      <c r="Y1278" s="174"/>
      <c r="Z1278" s="174"/>
    </row>
    <row r="1279">
      <c r="A1279" s="190" t="str">
        <f>IFERROR(__xludf.DUMMYFUNCTION("""COMPUTED_VALUE"""),"Spirit Lance")</f>
        <v>Spirit Lance</v>
      </c>
      <c r="B1279" s="190" t="str">
        <f>IFERROR(__xludf.DUMMYFUNCTION("""COMPUTED_VALUE"""),"Normal")</f>
        <v>Normal</v>
      </c>
      <c r="C1279" s="190" t="str">
        <f>IFERROR(__xludf.DUMMYFUNCTION("""COMPUTED_VALUE"""),"Special")</f>
        <v>Special</v>
      </c>
      <c r="D1279" s="190" t="str">
        <f>IFERROR(__xludf.DUMMYFUNCTION("""COMPUTED_VALUE"""),"Scene x2")</f>
        <v>Scene x2</v>
      </c>
      <c r="E1279" s="190" t="str">
        <f>IFERROR(__xludf.DUMMYFUNCTION("""COMPUTED_VALUE"""),"Line 8, Full Action")</f>
        <v>Line 8, Full Action</v>
      </c>
      <c r="F1279" s="190">
        <f>IFERROR(__xludf.DUMMYFUNCTION("""COMPUTED_VALUE"""),6.0)</f>
        <v>6</v>
      </c>
      <c r="G1279" s="190">
        <f>IFERROR(__xludf.DUMMYFUNCTION("""COMPUTED_VALUE"""),10.0)</f>
        <v>10</v>
      </c>
      <c r="H1279" s="191" t="str">
        <f>IFERROR(__xludf.DUMMYFUNCTION("""COMPUTED_VALUE"""),"If Spirit Lance is used as if it were Line 4 or less, it has a Critical Hit Range of 17+. Smite.
[Master] [Arcane]")</f>
        <v>If Spirit Lance is used as if it were Line 4 or less, it has a Critical Hit Range of 17+. Smite.
[Master] [Arcane]</v>
      </c>
      <c r="I1279" s="191" t="str">
        <f>IFERROR(__xludf.DUMMYFUNCTION("""COMPUTED_VALUE"""),"--")</f>
        <v>--</v>
      </c>
      <c r="J1279" s="190" t="str">
        <f>IFERROR(__xludf.DUMMYFUNCTION("""COMPUTED_VALUE"""),"Master Weapon")</f>
        <v>Master Weapon</v>
      </c>
      <c r="K1279" s="174" t="b">
        <f>IFERROR(__xludf.DUMMYFUNCTION("""COMPUTED_VALUE"""),FALSE)</f>
        <v>0</v>
      </c>
      <c r="L1279" s="174"/>
      <c r="M1279" s="174"/>
      <c r="N1279" s="174"/>
      <c r="O1279" s="174"/>
      <c r="P1279" s="174"/>
      <c r="Q1279" s="174"/>
      <c r="R1279" s="174"/>
      <c r="S1279" s="174"/>
      <c r="T1279" s="174"/>
      <c r="U1279" s="174"/>
      <c r="V1279" s="174"/>
      <c r="W1279" s="174"/>
      <c r="X1279" s="174"/>
      <c r="Y1279" s="174"/>
      <c r="Z1279" s="174"/>
    </row>
    <row r="1280">
      <c r="A1280" s="190" t="str">
        <f>IFERROR(__xludf.DUMMYFUNCTION("""COMPUTED_VALUE"""),"Titanic Slam")</f>
        <v>Titanic Slam</v>
      </c>
      <c r="B1280" s="190" t="str">
        <f>IFERROR(__xludf.DUMMYFUNCTION("""COMPUTED_VALUE"""),"Normal")</f>
        <v>Normal</v>
      </c>
      <c r="C1280" s="190" t="str">
        <f>IFERROR(__xludf.DUMMYFUNCTION("""COMPUTED_VALUE"""),"WT")</f>
        <v>WT</v>
      </c>
      <c r="D1280" s="190" t="str">
        <f>IFERROR(__xludf.DUMMYFUNCTION("""COMPUTED_VALUE"""),"Scene")</f>
        <v>Scene</v>
      </c>
      <c r="E1280" s="190" t="str">
        <f>IFERROR(__xludf.DUMMYFUNCTION("""COMPUTED_VALUE"""),"WR, Blast 2, Reckless")</f>
        <v>WR, Blast 2, Reckless</v>
      </c>
      <c r="F1280" s="190">
        <f>IFERROR(__xludf.DUMMYFUNCTION("""COMPUTED_VALUE"""),5.0)</f>
        <v>5</v>
      </c>
      <c r="G1280" s="190">
        <f>IFERROR(__xludf.DUMMYFUNCTION("""COMPUTED_VALUE"""),15.0)</f>
        <v>15</v>
      </c>
      <c r="H1280" s="191" t="str">
        <f>IFERROR(__xludf.DUMMYFUNCTION("""COMPUTED_VALUE"""),"After Damage Calculations, the user becomes Vulnerable until the start of their next Turn. If they landed a Critical Hit, the user is also Dazed. Smite.
[Master] [Melee, Blunt, or Oversized]")</f>
        <v>After Damage Calculations, the user becomes Vulnerable until the start of their next Turn. If they landed a Critical Hit, the user is also Dazed. Smite.
[Master] [Melee, Blunt, or Oversized]</v>
      </c>
      <c r="I1280" s="191" t="str">
        <f>IFERROR(__xludf.DUMMYFUNCTION("""COMPUTED_VALUE"""),"--")</f>
        <v>--</v>
      </c>
      <c r="J1280" s="190" t="str">
        <f>IFERROR(__xludf.DUMMYFUNCTION("""COMPUTED_VALUE"""),"Master Weapon")</f>
        <v>Master Weapon</v>
      </c>
      <c r="K1280" s="174" t="b">
        <f>IFERROR(__xludf.DUMMYFUNCTION("""COMPUTED_VALUE"""),FALSE)</f>
        <v>0</v>
      </c>
      <c r="L1280" s="174"/>
      <c r="M1280" s="174"/>
      <c r="N1280" s="174"/>
      <c r="O1280" s="174"/>
      <c r="P1280" s="174"/>
      <c r="Q1280" s="174"/>
      <c r="R1280" s="174"/>
      <c r="S1280" s="174"/>
      <c r="T1280" s="174"/>
      <c r="U1280" s="174"/>
      <c r="V1280" s="174"/>
      <c r="W1280" s="174"/>
      <c r="X1280" s="174"/>
      <c r="Y1280" s="174"/>
      <c r="Z1280" s="174"/>
    </row>
    <row r="1281">
      <c r="A1281" s="190" t="str">
        <f>IFERROR(__xludf.DUMMYFUNCTION("""COMPUTED_VALUE"""),"Triple Strike")</f>
        <v>Triple Strike</v>
      </c>
      <c r="B1281" s="190" t="str">
        <f>IFERROR(__xludf.DUMMYFUNCTION("""COMPUTED_VALUE"""),"Normal")</f>
        <v>Normal</v>
      </c>
      <c r="C1281" s="190" t="str">
        <f>IFERROR(__xludf.DUMMYFUNCTION("""COMPUTED_VALUE"""),"WT")</f>
        <v>WT</v>
      </c>
      <c r="D1281" s="190" t="str">
        <f>IFERROR(__xludf.DUMMYFUNCTION("""COMPUTED_VALUE"""),"Scene x2")</f>
        <v>Scene x2</v>
      </c>
      <c r="E1281" s="190" t="str">
        <f>IFERROR(__xludf.DUMMYFUNCTION("""COMPUTED_VALUE"""),"WR, 3 Targets; or WR, 2 Targets: or WR, 1 Target")</f>
        <v>WR, 3 Targets; or WR, 2 Targets: or WR, 1 Target</v>
      </c>
      <c r="F1281" s="190">
        <f>IFERROR(__xludf.DUMMYFUNCTION("""COMPUTED_VALUE"""),7.0)</f>
        <v>7</v>
      </c>
      <c r="G1281" s="190">
        <f>IFERROR(__xludf.DUMMYFUNCTION("""COMPUTED_VALUE"""),7.0)</f>
        <v>7</v>
      </c>
      <c r="H1281" s="191" t="str">
        <f>IFERROR(__xludf.DUMMYFUNCTION("""COMPUTED_VALUE"""),"If this Attack has two Targets, neither can apply Stat Evasion towards this Attack. If this Attack has one Target, it has the Double Strike Keyword.
[Master]")</f>
        <v>If this Attack has two Targets, neither can apply Stat Evasion towards this Attack. If this Attack has one Target, it has the Double Strike Keyword.
[Master]</v>
      </c>
      <c r="I1281" s="191" t="str">
        <f>IFERROR(__xludf.DUMMYFUNCTION("""COMPUTED_VALUE"""),"--")</f>
        <v>--</v>
      </c>
      <c r="J1281" s="190" t="str">
        <f>IFERROR(__xludf.DUMMYFUNCTION("""COMPUTED_VALUE"""),"Master Weapon")</f>
        <v>Master Weapon</v>
      </c>
      <c r="K1281" s="174" t="b">
        <f>IFERROR(__xludf.DUMMYFUNCTION("""COMPUTED_VALUE"""),FALSE)</f>
        <v>0</v>
      </c>
      <c r="L1281" s="174"/>
      <c r="M1281" s="174"/>
      <c r="N1281" s="174"/>
      <c r="O1281" s="174"/>
      <c r="P1281" s="174"/>
      <c r="Q1281" s="174"/>
      <c r="R1281" s="174"/>
      <c r="S1281" s="174"/>
      <c r="T1281" s="174"/>
      <c r="U1281" s="174"/>
      <c r="V1281" s="174"/>
      <c r="W1281" s="174"/>
      <c r="X1281" s="174"/>
      <c r="Y1281" s="174"/>
      <c r="Z1281" s="174"/>
    </row>
    <row r="1282">
      <c r="A1282" s="190" t="str">
        <f>IFERROR(__xludf.DUMMYFUNCTION("""COMPUTED_VALUE"""),"Whirling Vortex")</f>
        <v>Whirling Vortex</v>
      </c>
      <c r="B1282" s="190" t="str">
        <f>IFERROR(__xludf.DUMMYFUNCTION("""COMPUTED_VALUE"""),"Normal")</f>
        <v>Normal</v>
      </c>
      <c r="C1282" s="190" t="str">
        <f>IFERROR(__xludf.DUMMYFUNCTION("""COMPUTED_VALUE"""),"WT")</f>
        <v>WT</v>
      </c>
      <c r="D1282" s="190" t="str">
        <f>IFERROR(__xludf.DUMMYFUNCTION("""COMPUTED_VALUE"""),"Scene x2")</f>
        <v>Scene x2</v>
      </c>
      <c r="E1282" s="190" t="str">
        <f>IFERROR(__xludf.DUMMYFUNCTION("""COMPUTED_VALUE"""),"WR, Ranged Blast 2 ")</f>
        <v>WR, Ranged Blast 2 </v>
      </c>
      <c r="F1282" s="190">
        <f>IFERROR(__xludf.DUMMYFUNCTION("""COMPUTED_VALUE"""),6.0)</f>
        <v>6</v>
      </c>
      <c r="G1282" s="190">
        <f>IFERROR(__xludf.DUMMYFUNCTION("""COMPUTED_VALUE"""),9.0)</f>
        <v>9</v>
      </c>
      <c r="H1282" s="191" t="str">
        <f>IFERROR(__xludf.DUMMYFUNCTION("""COMPUTED_VALUE"""),"Targets cannot apply Speed Evasion against this Attack. 
[Master] [Ranged]")</f>
        <v>Targets cannot apply Speed Evasion against this Attack. 
[Master] [Ranged]</v>
      </c>
      <c r="I1282" s="191" t="str">
        <f>IFERROR(__xludf.DUMMYFUNCTION("""COMPUTED_VALUE"""),"--")</f>
        <v>--</v>
      </c>
      <c r="J1282" s="190" t="str">
        <f>IFERROR(__xludf.DUMMYFUNCTION("""COMPUTED_VALUE"""),"Master Weapon")</f>
        <v>Master Weapon</v>
      </c>
      <c r="K1282" s="174" t="b">
        <f>IFERROR(__xludf.DUMMYFUNCTION("""COMPUTED_VALUE"""),FALSE)</f>
        <v>0</v>
      </c>
      <c r="L1282" s="174"/>
      <c r="M1282" s="174"/>
      <c r="N1282" s="174"/>
      <c r="O1282" s="174"/>
      <c r="P1282" s="174"/>
      <c r="Q1282" s="174"/>
      <c r="R1282" s="174"/>
      <c r="S1282" s="174"/>
      <c r="T1282" s="174"/>
      <c r="U1282" s="174"/>
      <c r="V1282" s="174"/>
      <c r="W1282" s="174"/>
      <c r="X1282" s="174"/>
      <c r="Y1282" s="174"/>
      <c r="Z1282" s="174"/>
    </row>
    <row r="1283">
      <c r="A1283" s="190" t="str">
        <f>IFERROR(__xludf.DUMMYFUNCTION("""COMPUTED_VALUE"""),"Wide Slash")</f>
        <v>Wide Slash</v>
      </c>
      <c r="B1283" s="190" t="str">
        <f>IFERROR(__xludf.DUMMYFUNCTION("""COMPUTED_VALUE"""),"Normal")</f>
        <v>Normal</v>
      </c>
      <c r="C1283" s="190" t="str">
        <f>IFERROR(__xludf.DUMMYFUNCTION("""COMPUTED_VALUE"""),"WT")</f>
        <v>WT</v>
      </c>
      <c r="D1283" s="190" t="str">
        <f>IFERROR(__xludf.DUMMYFUNCTION("""COMPUTED_VALUE"""),"Scene x2")</f>
        <v>Scene x2</v>
      </c>
      <c r="E1283" s="190" t="str">
        <f>IFERROR(__xludf.DUMMYFUNCTION("""COMPUTED_VALUE"""),"Close Blast 3, Full Action")</f>
        <v>Close Blast 3, Full Action</v>
      </c>
      <c r="F1283" s="190">
        <f>IFERROR(__xludf.DUMMYFUNCTION("""COMPUTED_VALUE"""),6.0)</f>
        <v>6</v>
      </c>
      <c r="G1283" s="190">
        <f>IFERROR(__xludf.DUMMYFUNCTION("""COMPUTED_VALUE"""),10.0)</f>
        <v>10</v>
      </c>
      <c r="H1283" s="191" t="str">
        <f>IFERROR(__xludf.DUMMYFUNCTION("""COMPUTED_VALUE"""),"Wide Slash is a Critial Hit on a roll of 17+. Smite.
[Master] [Melee and Sharp]")</f>
        <v>Wide Slash is a Critial Hit on a roll of 17+. Smite.
[Master] [Melee and Sharp]</v>
      </c>
      <c r="I1283" s="191" t="str">
        <f>IFERROR(__xludf.DUMMYFUNCTION("""COMPUTED_VALUE"""),"--")</f>
        <v>--</v>
      </c>
      <c r="J1283" s="190" t="str">
        <f>IFERROR(__xludf.DUMMYFUNCTION("""COMPUTED_VALUE"""),"Master Weapon")</f>
        <v>Master Weapon</v>
      </c>
      <c r="K1283" s="174" t="b">
        <f>IFERROR(__xludf.DUMMYFUNCTION("""COMPUTED_VALUE"""),FALSE)</f>
        <v>0</v>
      </c>
      <c r="L1283" s="174"/>
      <c r="M1283" s="174"/>
      <c r="N1283" s="174"/>
      <c r="O1283" s="174"/>
      <c r="P1283" s="174"/>
      <c r="Q1283" s="174"/>
      <c r="R1283" s="174"/>
      <c r="S1283" s="174"/>
      <c r="T1283" s="174"/>
      <c r="U1283" s="174"/>
      <c r="V1283" s="174"/>
      <c r="W1283" s="174"/>
      <c r="X1283" s="174"/>
      <c r="Y1283" s="174"/>
      <c r="Z1283" s="174"/>
    </row>
    <row r="1284">
      <c r="A1284" s="194"/>
      <c r="B1284" s="194"/>
      <c r="C1284" s="194"/>
      <c r="D1284" s="194"/>
      <c r="E1284" s="194"/>
      <c r="F1284" s="194"/>
      <c r="G1284" s="194"/>
      <c r="H1284" s="195"/>
      <c r="I1284" s="195"/>
      <c r="J1284" s="194"/>
      <c r="K1284" s="174"/>
      <c r="L1284" s="174"/>
      <c r="M1284" s="174"/>
      <c r="N1284" s="174"/>
      <c r="O1284" s="174"/>
      <c r="P1284" s="174"/>
      <c r="Q1284" s="174"/>
      <c r="R1284" s="174"/>
      <c r="S1284" s="174"/>
      <c r="T1284" s="174"/>
      <c r="U1284" s="174"/>
      <c r="V1284" s="174"/>
      <c r="W1284" s="174"/>
      <c r="X1284" s="174"/>
      <c r="Y1284" s="174"/>
      <c r="Z1284" s="174"/>
    </row>
    <row r="1285">
      <c r="A1285" s="194"/>
      <c r="B1285" s="194"/>
      <c r="C1285" s="194"/>
      <c r="D1285" s="194"/>
      <c r="E1285" s="194"/>
      <c r="F1285" s="194"/>
      <c r="G1285" s="194"/>
      <c r="H1285" s="195"/>
      <c r="I1285" s="195"/>
      <c r="J1285" s="194"/>
      <c r="K1285" s="174"/>
      <c r="L1285" s="174"/>
      <c r="M1285" s="174"/>
      <c r="N1285" s="174"/>
      <c r="O1285" s="174"/>
      <c r="P1285" s="174"/>
      <c r="Q1285" s="174"/>
      <c r="R1285" s="174"/>
      <c r="S1285" s="174"/>
      <c r="T1285" s="174"/>
      <c r="U1285" s="174"/>
      <c r="V1285" s="174"/>
      <c r="W1285" s="174"/>
      <c r="X1285" s="174"/>
      <c r="Y1285" s="174"/>
      <c r="Z1285" s="174"/>
    </row>
    <row r="1286">
      <c r="A1286" s="194"/>
      <c r="B1286" s="194"/>
      <c r="C1286" s="194"/>
      <c r="D1286" s="194"/>
      <c r="E1286" s="194"/>
      <c r="F1286" s="194"/>
      <c r="G1286" s="194"/>
      <c r="H1286" s="195"/>
      <c r="I1286" s="195"/>
      <c r="J1286" s="194"/>
      <c r="K1286" s="174"/>
      <c r="L1286" s="174"/>
      <c r="M1286" s="174"/>
      <c r="N1286" s="174"/>
      <c r="O1286" s="174"/>
      <c r="P1286" s="174"/>
      <c r="Q1286" s="174"/>
      <c r="R1286" s="174"/>
      <c r="S1286" s="174"/>
      <c r="T1286" s="174"/>
      <c r="U1286" s="174"/>
      <c r="V1286" s="174"/>
      <c r="W1286" s="174"/>
      <c r="X1286" s="174"/>
      <c r="Y1286" s="174"/>
      <c r="Z1286" s="174"/>
    </row>
    <row r="1287">
      <c r="A1287" s="194"/>
      <c r="B1287" s="194"/>
      <c r="C1287" s="194"/>
      <c r="D1287" s="194"/>
      <c r="E1287" s="194"/>
      <c r="F1287" s="194"/>
      <c r="G1287" s="194"/>
      <c r="H1287" s="195"/>
      <c r="I1287" s="195"/>
      <c r="J1287" s="194"/>
      <c r="K1287" s="174"/>
      <c r="L1287" s="174"/>
      <c r="M1287" s="174"/>
      <c r="N1287" s="174"/>
      <c r="O1287" s="174"/>
      <c r="P1287" s="174"/>
      <c r="Q1287" s="174"/>
      <c r="R1287" s="174"/>
      <c r="S1287" s="174"/>
      <c r="T1287" s="174"/>
      <c r="U1287" s="174"/>
      <c r="V1287" s="174"/>
      <c r="W1287" s="174"/>
      <c r="X1287" s="174"/>
      <c r="Y1287" s="174"/>
      <c r="Z1287" s="174"/>
    </row>
    <row r="1288">
      <c r="A1288" s="194"/>
      <c r="B1288" s="194"/>
      <c r="C1288" s="194"/>
      <c r="D1288" s="194"/>
      <c r="E1288" s="194"/>
      <c r="F1288" s="194"/>
      <c r="G1288" s="194"/>
      <c r="H1288" s="195"/>
      <c r="I1288" s="195"/>
      <c r="J1288" s="194"/>
      <c r="K1288" s="174"/>
      <c r="L1288" s="174"/>
      <c r="M1288" s="174"/>
      <c r="N1288" s="174"/>
      <c r="O1288" s="174"/>
      <c r="P1288" s="174"/>
      <c r="Q1288" s="174"/>
      <c r="R1288" s="174"/>
      <c r="S1288" s="174"/>
      <c r="T1288" s="174"/>
      <c r="U1288" s="174"/>
      <c r="V1288" s="174"/>
      <c r="W1288" s="174"/>
      <c r="X1288" s="174"/>
      <c r="Y1288" s="174"/>
      <c r="Z1288" s="174"/>
    </row>
    <row r="1289">
      <c r="A1289" s="194"/>
      <c r="B1289" s="194"/>
      <c r="C1289" s="194"/>
      <c r="D1289" s="194"/>
      <c r="E1289" s="194"/>
      <c r="F1289" s="194"/>
      <c r="G1289" s="194"/>
      <c r="H1289" s="195"/>
      <c r="I1289" s="195"/>
      <c r="J1289" s="194"/>
      <c r="K1289" s="174"/>
      <c r="L1289" s="174"/>
      <c r="M1289" s="174"/>
      <c r="N1289" s="174"/>
      <c r="O1289" s="174"/>
      <c r="P1289" s="174"/>
      <c r="Q1289" s="174"/>
      <c r="R1289" s="174"/>
      <c r="S1289" s="174"/>
      <c r="T1289" s="174"/>
      <c r="U1289" s="174"/>
      <c r="V1289" s="174"/>
      <c r="W1289" s="174"/>
      <c r="X1289" s="174"/>
      <c r="Y1289" s="174"/>
      <c r="Z1289" s="174"/>
    </row>
    <row r="1290">
      <c r="A1290" s="194"/>
      <c r="B1290" s="194"/>
      <c r="C1290" s="194"/>
      <c r="D1290" s="194"/>
      <c r="E1290" s="194"/>
      <c r="F1290" s="194"/>
      <c r="G1290" s="194"/>
      <c r="H1290" s="195"/>
      <c r="I1290" s="195"/>
      <c r="J1290" s="194"/>
      <c r="K1290" s="174"/>
      <c r="L1290" s="174"/>
      <c r="M1290" s="174"/>
      <c r="N1290" s="174"/>
      <c r="O1290" s="174"/>
      <c r="P1290" s="174"/>
      <c r="Q1290" s="174"/>
      <c r="R1290" s="174"/>
      <c r="S1290" s="174"/>
      <c r="T1290" s="174"/>
      <c r="U1290" s="174"/>
      <c r="V1290" s="174"/>
      <c r="W1290" s="174"/>
      <c r="X1290" s="174"/>
      <c r="Y1290" s="174"/>
      <c r="Z1290" s="174"/>
    </row>
    <row r="1291">
      <c r="A1291" s="194"/>
      <c r="B1291" s="194"/>
      <c r="C1291" s="194"/>
      <c r="D1291" s="194"/>
      <c r="E1291" s="194"/>
      <c r="F1291" s="194"/>
      <c r="G1291" s="194"/>
      <c r="H1291" s="195"/>
      <c r="I1291" s="195"/>
      <c r="J1291" s="194"/>
      <c r="K1291" s="174"/>
      <c r="L1291" s="174"/>
      <c r="M1291" s="174"/>
      <c r="N1291" s="174"/>
      <c r="O1291" s="174"/>
      <c r="P1291" s="174"/>
      <c r="Q1291" s="174"/>
      <c r="R1291" s="174"/>
      <c r="S1291" s="174"/>
      <c r="T1291" s="174"/>
      <c r="U1291" s="174"/>
      <c r="V1291" s="174"/>
      <c r="W1291" s="174"/>
      <c r="X1291" s="174"/>
      <c r="Y1291" s="174"/>
      <c r="Z1291" s="174"/>
    </row>
    <row r="1292">
      <c r="A1292" s="194"/>
      <c r="B1292" s="194"/>
      <c r="C1292" s="194"/>
      <c r="D1292" s="194"/>
      <c r="E1292" s="194"/>
      <c r="F1292" s="194"/>
      <c r="G1292" s="194"/>
      <c r="H1292" s="195"/>
      <c r="I1292" s="195"/>
      <c r="J1292" s="194"/>
      <c r="K1292" s="174"/>
      <c r="L1292" s="174"/>
      <c r="M1292" s="174"/>
      <c r="N1292" s="174"/>
      <c r="O1292" s="174"/>
      <c r="P1292" s="174"/>
      <c r="Q1292" s="174"/>
      <c r="R1292" s="174"/>
      <c r="S1292" s="174"/>
      <c r="T1292" s="174"/>
      <c r="U1292" s="174"/>
      <c r="V1292" s="174"/>
      <c r="W1292" s="174"/>
      <c r="X1292" s="174"/>
      <c r="Y1292" s="174"/>
      <c r="Z1292" s="174"/>
    </row>
    <row r="1293">
      <c r="A1293" s="194"/>
      <c r="B1293" s="194"/>
      <c r="C1293" s="194"/>
      <c r="D1293" s="194"/>
      <c r="E1293" s="194"/>
      <c r="F1293" s="194"/>
      <c r="G1293" s="194"/>
      <c r="H1293" s="195"/>
      <c r="I1293" s="195"/>
      <c r="J1293" s="194"/>
      <c r="K1293" s="174"/>
      <c r="L1293" s="174"/>
      <c r="M1293" s="174"/>
      <c r="N1293" s="174"/>
      <c r="O1293" s="174"/>
      <c r="P1293" s="174"/>
      <c r="Q1293" s="174"/>
      <c r="R1293" s="174"/>
      <c r="S1293" s="174"/>
      <c r="T1293" s="174"/>
      <c r="U1293" s="174"/>
      <c r="V1293" s="174"/>
      <c r="W1293" s="174"/>
      <c r="X1293" s="174"/>
      <c r="Y1293" s="174"/>
      <c r="Z1293" s="174"/>
    </row>
    <row r="1294">
      <c r="A1294" s="194"/>
      <c r="B1294" s="194"/>
      <c r="C1294" s="194"/>
      <c r="D1294" s="194"/>
      <c r="E1294" s="194"/>
      <c r="F1294" s="194"/>
      <c r="G1294" s="194"/>
      <c r="H1294" s="195"/>
      <c r="I1294" s="195"/>
      <c r="J1294" s="194"/>
      <c r="K1294" s="174"/>
      <c r="L1294" s="174"/>
      <c r="M1294" s="174"/>
      <c r="N1294" s="174"/>
      <c r="O1294" s="174"/>
      <c r="P1294" s="174"/>
      <c r="Q1294" s="174"/>
      <c r="R1294" s="174"/>
      <c r="S1294" s="174"/>
      <c r="T1294" s="174"/>
      <c r="U1294" s="174"/>
      <c r="V1294" s="174"/>
      <c r="W1294" s="174"/>
      <c r="X1294" s="174"/>
      <c r="Y1294" s="174"/>
      <c r="Z1294" s="174"/>
    </row>
    <row r="1295">
      <c r="A1295" s="194"/>
      <c r="B1295" s="194"/>
      <c r="C1295" s="194"/>
      <c r="D1295" s="194"/>
      <c r="E1295" s="194"/>
      <c r="F1295" s="194"/>
      <c r="G1295" s="194"/>
      <c r="H1295" s="195"/>
      <c r="I1295" s="195"/>
      <c r="J1295" s="194"/>
      <c r="K1295" s="174"/>
      <c r="L1295" s="174"/>
      <c r="M1295" s="174"/>
      <c r="N1295" s="174"/>
      <c r="O1295" s="174"/>
      <c r="P1295" s="174"/>
      <c r="Q1295" s="174"/>
      <c r="R1295" s="174"/>
      <c r="S1295" s="174"/>
      <c r="T1295" s="174"/>
      <c r="U1295" s="174"/>
      <c r="V1295" s="174"/>
      <c r="W1295" s="174"/>
      <c r="X1295" s="174"/>
      <c r="Y1295" s="174"/>
      <c r="Z1295" s="174"/>
    </row>
    <row r="1296">
      <c r="A1296" s="194"/>
      <c r="B1296" s="194"/>
      <c r="C1296" s="194"/>
      <c r="D1296" s="194"/>
      <c r="E1296" s="194"/>
      <c r="F1296" s="194"/>
      <c r="G1296" s="194"/>
      <c r="H1296" s="195"/>
      <c r="I1296" s="195"/>
      <c r="J1296" s="194"/>
      <c r="K1296" s="174"/>
      <c r="L1296" s="174"/>
      <c r="M1296" s="174"/>
      <c r="N1296" s="174"/>
      <c r="O1296" s="174"/>
      <c r="P1296" s="174"/>
      <c r="Q1296" s="174"/>
      <c r="R1296" s="174"/>
      <c r="S1296" s="174"/>
      <c r="T1296" s="174"/>
      <c r="U1296" s="174"/>
      <c r="V1296" s="174"/>
      <c r="W1296" s="174"/>
      <c r="X1296" s="174"/>
      <c r="Y1296" s="174"/>
      <c r="Z1296" s="174"/>
    </row>
    <row r="1297">
      <c r="A1297" s="194"/>
      <c r="B1297" s="194"/>
      <c r="C1297" s="194"/>
      <c r="D1297" s="194"/>
      <c r="E1297" s="194"/>
      <c r="F1297" s="194"/>
      <c r="G1297" s="194"/>
      <c r="H1297" s="195"/>
      <c r="I1297" s="195"/>
      <c r="J1297" s="194"/>
      <c r="K1297" s="174"/>
      <c r="L1297" s="174"/>
      <c r="M1297" s="174"/>
      <c r="N1297" s="174"/>
      <c r="O1297" s="174"/>
      <c r="P1297" s="174"/>
      <c r="Q1297" s="174"/>
      <c r="R1297" s="174"/>
      <c r="S1297" s="174"/>
      <c r="T1297" s="174"/>
      <c r="U1297" s="174"/>
      <c r="V1297" s="174"/>
      <c r="W1297" s="174"/>
      <c r="X1297" s="174"/>
      <c r="Y1297" s="174"/>
      <c r="Z1297" s="174"/>
    </row>
    <row r="1298">
      <c r="A1298" s="194"/>
      <c r="B1298" s="194"/>
      <c r="C1298" s="194"/>
      <c r="D1298" s="194"/>
      <c r="E1298" s="194"/>
      <c r="F1298" s="194"/>
      <c r="G1298" s="194"/>
      <c r="H1298" s="195"/>
      <c r="I1298" s="195"/>
      <c r="J1298" s="194"/>
      <c r="K1298" s="174"/>
      <c r="L1298" s="174"/>
      <c r="M1298" s="174"/>
      <c r="N1298" s="174"/>
      <c r="O1298" s="174"/>
      <c r="P1298" s="174"/>
      <c r="Q1298" s="174"/>
      <c r="R1298" s="174"/>
      <c r="S1298" s="174"/>
      <c r="T1298" s="174"/>
      <c r="U1298" s="174"/>
      <c r="V1298" s="174"/>
      <c r="W1298" s="174"/>
      <c r="X1298" s="174"/>
      <c r="Y1298" s="174"/>
      <c r="Z1298" s="174"/>
    </row>
    <row r="1299">
      <c r="A1299" s="194"/>
      <c r="B1299" s="194"/>
      <c r="C1299" s="194"/>
      <c r="D1299" s="194"/>
      <c r="E1299" s="194"/>
      <c r="F1299" s="194"/>
      <c r="G1299" s="194"/>
      <c r="H1299" s="195"/>
      <c r="I1299" s="195"/>
      <c r="J1299" s="194"/>
      <c r="K1299" s="174"/>
      <c r="L1299" s="174"/>
      <c r="M1299" s="174"/>
      <c r="N1299" s="174"/>
      <c r="O1299" s="174"/>
      <c r="P1299" s="174"/>
      <c r="Q1299" s="174"/>
      <c r="R1299" s="174"/>
      <c r="S1299" s="174"/>
      <c r="T1299" s="174"/>
      <c r="U1299" s="174"/>
      <c r="V1299" s="174"/>
      <c r="W1299" s="174"/>
      <c r="X1299" s="174"/>
      <c r="Y1299" s="174"/>
      <c r="Z1299" s="174"/>
    </row>
    <row r="1300">
      <c r="A1300" s="194"/>
      <c r="B1300" s="194"/>
      <c r="C1300" s="194"/>
      <c r="D1300" s="194"/>
      <c r="E1300" s="194"/>
      <c r="F1300" s="194"/>
      <c r="G1300" s="194"/>
      <c r="H1300" s="195"/>
      <c r="I1300" s="195"/>
      <c r="J1300" s="194"/>
      <c r="K1300" s="174"/>
      <c r="L1300" s="174"/>
      <c r="M1300" s="174"/>
      <c r="N1300" s="174"/>
      <c r="O1300" s="174"/>
      <c r="P1300" s="174"/>
      <c r="Q1300" s="174"/>
      <c r="R1300" s="174"/>
      <c r="S1300" s="174"/>
      <c r="T1300" s="174"/>
      <c r="U1300" s="174"/>
      <c r="V1300" s="174"/>
      <c r="W1300" s="174"/>
      <c r="X1300" s="174"/>
      <c r="Y1300" s="174"/>
      <c r="Z1300" s="174"/>
    </row>
    <row r="1301">
      <c r="A1301" s="194"/>
      <c r="B1301" s="194"/>
      <c r="C1301" s="194"/>
      <c r="D1301" s="194"/>
      <c r="E1301" s="194"/>
      <c r="F1301" s="194"/>
      <c r="G1301" s="194"/>
      <c r="H1301" s="195"/>
      <c r="I1301" s="195"/>
      <c r="J1301" s="194"/>
      <c r="K1301" s="174"/>
      <c r="L1301" s="174"/>
      <c r="M1301" s="174"/>
      <c r="N1301" s="174"/>
      <c r="O1301" s="174"/>
      <c r="P1301" s="174"/>
      <c r="Q1301" s="174"/>
      <c r="R1301" s="174"/>
      <c r="S1301" s="174"/>
      <c r="T1301" s="174"/>
      <c r="U1301" s="174"/>
      <c r="V1301" s="174"/>
      <c r="W1301" s="174"/>
      <c r="X1301" s="174"/>
      <c r="Y1301" s="174"/>
      <c r="Z1301" s="174"/>
    </row>
    <row r="1302">
      <c r="A1302" s="194"/>
      <c r="B1302" s="194"/>
      <c r="C1302" s="194"/>
      <c r="D1302" s="194"/>
      <c r="E1302" s="194"/>
      <c r="F1302" s="194"/>
      <c r="G1302" s="194"/>
      <c r="H1302" s="195"/>
      <c r="I1302" s="195"/>
      <c r="J1302" s="194"/>
      <c r="K1302" s="174"/>
      <c r="L1302" s="174"/>
      <c r="M1302" s="174"/>
      <c r="N1302" s="174"/>
      <c r="O1302" s="174"/>
      <c r="P1302" s="174"/>
      <c r="Q1302" s="174"/>
      <c r="R1302" s="174"/>
      <c r="S1302" s="174"/>
      <c r="T1302" s="174"/>
      <c r="U1302" s="174"/>
      <c r="V1302" s="174"/>
      <c r="W1302" s="174"/>
      <c r="X1302" s="174"/>
      <c r="Y1302" s="174"/>
      <c r="Z1302" s="174"/>
    </row>
    <row r="1303">
      <c r="A1303" s="194"/>
      <c r="B1303" s="194"/>
      <c r="C1303" s="194"/>
      <c r="D1303" s="194"/>
      <c r="E1303" s="194"/>
      <c r="F1303" s="194"/>
      <c r="G1303" s="194"/>
      <c r="H1303" s="195"/>
      <c r="I1303" s="195"/>
      <c r="J1303" s="194"/>
      <c r="K1303" s="174"/>
      <c r="L1303" s="174"/>
      <c r="M1303" s="174"/>
      <c r="N1303" s="174"/>
      <c r="O1303" s="174"/>
      <c r="P1303" s="174"/>
      <c r="Q1303" s="174"/>
      <c r="R1303" s="174"/>
      <c r="S1303" s="174"/>
      <c r="T1303" s="174"/>
      <c r="U1303" s="174"/>
      <c r="V1303" s="174"/>
      <c r="W1303" s="174"/>
      <c r="X1303" s="174"/>
      <c r="Y1303" s="174"/>
      <c r="Z1303" s="174"/>
    </row>
    <row r="1304">
      <c r="A1304" s="194"/>
      <c r="B1304" s="194"/>
      <c r="C1304" s="194"/>
      <c r="D1304" s="194"/>
      <c r="E1304" s="194"/>
      <c r="F1304" s="194"/>
      <c r="G1304" s="194"/>
      <c r="H1304" s="195"/>
      <c r="I1304" s="195"/>
      <c r="J1304" s="194"/>
      <c r="K1304" s="174"/>
      <c r="L1304" s="174"/>
      <c r="M1304" s="174"/>
      <c r="N1304" s="174"/>
      <c r="O1304" s="174"/>
      <c r="P1304" s="174"/>
      <c r="Q1304" s="174"/>
      <c r="R1304" s="174"/>
      <c r="S1304" s="174"/>
      <c r="T1304" s="174"/>
      <c r="U1304" s="174"/>
      <c r="V1304" s="174"/>
      <c r="W1304" s="174"/>
      <c r="X1304" s="174"/>
      <c r="Y1304" s="174"/>
      <c r="Z1304" s="174"/>
    </row>
    <row r="1305">
      <c r="A1305" s="194"/>
      <c r="B1305" s="194"/>
      <c r="C1305" s="194"/>
      <c r="D1305" s="194"/>
      <c r="E1305" s="194"/>
      <c r="F1305" s="194"/>
      <c r="G1305" s="194"/>
      <c r="H1305" s="195"/>
      <c r="I1305" s="195"/>
      <c r="J1305" s="194"/>
      <c r="K1305" s="174"/>
      <c r="L1305" s="174"/>
      <c r="M1305" s="174"/>
      <c r="N1305" s="174"/>
      <c r="O1305" s="174"/>
      <c r="P1305" s="174"/>
      <c r="Q1305" s="174"/>
      <c r="R1305" s="174"/>
      <c r="S1305" s="174"/>
      <c r="T1305" s="174"/>
      <c r="U1305" s="174"/>
      <c r="V1305" s="174"/>
      <c r="W1305" s="174"/>
      <c r="X1305" s="174"/>
      <c r="Y1305" s="174"/>
      <c r="Z1305" s="174"/>
    </row>
    <row r="1306">
      <c r="A1306" s="194"/>
      <c r="B1306" s="194"/>
      <c r="C1306" s="194"/>
      <c r="D1306" s="194"/>
      <c r="E1306" s="194"/>
      <c r="F1306" s="194"/>
      <c r="G1306" s="194"/>
      <c r="H1306" s="195"/>
      <c r="I1306" s="195"/>
      <c r="J1306" s="194"/>
      <c r="K1306" s="174"/>
      <c r="L1306" s="174"/>
      <c r="M1306" s="174"/>
      <c r="N1306" s="174"/>
      <c r="O1306" s="174"/>
      <c r="P1306" s="174"/>
      <c r="Q1306" s="174"/>
      <c r="R1306" s="174"/>
      <c r="S1306" s="174"/>
      <c r="T1306" s="174"/>
      <c r="U1306" s="174"/>
      <c r="V1306" s="174"/>
      <c r="W1306" s="174"/>
      <c r="X1306" s="174"/>
      <c r="Y1306" s="174"/>
      <c r="Z1306" s="174"/>
    </row>
    <row r="1307">
      <c r="A1307" s="194"/>
      <c r="B1307" s="194"/>
      <c r="C1307" s="194"/>
      <c r="D1307" s="194"/>
      <c r="E1307" s="194"/>
      <c r="F1307" s="194"/>
      <c r="G1307" s="194"/>
      <c r="H1307" s="195"/>
      <c r="I1307" s="195"/>
      <c r="J1307" s="194"/>
      <c r="K1307" s="174"/>
      <c r="L1307" s="174"/>
      <c r="M1307" s="174"/>
      <c r="N1307" s="174"/>
      <c r="O1307" s="174"/>
      <c r="P1307" s="174"/>
      <c r="Q1307" s="174"/>
      <c r="R1307" s="174"/>
      <c r="S1307" s="174"/>
      <c r="T1307" s="174"/>
      <c r="U1307" s="174"/>
      <c r="V1307" s="174"/>
      <c r="W1307" s="174"/>
      <c r="X1307" s="174"/>
      <c r="Y1307" s="174"/>
      <c r="Z1307" s="174"/>
    </row>
    <row r="1308">
      <c r="A1308" s="194"/>
      <c r="B1308" s="194"/>
      <c r="C1308" s="194"/>
      <c r="D1308" s="194"/>
      <c r="E1308" s="194"/>
      <c r="F1308" s="194"/>
      <c r="G1308" s="194"/>
      <c r="H1308" s="195"/>
      <c r="I1308" s="195"/>
      <c r="J1308" s="194"/>
      <c r="K1308" s="174"/>
      <c r="L1308" s="174"/>
      <c r="M1308" s="174"/>
      <c r="N1308" s="174"/>
      <c r="O1308" s="174"/>
      <c r="P1308" s="174"/>
      <c r="Q1308" s="174"/>
      <c r="R1308" s="174"/>
      <c r="S1308" s="174"/>
      <c r="T1308" s="174"/>
      <c r="U1308" s="174"/>
      <c r="V1308" s="174"/>
      <c r="W1308" s="174"/>
      <c r="X1308" s="174"/>
      <c r="Y1308" s="174"/>
      <c r="Z1308" s="174"/>
    </row>
    <row r="1309">
      <c r="A1309" s="194"/>
      <c r="B1309" s="194"/>
      <c r="C1309" s="194"/>
      <c r="D1309" s="194"/>
      <c r="E1309" s="194"/>
      <c r="F1309" s="194"/>
      <c r="G1309" s="194"/>
      <c r="H1309" s="195"/>
      <c r="I1309" s="195"/>
      <c r="J1309" s="194"/>
      <c r="K1309" s="174"/>
      <c r="L1309" s="174"/>
      <c r="M1309" s="174"/>
      <c r="N1309" s="174"/>
      <c r="O1309" s="174"/>
      <c r="P1309" s="174"/>
      <c r="Q1309" s="174"/>
      <c r="R1309" s="174"/>
      <c r="S1309" s="174"/>
      <c r="T1309" s="174"/>
      <c r="U1309" s="174"/>
      <c r="V1309" s="174"/>
      <c r="W1309" s="174"/>
      <c r="X1309" s="174"/>
      <c r="Y1309" s="174"/>
      <c r="Z1309" s="174"/>
    </row>
    <row r="1310">
      <c r="A1310" s="194"/>
      <c r="B1310" s="194"/>
      <c r="C1310" s="194"/>
      <c r="D1310" s="194"/>
      <c r="E1310" s="194"/>
      <c r="F1310" s="194"/>
      <c r="G1310" s="194"/>
      <c r="H1310" s="195"/>
      <c r="I1310" s="195"/>
      <c r="J1310" s="194"/>
      <c r="K1310" s="174"/>
      <c r="L1310" s="174"/>
      <c r="M1310" s="174"/>
      <c r="N1310" s="174"/>
      <c r="O1310" s="174"/>
      <c r="P1310" s="174"/>
      <c r="Q1310" s="174"/>
      <c r="R1310" s="174"/>
      <c r="S1310" s="174"/>
      <c r="T1310" s="174"/>
      <c r="U1310" s="174"/>
      <c r="V1310" s="174"/>
      <c r="W1310" s="174"/>
      <c r="X1310" s="174"/>
      <c r="Y1310" s="174"/>
      <c r="Z1310" s="174"/>
    </row>
    <row r="1311">
      <c r="A1311" s="194"/>
      <c r="B1311" s="194"/>
      <c r="C1311" s="194"/>
      <c r="D1311" s="194"/>
      <c r="E1311" s="194"/>
      <c r="F1311" s="194"/>
      <c r="G1311" s="194"/>
      <c r="H1311" s="195"/>
      <c r="I1311" s="195"/>
      <c r="J1311" s="194"/>
      <c r="K1311" s="174"/>
      <c r="L1311" s="174"/>
      <c r="M1311" s="174"/>
      <c r="N1311" s="174"/>
      <c r="O1311" s="174"/>
      <c r="P1311" s="174"/>
      <c r="Q1311" s="174"/>
      <c r="R1311" s="174"/>
      <c r="S1311" s="174"/>
      <c r="T1311" s="174"/>
      <c r="U1311" s="174"/>
      <c r="V1311" s="174"/>
      <c r="W1311" s="174"/>
      <c r="X1311" s="174"/>
      <c r="Y1311" s="174"/>
      <c r="Z1311" s="174"/>
    </row>
    <row r="1312">
      <c r="A1312" s="194"/>
      <c r="B1312" s="194"/>
      <c r="C1312" s="194"/>
      <c r="D1312" s="194"/>
      <c r="E1312" s="194"/>
      <c r="F1312" s="194"/>
      <c r="G1312" s="194"/>
      <c r="H1312" s="195"/>
      <c r="I1312" s="195"/>
      <c r="J1312" s="194"/>
      <c r="K1312" s="174"/>
      <c r="L1312" s="174"/>
      <c r="M1312" s="174"/>
      <c r="N1312" s="174"/>
      <c r="O1312" s="174"/>
      <c r="P1312" s="174"/>
      <c r="Q1312" s="174"/>
      <c r="R1312" s="174"/>
      <c r="S1312" s="174"/>
      <c r="T1312" s="174"/>
      <c r="U1312" s="174"/>
      <c r="V1312" s="174"/>
      <c r="W1312" s="174"/>
      <c r="X1312" s="174"/>
      <c r="Y1312" s="174"/>
      <c r="Z1312" s="174"/>
    </row>
    <row r="1313">
      <c r="A1313" s="194"/>
      <c r="B1313" s="194"/>
      <c r="C1313" s="194"/>
      <c r="D1313" s="194"/>
      <c r="E1313" s="194"/>
      <c r="F1313" s="194"/>
      <c r="G1313" s="194"/>
      <c r="H1313" s="195"/>
      <c r="I1313" s="195"/>
      <c r="J1313" s="194"/>
      <c r="K1313" s="174"/>
      <c r="L1313" s="174"/>
      <c r="M1313" s="174"/>
      <c r="N1313" s="174"/>
      <c r="O1313" s="174"/>
      <c r="P1313" s="174"/>
      <c r="Q1313" s="174"/>
      <c r="R1313" s="174"/>
      <c r="S1313" s="174"/>
      <c r="T1313" s="174"/>
      <c r="U1313" s="174"/>
      <c r="V1313" s="174"/>
      <c r="W1313" s="174"/>
      <c r="X1313" s="174"/>
      <c r="Y1313" s="174"/>
      <c r="Z1313" s="174"/>
    </row>
    <row r="1314">
      <c r="A1314" s="194"/>
      <c r="B1314" s="194"/>
      <c r="C1314" s="194"/>
      <c r="D1314" s="194"/>
      <c r="E1314" s="194"/>
      <c r="F1314" s="194"/>
      <c r="G1314" s="194"/>
      <c r="H1314" s="195"/>
      <c r="I1314" s="195"/>
      <c r="J1314" s="194"/>
      <c r="K1314" s="174"/>
      <c r="L1314" s="174"/>
      <c r="M1314" s="174"/>
      <c r="N1314" s="174"/>
      <c r="O1314" s="174"/>
      <c r="P1314" s="174"/>
      <c r="Q1314" s="174"/>
      <c r="R1314" s="174"/>
      <c r="S1314" s="174"/>
      <c r="T1314" s="174"/>
      <c r="U1314" s="174"/>
      <c r="V1314" s="174"/>
      <c r="W1314" s="174"/>
      <c r="X1314" s="174"/>
      <c r="Y1314" s="174"/>
      <c r="Z1314" s="174"/>
    </row>
    <row r="1315">
      <c r="A1315" s="194"/>
      <c r="B1315" s="194"/>
      <c r="C1315" s="194"/>
      <c r="D1315" s="194"/>
      <c r="E1315" s="194"/>
      <c r="F1315" s="194"/>
      <c r="G1315" s="194"/>
      <c r="H1315" s="195"/>
      <c r="I1315" s="195"/>
      <c r="J1315" s="194"/>
      <c r="K1315" s="174"/>
      <c r="L1315" s="174"/>
      <c r="M1315" s="174"/>
      <c r="N1315" s="174"/>
      <c r="O1315" s="174"/>
      <c r="P1315" s="174"/>
      <c r="Q1315" s="174"/>
      <c r="R1315" s="174"/>
      <c r="S1315" s="174"/>
      <c r="T1315" s="174"/>
      <c r="U1315" s="174"/>
      <c r="V1315" s="174"/>
      <c r="W1315" s="174"/>
      <c r="X1315" s="174"/>
      <c r="Y1315" s="174"/>
      <c r="Z1315" s="174"/>
    </row>
    <row r="1316">
      <c r="A1316" s="194"/>
      <c r="B1316" s="194"/>
      <c r="C1316" s="194"/>
      <c r="D1316" s="194"/>
      <c r="E1316" s="194"/>
      <c r="F1316" s="194"/>
      <c r="G1316" s="194"/>
      <c r="H1316" s="195"/>
      <c r="I1316" s="195"/>
      <c r="J1316" s="194"/>
      <c r="K1316" s="174"/>
      <c r="L1316" s="174"/>
      <c r="M1316" s="174"/>
      <c r="N1316" s="174"/>
      <c r="O1316" s="174"/>
      <c r="P1316" s="174"/>
      <c r="Q1316" s="174"/>
      <c r="R1316" s="174"/>
      <c r="S1316" s="174"/>
      <c r="T1316" s="174"/>
      <c r="U1316" s="174"/>
      <c r="V1316" s="174"/>
      <c r="W1316" s="174"/>
      <c r="X1316" s="174"/>
      <c r="Y1316" s="174"/>
      <c r="Z1316" s="174"/>
    </row>
    <row r="1317">
      <c r="A1317" s="194"/>
      <c r="B1317" s="194"/>
      <c r="C1317" s="194"/>
      <c r="D1317" s="194"/>
      <c r="E1317" s="194"/>
      <c r="F1317" s="194"/>
      <c r="G1317" s="194"/>
      <c r="H1317" s="195"/>
      <c r="I1317" s="195"/>
      <c r="J1317" s="194"/>
      <c r="K1317" s="174"/>
      <c r="L1317" s="174"/>
      <c r="M1317" s="174"/>
      <c r="N1317" s="174"/>
      <c r="O1317" s="174"/>
      <c r="P1317" s="174"/>
      <c r="Q1317" s="174"/>
      <c r="R1317" s="174"/>
      <c r="S1317" s="174"/>
      <c r="T1317" s="174"/>
      <c r="U1317" s="174"/>
      <c r="V1317" s="174"/>
      <c r="W1317" s="174"/>
      <c r="X1317" s="174"/>
      <c r="Y1317" s="174"/>
      <c r="Z1317" s="174"/>
    </row>
    <row r="1318">
      <c r="A1318" s="194"/>
      <c r="B1318" s="194"/>
      <c r="C1318" s="194"/>
      <c r="D1318" s="194"/>
      <c r="E1318" s="194"/>
      <c r="F1318" s="194"/>
      <c r="G1318" s="194"/>
      <c r="H1318" s="195"/>
      <c r="I1318" s="195"/>
      <c r="J1318" s="194"/>
      <c r="K1318" s="174"/>
      <c r="L1318" s="174"/>
      <c r="M1318" s="174"/>
      <c r="N1318" s="174"/>
      <c r="O1318" s="174"/>
      <c r="P1318" s="174"/>
      <c r="Q1318" s="174"/>
      <c r="R1318" s="174"/>
      <c r="S1318" s="174"/>
      <c r="T1318" s="174"/>
      <c r="U1318" s="174"/>
      <c r="V1318" s="174"/>
      <c r="W1318" s="174"/>
      <c r="X1318" s="174"/>
      <c r="Y1318" s="174"/>
      <c r="Z1318" s="174"/>
    </row>
    <row r="1319">
      <c r="A1319" s="194"/>
      <c r="B1319" s="194"/>
      <c r="C1319" s="194"/>
      <c r="D1319" s="194"/>
      <c r="E1319" s="194"/>
      <c r="F1319" s="194"/>
      <c r="G1319" s="194"/>
      <c r="H1319" s="195"/>
      <c r="I1319" s="195"/>
      <c r="J1319" s="194"/>
      <c r="K1319" s="174"/>
      <c r="L1319" s="174"/>
      <c r="M1319" s="174"/>
      <c r="N1319" s="174"/>
      <c r="O1319" s="174"/>
      <c r="P1319" s="174"/>
      <c r="Q1319" s="174"/>
      <c r="R1319" s="174"/>
      <c r="S1319" s="174"/>
      <c r="T1319" s="174"/>
      <c r="U1319" s="174"/>
      <c r="V1319" s="174"/>
      <c r="W1319" s="174"/>
      <c r="X1319" s="174"/>
      <c r="Y1319" s="174"/>
      <c r="Z1319" s="174"/>
    </row>
    <row r="1320">
      <c r="A1320" s="194"/>
      <c r="B1320" s="194"/>
      <c r="C1320" s="194"/>
      <c r="D1320" s="194"/>
      <c r="E1320" s="194"/>
      <c r="F1320" s="194"/>
      <c r="G1320" s="194"/>
      <c r="H1320" s="195"/>
      <c r="I1320" s="195"/>
      <c r="J1320" s="194"/>
      <c r="K1320" s="174"/>
      <c r="L1320" s="174"/>
      <c r="M1320" s="174"/>
      <c r="N1320" s="174"/>
      <c r="O1320" s="174"/>
      <c r="P1320" s="174"/>
      <c r="Q1320" s="174"/>
      <c r="R1320" s="174"/>
      <c r="S1320" s="174"/>
      <c r="T1320" s="174"/>
      <c r="U1320" s="174"/>
      <c r="V1320" s="174"/>
      <c r="W1320" s="174"/>
      <c r="X1320" s="174"/>
      <c r="Y1320" s="174"/>
      <c r="Z1320" s="174"/>
    </row>
    <row r="1321">
      <c r="A1321" s="194"/>
      <c r="B1321" s="194"/>
      <c r="C1321" s="194"/>
      <c r="D1321" s="194"/>
      <c r="E1321" s="194"/>
      <c r="F1321" s="194"/>
      <c r="G1321" s="194"/>
      <c r="H1321" s="195"/>
      <c r="I1321" s="195"/>
      <c r="J1321" s="194"/>
      <c r="K1321" s="174"/>
      <c r="L1321" s="174"/>
      <c r="M1321" s="174"/>
      <c r="N1321" s="174"/>
      <c r="O1321" s="174"/>
      <c r="P1321" s="174"/>
      <c r="Q1321" s="174"/>
      <c r="R1321" s="174"/>
      <c r="S1321" s="174"/>
      <c r="T1321" s="174"/>
      <c r="U1321" s="174"/>
      <c r="V1321" s="174"/>
      <c r="W1321" s="174"/>
      <c r="X1321" s="174"/>
      <c r="Y1321" s="174"/>
      <c r="Z1321" s="174"/>
    </row>
    <row r="1322">
      <c r="A1322" s="194"/>
      <c r="B1322" s="194"/>
      <c r="C1322" s="194"/>
      <c r="D1322" s="194"/>
      <c r="E1322" s="194"/>
      <c r="F1322" s="194"/>
      <c r="G1322" s="194"/>
      <c r="H1322" s="195"/>
      <c r="I1322" s="195"/>
      <c r="J1322" s="194"/>
      <c r="K1322" s="174"/>
      <c r="L1322" s="174"/>
      <c r="M1322" s="174"/>
      <c r="N1322" s="174"/>
      <c r="O1322" s="174"/>
      <c r="P1322" s="174"/>
      <c r="Q1322" s="174"/>
      <c r="R1322" s="174"/>
      <c r="S1322" s="174"/>
      <c r="T1322" s="174"/>
      <c r="U1322" s="174"/>
      <c r="V1322" s="174"/>
      <c r="W1322" s="174"/>
      <c r="X1322" s="174"/>
      <c r="Y1322" s="174"/>
      <c r="Z1322" s="174"/>
    </row>
    <row r="1323">
      <c r="A1323" s="194"/>
      <c r="B1323" s="194"/>
      <c r="C1323" s="194"/>
      <c r="D1323" s="194"/>
      <c r="E1323" s="194"/>
      <c r="F1323" s="194"/>
      <c r="G1323" s="194"/>
      <c r="H1323" s="195"/>
      <c r="I1323" s="195"/>
      <c r="J1323" s="194"/>
      <c r="K1323" s="174"/>
      <c r="L1323" s="174"/>
      <c r="M1323" s="174"/>
      <c r="N1323" s="174"/>
      <c r="O1323" s="174"/>
      <c r="P1323" s="174"/>
      <c r="Q1323" s="174"/>
      <c r="R1323" s="174"/>
      <c r="S1323" s="174"/>
      <c r="T1323" s="174"/>
      <c r="U1323" s="174"/>
      <c r="V1323" s="174"/>
      <c r="W1323" s="174"/>
      <c r="X1323" s="174"/>
      <c r="Y1323" s="174"/>
      <c r="Z1323" s="174"/>
    </row>
    <row r="1324">
      <c r="A1324" s="194"/>
      <c r="B1324" s="194"/>
      <c r="C1324" s="194"/>
      <c r="D1324" s="194"/>
      <c r="E1324" s="194"/>
      <c r="F1324" s="194"/>
      <c r="G1324" s="194"/>
      <c r="H1324" s="195"/>
      <c r="I1324" s="195"/>
      <c r="J1324" s="194"/>
      <c r="K1324" s="174"/>
      <c r="L1324" s="174"/>
      <c r="M1324" s="174"/>
      <c r="N1324" s="174"/>
      <c r="O1324" s="174"/>
      <c r="P1324" s="174"/>
      <c r="Q1324" s="174"/>
      <c r="R1324" s="174"/>
      <c r="S1324" s="174"/>
      <c r="T1324" s="174"/>
      <c r="U1324" s="174"/>
      <c r="V1324" s="174"/>
      <c r="W1324" s="174"/>
      <c r="X1324" s="174"/>
      <c r="Y1324" s="174"/>
      <c r="Z1324" s="174"/>
    </row>
    <row r="1325">
      <c r="A1325" s="194"/>
      <c r="B1325" s="194"/>
      <c r="C1325" s="194"/>
      <c r="D1325" s="194"/>
      <c r="E1325" s="194"/>
      <c r="F1325" s="194"/>
      <c r="G1325" s="194"/>
      <c r="H1325" s="195"/>
      <c r="I1325" s="195"/>
      <c r="J1325" s="194"/>
      <c r="K1325" s="174"/>
      <c r="L1325" s="174"/>
      <c r="M1325" s="174"/>
      <c r="N1325" s="174"/>
      <c r="O1325" s="174"/>
      <c r="P1325" s="174"/>
      <c r="Q1325" s="174"/>
      <c r="R1325" s="174"/>
      <c r="S1325" s="174"/>
      <c r="T1325" s="174"/>
      <c r="U1325" s="174"/>
      <c r="V1325" s="174"/>
      <c r="W1325" s="174"/>
      <c r="X1325" s="174"/>
      <c r="Y1325" s="174"/>
      <c r="Z1325" s="174"/>
    </row>
    <row r="1326">
      <c r="A1326" s="194"/>
      <c r="B1326" s="194"/>
      <c r="C1326" s="194"/>
      <c r="D1326" s="194"/>
      <c r="E1326" s="194"/>
      <c r="F1326" s="194"/>
      <c r="G1326" s="194"/>
      <c r="H1326" s="195"/>
      <c r="I1326" s="195"/>
      <c r="J1326" s="194"/>
      <c r="K1326" s="174"/>
      <c r="L1326" s="174"/>
      <c r="M1326" s="174"/>
      <c r="N1326" s="174"/>
      <c r="O1326" s="174"/>
      <c r="P1326" s="174"/>
      <c r="Q1326" s="174"/>
      <c r="R1326" s="174"/>
      <c r="S1326" s="174"/>
      <c r="T1326" s="174"/>
      <c r="U1326" s="174"/>
      <c r="V1326" s="174"/>
      <c r="W1326" s="174"/>
      <c r="X1326" s="174"/>
      <c r="Y1326" s="174"/>
      <c r="Z1326" s="174"/>
    </row>
    <row r="1327">
      <c r="A1327" s="194"/>
      <c r="B1327" s="194"/>
      <c r="C1327" s="194"/>
      <c r="D1327" s="194"/>
      <c r="E1327" s="194"/>
      <c r="F1327" s="194"/>
      <c r="G1327" s="194"/>
      <c r="H1327" s="195"/>
      <c r="I1327" s="195"/>
      <c r="J1327" s="194"/>
      <c r="K1327" s="174"/>
      <c r="L1327" s="174"/>
      <c r="M1327" s="174"/>
      <c r="N1327" s="174"/>
      <c r="O1327" s="174"/>
      <c r="P1327" s="174"/>
      <c r="Q1327" s="174"/>
      <c r="R1327" s="174"/>
      <c r="S1327" s="174"/>
      <c r="T1327" s="174"/>
      <c r="U1327" s="174"/>
      <c r="V1327" s="174"/>
      <c r="W1327" s="174"/>
      <c r="X1327" s="174"/>
      <c r="Y1327" s="174"/>
      <c r="Z1327" s="174"/>
    </row>
    <row r="1328">
      <c r="A1328" s="194"/>
      <c r="B1328" s="194"/>
      <c r="C1328" s="194"/>
      <c r="D1328" s="194"/>
      <c r="E1328" s="194"/>
      <c r="F1328" s="194"/>
      <c r="G1328" s="194"/>
      <c r="H1328" s="195"/>
      <c r="I1328" s="195"/>
      <c r="J1328" s="194"/>
      <c r="K1328" s="174"/>
      <c r="L1328" s="174"/>
      <c r="M1328" s="174"/>
      <c r="N1328" s="174"/>
      <c r="O1328" s="174"/>
      <c r="P1328" s="174"/>
      <c r="Q1328" s="174"/>
      <c r="R1328" s="174"/>
      <c r="S1328" s="174"/>
      <c r="T1328" s="174"/>
      <c r="U1328" s="174"/>
      <c r="V1328" s="174"/>
      <c r="W1328" s="174"/>
      <c r="X1328" s="174"/>
      <c r="Y1328" s="174"/>
      <c r="Z1328" s="174"/>
    </row>
    <row r="1329">
      <c r="A1329" s="194"/>
      <c r="B1329" s="194"/>
      <c r="C1329" s="194"/>
      <c r="D1329" s="194"/>
      <c r="E1329" s="194"/>
      <c r="F1329" s="194"/>
      <c r="G1329" s="194"/>
      <c r="H1329" s="195"/>
      <c r="I1329" s="195"/>
      <c r="J1329" s="194"/>
      <c r="K1329" s="174"/>
      <c r="L1329" s="174"/>
      <c r="M1329" s="174"/>
      <c r="N1329" s="174"/>
      <c r="O1329" s="174"/>
      <c r="P1329" s="174"/>
      <c r="Q1329" s="174"/>
      <c r="R1329" s="174"/>
      <c r="S1329" s="174"/>
      <c r="T1329" s="174"/>
      <c r="U1329" s="174"/>
      <c r="V1329" s="174"/>
      <c r="W1329" s="174"/>
      <c r="X1329" s="174"/>
      <c r="Y1329" s="174"/>
      <c r="Z1329" s="174"/>
    </row>
    <row r="1330">
      <c r="A1330" s="194"/>
      <c r="B1330" s="194"/>
      <c r="C1330" s="194"/>
      <c r="D1330" s="194"/>
      <c r="E1330" s="194"/>
      <c r="F1330" s="194"/>
      <c r="G1330" s="194"/>
      <c r="H1330" s="195"/>
      <c r="I1330" s="195"/>
      <c r="J1330" s="194"/>
      <c r="K1330" s="174"/>
      <c r="L1330" s="174"/>
      <c r="M1330" s="174"/>
      <c r="N1330" s="174"/>
      <c r="O1330" s="174"/>
      <c r="P1330" s="174"/>
      <c r="Q1330" s="174"/>
      <c r="R1330" s="174"/>
      <c r="S1330" s="174"/>
      <c r="T1330" s="174"/>
      <c r="U1330" s="174"/>
      <c r="V1330" s="174"/>
      <c r="W1330" s="174"/>
      <c r="X1330" s="174"/>
      <c r="Y1330" s="174"/>
      <c r="Z1330" s="174"/>
    </row>
    <row r="1331">
      <c r="A1331" s="194"/>
      <c r="B1331" s="194"/>
      <c r="C1331" s="194"/>
      <c r="D1331" s="194"/>
      <c r="E1331" s="194"/>
      <c r="F1331" s="194"/>
      <c r="G1331" s="194"/>
      <c r="H1331" s="195"/>
      <c r="I1331" s="195"/>
      <c r="J1331" s="194"/>
      <c r="K1331" s="174"/>
      <c r="L1331" s="174"/>
      <c r="M1331" s="174"/>
      <c r="N1331" s="174"/>
      <c r="O1331" s="174"/>
      <c r="P1331" s="174"/>
      <c r="Q1331" s="174"/>
      <c r="R1331" s="174"/>
      <c r="S1331" s="174"/>
      <c r="T1331" s="174"/>
      <c r="U1331" s="174"/>
      <c r="V1331" s="174"/>
      <c r="W1331" s="174"/>
      <c r="X1331" s="174"/>
      <c r="Y1331" s="174"/>
      <c r="Z1331" s="174"/>
    </row>
    <row r="1332">
      <c r="A1332" s="194"/>
      <c r="B1332" s="194"/>
      <c r="C1332" s="194"/>
      <c r="D1332" s="194"/>
      <c r="E1332" s="194"/>
      <c r="F1332" s="194"/>
      <c r="G1332" s="194"/>
      <c r="H1332" s="195"/>
      <c r="I1332" s="195"/>
      <c r="J1332" s="194"/>
      <c r="K1332" s="174"/>
      <c r="L1332" s="174"/>
      <c r="M1332" s="174"/>
      <c r="N1332" s="174"/>
      <c r="O1332" s="174"/>
      <c r="P1332" s="174"/>
      <c r="Q1332" s="174"/>
      <c r="R1332" s="174"/>
      <c r="S1332" s="174"/>
      <c r="T1332" s="174"/>
      <c r="U1332" s="174"/>
      <c r="V1332" s="174"/>
      <c r="W1332" s="174"/>
      <c r="X1332" s="174"/>
      <c r="Y1332" s="174"/>
      <c r="Z1332" s="174"/>
    </row>
    <row r="1333">
      <c r="A1333" s="194"/>
      <c r="B1333" s="194"/>
      <c r="C1333" s="194"/>
      <c r="D1333" s="194"/>
      <c r="E1333" s="194"/>
      <c r="F1333" s="194"/>
      <c r="G1333" s="194"/>
      <c r="H1333" s="195"/>
      <c r="I1333" s="195"/>
      <c r="J1333" s="194"/>
      <c r="K1333" s="174"/>
      <c r="L1333" s="174"/>
      <c r="M1333" s="174"/>
      <c r="N1333" s="174"/>
      <c r="O1333" s="174"/>
      <c r="P1333" s="174"/>
      <c r="Q1333" s="174"/>
      <c r="R1333" s="174"/>
      <c r="S1333" s="174"/>
      <c r="T1333" s="174"/>
      <c r="U1333" s="174"/>
      <c r="V1333" s="174"/>
      <c r="W1333" s="174"/>
      <c r="X1333" s="174"/>
      <c r="Y1333" s="174"/>
      <c r="Z1333" s="174"/>
    </row>
    <row r="1334">
      <c r="A1334" s="194"/>
      <c r="B1334" s="194"/>
      <c r="C1334" s="194"/>
      <c r="D1334" s="194"/>
      <c r="E1334" s="194"/>
      <c r="F1334" s="194"/>
      <c r="G1334" s="194"/>
      <c r="H1334" s="195"/>
      <c r="I1334" s="195"/>
      <c r="J1334" s="194"/>
      <c r="K1334" s="174"/>
      <c r="L1334" s="174"/>
      <c r="M1334" s="174"/>
      <c r="N1334" s="174"/>
      <c r="O1334" s="174"/>
      <c r="P1334" s="174"/>
      <c r="Q1334" s="174"/>
      <c r="R1334" s="174"/>
      <c r="S1334" s="174"/>
      <c r="T1334" s="174"/>
      <c r="U1334" s="174"/>
      <c r="V1334" s="174"/>
      <c r="W1334" s="174"/>
      <c r="X1334" s="174"/>
      <c r="Y1334" s="174"/>
      <c r="Z1334" s="174"/>
    </row>
    <row r="1335">
      <c r="A1335" s="194"/>
      <c r="B1335" s="194"/>
      <c r="C1335" s="194"/>
      <c r="D1335" s="194"/>
      <c r="E1335" s="194"/>
      <c r="F1335" s="194"/>
      <c r="G1335" s="194"/>
      <c r="H1335" s="195"/>
      <c r="I1335" s="195"/>
      <c r="J1335" s="194"/>
      <c r="K1335" s="174"/>
      <c r="L1335" s="174"/>
      <c r="M1335" s="174"/>
      <c r="N1335" s="174"/>
      <c r="O1335" s="174"/>
      <c r="P1335" s="174"/>
      <c r="Q1335" s="174"/>
      <c r="R1335" s="174"/>
      <c r="S1335" s="174"/>
      <c r="T1335" s="174"/>
      <c r="U1335" s="174"/>
      <c r="V1335" s="174"/>
      <c r="W1335" s="174"/>
      <c r="X1335" s="174"/>
      <c r="Y1335" s="174"/>
      <c r="Z1335" s="174"/>
    </row>
    <row r="1336">
      <c r="A1336" s="194"/>
      <c r="B1336" s="194"/>
      <c r="C1336" s="194"/>
      <c r="D1336" s="194"/>
      <c r="E1336" s="194"/>
      <c r="F1336" s="194"/>
      <c r="G1336" s="194"/>
      <c r="H1336" s="195"/>
      <c r="I1336" s="195"/>
      <c r="J1336" s="194"/>
      <c r="K1336" s="174"/>
      <c r="L1336" s="174"/>
      <c r="M1336" s="174"/>
      <c r="N1336" s="174"/>
      <c r="O1336" s="174"/>
      <c r="P1336" s="174"/>
      <c r="Q1336" s="174"/>
      <c r="R1336" s="174"/>
      <c r="S1336" s="174"/>
      <c r="T1336" s="174"/>
      <c r="U1336" s="174"/>
      <c r="V1336" s="174"/>
      <c r="W1336" s="174"/>
      <c r="X1336" s="174"/>
      <c r="Y1336" s="174"/>
      <c r="Z1336" s="174"/>
    </row>
    <row r="1337">
      <c r="A1337" s="194"/>
      <c r="B1337" s="194"/>
      <c r="C1337" s="194"/>
      <c r="D1337" s="194"/>
      <c r="E1337" s="194"/>
      <c r="F1337" s="194"/>
      <c r="G1337" s="194"/>
      <c r="H1337" s="195"/>
      <c r="I1337" s="195"/>
      <c r="J1337" s="194"/>
      <c r="K1337" s="174"/>
      <c r="L1337" s="174"/>
      <c r="M1337" s="174"/>
      <c r="N1337" s="174"/>
      <c r="O1337" s="174"/>
      <c r="P1337" s="174"/>
      <c r="Q1337" s="174"/>
      <c r="R1337" s="174"/>
      <c r="S1337" s="174"/>
      <c r="T1337" s="174"/>
      <c r="U1337" s="174"/>
      <c r="V1337" s="174"/>
      <c r="W1337" s="174"/>
      <c r="X1337" s="174"/>
      <c r="Y1337" s="174"/>
      <c r="Z1337" s="174"/>
    </row>
    <row r="1338">
      <c r="A1338" s="194"/>
      <c r="B1338" s="194"/>
      <c r="C1338" s="194"/>
      <c r="D1338" s="194"/>
      <c r="E1338" s="194"/>
      <c r="F1338" s="194"/>
      <c r="G1338" s="194"/>
      <c r="H1338" s="195"/>
      <c r="I1338" s="195"/>
      <c r="J1338" s="194"/>
      <c r="K1338" s="174"/>
      <c r="L1338" s="174"/>
      <c r="M1338" s="174"/>
      <c r="N1338" s="174"/>
      <c r="O1338" s="174"/>
      <c r="P1338" s="174"/>
      <c r="Q1338" s="174"/>
      <c r="R1338" s="174"/>
      <c r="S1338" s="174"/>
      <c r="T1338" s="174"/>
      <c r="U1338" s="174"/>
      <c r="V1338" s="174"/>
      <c r="W1338" s="174"/>
      <c r="X1338" s="174"/>
      <c r="Y1338" s="174"/>
      <c r="Z1338" s="174"/>
    </row>
    <row r="1339">
      <c r="A1339" s="194"/>
      <c r="B1339" s="194"/>
      <c r="C1339" s="194"/>
      <c r="D1339" s="194"/>
      <c r="E1339" s="194"/>
      <c r="F1339" s="194"/>
      <c r="G1339" s="194"/>
      <c r="H1339" s="195"/>
      <c r="I1339" s="195"/>
      <c r="J1339" s="194"/>
      <c r="K1339" s="174"/>
      <c r="L1339" s="174"/>
      <c r="M1339" s="174"/>
      <c r="N1339" s="174"/>
      <c r="O1339" s="174"/>
      <c r="P1339" s="174"/>
      <c r="Q1339" s="174"/>
      <c r="R1339" s="174"/>
      <c r="S1339" s="174"/>
      <c r="T1339" s="174"/>
      <c r="U1339" s="174"/>
      <c r="V1339" s="174"/>
      <c r="W1339" s="174"/>
      <c r="X1339" s="174"/>
      <c r="Y1339" s="174"/>
      <c r="Z1339" s="174"/>
    </row>
    <row r="1340">
      <c r="A1340" s="194"/>
      <c r="B1340" s="194"/>
      <c r="C1340" s="194"/>
      <c r="D1340" s="194"/>
      <c r="E1340" s="194"/>
      <c r="F1340" s="194"/>
      <c r="G1340" s="194"/>
      <c r="H1340" s="195"/>
      <c r="I1340" s="195"/>
      <c r="J1340" s="194"/>
      <c r="K1340" s="174"/>
      <c r="L1340" s="174"/>
      <c r="M1340" s="174"/>
      <c r="N1340" s="174"/>
      <c r="O1340" s="174"/>
      <c r="P1340" s="174"/>
      <c r="Q1340" s="174"/>
      <c r="R1340" s="174"/>
      <c r="S1340" s="174"/>
      <c r="T1340" s="174"/>
      <c r="U1340" s="174"/>
      <c r="V1340" s="174"/>
      <c r="W1340" s="174"/>
      <c r="X1340" s="174"/>
      <c r="Y1340" s="174"/>
      <c r="Z1340" s="174"/>
    </row>
    <row r="1341">
      <c r="A1341" s="194"/>
      <c r="B1341" s="194"/>
      <c r="C1341" s="194"/>
      <c r="D1341" s="194"/>
      <c r="E1341" s="194"/>
      <c r="F1341" s="194"/>
      <c r="G1341" s="194"/>
      <c r="H1341" s="195"/>
      <c r="I1341" s="195"/>
      <c r="J1341" s="194"/>
      <c r="K1341" s="174"/>
      <c r="L1341" s="174"/>
      <c r="M1341" s="174"/>
      <c r="N1341" s="174"/>
      <c r="O1341" s="174"/>
      <c r="P1341" s="174"/>
      <c r="Q1341" s="174"/>
      <c r="R1341" s="174"/>
      <c r="S1341" s="174"/>
      <c r="T1341" s="174"/>
      <c r="U1341" s="174"/>
      <c r="V1341" s="174"/>
      <c r="W1341" s="174"/>
      <c r="X1341" s="174"/>
      <c r="Y1341" s="174"/>
      <c r="Z1341" s="174"/>
    </row>
    <row r="1342">
      <c r="A1342" s="194"/>
      <c r="B1342" s="194"/>
      <c r="C1342" s="194"/>
      <c r="D1342" s="194"/>
      <c r="E1342" s="194"/>
      <c r="F1342" s="194"/>
      <c r="G1342" s="194"/>
      <c r="H1342" s="195"/>
      <c r="I1342" s="195"/>
      <c r="J1342" s="194"/>
      <c r="K1342" s="174"/>
      <c r="L1342" s="174"/>
      <c r="M1342" s="174"/>
      <c r="N1342" s="174"/>
      <c r="O1342" s="174"/>
      <c r="P1342" s="174"/>
      <c r="Q1342" s="174"/>
      <c r="R1342" s="174"/>
      <c r="S1342" s="174"/>
      <c r="T1342" s="174"/>
      <c r="U1342" s="174"/>
      <c r="V1342" s="174"/>
      <c r="W1342" s="174"/>
      <c r="X1342" s="174"/>
      <c r="Y1342" s="174"/>
      <c r="Z1342" s="174"/>
    </row>
    <row r="1343">
      <c r="A1343" s="194"/>
      <c r="B1343" s="194"/>
      <c r="C1343" s="194"/>
      <c r="D1343" s="194"/>
      <c r="E1343" s="194"/>
      <c r="F1343" s="194"/>
      <c r="G1343" s="194"/>
      <c r="H1343" s="195"/>
      <c r="I1343" s="195"/>
      <c r="J1343" s="194"/>
      <c r="K1343" s="174"/>
      <c r="L1343" s="174"/>
      <c r="M1343" s="174"/>
      <c r="N1343" s="174"/>
      <c r="O1343" s="174"/>
      <c r="P1343" s="174"/>
      <c r="Q1343" s="174"/>
      <c r="R1343" s="174"/>
      <c r="S1343" s="174"/>
      <c r="T1343" s="174"/>
      <c r="U1343" s="174"/>
      <c r="V1343" s="174"/>
      <c r="W1343" s="174"/>
      <c r="X1343" s="174"/>
      <c r="Y1343" s="174"/>
      <c r="Z1343" s="174"/>
    </row>
    <row r="1344">
      <c r="A1344" s="194"/>
      <c r="B1344" s="194"/>
      <c r="C1344" s="194"/>
      <c r="D1344" s="194"/>
      <c r="E1344" s="194"/>
      <c r="F1344" s="194"/>
      <c r="G1344" s="194"/>
      <c r="H1344" s="195"/>
      <c r="I1344" s="195"/>
      <c r="J1344" s="194"/>
      <c r="K1344" s="174"/>
      <c r="L1344" s="174"/>
      <c r="M1344" s="174"/>
      <c r="N1344" s="174"/>
      <c r="O1344" s="174"/>
      <c r="P1344" s="174"/>
      <c r="Q1344" s="174"/>
      <c r="R1344" s="174"/>
      <c r="S1344" s="174"/>
      <c r="T1344" s="174"/>
      <c r="U1344" s="174"/>
      <c r="V1344" s="174"/>
      <c r="W1344" s="174"/>
      <c r="X1344" s="174"/>
      <c r="Y1344" s="174"/>
      <c r="Z1344" s="174"/>
    </row>
    <row r="1345">
      <c r="A1345" s="194"/>
      <c r="B1345" s="194"/>
      <c r="C1345" s="194"/>
      <c r="D1345" s="194"/>
      <c r="E1345" s="194"/>
      <c r="F1345" s="194"/>
      <c r="G1345" s="194"/>
      <c r="H1345" s="195"/>
      <c r="I1345" s="195"/>
      <c r="J1345" s="194"/>
      <c r="K1345" s="174"/>
      <c r="L1345" s="174"/>
      <c r="M1345" s="174"/>
      <c r="N1345" s="174"/>
      <c r="O1345" s="174"/>
      <c r="P1345" s="174"/>
      <c r="Q1345" s="174"/>
      <c r="R1345" s="174"/>
      <c r="S1345" s="174"/>
      <c r="T1345" s="174"/>
      <c r="U1345" s="174"/>
      <c r="V1345" s="174"/>
      <c r="W1345" s="174"/>
      <c r="X1345" s="174"/>
      <c r="Y1345" s="174"/>
      <c r="Z1345" s="174"/>
    </row>
    <row r="1346">
      <c r="A1346" s="194"/>
      <c r="B1346" s="194"/>
      <c r="C1346" s="194"/>
      <c r="D1346" s="194"/>
      <c r="E1346" s="194"/>
      <c r="F1346" s="194"/>
      <c r="G1346" s="194"/>
      <c r="H1346" s="195"/>
      <c r="I1346" s="195"/>
      <c r="J1346" s="194"/>
      <c r="K1346" s="174"/>
      <c r="L1346" s="174"/>
      <c r="M1346" s="174"/>
      <c r="N1346" s="174"/>
      <c r="O1346" s="174"/>
      <c r="P1346" s="174"/>
      <c r="Q1346" s="174"/>
      <c r="R1346" s="174"/>
      <c r="S1346" s="174"/>
      <c r="T1346" s="174"/>
      <c r="U1346" s="174"/>
      <c r="V1346" s="174"/>
      <c r="W1346" s="174"/>
      <c r="X1346" s="174"/>
      <c r="Y1346" s="174"/>
      <c r="Z1346" s="174"/>
    </row>
    <row r="1347">
      <c r="A1347" s="194"/>
      <c r="B1347" s="194"/>
      <c r="C1347" s="194"/>
      <c r="D1347" s="194"/>
      <c r="E1347" s="194"/>
      <c r="F1347" s="194"/>
      <c r="G1347" s="194"/>
      <c r="H1347" s="195"/>
      <c r="I1347" s="195"/>
      <c r="J1347" s="194"/>
      <c r="K1347" s="174"/>
      <c r="L1347" s="174"/>
      <c r="M1347" s="174"/>
      <c r="N1347" s="174"/>
      <c r="O1347" s="174"/>
      <c r="P1347" s="174"/>
      <c r="Q1347" s="174"/>
      <c r="R1347" s="174"/>
      <c r="S1347" s="174"/>
      <c r="T1347" s="174"/>
      <c r="U1347" s="174"/>
      <c r="V1347" s="174"/>
      <c r="W1347" s="174"/>
      <c r="X1347" s="174"/>
      <c r="Y1347" s="174"/>
      <c r="Z1347" s="174"/>
    </row>
    <row r="1348">
      <c r="A1348" s="194"/>
      <c r="B1348" s="194"/>
      <c r="C1348" s="194"/>
      <c r="D1348" s="194"/>
      <c r="E1348" s="194"/>
      <c r="F1348" s="194"/>
      <c r="G1348" s="194"/>
      <c r="H1348" s="195"/>
      <c r="I1348" s="195"/>
      <c r="J1348" s="194"/>
      <c r="K1348" s="174"/>
      <c r="L1348" s="174"/>
      <c r="M1348" s="174"/>
      <c r="N1348" s="174"/>
      <c r="O1348" s="174"/>
      <c r="P1348" s="174"/>
      <c r="Q1348" s="174"/>
      <c r="R1348" s="174"/>
      <c r="S1348" s="174"/>
      <c r="T1348" s="174"/>
      <c r="U1348" s="174"/>
      <c r="V1348" s="174"/>
      <c r="W1348" s="174"/>
      <c r="X1348" s="174"/>
      <c r="Y1348" s="174"/>
      <c r="Z1348" s="174"/>
    </row>
    <row r="1349">
      <c r="A1349" s="194"/>
      <c r="B1349" s="194"/>
      <c r="C1349" s="194"/>
      <c r="D1349" s="194"/>
      <c r="E1349" s="194"/>
      <c r="F1349" s="194"/>
      <c r="G1349" s="194"/>
      <c r="H1349" s="195"/>
      <c r="I1349" s="195"/>
      <c r="J1349" s="194"/>
      <c r="K1349" s="174"/>
      <c r="L1349" s="174"/>
      <c r="M1349" s="174"/>
      <c r="N1349" s="174"/>
      <c r="O1349" s="174"/>
      <c r="P1349" s="174"/>
      <c r="Q1349" s="174"/>
      <c r="R1349" s="174"/>
      <c r="S1349" s="174"/>
      <c r="T1349" s="174"/>
      <c r="U1349" s="174"/>
      <c r="V1349" s="174"/>
      <c r="W1349" s="174"/>
      <c r="X1349" s="174"/>
      <c r="Y1349" s="174"/>
      <c r="Z1349" s="174"/>
    </row>
    <row r="1350">
      <c r="A1350" s="194"/>
      <c r="B1350" s="194"/>
      <c r="C1350" s="194"/>
      <c r="D1350" s="194"/>
      <c r="E1350" s="194"/>
      <c r="F1350" s="194"/>
      <c r="G1350" s="194"/>
      <c r="H1350" s="195"/>
      <c r="I1350" s="195"/>
      <c r="J1350" s="194"/>
      <c r="K1350" s="174"/>
      <c r="L1350" s="174"/>
      <c r="M1350" s="174"/>
      <c r="N1350" s="174"/>
      <c r="O1350" s="174"/>
      <c r="P1350" s="174"/>
      <c r="Q1350" s="174"/>
      <c r="R1350" s="174"/>
      <c r="S1350" s="174"/>
      <c r="T1350" s="174"/>
      <c r="U1350" s="174"/>
      <c r="V1350" s="174"/>
      <c r="W1350" s="174"/>
      <c r="X1350" s="174"/>
      <c r="Y1350" s="174"/>
      <c r="Z1350" s="174"/>
    </row>
    <row r="1351">
      <c r="A1351" s="194"/>
      <c r="B1351" s="194"/>
      <c r="C1351" s="194"/>
      <c r="D1351" s="194"/>
      <c r="E1351" s="194"/>
      <c r="F1351" s="194"/>
      <c r="G1351" s="194"/>
      <c r="H1351" s="195"/>
      <c r="I1351" s="195"/>
      <c r="J1351" s="194"/>
      <c r="K1351" s="174"/>
      <c r="L1351" s="174"/>
      <c r="M1351" s="174"/>
      <c r="N1351" s="174"/>
      <c r="O1351" s="174"/>
      <c r="P1351" s="174"/>
      <c r="Q1351" s="174"/>
      <c r="R1351" s="174"/>
      <c r="S1351" s="174"/>
      <c r="T1351" s="174"/>
      <c r="U1351" s="174"/>
      <c r="V1351" s="174"/>
      <c r="W1351" s="174"/>
      <c r="X1351" s="174"/>
      <c r="Y1351" s="174"/>
      <c r="Z1351" s="174"/>
    </row>
    <row r="1352">
      <c r="A1352" s="194"/>
      <c r="B1352" s="194"/>
      <c r="C1352" s="194"/>
      <c r="D1352" s="194"/>
      <c r="E1352" s="194"/>
      <c r="F1352" s="194"/>
      <c r="G1352" s="194"/>
      <c r="H1352" s="195"/>
      <c r="I1352" s="195"/>
      <c r="J1352" s="194"/>
      <c r="K1352" s="174"/>
      <c r="L1352" s="174"/>
      <c r="M1352" s="174"/>
      <c r="N1352" s="174"/>
      <c r="O1352" s="174"/>
      <c r="P1352" s="174"/>
      <c r="Q1352" s="174"/>
      <c r="R1352" s="174"/>
      <c r="S1352" s="174"/>
      <c r="T1352" s="174"/>
      <c r="U1352" s="174"/>
      <c r="V1352" s="174"/>
      <c r="W1352" s="174"/>
      <c r="X1352" s="174"/>
      <c r="Y1352" s="174"/>
      <c r="Z1352" s="174"/>
    </row>
    <row r="1353">
      <c r="A1353" s="194"/>
      <c r="B1353" s="194"/>
      <c r="C1353" s="194"/>
      <c r="D1353" s="194"/>
      <c r="E1353" s="194"/>
      <c r="F1353" s="194"/>
      <c r="G1353" s="194"/>
      <c r="H1353" s="195"/>
      <c r="I1353" s="195"/>
      <c r="J1353" s="194"/>
      <c r="K1353" s="174"/>
      <c r="L1353" s="174"/>
      <c r="M1353" s="174"/>
      <c r="N1353" s="174"/>
      <c r="O1353" s="174"/>
      <c r="P1353" s="174"/>
      <c r="Q1353" s="174"/>
      <c r="R1353" s="174"/>
      <c r="S1353" s="174"/>
      <c r="T1353" s="174"/>
      <c r="U1353" s="174"/>
      <c r="V1353" s="174"/>
      <c r="W1353" s="174"/>
      <c r="X1353" s="174"/>
      <c r="Y1353" s="174"/>
      <c r="Z1353" s="174"/>
    </row>
    <row r="1354">
      <c r="A1354" s="194"/>
      <c r="B1354" s="194"/>
      <c r="C1354" s="194"/>
      <c r="D1354" s="194"/>
      <c r="E1354" s="194"/>
      <c r="F1354" s="194"/>
      <c r="G1354" s="194"/>
      <c r="H1354" s="195"/>
      <c r="I1354" s="195"/>
      <c r="J1354" s="194"/>
      <c r="K1354" s="174"/>
      <c r="L1354" s="174"/>
      <c r="M1354" s="174"/>
      <c r="N1354" s="174"/>
      <c r="O1354" s="174"/>
      <c r="P1354" s="174"/>
      <c r="Q1354" s="174"/>
      <c r="R1354" s="174"/>
      <c r="S1354" s="174"/>
      <c r="T1354" s="174"/>
      <c r="U1354" s="174"/>
      <c r="V1354" s="174"/>
      <c r="W1354" s="174"/>
      <c r="X1354" s="174"/>
      <c r="Y1354" s="174"/>
      <c r="Z1354" s="174"/>
    </row>
    <row r="1355">
      <c r="A1355" s="194"/>
      <c r="B1355" s="194"/>
      <c r="C1355" s="194"/>
      <c r="D1355" s="194"/>
      <c r="E1355" s="194"/>
      <c r="F1355" s="194"/>
      <c r="G1355" s="194"/>
      <c r="H1355" s="195"/>
      <c r="I1355" s="195"/>
      <c r="J1355" s="194"/>
      <c r="K1355" s="174"/>
      <c r="L1355" s="174"/>
      <c r="M1355" s="174"/>
      <c r="N1355" s="174"/>
      <c r="O1355" s="174"/>
      <c r="P1355" s="174"/>
      <c r="Q1355" s="174"/>
      <c r="R1355" s="174"/>
      <c r="S1355" s="174"/>
      <c r="T1355" s="174"/>
      <c r="U1355" s="174"/>
      <c r="V1355" s="174"/>
      <c r="W1355" s="174"/>
      <c r="X1355" s="174"/>
      <c r="Y1355" s="174"/>
      <c r="Z1355" s="174"/>
    </row>
    <row r="1356">
      <c r="A1356" s="194"/>
      <c r="B1356" s="194"/>
      <c r="C1356" s="194"/>
      <c r="D1356" s="194"/>
      <c r="E1356" s="194"/>
      <c r="F1356" s="194"/>
      <c r="G1356" s="194"/>
      <c r="H1356" s="195"/>
      <c r="I1356" s="195"/>
      <c r="J1356" s="194"/>
      <c r="K1356" s="174"/>
      <c r="L1356" s="174"/>
      <c r="M1356" s="174"/>
      <c r="N1356" s="174"/>
      <c r="O1356" s="174"/>
      <c r="P1356" s="174"/>
      <c r="Q1356" s="174"/>
      <c r="R1356" s="174"/>
      <c r="S1356" s="174"/>
      <c r="T1356" s="174"/>
      <c r="U1356" s="174"/>
      <c r="V1356" s="174"/>
      <c r="W1356" s="174"/>
      <c r="X1356" s="174"/>
      <c r="Y1356" s="174"/>
      <c r="Z1356" s="174"/>
    </row>
    <row r="1357">
      <c r="A1357" s="194"/>
      <c r="B1357" s="194"/>
      <c r="C1357" s="194"/>
      <c r="D1357" s="194"/>
      <c r="E1357" s="194"/>
      <c r="F1357" s="194"/>
      <c r="G1357" s="194"/>
      <c r="H1357" s="195"/>
      <c r="I1357" s="195"/>
      <c r="J1357" s="194"/>
      <c r="K1357" s="174"/>
      <c r="L1357" s="174"/>
      <c r="M1357" s="174"/>
      <c r="N1357" s="174"/>
      <c r="O1357" s="174"/>
      <c r="P1357" s="174"/>
      <c r="Q1357" s="174"/>
      <c r="R1357" s="174"/>
      <c r="S1357" s="174"/>
      <c r="T1357" s="174"/>
      <c r="U1357" s="174"/>
      <c r="V1357" s="174"/>
      <c r="W1357" s="174"/>
      <c r="X1357" s="174"/>
      <c r="Y1357" s="174"/>
      <c r="Z1357" s="174"/>
    </row>
    <row r="1358">
      <c r="A1358" s="194"/>
      <c r="B1358" s="194"/>
      <c r="C1358" s="194"/>
      <c r="D1358" s="194"/>
      <c r="E1358" s="194"/>
      <c r="F1358" s="194"/>
      <c r="G1358" s="194"/>
      <c r="H1358" s="195"/>
      <c r="I1358" s="195"/>
      <c r="J1358" s="194"/>
      <c r="K1358" s="174"/>
      <c r="L1358" s="174"/>
      <c r="M1358" s="174"/>
      <c r="N1358" s="174"/>
      <c r="O1358" s="174"/>
      <c r="P1358" s="174"/>
      <c r="Q1358" s="174"/>
      <c r="R1358" s="174"/>
      <c r="S1358" s="174"/>
      <c r="T1358" s="174"/>
      <c r="U1358" s="174"/>
      <c r="V1358" s="174"/>
      <c r="W1358" s="174"/>
      <c r="X1358" s="174"/>
      <c r="Y1358" s="174"/>
      <c r="Z1358" s="174"/>
    </row>
    <row r="1359">
      <c r="A1359" s="194"/>
      <c r="B1359" s="194"/>
      <c r="C1359" s="194"/>
      <c r="D1359" s="194"/>
      <c r="E1359" s="194"/>
      <c r="F1359" s="194"/>
      <c r="G1359" s="194"/>
      <c r="H1359" s="195"/>
      <c r="I1359" s="195"/>
      <c r="J1359" s="194"/>
      <c r="K1359" s="174"/>
      <c r="L1359" s="174"/>
      <c r="M1359" s="174"/>
      <c r="N1359" s="174"/>
      <c r="O1359" s="174"/>
      <c r="P1359" s="174"/>
      <c r="Q1359" s="174"/>
      <c r="R1359" s="174"/>
      <c r="S1359" s="174"/>
      <c r="T1359" s="174"/>
      <c r="U1359" s="174"/>
      <c r="V1359" s="174"/>
      <c r="W1359" s="174"/>
      <c r="X1359" s="174"/>
      <c r="Y1359" s="174"/>
      <c r="Z1359" s="174"/>
    </row>
    <row r="1360">
      <c r="A1360" s="194"/>
      <c r="B1360" s="194"/>
      <c r="C1360" s="194"/>
      <c r="D1360" s="194"/>
      <c r="E1360" s="194"/>
      <c r="F1360" s="194"/>
      <c r="G1360" s="194"/>
      <c r="H1360" s="195"/>
      <c r="I1360" s="195"/>
      <c r="J1360" s="194"/>
      <c r="K1360" s="174"/>
      <c r="L1360" s="174"/>
      <c r="M1360" s="174"/>
      <c r="N1360" s="174"/>
      <c r="O1360" s="174"/>
      <c r="P1360" s="174"/>
      <c r="Q1360" s="174"/>
      <c r="R1360" s="174"/>
      <c r="S1360" s="174"/>
      <c r="T1360" s="174"/>
      <c r="U1360" s="174"/>
      <c r="V1360" s="174"/>
      <c r="W1360" s="174"/>
      <c r="X1360" s="174"/>
      <c r="Y1360" s="174"/>
      <c r="Z1360" s="174"/>
    </row>
    <row r="1361">
      <c r="A1361" s="194"/>
      <c r="B1361" s="194"/>
      <c r="C1361" s="194"/>
      <c r="D1361" s="194"/>
      <c r="E1361" s="194"/>
      <c r="F1361" s="194"/>
      <c r="G1361" s="194"/>
      <c r="H1361" s="195"/>
      <c r="I1361" s="195"/>
      <c r="J1361" s="194"/>
      <c r="K1361" s="174"/>
      <c r="L1361" s="174"/>
      <c r="M1361" s="174"/>
      <c r="N1361" s="174"/>
      <c r="O1361" s="174"/>
      <c r="P1361" s="174"/>
      <c r="Q1361" s="174"/>
      <c r="R1361" s="174"/>
      <c r="S1361" s="174"/>
      <c r="T1361" s="174"/>
      <c r="U1361" s="174"/>
      <c r="V1361" s="174"/>
      <c r="W1361" s="174"/>
      <c r="X1361" s="174"/>
      <c r="Y1361" s="174"/>
      <c r="Z1361" s="174"/>
    </row>
    <row r="1362">
      <c r="A1362" s="194"/>
      <c r="B1362" s="194"/>
      <c r="C1362" s="194"/>
      <c r="D1362" s="194"/>
      <c r="E1362" s="194"/>
      <c r="F1362" s="194"/>
      <c r="G1362" s="194"/>
      <c r="H1362" s="195"/>
      <c r="I1362" s="195"/>
      <c r="J1362" s="194"/>
      <c r="K1362" s="174"/>
      <c r="L1362" s="174"/>
      <c r="M1362" s="174"/>
      <c r="N1362" s="174"/>
      <c r="O1362" s="174"/>
      <c r="P1362" s="174"/>
      <c r="Q1362" s="174"/>
      <c r="R1362" s="174"/>
      <c r="S1362" s="174"/>
      <c r="T1362" s="174"/>
      <c r="U1362" s="174"/>
      <c r="V1362" s="174"/>
      <c r="W1362" s="174"/>
      <c r="X1362" s="174"/>
      <c r="Y1362" s="174"/>
      <c r="Z1362" s="174"/>
    </row>
    <row r="1363">
      <c r="A1363" s="194"/>
      <c r="B1363" s="194"/>
      <c r="C1363" s="194"/>
      <c r="D1363" s="194"/>
      <c r="E1363" s="194"/>
      <c r="F1363" s="194"/>
      <c r="G1363" s="194"/>
      <c r="H1363" s="195"/>
      <c r="I1363" s="195"/>
      <c r="J1363" s="194"/>
      <c r="K1363" s="174"/>
      <c r="L1363" s="174"/>
      <c r="M1363" s="174"/>
      <c r="N1363" s="174"/>
      <c r="O1363" s="174"/>
      <c r="P1363" s="174"/>
      <c r="Q1363" s="174"/>
      <c r="R1363" s="174"/>
      <c r="S1363" s="174"/>
      <c r="T1363" s="174"/>
      <c r="U1363" s="174"/>
      <c r="V1363" s="174"/>
      <c r="W1363" s="174"/>
      <c r="X1363" s="174"/>
      <c r="Y1363" s="174"/>
      <c r="Z1363" s="174"/>
    </row>
    <row r="1364">
      <c r="A1364" s="194"/>
      <c r="B1364" s="194"/>
      <c r="C1364" s="194"/>
      <c r="D1364" s="194"/>
      <c r="E1364" s="194"/>
      <c r="F1364" s="194"/>
      <c r="G1364" s="194"/>
      <c r="H1364" s="195"/>
      <c r="I1364" s="195"/>
      <c r="J1364" s="194"/>
      <c r="K1364" s="174"/>
      <c r="L1364" s="174"/>
      <c r="M1364" s="174"/>
      <c r="N1364" s="174"/>
      <c r="O1364" s="174"/>
      <c r="P1364" s="174"/>
      <c r="Q1364" s="174"/>
      <c r="R1364" s="174"/>
      <c r="S1364" s="174"/>
      <c r="T1364" s="174"/>
      <c r="U1364" s="174"/>
      <c r="V1364" s="174"/>
      <c r="W1364" s="174"/>
      <c r="X1364" s="174"/>
      <c r="Y1364" s="174"/>
      <c r="Z1364" s="174"/>
    </row>
    <row r="1365">
      <c r="A1365" s="194"/>
      <c r="B1365" s="194"/>
      <c r="C1365" s="194"/>
      <c r="D1365" s="194"/>
      <c r="E1365" s="194"/>
      <c r="F1365" s="194"/>
      <c r="G1365" s="194"/>
      <c r="H1365" s="195"/>
      <c r="I1365" s="195"/>
      <c r="J1365" s="194"/>
      <c r="K1365" s="174"/>
      <c r="L1365" s="174"/>
      <c r="M1365" s="174"/>
      <c r="N1365" s="174"/>
      <c r="O1365" s="174"/>
      <c r="P1365" s="174"/>
      <c r="Q1365" s="174"/>
      <c r="R1365" s="174"/>
      <c r="S1365" s="174"/>
      <c r="T1365" s="174"/>
      <c r="U1365" s="174"/>
      <c r="V1365" s="174"/>
      <c r="W1365" s="174"/>
      <c r="X1365" s="174"/>
      <c r="Y1365" s="174"/>
      <c r="Z1365" s="174"/>
    </row>
    <row r="1366">
      <c r="A1366" s="194"/>
      <c r="B1366" s="194"/>
      <c r="C1366" s="194"/>
      <c r="D1366" s="194"/>
      <c r="E1366" s="194"/>
      <c r="F1366" s="194"/>
      <c r="G1366" s="194"/>
      <c r="H1366" s="195"/>
      <c r="I1366" s="195"/>
      <c r="J1366" s="194"/>
      <c r="K1366" s="174"/>
      <c r="L1366" s="174"/>
      <c r="M1366" s="174"/>
      <c r="N1366" s="174"/>
      <c r="O1366" s="174"/>
      <c r="P1366" s="174"/>
      <c r="Q1366" s="174"/>
      <c r="R1366" s="174"/>
      <c r="S1366" s="174"/>
      <c r="T1366" s="174"/>
      <c r="U1366" s="174"/>
      <c r="V1366" s="174"/>
      <c r="W1366" s="174"/>
      <c r="X1366" s="174"/>
      <c r="Y1366" s="174"/>
      <c r="Z1366" s="174"/>
    </row>
    <row r="1367">
      <c r="A1367" s="194"/>
      <c r="B1367" s="194"/>
      <c r="C1367" s="194"/>
      <c r="D1367" s="194"/>
      <c r="E1367" s="194"/>
      <c r="F1367" s="194"/>
      <c r="G1367" s="194"/>
      <c r="H1367" s="195"/>
      <c r="I1367" s="195"/>
      <c r="J1367" s="194"/>
      <c r="K1367" s="174"/>
      <c r="L1367" s="174"/>
      <c r="M1367" s="174"/>
      <c r="N1367" s="174"/>
      <c r="O1367" s="174"/>
      <c r="P1367" s="174"/>
      <c r="Q1367" s="174"/>
      <c r="R1367" s="174"/>
      <c r="S1367" s="174"/>
      <c r="T1367" s="174"/>
      <c r="U1367" s="174"/>
      <c r="V1367" s="174"/>
      <c r="W1367" s="174"/>
      <c r="X1367" s="174"/>
      <c r="Y1367" s="174"/>
      <c r="Z1367" s="174"/>
    </row>
    <row r="1368">
      <c r="A1368" s="194"/>
      <c r="B1368" s="194"/>
      <c r="C1368" s="194"/>
      <c r="D1368" s="194"/>
      <c r="E1368" s="194"/>
      <c r="F1368" s="194"/>
      <c r="G1368" s="194"/>
      <c r="H1368" s="195"/>
      <c r="I1368" s="195"/>
      <c r="J1368" s="194"/>
      <c r="K1368" s="174"/>
      <c r="L1368" s="174"/>
      <c r="M1368" s="174"/>
      <c r="N1368" s="174"/>
      <c r="O1368" s="174"/>
      <c r="P1368" s="174"/>
      <c r="Q1368" s="174"/>
      <c r="R1368" s="174"/>
      <c r="S1368" s="174"/>
      <c r="T1368" s="174"/>
      <c r="U1368" s="174"/>
      <c r="V1368" s="174"/>
      <c r="W1368" s="174"/>
      <c r="X1368" s="174"/>
      <c r="Y1368" s="174"/>
      <c r="Z1368" s="174"/>
    </row>
    <row r="1369">
      <c r="A1369" s="194"/>
      <c r="B1369" s="194"/>
      <c r="C1369" s="194"/>
      <c r="D1369" s="194"/>
      <c r="E1369" s="194"/>
      <c r="F1369" s="194"/>
      <c r="G1369" s="194"/>
      <c r="H1369" s="195"/>
      <c r="I1369" s="195"/>
      <c r="J1369" s="194"/>
      <c r="K1369" s="174"/>
      <c r="L1369" s="174"/>
      <c r="M1369" s="174"/>
      <c r="N1369" s="174"/>
      <c r="O1369" s="174"/>
      <c r="P1369" s="174"/>
      <c r="Q1369" s="174"/>
      <c r="R1369" s="174"/>
      <c r="S1369" s="174"/>
      <c r="T1369" s="174"/>
      <c r="U1369" s="174"/>
      <c r="V1369" s="174"/>
      <c r="W1369" s="174"/>
      <c r="X1369" s="174"/>
      <c r="Y1369" s="174"/>
      <c r="Z1369" s="174"/>
    </row>
    <row r="1370">
      <c r="A1370" s="194"/>
      <c r="B1370" s="194"/>
      <c r="C1370" s="194"/>
      <c r="D1370" s="194"/>
      <c r="E1370" s="194"/>
      <c r="F1370" s="194"/>
      <c r="G1370" s="194"/>
      <c r="H1370" s="195"/>
      <c r="I1370" s="195"/>
      <c r="J1370" s="194"/>
      <c r="K1370" s="174"/>
      <c r="L1370" s="174"/>
      <c r="M1370" s="174"/>
      <c r="N1370" s="174"/>
      <c r="O1370" s="174"/>
      <c r="P1370" s="174"/>
      <c r="Q1370" s="174"/>
      <c r="R1370" s="174"/>
      <c r="S1370" s="174"/>
      <c r="T1370" s="174"/>
      <c r="U1370" s="174"/>
      <c r="V1370" s="174"/>
      <c r="W1370" s="174"/>
      <c r="X1370" s="174"/>
      <c r="Y1370" s="174"/>
      <c r="Z1370" s="174"/>
    </row>
    <row r="1371">
      <c r="A1371" s="194"/>
      <c r="B1371" s="194"/>
      <c r="C1371" s="194"/>
      <c r="D1371" s="194"/>
      <c r="E1371" s="194"/>
      <c r="F1371" s="194"/>
      <c r="G1371" s="194"/>
      <c r="H1371" s="195"/>
      <c r="I1371" s="195"/>
      <c r="J1371" s="194"/>
      <c r="K1371" s="174"/>
      <c r="L1371" s="174"/>
      <c r="M1371" s="174"/>
      <c r="N1371" s="174"/>
      <c r="O1371" s="174"/>
      <c r="P1371" s="174"/>
      <c r="Q1371" s="174"/>
      <c r="R1371" s="174"/>
      <c r="S1371" s="174"/>
      <c r="T1371" s="174"/>
      <c r="U1371" s="174"/>
      <c r="V1371" s="174"/>
      <c r="W1371" s="174"/>
      <c r="X1371" s="174"/>
      <c r="Y1371" s="174"/>
      <c r="Z1371" s="174"/>
    </row>
    <row r="1372">
      <c r="A1372" s="194"/>
      <c r="B1372" s="194"/>
      <c r="C1372" s="194"/>
      <c r="D1372" s="194"/>
      <c r="E1372" s="194"/>
      <c r="F1372" s="194"/>
      <c r="G1372" s="194"/>
      <c r="H1372" s="195"/>
      <c r="I1372" s="195"/>
      <c r="J1372" s="194"/>
      <c r="K1372" s="174"/>
      <c r="L1372" s="174"/>
      <c r="M1372" s="174"/>
      <c r="N1372" s="174"/>
      <c r="O1372" s="174"/>
      <c r="P1372" s="174"/>
      <c r="Q1372" s="174"/>
      <c r="R1372" s="174"/>
      <c r="S1372" s="174"/>
      <c r="T1372" s="174"/>
      <c r="U1372" s="174"/>
      <c r="V1372" s="174"/>
      <c r="W1372" s="174"/>
      <c r="X1372" s="174"/>
      <c r="Y1372" s="174"/>
      <c r="Z1372" s="174"/>
    </row>
    <row r="1373">
      <c r="A1373" s="194"/>
      <c r="B1373" s="194"/>
      <c r="C1373" s="194"/>
      <c r="D1373" s="194"/>
      <c r="E1373" s="194"/>
      <c r="F1373" s="194"/>
      <c r="G1373" s="194"/>
      <c r="H1373" s="195"/>
      <c r="I1373" s="195"/>
      <c r="J1373" s="194"/>
      <c r="K1373" s="174"/>
      <c r="L1373" s="174"/>
      <c r="M1373" s="174"/>
      <c r="N1373" s="174"/>
      <c r="O1373" s="174"/>
      <c r="P1373" s="174"/>
      <c r="Q1373" s="174"/>
      <c r="R1373" s="174"/>
      <c r="S1373" s="174"/>
      <c r="T1373" s="174"/>
      <c r="U1373" s="174"/>
      <c r="V1373" s="174"/>
      <c r="W1373" s="174"/>
      <c r="X1373" s="174"/>
      <c r="Y1373" s="174"/>
      <c r="Z1373" s="174"/>
    </row>
    <row r="1374">
      <c r="A1374" s="194"/>
      <c r="B1374" s="194"/>
      <c r="C1374" s="194"/>
      <c r="D1374" s="194"/>
      <c r="E1374" s="194"/>
      <c r="F1374" s="194"/>
      <c r="G1374" s="194"/>
      <c r="H1374" s="195"/>
      <c r="I1374" s="195"/>
      <c r="J1374" s="194"/>
      <c r="K1374" s="174"/>
      <c r="L1374" s="174"/>
      <c r="M1374" s="174"/>
      <c r="N1374" s="174"/>
      <c r="O1374" s="174"/>
      <c r="P1374" s="174"/>
      <c r="Q1374" s="174"/>
      <c r="R1374" s="174"/>
      <c r="S1374" s="174"/>
      <c r="T1374" s="174"/>
      <c r="U1374" s="174"/>
      <c r="V1374" s="174"/>
      <c r="W1374" s="174"/>
      <c r="X1374" s="174"/>
      <c r="Y1374" s="174"/>
      <c r="Z1374" s="174"/>
    </row>
    <row r="1375">
      <c r="A1375" s="194"/>
      <c r="B1375" s="194"/>
      <c r="C1375" s="194"/>
      <c r="D1375" s="194"/>
      <c r="E1375" s="194"/>
      <c r="F1375" s="194"/>
      <c r="G1375" s="194"/>
      <c r="H1375" s="195"/>
      <c r="I1375" s="195"/>
      <c r="J1375" s="194"/>
      <c r="K1375" s="174"/>
      <c r="L1375" s="174"/>
      <c r="M1375" s="174"/>
      <c r="N1375" s="174"/>
      <c r="O1375" s="174"/>
      <c r="P1375" s="174"/>
      <c r="Q1375" s="174"/>
      <c r="R1375" s="174"/>
      <c r="S1375" s="174"/>
      <c r="T1375" s="174"/>
      <c r="U1375" s="174"/>
      <c r="V1375" s="174"/>
      <c r="W1375" s="174"/>
      <c r="X1375" s="174"/>
      <c r="Y1375" s="174"/>
      <c r="Z1375" s="174"/>
    </row>
    <row r="1376">
      <c r="A1376" s="194"/>
      <c r="B1376" s="194"/>
      <c r="C1376" s="194"/>
      <c r="D1376" s="194"/>
      <c r="E1376" s="194"/>
      <c r="F1376" s="194"/>
      <c r="G1376" s="194"/>
      <c r="H1376" s="195"/>
      <c r="I1376" s="195"/>
      <c r="J1376" s="194"/>
      <c r="K1376" s="174"/>
      <c r="L1376" s="174"/>
      <c r="M1376" s="174"/>
      <c r="N1376" s="174"/>
      <c r="O1376" s="174"/>
      <c r="P1376" s="174"/>
      <c r="Q1376" s="174"/>
      <c r="R1376" s="174"/>
      <c r="S1376" s="174"/>
      <c r="T1376" s="174"/>
      <c r="U1376" s="174"/>
      <c r="V1376" s="174"/>
      <c r="W1376" s="174"/>
      <c r="X1376" s="174"/>
      <c r="Y1376" s="174"/>
      <c r="Z1376" s="174"/>
    </row>
    <row r="1377">
      <c r="A1377" s="194"/>
      <c r="B1377" s="194"/>
      <c r="C1377" s="194"/>
      <c r="D1377" s="194"/>
      <c r="E1377" s="194"/>
      <c r="F1377" s="194"/>
      <c r="G1377" s="194"/>
      <c r="H1377" s="195"/>
      <c r="I1377" s="195"/>
      <c r="J1377" s="194"/>
      <c r="K1377" s="174"/>
      <c r="L1377" s="174"/>
      <c r="M1377" s="174"/>
      <c r="N1377" s="174"/>
      <c r="O1377" s="174"/>
      <c r="P1377" s="174"/>
      <c r="Q1377" s="174"/>
      <c r="R1377" s="174"/>
      <c r="S1377" s="174"/>
      <c r="T1377" s="174"/>
      <c r="U1377" s="174"/>
      <c r="V1377" s="174"/>
      <c r="W1377" s="174"/>
      <c r="X1377" s="174"/>
      <c r="Y1377" s="174"/>
      <c r="Z1377" s="174"/>
    </row>
    <row r="1378">
      <c r="A1378" s="194"/>
      <c r="B1378" s="194"/>
      <c r="C1378" s="194"/>
      <c r="D1378" s="194"/>
      <c r="E1378" s="194"/>
      <c r="F1378" s="194"/>
      <c r="G1378" s="194"/>
      <c r="H1378" s="195"/>
      <c r="I1378" s="195"/>
      <c r="J1378" s="194"/>
      <c r="K1378" s="174"/>
      <c r="L1378" s="174"/>
      <c r="M1378" s="174"/>
      <c r="N1378" s="174"/>
      <c r="O1378" s="174"/>
      <c r="P1378" s="174"/>
      <c r="Q1378" s="174"/>
      <c r="R1378" s="174"/>
      <c r="S1378" s="174"/>
      <c r="T1378" s="174"/>
      <c r="U1378" s="174"/>
      <c r="V1378" s="174"/>
      <c r="W1378" s="174"/>
      <c r="X1378" s="174"/>
      <c r="Y1378" s="174"/>
      <c r="Z1378" s="174"/>
    </row>
    <row r="1379">
      <c r="A1379" s="194"/>
      <c r="B1379" s="194"/>
      <c r="C1379" s="194"/>
      <c r="D1379" s="194"/>
      <c r="E1379" s="194"/>
      <c r="F1379" s="194"/>
      <c r="G1379" s="194"/>
      <c r="H1379" s="195"/>
      <c r="I1379" s="195"/>
      <c r="J1379" s="194"/>
      <c r="K1379" s="174"/>
      <c r="L1379" s="174"/>
      <c r="M1379" s="174"/>
      <c r="N1379" s="174"/>
      <c r="O1379" s="174"/>
      <c r="P1379" s="174"/>
      <c r="Q1379" s="174"/>
      <c r="R1379" s="174"/>
      <c r="S1379" s="174"/>
      <c r="T1379" s="174"/>
      <c r="U1379" s="174"/>
      <c r="V1379" s="174"/>
      <c r="W1379" s="174"/>
      <c r="X1379" s="174"/>
      <c r="Y1379" s="174"/>
      <c r="Z1379" s="174"/>
    </row>
    <row r="1380">
      <c r="A1380" s="194"/>
      <c r="B1380" s="194"/>
      <c r="C1380" s="194"/>
      <c r="D1380" s="194"/>
      <c r="E1380" s="194"/>
      <c r="F1380" s="194"/>
      <c r="G1380" s="194"/>
      <c r="H1380" s="195"/>
      <c r="I1380" s="195"/>
      <c r="J1380" s="194"/>
      <c r="K1380" s="174"/>
      <c r="L1380" s="174"/>
      <c r="M1380" s="174"/>
      <c r="N1380" s="174"/>
      <c r="O1380" s="174"/>
      <c r="P1380" s="174"/>
      <c r="Q1380" s="174"/>
      <c r="R1380" s="174"/>
      <c r="S1380" s="174"/>
      <c r="T1380" s="174"/>
      <c r="U1380" s="174"/>
      <c r="V1380" s="174"/>
      <c r="W1380" s="174"/>
      <c r="X1380" s="174"/>
      <c r="Y1380" s="174"/>
      <c r="Z1380" s="174"/>
    </row>
    <row r="1381">
      <c r="A1381" s="194"/>
      <c r="B1381" s="194"/>
      <c r="C1381" s="194"/>
      <c r="D1381" s="194"/>
      <c r="E1381" s="194"/>
      <c r="F1381" s="194"/>
      <c r="G1381" s="194"/>
      <c r="H1381" s="195"/>
      <c r="I1381" s="195"/>
      <c r="J1381" s="194"/>
      <c r="K1381" s="174"/>
      <c r="L1381" s="174"/>
      <c r="M1381" s="174"/>
      <c r="N1381" s="174"/>
      <c r="O1381" s="174"/>
      <c r="P1381" s="174"/>
      <c r="Q1381" s="174"/>
      <c r="R1381" s="174"/>
      <c r="S1381" s="174"/>
      <c r="T1381" s="174"/>
      <c r="U1381" s="174"/>
      <c r="V1381" s="174"/>
      <c r="W1381" s="174"/>
      <c r="X1381" s="174"/>
      <c r="Y1381" s="174"/>
      <c r="Z1381" s="174"/>
    </row>
    <row r="1382">
      <c r="A1382" s="194"/>
      <c r="B1382" s="194"/>
      <c r="C1382" s="194"/>
      <c r="D1382" s="194"/>
      <c r="E1382" s="194"/>
      <c r="F1382" s="194"/>
      <c r="G1382" s="194"/>
      <c r="H1382" s="195"/>
      <c r="I1382" s="195"/>
      <c r="J1382" s="194"/>
      <c r="K1382" s="174"/>
      <c r="L1382" s="174"/>
      <c r="M1382" s="174"/>
      <c r="N1382" s="174"/>
      <c r="O1382" s="174"/>
      <c r="P1382" s="174"/>
      <c r="Q1382" s="174"/>
      <c r="R1382" s="174"/>
      <c r="S1382" s="174"/>
      <c r="T1382" s="174"/>
      <c r="U1382" s="174"/>
      <c r="V1382" s="174"/>
      <c r="W1382" s="174"/>
      <c r="X1382" s="174"/>
      <c r="Y1382" s="174"/>
      <c r="Z1382" s="174"/>
    </row>
    <row r="1383">
      <c r="A1383" s="194"/>
      <c r="B1383" s="194"/>
      <c r="C1383" s="194"/>
      <c r="D1383" s="194"/>
      <c r="E1383" s="194"/>
      <c r="F1383" s="194"/>
      <c r="G1383" s="194"/>
      <c r="H1383" s="195"/>
      <c r="I1383" s="195"/>
      <c r="J1383" s="194"/>
      <c r="K1383" s="174"/>
      <c r="L1383" s="174"/>
      <c r="M1383" s="174"/>
      <c r="N1383" s="174"/>
      <c r="O1383" s="174"/>
      <c r="P1383" s="174"/>
      <c r="Q1383" s="174"/>
      <c r="R1383" s="174"/>
      <c r="S1383" s="174"/>
      <c r="T1383" s="174"/>
      <c r="U1383" s="174"/>
      <c r="V1383" s="174"/>
      <c r="W1383" s="174"/>
      <c r="X1383" s="174"/>
      <c r="Y1383" s="174"/>
      <c r="Z1383" s="174"/>
    </row>
    <row r="1384">
      <c r="A1384" s="194"/>
      <c r="B1384" s="194"/>
      <c r="C1384" s="194"/>
      <c r="D1384" s="194"/>
      <c r="E1384" s="194"/>
      <c r="F1384" s="194"/>
      <c r="G1384" s="194"/>
      <c r="H1384" s="195"/>
      <c r="I1384" s="195"/>
      <c r="J1384" s="194"/>
      <c r="K1384" s="174"/>
      <c r="L1384" s="174"/>
      <c r="M1384" s="174"/>
      <c r="N1384" s="174"/>
      <c r="O1384" s="174"/>
      <c r="P1384" s="174"/>
      <c r="Q1384" s="174"/>
      <c r="R1384" s="174"/>
      <c r="S1384" s="174"/>
      <c r="T1384" s="174"/>
      <c r="U1384" s="174"/>
      <c r="V1384" s="174"/>
      <c r="W1384" s="174"/>
      <c r="X1384" s="174"/>
      <c r="Y1384" s="174"/>
      <c r="Z1384" s="174"/>
    </row>
    <row r="1385">
      <c r="A1385" s="194"/>
      <c r="B1385" s="194"/>
      <c r="C1385" s="194"/>
      <c r="D1385" s="194"/>
      <c r="E1385" s="194"/>
      <c r="F1385" s="194"/>
      <c r="G1385" s="194"/>
      <c r="H1385" s="195"/>
      <c r="I1385" s="195"/>
      <c r="J1385" s="194"/>
      <c r="K1385" s="174"/>
      <c r="L1385" s="174"/>
      <c r="M1385" s="174"/>
      <c r="N1385" s="174"/>
      <c r="O1385" s="174"/>
      <c r="P1385" s="174"/>
      <c r="Q1385" s="174"/>
      <c r="R1385" s="174"/>
      <c r="S1385" s="174"/>
      <c r="T1385" s="174"/>
      <c r="U1385" s="174"/>
      <c r="V1385" s="174"/>
      <c r="W1385" s="174"/>
      <c r="X1385" s="174"/>
      <c r="Y1385" s="174"/>
      <c r="Z1385" s="174"/>
    </row>
    <row r="1386">
      <c r="A1386" s="194"/>
      <c r="B1386" s="194"/>
      <c r="C1386" s="194"/>
      <c r="D1386" s="194"/>
      <c r="E1386" s="194"/>
      <c r="F1386" s="194"/>
      <c r="G1386" s="194"/>
      <c r="H1386" s="195"/>
      <c r="I1386" s="195"/>
      <c r="J1386" s="194"/>
      <c r="K1386" s="174"/>
      <c r="L1386" s="174"/>
      <c r="M1386" s="174"/>
      <c r="N1386" s="174"/>
      <c r="O1386" s="174"/>
      <c r="P1386" s="174"/>
      <c r="Q1386" s="174"/>
      <c r="R1386" s="174"/>
      <c r="S1386" s="174"/>
      <c r="T1386" s="174"/>
      <c r="U1386" s="174"/>
      <c r="V1386" s="174"/>
      <c r="W1386" s="174"/>
      <c r="X1386" s="174"/>
      <c r="Y1386" s="174"/>
      <c r="Z1386" s="174"/>
    </row>
    <row r="1387">
      <c r="A1387" s="194"/>
      <c r="B1387" s="194"/>
      <c r="C1387" s="194"/>
      <c r="D1387" s="194"/>
      <c r="E1387" s="194"/>
      <c r="F1387" s="194"/>
      <c r="G1387" s="194"/>
      <c r="H1387" s="195"/>
      <c r="I1387" s="195"/>
      <c r="J1387" s="194"/>
      <c r="K1387" s="174"/>
      <c r="L1387" s="174"/>
      <c r="M1387" s="174"/>
      <c r="N1387" s="174"/>
      <c r="O1387" s="174"/>
      <c r="P1387" s="174"/>
      <c r="Q1387" s="174"/>
      <c r="R1387" s="174"/>
      <c r="S1387" s="174"/>
      <c r="T1387" s="174"/>
      <c r="U1387" s="174"/>
      <c r="V1387" s="174"/>
      <c r="W1387" s="174"/>
      <c r="X1387" s="174"/>
      <c r="Y1387" s="174"/>
      <c r="Z1387" s="174"/>
    </row>
    <row r="1388">
      <c r="A1388" s="194"/>
      <c r="B1388" s="194"/>
      <c r="C1388" s="194"/>
      <c r="D1388" s="194"/>
      <c r="E1388" s="194"/>
      <c r="F1388" s="194"/>
      <c r="G1388" s="194"/>
      <c r="H1388" s="195"/>
      <c r="I1388" s="195"/>
      <c r="J1388" s="194"/>
      <c r="K1388" s="174"/>
      <c r="L1388" s="174"/>
      <c r="M1388" s="174"/>
      <c r="N1388" s="174"/>
      <c r="O1388" s="174"/>
      <c r="P1388" s="174"/>
      <c r="Q1388" s="174"/>
      <c r="R1388" s="174"/>
      <c r="S1388" s="174"/>
      <c r="T1388" s="174"/>
      <c r="U1388" s="174"/>
      <c r="V1388" s="174"/>
      <c r="W1388" s="174"/>
      <c r="X1388" s="174"/>
      <c r="Y1388" s="174"/>
      <c r="Z1388" s="174"/>
    </row>
    <row r="1389">
      <c r="A1389" s="194"/>
      <c r="B1389" s="194"/>
      <c r="C1389" s="194"/>
      <c r="D1389" s="194"/>
      <c r="E1389" s="194"/>
      <c r="F1389" s="194"/>
      <c r="G1389" s="194"/>
      <c r="H1389" s="195"/>
      <c r="I1389" s="195"/>
      <c r="J1389" s="194"/>
      <c r="K1389" s="174"/>
      <c r="L1389" s="174"/>
      <c r="M1389" s="174"/>
      <c r="N1389" s="174"/>
      <c r="O1389" s="174"/>
      <c r="P1389" s="174"/>
      <c r="Q1389" s="174"/>
      <c r="R1389" s="174"/>
      <c r="S1389" s="174"/>
      <c r="T1389" s="174"/>
      <c r="U1389" s="174"/>
      <c r="V1389" s="174"/>
      <c r="W1389" s="174"/>
      <c r="X1389" s="174"/>
      <c r="Y1389" s="174"/>
      <c r="Z1389" s="174"/>
    </row>
    <row r="1390">
      <c r="A1390" s="194"/>
      <c r="B1390" s="194"/>
      <c r="C1390" s="194"/>
      <c r="D1390" s="194"/>
      <c r="E1390" s="194"/>
      <c r="F1390" s="194"/>
      <c r="G1390" s="194"/>
      <c r="H1390" s="195"/>
      <c r="I1390" s="195"/>
      <c r="J1390" s="194"/>
      <c r="K1390" s="174"/>
      <c r="L1390" s="174"/>
      <c r="M1390" s="174"/>
      <c r="N1390" s="174"/>
      <c r="O1390" s="174"/>
      <c r="P1390" s="174"/>
      <c r="Q1390" s="174"/>
      <c r="R1390" s="174"/>
      <c r="S1390" s="174"/>
      <c r="T1390" s="174"/>
      <c r="U1390" s="174"/>
      <c r="V1390" s="174"/>
      <c r="W1390" s="174"/>
      <c r="X1390" s="174"/>
      <c r="Y1390" s="174"/>
      <c r="Z1390" s="174"/>
    </row>
    <row r="1391">
      <c r="A1391" s="194"/>
      <c r="B1391" s="194"/>
      <c r="C1391" s="194"/>
      <c r="D1391" s="194"/>
      <c r="E1391" s="194"/>
      <c r="F1391" s="194"/>
      <c r="G1391" s="194"/>
      <c r="H1391" s="195"/>
      <c r="I1391" s="195"/>
      <c r="J1391" s="194"/>
      <c r="K1391" s="174"/>
      <c r="L1391" s="174"/>
      <c r="M1391" s="174"/>
      <c r="N1391" s="174"/>
      <c r="O1391" s="174"/>
      <c r="P1391" s="174"/>
      <c r="Q1391" s="174"/>
      <c r="R1391" s="174"/>
      <c r="S1391" s="174"/>
      <c r="T1391" s="174"/>
      <c r="U1391" s="174"/>
      <c r="V1391" s="174"/>
      <c r="W1391" s="174"/>
      <c r="X1391" s="174"/>
      <c r="Y1391" s="174"/>
      <c r="Z1391" s="174"/>
    </row>
    <row r="1392">
      <c r="A1392" s="194"/>
      <c r="B1392" s="194"/>
      <c r="C1392" s="194"/>
      <c r="D1392" s="194"/>
      <c r="E1392" s="194"/>
      <c r="F1392" s="194"/>
      <c r="G1392" s="194"/>
      <c r="H1392" s="195"/>
      <c r="I1392" s="195"/>
      <c r="J1392" s="194"/>
      <c r="K1392" s="174"/>
      <c r="L1392" s="174"/>
      <c r="M1392" s="174"/>
      <c r="N1392" s="174"/>
      <c r="O1392" s="174"/>
      <c r="P1392" s="174"/>
      <c r="Q1392" s="174"/>
      <c r="R1392" s="174"/>
      <c r="S1392" s="174"/>
      <c r="T1392" s="174"/>
      <c r="U1392" s="174"/>
      <c r="V1392" s="174"/>
      <c r="W1392" s="174"/>
      <c r="X1392" s="174"/>
      <c r="Y1392" s="174"/>
      <c r="Z1392" s="174"/>
    </row>
    <row r="1393">
      <c r="A1393" s="194"/>
      <c r="B1393" s="194"/>
      <c r="C1393" s="194"/>
      <c r="D1393" s="194"/>
      <c r="E1393" s="194"/>
      <c r="F1393" s="194"/>
      <c r="G1393" s="194"/>
      <c r="H1393" s="195"/>
      <c r="I1393" s="195"/>
      <c r="J1393" s="194"/>
      <c r="K1393" s="174"/>
      <c r="L1393" s="174"/>
      <c r="M1393" s="174"/>
      <c r="N1393" s="174"/>
      <c r="O1393" s="174"/>
      <c r="P1393" s="174"/>
      <c r="Q1393" s="174"/>
      <c r="R1393" s="174"/>
      <c r="S1393" s="174"/>
      <c r="T1393" s="174"/>
      <c r="U1393" s="174"/>
      <c r="V1393" s="174"/>
      <c r="W1393" s="174"/>
      <c r="X1393" s="174"/>
      <c r="Y1393" s="174"/>
      <c r="Z1393" s="174"/>
    </row>
    <row r="1394">
      <c r="A1394" s="194"/>
      <c r="B1394" s="194"/>
      <c r="C1394" s="194"/>
      <c r="D1394" s="194"/>
      <c r="E1394" s="194"/>
      <c r="F1394" s="194"/>
      <c r="G1394" s="194"/>
      <c r="H1394" s="195"/>
      <c r="I1394" s="195"/>
      <c r="J1394" s="194"/>
      <c r="K1394" s="174"/>
      <c r="L1394" s="174"/>
      <c r="M1394" s="174"/>
      <c r="N1394" s="174"/>
      <c r="O1394" s="174"/>
      <c r="P1394" s="174"/>
      <c r="Q1394" s="174"/>
      <c r="R1394" s="174"/>
      <c r="S1394" s="174"/>
      <c r="T1394" s="174"/>
      <c r="U1394" s="174"/>
      <c r="V1394" s="174"/>
      <c r="W1394" s="174"/>
      <c r="X1394" s="174"/>
      <c r="Y1394" s="174"/>
      <c r="Z1394" s="174"/>
    </row>
    <row r="1395">
      <c r="A1395" s="194"/>
      <c r="B1395" s="194"/>
      <c r="C1395" s="194"/>
      <c r="D1395" s="194"/>
      <c r="E1395" s="194"/>
      <c r="F1395" s="194"/>
      <c r="G1395" s="194"/>
      <c r="H1395" s="195"/>
      <c r="I1395" s="195"/>
      <c r="J1395" s="194"/>
      <c r="K1395" s="174"/>
      <c r="L1395" s="174"/>
      <c r="M1395" s="174"/>
      <c r="N1395" s="174"/>
      <c r="O1395" s="174"/>
      <c r="P1395" s="174"/>
      <c r="Q1395" s="174"/>
      <c r="R1395" s="174"/>
      <c r="S1395" s="174"/>
      <c r="T1395" s="174"/>
      <c r="U1395" s="174"/>
      <c r="V1395" s="174"/>
      <c r="W1395" s="174"/>
      <c r="X1395" s="174"/>
      <c r="Y1395" s="174"/>
      <c r="Z1395" s="174"/>
    </row>
    <row r="1396">
      <c r="A1396" s="194"/>
      <c r="B1396" s="194"/>
      <c r="C1396" s="194"/>
      <c r="D1396" s="194"/>
      <c r="E1396" s="194"/>
      <c r="F1396" s="194"/>
      <c r="G1396" s="194"/>
      <c r="H1396" s="195"/>
      <c r="I1396" s="195"/>
      <c r="J1396" s="194"/>
      <c r="K1396" s="174"/>
      <c r="L1396" s="174"/>
      <c r="M1396" s="174"/>
      <c r="N1396" s="174"/>
      <c r="O1396" s="174"/>
      <c r="P1396" s="174"/>
      <c r="Q1396" s="174"/>
      <c r="R1396" s="174"/>
      <c r="S1396" s="174"/>
      <c r="T1396" s="174"/>
      <c r="U1396" s="174"/>
      <c r="V1396" s="174"/>
      <c r="W1396" s="174"/>
      <c r="X1396" s="174"/>
      <c r="Y1396" s="174"/>
      <c r="Z1396" s="174"/>
    </row>
    <row r="1397">
      <c r="A1397" s="194"/>
      <c r="B1397" s="194"/>
      <c r="C1397" s="194"/>
      <c r="D1397" s="194"/>
      <c r="E1397" s="194"/>
      <c r="F1397" s="194"/>
      <c r="G1397" s="194"/>
      <c r="H1397" s="195"/>
      <c r="I1397" s="195"/>
      <c r="J1397" s="194"/>
      <c r="K1397" s="174"/>
      <c r="L1397" s="174"/>
      <c r="M1397" s="174"/>
      <c r="N1397" s="174"/>
      <c r="O1397" s="174"/>
      <c r="P1397" s="174"/>
      <c r="Q1397" s="174"/>
      <c r="R1397" s="174"/>
      <c r="S1397" s="174"/>
      <c r="T1397" s="174"/>
      <c r="U1397" s="174"/>
      <c r="V1397" s="174"/>
      <c r="W1397" s="174"/>
      <c r="X1397" s="174"/>
      <c r="Y1397" s="174"/>
      <c r="Z1397" s="174"/>
    </row>
    <row r="1398">
      <c r="A1398" s="194"/>
      <c r="B1398" s="194"/>
      <c r="C1398" s="194"/>
      <c r="D1398" s="194"/>
      <c r="E1398" s="194"/>
      <c r="F1398" s="194"/>
      <c r="G1398" s="194"/>
      <c r="H1398" s="195"/>
      <c r="I1398" s="195"/>
      <c r="J1398" s="194"/>
      <c r="K1398" s="174"/>
      <c r="L1398" s="174"/>
      <c r="M1398" s="174"/>
      <c r="N1398" s="174"/>
      <c r="O1398" s="174"/>
      <c r="P1398" s="174"/>
      <c r="Q1398" s="174"/>
      <c r="R1398" s="174"/>
      <c r="S1398" s="174"/>
      <c r="T1398" s="174"/>
      <c r="U1398" s="174"/>
      <c r="V1398" s="174"/>
      <c r="W1398" s="174"/>
      <c r="X1398" s="174"/>
      <c r="Y1398" s="174"/>
      <c r="Z1398" s="174"/>
    </row>
    <row r="1399">
      <c r="A1399" s="194"/>
      <c r="B1399" s="194"/>
      <c r="C1399" s="194"/>
      <c r="D1399" s="194"/>
      <c r="E1399" s="194"/>
      <c r="F1399" s="194"/>
      <c r="G1399" s="194"/>
      <c r="H1399" s="195"/>
      <c r="I1399" s="195"/>
      <c r="J1399" s="194"/>
      <c r="K1399" s="174"/>
      <c r="L1399" s="174"/>
      <c r="M1399" s="174"/>
      <c r="N1399" s="174"/>
      <c r="O1399" s="174"/>
      <c r="P1399" s="174"/>
      <c r="Q1399" s="174"/>
      <c r="R1399" s="174"/>
      <c r="S1399" s="174"/>
      <c r="T1399" s="174"/>
      <c r="U1399" s="174"/>
      <c r="V1399" s="174"/>
      <c r="W1399" s="174"/>
      <c r="X1399" s="174"/>
      <c r="Y1399" s="174"/>
      <c r="Z1399" s="174"/>
    </row>
    <row r="1400">
      <c r="A1400" s="194"/>
      <c r="B1400" s="194"/>
      <c r="C1400" s="194"/>
      <c r="D1400" s="194"/>
      <c r="E1400" s="194"/>
      <c r="F1400" s="194"/>
      <c r="G1400" s="194"/>
      <c r="H1400" s="195"/>
      <c r="I1400" s="195"/>
      <c r="J1400" s="194"/>
      <c r="K1400" s="174"/>
      <c r="L1400" s="174"/>
      <c r="M1400" s="174"/>
      <c r="N1400" s="174"/>
      <c r="O1400" s="174"/>
      <c r="P1400" s="174"/>
      <c r="Q1400" s="174"/>
      <c r="R1400" s="174"/>
      <c r="S1400" s="174"/>
      <c r="T1400" s="174"/>
      <c r="U1400" s="174"/>
      <c r="V1400" s="174"/>
      <c r="W1400" s="174"/>
      <c r="X1400" s="174"/>
      <c r="Y1400" s="174"/>
      <c r="Z1400" s="174"/>
    </row>
    <row r="1401">
      <c r="A1401" s="194"/>
      <c r="B1401" s="194"/>
      <c r="C1401" s="194"/>
      <c r="D1401" s="194"/>
      <c r="E1401" s="194"/>
      <c r="F1401" s="194"/>
      <c r="G1401" s="194"/>
      <c r="H1401" s="195"/>
      <c r="I1401" s="195"/>
      <c r="J1401" s="194"/>
      <c r="K1401" s="174"/>
      <c r="L1401" s="174"/>
      <c r="M1401" s="174"/>
      <c r="N1401" s="174"/>
      <c r="O1401" s="174"/>
      <c r="P1401" s="174"/>
      <c r="Q1401" s="174"/>
      <c r="R1401" s="174"/>
      <c r="S1401" s="174"/>
      <c r="T1401" s="174"/>
      <c r="U1401" s="174"/>
      <c r="V1401" s="174"/>
      <c r="W1401" s="174"/>
      <c r="X1401" s="174"/>
      <c r="Y1401" s="174"/>
      <c r="Z1401" s="174"/>
    </row>
    <row r="1402">
      <c r="A1402" s="194"/>
      <c r="B1402" s="194"/>
      <c r="C1402" s="194"/>
      <c r="D1402" s="194"/>
      <c r="E1402" s="194"/>
      <c r="F1402" s="194"/>
      <c r="G1402" s="194"/>
      <c r="H1402" s="195"/>
      <c r="I1402" s="195"/>
      <c r="J1402" s="194"/>
      <c r="K1402" s="174"/>
      <c r="L1402" s="174"/>
      <c r="M1402" s="174"/>
      <c r="N1402" s="174"/>
      <c r="O1402" s="174"/>
      <c r="P1402" s="174"/>
      <c r="Q1402" s="174"/>
      <c r="R1402" s="174"/>
      <c r="S1402" s="174"/>
      <c r="T1402" s="174"/>
      <c r="U1402" s="174"/>
      <c r="V1402" s="174"/>
      <c r="W1402" s="174"/>
      <c r="X1402" s="174"/>
      <c r="Y1402" s="174"/>
      <c r="Z1402" s="174"/>
    </row>
    <row r="1403">
      <c r="A1403" s="194"/>
      <c r="B1403" s="194"/>
      <c r="C1403" s="194"/>
      <c r="D1403" s="194"/>
      <c r="E1403" s="194"/>
      <c r="F1403" s="194"/>
      <c r="G1403" s="194"/>
      <c r="H1403" s="195"/>
      <c r="I1403" s="195"/>
      <c r="J1403" s="194"/>
      <c r="K1403" s="174"/>
      <c r="L1403" s="174"/>
      <c r="M1403" s="174"/>
      <c r="N1403" s="174"/>
      <c r="O1403" s="174"/>
      <c r="P1403" s="174"/>
      <c r="Q1403" s="174"/>
      <c r="R1403" s="174"/>
      <c r="S1403" s="174"/>
      <c r="T1403" s="174"/>
      <c r="U1403" s="174"/>
      <c r="V1403" s="174"/>
      <c r="W1403" s="174"/>
      <c r="X1403" s="174"/>
      <c r="Y1403" s="174"/>
      <c r="Z1403" s="174"/>
    </row>
    <row r="1404">
      <c r="A1404" s="194"/>
      <c r="B1404" s="194"/>
      <c r="C1404" s="194"/>
      <c r="D1404" s="194"/>
      <c r="E1404" s="194"/>
      <c r="F1404" s="194"/>
      <c r="G1404" s="194"/>
      <c r="H1404" s="195"/>
      <c r="I1404" s="195"/>
      <c r="J1404" s="194"/>
      <c r="K1404" s="174"/>
      <c r="L1404" s="174"/>
      <c r="M1404" s="174"/>
      <c r="N1404" s="174"/>
      <c r="O1404" s="174"/>
      <c r="P1404" s="174"/>
      <c r="Q1404" s="174"/>
      <c r="R1404" s="174"/>
      <c r="S1404" s="174"/>
      <c r="T1404" s="174"/>
      <c r="U1404" s="174"/>
      <c r="V1404" s="174"/>
      <c r="W1404" s="174"/>
      <c r="X1404" s="174"/>
      <c r="Y1404" s="174"/>
      <c r="Z1404" s="174"/>
    </row>
    <row r="1405">
      <c r="A1405" s="194"/>
      <c r="B1405" s="194"/>
      <c r="C1405" s="194"/>
      <c r="D1405" s="194"/>
      <c r="E1405" s="194"/>
      <c r="F1405" s="194"/>
      <c r="G1405" s="194"/>
      <c r="H1405" s="195"/>
      <c r="I1405" s="195"/>
      <c r="J1405" s="194"/>
      <c r="K1405" s="174"/>
      <c r="L1405" s="174"/>
      <c r="M1405" s="174"/>
      <c r="N1405" s="174"/>
      <c r="O1405" s="174"/>
      <c r="P1405" s="174"/>
      <c r="Q1405" s="174"/>
      <c r="R1405" s="174"/>
      <c r="S1405" s="174"/>
      <c r="T1405" s="174"/>
      <c r="U1405" s="174"/>
      <c r="V1405" s="174"/>
      <c r="W1405" s="174"/>
      <c r="X1405" s="174"/>
      <c r="Y1405" s="174"/>
      <c r="Z1405" s="174"/>
    </row>
    <row r="1406">
      <c r="A1406" s="194"/>
      <c r="B1406" s="194"/>
      <c r="C1406" s="194"/>
      <c r="D1406" s="194"/>
      <c r="E1406" s="194"/>
      <c r="F1406" s="194"/>
      <c r="G1406" s="194"/>
      <c r="H1406" s="195"/>
      <c r="I1406" s="195"/>
      <c r="J1406" s="194"/>
      <c r="K1406" s="174"/>
      <c r="L1406" s="174"/>
      <c r="M1406" s="174"/>
      <c r="N1406" s="174"/>
      <c r="O1406" s="174"/>
      <c r="P1406" s="174"/>
      <c r="Q1406" s="174"/>
      <c r="R1406" s="174"/>
      <c r="S1406" s="174"/>
      <c r="T1406" s="174"/>
      <c r="U1406" s="174"/>
      <c r="V1406" s="174"/>
      <c r="W1406" s="174"/>
      <c r="X1406" s="174"/>
      <c r="Y1406" s="174"/>
      <c r="Z1406" s="174"/>
    </row>
    <row r="1407">
      <c r="A1407" s="194"/>
      <c r="B1407" s="194"/>
      <c r="C1407" s="194"/>
      <c r="D1407" s="194"/>
      <c r="E1407" s="194"/>
      <c r="F1407" s="194"/>
      <c r="G1407" s="194"/>
      <c r="H1407" s="195"/>
      <c r="I1407" s="195"/>
      <c r="J1407" s="194"/>
      <c r="K1407" s="174"/>
      <c r="L1407" s="174"/>
      <c r="M1407" s="174"/>
      <c r="N1407" s="174"/>
      <c r="O1407" s="174"/>
      <c r="P1407" s="174"/>
      <c r="Q1407" s="174"/>
      <c r="R1407" s="174"/>
      <c r="S1407" s="174"/>
      <c r="T1407" s="174"/>
      <c r="U1407" s="174"/>
      <c r="V1407" s="174"/>
      <c r="W1407" s="174"/>
      <c r="X1407" s="174"/>
      <c r="Y1407" s="174"/>
      <c r="Z1407" s="174"/>
    </row>
    <row r="1408">
      <c r="A1408" s="194"/>
      <c r="B1408" s="194"/>
      <c r="C1408" s="194"/>
      <c r="D1408" s="194"/>
      <c r="E1408" s="194"/>
      <c r="F1408" s="194"/>
      <c r="G1408" s="194"/>
      <c r="H1408" s="195"/>
      <c r="I1408" s="195"/>
      <c r="J1408" s="194"/>
      <c r="K1408" s="174"/>
      <c r="L1408" s="174"/>
      <c r="M1408" s="174"/>
      <c r="N1408" s="174"/>
      <c r="O1408" s="174"/>
      <c r="P1408" s="174"/>
      <c r="Q1408" s="174"/>
      <c r="R1408" s="174"/>
      <c r="S1408" s="174"/>
      <c r="T1408" s="174"/>
      <c r="U1408" s="174"/>
      <c r="V1408" s="174"/>
      <c r="W1408" s="174"/>
      <c r="X1408" s="174"/>
      <c r="Y1408" s="174"/>
      <c r="Z1408" s="174"/>
    </row>
    <row r="1409">
      <c r="A1409" s="194"/>
      <c r="B1409" s="194"/>
      <c r="C1409" s="194"/>
      <c r="D1409" s="194"/>
      <c r="E1409" s="194"/>
      <c r="F1409" s="194"/>
      <c r="G1409" s="194"/>
      <c r="H1409" s="195"/>
      <c r="I1409" s="195"/>
      <c r="J1409" s="194"/>
      <c r="K1409" s="174"/>
      <c r="L1409" s="174"/>
      <c r="M1409" s="174"/>
      <c r="N1409" s="174"/>
      <c r="O1409" s="174"/>
      <c r="P1409" s="174"/>
      <c r="Q1409" s="174"/>
      <c r="R1409" s="174"/>
      <c r="S1409" s="174"/>
      <c r="T1409" s="174"/>
      <c r="U1409" s="174"/>
      <c r="V1409" s="174"/>
      <c r="W1409" s="174"/>
      <c r="X1409" s="174"/>
      <c r="Y1409" s="174"/>
      <c r="Z1409" s="174"/>
    </row>
    <row r="1410">
      <c r="A1410" s="194"/>
      <c r="B1410" s="194"/>
      <c r="C1410" s="194"/>
      <c r="D1410" s="194"/>
      <c r="E1410" s="194"/>
      <c r="F1410" s="194"/>
      <c r="G1410" s="194"/>
      <c r="H1410" s="195"/>
      <c r="I1410" s="195"/>
      <c r="J1410" s="194"/>
      <c r="K1410" s="174"/>
      <c r="L1410" s="174"/>
      <c r="M1410" s="174"/>
      <c r="N1410" s="174"/>
      <c r="O1410" s="174"/>
      <c r="P1410" s="174"/>
      <c r="Q1410" s="174"/>
      <c r="R1410" s="174"/>
      <c r="S1410" s="174"/>
      <c r="T1410" s="174"/>
      <c r="U1410" s="174"/>
      <c r="V1410" s="174"/>
      <c r="W1410" s="174"/>
      <c r="X1410" s="174"/>
      <c r="Y1410" s="174"/>
      <c r="Z1410" s="174"/>
    </row>
    <row r="1411">
      <c r="A1411" s="194"/>
      <c r="B1411" s="194"/>
      <c r="C1411" s="194"/>
      <c r="D1411" s="194"/>
      <c r="E1411" s="194"/>
      <c r="F1411" s="194"/>
      <c r="G1411" s="194"/>
      <c r="H1411" s="195"/>
      <c r="I1411" s="195"/>
      <c r="J1411" s="194"/>
      <c r="K1411" s="174"/>
      <c r="L1411" s="174"/>
      <c r="M1411" s="174"/>
      <c r="N1411" s="174"/>
      <c r="O1411" s="174"/>
      <c r="P1411" s="174"/>
      <c r="Q1411" s="174"/>
      <c r="R1411" s="174"/>
      <c r="S1411" s="174"/>
      <c r="T1411" s="174"/>
      <c r="U1411" s="174"/>
      <c r="V1411" s="174"/>
      <c r="W1411" s="174"/>
      <c r="X1411" s="174"/>
      <c r="Y1411" s="174"/>
      <c r="Z1411" s="174"/>
    </row>
    <row r="1412">
      <c r="A1412" s="194"/>
      <c r="B1412" s="194"/>
      <c r="C1412" s="194"/>
      <c r="D1412" s="194"/>
      <c r="E1412" s="194"/>
      <c r="F1412" s="194"/>
      <c r="G1412" s="194"/>
      <c r="H1412" s="195"/>
      <c r="I1412" s="195"/>
      <c r="J1412" s="194"/>
      <c r="K1412" s="174"/>
      <c r="L1412" s="174"/>
      <c r="M1412" s="174"/>
      <c r="N1412" s="174"/>
      <c r="O1412" s="174"/>
      <c r="P1412" s="174"/>
      <c r="Q1412" s="174"/>
      <c r="R1412" s="174"/>
      <c r="S1412" s="174"/>
      <c r="T1412" s="174"/>
      <c r="U1412" s="174"/>
      <c r="V1412" s="174"/>
      <c r="W1412" s="174"/>
      <c r="X1412" s="174"/>
      <c r="Y1412" s="174"/>
      <c r="Z1412" s="174"/>
    </row>
    <row r="1413">
      <c r="A1413" s="194"/>
      <c r="B1413" s="194"/>
      <c r="C1413" s="194"/>
      <c r="D1413" s="194"/>
      <c r="E1413" s="194"/>
      <c r="F1413" s="194"/>
      <c r="G1413" s="194"/>
      <c r="H1413" s="195"/>
      <c r="I1413" s="195"/>
      <c r="J1413" s="194"/>
      <c r="K1413" s="174"/>
      <c r="L1413" s="174"/>
      <c r="M1413" s="174"/>
      <c r="N1413" s="174"/>
      <c r="O1413" s="174"/>
      <c r="P1413" s="174"/>
      <c r="Q1413" s="174"/>
      <c r="R1413" s="174"/>
      <c r="S1413" s="174"/>
      <c r="T1413" s="174"/>
      <c r="U1413" s="174"/>
      <c r="V1413" s="174"/>
      <c r="W1413" s="174"/>
      <c r="X1413" s="174"/>
      <c r="Y1413" s="174"/>
      <c r="Z1413" s="174"/>
    </row>
    <row r="1414">
      <c r="A1414" s="194"/>
      <c r="B1414" s="194"/>
      <c r="C1414" s="194"/>
      <c r="D1414" s="194"/>
      <c r="E1414" s="194"/>
      <c r="F1414" s="194"/>
      <c r="G1414" s="194"/>
      <c r="H1414" s="195"/>
      <c r="I1414" s="195"/>
      <c r="J1414" s="194"/>
      <c r="K1414" s="174"/>
      <c r="L1414" s="174"/>
      <c r="M1414" s="174"/>
      <c r="N1414" s="174"/>
      <c r="O1414" s="174"/>
      <c r="P1414" s="174"/>
      <c r="Q1414" s="174"/>
      <c r="R1414" s="174"/>
      <c r="S1414" s="174"/>
      <c r="T1414" s="174"/>
      <c r="U1414" s="174"/>
      <c r="V1414" s="174"/>
      <c r="W1414" s="174"/>
      <c r="X1414" s="174"/>
      <c r="Y1414" s="174"/>
      <c r="Z1414" s="174"/>
    </row>
    <row r="1415">
      <c r="A1415" s="194"/>
      <c r="B1415" s="194"/>
      <c r="C1415" s="194"/>
      <c r="D1415" s="194"/>
      <c r="E1415" s="194"/>
      <c r="F1415" s="194"/>
      <c r="G1415" s="194"/>
      <c r="H1415" s="195"/>
      <c r="I1415" s="195"/>
      <c r="J1415" s="194"/>
      <c r="K1415" s="174"/>
      <c r="L1415" s="174"/>
      <c r="M1415" s="174"/>
      <c r="N1415" s="174"/>
      <c r="O1415" s="174"/>
      <c r="P1415" s="174"/>
      <c r="Q1415" s="174"/>
      <c r="R1415" s="174"/>
      <c r="S1415" s="174"/>
      <c r="T1415" s="174"/>
      <c r="U1415" s="174"/>
      <c r="V1415" s="174"/>
      <c r="W1415" s="174"/>
      <c r="X1415" s="174"/>
      <c r="Y1415" s="174"/>
      <c r="Z1415" s="174"/>
    </row>
    <row r="1416">
      <c r="A1416" s="194"/>
      <c r="B1416" s="194"/>
      <c r="C1416" s="194"/>
      <c r="D1416" s="194"/>
      <c r="E1416" s="194"/>
      <c r="F1416" s="194"/>
      <c r="G1416" s="194"/>
      <c r="H1416" s="195"/>
      <c r="I1416" s="195"/>
      <c r="J1416" s="194"/>
      <c r="K1416" s="174"/>
      <c r="L1416" s="174"/>
      <c r="M1416" s="174"/>
      <c r="N1416" s="174"/>
      <c r="O1416" s="174"/>
      <c r="P1416" s="174"/>
      <c r="Q1416" s="174"/>
      <c r="R1416" s="174"/>
      <c r="S1416" s="174"/>
      <c r="T1416" s="174"/>
      <c r="U1416" s="174"/>
      <c r="V1416" s="174"/>
      <c r="W1416" s="174"/>
      <c r="X1416" s="174"/>
      <c r="Y1416" s="174"/>
      <c r="Z1416" s="174"/>
    </row>
    <row r="1417">
      <c r="A1417" s="194"/>
      <c r="B1417" s="194"/>
      <c r="C1417" s="194"/>
      <c r="D1417" s="194"/>
      <c r="E1417" s="194"/>
      <c r="F1417" s="194"/>
      <c r="G1417" s="194"/>
      <c r="H1417" s="195"/>
      <c r="I1417" s="195"/>
      <c r="J1417" s="194"/>
      <c r="K1417" s="174"/>
      <c r="L1417" s="174"/>
      <c r="M1417" s="174"/>
      <c r="N1417" s="174"/>
      <c r="O1417" s="174"/>
      <c r="P1417" s="174"/>
      <c r="Q1417" s="174"/>
      <c r="R1417" s="174"/>
      <c r="S1417" s="174"/>
      <c r="T1417" s="174"/>
      <c r="U1417" s="174"/>
      <c r="V1417" s="174"/>
      <c r="W1417" s="174"/>
      <c r="X1417" s="174"/>
      <c r="Y1417" s="174"/>
      <c r="Z1417" s="174"/>
    </row>
    <row r="1418">
      <c r="A1418" s="194"/>
      <c r="B1418" s="194"/>
      <c r="C1418" s="194"/>
      <c r="D1418" s="194"/>
      <c r="E1418" s="194"/>
      <c r="F1418" s="194"/>
      <c r="G1418" s="194"/>
      <c r="H1418" s="195"/>
      <c r="I1418" s="195"/>
      <c r="J1418" s="194"/>
      <c r="K1418" s="174"/>
      <c r="L1418" s="174"/>
      <c r="M1418" s="174"/>
      <c r="N1418" s="174"/>
      <c r="O1418" s="174"/>
      <c r="P1418" s="174"/>
      <c r="Q1418" s="174"/>
      <c r="R1418" s="174"/>
      <c r="S1418" s="174"/>
      <c r="T1418" s="174"/>
      <c r="U1418" s="174"/>
      <c r="V1418" s="174"/>
      <c r="W1418" s="174"/>
      <c r="X1418" s="174"/>
      <c r="Y1418" s="174"/>
      <c r="Z1418" s="174"/>
    </row>
    <row r="1419">
      <c r="A1419" s="194"/>
      <c r="B1419" s="194"/>
      <c r="C1419" s="194"/>
      <c r="D1419" s="194"/>
      <c r="E1419" s="194"/>
      <c r="F1419" s="194"/>
      <c r="G1419" s="194"/>
      <c r="H1419" s="195"/>
      <c r="I1419" s="195"/>
      <c r="J1419" s="194"/>
      <c r="K1419" s="174"/>
      <c r="L1419" s="174"/>
      <c r="M1419" s="174"/>
      <c r="N1419" s="174"/>
      <c r="O1419" s="174"/>
      <c r="P1419" s="174"/>
      <c r="Q1419" s="174"/>
      <c r="R1419" s="174"/>
      <c r="S1419" s="174"/>
      <c r="T1419" s="174"/>
      <c r="U1419" s="174"/>
      <c r="V1419" s="174"/>
      <c r="W1419" s="174"/>
      <c r="X1419" s="174"/>
      <c r="Y1419" s="174"/>
      <c r="Z1419" s="174"/>
    </row>
    <row r="1420">
      <c r="A1420" s="194"/>
      <c r="B1420" s="194"/>
      <c r="C1420" s="194"/>
      <c r="D1420" s="194"/>
      <c r="E1420" s="194"/>
      <c r="F1420" s="194"/>
      <c r="G1420" s="194"/>
      <c r="H1420" s="195"/>
      <c r="I1420" s="195"/>
      <c r="J1420" s="194"/>
      <c r="K1420" s="174"/>
      <c r="L1420" s="174"/>
      <c r="M1420" s="174"/>
      <c r="N1420" s="174"/>
      <c r="O1420" s="174"/>
      <c r="P1420" s="174"/>
      <c r="Q1420" s="174"/>
      <c r="R1420" s="174"/>
      <c r="S1420" s="174"/>
      <c r="T1420" s="174"/>
      <c r="U1420" s="174"/>
      <c r="V1420" s="174"/>
      <c r="W1420" s="174"/>
      <c r="X1420" s="174"/>
      <c r="Y1420" s="174"/>
      <c r="Z1420" s="174"/>
    </row>
    <row r="1421">
      <c r="A1421" s="194"/>
      <c r="B1421" s="194"/>
      <c r="C1421" s="194"/>
      <c r="D1421" s="194"/>
      <c r="E1421" s="194"/>
      <c r="F1421" s="194"/>
      <c r="G1421" s="194"/>
      <c r="H1421" s="195"/>
      <c r="I1421" s="195"/>
      <c r="J1421" s="194"/>
      <c r="K1421" s="174"/>
      <c r="L1421" s="174"/>
      <c r="M1421" s="174"/>
      <c r="N1421" s="174"/>
      <c r="O1421" s="174"/>
      <c r="P1421" s="174"/>
      <c r="Q1421" s="174"/>
      <c r="R1421" s="174"/>
      <c r="S1421" s="174"/>
      <c r="T1421" s="174"/>
      <c r="U1421" s="174"/>
      <c r="V1421" s="174"/>
      <c r="W1421" s="174"/>
      <c r="X1421" s="174"/>
      <c r="Y1421" s="174"/>
      <c r="Z1421" s="174"/>
    </row>
    <row r="1422">
      <c r="A1422" s="194"/>
      <c r="B1422" s="194"/>
      <c r="C1422" s="194"/>
      <c r="D1422" s="194"/>
      <c r="E1422" s="194"/>
      <c r="F1422" s="194"/>
      <c r="G1422" s="194"/>
      <c r="H1422" s="195"/>
      <c r="I1422" s="195"/>
      <c r="J1422" s="194"/>
      <c r="K1422" s="174"/>
      <c r="L1422" s="174"/>
      <c r="M1422" s="174"/>
      <c r="N1422" s="174"/>
      <c r="O1422" s="174"/>
      <c r="P1422" s="174"/>
      <c r="Q1422" s="174"/>
      <c r="R1422" s="174"/>
      <c r="S1422" s="174"/>
      <c r="T1422" s="174"/>
      <c r="U1422" s="174"/>
      <c r="V1422" s="174"/>
      <c r="W1422" s="174"/>
      <c r="X1422" s="174"/>
      <c r="Y1422" s="174"/>
      <c r="Z1422" s="174"/>
    </row>
    <row r="1423">
      <c r="A1423" s="194"/>
      <c r="B1423" s="194"/>
      <c r="C1423" s="194"/>
      <c r="D1423" s="194"/>
      <c r="E1423" s="194"/>
      <c r="F1423" s="194"/>
      <c r="G1423" s="194"/>
      <c r="H1423" s="195"/>
      <c r="I1423" s="195"/>
      <c r="J1423" s="194"/>
      <c r="K1423" s="174"/>
      <c r="L1423" s="174"/>
      <c r="M1423" s="174"/>
      <c r="N1423" s="174"/>
      <c r="O1423" s="174"/>
      <c r="P1423" s="174"/>
      <c r="Q1423" s="174"/>
      <c r="R1423" s="174"/>
      <c r="S1423" s="174"/>
      <c r="T1423" s="174"/>
      <c r="U1423" s="174"/>
      <c r="V1423" s="174"/>
      <c r="W1423" s="174"/>
      <c r="X1423" s="174"/>
      <c r="Y1423" s="174"/>
      <c r="Z1423" s="174"/>
    </row>
    <row r="1424">
      <c r="A1424" s="194"/>
      <c r="B1424" s="194"/>
      <c r="C1424" s="194"/>
      <c r="D1424" s="194"/>
      <c r="E1424" s="194"/>
      <c r="F1424" s="194"/>
      <c r="G1424" s="194"/>
      <c r="H1424" s="195"/>
      <c r="I1424" s="195"/>
      <c r="J1424" s="194"/>
      <c r="K1424" s="174"/>
      <c r="L1424" s="174"/>
      <c r="M1424" s="174"/>
      <c r="N1424" s="174"/>
      <c r="O1424" s="174"/>
      <c r="P1424" s="174"/>
      <c r="Q1424" s="174"/>
      <c r="R1424" s="174"/>
      <c r="S1424" s="174"/>
      <c r="T1424" s="174"/>
      <c r="U1424" s="174"/>
      <c r="V1424" s="174"/>
      <c r="W1424" s="174"/>
      <c r="X1424" s="174"/>
      <c r="Y1424" s="174"/>
      <c r="Z1424" s="174"/>
    </row>
    <row r="1425">
      <c r="A1425" s="194"/>
      <c r="B1425" s="194"/>
      <c r="C1425" s="194"/>
      <c r="D1425" s="194"/>
      <c r="E1425" s="194"/>
      <c r="F1425" s="194"/>
      <c r="G1425" s="194"/>
      <c r="H1425" s="195"/>
      <c r="I1425" s="195"/>
      <c r="J1425" s="194"/>
      <c r="K1425" s="174"/>
      <c r="L1425" s="174"/>
      <c r="M1425" s="174"/>
      <c r="N1425" s="174"/>
      <c r="O1425" s="174"/>
      <c r="P1425" s="174"/>
      <c r="Q1425" s="174"/>
      <c r="R1425" s="174"/>
      <c r="S1425" s="174"/>
      <c r="T1425" s="174"/>
      <c r="U1425" s="174"/>
      <c r="V1425" s="174"/>
      <c r="W1425" s="174"/>
      <c r="X1425" s="174"/>
      <c r="Y1425" s="174"/>
      <c r="Z1425" s="174"/>
    </row>
    <row r="1426">
      <c r="A1426" s="194"/>
      <c r="B1426" s="194"/>
      <c r="C1426" s="194"/>
      <c r="D1426" s="194"/>
      <c r="E1426" s="194"/>
      <c r="F1426" s="194"/>
      <c r="G1426" s="194"/>
      <c r="H1426" s="195"/>
      <c r="I1426" s="195"/>
      <c r="J1426" s="194"/>
      <c r="K1426" s="174"/>
      <c r="L1426" s="174"/>
      <c r="M1426" s="174"/>
      <c r="N1426" s="174"/>
      <c r="O1426" s="174"/>
      <c r="P1426" s="174"/>
      <c r="Q1426" s="174"/>
      <c r="R1426" s="174"/>
      <c r="S1426" s="174"/>
      <c r="T1426" s="174"/>
      <c r="U1426" s="174"/>
      <c r="V1426" s="174"/>
      <c r="W1426" s="174"/>
      <c r="X1426" s="174"/>
      <c r="Y1426" s="174"/>
      <c r="Z1426" s="174"/>
    </row>
    <row r="1427">
      <c r="A1427" s="194"/>
      <c r="B1427" s="194"/>
      <c r="C1427" s="194"/>
      <c r="D1427" s="194"/>
      <c r="E1427" s="194"/>
      <c r="F1427" s="194"/>
      <c r="G1427" s="194"/>
      <c r="H1427" s="195"/>
      <c r="I1427" s="195"/>
      <c r="J1427" s="194"/>
      <c r="K1427" s="174"/>
      <c r="L1427" s="174"/>
      <c r="M1427" s="174"/>
      <c r="N1427" s="174"/>
      <c r="O1427" s="174"/>
      <c r="P1427" s="174"/>
      <c r="Q1427" s="174"/>
      <c r="R1427" s="174"/>
      <c r="S1427" s="174"/>
      <c r="T1427" s="174"/>
      <c r="U1427" s="174"/>
      <c r="V1427" s="174"/>
      <c r="W1427" s="174"/>
      <c r="X1427" s="174"/>
      <c r="Y1427" s="174"/>
      <c r="Z1427" s="174"/>
    </row>
    <row r="1428">
      <c r="A1428" s="194"/>
      <c r="B1428" s="194"/>
      <c r="C1428" s="194"/>
      <c r="D1428" s="194"/>
      <c r="E1428" s="194"/>
      <c r="F1428" s="194"/>
      <c r="G1428" s="194"/>
      <c r="H1428" s="195"/>
      <c r="I1428" s="195"/>
      <c r="J1428" s="194"/>
      <c r="K1428" s="174"/>
      <c r="L1428" s="174"/>
      <c r="M1428" s="174"/>
      <c r="N1428" s="174"/>
      <c r="O1428" s="174"/>
      <c r="P1428" s="174"/>
      <c r="Q1428" s="174"/>
      <c r="R1428" s="174"/>
      <c r="S1428" s="174"/>
      <c r="T1428" s="174"/>
      <c r="U1428" s="174"/>
      <c r="V1428" s="174"/>
      <c r="W1428" s="174"/>
      <c r="X1428" s="174"/>
      <c r="Y1428" s="174"/>
      <c r="Z1428" s="174"/>
    </row>
    <row r="1429">
      <c r="A1429" s="194"/>
      <c r="B1429" s="194"/>
      <c r="C1429" s="194"/>
      <c r="D1429" s="194"/>
      <c r="E1429" s="194"/>
      <c r="F1429" s="194"/>
      <c r="G1429" s="194"/>
      <c r="H1429" s="195"/>
      <c r="I1429" s="195"/>
      <c r="J1429" s="194"/>
      <c r="K1429" s="174"/>
      <c r="L1429" s="174"/>
      <c r="M1429" s="174"/>
      <c r="N1429" s="174"/>
      <c r="O1429" s="174"/>
      <c r="P1429" s="174"/>
      <c r="Q1429" s="174"/>
      <c r="R1429" s="174"/>
      <c r="S1429" s="174"/>
      <c r="T1429" s="174"/>
      <c r="U1429" s="174"/>
      <c r="V1429" s="174"/>
      <c r="W1429" s="174"/>
      <c r="X1429" s="174"/>
      <c r="Y1429" s="174"/>
      <c r="Z1429" s="174"/>
    </row>
    <row r="1430">
      <c r="A1430" s="194"/>
      <c r="B1430" s="194"/>
      <c r="C1430" s="194"/>
      <c r="D1430" s="194"/>
      <c r="E1430" s="194"/>
      <c r="F1430" s="194"/>
      <c r="G1430" s="194"/>
      <c r="H1430" s="195"/>
      <c r="I1430" s="195"/>
      <c r="J1430" s="194"/>
      <c r="K1430" s="174"/>
      <c r="L1430" s="174"/>
      <c r="M1430" s="174"/>
      <c r="N1430" s="174"/>
      <c r="O1430" s="174"/>
      <c r="P1430" s="174"/>
      <c r="Q1430" s="174"/>
      <c r="R1430" s="174"/>
      <c r="S1430" s="174"/>
      <c r="T1430" s="174"/>
      <c r="U1430" s="174"/>
      <c r="V1430" s="174"/>
      <c r="W1430" s="174"/>
      <c r="X1430" s="174"/>
      <c r="Y1430" s="174"/>
      <c r="Z1430" s="174"/>
    </row>
    <row r="1431">
      <c r="A1431" s="194"/>
      <c r="B1431" s="194"/>
      <c r="C1431" s="194"/>
      <c r="D1431" s="194"/>
      <c r="E1431" s="194"/>
      <c r="F1431" s="194"/>
      <c r="G1431" s="194"/>
      <c r="H1431" s="195"/>
      <c r="I1431" s="195"/>
      <c r="J1431" s="194"/>
      <c r="K1431" s="174"/>
      <c r="L1431" s="174"/>
      <c r="M1431" s="174"/>
      <c r="N1431" s="174"/>
      <c r="O1431" s="174"/>
      <c r="P1431" s="174"/>
      <c r="Q1431" s="174"/>
      <c r="R1431" s="174"/>
      <c r="S1431" s="174"/>
      <c r="T1431" s="174"/>
      <c r="U1431" s="174"/>
      <c r="V1431" s="174"/>
      <c r="W1431" s="174"/>
      <c r="X1431" s="174"/>
      <c r="Y1431" s="174"/>
      <c r="Z1431" s="174"/>
    </row>
    <row r="1432">
      <c r="A1432" s="194"/>
      <c r="B1432" s="194"/>
      <c r="C1432" s="194"/>
      <c r="D1432" s="194"/>
      <c r="E1432" s="194"/>
      <c r="F1432" s="194"/>
      <c r="G1432" s="194"/>
      <c r="H1432" s="195"/>
      <c r="I1432" s="195"/>
      <c r="J1432" s="194"/>
      <c r="K1432" s="174"/>
      <c r="L1432" s="174"/>
      <c r="M1432" s="174"/>
      <c r="N1432" s="174"/>
      <c r="O1432" s="174"/>
      <c r="P1432" s="174"/>
      <c r="Q1432" s="174"/>
      <c r="R1432" s="174"/>
      <c r="S1432" s="174"/>
      <c r="T1432" s="174"/>
      <c r="U1432" s="174"/>
      <c r="V1432" s="174"/>
      <c r="W1432" s="174"/>
      <c r="X1432" s="174"/>
      <c r="Y1432" s="174"/>
      <c r="Z1432" s="174"/>
    </row>
    <row r="1433">
      <c r="A1433" s="194"/>
      <c r="B1433" s="194"/>
      <c r="C1433" s="194"/>
      <c r="D1433" s="194"/>
      <c r="E1433" s="194"/>
      <c r="F1433" s="194"/>
      <c r="G1433" s="194"/>
      <c r="H1433" s="195"/>
      <c r="I1433" s="195"/>
      <c r="J1433" s="194"/>
      <c r="K1433" s="174"/>
      <c r="L1433" s="174"/>
      <c r="M1433" s="174"/>
      <c r="N1433" s="174"/>
      <c r="O1433" s="174"/>
      <c r="P1433" s="174"/>
      <c r="Q1433" s="174"/>
      <c r="R1433" s="174"/>
      <c r="S1433" s="174"/>
      <c r="T1433" s="174"/>
      <c r="U1433" s="174"/>
      <c r="V1433" s="174"/>
      <c r="W1433" s="174"/>
      <c r="X1433" s="174"/>
      <c r="Y1433" s="174"/>
      <c r="Z1433" s="174"/>
    </row>
    <row r="1434">
      <c r="A1434" s="194"/>
      <c r="B1434" s="194"/>
      <c r="C1434" s="194"/>
      <c r="D1434" s="194"/>
      <c r="E1434" s="194"/>
      <c r="F1434" s="194"/>
      <c r="G1434" s="194"/>
      <c r="H1434" s="195"/>
      <c r="I1434" s="195"/>
      <c r="J1434" s="194"/>
      <c r="K1434" s="174"/>
      <c r="L1434" s="174"/>
      <c r="M1434" s="174"/>
      <c r="N1434" s="174"/>
      <c r="O1434" s="174"/>
      <c r="P1434" s="174"/>
      <c r="Q1434" s="174"/>
      <c r="R1434" s="174"/>
      <c r="S1434" s="174"/>
      <c r="T1434" s="174"/>
      <c r="U1434" s="174"/>
      <c r="V1434" s="174"/>
      <c r="W1434" s="174"/>
      <c r="X1434" s="174"/>
      <c r="Y1434" s="174"/>
      <c r="Z1434" s="174"/>
    </row>
    <row r="1435">
      <c r="A1435" s="194"/>
      <c r="B1435" s="194"/>
      <c r="C1435" s="194"/>
      <c r="D1435" s="194"/>
      <c r="E1435" s="194"/>
      <c r="F1435" s="194"/>
      <c r="G1435" s="194"/>
      <c r="H1435" s="195"/>
      <c r="I1435" s="195"/>
      <c r="J1435" s="194"/>
      <c r="K1435" s="174"/>
      <c r="L1435" s="174"/>
      <c r="M1435" s="174"/>
      <c r="N1435" s="174"/>
      <c r="O1435" s="174"/>
      <c r="P1435" s="174"/>
      <c r="Q1435" s="174"/>
      <c r="R1435" s="174"/>
      <c r="S1435" s="174"/>
      <c r="T1435" s="174"/>
      <c r="U1435" s="174"/>
      <c r="V1435" s="174"/>
      <c r="W1435" s="174"/>
      <c r="X1435" s="174"/>
      <c r="Y1435" s="174"/>
      <c r="Z1435" s="174"/>
    </row>
    <row r="1436">
      <c r="A1436" s="194"/>
      <c r="B1436" s="194"/>
      <c r="C1436" s="194"/>
      <c r="D1436" s="194"/>
      <c r="E1436" s="194"/>
      <c r="F1436" s="194"/>
      <c r="G1436" s="194"/>
      <c r="H1436" s="195"/>
      <c r="I1436" s="195"/>
      <c r="J1436" s="194"/>
      <c r="K1436" s="174"/>
      <c r="L1436" s="174"/>
      <c r="M1436" s="174"/>
      <c r="N1436" s="174"/>
      <c r="O1436" s="174"/>
      <c r="P1436" s="174"/>
      <c r="Q1436" s="174"/>
      <c r="R1436" s="174"/>
      <c r="S1436" s="174"/>
      <c r="T1436" s="174"/>
      <c r="U1436" s="174"/>
      <c r="V1436" s="174"/>
      <c r="W1436" s="174"/>
      <c r="X1436" s="174"/>
      <c r="Y1436" s="174"/>
      <c r="Z1436" s="174"/>
    </row>
    <row r="1437">
      <c r="A1437" s="194"/>
      <c r="B1437" s="194"/>
      <c r="C1437" s="194"/>
      <c r="D1437" s="194"/>
      <c r="E1437" s="194"/>
      <c r="F1437" s="194"/>
      <c r="G1437" s="194"/>
      <c r="H1437" s="195"/>
      <c r="I1437" s="195"/>
      <c r="J1437" s="194"/>
      <c r="K1437" s="174"/>
      <c r="L1437" s="174"/>
      <c r="M1437" s="174"/>
      <c r="N1437" s="174"/>
      <c r="O1437" s="174"/>
      <c r="P1437" s="174"/>
      <c r="Q1437" s="174"/>
      <c r="R1437" s="174"/>
      <c r="S1437" s="174"/>
      <c r="T1437" s="174"/>
      <c r="U1437" s="174"/>
      <c r="V1437" s="174"/>
      <c r="W1437" s="174"/>
      <c r="X1437" s="174"/>
      <c r="Y1437" s="174"/>
      <c r="Z1437" s="174"/>
    </row>
    <row r="1438">
      <c r="A1438" s="194"/>
      <c r="B1438" s="194"/>
      <c r="C1438" s="194"/>
      <c r="D1438" s="194"/>
      <c r="E1438" s="194"/>
      <c r="F1438" s="194"/>
      <c r="G1438" s="194"/>
      <c r="H1438" s="195"/>
      <c r="I1438" s="195"/>
      <c r="J1438" s="194"/>
      <c r="K1438" s="174"/>
      <c r="L1438" s="174"/>
      <c r="M1438" s="174"/>
      <c r="N1438" s="174"/>
      <c r="O1438" s="174"/>
      <c r="P1438" s="174"/>
      <c r="Q1438" s="174"/>
      <c r="R1438" s="174"/>
      <c r="S1438" s="174"/>
      <c r="T1438" s="174"/>
      <c r="U1438" s="174"/>
      <c r="V1438" s="174"/>
      <c r="W1438" s="174"/>
      <c r="X1438" s="174"/>
      <c r="Y1438" s="174"/>
      <c r="Z1438" s="174"/>
    </row>
    <row r="1439">
      <c r="A1439" s="194"/>
      <c r="B1439" s="194"/>
      <c r="C1439" s="194"/>
      <c r="D1439" s="194"/>
      <c r="E1439" s="194"/>
      <c r="F1439" s="194"/>
      <c r="G1439" s="194"/>
      <c r="H1439" s="195"/>
      <c r="I1439" s="195"/>
      <c r="J1439" s="194"/>
      <c r="K1439" s="174"/>
      <c r="L1439" s="174"/>
      <c r="M1439" s="174"/>
      <c r="N1439" s="174"/>
      <c r="O1439" s="174"/>
      <c r="P1439" s="174"/>
      <c r="Q1439" s="174"/>
      <c r="R1439" s="174"/>
      <c r="S1439" s="174"/>
      <c r="T1439" s="174"/>
      <c r="U1439" s="174"/>
      <c r="V1439" s="174"/>
      <c r="W1439" s="174"/>
      <c r="X1439" s="174"/>
      <c r="Y1439" s="174"/>
      <c r="Z1439" s="174"/>
    </row>
    <row r="1440">
      <c r="A1440" s="194"/>
      <c r="B1440" s="194"/>
      <c r="C1440" s="194"/>
      <c r="D1440" s="194"/>
      <c r="E1440" s="194"/>
      <c r="F1440" s="194"/>
      <c r="G1440" s="194"/>
      <c r="H1440" s="195"/>
      <c r="I1440" s="195"/>
      <c r="J1440" s="194"/>
      <c r="K1440" s="174"/>
      <c r="L1440" s="174"/>
      <c r="M1440" s="174"/>
      <c r="N1440" s="174"/>
      <c r="O1440" s="174"/>
      <c r="P1440" s="174"/>
      <c r="Q1440" s="174"/>
      <c r="R1440" s="174"/>
      <c r="S1440" s="174"/>
      <c r="T1440" s="174"/>
      <c r="U1440" s="174"/>
      <c r="V1440" s="174"/>
      <c r="W1440" s="174"/>
      <c r="X1440" s="174"/>
      <c r="Y1440" s="174"/>
      <c r="Z1440" s="174"/>
    </row>
    <row r="1441">
      <c r="A1441" s="194"/>
      <c r="B1441" s="194"/>
      <c r="C1441" s="194"/>
      <c r="D1441" s="194"/>
      <c r="E1441" s="194"/>
      <c r="F1441" s="194"/>
      <c r="G1441" s="194"/>
      <c r="H1441" s="195"/>
      <c r="I1441" s="195"/>
      <c r="J1441" s="194"/>
      <c r="K1441" s="174"/>
      <c r="L1441" s="174"/>
      <c r="M1441" s="174"/>
      <c r="N1441" s="174"/>
      <c r="O1441" s="174"/>
      <c r="P1441" s="174"/>
      <c r="Q1441" s="174"/>
      <c r="R1441" s="174"/>
      <c r="S1441" s="174"/>
      <c r="T1441" s="174"/>
      <c r="U1441" s="174"/>
      <c r="V1441" s="174"/>
      <c r="W1441" s="174"/>
      <c r="X1441" s="174"/>
      <c r="Y1441" s="174"/>
      <c r="Z1441" s="174"/>
    </row>
    <row r="1442">
      <c r="A1442" s="194"/>
      <c r="B1442" s="194"/>
      <c r="C1442" s="194"/>
      <c r="D1442" s="194"/>
      <c r="E1442" s="194"/>
      <c r="F1442" s="194"/>
      <c r="G1442" s="194"/>
      <c r="H1442" s="195"/>
      <c r="I1442" s="195"/>
      <c r="J1442" s="194"/>
      <c r="K1442" s="174"/>
      <c r="L1442" s="174"/>
      <c r="M1442" s="174"/>
      <c r="N1442" s="174"/>
      <c r="O1442" s="174"/>
      <c r="P1442" s="174"/>
      <c r="Q1442" s="174"/>
      <c r="R1442" s="174"/>
      <c r="S1442" s="174"/>
      <c r="T1442" s="174"/>
      <c r="U1442" s="174"/>
      <c r="V1442" s="174"/>
      <c r="W1442" s="174"/>
      <c r="X1442" s="174"/>
      <c r="Y1442" s="174"/>
      <c r="Z1442" s="174"/>
    </row>
    <row r="1443">
      <c r="A1443" s="194"/>
      <c r="B1443" s="194"/>
      <c r="C1443" s="194"/>
      <c r="D1443" s="194"/>
      <c r="E1443" s="194"/>
      <c r="F1443" s="194"/>
      <c r="G1443" s="194"/>
      <c r="H1443" s="195"/>
      <c r="I1443" s="195"/>
      <c r="J1443" s="194"/>
      <c r="K1443" s="174"/>
      <c r="L1443" s="174"/>
      <c r="M1443" s="174"/>
      <c r="N1443" s="174"/>
      <c r="O1443" s="174"/>
      <c r="P1443" s="174"/>
      <c r="Q1443" s="174"/>
      <c r="R1443" s="174"/>
      <c r="S1443" s="174"/>
      <c r="T1443" s="174"/>
      <c r="U1443" s="174"/>
      <c r="V1443" s="174"/>
      <c r="W1443" s="174"/>
      <c r="X1443" s="174"/>
      <c r="Y1443" s="174"/>
      <c r="Z1443" s="174"/>
    </row>
    <row r="1444">
      <c r="A1444" s="194"/>
      <c r="B1444" s="194"/>
      <c r="C1444" s="194"/>
      <c r="D1444" s="194"/>
      <c r="E1444" s="194"/>
      <c r="F1444" s="194"/>
      <c r="G1444" s="194"/>
      <c r="H1444" s="195"/>
      <c r="I1444" s="195"/>
      <c r="J1444" s="194"/>
      <c r="K1444" s="174"/>
      <c r="L1444" s="174"/>
      <c r="M1444" s="174"/>
      <c r="N1444" s="174"/>
      <c r="O1444" s="174"/>
      <c r="P1444" s="174"/>
      <c r="Q1444" s="174"/>
      <c r="R1444" s="174"/>
      <c r="S1444" s="174"/>
      <c r="T1444" s="174"/>
      <c r="U1444" s="174"/>
      <c r="V1444" s="174"/>
      <c r="W1444" s="174"/>
      <c r="X1444" s="174"/>
      <c r="Y1444" s="174"/>
      <c r="Z1444" s="174"/>
    </row>
    <row r="1445">
      <c r="A1445" s="194"/>
      <c r="B1445" s="194"/>
      <c r="C1445" s="194"/>
      <c r="D1445" s="194"/>
      <c r="E1445" s="194"/>
      <c r="F1445" s="194"/>
      <c r="G1445" s="194"/>
      <c r="H1445" s="195"/>
      <c r="I1445" s="195"/>
      <c r="J1445" s="194"/>
      <c r="K1445" s="174"/>
      <c r="L1445" s="174"/>
      <c r="M1445" s="174"/>
      <c r="N1445" s="174"/>
      <c r="O1445" s="174"/>
      <c r="P1445" s="174"/>
      <c r="Q1445" s="174"/>
      <c r="R1445" s="174"/>
      <c r="S1445" s="174"/>
      <c r="T1445" s="174"/>
      <c r="U1445" s="174"/>
      <c r="V1445" s="174"/>
      <c r="W1445" s="174"/>
      <c r="X1445" s="174"/>
      <c r="Y1445" s="174"/>
      <c r="Z1445" s="174"/>
    </row>
    <row r="1446">
      <c r="A1446" s="194"/>
      <c r="B1446" s="194"/>
      <c r="C1446" s="194"/>
      <c r="D1446" s="194"/>
      <c r="E1446" s="194"/>
      <c r="F1446" s="194"/>
      <c r="G1446" s="194"/>
      <c r="H1446" s="195"/>
      <c r="I1446" s="195"/>
      <c r="J1446" s="194"/>
      <c r="K1446" s="174"/>
      <c r="L1446" s="174"/>
      <c r="M1446" s="174"/>
      <c r="N1446" s="174"/>
      <c r="O1446" s="174"/>
      <c r="P1446" s="174"/>
      <c r="Q1446" s="174"/>
      <c r="R1446" s="174"/>
      <c r="S1446" s="174"/>
      <c r="T1446" s="174"/>
      <c r="U1446" s="174"/>
      <c r="V1446" s="174"/>
      <c r="W1446" s="174"/>
      <c r="X1446" s="174"/>
      <c r="Y1446" s="174"/>
      <c r="Z1446" s="174"/>
    </row>
    <row r="1447">
      <c r="A1447" s="194"/>
      <c r="B1447" s="194"/>
      <c r="C1447" s="194"/>
      <c r="D1447" s="194"/>
      <c r="E1447" s="194"/>
      <c r="F1447" s="194"/>
      <c r="G1447" s="194"/>
      <c r="H1447" s="195"/>
      <c r="I1447" s="195"/>
      <c r="J1447" s="194"/>
      <c r="K1447" s="174"/>
      <c r="L1447" s="174"/>
      <c r="M1447" s="174"/>
      <c r="N1447" s="174"/>
      <c r="O1447" s="174"/>
      <c r="P1447" s="174"/>
      <c r="Q1447" s="174"/>
      <c r="R1447" s="174"/>
      <c r="S1447" s="174"/>
      <c r="T1447" s="174"/>
      <c r="U1447" s="174"/>
      <c r="V1447" s="174"/>
      <c r="W1447" s="174"/>
      <c r="X1447" s="174"/>
      <c r="Y1447" s="174"/>
      <c r="Z1447" s="174"/>
    </row>
    <row r="1448">
      <c r="A1448" s="194"/>
      <c r="B1448" s="194"/>
      <c r="C1448" s="194"/>
      <c r="D1448" s="194"/>
      <c r="E1448" s="194"/>
      <c r="F1448" s="194"/>
      <c r="G1448" s="194"/>
      <c r="H1448" s="195"/>
      <c r="I1448" s="195"/>
      <c r="J1448" s="194"/>
      <c r="K1448" s="174"/>
      <c r="L1448" s="174"/>
      <c r="M1448" s="174"/>
      <c r="N1448" s="174"/>
      <c r="O1448" s="174"/>
      <c r="P1448" s="174"/>
      <c r="Q1448" s="174"/>
      <c r="R1448" s="174"/>
      <c r="S1448" s="174"/>
      <c r="T1448" s="174"/>
      <c r="U1448" s="174"/>
      <c r="V1448" s="174"/>
      <c r="W1448" s="174"/>
      <c r="X1448" s="174"/>
      <c r="Y1448" s="174"/>
      <c r="Z1448" s="174"/>
    </row>
    <row r="1449">
      <c r="A1449" s="194"/>
      <c r="B1449" s="194"/>
      <c r="C1449" s="194"/>
      <c r="D1449" s="194"/>
      <c r="E1449" s="194"/>
      <c r="F1449" s="194"/>
      <c r="G1449" s="194"/>
      <c r="H1449" s="195"/>
      <c r="I1449" s="195"/>
      <c r="J1449" s="194"/>
      <c r="K1449" s="174"/>
      <c r="L1449" s="174"/>
      <c r="M1449" s="174"/>
      <c r="N1449" s="174"/>
      <c r="O1449" s="174"/>
      <c r="P1449" s="174"/>
      <c r="Q1449" s="174"/>
      <c r="R1449" s="174"/>
      <c r="S1449" s="174"/>
      <c r="T1449" s="174"/>
      <c r="U1449" s="174"/>
      <c r="V1449" s="174"/>
      <c r="W1449" s="174"/>
      <c r="X1449" s="174"/>
      <c r="Y1449" s="174"/>
      <c r="Z1449" s="174"/>
    </row>
    <row r="1450">
      <c r="A1450" s="194"/>
      <c r="B1450" s="194"/>
      <c r="C1450" s="194"/>
      <c r="D1450" s="194"/>
      <c r="E1450" s="194"/>
      <c r="F1450" s="194"/>
      <c r="G1450" s="194"/>
      <c r="H1450" s="195"/>
      <c r="I1450" s="195"/>
      <c r="J1450" s="194"/>
      <c r="K1450" s="174"/>
      <c r="L1450" s="174"/>
      <c r="M1450" s="174"/>
      <c r="N1450" s="174"/>
      <c r="O1450" s="174"/>
      <c r="P1450" s="174"/>
      <c r="Q1450" s="174"/>
      <c r="R1450" s="174"/>
      <c r="S1450" s="174"/>
      <c r="T1450" s="174"/>
      <c r="U1450" s="174"/>
      <c r="V1450" s="174"/>
      <c r="W1450" s="174"/>
      <c r="X1450" s="174"/>
      <c r="Y1450" s="174"/>
      <c r="Z1450" s="174"/>
    </row>
    <row r="1451">
      <c r="A1451" s="194"/>
      <c r="B1451" s="194"/>
      <c r="C1451" s="194"/>
      <c r="D1451" s="194"/>
      <c r="E1451" s="194"/>
      <c r="F1451" s="194"/>
      <c r="G1451" s="194"/>
      <c r="H1451" s="195"/>
      <c r="I1451" s="195"/>
      <c r="J1451" s="194"/>
      <c r="K1451" s="174"/>
      <c r="L1451" s="174"/>
      <c r="M1451" s="174"/>
      <c r="N1451" s="174"/>
      <c r="O1451" s="174"/>
      <c r="P1451" s="174"/>
      <c r="Q1451" s="174"/>
      <c r="R1451" s="174"/>
      <c r="S1451" s="174"/>
      <c r="T1451" s="174"/>
      <c r="U1451" s="174"/>
      <c r="V1451" s="174"/>
      <c r="W1451" s="174"/>
      <c r="X1451" s="174"/>
      <c r="Y1451" s="174"/>
      <c r="Z1451" s="174"/>
    </row>
    <row r="1452">
      <c r="A1452" s="194"/>
      <c r="B1452" s="194"/>
      <c r="C1452" s="194"/>
      <c r="D1452" s="194"/>
      <c r="E1452" s="194"/>
      <c r="F1452" s="194"/>
      <c r="G1452" s="194"/>
      <c r="H1452" s="195"/>
      <c r="I1452" s="195"/>
      <c r="J1452" s="194"/>
      <c r="K1452" s="174"/>
      <c r="L1452" s="174"/>
      <c r="M1452" s="174"/>
      <c r="N1452" s="174"/>
      <c r="O1452" s="174"/>
      <c r="P1452" s="174"/>
      <c r="Q1452" s="174"/>
      <c r="R1452" s="174"/>
      <c r="S1452" s="174"/>
      <c r="T1452" s="174"/>
      <c r="U1452" s="174"/>
      <c r="V1452" s="174"/>
      <c r="W1452" s="174"/>
      <c r="X1452" s="174"/>
      <c r="Y1452" s="174"/>
      <c r="Z1452" s="174"/>
    </row>
    <row r="1453">
      <c r="A1453" s="194"/>
      <c r="B1453" s="194"/>
      <c r="C1453" s="194"/>
      <c r="D1453" s="194"/>
      <c r="E1453" s="194"/>
      <c r="F1453" s="194"/>
      <c r="G1453" s="194"/>
      <c r="H1453" s="195"/>
      <c r="I1453" s="195"/>
      <c r="J1453" s="194"/>
      <c r="K1453" s="174"/>
      <c r="L1453" s="174"/>
      <c r="M1453" s="174"/>
      <c r="N1453" s="174"/>
      <c r="O1453" s="174"/>
      <c r="P1453" s="174"/>
      <c r="Q1453" s="174"/>
      <c r="R1453" s="174"/>
      <c r="S1453" s="174"/>
      <c r="T1453" s="174"/>
      <c r="U1453" s="174"/>
      <c r="V1453" s="174"/>
      <c r="W1453" s="174"/>
      <c r="X1453" s="174"/>
      <c r="Y1453" s="174"/>
      <c r="Z1453" s="174"/>
    </row>
    <row r="1454">
      <c r="A1454" s="194"/>
      <c r="B1454" s="194"/>
      <c r="C1454" s="194"/>
      <c r="D1454" s="194"/>
      <c r="E1454" s="194"/>
      <c r="F1454" s="194"/>
      <c r="G1454" s="194"/>
      <c r="H1454" s="195"/>
      <c r="I1454" s="195"/>
      <c r="J1454" s="194"/>
      <c r="K1454" s="174"/>
      <c r="L1454" s="174"/>
      <c r="M1454" s="174"/>
      <c r="N1454" s="174"/>
      <c r="O1454" s="174"/>
      <c r="P1454" s="174"/>
      <c r="Q1454" s="174"/>
      <c r="R1454" s="174"/>
      <c r="S1454" s="174"/>
      <c r="T1454" s="174"/>
      <c r="U1454" s="174"/>
      <c r="V1454" s="174"/>
      <c r="W1454" s="174"/>
      <c r="X1454" s="174"/>
      <c r="Y1454" s="174"/>
      <c r="Z1454" s="174"/>
    </row>
    <row r="1455">
      <c r="A1455" s="194"/>
      <c r="B1455" s="194"/>
      <c r="C1455" s="194"/>
      <c r="D1455" s="194"/>
      <c r="E1455" s="194"/>
      <c r="F1455" s="194"/>
      <c r="G1455" s="194"/>
      <c r="H1455" s="195"/>
      <c r="I1455" s="195"/>
      <c r="J1455" s="194"/>
      <c r="K1455" s="174"/>
      <c r="L1455" s="174"/>
      <c r="M1455" s="174"/>
      <c r="N1455" s="174"/>
      <c r="O1455" s="174"/>
      <c r="P1455" s="174"/>
      <c r="Q1455" s="174"/>
      <c r="R1455" s="174"/>
      <c r="S1455" s="174"/>
      <c r="T1455" s="174"/>
      <c r="U1455" s="174"/>
      <c r="V1455" s="174"/>
      <c r="W1455" s="174"/>
      <c r="X1455" s="174"/>
      <c r="Y1455" s="174"/>
      <c r="Z1455" s="174"/>
    </row>
    <row r="1456">
      <c r="A1456" s="194"/>
      <c r="B1456" s="194"/>
      <c r="C1456" s="194"/>
      <c r="D1456" s="194"/>
      <c r="E1456" s="194"/>
      <c r="F1456" s="194"/>
      <c r="G1456" s="194"/>
      <c r="H1456" s="195"/>
      <c r="I1456" s="195"/>
      <c r="J1456" s="194"/>
      <c r="K1456" s="174"/>
      <c r="L1456" s="174"/>
      <c r="M1456" s="174"/>
      <c r="N1456" s="174"/>
      <c r="O1456" s="174"/>
      <c r="P1456" s="174"/>
      <c r="Q1456" s="174"/>
      <c r="R1456" s="174"/>
      <c r="S1456" s="174"/>
      <c r="T1456" s="174"/>
      <c r="U1456" s="174"/>
      <c r="V1456" s="174"/>
      <c r="W1456" s="174"/>
      <c r="X1456" s="174"/>
      <c r="Y1456" s="174"/>
      <c r="Z1456" s="174"/>
    </row>
    <row r="1457">
      <c r="A1457" s="194"/>
      <c r="B1457" s="194"/>
      <c r="C1457" s="194"/>
      <c r="D1457" s="194"/>
      <c r="E1457" s="194"/>
      <c r="F1457" s="194"/>
      <c r="G1457" s="194"/>
      <c r="H1457" s="195"/>
      <c r="I1457" s="195"/>
      <c r="J1457" s="194"/>
      <c r="K1457" s="174"/>
      <c r="L1457" s="174"/>
      <c r="M1457" s="174"/>
      <c r="N1457" s="174"/>
      <c r="O1457" s="174"/>
      <c r="P1457" s="174"/>
      <c r="Q1457" s="174"/>
      <c r="R1457" s="174"/>
      <c r="S1457" s="174"/>
      <c r="T1457" s="174"/>
      <c r="U1457" s="174"/>
      <c r="V1457" s="174"/>
      <c r="W1457" s="174"/>
      <c r="X1457" s="174"/>
      <c r="Y1457" s="174"/>
      <c r="Z1457" s="174"/>
    </row>
    <row r="1458">
      <c r="A1458" s="194"/>
      <c r="B1458" s="194"/>
      <c r="C1458" s="194"/>
      <c r="D1458" s="194"/>
      <c r="E1458" s="194"/>
      <c r="F1458" s="194"/>
      <c r="G1458" s="194"/>
      <c r="H1458" s="195"/>
      <c r="I1458" s="195"/>
      <c r="J1458" s="194"/>
      <c r="K1458" s="174"/>
      <c r="L1458" s="174"/>
      <c r="M1458" s="174"/>
      <c r="N1458" s="174"/>
      <c r="O1458" s="174"/>
      <c r="P1458" s="174"/>
      <c r="Q1458" s="174"/>
      <c r="R1458" s="174"/>
      <c r="S1458" s="174"/>
      <c r="T1458" s="174"/>
      <c r="U1458" s="174"/>
      <c r="V1458" s="174"/>
      <c r="W1458" s="174"/>
      <c r="X1458" s="174"/>
      <c r="Y1458" s="174"/>
      <c r="Z1458" s="174"/>
    </row>
    <row r="1459">
      <c r="A1459" s="194"/>
      <c r="B1459" s="194"/>
      <c r="C1459" s="194"/>
      <c r="D1459" s="194"/>
      <c r="E1459" s="194"/>
      <c r="F1459" s="194"/>
      <c r="G1459" s="194"/>
      <c r="H1459" s="195"/>
      <c r="I1459" s="195"/>
      <c r="J1459" s="194"/>
      <c r="K1459" s="174"/>
      <c r="L1459" s="174"/>
      <c r="M1459" s="174"/>
      <c r="N1459" s="174"/>
      <c r="O1459" s="174"/>
      <c r="P1459" s="174"/>
      <c r="Q1459" s="174"/>
      <c r="R1459" s="174"/>
      <c r="S1459" s="174"/>
      <c r="T1459" s="174"/>
      <c r="U1459" s="174"/>
      <c r="V1459" s="174"/>
      <c r="W1459" s="174"/>
      <c r="X1459" s="174"/>
      <c r="Y1459" s="174"/>
      <c r="Z1459" s="174"/>
    </row>
    <row r="1460">
      <c r="A1460" s="194"/>
      <c r="B1460" s="194"/>
      <c r="C1460" s="194"/>
      <c r="D1460" s="194"/>
      <c r="E1460" s="194"/>
      <c r="F1460" s="194"/>
      <c r="G1460" s="194"/>
      <c r="H1460" s="195"/>
      <c r="I1460" s="195"/>
      <c r="J1460" s="194"/>
      <c r="K1460" s="174"/>
      <c r="L1460" s="174"/>
      <c r="M1460" s="174"/>
      <c r="N1460" s="174"/>
      <c r="O1460" s="174"/>
      <c r="P1460" s="174"/>
      <c r="Q1460" s="174"/>
      <c r="R1460" s="174"/>
      <c r="S1460" s="174"/>
      <c r="T1460" s="174"/>
      <c r="U1460" s="174"/>
      <c r="V1460" s="174"/>
      <c r="W1460" s="174"/>
      <c r="X1460" s="174"/>
      <c r="Y1460" s="174"/>
      <c r="Z1460" s="174"/>
    </row>
    <row r="1461">
      <c r="A1461" s="194"/>
      <c r="B1461" s="194"/>
      <c r="C1461" s="194"/>
      <c r="D1461" s="194"/>
      <c r="E1461" s="194"/>
      <c r="F1461" s="194"/>
      <c r="G1461" s="194"/>
      <c r="H1461" s="195"/>
      <c r="I1461" s="195"/>
      <c r="J1461" s="194"/>
      <c r="K1461" s="174"/>
      <c r="L1461" s="174"/>
      <c r="M1461" s="174"/>
      <c r="N1461" s="174"/>
      <c r="O1461" s="174"/>
      <c r="P1461" s="174"/>
      <c r="Q1461" s="174"/>
      <c r="R1461" s="174"/>
      <c r="S1461" s="174"/>
      <c r="T1461" s="174"/>
      <c r="U1461" s="174"/>
      <c r="V1461" s="174"/>
      <c r="W1461" s="174"/>
      <c r="X1461" s="174"/>
      <c r="Y1461" s="174"/>
      <c r="Z1461" s="174"/>
    </row>
    <row r="1462">
      <c r="A1462" s="194"/>
      <c r="B1462" s="194"/>
      <c r="C1462" s="194"/>
      <c r="D1462" s="194"/>
      <c r="E1462" s="194"/>
      <c r="F1462" s="194"/>
      <c r="G1462" s="194"/>
      <c r="H1462" s="195"/>
      <c r="I1462" s="195"/>
      <c r="J1462" s="194"/>
      <c r="K1462" s="174"/>
      <c r="L1462" s="174"/>
      <c r="M1462" s="174"/>
      <c r="N1462" s="174"/>
      <c r="O1462" s="174"/>
      <c r="P1462" s="174"/>
      <c r="Q1462" s="174"/>
      <c r="R1462" s="174"/>
      <c r="S1462" s="174"/>
      <c r="T1462" s="174"/>
      <c r="U1462" s="174"/>
      <c r="V1462" s="174"/>
      <c r="W1462" s="174"/>
      <c r="X1462" s="174"/>
      <c r="Y1462" s="174"/>
      <c r="Z1462" s="174"/>
    </row>
    <row r="1463">
      <c r="A1463" s="194"/>
      <c r="B1463" s="194"/>
      <c r="C1463" s="194"/>
      <c r="D1463" s="194"/>
      <c r="E1463" s="194"/>
      <c r="F1463" s="194"/>
      <c r="G1463" s="194"/>
      <c r="H1463" s="195"/>
      <c r="I1463" s="195"/>
      <c r="J1463" s="194"/>
      <c r="K1463" s="174"/>
      <c r="L1463" s="174"/>
      <c r="M1463" s="174"/>
      <c r="N1463" s="174"/>
      <c r="O1463" s="174"/>
      <c r="P1463" s="174"/>
      <c r="Q1463" s="174"/>
      <c r="R1463" s="174"/>
      <c r="S1463" s="174"/>
      <c r="T1463" s="174"/>
      <c r="U1463" s="174"/>
      <c r="V1463" s="174"/>
      <c r="W1463" s="174"/>
      <c r="X1463" s="174"/>
      <c r="Y1463" s="174"/>
      <c r="Z1463" s="174"/>
    </row>
    <row r="1464">
      <c r="A1464" s="194"/>
      <c r="B1464" s="194"/>
      <c r="C1464" s="194"/>
      <c r="D1464" s="194"/>
      <c r="E1464" s="194"/>
      <c r="F1464" s="194"/>
      <c r="G1464" s="194"/>
      <c r="H1464" s="195"/>
      <c r="I1464" s="195"/>
      <c r="J1464" s="194"/>
      <c r="K1464" s="174"/>
      <c r="L1464" s="174"/>
      <c r="M1464" s="174"/>
      <c r="N1464" s="174"/>
      <c r="O1464" s="174"/>
      <c r="P1464" s="174"/>
      <c r="Q1464" s="174"/>
      <c r="R1464" s="174"/>
      <c r="S1464" s="174"/>
      <c r="T1464" s="174"/>
      <c r="U1464" s="174"/>
      <c r="V1464" s="174"/>
      <c r="W1464" s="174"/>
      <c r="X1464" s="174"/>
      <c r="Y1464" s="174"/>
      <c r="Z1464" s="174"/>
    </row>
    <row r="1465">
      <c r="A1465" s="194"/>
      <c r="B1465" s="194"/>
      <c r="C1465" s="194"/>
      <c r="D1465" s="194"/>
      <c r="E1465" s="194"/>
      <c r="F1465" s="194"/>
      <c r="G1465" s="194"/>
      <c r="H1465" s="195"/>
      <c r="I1465" s="195"/>
      <c r="J1465" s="194"/>
      <c r="K1465" s="174"/>
      <c r="L1465" s="174"/>
      <c r="M1465" s="174"/>
      <c r="N1465" s="174"/>
      <c r="O1465" s="174"/>
      <c r="P1465" s="174"/>
      <c r="Q1465" s="174"/>
      <c r="R1465" s="174"/>
      <c r="S1465" s="174"/>
      <c r="T1465" s="174"/>
      <c r="U1465" s="174"/>
      <c r="V1465" s="174"/>
      <c r="W1465" s="174"/>
      <c r="X1465" s="174"/>
      <c r="Y1465" s="174"/>
      <c r="Z1465" s="174"/>
    </row>
    <row r="1466">
      <c r="A1466" s="194"/>
      <c r="B1466" s="194"/>
      <c r="C1466" s="194"/>
      <c r="D1466" s="194"/>
      <c r="E1466" s="194"/>
      <c r="F1466" s="194"/>
      <c r="G1466" s="194"/>
      <c r="H1466" s="195"/>
      <c r="I1466" s="195"/>
      <c r="J1466" s="194"/>
      <c r="K1466" s="174"/>
      <c r="L1466" s="174"/>
      <c r="M1466" s="174"/>
      <c r="N1466" s="174"/>
      <c r="O1466" s="174"/>
      <c r="P1466" s="174"/>
      <c r="Q1466" s="174"/>
      <c r="R1466" s="174"/>
      <c r="S1466" s="174"/>
      <c r="T1466" s="174"/>
      <c r="U1466" s="174"/>
      <c r="V1466" s="174"/>
      <c r="W1466" s="174"/>
      <c r="X1466" s="174"/>
      <c r="Y1466" s="174"/>
      <c r="Z1466" s="174"/>
    </row>
    <row r="1467">
      <c r="A1467" s="194"/>
      <c r="B1467" s="194"/>
      <c r="C1467" s="194"/>
      <c r="D1467" s="194"/>
      <c r="E1467" s="194"/>
      <c r="F1467" s="194"/>
      <c r="G1467" s="194"/>
      <c r="H1467" s="195"/>
      <c r="I1467" s="195"/>
      <c r="J1467" s="194"/>
      <c r="K1467" s="174"/>
      <c r="L1467" s="174"/>
      <c r="M1467" s="174"/>
      <c r="N1467" s="174"/>
      <c r="O1467" s="174"/>
      <c r="P1467" s="174"/>
      <c r="Q1467" s="174"/>
      <c r="R1467" s="174"/>
      <c r="S1467" s="174"/>
      <c r="T1467" s="174"/>
      <c r="U1467" s="174"/>
      <c r="V1467" s="174"/>
      <c r="W1467" s="174"/>
      <c r="X1467" s="174"/>
      <c r="Y1467" s="174"/>
      <c r="Z1467" s="174"/>
    </row>
    <row r="1468">
      <c r="A1468" s="194"/>
      <c r="B1468" s="194"/>
      <c r="C1468" s="194"/>
      <c r="D1468" s="194"/>
      <c r="E1468" s="194"/>
      <c r="F1468" s="194"/>
      <c r="G1468" s="194"/>
      <c r="H1468" s="195"/>
      <c r="I1468" s="195"/>
      <c r="J1468" s="194"/>
      <c r="K1468" s="174"/>
      <c r="L1468" s="174"/>
      <c r="M1468" s="174"/>
      <c r="N1468" s="174"/>
      <c r="O1468" s="174"/>
      <c r="P1468" s="174"/>
      <c r="Q1468" s="174"/>
      <c r="R1468" s="174"/>
      <c r="S1468" s="174"/>
      <c r="T1468" s="174"/>
      <c r="U1468" s="174"/>
      <c r="V1468" s="174"/>
      <c r="W1468" s="174"/>
      <c r="X1468" s="174"/>
      <c r="Y1468" s="174"/>
      <c r="Z1468" s="174"/>
    </row>
    <row r="1469">
      <c r="A1469" s="194"/>
      <c r="B1469" s="194"/>
      <c r="C1469" s="194"/>
      <c r="D1469" s="194"/>
      <c r="E1469" s="194"/>
      <c r="F1469" s="194"/>
      <c r="G1469" s="194"/>
      <c r="H1469" s="195"/>
      <c r="I1469" s="195"/>
      <c r="J1469" s="194"/>
      <c r="K1469" s="174"/>
      <c r="L1469" s="174"/>
      <c r="M1469" s="174"/>
      <c r="N1469" s="174"/>
      <c r="O1469" s="174"/>
      <c r="P1469" s="174"/>
      <c r="Q1469" s="174"/>
      <c r="R1469" s="174"/>
      <c r="S1469" s="174"/>
      <c r="T1469" s="174"/>
      <c r="U1469" s="174"/>
      <c r="V1469" s="174"/>
      <c r="W1469" s="174"/>
      <c r="X1469" s="174"/>
      <c r="Y1469" s="174"/>
      <c r="Z1469" s="174"/>
    </row>
    <row r="1470">
      <c r="A1470" s="194"/>
      <c r="B1470" s="194"/>
      <c r="C1470" s="194"/>
      <c r="D1470" s="194"/>
      <c r="E1470" s="194"/>
      <c r="F1470" s="194"/>
      <c r="G1470" s="194"/>
      <c r="H1470" s="195"/>
      <c r="I1470" s="195"/>
      <c r="J1470" s="194"/>
      <c r="K1470" s="174"/>
      <c r="L1470" s="174"/>
      <c r="M1470" s="174"/>
      <c r="N1470" s="174"/>
      <c r="O1470" s="174"/>
      <c r="P1470" s="174"/>
      <c r="Q1470" s="174"/>
      <c r="R1470" s="174"/>
      <c r="S1470" s="174"/>
      <c r="T1470" s="174"/>
      <c r="U1470" s="174"/>
      <c r="V1470" s="174"/>
      <c r="W1470" s="174"/>
      <c r="X1470" s="174"/>
      <c r="Y1470" s="174"/>
      <c r="Z1470" s="174"/>
    </row>
    <row r="1471">
      <c r="A1471" s="194"/>
      <c r="B1471" s="194"/>
      <c r="C1471" s="194"/>
      <c r="D1471" s="194"/>
      <c r="E1471" s="194"/>
      <c r="F1471" s="194"/>
      <c r="G1471" s="194"/>
      <c r="H1471" s="195"/>
      <c r="I1471" s="195"/>
      <c r="J1471" s="194"/>
      <c r="K1471" s="174"/>
      <c r="L1471" s="174"/>
      <c r="M1471" s="174"/>
      <c r="N1471" s="174"/>
      <c r="O1471" s="174"/>
      <c r="P1471" s="174"/>
      <c r="Q1471" s="174"/>
      <c r="R1471" s="174"/>
      <c r="S1471" s="174"/>
      <c r="T1471" s="174"/>
      <c r="U1471" s="174"/>
      <c r="V1471" s="174"/>
      <c r="W1471" s="174"/>
      <c r="X1471" s="174"/>
      <c r="Y1471" s="174"/>
      <c r="Z1471" s="174"/>
    </row>
    <row r="1472">
      <c r="A1472" s="194"/>
      <c r="B1472" s="194"/>
      <c r="C1472" s="194"/>
      <c r="D1472" s="194"/>
      <c r="E1472" s="194"/>
      <c r="F1472" s="194"/>
      <c r="G1472" s="194"/>
      <c r="H1472" s="195"/>
      <c r="I1472" s="195"/>
      <c r="J1472" s="194"/>
      <c r="K1472" s="174"/>
      <c r="L1472" s="174"/>
      <c r="M1472" s="174"/>
      <c r="N1472" s="174"/>
      <c r="O1472" s="174"/>
      <c r="P1472" s="174"/>
      <c r="Q1472" s="174"/>
      <c r="R1472" s="174"/>
      <c r="S1472" s="174"/>
      <c r="T1472" s="174"/>
      <c r="U1472" s="174"/>
      <c r="V1472" s="174"/>
      <c r="W1472" s="174"/>
      <c r="X1472" s="174"/>
      <c r="Y1472" s="174"/>
      <c r="Z1472" s="174"/>
    </row>
    <row r="1473">
      <c r="A1473" s="194"/>
      <c r="B1473" s="194"/>
      <c r="C1473" s="194"/>
      <c r="D1473" s="194"/>
      <c r="E1473" s="194"/>
      <c r="F1473" s="194"/>
      <c r="G1473" s="194"/>
      <c r="H1473" s="195"/>
      <c r="I1473" s="195"/>
      <c r="J1473" s="194"/>
      <c r="K1473" s="174"/>
      <c r="L1473" s="174"/>
      <c r="M1473" s="174"/>
      <c r="N1473" s="174"/>
      <c r="O1473" s="174"/>
      <c r="P1473" s="174"/>
      <c r="Q1473" s="174"/>
      <c r="R1473" s="174"/>
      <c r="S1473" s="174"/>
      <c r="T1473" s="174"/>
      <c r="U1473" s="174"/>
      <c r="V1473" s="174"/>
      <c r="W1473" s="174"/>
      <c r="X1473" s="174"/>
      <c r="Y1473" s="174"/>
      <c r="Z1473" s="174"/>
    </row>
    <row r="1474">
      <c r="A1474" s="194"/>
      <c r="B1474" s="194"/>
      <c r="C1474" s="194"/>
      <c r="D1474" s="194"/>
      <c r="E1474" s="194"/>
      <c r="F1474" s="194"/>
      <c r="G1474" s="194"/>
      <c r="H1474" s="195"/>
      <c r="I1474" s="195"/>
      <c r="J1474" s="194"/>
      <c r="K1474" s="174"/>
      <c r="L1474" s="174"/>
      <c r="M1474" s="174"/>
      <c r="N1474" s="174"/>
      <c r="O1474" s="174"/>
      <c r="P1474" s="174"/>
      <c r="Q1474" s="174"/>
      <c r="R1474" s="174"/>
      <c r="S1474" s="174"/>
      <c r="T1474" s="174"/>
      <c r="U1474" s="174"/>
      <c r="V1474" s="174"/>
      <c r="W1474" s="174"/>
      <c r="X1474" s="174"/>
      <c r="Y1474" s="174"/>
      <c r="Z1474" s="174"/>
    </row>
    <row r="1475">
      <c r="A1475" s="194"/>
      <c r="B1475" s="194"/>
      <c r="C1475" s="194"/>
      <c r="D1475" s="194"/>
      <c r="E1475" s="194"/>
      <c r="F1475" s="194"/>
      <c r="G1475" s="194"/>
      <c r="H1475" s="195"/>
      <c r="I1475" s="195"/>
      <c r="J1475" s="194"/>
      <c r="K1475" s="174"/>
      <c r="L1475" s="174"/>
      <c r="M1475" s="174"/>
      <c r="N1475" s="174"/>
      <c r="O1475" s="174"/>
      <c r="P1475" s="174"/>
      <c r="Q1475" s="174"/>
      <c r="R1475" s="174"/>
      <c r="S1475" s="174"/>
      <c r="T1475" s="174"/>
      <c r="U1475" s="174"/>
      <c r="V1475" s="174"/>
      <c r="W1475" s="174"/>
      <c r="X1475" s="174"/>
      <c r="Y1475" s="174"/>
      <c r="Z1475" s="174"/>
    </row>
    <row r="1476">
      <c r="A1476" s="194"/>
      <c r="B1476" s="194"/>
      <c r="C1476" s="194"/>
      <c r="D1476" s="194"/>
      <c r="E1476" s="194"/>
      <c r="F1476" s="194"/>
      <c r="G1476" s="194"/>
      <c r="H1476" s="195"/>
      <c r="I1476" s="195"/>
      <c r="J1476" s="194"/>
      <c r="K1476" s="174"/>
      <c r="L1476" s="174"/>
      <c r="M1476" s="174"/>
      <c r="N1476" s="174"/>
      <c r="O1476" s="174"/>
      <c r="P1476" s="174"/>
      <c r="Q1476" s="174"/>
      <c r="R1476" s="174"/>
      <c r="S1476" s="174"/>
      <c r="T1476" s="174"/>
      <c r="U1476" s="174"/>
      <c r="V1476" s="174"/>
      <c r="W1476" s="174"/>
      <c r="X1476" s="174"/>
      <c r="Y1476" s="174"/>
      <c r="Z1476" s="174"/>
    </row>
    <row r="1477">
      <c r="A1477" s="194"/>
      <c r="B1477" s="194"/>
      <c r="C1477" s="194"/>
      <c r="D1477" s="194"/>
      <c r="E1477" s="194"/>
      <c r="F1477" s="194"/>
      <c r="G1477" s="194"/>
      <c r="H1477" s="195"/>
      <c r="I1477" s="195"/>
      <c r="J1477" s="194"/>
      <c r="K1477" s="174"/>
      <c r="L1477" s="174"/>
      <c r="M1477" s="174"/>
      <c r="N1477" s="174"/>
      <c r="O1477" s="174"/>
      <c r="P1477" s="174"/>
      <c r="Q1477" s="174"/>
      <c r="R1477" s="174"/>
      <c r="S1477" s="174"/>
      <c r="T1477" s="174"/>
      <c r="U1477" s="174"/>
      <c r="V1477" s="174"/>
      <c r="W1477" s="174"/>
      <c r="X1477" s="174"/>
      <c r="Y1477" s="174"/>
      <c r="Z1477" s="174"/>
    </row>
    <row r="1478">
      <c r="A1478" s="194"/>
      <c r="B1478" s="194"/>
      <c r="C1478" s="194"/>
      <c r="D1478" s="194"/>
      <c r="E1478" s="194"/>
      <c r="F1478" s="194"/>
      <c r="G1478" s="194"/>
      <c r="H1478" s="195"/>
      <c r="I1478" s="195"/>
      <c r="J1478" s="194"/>
      <c r="K1478" s="174"/>
      <c r="L1478" s="174"/>
      <c r="M1478" s="174"/>
      <c r="N1478" s="174"/>
      <c r="O1478" s="174"/>
      <c r="P1478" s="174"/>
      <c r="Q1478" s="174"/>
      <c r="R1478" s="174"/>
      <c r="S1478" s="174"/>
      <c r="T1478" s="174"/>
      <c r="U1478" s="174"/>
      <c r="V1478" s="174"/>
      <c r="W1478" s="174"/>
      <c r="X1478" s="174"/>
      <c r="Y1478" s="174"/>
      <c r="Z1478" s="174"/>
    </row>
    <row r="1479">
      <c r="A1479" s="194"/>
      <c r="B1479" s="194"/>
      <c r="C1479" s="194"/>
      <c r="D1479" s="194"/>
      <c r="E1479" s="194"/>
      <c r="F1479" s="194"/>
      <c r="G1479" s="194"/>
      <c r="H1479" s="195"/>
      <c r="I1479" s="195"/>
      <c r="J1479" s="194"/>
      <c r="K1479" s="174"/>
      <c r="L1479" s="174"/>
      <c r="M1479" s="174"/>
      <c r="N1479" s="174"/>
      <c r="O1479" s="174"/>
      <c r="P1479" s="174"/>
      <c r="Q1479" s="174"/>
      <c r="R1479" s="174"/>
      <c r="S1479" s="174"/>
      <c r="T1479" s="174"/>
      <c r="U1479" s="174"/>
      <c r="V1479" s="174"/>
      <c r="W1479" s="174"/>
      <c r="X1479" s="174"/>
      <c r="Y1479" s="174"/>
      <c r="Z1479" s="174"/>
    </row>
    <row r="1480">
      <c r="A1480" s="194"/>
      <c r="B1480" s="194"/>
      <c r="C1480" s="194"/>
      <c r="D1480" s="194"/>
      <c r="E1480" s="194"/>
      <c r="F1480" s="194"/>
      <c r="G1480" s="194"/>
      <c r="H1480" s="195"/>
      <c r="I1480" s="195"/>
      <c r="J1480" s="194"/>
      <c r="K1480" s="174"/>
      <c r="L1480" s="174"/>
      <c r="M1480" s="174"/>
      <c r="N1480" s="174"/>
      <c r="O1480" s="174"/>
      <c r="P1480" s="174"/>
      <c r="Q1480" s="174"/>
      <c r="R1480" s="174"/>
      <c r="S1480" s="174"/>
      <c r="T1480" s="174"/>
      <c r="U1480" s="174"/>
      <c r="V1480" s="174"/>
      <c r="W1480" s="174"/>
      <c r="X1480" s="174"/>
      <c r="Y1480" s="174"/>
      <c r="Z1480" s="174"/>
    </row>
    <row r="1481">
      <c r="A1481" s="194"/>
      <c r="B1481" s="194"/>
      <c r="C1481" s="194"/>
      <c r="D1481" s="194"/>
      <c r="E1481" s="194"/>
      <c r="F1481" s="194"/>
      <c r="G1481" s="194"/>
      <c r="H1481" s="195"/>
      <c r="I1481" s="195"/>
      <c r="J1481" s="194"/>
      <c r="K1481" s="174"/>
      <c r="L1481" s="174"/>
      <c r="M1481" s="174"/>
      <c r="N1481" s="174"/>
      <c r="O1481" s="174"/>
      <c r="P1481" s="174"/>
      <c r="Q1481" s="174"/>
      <c r="R1481" s="174"/>
      <c r="S1481" s="174"/>
      <c r="T1481" s="174"/>
      <c r="U1481" s="174"/>
      <c r="V1481" s="174"/>
      <c r="W1481" s="174"/>
      <c r="X1481" s="174"/>
      <c r="Y1481" s="174"/>
      <c r="Z1481" s="174"/>
    </row>
    <row r="1482">
      <c r="A1482" s="194"/>
      <c r="B1482" s="194"/>
      <c r="C1482" s="194"/>
      <c r="D1482" s="194"/>
      <c r="E1482" s="194"/>
      <c r="F1482" s="194"/>
      <c r="G1482" s="194"/>
      <c r="H1482" s="195"/>
      <c r="I1482" s="195"/>
      <c r="J1482" s="194"/>
      <c r="K1482" s="174"/>
      <c r="L1482" s="174"/>
      <c r="M1482" s="174"/>
      <c r="N1482" s="174"/>
      <c r="O1482" s="174"/>
      <c r="P1482" s="174"/>
      <c r="Q1482" s="174"/>
      <c r="R1482" s="174"/>
      <c r="S1482" s="174"/>
      <c r="T1482" s="174"/>
      <c r="U1482" s="174"/>
      <c r="V1482" s="174"/>
      <c r="W1482" s="174"/>
      <c r="X1482" s="174"/>
      <c r="Y1482" s="174"/>
      <c r="Z1482" s="174"/>
    </row>
    <row r="1483">
      <c r="A1483" s="194"/>
      <c r="B1483" s="194"/>
      <c r="C1483" s="194"/>
      <c r="D1483" s="194"/>
      <c r="E1483" s="194"/>
      <c r="F1483" s="194"/>
      <c r="G1483" s="194"/>
      <c r="H1483" s="195"/>
      <c r="I1483" s="195"/>
      <c r="J1483" s="194"/>
      <c r="K1483" s="174"/>
      <c r="L1483" s="174"/>
      <c r="M1483" s="174"/>
      <c r="N1483" s="174"/>
      <c r="O1483" s="174"/>
      <c r="P1483" s="174"/>
      <c r="Q1483" s="174"/>
      <c r="R1483" s="174"/>
      <c r="S1483" s="174"/>
      <c r="T1483" s="174"/>
      <c r="U1483" s="174"/>
      <c r="V1483" s="174"/>
      <c r="W1483" s="174"/>
      <c r="X1483" s="174"/>
      <c r="Y1483" s="174"/>
      <c r="Z1483" s="174"/>
    </row>
    <row r="1484">
      <c r="A1484" s="194"/>
      <c r="B1484" s="194"/>
      <c r="C1484" s="194"/>
      <c r="D1484" s="194"/>
      <c r="E1484" s="194"/>
      <c r="F1484" s="194"/>
      <c r="G1484" s="194"/>
      <c r="H1484" s="195"/>
      <c r="I1484" s="195"/>
      <c r="J1484" s="194"/>
      <c r="K1484" s="174"/>
      <c r="L1484" s="174"/>
      <c r="M1484" s="174"/>
      <c r="N1484" s="174"/>
      <c r="O1484" s="174"/>
      <c r="P1484" s="174"/>
      <c r="Q1484" s="174"/>
      <c r="R1484" s="174"/>
      <c r="S1484" s="174"/>
      <c r="T1484" s="174"/>
      <c r="U1484" s="174"/>
      <c r="V1484" s="174"/>
      <c r="W1484" s="174"/>
      <c r="X1484" s="174"/>
      <c r="Y1484" s="174"/>
      <c r="Z1484" s="174"/>
    </row>
    <row r="1485">
      <c r="A1485" s="194"/>
      <c r="B1485" s="194"/>
      <c r="C1485" s="194"/>
      <c r="D1485" s="194"/>
      <c r="E1485" s="194"/>
      <c r="F1485" s="194"/>
      <c r="G1485" s="194"/>
      <c r="H1485" s="195"/>
      <c r="I1485" s="195"/>
      <c r="J1485" s="194"/>
      <c r="K1485" s="174"/>
      <c r="L1485" s="174"/>
      <c r="M1485" s="174"/>
      <c r="N1485" s="174"/>
      <c r="O1485" s="174"/>
      <c r="P1485" s="174"/>
      <c r="Q1485" s="174"/>
      <c r="R1485" s="174"/>
      <c r="S1485" s="174"/>
      <c r="T1485" s="174"/>
      <c r="U1485" s="174"/>
      <c r="V1485" s="174"/>
      <c r="W1485" s="174"/>
      <c r="X1485" s="174"/>
      <c r="Y1485" s="174"/>
      <c r="Z1485" s="174"/>
    </row>
    <row r="1486">
      <c r="A1486" s="194"/>
      <c r="B1486" s="194"/>
      <c r="C1486" s="194"/>
      <c r="D1486" s="194"/>
      <c r="E1486" s="194"/>
      <c r="F1486" s="194"/>
      <c r="G1486" s="194"/>
      <c r="H1486" s="195"/>
      <c r="I1486" s="195"/>
      <c r="J1486" s="194"/>
      <c r="K1486" s="174"/>
      <c r="L1486" s="174"/>
      <c r="M1486" s="174"/>
      <c r="N1486" s="174"/>
      <c r="O1486" s="174"/>
      <c r="P1486" s="174"/>
      <c r="Q1486" s="174"/>
      <c r="R1486" s="174"/>
      <c r="S1486" s="174"/>
      <c r="T1486" s="174"/>
      <c r="U1486" s="174"/>
      <c r="V1486" s="174"/>
      <c r="W1486" s="174"/>
      <c r="X1486" s="174"/>
      <c r="Y1486" s="174"/>
      <c r="Z1486" s="174"/>
    </row>
    <row r="1487">
      <c r="A1487" s="194"/>
      <c r="B1487" s="194"/>
      <c r="C1487" s="194"/>
      <c r="D1487" s="194"/>
      <c r="E1487" s="194"/>
      <c r="F1487" s="194"/>
      <c r="G1487" s="194"/>
      <c r="H1487" s="195"/>
      <c r="I1487" s="195"/>
      <c r="J1487" s="194"/>
      <c r="K1487" s="174"/>
      <c r="L1487" s="174"/>
      <c r="M1487" s="174"/>
      <c r="N1487" s="174"/>
      <c r="O1487" s="174"/>
      <c r="P1487" s="174"/>
      <c r="Q1487" s="174"/>
      <c r="R1487" s="174"/>
      <c r="S1487" s="174"/>
      <c r="T1487" s="174"/>
      <c r="U1487" s="174"/>
      <c r="V1487" s="174"/>
      <c r="W1487" s="174"/>
      <c r="X1487" s="174"/>
      <c r="Y1487" s="174"/>
      <c r="Z1487" s="174"/>
    </row>
    <row r="1488">
      <c r="A1488" s="194"/>
      <c r="B1488" s="194"/>
      <c r="C1488" s="194"/>
      <c r="D1488" s="194"/>
      <c r="E1488" s="194"/>
      <c r="F1488" s="194"/>
      <c r="G1488" s="194"/>
      <c r="H1488" s="195"/>
      <c r="I1488" s="195"/>
      <c r="J1488" s="194"/>
      <c r="K1488" s="174"/>
      <c r="L1488" s="174"/>
      <c r="M1488" s="174"/>
      <c r="N1488" s="174"/>
      <c r="O1488" s="174"/>
      <c r="P1488" s="174"/>
      <c r="Q1488" s="174"/>
      <c r="R1488" s="174"/>
      <c r="S1488" s="174"/>
      <c r="T1488" s="174"/>
      <c r="U1488" s="174"/>
      <c r="V1488" s="174"/>
      <c r="W1488" s="174"/>
      <c r="X1488" s="174"/>
      <c r="Y1488" s="174"/>
      <c r="Z1488" s="174"/>
    </row>
    <row r="1489">
      <c r="A1489" s="194"/>
      <c r="B1489" s="194"/>
      <c r="C1489" s="194"/>
      <c r="D1489" s="194"/>
      <c r="E1489" s="194"/>
      <c r="F1489" s="194"/>
      <c r="G1489" s="194"/>
      <c r="H1489" s="195"/>
      <c r="I1489" s="195"/>
      <c r="J1489" s="194"/>
      <c r="K1489" s="174"/>
      <c r="L1489" s="174"/>
      <c r="M1489" s="174"/>
      <c r="N1489" s="174"/>
      <c r="O1489" s="174"/>
      <c r="P1489" s="174"/>
      <c r="Q1489" s="174"/>
      <c r="R1489" s="174"/>
      <c r="S1489" s="174"/>
      <c r="T1489" s="174"/>
      <c r="U1489" s="174"/>
      <c r="V1489" s="174"/>
      <c r="W1489" s="174"/>
      <c r="X1489" s="174"/>
      <c r="Y1489" s="174"/>
      <c r="Z1489" s="174"/>
    </row>
    <row r="1490">
      <c r="A1490" s="194"/>
      <c r="B1490" s="194"/>
      <c r="C1490" s="194"/>
      <c r="D1490" s="194"/>
      <c r="E1490" s="194"/>
      <c r="F1490" s="194"/>
      <c r="G1490" s="194"/>
      <c r="H1490" s="195"/>
      <c r="I1490" s="195"/>
      <c r="J1490" s="194"/>
      <c r="K1490" s="174"/>
      <c r="L1490" s="174"/>
      <c r="M1490" s="174"/>
      <c r="N1490" s="174"/>
      <c r="O1490" s="174"/>
      <c r="P1490" s="174"/>
      <c r="Q1490" s="174"/>
      <c r="R1490" s="174"/>
      <c r="S1490" s="174"/>
      <c r="T1490" s="174"/>
      <c r="U1490" s="174"/>
      <c r="V1490" s="174"/>
      <c r="W1490" s="174"/>
      <c r="X1490" s="174"/>
      <c r="Y1490" s="174"/>
      <c r="Z1490" s="174"/>
    </row>
    <row r="1491">
      <c r="A1491" s="194"/>
      <c r="B1491" s="194"/>
      <c r="C1491" s="194"/>
      <c r="D1491" s="194"/>
      <c r="E1491" s="194"/>
      <c r="F1491" s="194"/>
      <c r="G1491" s="194"/>
      <c r="H1491" s="195"/>
      <c r="I1491" s="195"/>
      <c r="J1491" s="194"/>
      <c r="K1491" s="174"/>
      <c r="L1491" s="174"/>
      <c r="M1491" s="174"/>
      <c r="N1491" s="174"/>
      <c r="O1491" s="174"/>
      <c r="P1491" s="174"/>
      <c r="Q1491" s="174"/>
      <c r="R1491" s="174"/>
      <c r="S1491" s="174"/>
      <c r="T1491" s="174"/>
      <c r="U1491" s="174"/>
      <c r="V1491" s="174"/>
      <c r="W1491" s="174"/>
      <c r="X1491" s="174"/>
      <c r="Y1491" s="174"/>
      <c r="Z1491" s="174"/>
    </row>
    <row r="1492">
      <c r="A1492" s="194"/>
      <c r="B1492" s="194"/>
      <c r="C1492" s="194"/>
      <c r="D1492" s="194"/>
      <c r="E1492" s="194"/>
      <c r="F1492" s="194"/>
      <c r="G1492" s="194"/>
      <c r="H1492" s="195"/>
      <c r="I1492" s="195"/>
      <c r="J1492" s="194"/>
      <c r="K1492" s="174"/>
      <c r="L1492" s="174"/>
      <c r="M1492" s="174"/>
      <c r="N1492" s="174"/>
      <c r="O1492" s="174"/>
      <c r="P1492" s="174"/>
      <c r="Q1492" s="174"/>
      <c r="R1492" s="174"/>
      <c r="S1492" s="174"/>
      <c r="T1492" s="174"/>
      <c r="U1492" s="174"/>
      <c r="V1492" s="174"/>
      <c r="W1492" s="174"/>
      <c r="X1492" s="174"/>
      <c r="Y1492" s="174"/>
      <c r="Z1492" s="174"/>
    </row>
    <row r="1493">
      <c r="A1493" s="194"/>
      <c r="B1493" s="194"/>
      <c r="C1493" s="194"/>
      <c r="D1493" s="194"/>
      <c r="E1493" s="194"/>
      <c r="F1493" s="194"/>
      <c r="G1493" s="194"/>
      <c r="H1493" s="195"/>
      <c r="I1493" s="195"/>
      <c r="J1493" s="194"/>
      <c r="K1493" s="174"/>
      <c r="L1493" s="174"/>
      <c r="M1493" s="174"/>
      <c r="N1493" s="174"/>
      <c r="O1493" s="174"/>
      <c r="P1493" s="174"/>
      <c r="Q1493" s="174"/>
      <c r="R1493" s="174"/>
      <c r="S1493" s="174"/>
      <c r="T1493" s="174"/>
      <c r="U1493" s="174"/>
      <c r="V1493" s="174"/>
      <c r="W1493" s="174"/>
      <c r="X1493" s="174"/>
      <c r="Y1493" s="174"/>
      <c r="Z1493" s="174"/>
    </row>
    <row r="1494">
      <c r="A1494" s="194"/>
      <c r="B1494" s="194"/>
      <c r="C1494" s="194"/>
      <c r="D1494" s="194"/>
      <c r="E1494" s="194"/>
      <c r="F1494" s="194"/>
      <c r="G1494" s="194"/>
      <c r="H1494" s="195"/>
      <c r="I1494" s="195"/>
      <c r="J1494" s="194"/>
      <c r="K1494" s="174"/>
      <c r="L1494" s="174"/>
      <c r="M1494" s="174"/>
      <c r="N1494" s="174"/>
      <c r="O1494" s="174"/>
      <c r="P1494" s="174"/>
      <c r="Q1494" s="174"/>
      <c r="R1494" s="174"/>
      <c r="S1494" s="174"/>
      <c r="T1494" s="174"/>
      <c r="U1494" s="174"/>
      <c r="V1494" s="174"/>
      <c r="W1494" s="174"/>
      <c r="X1494" s="174"/>
      <c r="Y1494" s="174"/>
      <c r="Z1494" s="174"/>
    </row>
    <row r="1495">
      <c r="A1495" s="194"/>
      <c r="B1495" s="194"/>
      <c r="C1495" s="194"/>
      <c r="D1495" s="194"/>
      <c r="E1495" s="194"/>
      <c r="F1495" s="194"/>
      <c r="G1495" s="194"/>
      <c r="H1495" s="195"/>
      <c r="I1495" s="195"/>
      <c r="J1495" s="194"/>
      <c r="K1495" s="174"/>
      <c r="L1495" s="174"/>
      <c r="M1495" s="174"/>
      <c r="N1495" s="174"/>
      <c r="O1495" s="174"/>
      <c r="P1495" s="174"/>
      <c r="Q1495" s="174"/>
      <c r="R1495" s="174"/>
      <c r="S1495" s="174"/>
      <c r="T1495" s="174"/>
      <c r="U1495" s="174"/>
      <c r="V1495" s="174"/>
      <c r="W1495" s="174"/>
      <c r="X1495" s="174"/>
      <c r="Y1495" s="174"/>
      <c r="Z1495" s="174"/>
    </row>
    <row r="1496">
      <c r="A1496" s="194"/>
      <c r="B1496" s="194"/>
      <c r="C1496" s="194"/>
      <c r="D1496" s="194"/>
      <c r="E1496" s="194"/>
      <c r="F1496" s="194"/>
      <c r="G1496" s="194"/>
      <c r="H1496" s="195"/>
      <c r="I1496" s="195"/>
      <c r="J1496" s="194"/>
      <c r="K1496" s="174"/>
      <c r="L1496" s="174"/>
      <c r="M1496" s="174"/>
      <c r="N1496" s="174"/>
      <c r="O1496" s="174"/>
      <c r="P1496" s="174"/>
      <c r="Q1496" s="174"/>
      <c r="R1496" s="174"/>
      <c r="S1496" s="174"/>
      <c r="T1496" s="174"/>
      <c r="U1496" s="174"/>
      <c r="V1496" s="174"/>
      <c r="W1496" s="174"/>
      <c r="X1496" s="174"/>
      <c r="Y1496" s="174"/>
      <c r="Z1496" s="174"/>
    </row>
    <row r="1497">
      <c r="A1497" s="194"/>
      <c r="B1497" s="194"/>
      <c r="C1497" s="194"/>
      <c r="D1497" s="194"/>
      <c r="E1497" s="194"/>
      <c r="F1497" s="194"/>
      <c r="G1497" s="194"/>
      <c r="H1497" s="195"/>
      <c r="I1497" s="195"/>
      <c r="J1497" s="194"/>
      <c r="K1497" s="174"/>
      <c r="L1497" s="174"/>
      <c r="M1497" s="174"/>
      <c r="N1497" s="174"/>
      <c r="O1497" s="174"/>
      <c r="P1497" s="174"/>
      <c r="Q1497" s="174"/>
      <c r="R1497" s="174"/>
      <c r="S1497" s="174"/>
      <c r="T1497" s="174"/>
      <c r="U1497" s="174"/>
      <c r="V1497" s="174"/>
      <c r="W1497" s="174"/>
      <c r="X1497" s="174"/>
      <c r="Y1497" s="174"/>
      <c r="Z1497" s="174"/>
    </row>
    <row r="1498">
      <c r="A1498" s="194"/>
      <c r="B1498" s="194"/>
      <c r="C1498" s="194"/>
      <c r="D1498" s="194"/>
      <c r="E1498" s="194"/>
      <c r="F1498" s="194"/>
      <c r="G1498" s="194"/>
      <c r="H1498" s="195"/>
      <c r="I1498" s="195"/>
      <c r="J1498" s="194"/>
      <c r="K1498" s="174"/>
      <c r="L1498" s="174"/>
      <c r="M1498" s="174"/>
      <c r="N1498" s="174"/>
      <c r="O1498" s="174"/>
      <c r="P1498" s="174"/>
      <c r="Q1498" s="174"/>
      <c r="R1498" s="174"/>
      <c r="S1498" s="174"/>
      <c r="T1498" s="174"/>
      <c r="U1498" s="174"/>
      <c r="V1498" s="174"/>
      <c r="W1498" s="174"/>
      <c r="X1498" s="174"/>
      <c r="Y1498" s="174"/>
      <c r="Z1498" s="174"/>
    </row>
    <row r="1499">
      <c r="A1499" s="194"/>
      <c r="B1499" s="194"/>
      <c r="C1499" s="194"/>
      <c r="D1499" s="194"/>
      <c r="E1499" s="194"/>
      <c r="F1499" s="194"/>
      <c r="G1499" s="194"/>
      <c r="H1499" s="195"/>
      <c r="I1499" s="195"/>
      <c r="J1499" s="194"/>
      <c r="K1499" s="174"/>
      <c r="L1499" s="174"/>
      <c r="M1499" s="174"/>
      <c r="N1499" s="174"/>
      <c r="O1499" s="174"/>
      <c r="P1499" s="174"/>
      <c r="Q1499" s="174"/>
      <c r="R1499" s="174"/>
      <c r="S1499" s="174"/>
      <c r="T1499" s="174"/>
      <c r="U1499" s="174"/>
      <c r="V1499" s="174"/>
      <c r="W1499" s="174"/>
      <c r="X1499" s="174"/>
      <c r="Y1499" s="174"/>
      <c r="Z1499" s="174"/>
    </row>
    <row r="1500">
      <c r="A1500" s="194"/>
      <c r="B1500" s="194"/>
      <c r="C1500" s="194"/>
      <c r="D1500" s="194"/>
      <c r="E1500" s="194"/>
      <c r="F1500" s="194"/>
      <c r="G1500" s="194"/>
      <c r="H1500" s="195"/>
      <c r="I1500" s="195"/>
      <c r="J1500" s="194"/>
      <c r="K1500" s="174"/>
      <c r="L1500" s="174"/>
      <c r="M1500" s="174"/>
      <c r="N1500" s="174"/>
      <c r="O1500" s="174"/>
      <c r="P1500" s="174"/>
      <c r="Q1500" s="174"/>
      <c r="R1500" s="174"/>
      <c r="S1500" s="174"/>
      <c r="T1500" s="174"/>
      <c r="U1500" s="174"/>
      <c r="V1500" s="174"/>
      <c r="W1500" s="174"/>
      <c r="X1500" s="174"/>
      <c r="Y1500" s="174"/>
      <c r="Z1500" s="174"/>
    </row>
    <row r="1501">
      <c r="A1501" s="194"/>
      <c r="B1501" s="194"/>
      <c r="C1501" s="194"/>
      <c r="D1501" s="194"/>
      <c r="E1501" s="194"/>
      <c r="F1501" s="194"/>
      <c r="G1501" s="194"/>
      <c r="H1501" s="195"/>
      <c r="I1501" s="195"/>
      <c r="J1501" s="194"/>
      <c r="K1501" s="174"/>
      <c r="L1501" s="174"/>
      <c r="M1501" s="174"/>
      <c r="N1501" s="174"/>
      <c r="O1501" s="174"/>
      <c r="P1501" s="174"/>
      <c r="Q1501" s="174"/>
      <c r="R1501" s="174"/>
      <c r="S1501" s="174"/>
      <c r="T1501" s="174"/>
      <c r="U1501" s="174"/>
      <c r="V1501" s="174"/>
      <c r="W1501" s="174"/>
      <c r="X1501" s="174"/>
      <c r="Y1501" s="174"/>
      <c r="Z1501" s="174"/>
    </row>
    <row r="1502">
      <c r="A1502" s="194"/>
      <c r="B1502" s="194"/>
      <c r="C1502" s="194"/>
      <c r="D1502" s="194"/>
      <c r="E1502" s="194"/>
      <c r="F1502" s="194"/>
      <c r="G1502" s="194"/>
      <c r="H1502" s="195"/>
      <c r="I1502" s="195"/>
      <c r="J1502" s="194"/>
      <c r="K1502" s="174"/>
      <c r="L1502" s="174"/>
      <c r="M1502" s="174"/>
      <c r="N1502" s="174"/>
      <c r="O1502" s="174"/>
      <c r="P1502" s="174"/>
      <c r="Q1502" s="174"/>
      <c r="R1502" s="174"/>
      <c r="S1502" s="174"/>
      <c r="T1502" s="174"/>
      <c r="U1502" s="174"/>
      <c r="V1502" s="174"/>
      <c r="W1502" s="174"/>
      <c r="X1502" s="174"/>
      <c r="Y1502" s="174"/>
      <c r="Z1502" s="174"/>
    </row>
    <row r="1503">
      <c r="A1503" s="194"/>
      <c r="B1503" s="194"/>
      <c r="C1503" s="194"/>
      <c r="D1503" s="194"/>
      <c r="E1503" s="194"/>
      <c r="F1503" s="194"/>
      <c r="G1503" s="194"/>
      <c r="H1503" s="195"/>
      <c r="I1503" s="195"/>
      <c r="J1503" s="194"/>
      <c r="K1503" s="174"/>
      <c r="L1503" s="174"/>
      <c r="M1503" s="174"/>
      <c r="N1503" s="174"/>
      <c r="O1503" s="174"/>
      <c r="P1503" s="174"/>
      <c r="Q1503" s="174"/>
      <c r="R1503" s="174"/>
      <c r="S1503" s="174"/>
      <c r="T1503" s="174"/>
      <c r="U1503" s="174"/>
      <c r="V1503" s="174"/>
      <c r="W1503" s="174"/>
      <c r="X1503" s="174"/>
      <c r="Y1503" s="174"/>
      <c r="Z1503" s="174"/>
    </row>
    <row r="1504">
      <c r="A1504" s="194"/>
      <c r="B1504" s="194"/>
      <c r="C1504" s="194"/>
      <c r="D1504" s="194"/>
      <c r="E1504" s="194"/>
      <c r="F1504" s="194"/>
      <c r="G1504" s="194"/>
      <c r="H1504" s="195"/>
      <c r="I1504" s="195"/>
      <c r="J1504" s="194"/>
      <c r="K1504" s="174"/>
      <c r="L1504" s="174"/>
      <c r="M1504" s="174"/>
      <c r="N1504" s="174"/>
      <c r="O1504" s="174"/>
      <c r="P1504" s="174"/>
      <c r="Q1504" s="174"/>
      <c r="R1504" s="174"/>
      <c r="S1504" s="174"/>
      <c r="T1504" s="174"/>
      <c r="U1504" s="174"/>
      <c r="V1504" s="174"/>
      <c r="W1504" s="174"/>
      <c r="X1504" s="174"/>
      <c r="Y1504" s="174"/>
      <c r="Z1504" s="174"/>
    </row>
    <row r="1505">
      <c r="A1505" s="194"/>
      <c r="B1505" s="194"/>
      <c r="C1505" s="194"/>
      <c r="D1505" s="194"/>
      <c r="E1505" s="194"/>
      <c r="F1505" s="194"/>
      <c r="G1505" s="194"/>
      <c r="H1505" s="195"/>
      <c r="I1505" s="195"/>
      <c r="J1505" s="194"/>
      <c r="K1505" s="174"/>
      <c r="L1505" s="174"/>
      <c r="M1505" s="174"/>
      <c r="N1505" s="174"/>
      <c r="O1505" s="174"/>
      <c r="P1505" s="174"/>
      <c r="Q1505" s="174"/>
      <c r="R1505" s="174"/>
      <c r="S1505" s="174"/>
      <c r="T1505" s="174"/>
      <c r="U1505" s="174"/>
      <c r="V1505" s="174"/>
      <c r="W1505" s="174"/>
      <c r="X1505" s="174"/>
      <c r="Y1505" s="174"/>
      <c r="Z1505" s="174"/>
    </row>
    <row r="1506">
      <c r="A1506" s="194"/>
      <c r="B1506" s="194"/>
      <c r="C1506" s="194"/>
      <c r="D1506" s="194"/>
      <c r="E1506" s="194"/>
      <c r="F1506" s="194"/>
      <c r="G1506" s="194"/>
      <c r="H1506" s="195"/>
      <c r="I1506" s="195"/>
      <c r="J1506" s="194"/>
      <c r="K1506" s="174"/>
      <c r="L1506" s="174"/>
      <c r="M1506" s="174"/>
      <c r="N1506" s="174"/>
      <c r="O1506" s="174"/>
      <c r="P1506" s="174"/>
      <c r="Q1506" s="174"/>
      <c r="R1506" s="174"/>
      <c r="S1506" s="174"/>
      <c r="T1506" s="174"/>
      <c r="U1506" s="174"/>
      <c r="V1506" s="174"/>
      <c r="W1506" s="174"/>
      <c r="X1506" s="174"/>
      <c r="Y1506" s="174"/>
      <c r="Z1506" s="174"/>
    </row>
    <row r="1507">
      <c r="A1507" s="194"/>
      <c r="B1507" s="194"/>
      <c r="C1507" s="194"/>
      <c r="D1507" s="194"/>
      <c r="E1507" s="194"/>
      <c r="F1507" s="194"/>
      <c r="G1507" s="194"/>
      <c r="H1507" s="195"/>
      <c r="I1507" s="195"/>
      <c r="J1507" s="194"/>
      <c r="K1507" s="174"/>
      <c r="L1507" s="174"/>
      <c r="M1507" s="174"/>
      <c r="N1507" s="174"/>
      <c r="O1507" s="174"/>
      <c r="P1507" s="174"/>
      <c r="Q1507" s="174"/>
      <c r="R1507" s="174"/>
      <c r="S1507" s="174"/>
      <c r="T1507" s="174"/>
      <c r="U1507" s="174"/>
      <c r="V1507" s="174"/>
      <c r="W1507" s="174"/>
      <c r="X1507" s="174"/>
      <c r="Y1507" s="174"/>
      <c r="Z1507" s="174"/>
    </row>
    <row r="1508">
      <c r="A1508" s="194"/>
      <c r="B1508" s="194"/>
      <c r="C1508" s="194"/>
      <c r="D1508" s="194"/>
      <c r="E1508" s="194"/>
      <c r="F1508" s="194"/>
      <c r="G1508" s="194"/>
      <c r="H1508" s="195"/>
      <c r="I1508" s="195"/>
      <c r="J1508" s="194"/>
      <c r="K1508" s="174"/>
      <c r="L1508" s="174"/>
      <c r="M1508" s="174"/>
      <c r="N1508" s="174"/>
      <c r="O1508" s="174"/>
      <c r="P1508" s="174"/>
      <c r="Q1508" s="174"/>
      <c r="R1508" s="174"/>
      <c r="S1508" s="174"/>
      <c r="T1508" s="174"/>
      <c r="U1508" s="174"/>
      <c r="V1508" s="174"/>
      <c r="W1508" s="174"/>
      <c r="X1508" s="174"/>
      <c r="Y1508" s="174"/>
      <c r="Z1508" s="174"/>
    </row>
    <row r="1509">
      <c r="A1509" s="194"/>
      <c r="B1509" s="194"/>
      <c r="C1509" s="194"/>
      <c r="D1509" s="194"/>
      <c r="E1509" s="194"/>
      <c r="F1509" s="194"/>
      <c r="G1509" s="194"/>
      <c r="H1509" s="195"/>
      <c r="I1509" s="195"/>
      <c r="J1509" s="194"/>
      <c r="K1509" s="174"/>
      <c r="L1509" s="174"/>
      <c r="M1509" s="174"/>
      <c r="N1509" s="174"/>
      <c r="O1509" s="174"/>
      <c r="P1509" s="174"/>
      <c r="Q1509" s="174"/>
      <c r="R1509" s="174"/>
      <c r="S1509" s="174"/>
      <c r="T1509" s="174"/>
      <c r="U1509" s="174"/>
      <c r="V1509" s="174"/>
      <c r="W1509" s="174"/>
      <c r="X1509" s="174"/>
      <c r="Y1509" s="174"/>
      <c r="Z1509" s="174"/>
    </row>
    <row r="1510">
      <c r="A1510" s="194"/>
      <c r="B1510" s="194"/>
      <c r="C1510" s="194"/>
      <c r="D1510" s="194"/>
      <c r="E1510" s="194"/>
      <c r="F1510" s="194"/>
      <c r="G1510" s="194"/>
      <c r="H1510" s="195"/>
      <c r="I1510" s="195"/>
      <c r="J1510" s="194"/>
      <c r="K1510" s="174"/>
      <c r="L1510" s="174"/>
      <c r="M1510" s="174"/>
      <c r="N1510" s="174"/>
      <c r="O1510" s="174"/>
      <c r="P1510" s="174"/>
      <c r="Q1510" s="174"/>
      <c r="R1510" s="174"/>
      <c r="S1510" s="174"/>
      <c r="T1510" s="174"/>
      <c r="U1510" s="174"/>
      <c r="V1510" s="174"/>
      <c r="W1510" s="174"/>
      <c r="X1510" s="174"/>
      <c r="Y1510" s="174"/>
      <c r="Z1510" s="174"/>
    </row>
    <row r="1511">
      <c r="A1511" s="194"/>
      <c r="B1511" s="194"/>
      <c r="C1511" s="194"/>
      <c r="D1511" s="194"/>
      <c r="E1511" s="194"/>
      <c r="F1511" s="194"/>
      <c r="G1511" s="194"/>
      <c r="H1511" s="195"/>
      <c r="I1511" s="195"/>
      <c r="J1511" s="194"/>
      <c r="K1511" s="174"/>
      <c r="L1511" s="174"/>
      <c r="M1511" s="174"/>
      <c r="N1511" s="174"/>
      <c r="O1511" s="174"/>
      <c r="P1511" s="174"/>
      <c r="Q1511" s="174"/>
      <c r="R1511" s="174"/>
      <c r="S1511" s="174"/>
      <c r="T1511" s="174"/>
      <c r="U1511" s="174"/>
      <c r="V1511" s="174"/>
      <c r="W1511" s="174"/>
      <c r="X1511" s="174"/>
      <c r="Y1511" s="174"/>
      <c r="Z1511" s="174"/>
    </row>
    <row r="1512">
      <c r="A1512" s="194"/>
      <c r="B1512" s="194"/>
      <c r="C1512" s="194"/>
      <c r="D1512" s="194"/>
      <c r="E1512" s="194"/>
      <c r="F1512" s="194"/>
      <c r="G1512" s="194"/>
      <c r="H1512" s="195"/>
      <c r="I1512" s="195"/>
      <c r="J1512" s="194"/>
      <c r="K1512" s="174"/>
      <c r="L1512" s="174"/>
      <c r="M1512" s="174"/>
      <c r="N1512" s="174"/>
      <c r="O1512" s="174"/>
      <c r="P1512" s="174"/>
      <c r="Q1512" s="174"/>
      <c r="R1512" s="174"/>
      <c r="S1512" s="174"/>
      <c r="T1512" s="174"/>
      <c r="U1512" s="174"/>
      <c r="V1512" s="174"/>
      <c r="W1512" s="174"/>
      <c r="X1512" s="174"/>
      <c r="Y1512" s="174"/>
      <c r="Z1512" s="174"/>
    </row>
    <row r="1513">
      <c r="A1513" s="194"/>
      <c r="B1513" s="194"/>
      <c r="C1513" s="194"/>
      <c r="D1513" s="194"/>
      <c r="E1513" s="194"/>
      <c r="F1513" s="194"/>
      <c r="G1513" s="194"/>
      <c r="H1513" s="195"/>
      <c r="I1513" s="195"/>
      <c r="J1513" s="194"/>
      <c r="K1513" s="174"/>
      <c r="L1513" s="174"/>
      <c r="M1513" s="174"/>
      <c r="N1513" s="174"/>
      <c r="O1513" s="174"/>
      <c r="P1513" s="174"/>
      <c r="Q1513" s="174"/>
      <c r="R1513" s="174"/>
      <c r="S1513" s="174"/>
      <c r="T1513" s="174"/>
      <c r="U1513" s="174"/>
      <c r="V1513" s="174"/>
      <c r="W1513" s="174"/>
      <c r="X1513" s="174"/>
      <c r="Y1513" s="174"/>
      <c r="Z1513" s="174"/>
    </row>
    <row r="1514">
      <c r="A1514" s="194"/>
      <c r="B1514" s="194"/>
      <c r="C1514" s="194"/>
      <c r="D1514" s="194"/>
      <c r="E1514" s="194"/>
      <c r="F1514" s="194"/>
      <c r="G1514" s="194"/>
      <c r="H1514" s="195"/>
      <c r="I1514" s="195"/>
      <c r="J1514" s="194"/>
      <c r="K1514" s="174"/>
      <c r="L1514" s="174"/>
      <c r="M1514" s="174"/>
      <c r="N1514" s="174"/>
      <c r="O1514" s="174"/>
      <c r="P1514" s="174"/>
      <c r="Q1514" s="174"/>
      <c r="R1514" s="174"/>
      <c r="S1514" s="174"/>
      <c r="T1514" s="174"/>
      <c r="U1514" s="174"/>
      <c r="V1514" s="174"/>
      <c r="W1514" s="174"/>
      <c r="X1514" s="174"/>
      <c r="Y1514" s="174"/>
      <c r="Z1514" s="174"/>
    </row>
    <row r="1515">
      <c r="A1515" s="194"/>
      <c r="B1515" s="194"/>
      <c r="C1515" s="194"/>
      <c r="D1515" s="194"/>
      <c r="E1515" s="194"/>
      <c r="F1515" s="194"/>
      <c r="G1515" s="194"/>
      <c r="H1515" s="195"/>
      <c r="I1515" s="195"/>
      <c r="J1515" s="194"/>
      <c r="K1515" s="174"/>
      <c r="L1515" s="174"/>
      <c r="M1515" s="174"/>
      <c r="N1515" s="174"/>
      <c r="O1515" s="174"/>
      <c r="P1515" s="174"/>
      <c r="Q1515" s="174"/>
      <c r="R1515" s="174"/>
      <c r="S1515" s="174"/>
      <c r="T1515" s="174"/>
      <c r="U1515" s="174"/>
      <c r="V1515" s="174"/>
      <c r="W1515" s="174"/>
      <c r="X1515" s="174"/>
      <c r="Y1515" s="174"/>
      <c r="Z1515" s="174"/>
    </row>
    <row r="1516">
      <c r="A1516" s="194"/>
      <c r="B1516" s="194"/>
      <c r="C1516" s="194"/>
      <c r="D1516" s="194"/>
      <c r="E1516" s="194"/>
      <c r="F1516" s="194"/>
      <c r="G1516" s="194"/>
      <c r="H1516" s="195"/>
      <c r="I1516" s="195"/>
      <c r="J1516" s="194"/>
      <c r="K1516" s="174"/>
      <c r="L1516" s="174"/>
      <c r="M1516" s="174"/>
      <c r="N1516" s="174"/>
      <c r="O1516" s="174"/>
      <c r="P1516" s="174"/>
      <c r="Q1516" s="174"/>
      <c r="R1516" s="174"/>
      <c r="S1516" s="174"/>
      <c r="T1516" s="174"/>
      <c r="U1516" s="174"/>
      <c r="V1516" s="174"/>
      <c r="W1516" s="174"/>
      <c r="X1516" s="174"/>
      <c r="Y1516" s="174"/>
      <c r="Z1516" s="174"/>
    </row>
    <row r="1517">
      <c r="A1517" s="194"/>
      <c r="B1517" s="194"/>
      <c r="C1517" s="194"/>
      <c r="D1517" s="194"/>
      <c r="E1517" s="194"/>
      <c r="F1517" s="194"/>
      <c r="G1517" s="194"/>
      <c r="H1517" s="195"/>
      <c r="I1517" s="195"/>
      <c r="J1517" s="194"/>
      <c r="K1517" s="174"/>
      <c r="L1517" s="174"/>
      <c r="M1517" s="174"/>
      <c r="N1517" s="174"/>
      <c r="O1517" s="174"/>
      <c r="P1517" s="174"/>
      <c r="Q1517" s="174"/>
      <c r="R1517" s="174"/>
      <c r="S1517" s="174"/>
      <c r="T1517" s="174"/>
      <c r="U1517" s="174"/>
      <c r="V1517" s="174"/>
      <c r="W1517" s="174"/>
      <c r="X1517" s="174"/>
      <c r="Y1517" s="174"/>
      <c r="Z1517" s="174"/>
    </row>
    <row r="1518">
      <c r="A1518" s="194"/>
      <c r="B1518" s="194"/>
      <c r="C1518" s="194"/>
      <c r="D1518" s="194"/>
      <c r="E1518" s="194"/>
      <c r="F1518" s="194"/>
      <c r="G1518" s="194"/>
      <c r="H1518" s="195"/>
      <c r="I1518" s="195"/>
      <c r="J1518" s="194"/>
      <c r="K1518" s="174"/>
      <c r="L1518" s="174"/>
      <c r="M1518" s="174"/>
      <c r="N1518" s="174"/>
      <c r="O1518" s="174"/>
      <c r="P1518" s="174"/>
      <c r="Q1518" s="174"/>
      <c r="R1518" s="174"/>
      <c r="S1518" s="174"/>
      <c r="T1518" s="174"/>
      <c r="U1518" s="174"/>
      <c r="V1518" s="174"/>
      <c r="W1518" s="174"/>
      <c r="X1518" s="174"/>
      <c r="Y1518" s="174"/>
      <c r="Z1518" s="174"/>
    </row>
    <row r="1519">
      <c r="A1519" s="194"/>
      <c r="B1519" s="194"/>
      <c r="C1519" s="194"/>
      <c r="D1519" s="194"/>
      <c r="E1519" s="194"/>
      <c r="F1519" s="194"/>
      <c r="G1519" s="194"/>
      <c r="H1519" s="195"/>
      <c r="I1519" s="195"/>
      <c r="J1519" s="194"/>
      <c r="K1519" s="174"/>
      <c r="L1519" s="174"/>
      <c r="M1519" s="174"/>
      <c r="N1519" s="174"/>
      <c r="O1519" s="174"/>
      <c r="P1519" s="174"/>
      <c r="Q1519" s="174"/>
      <c r="R1519" s="174"/>
      <c r="S1519" s="174"/>
      <c r="T1519" s="174"/>
      <c r="U1519" s="174"/>
      <c r="V1519" s="174"/>
      <c r="W1519" s="174"/>
      <c r="X1519" s="174"/>
      <c r="Y1519" s="174"/>
      <c r="Z1519" s="174"/>
    </row>
    <row r="1520">
      <c r="A1520" s="194"/>
      <c r="B1520" s="194"/>
      <c r="C1520" s="194"/>
      <c r="D1520" s="194"/>
      <c r="E1520" s="194"/>
      <c r="F1520" s="194"/>
      <c r="G1520" s="194"/>
      <c r="H1520" s="195"/>
      <c r="I1520" s="195"/>
      <c r="J1520" s="194"/>
      <c r="K1520" s="174"/>
      <c r="L1520" s="174"/>
      <c r="M1520" s="174"/>
      <c r="N1520" s="174"/>
      <c r="O1520" s="174"/>
      <c r="P1520" s="174"/>
      <c r="Q1520" s="174"/>
      <c r="R1520" s="174"/>
      <c r="S1520" s="174"/>
      <c r="T1520" s="174"/>
      <c r="U1520" s="174"/>
      <c r="V1520" s="174"/>
      <c r="W1520" s="174"/>
      <c r="X1520" s="174"/>
      <c r="Y1520" s="174"/>
      <c r="Z1520" s="174"/>
    </row>
    <row r="1521">
      <c r="A1521" s="194"/>
      <c r="B1521" s="194"/>
      <c r="C1521" s="194"/>
      <c r="D1521" s="194"/>
      <c r="E1521" s="194"/>
      <c r="F1521" s="194"/>
      <c r="G1521" s="194"/>
      <c r="H1521" s="195"/>
      <c r="I1521" s="195"/>
      <c r="J1521" s="194"/>
      <c r="K1521" s="174"/>
      <c r="L1521" s="174"/>
      <c r="M1521" s="174"/>
      <c r="N1521" s="174"/>
      <c r="O1521" s="174"/>
      <c r="P1521" s="174"/>
      <c r="Q1521" s="174"/>
      <c r="R1521" s="174"/>
      <c r="S1521" s="174"/>
      <c r="T1521" s="174"/>
      <c r="U1521" s="174"/>
      <c r="V1521" s="174"/>
      <c r="W1521" s="174"/>
      <c r="X1521" s="174"/>
      <c r="Y1521" s="174"/>
      <c r="Z1521" s="174"/>
    </row>
    <row r="1522">
      <c r="A1522" s="194"/>
      <c r="B1522" s="194"/>
      <c r="C1522" s="194"/>
      <c r="D1522" s="194"/>
      <c r="E1522" s="194"/>
      <c r="F1522" s="194"/>
      <c r="G1522" s="194"/>
      <c r="H1522" s="195"/>
      <c r="I1522" s="195"/>
      <c r="J1522" s="194"/>
      <c r="K1522" s="174"/>
      <c r="L1522" s="174"/>
      <c r="M1522" s="174"/>
      <c r="N1522" s="174"/>
      <c r="O1522" s="174"/>
      <c r="P1522" s="174"/>
      <c r="Q1522" s="174"/>
      <c r="R1522" s="174"/>
      <c r="S1522" s="174"/>
      <c r="T1522" s="174"/>
      <c r="U1522" s="174"/>
      <c r="V1522" s="174"/>
      <c r="W1522" s="174"/>
      <c r="X1522" s="174"/>
      <c r="Y1522" s="174"/>
      <c r="Z1522" s="174"/>
    </row>
    <row r="1523">
      <c r="A1523" s="194"/>
      <c r="B1523" s="194"/>
      <c r="C1523" s="194"/>
      <c r="D1523" s="194"/>
      <c r="E1523" s="194"/>
      <c r="F1523" s="194"/>
      <c r="G1523" s="194"/>
      <c r="H1523" s="195"/>
      <c r="I1523" s="195"/>
      <c r="J1523" s="194"/>
      <c r="K1523" s="174"/>
      <c r="L1523" s="174"/>
      <c r="M1523" s="174"/>
      <c r="N1523" s="174"/>
      <c r="O1523" s="174"/>
      <c r="P1523" s="174"/>
      <c r="Q1523" s="174"/>
      <c r="R1523" s="174"/>
      <c r="S1523" s="174"/>
      <c r="T1523" s="174"/>
      <c r="U1523" s="174"/>
      <c r="V1523" s="174"/>
      <c r="W1523" s="174"/>
      <c r="X1523" s="174"/>
      <c r="Y1523" s="174"/>
      <c r="Z1523" s="174"/>
    </row>
    <row r="1524">
      <c r="A1524" s="194"/>
      <c r="B1524" s="194"/>
      <c r="C1524" s="194"/>
      <c r="D1524" s="194"/>
      <c r="E1524" s="194"/>
      <c r="F1524" s="194"/>
      <c r="G1524" s="194"/>
      <c r="H1524" s="195"/>
      <c r="I1524" s="195"/>
      <c r="J1524" s="194"/>
      <c r="K1524" s="174"/>
      <c r="L1524" s="174"/>
      <c r="M1524" s="174"/>
      <c r="N1524" s="174"/>
      <c r="O1524" s="174"/>
      <c r="P1524" s="174"/>
      <c r="Q1524" s="174"/>
      <c r="R1524" s="174"/>
      <c r="S1524" s="174"/>
      <c r="T1524" s="174"/>
      <c r="U1524" s="174"/>
      <c r="V1524" s="174"/>
      <c r="W1524" s="174"/>
      <c r="X1524" s="174"/>
      <c r="Y1524" s="174"/>
      <c r="Z1524" s="174"/>
    </row>
    <row r="1525">
      <c r="A1525" s="194"/>
      <c r="B1525" s="194"/>
      <c r="C1525" s="194"/>
      <c r="D1525" s="194"/>
      <c r="E1525" s="194"/>
      <c r="F1525" s="194"/>
      <c r="G1525" s="194"/>
      <c r="H1525" s="195"/>
      <c r="I1525" s="195"/>
      <c r="J1525" s="194"/>
      <c r="K1525" s="174"/>
      <c r="L1525" s="174"/>
      <c r="M1525" s="174"/>
      <c r="N1525" s="174"/>
      <c r="O1525" s="174"/>
      <c r="P1525" s="174"/>
      <c r="Q1525" s="174"/>
      <c r="R1525" s="174"/>
      <c r="S1525" s="174"/>
      <c r="T1525" s="174"/>
      <c r="U1525" s="174"/>
      <c r="V1525" s="174"/>
      <c r="W1525" s="174"/>
      <c r="X1525" s="174"/>
      <c r="Y1525" s="174"/>
      <c r="Z1525" s="174"/>
    </row>
    <row r="1526">
      <c r="A1526" s="194"/>
      <c r="B1526" s="194"/>
      <c r="C1526" s="194"/>
      <c r="D1526" s="194"/>
      <c r="E1526" s="194"/>
      <c r="F1526" s="194"/>
      <c r="G1526" s="194"/>
      <c r="H1526" s="195"/>
      <c r="I1526" s="195"/>
      <c r="J1526" s="194"/>
      <c r="K1526" s="174"/>
      <c r="L1526" s="174"/>
      <c r="M1526" s="174"/>
      <c r="N1526" s="174"/>
      <c r="O1526" s="174"/>
      <c r="P1526" s="174"/>
      <c r="Q1526" s="174"/>
      <c r="R1526" s="174"/>
      <c r="S1526" s="174"/>
      <c r="T1526" s="174"/>
      <c r="U1526" s="174"/>
      <c r="V1526" s="174"/>
      <c r="W1526" s="174"/>
      <c r="X1526" s="174"/>
      <c r="Y1526" s="174"/>
      <c r="Z1526" s="174"/>
    </row>
    <row r="1527">
      <c r="A1527" s="194"/>
      <c r="B1527" s="194"/>
      <c r="C1527" s="194"/>
      <c r="D1527" s="194"/>
      <c r="E1527" s="194"/>
      <c r="F1527" s="194"/>
      <c r="G1527" s="194"/>
      <c r="H1527" s="195"/>
      <c r="I1527" s="195"/>
      <c r="J1527" s="194"/>
      <c r="K1527" s="174"/>
      <c r="L1527" s="174"/>
      <c r="M1527" s="174"/>
      <c r="N1527" s="174"/>
      <c r="O1527" s="174"/>
      <c r="P1527" s="174"/>
      <c r="Q1527" s="174"/>
      <c r="R1527" s="174"/>
      <c r="S1527" s="174"/>
      <c r="T1527" s="174"/>
      <c r="U1527" s="174"/>
      <c r="V1527" s="174"/>
      <c r="W1527" s="174"/>
      <c r="X1527" s="174"/>
      <c r="Y1527" s="174"/>
      <c r="Z1527" s="174"/>
    </row>
    <row r="1528">
      <c r="A1528" s="194"/>
      <c r="B1528" s="194"/>
      <c r="C1528" s="194"/>
      <c r="D1528" s="194"/>
      <c r="E1528" s="194"/>
      <c r="F1528" s="194"/>
      <c r="G1528" s="194"/>
      <c r="H1528" s="195"/>
      <c r="I1528" s="195"/>
      <c r="J1528" s="194"/>
      <c r="K1528" s="174"/>
      <c r="L1528" s="174"/>
      <c r="M1528" s="174"/>
      <c r="N1528" s="174"/>
      <c r="O1528" s="174"/>
      <c r="P1528" s="174"/>
      <c r="Q1528" s="174"/>
      <c r="R1528" s="174"/>
      <c r="S1528" s="174"/>
      <c r="T1528" s="174"/>
      <c r="U1528" s="174"/>
      <c r="V1528" s="174"/>
      <c r="W1528" s="174"/>
      <c r="X1528" s="174"/>
      <c r="Y1528" s="174"/>
      <c r="Z1528" s="174"/>
    </row>
    <row r="1529">
      <c r="A1529" s="194"/>
      <c r="B1529" s="194"/>
      <c r="C1529" s="194"/>
      <c r="D1529" s="194"/>
      <c r="E1529" s="194"/>
      <c r="F1529" s="194"/>
      <c r="G1529" s="194"/>
      <c r="H1529" s="195"/>
      <c r="I1529" s="195"/>
      <c r="J1529" s="194"/>
      <c r="K1529" s="174"/>
      <c r="L1529" s="174"/>
      <c r="M1529" s="174"/>
      <c r="N1529" s="174"/>
      <c r="O1529" s="174"/>
      <c r="P1529" s="174"/>
      <c r="Q1529" s="174"/>
      <c r="R1529" s="174"/>
      <c r="S1529" s="174"/>
      <c r="T1529" s="174"/>
      <c r="U1529" s="174"/>
      <c r="V1529" s="174"/>
      <c r="W1529" s="174"/>
      <c r="X1529" s="174"/>
      <c r="Y1529" s="174"/>
      <c r="Z1529" s="174"/>
    </row>
    <row r="1530">
      <c r="A1530" s="194"/>
      <c r="B1530" s="194"/>
      <c r="C1530" s="194"/>
      <c r="D1530" s="194"/>
      <c r="E1530" s="194"/>
      <c r="F1530" s="194"/>
      <c r="G1530" s="194"/>
      <c r="H1530" s="195"/>
      <c r="I1530" s="195"/>
      <c r="J1530" s="194"/>
      <c r="K1530" s="174"/>
      <c r="L1530" s="174"/>
      <c r="M1530" s="174"/>
      <c r="N1530" s="174"/>
      <c r="O1530" s="174"/>
      <c r="P1530" s="174"/>
      <c r="Q1530" s="174"/>
      <c r="R1530" s="174"/>
      <c r="S1530" s="174"/>
      <c r="T1530" s="174"/>
      <c r="U1530" s="174"/>
      <c r="V1530" s="174"/>
      <c r="W1530" s="174"/>
      <c r="X1530" s="174"/>
      <c r="Y1530" s="174"/>
      <c r="Z1530" s="174"/>
    </row>
    <row r="1531">
      <c r="A1531" s="194"/>
      <c r="B1531" s="194"/>
      <c r="C1531" s="194"/>
      <c r="D1531" s="194"/>
      <c r="E1531" s="194"/>
      <c r="F1531" s="194"/>
      <c r="G1531" s="194"/>
      <c r="H1531" s="195"/>
      <c r="I1531" s="195"/>
      <c r="J1531" s="194"/>
      <c r="K1531" s="174"/>
      <c r="L1531" s="174"/>
      <c r="M1531" s="174"/>
      <c r="N1531" s="174"/>
      <c r="O1531" s="174"/>
      <c r="P1531" s="174"/>
      <c r="Q1531" s="174"/>
      <c r="R1531" s="174"/>
      <c r="S1531" s="174"/>
      <c r="T1531" s="174"/>
      <c r="U1531" s="174"/>
      <c r="V1531" s="174"/>
      <c r="W1531" s="174"/>
      <c r="X1531" s="174"/>
      <c r="Y1531" s="174"/>
      <c r="Z1531" s="174"/>
    </row>
    <row r="1532">
      <c r="A1532" s="194"/>
      <c r="B1532" s="194"/>
      <c r="C1532" s="194"/>
      <c r="D1532" s="194"/>
      <c r="E1532" s="194"/>
      <c r="F1532" s="194"/>
      <c r="G1532" s="194"/>
      <c r="H1532" s="195"/>
      <c r="I1532" s="195"/>
      <c r="J1532" s="194"/>
      <c r="K1532" s="174"/>
      <c r="L1532" s="174"/>
      <c r="M1532" s="174"/>
      <c r="N1532" s="174"/>
      <c r="O1532" s="174"/>
      <c r="P1532" s="174"/>
      <c r="Q1532" s="174"/>
      <c r="R1532" s="174"/>
      <c r="S1532" s="174"/>
      <c r="T1532" s="174"/>
      <c r="U1532" s="174"/>
      <c r="V1532" s="174"/>
      <c r="W1532" s="174"/>
      <c r="X1532" s="174"/>
      <c r="Y1532" s="174"/>
      <c r="Z1532" s="174"/>
    </row>
    <row r="1533">
      <c r="A1533" s="194"/>
      <c r="B1533" s="194"/>
      <c r="C1533" s="194"/>
      <c r="D1533" s="194"/>
      <c r="E1533" s="194"/>
      <c r="F1533" s="194"/>
      <c r="G1533" s="194"/>
      <c r="H1533" s="195"/>
      <c r="I1533" s="195"/>
      <c r="J1533" s="194"/>
      <c r="K1533" s="174"/>
      <c r="L1533" s="174"/>
      <c r="M1533" s="174"/>
      <c r="N1533" s="174"/>
      <c r="O1533" s="174"/>
      <c r="P1533" s="174"/>
      <c r="Q1533" s="174"/>
      <c r="R1533" s="174"/>
      <c r="S1533" s="174"/>
      <c r="T1533" s="174"/>
      <c r="U1533" s="174"/>
      <c r="V1533" s="174"/>
      <c r="W1533" s="174"/>
      <c r="X1533" s="174"/>
      <c r="Y1533" s="174"/>
      <c r="Z1533" s="174"/>
    </row>
    <row r="1534">
      <c r="A1534" s="194"/>
      <c r="B1534" s="194"/>
      <c r="C1534" s="194"/>
      <c r="D1534" s="194"/>
      <c r="E1534" s="194"/>
      <c r="F1534" s="194"/>
      <c r="G1534" s="194"/>
      <c r="H1534" s="195"/>
      <c r="I1534" s="195"/>
      <c r="J1534" s="194"/>
      <c r="K1534" s="174"/>
      <c r="L1534" s="174"/>
      <c r="M1534" s="174"/>
      <c r="N1534" s="174"/>
      <c r="O1534" s="174"/>
      <c r="P1534" s="174"/>
      <c r="Q1534" s="174"/>
      <c r="R1534" s="174"/>
      <c r="S1534" s="174"/>
      <c r="T1534" s="174"/>
      <c r="U1534" s="174"/>
      <c r="V1534" s="174"/>
      <c r="W1534" s="174"/>
      <c r="X1534" s="174"/>
      <c r="Y1534" s="174"/>
      <c r="Z1534" s="174"/>
    </row>
    <row r="1535">
      <c r="A1535" s="194"/>
      <c r="B1535" s="194"/>
      <c r="C1535" s="194"/>
      <c r="D1535" s="194"/>
      <c r="E1535" s="194"/>
      <c r="F1535" s="194"/>
      <c r="G1535" s="194"/>
      <c r="H1535" s="195"/>
      <c r="I1535" s="195"/>
      <c r="J1535" s="194"/>
      <c r="K1535" s="174"/>
      <c r="L1535" s="174"/>
      <c r="M1535" s="174"/>
      <c r="N1535" s="174"/>
      <c r="O1535" s="174"/>
      <c r="P1535" s="174"/>
      <c r="Q1535" s="174"/>
      <c r="R1535" s="174"/>
      <c r="S1535" s="174"/>
      <c r="T1535" s="174"/>
      <c r="U1535" s="174"/>
      <c r="V1535" s="174"/>
      <c r="W1535" s="174"/>
      <c r="X1535" s="174"/>
      <c r="Y1535" s="174"/>
      <c r="Z1535" s="174"/>
    </row>
    <row r="1536">
      <c r="A1536" s="194"/>
      <c r="B1536" s="194"/>
      <c r="C1536" s="194"/>
      <c r="D1536" s="194"/>
      <c r="E1536" s="194"/>
      <c r="F1536" s="194"/>
      <c r="G1536" s="194"/>
      <c r="H1536" s="195"/>
      <c r="I1536" s="195"/>
      <c r="J1536" s="194"/>
      <c r="K1536" s="174"/>
      <c r="L1536" s="174"/>
      <c r="M1536" s="174"/>
      <c r="N1536" s="174"/>
      <c r="O1536" s="174"/>
      <c r="P1536" s="174"/>
      <c r="Q1536" s="174"/>
      <c r="R1536" s="174"/>
      <c r="S1536" s="174"/>
      <c r="T1536" s="174"/>
      <c r="U1536" s="174"/>
      <c r="V1536" s="174"/>
      <c r="W1536" s="174"/>
      <c r="X1536" s="174"/>
      <c r="Y1536" s="174"/>
      <c r="Z1536" s="174"/>
    </row>
    <row r="1537">
      <c r="A1537" s="194"/>
      <c r="B1537" s="194"/>
      <c r="C1537" s="194"/>
      <c r="D1537" s="194"/>
      <c r="E1537" s="194"/>
      <c r="F1537" s="194"/>
      <c r="G1537" s="194"/>
      <c r="H1537" s="195"/>
      <c r="I1537" s="195"/>
      <c r="J1537" s="194"/>
      <c r="K1537" s="174"/>
      <c r="L1537" s="174"/>
      <c r="M1537" s="174"/>
      <c r="N1537" s="174"/>
      <c r="O1537" s="174"/>
      <c r="P1537" s="174"/>
      <c r="Q1537" s="174"/>
      <c r="R1537" s="174"/>
      <c r="S1537" s="174"/>
      <c r="T1537" s="174"/>
      <c r="U1537" s="174"/>
      <c r="V1537" s="174"/>
      <c r="W1537" s="174"/>
      <c r="X1537" s="174"/>
      <c r="Y1537" s="174"/>
      <c r="Z1537" s="174"/>
    </row>
    <row r="1538">
      <c r="A1538" s="194"/>
      <c r="B1538" s="194"/>
      <c r="C1538" s="194"/>
      <c r="D1538" s="194"/>
      <c r="E1538" s="194"/>
      <c r="F1538" s="194"/>
      <c r="G1538" s="194"/>
      <c r="H1538" s="195"/>
      <c r="I1538" s="195"/>
      <c r="J1538" s="194"/>
      <c r="K1538" s="174"/>
      <c r="L1538" s="174"/>
      <c r="M1538" s="174"/>
      <c r="N1538" s="174"/>
      <c r="O1538" s="174"/>
      <c r="P1538" s="174"/>
      <c r="Q1538" s="174"/>
      <c r="R1538" s="174"/>
      <c r="S1538" s="174"/>
      <c r="T1538" s="174"/>
      <c r="U1538" s="174"/>
      <c r="V1538" s="174"/>
      <c r="W1538" s="174"/>
      <c r="X1538" s="174"/>
      <c r="Y1538" s="174"/>
      <c r="Z1538" s="174"/>
    </row>
    <row r="1539">
      <c r="A1539" s="194"/>
      <c r="B1539" s="194"/>
      <c r="C1539" s="194"/>
      <c r="D1539" s="194"/>
      <c r="E1539" s="194"/>
      <c r="F1539" s="194"/>
      <c r="G1539" s="194"/>
      <c r="H1539" s="195"/>
      <c r="I1539" s="195"/>
      <c r="J1539" s="194"/>
      <c r="K1539" s="174"/>
      <c r="L1539" s="174"/>
      <c r="M1539" s="174"/>
      <c r="N1539" s="174"/>
      <c r="O1539" s="174"/>
      <c r="P1539" s="174"/>
      <c r="Q1539" s="174"/>
      <c r="R1539" s="174"/>
      <c r="S1539" s="174"/>
      <c r="T1539" s="174"/>
      <c r="U1539" s="174"/>
      <c r="V1539" s="174"/>
      <c r="W1539" s="174"/>
      <c r="X1539" s="174"/>
      <c r="Y1539" s="174"/>
      <c r="Z1539" s="174"/>
    </row>
    <row r="1540">
      <c r="A1540" s="194"/>
      <c r="B1540" s="194"/>
      <c r="C1540" s="194"/>
      <c r="D1540" s="194"/>
      <c r="E1540" s="194"/>
      <c r="F1540" s="194"/>
      <c r="G1540" s="194"/>
      <c r="H1540" s="195"/>
      <c r="I1540" s="195"/>
      <c r="J1540" s="194"/>
      <c r="K1540" s="174"/>
      <c r="L1540" s="174"/>
      <c r="M1540" s="174"/>
      <c r="N1540" s="174"/>
      <c r="O1540" s="174"/>
      <c r="P1540" s="174"/>
      <c r="Q1540" s="174"/>
      <c r="R1540" s="174"/>
      <c r="S1540" s="174"/>
      <c r="T1540" s="174"/>
      <c r="U1540" s="174"/>
      <c r="V1540" s="174"/>
      <c r="W1540" s="174"/>
      <c r="X1540" s="174"/>
      <c r="Y1540" s="174"/>
      <c r="Z1540" s="174"/>
    </row>
    <row r="1541">
      <c r="A1541" s="194"/>
      <c r="B1541" s="194"/>
      <c r="C1541" s="194"/>
      <c r="D1541" s="194"/>
      <c r="E1541" s="194"/>
      <c r="F1541" s="194"/>
      <c r="G1541" s="194"/>
      <c r="H1541" s="195"/>
      <c r="I1541" s="195"/>
      <c r="J1541" s="194"/>
      <c r="K1541" s="174"/>
      <c r="L1541" s="174"/>
      <c r="M1541" s="174"/>
      <c r="N1541" s="174"/>
      <c r="O1541" s="174"/>
      <c r="P1541" s="174"/>
      <c r="Q1541" s="174"/>
      <c r="R1541" s="174"/>
      <c r="S1541" s="174"/>
      <c r="T1541" s="174"/>
      <c r="U1541" s="174"/>
      <c r="V1541" s="174"/>
      <c r="W1541" s="174"/>
      <c r="X1541" s="174"/>
      <c r="Y1541" s="174"/>
      <c r="Z1541" s="174"/>
    </row>
    <row r="1542">
      <c r="A1542" s="194"/>
      <c r="B1542" s="194"/>
      <c r="C1542" s="194"/>
      <c r="D1542" s="194"/>
      <c r="E1542" s="194"/>
      <c r="F1542" s="194"/>
      <c r="G1542" s="194"/>
      <c r="H1542" s="195"/>
      <c r="I1542" s="195"/>
      <c r="J1542" s="194"/>
      <c r="K1542" s="174"/>
      <c r="L1542" s="174"/>
      <c r="M1542" s="174"/>
      <c r="N1542" s="174"/>
      <c r="O1542" s="174"/>
      <c r="P1542" s="174"/>
      <c r="Q1542" s="174"/>
      <c r="R1542" s="174"/>
      <c r="S1542" s="174"/>
      <c r="T1542" s="174"/>
      <c r="U1542" s="174"/>
      <c r="V1542" s="174"/>
      <c r="W1542" s="174"/>
      <c r="X1542" s="174"/>
      <c r="Y1542" s="174"/>
      <c r="Z1542" s="174"/>
    </row>
    <row r="1543">
      <c r="A1543" s="194"/>
      <c r="B1543" s="194"/>
      <c r="C1543" s="194"/>
      <c r="D1543" s="194"/>
      <c r="E1543" s="194"/>
      <c r="F1543" s="194"/>
      <c r="G1543" s="194"/>
      <c r="H1543" s="195"/>
      <c r="I1543" s="195"/>
      <c r="J1543" s="194"/>
      <c r="K1543" s="174"/>
      <c r="L1543" s="174"/>
      <c r="M1543" s="174"/>
      <c r="N1543" s="174"/>
      <c r="O1543" s="174"/>
      <c r="P1543" s="174"/>
      <c r="Q1543" s="174"/>
      <c r="R1543" s="174"/>
      <c r="S1543" s="174"/>
      <c r="T1543" s="174"/>
      <c r="U1543" s="174"/>
      <c r="V1543" s="174"/>
      <c r="W1543" s="174"/>
      <c r="X1543" s="174"/>
      <c r="Y1543" s="174"/>
      <c r="Z1543" s="174"/>
    </row>
    <row r="1544">
      <c r="A1544" s="194"/>
      <c r="B1544" s="194"/>
      <c r="C1544" s="194"/>
      <c r="D1544" s="194"/>
      <c r="E1544" s="194"/>
      <c r="F1544" s="194"/>
      <c r="G1544" s="194"/>
      <c r="H1544" s="195"/>
      <c r="I1544" s="195"/>
      <c r="J1544" s="194"/>
      <c r="K1544" s="174"/>
      <c r="L1544" s="174"/>
      <c r="M1544" s="174"/>
      <c r="N1544" s="174"/>
      <c r="O1544" s="174"/>
      <c r="P1544" s="174"/>
      <c r="Q1544" s="174"/>
      <c r="R1544" s="174"/>
      <c r="S1544" s="174"/>
      <c r="T1544" s="174"/>
      <c r="U1544" s="174"/>
      <c r="V1544" s="174"/>
      <c r="W1544" s="174"/>
      <c r="X1544" s="174"/>
      <c r="Y1544" s="174"/>
      <c r="Z1544" s="174"/>
    </row>
    <row r="1545">
      <c r="A1545" s="194"/>
      <c r="B1545" s="194"/>
      <c r="C1545" s="194"/>
      <c r="D1545" s="194"/>
      <c r="E1545" s="194"/>
      <c r="F1545" s="194"/>
      <c r="G1545" s="194"/>
      <c r="H1545" s="195"/>
      <c r="I1545" s="195"/>
      <c r="J1545" s="194"/>
      <c r="K1545" s="174"/>
      <c r="L1545" s="174"/>
      <c r="M1545" s="174"/>
      <c r="N1545" s="174"/>
      <c r="O1545" s="174"/>
      <c r="P1545" s="174"/>
      <c r="Q1545" s="174"/>
      <c r="R1545" s="174"/>
      <c r="S1545" s="174"/>
      <c r="T1545" s="174"/>
      <c r="U1545" s="174"/>
      <c r="V1545" s="174"/>
      <c r="W1545" s="174"/>
      <c r="X1545" s="174"/>
      <c r="Y1545" s="174"/>
      <c r="Z1545" s="174"/>
    </row>
    <row r="1546">
      <c r="A1546" s="194"/>
      <c r="B1546" s="194"/>
      <c r="C1546" s="194"/>
      <c r="D1546" s="194"/>
      <c r="E1546" s="194"/>
      <c r="F1546" s="194"/>
      <c r="G1546" s="194"/>
      <c r="H1546" s="195"/>
      <c r="I1546" s="195"/>
      <c r="J1546" s="194"/>
      <c r="K1546" s="174"/>
      <c r="L1546" s="174"/>
      <c r="M1546" s="174"/>
      <c r="N1546" s="174"/>
      <c r="O1546" s="174"/>
      <c r="P1546" s="174"/>
      <c r="Q1546" s="174"/>
      <c r="R1546" s="174"/>
      <c r="S1546" s="174"/>
      <c r="T1546" s="174"/>
      <c r="U1546" s="174"/>
      <c r="V1546" s="174"/>
      <c r="W1546" s="174"/>
      <c r="X1546" s="174"/>
      <c r="Y1546" s="174"/>
      <c r="Z1546" s="174"/>
    </row>
    <row r="1547">
      <c r="A1547" s="194"/>
      <c r="B1547" s="194"/>
      <c r="C1547" s="194"/>
      <c r="D1547" s="194"/>
      <c r="E1547" s="194"/>
      <c r="F1547" s="194"/>
      <c r="G1547" s="194"/>
      <c r="H1547" s="195"/>
      <c r="I1547" s="195"/>
      <c r="J1547" s="194"/>
      <c r="K1547" s="174"/>
      <c r="L1547" s="174"/>
      <c r="M1547" s="174"/>
      <c r="N1547" s="174"/>
      <c r="O1547" s="174"/>
      <c r="P1547" s="174"/>
      <c r="Q1547" s="174"/>
      <c r="R1547" s="174"/>
      <c r="S1547" s="174"/>
      <c r="T1547" s="174"/>
      <c r="U1547" s="174"/>
      <c r="V1547" s="174"/>
      <c r="W1547" s="174"/>
      <c r="X1547" s="174"/>
      <c r="Y1547" s="174"/>
      <c r="Z1547" s="174"/>
    </row>
    <row r="1548">
      <c r="A1548" s="194"/>
      <c r="B1548" s="194"/>
      <c r="C1548" s="194"/>
      <c r="D1548" s="194"/>
      <c r="E1548" s="194"/>
      <c r="F1548" s="194"/>
      <c r="G1548" s="194"/>
      <c r="H1548" s="195"/>
      <c r="I1548" s="195"/>
      <c r="J1548" s="194"/>
      <c r="K1548" s="174"/>
      <c r="L1548" s="174"/>
      <c r="M1548" s="174"/>
      <c r="N1548" s="174"/>
      <c r="O1548" s="174"/>
      <c r="P1548" s="174"/>
      <c r="Q1548" s="174"/>
      <c r="R1548" s="174"/>
      <c r="S1548" s="174"/>
      <c r="T1548" s="174"/>
      <c r="U1548" s="174"/>
      <c r="V1548" s="174"/>
      <c r="W1548" s="174"/>
      <c r="X1548" s="174"/>
      <c r="Y1548" s="174"/>
      <c r="Z1548" s="174"/>
    </row>
    <row r="1549">
      <c r="A1549" s="194"/>
      <c r="B1549" s="194"/>
      <c r="C1549" s="194"/>
      <c r="D1549" s="194"/>
      <c r="E1549" s="194"/>
      <c r="F1549" s="194"/>
      <c r="G1549" s="194"/>
      <c r="H1549" s="195"/>
      <c r="I1549" s="195"/>
      <c r="J1549" s="194"/>
      <c r="K1549" s="174"/>
      <c r="L1549" s="174"/>
      <c r="M1549" s="174"/>
      <c r="N1549" s="174"/>
      <c r="O1549" s="174"/>
      <c r="P1549" s="174"/>
      <c r="Q1549" s="174"/>
      <c r="R1549" s="174"/>
      <c r="S1549" s="174"/>
      <c r="T1549" s="174"/>
      <c r="U1549" s="174"/>
      <c r="V1549" s="174"/>
      <c r="W1549" s="174"/>
      <c r="X1549" s="174"/>
      <c r="Y1549" s="174"/>
      <c r="Z1549" s="174"/>
    </row>
    <row r="1550">
      <c r="A1550" s="194"/>
      <c r="B1550" s="194"/>
      <c r="C1550" s="194"/>
      <c r="D1550" s="194"/>
      <c r="E1550" s="194"/>
      <c r="F1550" s="194"/>
      <c r="G1550" s="194"/>
      <c r="H1550" s="195"/>
      <c r="I1550" s="195"/>
      <c r="J1550" s="194"/>
      <c r="K1550" s="174"/>
      <c r="L1550" s="174"/>
      <c r="M1550" s="174"/>
      <c r="N1550" s="174"/>
      <c r="O1550" s="174"/>
      <c r="P1550" s="174"/>
      <c r="Q1550" s="174"/>
      <c r="R1550" s="174"/>
      <c r="S1550" s="174"/>
      <c r="T1550" s="174"/>
      <c r="U1550" s="174"/>
      <c r="V1550" s="174"/>
      <c r="W1550" s="174"/>
      <c r="X1550" s="174"/>
      <c r="Y1550" s="174"/>
      <c r="Z1550" s="174"/>
    </row>
    <row r="1551">
      <c r="A1551" s="194"/>
      <c r="B1551" s="194"/>
      <c r="C1551" s="194"/>
      <c r="D1551" s="194"/>
      <c r="E1551" s="194"/>
      <c r="F1551" s="194"/>
      <c r="G1551" s="194"/>
      <c r="H1551" s="195"/>
      <c r="I1551" s="195"/>
      <c r="J1551" s="194"/>
      <c r="K1551" s="174"/>
      <c r="L1551" s="174"/>
      <c r="M1551" s="174"/>
      <c r="N1551" s="174"/>
      <c r="O1551" s="174"/>
      <c r="P1551" s="174"/>
      <c r="Q1551" s="174"/>
      <c r="R1551" s="174"/>
      <c r="S1551" s="174"/>
      <c r="T1551" s="174"/>
      <c r="U1551" s="174"/>
      <c r="V1551" s="174"/>
      <c r="W1551" s="174"/>
      <c r="X1551" s="174"/>
      <c r="Y1551" s="174"/>
      <c r="Z1551" s="174"/>
    </row>
    <row r="1552">
      <c r="A1552" s="194"/>
      <c r="B1552" s="194"/>
      <c r="C1552" s="194"/>
      <c r="D1552" s="194"/>
      <c r="E1552" s="194"/>
      <c r="F1552" s="194"/>
      <c r="G1552" s="194"/>
      <c r="H1552" s="195"/>
      <c r="I1552" s="195"/>
      <c r="J1552" s="194"/>
      <c r="K1552" s="174"/>
      <c r="L1552" s="174"/>
      <c r="M1552" s="174"/>
      <c r="N1552" s="174"/>
      <c r="O1552" s="174"/>
      <c r="P1552" s="174"/>
      <c r="Q1552" s="174"/>
      <c r="R1552" s="174"/>
      <c r="S1552" s="174"/>
      <c r="T1552" s="174"/>
      <c r="U1552" s="174"/>
      <c r="V1552" s="174"/>
      <c r="W1552" s="174"/>
      <c r="X1552" s="174"/>
      <c r="Y1552" s="174"/>
      <c r="Z1552" s="174"/>
    </row>
    <row r="1553">
      <c r="A1553" s="194"/>
      <c r="B1553" s="194"/>
      <c r="C1553" s="194"/>
      <c r="D1553" s="194"/>
      <c r="E1553" s="194"/>
      <c r="F1553" s="194"/>
      <c r="G1553" s="194"/>
      <c r="H1553" s="195"/>
      <c r="I1553" s="195"/>
      <c r="J1553" s="194"/>
      <c r="K1553" s="174"/>
      <c r="L1553" s="174"/>
      <c r="M1553" s="174"/>
      <c r="N1553" s="174"/>
      <c r="O1553" s="174"/>
      <c r="P1553" s="174"/>
      <c r="Q1553" s="174"/>
      <c r="R1553" s="174"/>
      <c r="S1553" s="174"/>
      <c r="T1553" s="174"/>
      <c r="U1553" s="174"/>
      <c r="V1553" s="174"/>
      <c r="W1553" s="174"/>
      <c r="X1553" s="174"/>
      <c r="Y1553" s="174"/>
      <c r="Z1553" s="174"/>
    </row>
    <row r="1554">
      <c r="A1554" s="194"/>
      <c r="B1554" s="194"/>
      <c r="C1554" s="194"/>
      <c r="D1554" s="194"/>
      <c r="E1554" s="194"/>
      <c r="F1554" s="194"/>
      <c r="G1554" s="194"/>
      <c r="H1554" s="195"/>
      <c r="I1554" s="195"/>
      <c r="J1554" s="194"/>
      <c r="K1554" s="174"/>
      <c r="L1554" s="174"/>
      <c r="M1554" s="174"/>
      <c r="N1554" s="174"/>
      <c r="O1554" s="174"/>
      <c r="P1554" s="174"/>
      <c r="Q1554" s="174"/>
      <c r="R1554" s="174"/>
      <c r="S1554" s="174"/>
      <c r="T1554" s="174"/>
      <c r="U1554" s="174"/>
      <c r="V1554" s="174"/>
      <c r="W1554" s="174"/>
      <c r="X1554" s="174"/>
      <c r="Y1554" s="174"/>
      <c r="Z1554" s="174"/>
    </row>
    <row r="1555">
      <c r="A1555" s="194"/>
      <c r="B1555" s="194"/>
      <c r="C1555" s="194"/>
      <c r="D1555" s="194"/>
      <c r="E1555" s="194"/>
      <c r="F1555" s="194"/>
      <c r="G1555" s="194"/>
      <c r="H1555" s="195"/>
      <c r="I1555" s="195"/>
      <c r="J1555" s="194"/>
      <c r="K1555" s="174"/>
      <c r="L1555" s="174"/>
      <c r="M1555" s="174"/>
      <c r="N1555" s="174"/>
      <c r="O1555" s="174"/>
      <c r="P1555" s="174"/>
      <c r="Q1555" s="174"/>
      <c r="R1555" s="174"/>
      <c r="S1555" s="174"/>
      <c r="T1555" s="174"/>
      <c r="U1555" s="174"/>
      <c r="V1555" s="174"/>
      <c r="W1555" s="174"/>
      <c r="X1555" s="174"/>
      <c r="Y1555" s="174"/>
      <c r="Z1555" s="174"/>
    </row>
    <row r="1556">
      <c r="A1556" s="194"/>
      <c r="B1556" s="194"/>
      <c r="C1556" s="194"/>
      <c r="D1556" s="194"/>
      <c r="E1556" s="194"/>
      <c r="F1556" s="194"/>
      <c r="G1556" s="194"/>
      <c r="H1556" s="195"/>
      <c r="I1556" s="195"/>
      <c r="J1556" s="194"/>
      <c r="K1556" s="174"/>
      <c r="L1556" s="174"/>
      <c r="M1556" s="174"/>
      <c r="N1556" s="174"/>
      <c r="O1556" s="174"/>
      <c r="P1556" s="174"/>
      <c r="Q1556" s="174"/>
      <c r="R1556" s="174"/>
      <c r="S1556" s="174"/>
      <c r="T1556" s="174"/>
      <c r="U1556" s="174"/>
      <c r="V1556" s="174"/>
      <c r="W1556" s="174"/>
      <c r="X1556" s="174"/>
      <c r="Y1556" s="174"/>
      <c r="Z1556" s="174"/>
    </row>
    <row r="1557">
      <c r="A1557" s="194"/>
      <c r="B1557" s="194"/>
      <c r="C1557" s="194"/>
      <c r="D1557" s="194"/>
      <c r="E1557" s="194"/>
      <c r="F1557" s="194"/>
      <c r="G1557" s="194"/>
      <c r="H1557" s="195"/>
      <c r="I1557" s="195"/>
      <c r="J1557" s="194"/>
      <c r="K1557" s="174"/>
      <c r="L1557" s="174"/>
      <c r="M1557" s="174"/>
      <c r="N1557" s="174"/>
      <c r="O1557" s="174"/>
      <c r="P1557" s="174"/>
      <c r="Q1557" s="174"/>
      <c r="R1557" s="174"/>
      <c r="S1557" s="174"/>
      <c r="T1557" s="174"/>
      <c r="U1557" s="174"/>
      <c r="V1557" s="174"/>
      <c r="W1557" s="174"/>
      <c r="X1557" s="174"/>
      <c r="Y1557" s="174"/>
      <c r="Z1557" s="174"/>
    </row>
    <row r="1558">
      <c r="A1558" s="194"/>
      <c r="B1558" s="194"/>
      <c r="C1558" s="194"/>
      <c r="D1558" s="194"/>
      <c r="E1558" s="194"/>
      <c r="F1558" s="194"/>
      <c r="G1558" s="194"/>
      <c r="H1558" s="195"/>
      <c r="I1558" s="195"/>
      <c r="J1558" s="194"/>
      <c r="K1558" s="174"/>
      <c r="L1558" s="174"/>
      <c r="M1558" s="174"/>
      <c r="N1558" s="174"/>
      <c r="O1558" s="174"/>
      <c r="P1558" s="174"/>
      <c r="Q1558" s="174"/>
      <c r="R1558" s="174"/>
      <c r="S1558" s="174"/>
      <c r="T1558" s="174"/>
      <c r="U1558" s="174"/>
      <c r="V1558" s="174"/>
      <c r="W1558" s="174"/>
      <c r="X1558" s="174"/>
      <c r="Y1558" s="174"/>
      <c r="Z1558" s="174"/>
    </row>
    <row r="1559">
      <c r="A1559" s="194"/>
      <c r="B1559" s="194"/>
      <c r="C1559" s="194"/>
      <c r="D1559" s="194"/>
      <c r="E1559" s="194"/>
      <c r="F1559" s="194"/>
      <c r="G1559" s="194"/>
      <c r="H1559" s="195"/>
      <c r="I1559" s="195"/>
      <c r="J1559" s="194"/>
      <c r="K1559" s="174"/>
      <c r="L1559" s="174"/>
      <c r="M1559" s="174"/>
      <c r="N1559" s="174"/>
      <c r="O1559" s="174"/>
      <c r="P1559" s="174"/>
      <c r="Q1559" s="174"/>
      <c r="R1559" s="174"/>
      <c r="S1559" s="174"/>
      <c r="T1559" s="174"/>
      <c r="U1559" s="174"/>
      <c r="V1559" s="174"/>
      <c r="W1559" s="174"/>
      <c r="X1559" s="174"/>
      <c r="Y1559" s="174"/>
      <c r="Z1559" s="174"/>
    </row>
    <row r="1560">
      <c r="A1560" s="194"/>
      <c r="B1560" s="194"/>
      <c r="C1560" s="194"/>
      <c r="D1560" s="194"/>
      <c r="E1560" s="194"/>
      <c r="F1560" s="194"/>
      <c r="G1560" s="194"/>
      <c r="H1560" s="195"/>
      <c r="I1560" s="195"/>
      <c r="J1560" s="194"/>
      <c r="K1560" s="174"/>
      <c r="L1560" s="174"/>
      <c r="M1560" s="174"/>
      <c r="N1560" s="174"/>
      <c r="O1560" s="174"/>
      <c r="P1560" s="174"/>
      <c r="Q1560" s="174"/>
      <c r="R1560" s="174"/>
      <c r="S1560" s="174"/>
      <c r="T1560" s="174"/>
      <c r="U1560" s="174"/>
      <c r="V1560" s="174"/>
      <c r="W1560" s="174"/>
      <c r="X1560" s="174"/>
      <c r="Y1560" s="174"/>
      <c r="Z1560" s="174"/>
    </row>
    <row r="1561">
      <c r="A1561" s="194"/>
      <c r="B1561" s="194"/>
      <c r="C1561" s="194"/>
      <c r="D1561" s="194"/>
      <c r="E1561" s="194"/>
      <c r="F1561" s="194"/>
      <c r="G1561" s="194"/>
      <c r="H1561" s="195"/>
      <c r="I1561" s="195"/>
      <c r="J1561" s="194"/>
      <c r="K1561" s="174"/>
      <c r="L1561" s="174"/>
      <c r="M1561" s="174"/>
      <c r="N1561" s="174"/>
      <c r="O1561" s="174"/>
      <c r="P1561" s="174"/>
      <c r="Q1561" s="174"/>
      <c r="R1561" s="174"/>
      <c r="S1561" s="174"/>
      <c r="T1561" s="174"/>
      <c r="U1561" s="174"/>
      <c r="V1561" s="174"/>
      <c r="W1561" s="174"/>
      <c r="X1561" s="174"/>
      <c r="Y1561" s="174"/>
      <c r="Z1561" s="174"/>
    </row>
    <row r="1562">
      <c r="A1562" s="194"/>
      <c r="B1562" s="194"/>
      <c r="C1562" s="194"/>
      <c r="D1562" s="194"/>
      <c r="E1562" s="194"/>
      <c r="F1562" s="194"/>
      <c r="G1562" s="194"/>
      <c r="H1562" s="195"/>
      <c r="I1562" s="195"/>
      <c r="J1562" s="194"/>
      <c r="K1562" s="174"/>
      <c r="L1562" s="174"/>
      <c r="M1562" s="174"/>
      <c r="N1562" s="174"/>
      <c r="O1562" s="174"/>
      <c r="P1562" s="174"/>
      <c r="Q1562" s="174"/>
      <c r="R1562" s="174"/>
      <c r="S1562" s="174"/>
      <c r="T1562" s="174"/>
      <c r="U1562" s="174"/>
      <c r="V1562" s="174"/>
      <c r="W1562" s="174"/>
      <c r="X1562" s="174"/>
      <c r="Y1562" s="174"/>
      <c r="Z1562" s="174"/>
    </row>
    <row r="1563">
      <c r="A1563" s="194"/>
      <c r="B1563" s="194"/>
      <c r="C1563" s="194"/>
      <c r="D1563" s="194"/>
      <c r="E1563" s="194"/>
      <c r="F1563" s="194"/>
      <c r="G1563" s="194"/>
      <c r="H1563" s="195"/>
      <c r="I1563" s="195"/>
      <c r="J1563" s="194"/>
      <c r="K1563" s="174"/>
      <c r="L1563" s="174"/>
      <c r="M1563" s="174"/>
      <c r="N1563" s="174"/>
      <c r="O1563" s="174"/>
      <c r="P1563" s="174"/>
      <c r="Q1563" s="174"/>
      <c r="R1563" s="174"/>
      <c r="S1563" s="174"/>
      <c r="T1563" s="174"/>
      <c r="U1563" s="174"/>
      <c r="V1563" s="174"/>
      <c r="W1563" s="174"/>
      <c r="X1563" s="174"/>
      <c r="Y1563" s="174"/>
      <c r="Z1563" s="174"/>
    </row>
    <row r="1564">
      <c r="A1564" s="194"/>
      <c r="B1564" s="194"/>
      <c r="C1564" s="194"/>
      <c r="D1564" s="194"/>
      <c r="E1564" s="194"/>
      <c r="F1564" s="194"/>
      <c r="G1564" s="194"/>
      <c r="H1564" s="195"/>
      <c r="I1564" s="195"/>
      <c r="J1564" s="194"/>
      <c r="K1564" s="174"/>
      <c r="L1564" s="174"/>
      <c r="M1564" s="174"/>
      <c r="N1564" s="174"/>
      <c r="O1564" s="174"/>
      <c r="P1564" s="174"/>
      <c r="Q1564" s="174"/>
      <c r="R1564" s="174"/>
      <c r="S1564" s="174"/>
      <c r="T1564" s="174"/>
      <c r="U1564" s="174"/>
      <c r="V1564" s="174"/>
      <c r="W1564" s="174"/>
      <c r="X1564" s="174"/>
      <c r="Y1564" s="174"/>
      <c r="Z1564" s="174"/>
    </row>
    <row r="1565">
      <c r="A1565" s="194"/>
      <c r="B1565" s="194"/>
      <c r="C1565" s="194"/>
      <c r="D1565" s="194"/>
      <c r="E1565" s="194"/>
      <c r="F1565" s="194"/>
      <c r="G1565" s="194"/>
      <c r="H1565" s="195"/>
      <c r="I1565" s="195"/>
      <c r="J1565" s="194"/>
      <c r="K1565" s="174"/>
      <c r="L1565" s="174"/>
      <c r="M1565" s="174"/>
      <c r="N1565" s="174"/>
      <c r="O1565" s="174"/>
      <c r="P1565" s="174"/>
      <c r="Q1565" s="174"/>
      <c r="R1565" s="174"/>
      <c r="S1565" s="174"/>
      <c r="T1565" s="174"/>
      <c r="U1565" s="174"/>
      <c r="V1565" s="174"/>
      <c r="W1565" s="174"/>
      <c r="X1565" s="174"/>
      <c r="Y1565" s="174"/>
      <c r="Z1565" s="174"/>
    </row>
    <row r="1566">
      <c r="A1566" s="194"/>
      <c r="B1566" s="194"/>
      <c r="C1566" s="194"/>
      <c r="D1566" s="194"/>
      <c r="E1566" s="194"/>
      <c r="F1566" s="194"/>
      <c r="G1566" s="194"/>
      <c r="H1566" s="195"/>
      <c r="I1566" s="195"/>
      <c r="J1566" s="194"/>
      <c r="K1566" s="174"/>
      <c r="L1566" s="174"/>
      <c r="M1566" s="174"/>
      <c r="N1566" s="174"/>
      <c r="O1566" s="174"/>
      <c r="P1566" s="174"/>
      <c r="Q1566" s="174"/>
      <c r="R1566" s="174"/>
      <c r="S1566" s="174"/>
      <c r="T1566" s="174"/>
      <c r="U1566" s="174"/>
      <c r="V1566" s="174"/>
      <c r="W1566" s="174"/>
      <c r="X1566" s="174"/>
      <c r="Y1566" s="174"/>
      <c r="Z1566" s="174"/>
    </row>
    <row r="1567">
      <c r="A1567" s="194"/>
      <c r="B1567" s="194"/>
      <c r="C1567" s="194"/>
      <c r="D1567" s="194"/>
      <c r="E1567" s="194"/>
      <c r="F1567" s="194"/>
      <c r="G1567" s="194"/>
      <c r="H1567" s="195"/>
      <c r="I1567" s="195"/>
      <c r="J1567" s="194"/>
      <c r="K1567" s="174"/>
      <c r="L1567" s="174"/>
      <c r="M1567" s="174"/>
      <c r="N1567" s="174"/>
      <c r="O1567" s="174"/>
      <c r="P1567" s="174"/>
      <c r="Q1567" s="174"/>
      <c r="R1567" s="174"/>
      <c r="S1567" s="174"/>
      <c r="T1567" s="174"/>
      <c r="U1567" s="174"/>
      <c r="V1567" s="174"/>
      <c r="W1567" s="174"/>
      <c r="X1567" s="174"/>
      <c r="Y1567" s="174"/>
      <c r="Z1567" s="174"/>
    </row>
    <row r="1568">
      <c r="A1568" s="194"/>
      <c r="B1568" s="194"/>
      <c r="C1568" s="194"/>
      <c r="D1568" s="194"/>
      <c r="E1568" s="194"/>
      <c r="F1568" s="194"/>
      <c r="G1568" s="194"/>
      <c r="H1568" s="195"/>
      <c r="I1568" s="195"/>
      <c r="J1568" s="194"/>
      <c r="K1568" s="174"/>
      <c r="L1568" s="174"/>
      <c r="M1568" s="174"/>
      <c r="N1568" s="174"/>
      <c r="O1568" s="174"/>
      <c r="P1568" s="174"/>
      <c r="Q1568" s="174"/>
      <c r="R1568" s="174"/>
      <c r="S1568" s="174"/>
      <c r="T1568" s="174"/>
      <c r="U1568" s="174"/>
      <c r="V1568" s="174"/>
      <c r="W1568" s="174"/>
      <c r="X1568" s="174"/>
      <c r="Y1568" s="174"/>
      <c r="Z1568" s="174"/>
    </row>
    <row r="1569">
      <c r="A1569" s="194"/>
      <c r="B1569" s="194"/>
      <c r="C1569" s="194"/>
      <c r="D1569" s="194"/>
      <c r="E1569" s="194"/>
      <c r="F1569" s="194"/>
      <c r="G1569" s="194"/>
      <c r="H1569" s="195"/>
      <c r="I1569" s="195"/>
      <c r="J1569" s="194"/>
      <c r="K1569" s="174"/>
      <c r="L1569" s="174"/>
      <c r="M1569" s="174"/>
      <c r="N1569" s="174"/>
      <c r="O1569" s="174"/>
      <c r="P1569" s="174"/>
      <c r="Q1569" s="174"/>
      <c r="R1569" s="174"/>
      <c r="S1569" s="174"/>
      <c r="T1569" s="174"/>
      <c r="U1569" s="174"/>
      <c r="V1569" s="174"/>
      <c r="W1569" s="174"/>
      <c r="X1569" s="174"/>
      <c r="Y1569" s="174"/>
      <c r="Z1569" s="174"/>
    </row>
    <row r="1570">
      <c r="A1570" s="194"/>
      <c r="B1570" s="194"/>
      <c r="C1570" s="194"/>
      <c r="D1570" s="194"/>
      <c r="E1570" s="194"/>
      <c r="F1570" s="194"/>
      <c r="G1570" s="194"/>
      <c r="H1570" s="195"/>
      <c r="I1570" s="195"/>
      <c r="J1570" s="194"/>
      <c r="K1570" s="174"/>
      <c r="L1570" s="174"/>
      <c r="M1570" s="174"/>
      <c r="N1570" s="174"/>
      <c r="O1570" s="174"/>
      <c r="P1570" s="174"/>
      <c r="Q1570" s="174"/>
      <c r="R1570" s="174"/>
      <c r="S1570" s="174"/>
      <c r="T1570" s="174"/>
      <c r="U1570" s="174"/>
      <c r="V1570" s="174"/>
      <c r="W1570" s="174"/>
      <c r="X1570" s="174"/>
      <c r="Y1570" s="174"/>
      <c r="Z1570" s="174"/>
    </row>
    <row r="1571">
      <c r="A1571" s="194"/>
      <c r="B1571" s="194"/>
      <c r="C1571" s="194"/>
      <c r="D1571" s="194"/>
      <c r="E1571" s="194"/>
      <c r="F1571" s="194"/>
      <c r="G1571" s="194"/>
      <c r="H1571" s="195"/>
      <c r="I1571" s="195"/>
      <c r="J1571" s="194"/>
      <c r="K1571" s="174"/>
      <c r="L1571" s="174"/>
      <c r="M1571" s="174"/>
      <c r="N1571" s="174"/>
      <c r="O1571" s="174"/>
      <c r="P1571" s="174"/>
      <c r="Q1571" s="174"/>
      <c r="R1571" s="174"/>
      <c r="S1571" s="174"/>
      <c r="T1571" s="174"/>
      <c r="U1571" s="174"/>
      <c r="V1571" s="174"/>
      <c r="W1571" s="174"/>
      <c r="X1571" s="174"/>
      <c r="Y1571" s="174"/>
      <c r="Z1571" s="174"/>
    </row>
    <row r="1572">
      <c r="A1572" s="194"/>
      <c r="B1572" s="194"/>
      <c r="C1572" s="194"/>
      <c r="D1572" s="194"/>
      <c r="E1572" s="194"/>
      <c r="F1572" s="194"/>
      <c r="G1572" s="194"/>
      <c r="H1572" s="195"/>
      <c r="I1572" s="195"/>
      <c r="J1572" s="194"/>
      <c r="K1572" s="174"/>
      <c r="L1572" s="174"/>
      <c r="M1572" s="174"/>
      <c r="N1572" s="174"/>
      <c r="O1572" s="174"/>
      <c r="P1572" s="174"/>
      <c r="Q1572" s="174"/>
      <c r="R1572" s="174"/>
      <c r="S1572" s="174"/>
      <c r="T1572" s="174"/>
      <c r="U1572" s="174"/>
      <c r="V1572" s="174"/>
      <c r="W1572" s="174"/>
      <c r="X1572" s="174"/>
      <c r="Y1572" s="174"/>
      <c r="Z1572" s="174"/>
    </row>
    <row r="1573">
      <c r="A1573" s="194"/>
      <c r="B1573" s="194"/>
      <c r="C1573" s="194"/>
      <c r="D1573" s="194"/>
      <c r="E1573" s="194"/>
      <c r="F1573" s="194"/>
      <c r="G1573" s="194"/>
      <c r="H1573" s="195"/>
      <c r="I1573" s="195"/>
      <c r="J1573" s="194"/>
      <c r="K1573" s="174"/>
      <c r="L1573" s="174"/>
      <c r="M1573" s="174"/>
      <c r="N1573" s="174"/>
      <c r="O1573" s="174"/>
      <c r="P1573" s="174"/>
      <c r="Q1573" s="174"/>
      <c r="R1573" s="174"/>
      <c r="S1573" s="174"/>
      <c r="T1573" s="174"/>
      <c r="U1573" s="174"/>
      <c r="V1573" s="174"/>
      <c r="W1573" s="174"/>
      <c r="X1573" s="174"/>
      <c r="Y1573" s="174"/>
      <c r="Z1573" s="174"/>
    </row>
    <row r="1574">
      <c r="A1574" s="194"/>
      <c r="B1574" s="194"/>
      <c r="C1574" s="194"/>
      <c r="D1574" s="194"/>
      <c r="E1574" s="194"/>
      <c r="F1574" s="194"/>
      <c r="G1574" s="194"/>
      <c r="H1574" s="195"/>
      <c r="I1574" s="195"/>
      <c r="J1574" s="194"/>
      <c r="K1574" s="174"/>
      <c r="L1574" s="174"/>
      <c r="M1574" s="174"/>
      <c r="N1574" s="174"/>
      <c r="O1574" s="174"/>
      <c r="P1574" s="174"/>
      <c r="Q1574" s="174"/>
      <c r="R1574" s="174"/>
      <c r="S1574" s="174"/>
      <c r="T1574" s="174"/>
      <c r="U1574" s="174"/>
      <c r="V1574" s="174"/>
      <c r="W1574" s="174"/>
      <c r="X1574" s="174"/>
      <c r="Y1574" s="174"/>
      <c r="Z1574" s="174"/>
    </row>
    <row r="1575">
      <c r="A1575" s="194"/>
      <c r="B1575" s="194"/>
      <c r="C1575" s="194"/>
      <c r="D1575" s="194"/>
      <c r="E1575" s="194"/>
      <c r="F1575" s="194"/>
      <c r="G1575" s="194"/>
      <c r="H1575" s="195"/>
      <c r="I1575" s="195"/>
      <c r="J1575" s="194"/>
      <c r="K1575" s="174"/>
      <c r="L1575" s="174"/>
      <c r="M1575" s="174"/>
      <c r="N1575" s="174"/>
      <c r="O1575" s="174"/>
      <c r="P1575" s="174"/>
      <c r="Q1575" s="174"/>
      <c r="R1575" s="174"/>
      <c r="S1575" s="174"/>
      <c r="T1575" s="174"/>
      <c r="U1575" s="174"/>
      <c r="V1575" s="174"/>
      <c r="W1575" s="174"/>
      <c r="X1575" s="174"/>
      <c r="Y1575" s="174"/>
      <c r="Z1575" s="174"/>
    </row>
    <row r="1576">
      <c r="A1576" s="194"/>
      <c r="B1576" s="194"/>
      <c r="C1576" s="194"/>
      <c r="D1576" s="194"/>
      <c r="E1576" s="194"/>
      <c r="F1576" s="194"/>
      <c r="G1576" s="194"/>
      <c r="H1576" s="195"/>
      <c r="I1576" s="195"/>
      <c r="J1576" s="194"/>
      <c r="K1576" s="174"/>
      <c r="L1576" s="174"/>
      <c r="M1576" s="174"/>
      <c r="N1576" s="174"/>
      <c r="O1576" s="174"/>
      <c r="P1576" s="174"/>
      <c r="Q1576" s="174"/>
      <c r="R1576" s="174"/>
      <c r="S1576" s="174"/>
      <c r="T1576" s="174"/>
      <c r="U1576" s="174"/>
      <c r="V1576" s="174"/>
      <c r="W1576" s="174"/>
      <c r="X1576" s="174"/>
      <c r="Y1576" s="174"/>
      <c r="Z1576" s="174"/>
    </row>
    <row r="1577">
      <c r="A1577" s="194"/>
      <c r="B1577" s="194"/>
      <c r="C1577" s="194"/>
      <c r="D1577" s="194"/>
      <c r="E1577" s="194"/>
      <c r="F1577" s="194"/>
      <c r="G1577" s="194"/>
      <c r="H1577" s="195"/>
      <c r="I1577" s="195"/>
      <c r="J1577" s="194"/>
      <c r="K1577" s="174"/>
      <c r="L1577" s="174"/>
      <c r="M1577" s="174"/>
      <c r="N1577" s="174"/>
      <c r="O1577" s="174"/>
      <c r="P1577" s="174"/>
      <c r="Q1577" s="174"/>
      <c r="R1577" s="174"/>
      <c r="S1577" s="174"/>
      <c r="T1577" s="174"/>
      <c r="U1577" s="174"/>
      <c r="V1577" s="174"/>
      <c r="W1577" s="174"/>
      <c r="X1577" s="174"/>
      <c r="Y1577" s="174"/>
      <c r="Z1577" s="174"/>
    </row>
    <row r="1578">
      <c r="A1578" s="194"/>
      <c r="B1578" s="194"/>
      <c r="C1578" s="194"/>
      <c r="D1578" s="194"/>
      <c r="E1578" s="194"/>
      <c r="F1578" s="194"/>
      <c r="G1578" s="194"/>
      <c r="H1578" s="195"/>
      <c r="I1578" s="195"/>
      <c r="J1578" s="194"/>
      <c r="K1578" s="174"/>
      <c r="L1578" s="174"/>
      <c r="M1578" s="174"/>
      <c r="N1578" s="174"/>
      <c r="O1578" s="174"/>
      <c r="P1578" s="174"/>
      <c r="Q1578" s="174"/>
      <c r="R1578" s="174"/>
      <c r="S1578" s="174"/>
      <c r="T1578" s="174"/>
      <c r="U1578" s="174"/>
      <c r="V1578" s="174"/>
      <c r="W1578" s="174"/>
      <c r="X1578" s="174"/>
      <c r="Y1578" s="174"/>
      <c r="Z1578" s="174"/>
    </row>
    <row r="1579">
      <c r="A1579" s="194"/>
      <c r="B1579" s="194"/>
      <c r="C1579" s="194"/>
      <c r="D1579" s="194"/>
      <c r="E1579" s="194"/>
      <c r="F1579" s="194"/>
      <c r="G1579" s="194"/>
      <c r="H1579" s="195"/>
      <c r="I1579" s="195"/>
      <c r="J1579" s="194"/>
      <c r="K1579" s="174"/>
      <c r="L1579" s="174"/>
      <c r="M1579" s="174"/>
      <c r="N1579" s="174"/>
      <c r="O1579" s="174"/>
      <c r="P1579" s="174"/>
      <c r="Q1579" s="174"/>
      <c r="R1579" s="174"/>
      <c r="S1579" s="174"/>
      <c r="T1579" s="174"/>
      <c r="U1579" s="174"/>
      <c r="V1579" s="174"/>
      <c r="W1579" s="174"/>
      <c r="X1579" s="174"/>
      <c r="Y1579" s="174"/>
      <c r="Z1579" s="174"/>
    </row>
    <row r="1580">
      <c r="A1580" s="194"/>
      <c r="B1580" s="194"/>
      <c r="C1580" s="194"/>
      <c r="D1580" s="194"/>
      <c r="E1580" s="194"/>
      <c r="F1580" s="194"/>
      <c r="G1580" s="194"/>
      <c r="H1580" s="195"/>
      <c r="I1580" s="195"/>
      <c r="J1580" s="194"/>
      <c r="K1580" s="174"/>
      <c r="L1580" s="174"/>
      <c r="M1580" s="174"/>
      <c r="N1580" s="174"/>
      <c r="O1580" s="174"/>
      <c r="P1580" s="174"/>
      <c r="Q1580" s="174"/>
      <c r="R1580" s="174"/>
      <c r="S1580" s="174"/>
      <c r="T1580" s="174"/>
      <c r="U1580" s="174"/>
      <c r="V1580" s="174"/>
      <c r="W1580" s="174"/>
      <c r="X1580" s="174"/>
      <c r="Y1580" s="174"/>
      <c r="Z1580" s="174"/>
    </row>
    <row r="1581">
      <c r="A1581" s="194"/>
      <c r="B1581" s="194"/>
      <c r="C1581" s="194"/>
      <c r="D1581" s="194"/>
      <c r="E1581" s="194"/>
      <c r="F1581" s="194"/>
      <c r="G1581" s="194"/>
      <c r="H1581" s="195"/>
      <c r="I1581" s="195"/>
      <c r="J1581" s="194"/>
      <c r="K1581" s="174"/>
      <c r="L1581" s="174"/>
      <c r="M1581" s="174"/>
      <c r="N1581" s="174"/>
      <c r="O1581" s="174"/>
      <c r="P1581" s="174"/>
      <c r="Q1581" s="174"/>
      <c r="R1581" s="174"/>
      <c r="S1581" s="174"/>
      <c r="T1581" s="174"/>
      <c r="U1581" s="174"/>
      <c r="V1581" s="174"/>
      <c r="W1581" s="174"/>
      <c r="X1581" s="174"/>
      <c r="Y1581" s="174"/>
      <c r="Z1581" s="174"/>
    </row>
    <row r="1582">
      <c r="A1582" s="194"/>
      <c r="B1582" s="194"/>
      <c r="C1582" s="194"/>
      <c r="D1582" s="194"/>
      <c r="E1582" s="194"/>
      <c r="F1582" s="194"/>
      <c r="G1582" s="194"/>
      <c r="H1582" s="195"/>
      <c r="I1582" s="195"/>
      <c r="J1582" s="194"/>
      <c r="K1582" s="174"/>
      <c r="L1582" s="174"/>
      <c r="M1582" s="174"/>
      <c r="N1582" s="174"/>
      <c r="O1582" s="174"/>
      <c r="P1582" s="174"/>
      <c r="Q1582" s="174"/>
      <c r="R1582" s="174"/>
      <c r="S1582" s="174"/>
      <c r="T1582" s="174"/>
      <c r="U1582" s="174"/>
      <c r="V1582" s="174"/>
      <c r="W1582" s="174"/>
      <c r="X1582" s="174"/>
      <c r="Y1582" s="174"/>
      <c r="Z1582" s="174"/>
    </row>
    <row r="1583">
      <c r="A1583" s="194"/>
      <c r="B1583" s="194"/>
      <c r="C1583" s="194"/>
      <c r="D1583" s="194"/>
      <c r="E1583" s="194"/>
      <c r="F1583" s="194"/>
      <c r="G1583" s="194"/>
      <c r="H1583" s="195"/>
      <c r="I1583" s="195"/>
      <c r="J1583" s="194"/>
      <c r="K1583" s="174"/>
      <c r="L1583" s="174"/>
      <c r="M1583" s="174"/>
      <c r="N1583" s="174"/>
      <c r="O1583" s="174"/>
      <c r="P1583" s="174"/>
      <c r="Q1583" s="174"/>
      <c r="R1583" s="174"/>
      <c r="S1583" s="174"/>
      <c r="T1583" s="174"/>
      <c r="U1583" s="174"/>
      <c r="V1583" s="174"/>
      <c r="W1583" s="174"/>
      <c r="X1583" s="174"/>
      <c r="Y1583" s="174"/>
      <c r="Z1583" s="174"/>
    </row>
    <row r="1584">
      <c r="A1584" s="194"/>
      <c r="B1584" s="194"/>
      <c r="C1584" s="194"/>
      <c r="D1584" s="194"/>
      <c r="E1584" s="194"/>
      <c r="F1584" s="194"/>
      <c r="G1584" s="194"/>
      <c r="H1584" s="195"/>
      <c r="I1584" s="195"/>
      <c r="J1584" s="194"/>
      <c r="K1584" s="174"/>
      <c r="L1584" s="174"/>
      <c r="M1584" s="174"/>
      <c r="N1584" s="174"/>
      <c r="O1584" s="174"/>
      <c r="P1584" s="174"/>
      <c r="Q1584" s="174"/>
      <c r="R1584" s="174"/>
      <c r="S1584" s="174"/>
      <c r="T1584" s="174"/>
      <c r="U1584" s="174"/>
      <c r="V1584" s="174"/>
      <c r="W1584" s="174"/>
      <c r="X1584" s="174"/>
      <c r="Y1584" s="174"/>
      <c r="Z1584" s="174"/>
    </row>
    <row r="1585">
      <c r="A1585" s="194"/>
      <c r="B1585" s="194"/>
      <c r="C1585" s="194"/>
      <c r="D1585" s="194"/>
      <c r="E1585" s="194"/>
      <c r="F1585" s="194"/>
      <c r="G1585" s="194"/>
      <c r="H1585" s="195"/>
      <c r="I1585" s="195"/>
      <c r="J1585" s="194"/>
      <c r="K1585" s="174"/>
      <c r="L1585" s="174"/>
      <c r="M1585" s="174"/>
      <c r="N1585" s="174"/>
      <c r="O1585" s="174"/>
      <c r="P1585" s="174"/>
      <c r="Q1585" s="174"/>
      <c r="R1585" s="174"/>
      <c r="S1585" s="174"/>
      <c r="T1585" s="174"/>
      <c r="U1585" s="174"/>
      <c r="V1585" s="174"/>
      <c r="W1585" s="174"/>
      <c r="X1585" s="174"/>
      <c r="Y1585" s="174"/>
      <c r="Z1585" s="174"/>
    </row>
    <row r="1586">
      <c r="A1586" s="194"/>
      <c r="B1586" s="194"/>
      <c r="C1586" s="194"/>
      <c r="D1586" s="194"/>
      <c r="E1586" s="194"/>
      <c r="F1586" s="194"/>
      <c r="G1586" s="194"/>
      <c r="H1586" s="195"/>
      <c r="I1586" s="195"/>
      <c r="J1586" s="194"/>
      <c r="K1586" s="174"/>
      <c r="L1586" s="174"/>
      <c r="M1586" s="174"/>
      <c r="N1586" s="174"/>
      <c r="O1586" s="174"/>
      <c r="P1586" s="174"/>
      <c r="Q1586" s="174"/>
      <c r="R1586" s="174"/>
      <c r="S1586" s="174"/>
      <c r="T1586" s="174"/>
      <c r="U1586" s="174"/>
      <c r="V1586" s="174"/>
      <c r="W1586" s="174"/>
      <c r="X1586" s="174"/>
      <c r="Y1586" s="174"/>
      <c r="Z1586" s="174"/>
    </row>
    <row r="1587">
      <c r="A1587" s="194"/>
      <c r="B1587" s="194"/>
      <c r="C1587" s="194"/>
      <c r="D1587" s="194"/>
      <c r="E1587" s="194"/>
      <c r="F1587" s="194"/>
      <c r="G1587" s="194"/>
      <c r="H1587" s="195"/>
      <c r="I1587" s="195"/>
      <c r="J1587" s="194"/>
      <c r="K1587" s="174"/>
      <c r="L1587" s="174"/>
      <c r="M1587" s="174"/>
      <c r="N1587" s="174"/>
      <c r="O1587" s="174"/>
      <c r="P1587" s="174"/>
      <c r="Q1587" s="174"/>
      <c r="R1587" s="174"/>
      <c r="S1587" s="174"/>
      <c r="T1587" s="174"/>
      <c r="U1587" s="174"/>
      <c r="V1587" s="174"/>
      <c r="W1587" s="174"/>
      <c r="X1587" s="174"/>
      <c r="Y1587" s="174"/>
      <c r="Z1587" s="174"/>
    </row>
    <row r="1588">
      <c r="A1588" s="194"/>
      <c r="B1588" s="194"/>
      <c r="C1588" s="194"/>
      <c r="D1588" s="194"/>
      <c r="E1588" s="194"/>
      <c r="F1588" s="194"/>
      <c r="G1588" s="194"/>
      <c r="H1588" s="195"/>
      <c r="I1588" s="195"/>
      <c r="J1588" s="194"/>
      <c r="K1588" s="174"/>
      <c r="L1588" s="174"/>
      <c r="M1588" s="174"/>
      <c r="N1588" s="174"/>
      <c r="O1588" s="174"/>
      <c r="P1588" s="174"/>
      <c r="Q1588" s="174"/>
      <c r="R1588" s="174"/>
      <c r="S1588" s="174"/>
      <c r="T1588" s="174"/>
      <c r="U1588" s="174"/>
      <c r="V1588" s="174"/>
      <c r="W1588" s="174"/>
      <c r="X1588" s="174"/>
      <c r="Y1588" s="174"/>
      <c r="Z1588" s="174"/>
    </row>
    <row r="1589">
      <c r="A1589" s="194"/>
      <c r="B1589" s="194"/>
      <c r="C1589" s="194"/>
      <c r="D1589" s="194"/>
      <c r="E1589" s="194"/>
      <c r="F1589" s="194"/>
      <c r="G1589" s="194"/>
      <c r="H1589" s="195"/>
      <c r="I1589" s="195"/>
      <c r="J1589" s="194"/>
      <c r="K1589" s="174"/>
      <c r="L1589" s="174"/>
      <c r="M1589" s="174"/>
      <c r="N1589" s="174"/>
      <c r="O1589" s="174"/>
      <c r="P1589" s="174"/>
      <c r="Q1589" s="174"/>
      <c r="R1589" s="174"/>
      <c r="S1589" s="174"/>
      <c r="T1589" s="174"/>
      <c r="U1589" s="174"/>
      <c r="V1589" s="174"/>
      <c r="W1589" s="174"/>
      <c r="X1589" s="174"/>
      <c r="Y1589" s="174"/>
      <c r="Z1589" s="174"/>
    </row>
    <row r="1590">
      <c r="A1590" s="194"/>
      <c r="B1590" s="194"/>
      <c r="C1590" s="194"/>
      <c r="D1590" s="194"/>
      <c r="E1590" s="194"/>
      <c r="F1590" s="194"/>
      <c r="G1590" s="194"/>
      <c r="H1590" s="195"/>
      <c r="I1590" s="195"/>
      <c r="J1590" s="194"/>
      <c r="K1590" s="174"/>
      <c r="L1590" s="174"/>
      <c r="M1590" s="174"/>
      <c r="N1590" s="174"/>
      <c r="O1590" s="174"/>
      <c r="P1590" s="174"/>
      <c r="Q1590" s="174"/>
      <c r="R1590" s="174"/>
      <c r="S1590" s="174"/>
      <c r="T1590" s="174"/>
      <c r="U1590" s="174"/>
      <c r="V1590" s="174"/>
      <c r="W1590" s="174"/>
      <c r="X1590" s="174"/>
      <c r="Y1590" s="174"/>
      <c r="Z1590" s="174"/>
    </row>
    <row r="1591">
      <c r="A1591" s="194"/>
      <c r="B1591" s="194"/>
      <c r="C1591" s="194"/>
      <c r="D1591" s="194"/>
      <c r="E1591" s="194"/>
      <c r="F1591" s="194"/>
      <c r="G1591" s="194"/>
      <c r="H1591" s="195"/>
      <c r="I1591" s="195"/>
      <c r="J1591" s="194"/>
      <c r="K1591" s="174"/>
      <c r="L1591" s="174"/>
      <c r="M1591" s="174"/>
      <c r="N1591" s="174"/>
      <c r="O1591" s="174"/>
      <c r="P1591" s="174"/>
      <c r="Q1591" s="174"/>
      <c r="R1591" s="174"/>
      <c r="S1591" s="174"/>
      <c r="T1591" s="174"/>
      <c r="U1591" s="174"/>
      <c r="V1591" s="174"/>
      <c r="W1591" s="174"/>
      <c r="X1591" s="174"/>
      <c r="Y1591" s="174"/>
      <c r="Z1591" s="174"/>
    </row>
    <row r="1592">
      <c r="A1592" s="194"/>
      <c r="B1592" s="194"/>
      <c r="C1592" s="194"/>
      <c r="D1592" s="194"/>
      <c r="E1592" s="194"/>
      <c r="F1592" s="194"/>
      <c r="G1592" s="194"/>
      <c r="H1592" s="195"/>
      <c r="I1592" s="195"/>
      <c r="J1592" s="194"/>
      <c r="K1592" s="174"/>
      <c r="L1592" s="174"/>
      <c r="M1592" s="174"/>
      <c r="N1592" s="174"/>
      <c r="O1592" s="174"/>
      <c r="P1592" s="174"/>
      <c r="Q1592" s="174"/>
      <c r="R1592" s="174"/>
      <c r="S1592" s="174"/>
      <c r="T1592" s="174"/>
      <c r="U1592" s="174"/>
      <c r="V1592" s="174"/>
      <c r="W1592" s="174"/>
      <c r="X1592" s="174"/>
      <c r="Y1592" s="174"/>
      <c r="Z1592" s="174"/>
    </row>
    <row r="1593">
      <c r="A1593" s="194"/>
      <c r="B1593" s="194"/>
      <c r="C1593" s="194"/>
      <c r="D1593" s="194"/>
      <c r="E1593" s="194"/>
      <c r="F1593" s="194"/>
      <c r="G1593" s="194"/>
      <c r="H1593" s="195"/>
      <c r="I1593" s="195"/>
      <c r="J1593" s="194"/>
      <c r="K1593" s="174"/>
      <c r="L1593" s="174"/>
      <c r="M1593" s="174"/>
      <c r="N1593" s="174"/>
      <c r="O1593" s="174"/>
      <c r="P1593" s="174"/>
      <c r="Q1593" s="174"/>
      <c r="R1593" s="174"/>
      <c r="S1593" s="174"/>
      <c r="T1593" s="174"/>
      <c r="U1593" s="174"/>
      <c r="V1593" s="174"/>
      <c r="W1593" s="174"/>
      <c r="X1593" s="174"/>
      <c r="Y1593" s="174"/>
      <c r="Z1593" s="174"/>
    </row>
    <row r="1594">
      <c r="A1594" s="194"/>
      <c r="B1594" s="194"/>
      <c r="C1594" s="194"/>
      <c r="D1594" s="194"/>
      <c r="E1594" s="194"/>
      <c r="F1594" s="194"/>
      <c r="G1594" s="194"/>
      <c r="H1594" s="195"/>
      <c r="I1594" s="195"/>
      <c r="J1594" s="194"/>
      <c r="K1594" s="174"/>
      <c r="L1594" s="174"/>
      <c r="M1594" s="174"/>
      <c r="N1594" s="174"/>
      <c r="O1594" s="174"/>
      <c r="P1594" s="174"/>
      <c r="Q1594" s="174"/>
      <c r="R1594" s="174"/>
      <c r="S1594" s="174"/>
      <c r="T1594" s="174"/>
      <c r="U1594" s="174"/>
      <c r="V1594" s="174"/>
      <c r="W1594" s="174"/>
      <c r="X1594" s="174"/>
      <c r="Y1594" s="174"/>
      <c r="Z1594" s="174"/>
    </row>
    <row r="1595">
      <c r="A1595" s="194"/>
      <c r="B1595" s="194"/>
      <c r="C1595" s="194"/>
      <c r="D1595" s="194"/>
      <c r="E1595" s="194"/>
      <c r="F1595" s="194"/>
      <c r="G1595" s="194"/>
      <c r="H1595" s="195"/>
      <c r="I1595" s="195"/>
      <c r="J1595" s="194"/>
      <c r="K1595" s="174"/>
      <c r="L1595" s="174"/>
      <c r="M1595" s="174"/>
      <c r="N1595" s="174"/>
      <c r="O1595" s="174"/>
      <c r="P1595" s="174"/>
      <c r="Q1595" s="174"/>
      <c r="R1595" s="174"/>
      <c r="S1595" s="174"/>
      <c r="T1595" s="174"/>
      <c r="U1595" s="174"/>
      <c r="V1595" s="174"/>
      <c r="W1595" s="174"/>
      <c r="X1595" s="174"/>
      <c r="Y1595" s="174"/>
      <c r="Z1595" s="174"/>
    </row>
    <row r="1596">
      <c r="A1596" s="194"/>
      <c r="B1596" s="194"/>
      <c r="C1596" s="194"/>
      <c r="D1596" s="194"/>
      <c r="E1596" s="194"/>
      <c r="F1596" s="194"/>
      <c r="G1596" s="194"/>
      <c r="H1596" s="195"/>
      <c r="I1596" s="195"/>
      <c r="J1596" s="194"/>
      <c r="K1596" s="174"/>
      <c r="L1596" s="174"/>
      <c r="M1596" s="174"/>
      <c r="N1596" s="174"/>
      <c r="O1596" s="174"/>
      <c r="P1596" s="174"/>
      <c r="Q1596" s="174"/>
      <c r="R1596" s="174"/>
      <c r="S1596" s="174"/>
      <c r="T1596" s="174"/>
      <c r="U1596" s="174"/>
      <c r="V1596" s="174"/>
      <c r="W1596" s="174"/>
      <c r="X1596" s="174"/>
      <c r="Y1596" s="174"/>
      <c r="Z1596" s="174"/>
    </row>
    <row r="1597">
      <c r="A1597" s="194"/>
      <c r="B1597" s="194"/>
      <c r="C1597" s="194"/>
      <c r="D1597" s="194"/>
      <c r="E1597" s="194"/>
      <c r="F1597" s="194"/>
      <c r="G1597" s="194"/>
      <c r="H1597" s="195"/>
      <c r="I1597" s="195"/>
      <c r="J1597" s="194"/>
      <c r="K1597" s="174"/>
      <c r="L1597" s="174"/>
      <c r="M1597" s="174"/>
      <c r="N1597" s="174"/>
      <c r="O1597" s="174"/>
      <c r="P1597" s="174"/>
      <c r="Q1597" s="174"/>
      <c r="R1597" s="174"/>
      <c r="S1597" s="174"/>
      <c r="T1597" s="174"/>
      <c r="U1597" s="174"/>
      <c r="V1597" s="174"/>
      <c r="W1597" s="174"/>
      <c r="X1597" s="174"/>
      <c r="Y1597" s="174"/>
      <c r="Z1597" s="174"/>
    </row>
    <row r="1598">
      <c r="A1598" s="194"/>
      <c r="B1598" s="194"/>
      <c r="C1598" s="194"/>
      <c r="D1598" s="194"/>
      <c r="E1598" s="194"/>
      <c r="F1598" s="194"/>
      <c r="G1598" s="194"/>
      <c r="H1598" s="195"/>
      <c r="I1598" s="195"/>
      <c r="J1598" s="194"/>
      <c r="K1598" s="174"/>
      <c r="L1598" s="174"/>
      <c r="M1598" s="174"/>
      <c r="N1598" s="174"/>
      <c r="O1598" s="174"/>
      <c r="P1598" s="174"/>
      <c r="Q1598" s="174"/>
      <c r="R1598" s="174"/>
      <c r="S1598" s="174"/>
      <c r="T1598" s="174"/>
      <c r="U1598" s="174"/>
      <c r="V1598" s="174"/>
      <c r="W1598" s="174"/>
      <c r="X1598" s="174"/>
      <c r="Y1598" s="174"/>
      <c r="Z1598" s="174"/>
    </row>
    <row r="1599">
      <c r="A1599" s="194"/>
      <c r="B1599" s="194"/>
      <c r="C1599" s="194"/>
      <c r="D1599" s="194"/>
      <c r="E1599" s="194"/>
      <c r="F1599" s="194"/>
      <c r="G1599" s="194"/>
      <c r="H1599" s="195"/>
      <c r="I1599" s="195"/>
      <c r="J1599" s="194"/>
      <c r="K1599" s="174"/>
      <c r="L1599" s="174"/>
      <c r="M1599" s="174"/>
      <c r="N1599" s="174"/>
      <c r="O1599" s="174"/>
      <c r="P1599" s="174"/>
      <c r="Q1599" s="174"/>
      <c r="R1599" s="174"/>
      <c r="S1599" s="174"/>
      <c r="T1599" s="174"/>
      <c r="U1599" s="174"/>
      <c r="V1599" s="174"/>
      <c r="W1599" s="174"/>
      <c r="X1599" s="174"/>
      <c r="Y1599" s="174"/>
      <c r="Z1599" s="174"/>
    </row>
    <row r="1600">
      <c r="A1600" s="194"/>
      <c r="B1600" s="194"/>
      <c r="C1600" s="194"/>
      <c r="D1600" s="194"/>
      <c r="E1600" s="194"/>
      <c r="F1600" s="194"/>
      <c r="G1600" s="194"/>
      <c r="H1600" s="195"/>
      <c r="I1600" s="195"/>
      <c r="J1600" s="194"/>
      <c r="K1600" s="174"/>
      <c r="L1600" s="174"/>
      <c r="M1600" s="174"/>
      <c r="N1600" s="174"/>
      <c r="O1600" s="174"/>
      <c r="P1600" s="174"/>
      <c r="Q1600" s="174"/>
      <c r="R1600" s="174"/>
      <c r="S1600" s="174"/>
      <c r="T1600" s="174"/>
      <c r="U1600" s="174"/>
      <c r="V1600" s="174"/>
      <c r="W1600" s="174"/>
      <c r="X1600" s="174"/>
      <c r="Y1600" s="174"/>
      <c r="Z1600" s="174"/>
    </row>
    <row r="1601">
      <c r="A1601" s="194"/>
      <c r="B1601" s="194"/>
      <c r="C1601" s="194"/>
      <c r="D1601" s="194"/>
      <c r="E1601" s="194"/>
      <c r="F1601" s="194"/>
      <c r="G1601" s="194"/>
      <c r="H1601" s="195"/>
      <c r="I1601" s="195"/>
      <c r="J1601" s="194"/>
      <c r="K1601" s="174"/>
      <c r="L1601" s="174"/>
      <c r="M1601" s="174"/>
      <c r="N1601" s="174"/>
      <c r="O1601" s="174"/>
      <c r="P1601" s="174"/>
      <c r="Q1601" s="174"/>
      <c r="R1601" s="174"/>
      <c r="S1601" s="174"/>
      <c r="T1601" s="174"/>
      <c r="U1601" s="174"/>
      <c r="V1601" s="174"/>
      <c r="W1601" s="174"/>
      <c r="X1601" s="174"/>
      <c r="Y1601" s="174"/>
      <c r="Z1601" s="174"/>
    </row>
    <row r="1602">
      <c r="A1602" s="194"/>
      <c r="B1602" s="194"/>
      <c r="C1602" s="194"/>
      <c r="D1602" s="194"/>
      <c r="E1602" s="194"/>
      <c r="F1602" s="194"/>
      <c r="G1602" s="194"/>
      <c r="H1602" s="195"/>
      <c r="I1602" s="195"/>
      <c r="J1602" s="194"/>
      <c r="K1602" s="174"/>
      <c r="L1602" s="174"/>
      <c r="M1602" s="174"/>
      <c r="N1602" s="174"/>
      <c r="O1602" s="174"/>
      <c r="P1602" s="174"/>
      <c r="Q1602" s="174"/>
      <c r="R1602" s="174"/>
      <c r="S1602" s="174"/>
      <c r="T1602" s="174"/>
      <c r="U1602" s="174"/>
      <c r="V1602" s="174"/>
      <c r="W1602" s="174"/>
      <c r="X1602" s="174"/>
      <c r="Y1602" s="174"/>
      <c r="Z1602" s="174"/>
    </row>
    <row r="1603">
      <c r="A1603" s="194"/>
      <c r="B1603" s="194"/>
      <c r="C1603" s="194"/>
      <c r="D1603" s="194"/>
      <c r="E1603" s="194"/>
      <c r="F1603" s="194"/>
      <c r="G1603" s="194"/>
      <c r="H1603" s="195"/>
      <c r="I1603" s="195"/>
      <c r="J1603" s="194"/>
      <c r="K1603" s="174"/>
      <c r="L1603" s="174"/>
      <c r="M1603" s="174"/>
      <c r="N1603" s="174"/>
      <c r="O1603" s="174"/>
      <c r="P1603" s="174"/>
      <c r="Q1603" s="174"/>
      <c r="R1603" s="174"/>
      <c r="S1603" s="174"/>
      <c r="T1603" s="174"/>
      <c r="U1603" s="174"/>
      <c r="V1603" s="174"/>
      <c r="W1603" s="174"/>
      <c r="X1603" s="174"/>
      <c r="Y1603" s="174"/>
      <c r="Z1603" s="174"/>
    </row>
    <row r="1604">
      <c r="A1604" s="194"/>
      <c r="B1604" s="194"/>
      <c r="C1604" s="194"/>
      <c r="D1604" s="194"/>
      <c r="E1604" s="194"/>
      <c r="F1604" s="194"/>
      <c r="G1604" s="194"/>
      <c r="H1604" s="195"/>
      <c r="I1604" s="195"/>
      <c r="J1604" s="194"/>
      <c r="K1604" s="174"/>
      <c r="L1604" s="174"/>
      <c r="M1604" s="174"/>
      <c r="N1604" s="174"/>
      <c r="O1604" s="174"/>
      <c r="P1604" s="174"/>
      <c r="Q1604" s="174"/>
      <c r="R1604" s="174"/>
      <c r="S1604" s="174"/>
      <c r="T1604" s="174"/>
      <c r="U1604" s="174"/>
      <c r="V1604" s="174"/>
      <c r="W1604" s="174"/>
      <c r="X1604" s="174"/>
      <c r="Y1604" s="174"/>
      <c r="Z1604" s="174"/>
    </row>
    <row r="1605">
      <c r="A1605" s="194"/>
      <c r="B1605" s="194"/>
      <c r="C1605" s="194"/>
      <c r="D1605" s="194"/>
      <c r="E1605" s="194"/>
      <c r="F1605" s="194"/>
      <c r="G1605" s="194"/>
      <c r="H1605" s="195"/>
      <c r="I1605" s="195"/>
      <c r="J1605" s="194"/>
      <c r="K1605" s="174"/>
      <c r="L1605" s="174"/>
      <c r="M1605" s="174"/>
      <c r="N1605" s="174"/>
      <c r="O1605" s="174"/>
      <c r="P1605" s="174"/>
      <c r="Q1605" s="174"/>
      <c r="R1605" s="174"/>
      <c r="S1605" s="174"/>
      <c r="T1605" s="174"/>
      <c r="U1605" s="174"/>
      <c r="V1605" s="174"/>
      <c r="W1605" s="174"/>
      <c r="X1605" s="174"/>
      <c r="Y1605" s="174"/>
      <c r="Z1605" s="174"/>
    </row>
    <row r="1606">
      <c r="A1606" s="194"/>
      <c r="B1606" s="194"/>
      <c r="C1606" s="194"/>
      <c r="D1606" s="194"/>
      <c r="E1606" s="194"/>
      <c r="F1606" s="194"/>
      <c r="G1606" s="194"/>
      <c r="H1606" s="195"/>
      <c r="I1606" s="195"/>
      <c r="J1606" s="194"/>
      <c r="K1606" s="174"/>
      <c r="L1606" s="174"/>
      <c r="M1606" s="174"/>
      <c r="N1606" s="174"/>
      <c r="O1606" s="174"/>
      <c r="P1606" s="174"/>
      <c r="Q1606" s="174"/>
      <c r="R1606" s="174"/>
      <c r="S1606" s="174"/>
      <c r="T1606" s="174"/>
      <c r="U1606" s="174"/>
      <c r="V1606" s="174"/>
      <c r="W1606" s="174"/>
      <c r="X1606" s="174"/>
      <c r="Y1606" s="174"/>
      <c r="Z1606" s="174"/>
    </row>
    <row r="1607">
      <c r="A1607" s="194"/>
      <c r="B1607" s="194"/>
      <c r="C1607" s="194"/>
      <c r="D1607" s="194"/>
      <c r="E1607" s="194"/>
      <c r="F1607" s="194"/>
      <c r="G1607" s="194"/>
      <c r="H1607" s="195"/>
      <c r="I1607" s="195"/>
      <c r="J1607" s="194"/>
      <c r="K1607" s="174"/>
      <c r="L1607" s="174"/>
      <c r="M1607" s="174"/>
      <c r="N1607" s="174"/>
      <c r="O1607" s="174"/>
      <c r="P1607" s="174"/>
      <c r="Q1607" s="174"/>
      <c r="R1607" s="174"/>
      <c r="S1607" s="174"/>
      <c r="T1607" s="174"/>
      <c r="U1607" s="174"/>
      <c r="V1607" s="174"/>
      <c r="W1607" s="174"/>
      <c r="X1607" s="174"/>
      <c r="Y1607" s="174"/>
      <c r="Z1607" s="174"/>
    </row>
    <row r="1608">
      <c r="A1608" s="194"/>
      <c r="B1608" s="194"/>
      <c r="C1608" s="194"/>
      <c r="D1608" s="194"/>
      <c r="E1608" s="194"/>
      <c r="F1608" s="194"/>
      <c r="G1608" s="194"/>
      <c r="H1608" s="195"/>
      <c r="I1608" s="195"/>
      <c r="J1608" s="194"/>
      <c r="K1608" s="174"/>
      <c r="L1608" s="174"/>
      <c r="M1608" s="174"/>
      <c r="N1608" s="174"/>
      <c r="O1608" s="174"/>
      <c r="P1608" s="174"/>
      <c r="Q1608" s="174"/>
      <c r="R1608" s="174"/>
      <c r="S1608" s="174"/>
      <c r="T1608" s="174"/>
      <c r="U1608" s="174"/>
      <c r="V1608" s="174"/>
      <c r="W1608" s="174"/>
      <c r="X1608" s="174"/>
      <c r="Y1608" s="174"/>
      <c r="Z1608" s="174"/>
    </row>
    <row r="1609">
      <c r="A1609" s="194"/>
      <c r="B1609" s="194"/>
      <c r="C1609" s="194"/>
      <c r="D1609" s="194"/>
      <c r="E1609" s="194"/>
      <c r="F1609" s="194"/>
      <c r="G1609" s="194"/>
      <c r="H1609" s="195"/>
      <c r="I1609" s="195"/>
      <c r="J1609" s="194"/>
      <c r="K1609" s="174"/>
      <c r="L1609" s="174"/>
      <c r="M1609" s="174"/>
      <c r="N1609" s="174"/>
      <c r="O1609" s="174"/>
      <c r="P1609" s="174"/>
      <c r="Q1609" s="174"/>
      <c r="R1609" s="174"/>
      <c r="S1609" s="174"/>
      <c r="T1609" s="174"/>
      <c r="U1609" s="174"/>
      <c r="V1609" s="174"/>
      <c r="W1609" s="174"/>
      <c r="X1609" s="174"/>
      <c r="Y1609" s="174"/>
      <c r="Z1609" s="174"/>
    </row>
    <row r="1610">
      <c r="A1610" s="194"/>
      <c r="B1610" s="194"/>
      <c r="C1610" s="194"/>
      <c r="D1610" s="194"/>
      <c r="E1610" s="194"/>
      <c r="F1610" s="194"/>
      <c r="G1610" s="194"/>
      <c r="H1610" s="195"/>
      <c r="I1610" s="195"/>
      <c r="J1610" s="194"/>
      <c r="K1610" s="174"/>
      <c r="L1610" s="174"/>
      <c r="M1610" s="174"/>
      <c r="N1610" s="174"/>
      <c r="O1610" s="174"/>
      <c r="P1610" s="174"/>
      <c r="Q1610" s="174"/>
      <c r="R1610" s="174"/>
      <c r="S1610" s="174"/>
      <c r="T1610" s="174"/>
      <c r="U1610" s="174"/>
      <c r="V1610" s="174"/>
      <c r="W1610" s="174"/>
      <c r="X1610" s="174"/>
      <c r="Y1610" s="174"/>
      <c r="Z1610" s="174"/>
    </row>
    <row r="1611">
      <c r="A1611" s="194"/>
      <c r="B1611" s="194"/>
      <c r="C1611" s="194"/>
      <c r="D1611" s="194"/>
      <c r="E1611" s="194"/>
      <c r="F1611" s="194"/>
      <c r="G1611" s="194"/>
      <c r="H1611" s="195"/>
      <c r="I1611" s="195"/>
      <c r="J1611" s="194"/>
      <c r="K1611" s="174"/>
      <c r="L1611" s="174"/>
      <c r="M1611" s="174"/>
      <c r="N1611" s="174"/>
      <c r="O1611" s="174"/>
      <c r="P1611" s="174"/>
      <c r="Q1611" s="174"/>
      <c r="R1611" s="174"/>
      <c r="S1611" s="174"/>
      <c r="T1611" s="174"/>
      <c r="U1611" s="174"/>
      <c r="V1611" s="174"/>
      <c r="W1611" s="174"/>
      <c r="X1611" s="174"/>
      <c r="Y1611" s="174"/>
      <c r="Z1611" s="174"/>
    </row>
    <row r="1612">
      <c r="A1612" s="194"/>
      <c r="B1612" s="194"/>
      <c r="C1612" s="194"/>
      <c r="D1612" s="194"/>
      <c r="E1612" s="194"/>
      <c r="F1612" s="194"/>
      <c r="G1612" s="194"/>
      <c r="H1612" s="195"/>
      <c r="I1612" s="195"/>
      <c r="J1612" s="194"/>
      <c r="K1612" s="174"/>
      <c r="L1612" s="174"/>
      <c r="M1612" s="174"/>
      <c r="N1612" s="174"/>
      <c r="O1612" s="174"/>
      <c r="P1612" s="174"/>
      <c r="Q1612" s="174"/>
      <c r="R1612" s="174"/>
      <c r="S1612" s="174"/>
      <c r="T1612" s="174"/>
      <c r="U1612" s="174"/>
      <c r="V1612" s="174"/>
      <c r="W1612" s="174"/>
      <c r="X1612" s="174"/>
      <c r="Y1612" s="174"/>
      <c r="Z1612" s="174"/>
    </row>
    <row r="1613">
      <c r="A1613" s="194"/>
      <c r="B1613" s="194"/>
      <c r="C1613" s="194"/>
      <c r="D1613" s="194"/>
      <c r="E1613" s="194"/>
      <c r="F1613" s="194"/>
      <c r="G1613" s="194"/>
      <c r="H1613" s="195"/>
      <c r="I1613" s="195"/>
      <c r="J1613" s="194"/>
      <c r="K1613" s="174"/>
      <c r="L1613" s="174"/>
      <c r="M1613" s="174"/>
      <c r="N1613" s="174"/>
      <c r="O1613" s="174"/>
      <c r="P1613" s="174"/>
      <c r="Q1613" s="174"/>
      <c r="R1613" s="174"/>
      <c r="S1613" s="174"/>
      <c r="T1613" s="174"/>
      <c r="U1613" s="174"/>
      <c r="V1613" s="174"/>
      <c r="W1613" s="174"/>
      <c r="X1613" s="174"/>
      <c r="Y1613" s="174"/>
      <c r="Z1613" s="174"/>
    </row>
    <row r="1614">
      <c r="A1614" s="194"/>
      <c r="B1614" s="194"/>
      <c r="C1614" s="194"/>
      <c r="D1614" s="194"/>
      <c r="E1614" s="194"/>
      <c r="F1614" s="194"/>
      <c r="G1614" s="194"/>
      <c r="H1614" s="195"/>
      <c r="I1614" s="195"/>
      <c r="J1614" s="194"/>
      <c r="K1614" s="174"/>
      <c r="L1614" s="174"/>
      <c r="M1614" s="174"/>
      <c r="N1614" s="174"/>
      <c r="O1614" s="174"/>
      <c r="P1614" s="174"/>
      <c r="Q1614" s="174"/>
      <c r="R1614" s="174"/>
      <c r="S1614" s="174"/>
      <c r="T1614" s="174"/>
      <c r="U1614" s="174"/>
      <c r="V1614" s="174"/>
      <c r="W1614" s="174"/>
      <c r="X1614" s="174"/>
      <c r="Y1614" s="174"/>
      <c r="Z1614" s="174"/>
    </row>
    <row r="1615">
      <c r="A1615" s="194"/>
      <c r="B1615" s="194"/>
      <c r="C1615" s="194"/>
      <c r="D1615" s="194"/>
      <c r="E1615" s="194"/>
      <c r="F1615" s="194"/>
      <c r="G1615" s="194"/>
      <c r="H1615" s="195"/>
      <c r="I1615" s="195"/>
      <c r="J1615" s="194"/>
      <c r="K1615" s="174"/>
      <c r="L1615" s="174"/>
      <c r="M1615" s="174"/>
      <c r="N1615" s="174"/>
      <c r="O1615" s="174"/>
      <c r="P1615" s="174"/>
      <c r="Q1615" s="174"/>
      <c r="R1615" s="174"/>
      <c r="S1615" s="174"/>
      <c r="T1615" s="174"/>
      <c r="U1615" s="174"/>
      <c r="V1615" s="174"/>
      <c r="W1615" s="174"/>
      <c r="X1615" s="174"/>
      <c r="Y1615" s="174"/>
      <c r="Z1615" s="174"/>
    </row>
    <row r="1616">
      <c r="A1616" s="194"/>
      <c r="B1616" s="194"/>
      <c r="C1616" s="194"/>
      <c r="D1616" s="194"/>
      <c r="E1616" s="194"/>
      <c r="F1616" s="194"/>
      <c r="G1616" s="194"/>
      <c r="H1616" s="195"/>
      <c r="I1616" s="195"/>
      <c r="J1616" s="194"/>
      <c r="K1616" s="174"/>
      <c r="L1616" s="174"/>
      <c r="M1616" s="174"/>
      <c r="N1616" s="174"/>
      <c r="O1616" s="174"/>
      <c r="P1616" s="174"/>
      <c r="Q1616" s="174"/>
      <c r="R1616" s="174"/>
      <c r="S1616" s="174"/>
      <c r="T1616" s="174"/>
      <c r="U1616" s="174"/>
      <c r="V1616" s="174"/>
      <c r="W1616" s="174"/>
      <c r="X1616" s="174"/>
      <c r="Y1616" s="174"/>
      <c r="Z1616" s="174"/>
    </row>
    <row r="1617">
      <c r="A1617" s="194"/>
      <c r="B1617" s="194"/>
      <c r="C1617" s="194"/>
      <c r="D1617" s="194"/>
      <c r="E1617" s="194"/>
      <c r="F1617" s="194"/>
      <c r="G1617" s="194"/>
      <c r="H1617" s="195"/>
      <c r="I1617" s="195"/>
      <c r="J1617" s="194"/>
      <c r="K1617" s="174"/>
      <c r="L1617" s="174"/>
      <c r="M1617" s="174"/>
      <c r="N1617" s="174"/>
      <c r="O1617" s="174"/>
      <c r="P1617" s="174"/>
      <c r="Q1617" s="174"/>
      <c r="R1617" s="174"/>
      <c r="S1617" s="174"/>
      <c r="T1617" s="174"/>
      <c r="U1617" s="174"/>
      <c r="V1617" s="174"/>
      <c r="W1617" s="174"/>
      <c r="X1617" s="174"/>
      <c r="Y1617" s="174"/>
      <c r="Z1617" s="174"/>
    </row>
    <row r="1618">
      <c r="A1618" s="194"/>
      <c r="B1618" s="194"/>
      <c r="C1618" s="194"/>
      <c r="D1618" s="194"/>
      <c r="E1618" s="194"/>
      <c r="F1618" s="194"/>
      <c r="G1618" s="194"/>
      <c r="H1618" s="195"/>
      <c r="I1618" s="195"/>
      <c r="J1618" s="194"/>
      <c r="K1618" s="174"/>
      <c r="L1618" s="174"/>
      <c r="M1618" s="174"/>
      <c r="N1618" s="174"/>
      <c r="O1618" s="174"/>
      <c r="P1618" s="174"/>
      <c r="Q1618" s="174"/>
      <c r="R1618" s="174"/>
      <c r="S1618" s="174"/>
      <c r="T1618" s="174"/>
      <c r="U1618" s="174"/>
      <c r="V1618" s="174"/>
      <c r="W1618" s="174"/>
      <c r="X1618" s="174"/>
      <c r="Y1618" s="174"/>
      <c r="Z1618" s="174"/>
    </row>
    <row r="1619">
      <c r="A1619" s="194"/>
      <c r="B1619" s="194"/>
      <c r="C1619" s="194"/>
      <c r="D1619" s="194"/>
      <c r="E1619" s="194"/>
      <c r="F1619" s="194"/>
      <c r="G1619" s="194"/>
      <c r="H1619" s="195"/>
      <c r="I1619" s="195"/>
      <c r="J1619" s="194"/>
      <c r="K1619" s="174"/>
      <c r="L1619" s="174"/>
      <c r="M1619" s="174"/>
      <c r="N1619" s="174"/>
      <c r="O1619" s="174"/>
      <c r="P1619" s="174"/>
      <c r="Q1619" s="174"/>
      <c r="R1619" s="174"/>
      <c r="S1619" s="174"/>
      <c r="T1619" s="174"/>
      <c r="U1619" s="174"/>
      <c r="V1619" s="174"/>
      <c r="W1619" s="174"/>
      <c r="X1619" s="174"/>
      <c r="Y1619" s="174"/>
      <c r="Z1619" s="174"/>
    </row>
    <row r="1620">
      <c r="A1620" s="194"/>
      <c r="B1620" s="194"/>
      <c r="C1620" s="194"/>
      <c r="D1620" s="194"/>
      <c r="E1620" s="194"/>
      <c r="F1620" s="194"/>
      <c r="G1620" s="194"/>
      <c r="H1620" s="195"/>
      <c r="I1620" s="195"/>
      <c r="J1620" s="194"/>
      <c r="K1620" s="174"/>
      <c r="L1620" s="174"/>
      <c r="M1620" s="174"/>
      <c r="N1620" s="174"/>
      <c r="O1620" s="174"/>
      <c r="P1620" s="174"/>
      <c r="Q1620" s="174"/>
      <c r="R1620" s="174"/>
      <c r="S1620" s="174"/>
      <c r="T1620" s="174"/>
      <c r="U1620" s="174"/>
      <c r="V1620" s="174"/>
      <c r="W1620" s="174"/>
      <c r="X1620" s="174"/>
      <c r="Y1620" s="174"/>
      <c r="Z1620" s="174"/>
    </row>
    <row r="1621">
      <c r="A1621" s="194"/>
      <c r="B1621" s="194"/>
      <c r="C1621" s="194"/>
      <c r="D1621" s="194"/>
      <c r="E1621" s="194"/>
      <c r="F1621" s="194"/>
      <c r="G1621" s="194"/>
      <c r="H1621" s="195"/>
      <c r="I1621" s="195"/>
      <c r="J1621" s="194"/>
      <c r="K1621" s="174"/>
      <c r="L1621" s="174"/>
      <c r="M1621" s="174"/>
      <c r="N1621" s="174"/>
      <c r="O1621" s="174"/>
      <c r="P1621" s="174"/>
      <c r="Q1621" s="174"/>
      <c r="R1621" s="174"/>
      <c r="S1621" s="174"/>
      <c r="T1621" s="174"/>
      <c r="U1621" s="174"/>
      <c r="V1621" s="174"/>
      <c r="W1621" s="174"/>
      <c r="X1621" s="174"/>
      <c r="Y1621" s="174"/>
      <c r="Z1621" s="174"/>
    </row>
    <row r="1622">
      <c r="A1622" s="194"/>
      <c r="B1622" s="194"/>
      <c r="C1622" s="194"/>
      <c r="D1622" s="194"/>
      <c r="E1622" s="194"/>
      <c r="F1622" s="194"/>
      <c r="G1622" s="194"/>
      <c r="H1622" s="195"/>
      <c r="I1622" s="195"/>
      <c r="J1622" s="194"/>
      <c r="K1622" s="174"/>
      <c r="L1622" s="174"/>
      <c r="M1622" s="174"/>
      <c r="N1622" s="174"/>
      <c r="O1622" s="174"/>
      <c r="P1622" s="174"/>
      <c r="Q1622" s="174"/>
      <c r="R1622" s="174"/>
      <c r="S1622" s="174"/>
      <c r="T1622" s="174"/>
      <c r="U1622" s="174"/>
      <c r="V1622" s="174"/>
      <c r="W1622" s="174"/>
      <c r="X1622" s="174"/>
      <c r="Y1622" s="174"/>
      <c r="Z1622" s="174"/>
    </row>
    <row r="1623">
      <c r="A1623" s="194"/>
      <c r="B1623" s="194"/>
      <c r="C1623" s="194"/>
      <c r="D1623" s="194"/>
      <c r="E1623" s="194"/>
      <c r="F1623" s="194"/>
      <c r="G1623" s="194"/>
      <c r="H1623" s="195"/>
      <c r="I1623" s="195"/>
      <c r="J1623" s="194"/>
      <c r="K1623" s="174"/>
      <c r="L1623" s="174"/>
      <c r="M1623" s="174"/>
      <c r="N1623" s="174"/>
      <c r="O1623" s="174"/>
      <c r="P1623" s="174"/>
      <c r="Q1623" s="174"/>
      <c r="R1623" s="174"/>
      <c r="S1623" s="174"/>
      <c r="T1623" s="174"/>
      <c r="U1623" s="174"/>
      <c r="V1623" s="174"/>
      <c r="W1623" s="174"/>
      <c r="X1623" s="174"/>
      <c r="Y1623" s="174"/>
      <c r="Z1623" s="174"/>
    </row>
    <row r="1624">
      <c r="A1624" s="194"/>
      <c r="B1624" s="194"/>
      <c r="C1624" s="194"/>
      <c r="D1624" s="194"/>
      <c r="E1624" s="194"/>
      <c r="F1624" s="194"/>
      <c r="G1624" s="194"/>
      <c r="H1624" s="195"/>
      <c r="I1624" s="195"/>
      <c r="J1624" s="194"/>
      <c r="K1624" s="174"/>
      <c r="L1624" s="174"/>
      <c r="M1624" s="174"/>
      <c r="N1624" s="174"/>
      <c r="O1624" s="174"/>
      <c r="P1624" s="174"/>
      <c r="Q1624" s="174"/>
      <c r="R1624" s="174"/>
      <c r="S1624" s="174"/>
      <c r="T1624" s="174"/>
      <c r="U1624" s="174"/>
      <c r="V1624" s="174"/>
      <c r="W1624" s="174"/>
      <c r="X1624" s="174"/>
      <c r="Y1624" s="174"/>
      <c r="Z1624" s="174"/>
    </row>
    <row r="1625">
      <c r="A1625" s="194"/>
      <c r="B1625" s="194"/>
      <c r="C1625" s="194"/>
      <c r="D1625" s="194"/>
      <c r="E1625" s="194"/>
      <c r="F1625" s="194"/>
      <c r="G1625" s="194"/>
      <c r="H1625" s="195"/>
      <c r="I1625" s="195"/>
      <c r="J1625" s="194"/>
      <c r="K1625" s="174"/>
      <c r="L1625" s="174"/>
      <c r="M1625" s="174"/>
      <c r="N1625" s="174"/>
      <c r="O1625" s="174"/>
      <c r="P1625" s="174"/>
      <c r="Q1625" s="174"/>
      <c r="R1625" s="174"/>
      <c r="S1625" s="174"/>
      <c r="T1625" s="174"/>
      <c r="U1625" s="174"/>
      <c r="V1625" s="174"/>
      <c r="W1625" s="174"/>
      <c r="X1625" s="174"/>
      <c r="Y1625" s="174"/>
      <c r="Z1625" s="174"/>
    </row>
    <row r="1626">
      <c r="A1626" s="194"/>
      <c r="B1626" s="194"/>
      <c r="C1626" s="194"/>
      <c r="D1626" s="194"/>
      <c r="E1626" s="194"/>
      <c r="F1626" s="194"/>
      <c r="G1626" s="194"/>
      <c r="H1626" s="195"/>
      <c r="I1626" s="195"/>
      <c r="J1626" s="194"/>
      <c r="K1626" s="174"/>
      <c r="L1626" s="174"/>
      <c r="M1626" s="174"/>
      <c r="N1626" s="174"/>
      <c r="O1626" s="174"/>
      <c r="P1626" s="174"/>
      <c r="Q1626" s="174"/>
      <c r="R1626" s="174"/>
      <c r="S1626" s="174"/>
      <c r="T1626" s="174"/>
      <c r="U1626" s="174"/>
      <c r="V1626" s="174"/>
      <c r="W1626" s="174"/>
      <c r="X1626" s="174"/>
      <c r="Y1626" s="174"/>
      <c r="Z1626" s="174"/>
    </row>
    <row r="1627">
      <c r="A1627" s="194"/>
      <c r="B1627" s="194"/>
      <c r="C1627" s="194"/>
      <c r="D1627" s="194"/>
      <c r="E1627" s="194"/>
      <c r="F1627" s="194"/>
      <c r="G1627" s="194"/>
      <c r="H1627" s="195"/>
      <c r="I1627" s="195"/>
      <c r="J1627" s="194"/>
      <c r="K1627" s="174"/>
      <c r="L1627" s="174"/>
      <c r="M1627" s="174"/>
      <c r="N1627" s="174"/>
      <c r="O1627" s="174"/>
      <c r="P1627" s="174"/>
      <c r="Q1627" s="174"/>
      <c r="R1627" s="174"/>
      <c r="S1627" s="174"/>
      <c r="T1627" s="174"/>
      <c r="U1627" s="174"/>
      <c r="V1627" s="174"/>
      <c r="W1627" s="174"/>
      <c r="X1627" s="174"/>
      <c r="Y1627" s="174"/>
      <c r="Z1627" s="174"/>
    </row>
    <row r="1628">
      <c r="A1628" s="194"/>
      <c r="B1628" s="194"/>
      <c r="C1628" s="194"/>
      <c r="D1628" s="194"/>
      <c r="E1628" s="194"/>
      <c r="F1628" s="194"/>
      <c r="G1628" s="194"/>
      <c r="H1628" s="195"/>
      <c r="I1628" s="195"/>
      <c r="J1628" s="194"/>
      <c r="K1628" s="174"/>
      <c r="L1628" s="174"/>
      <c r="M1628" s="174"/>
      <c r="N1628" s="174"/>
      <c r="O1628" s="174"/>
      <c r="P1628" s="174"/>
      <c r="Q1628" s="174"/>
      <c r="R1628" s="174"/>
      <c r="S1628" s="174"/>
      <c r="T1628" s="174"/>
      <c r="U1628" s="174"/>
      <c r="V1628" s="174"/>
      <c r="W1628" s="174"/>
      <c r="X1628" s="174"/>
      <c r="Y1628" s="174"/>
      <c r="Z1628" s="174"/>
    </row>
    <row r="1629">
      <c r="A1629" s="194"/>
      <c r="B1629" s="194"/>
      <c r="C1629" s="194"/>
      <c r="D1629" s="194"/>
      <c r="E1629" s="194"/>
      <c r="F1629" s="194"/>
      <c r="G1629" s="194"/>
      <c r="H1629" s="195"/>
      <c r="I1629" s="195"/>
      <c r="J1629" s="194"/>
      <c r="K1629" s="174"/>
      <c r="L1629" s="174"/>
      <c r="M1629" s="174"/>
      <c r="N1629" s="174"/>
      <c r="O1629" s="174"/>
      <c r="P1629" s="174"/>
      <c r="Q1629" s="174"/>
      <c r="R1629" s="174"/>
      <c r="S1629" s="174"/>
      <c r="T1629" s="174"/>
      <c r="U1629" s="174"/>
      <c r="V1629" s="174"/>
      <c r="W1629" s="174"/>
      <c r="X1629" s="174"/>
      <c r="Y1629" s="174"/>
      <c r="Z1629" s="174"/>
    </row>
    <row r="1630">
      <c r="A1630" s="194"/>
      <c r="B1630" s="194"/>
      <c r="C1630" s="194"/>
      <c r="D1630" s="194"/>
      <c r="E1630" s="194"/>
      <c r="F1630" s="194"/>
      <c r="G1630" s="194"/>
      <c r="H1630" s="195"/>
      <c r="I1630" s="195"/>
      <c r="J1630" s="194"/>
      <c r="K1630" s="174"/>
      <c r="L1630" s="174"/>
      <c r="M1630" s="174"/>
      <c r="N1630" s="174"/>
      <c r="O1630" s="174"/>
      <c r="P1630" s="174"/>
      <c r="Q1630" s="174"/>
      <c r="R1630" s="174"/>
      <c r="S1630" s="174"/>
      <c r="T1630" s="174"/>
      <c r="U1630" s="174"/>
      <c r="V1630" s="174"/>
      <c r="W1630" s="174"/>
      <c r="X1630" s="174"/>
      <c r="Y1630" s="174"/>
      <c r="Z1630" s="174"/>
    </row>
    <row r="1631">
      <c r="A1631" s="194"/>
      <c r="B1631" s="194"/>
      <c r="C1631" s="194"/>
      <c r="D1631" s="194"/>
      <c r="E1631" s="194"/>
      <c r="F1631" s="194"/>
      <c r="G1631" s="194"/>
      <c r="H1631" s="195"/>
      <c r="I1631" s="195"/>
      <c r="J1631" s="194"/>
      <c r="K1631" s="174"/>
      <c r="L1631" s="174"/>
      <c r="M1631" s="174"/>
      <c r="N1631" s="174"/>
      <c r="O1631" s="174"/>
      <c r="P1631" s="174"/>
      <c r="Q1631" s="174"/>
      <c r="R1631" s="174"/>
      <c r="S1631" s="174"/>
      <c r="T1631" s="174"/>
      <c r="U1631" s="174"/>
      <c r="V1631" s="174"/>
      <c r="W1631" s="174"/>
      <c r="X1631" s="174"/>
      <c r="Y1631" s="174"/>
      <c r="Z1631" s="174"/>
    </row>
    <row r="1632">
      <c r="A1632" s="194"/>
      <c r="B1632" s="194"/>
      <c r="C1632" s="194"/>
      <c r="D1632" s="194"/>
      <c r="E1632" s="194"/>
      <c r="F1632" s="194"/>
      <c r="G1632" s="194"/>
      <c r="H1632" s="195"/>
      <c r="I1632" s="195"/>
      <c r="J1632" s="194"/>
      <c r="K1632" s="174"/>
      <c r="L1632" s="174"/>
      <c r="M1632" s="174"/>
      <c r="N1632" s="174"/>
      <c r="O1632" s="174"/>
      <c r="P1632" s="174"/>
      <c r="Q1632" s="174"/>
      <c r="R1632" s="174"/>
      <c r="S1632" s="174"/>
      <c r="T1632" s="174"/>
      <c r="U1632" s="174"/>
      <c r="V1632" s="174"/>
      <c r="W1632" s="174"/>
      <c r="X1632" s="174"/>
      <c r="Y1632" s="174"/>
      <c r="Z1632" s="174"/>
    </row>
    <row r="1633">
      <c r="A1633" s="194"/>
      <c r="B1633" s="194"/>
      <c r="C1633" s="194"/>
      <c r="D1633" s="194"/>
      <c r="E1633" s="194"/>
      <c r="F1633" s="194"/>
      <c r="G1633" s="194"/>
      <c r="H1633" s="195"/>
      <c r="I1633" s="195"/>
      <c r="J1633" s="194"/>
      <c r="K1633" s="174"/>
      <c r="L1633" s="174"/>
      <c r="M1633" s="174"/>
      <c r="N1633" s="174"/>
      <c r="O1633" s="174"/>
      <c r="P1633" s="174"/>
      <c r="Q1633" s="174"/>
      <c r="R1633" s="174"/>
      <c r="S1633" s="174"/>
      <c r="T1633" s="174"/>
      <c r="U1633" s="174"/>
      <c r="V1633" s="174"/>
      <c r="W1633" s="174"/>
      <c r="X1633" s="174"/>
      <c r="Y1633" s="174"/>
      <c r="Z1633" s="174"/>
    </row>
    <row r="1634">
      <c r="A1634" s="194"/>
      <c r="B1634" s="194"/>
      <c r="C1634" s="194"/>
      <c r="D1634" s="194"/>
      <c r="E1634" s="194"/>
      <c r="F1634" s="194"/>
      <c r="G1634" s="194"/>
      <c r="H1634" s="195"/>
      <c r="I1634" s="195"/>
      <c r="J1634" s="194"/>
      <c r="K1634" s="174"/>
      <c r="L1634" s="174"/>
      <c r="M1634" s="174"/>
      <c r="N1634" s="174"/>
      <c r="O1634" s="174"/>
      <c r="P1634" s="174"/>
      <c r="Q1634" s="174"/>
      <c r="R1634" s="174"/>
      <c r="S1634" s="174"/>
      <c r="T1634" s="174"/>
      <c r="U1634" s="174"/>
      <c r="V1634" s="174"/>
      <c r="W1634" s="174"/>
      <c r="X1634" s="174"/>
      <c r="Y1634" s="174"/>
      <c r="Z1634" s="174"/>
    </row>
    <row r="1635">
      <c r="A1635" s="194"/>
      <c r="B1635" s="194"/>
      <c r="C1635" s="194"/>
      <c r="D1635" s="194"/>
      <c r="E1635" s="194"/>
      <c r="F1635" s="194"/>
      <c r="G1635" s="194"/>
      <c r="H1635" s="195"/>
      <c r="I1635" s="195"/>
      <c r="J1635" s="194"/>
      <c r="K1635" s="174"/>
      <c r="L1635" s="174"/>
      <c r="M1635" s="174"/>
      <c r="N1635" s="174"/>
      <c r="O1635" s="174"/>
      <c r="P1635" s="174"/>
      <c r="Q1635" s="174"/>
      <c r="R1635" s="174"/>
      <c r="S1635" s="174"/>
      <c r="T1635" s="174"/>
      <c r="U1635" s="174"/>
      <c r="V1635" s="174"/>
      <c r="W1635" s="174"/>
      <c r="X1635" s="174"/>
      <c r="Y1635" s="174"/>
      <c r="Z1635" s="174"/>
    </row>
    <row r="1636">
      <c r="A1636" s="194"/>
      <c r="B1636" s="194"/>
      <c r="C1636" s="194"/>
      <c r="D1636" s="194"/>
      <c r="E1636" s="194"/>
      <c r="F1636" s="194"/>
      <c r="G1636" s="194"/>
      <c r="H1636" s="195"/>
      <c r="I1636" s="195"/>
      <c r="J1636" s="194"/>
      <c r="K1636" s="174"/>
      <c r="L1636" s="174"/>
      <c r="M1636" s="174"/>
      <c r="N1636" s="174"/>
      <c r="O1636" s="174"/>
      <c r="P1636" s="174"/>
      <c r="Q1636" s="174"/>
      <c r="R1636" s="174"/>
      <c r="S1636" s="174"/>
      <c r="T1636" s="174"/>
      <c r="U1636" s="174"/>
      <c r="V1636" s="174"/>
      <c r="W1636" s="174"/>
      <c r="X1636" s="174"/>
      <c r="Y1636" s="174"/>
      <c r="Z1636" s="174"/>
    </row>
    <row r="1637">
      <c r="A1637" s="194"/>
      <c r="B1637" s="194"/>
      <c r="C1637" s="194"/>
      <c r="D1637" s="194"/>
      <c r="E1637" s="194"/>
      <c r="F1637" s="194"/>
      <c r="G1637" s="194"/>
      <c r="H1637" s="195"/>
      <c r="I1637" s="195"/>
      <c r="J1637" s="194"/>
      <c r="K1637" s="174"/>
      <c r="L1637" s="174"/>
      <c r="M1637" s="174"/>
      <c r="N1637" s="174"/>
      <c r="O1637" s="174"/>
      <c r="P1637" s="174"/>
      <c r="Q1637" s="174"/>
      <c r="R1637" s="174"/>
      <c r="S1637" s="174"/>
      <c r="T1637" s="174"/>
      <c r="U1637" s="174"/>
      <c r="V1637" s="174"/>
      <c r="W1637" s="174"/>
      <c r="X1637" s="174"/>
      <c r="Y1637" s="174"/>
      <c r="Z1637" s="174"/>
    </row>
    <row r="1638">
      <c r="A1638" s="194"/>
      <c r="B1638" s="194"/>
      <c r="C1638" s="194"/>
      <c r="D1638" s="194"/>
      <c r="E1638" s="194"/>
      <c r="F1638" s="194"/>
      <c r="G1638" s="194"/>
      <c r="H1638" s="195"/>
      <c r="I1638" s="195"/>
      <c r="J1638" s="194"/>
      <c r="K1638" s="174"/>
      <c r="L1638" s="174"/>
      <c r="M1638" s="174"/>
      <c r="N1638" s="174"/>
      <c r="O1638" s="174"/>
      <c r="P1638" s="174"/>
      <c r="Q1638" s="174"/>
      <c r="R1638" s="174"/>
      <c r="S1638" s="174"/>
      <c r="T1638" s="174"/>
      <c r="U1638" s="174"/>
      <c r="V1638" s="174"/>
      <c r="W1638" s="174"/>
      <c r="X1638" s="174"/>
      <c r="Y1638" s="174"/>
      <c r="Z1638" s="174"/>
    </row>
    <row r="1639">
      <c r="A1639" s="194"/>
      <c r="B1639" s="194"/>
      <c r="C1639" s="194"/>
      <c r="D1639" s="194"/>
      <c r="E1639" s="194"/>
      <c r="F1639" s="194"/>
      <c r="G1639" s="194"/>
      <c r="H1639" s="195"/>
      <c r="I1639" s="195"/>
      <c r="J1639" s="194"/>
      <c r="K1639" s="174"/>
      <c r="L1639" s="174"/>
      <c r="M1639" s="174"/>
      <c r="N1639" s="174"/>
      <c r="O1639" s="174"/>
      <c r="P1639" s="174"/>
      <c r="Q1639" s="174"/>
      <c r="R1639" s="174"/>
      <c r="S1639" s="174"/>
      <c r="T1639" s="174"/>
      <c r="U1639" s="174"/>
      <c r="V1639" s="174"/>
      <c r="W1639" s="174"/>
      <c r="X1639" s="174"/>
      <c r="Y1639" s="174"/>
      <c r="Z1639" s="174"/>
    </row>
    <row r="1640">
      <c r="A1640" s="194"/>
      <c r="B1640" s="194"/>
      <c r="C1640" s="194"/>
      <c r="D1640" s="194"/>
      <c r="E1640" s="194"/>
      <c r="F1640" s="194"/>
      <c r="G1640" s="194"/>
      <c r="H1640" s="195"/>
      <c r="I1640" s="195"/>
      <c r="J1640" s="194"/>
      <c r="K1640" s="174"/>
      <c r="L1640" s="174"/>
      <c r="M1640" s="174"/>
      <c r="N1640" s="174"/>
      <c r="O1640" s="174"/>
      <c r="P1640" s="174"/>
      <c r="Q1640" s="174"/>
      <c r="R1640" s="174"/>
      <c r="S1640" s="174"/>
      <c r="T1640" s="174"/>
      <c r="U1640" s="174"/>
      <c r="V1640" s="174"/>
      <c r="W1640" s="174"/>
      <c r="X1640" s="174"/>
      <c r="Y1640" s="174"/>
      <c r="Z1640" s="174"/>
    </row>
    <row r="1641">
      <c r="A1641" s="194"/>
      <c r="B1641" s="194"/>
      <c r="C1641" s="194"/>
      <c r="D1641" s="194"/>
      <c r="E1641" s="194"/>
      <c r="F1641" s="194"/>
      <c r="G1641" s="194"/>
      <c r="H1641" s="195"/>
      <c r="I1641" s="195"/>
      <c r="J1641" s="194"/>
      <c r="K1641" s="174"/>
      <c r="L1641" s="174"/>
      <c r="M1641" s="174"/>
      <c r="N1641" s="174"/>
      <c r="O1641" s="174"/>
      <c r="P1641" s="174"/>
      <c r="Q1641" s="174"/>
      <c r="R1641" s="174"/>
      <c r="S1641" s="174"/>
      <c r="T1641" s="174"/>
      <c r="U1641" s="174"/>
      <c r="V1641" s="174"/>
      <c r="W1641" s="174"/>
      <c r="X1641" s="174"/>
      <c r="Y1641" s="174"/>
      <c r="Z1641" s="174"/>
    </row>
    <row r="1642">
      <c r="A1642" s="194"/>
      <c r="B1642" s="194"/>
      <c r="C1642" s="194"/>
      <c r="D1642" s="194"/>
      <c r="E1642" s="194"/>
      <c r="F1642" s="194"/>
      <c r="G1642" s="194"/>
      <c r="H1642" s="195"/>
      <c r="I1642" s="195"/>
      <c r="J1642" s="194"/>
      <c r="K1642" s="174"/>
      <c r="L1642" s="174"/>
      <c r="M1642" s="174"/>
      <c r="N1642" s="174"/>
      <c r="O1642" s="174"/>
      <c r="P1642" s="174"/>
      <c r="Q1642" s="174"/>
      <c r="R1642" s="174"/>
      <c r="S1642" s="174"/>
      <c r="T1642" s="174"/>
      <c r="U1642" s="174"/>
      <c r="V1642" s="174"/>
      <c r="W1642" s="174"/>
      <c r="X1642" s="174"/>
      <c r="Y1642" s="174"/>
      <c r="Z1642" s="174"/>
    </row>
    <row r="1643">
      <c r="A1643" s="194"/>
      <c r="B1643" s="194"/>
      <c r="C1643" s="194"/>
      <c r="D1643" s="194"/>
      <c r="E1643" s="194"/>
      <c r="F1643" s="194"/>
      <c r="G1643" s="194"/>
      <c r="H1643" s="195"/>
      <c r="I1643" s="195"/>
      <c r="J1643" s="194"/>
      <c r="K1643" s="174"/>
      <c r="L1643" s="174"/>
      <c r="M1643" s="174"/>
      <c r="N1643" s="174"/>
      <c r="O1643" s="174"/>
      <c r="P1643" s="174"/>
      <c r="Q1643" s="174"/>
      <c r="R1643" s="174"/>
      <c r="S1643" s="174"/>
      <c r="T1643" s="174"/>
      <c r="U1643" s="174"/>
      <c r="V1643" s="174"/>
      <c r="W1643" s="174"/>
      <c r="X1643" s="174"/>
      <c r="Y1643" s="174"/>
      <c r="Z1643" s="174"/>
    </row>
    <row r="1644">
      <c r="A1644" s="194"/>
      <c r="B1644" s="194"/>
      <c r="C1644" s="194"/>
      <c r="D1644" s="194"/>
      <c r="E1644" s="194"/>
      <c r="F1644" s="194"/>
      <c r="G1644" s="194"/>
      <c r="H1644" s="195"/>
      <c r="I1644" s="195"/>
      <c r="J1644" s="194"/>
      <c r="K1644" s="174"/>
      <c r="L1644" s="174"/>
      <c r="M1644" s="174"/>
      <c r="N1644" s="174"/>
      <c r="O1644" s="174"/>
      <c r="P1644" s="174"/>
      <c r="Q1644" s="174"/>
      <c r="R1644" s="174"/>
      <c r="S1644" s="174"/>
      <c r="T1644" s="174"/>
      <c r="U1644" s="174"/>
      <c r="V1644" s="174"/>
      <c r="W1644" s="174"/>
      <c r="X1644" s="174"/>
      <c r="Y1644" s="174"/>
      <c r="Z1644" s="174"/>
    </row>
    <row r="1645">
      <c r="A1645" s="194"/>
      <c r="B1645" s="194"/>
      <c r="C1645" s="194"/>
      <c r="D1645" s="194"/>
      <c r="E1645" s="194"/>
      <c r="F1645" s="194"/>
      <c r="G1645" s="194"/>
      <c r="H1645" s="195"/>
      <c r="I1645" s="195"/>
      <c r="J1645" s="194"/>
      <c r="K1645" s="174"/>
      <c r="L1645" s="174"/>
      <c r="M1645" s="174"/>
      <c r="N1645" s="174"/>
      <c r="O1645" s="174"/>
      <c r="P1645" s="174"/>
      <c r="Q1645" s="174"/>
      <c r="R1645" s="174"/>
      <c r="S1645" s="174"/>
      <c r="T1645" s="174"/>
      <c r="U1645" s="174"/>
      <c r="V1645" s="174"/>
      <c r="W1645" s="174"/>
      <c r="X1645" s="174"/>
      <c r="Y1645" s="174"/>
      <c r="Z1645" s="174"/>
    </row>
    <row r="1646">
      <c r="A1646" s="194"/>
      <c r="B1646" s="194"/>
      <c r="C1646" s="194"/>
      <c r="D1646" s="194"/>
      <c r="E1646" s="194"/>
      <c r="F1646" s="194"/>
      <c r="G1646" s="194"/>
      <c r="H1646" s="195"/>
      <c r="I1646" s="195"/>
      <c r="J1646" s="194"/>
      <c r="K1646" s="174"/>
      <c r="L1646" s="174"/>
      <c r="M1646" s="174"/>
      <c r="N1646" s="174"/>
      <c r="O1646" s="174"/>
      <c r="P1646" s="174"/>
      <c r="Q1646" s="174"/>
      <c r="R1646" s="174"/>
      <c r="S1646" s="174"/>
      <c r="T1646" s="174"/>
      <c r="U1646" s="174"/>
      <c r="V1646" s="174"/>
      <c r="W1646" s="174"/>
      <c r="X1646" s="174"/>
      <c r="Y1646" s="174"/>
      <c r="Z1646" s="174"/>
    </row>
    <row r="1647">
      <c r="A1647" s="194"/>
      <c r="B1647" s="194"/>
      <c r="C1647" s="194"/>
      <c r="D1647" s="194"/>
      <c r="E1647" s="194"/>
      <c r="F1647" s="194"/>
      <c r="G1647" s="194"/>
      <c r="H1647" s="195"/>
      <c r="I1647" s="195"/>
      <c r="J1647" s="194"/>
      <c r="K1647" s="174"/>
      <c r="L1647" s="174"/>
      <c r="M1647" s="174"/>
      <c r="N1647" s="174"/>
      <c r="O1647" s="174"/>
      <c r="P1647" s="174"/>
      <c r="Q1647" s="174"/>
      <c r="R1647" s="174"/>
      <c r="S1647" s="174"/>
      <c r="T1647" s="174"/>
      <c r="U1647" s="174"/>
      <c r="V1647" s="174"/>
      <c r="W1647" s="174"/>
      <c r="X1647" s="174"/>
      <c r="Y1647" s="174"/>
      <c r="Z1647" s="174"/>
    </row>
    <row r="1648">
      <c r="A1648" s="194"/>
      <c r="B1648" s="194"/>
      <c r="C1648" s="194"/>
      <c r="D1648" s="194"/>
      <c r="E1648" s="194"/>
      <c r="F1648" s="194"/>
      <c r="G1648" s="194"/>
      <c r="H1648" s="195"/>
      <c r="I1648" s="195"/>
      <c r="J1648" s="194"/>
      <c r="K1648" s="174"/>
      <c r="L1648" s="174"/>
      <c r="M1648" s="174"/>
      <c r="N1648" s="174"/>
      <c r="O1648" s="174"/>
      <c r="P1648" s="174"/>
      <c r="Q1648" s="174"/>
      <c r="R1648" s="174"/>
      <c r="S1648" s="174"/>
      <c r="T1648" s="174"/>
      <c r="U1648" s="174"/>
      <c r="V1648" s="174"/>
      <c r="W1648" s="174"/>
      <c r="X1648" s="174"/>
      <c r="Y1648" s="174"/>
      <c r="Z1648" s="174"/>
    </row>
    <row r="1649">
      <c r="A1649" s="194"/>
      <c r="B1649" s="194"/>
      <c r="C1649" s="194"/>
      <c r="D1649" s="194"/>
      <c r="E1649" s="194"/>
      <c r="F1649" s="194"/>
      <c r="G1649" s="194"/>
      <c r="H1649" s="195"/>
      <c r="I1649" s="195"/>
      <c r="J1649" s="194"/>
      <c r="K1649" s="174"/>
      <c r="L1649" s="174"/>
      <c r="M1649" s="174"/>
      <c r="N1649" s="174"/>
      <c r="O1649" s="174"/>
      <c r="P1649" s="174"/>
      <c r="Q1649" s="174"/>
      <c r="R1649" s="174"/>
      <c r="S1649" s="174"/>
      <c r="T1649" s="174"/>
      <c r="U1649" s="174"/>
      <c r="V1649" s="174"/>
      <c r="W1649" s="174"/>
      <c r="X1649" s="174"/>
      <c r="Y1649" s="174"/>
      <c r="Z1649" s="174"/>
    </row>
    <row r="1650">
      <c r="A1650" s="194"/>
      <c r="B1650" s="194"/>
      <c r="C1650" s="194"/>
      <c r="D1650" s="194"/>
      <c r="E1650" s="194"/>
      <c r="F1650" s="194"/>
      <c r="G1650" s="194"/>
      <c r="H1650" s="195"/>
      <c r="I1650" s="195"/>
      <c r="J1650" s="194"/>
      <c r="K1650" s="174"/>
      <c r="L1650" s="174"/>
      <c r="M1650" s="174"/>
      <c r="N1650" s="174"/>
      <c r="O1650" s="174"/>
      <c r="P1650" s="174"/>
      <c r="Q1650" s="174"/>
      <c r="R1650" s="174"/>
      <c r="S1650" s="174"/>
      <c r="T1650" s="174"/>
      <c r="U1650" s="174"/>
      <c r="V1650" s="174"/>
      <c r="W1650" s="174"/>
      <c r="X1650" s="174"/>
      <c r="Y1650" s="174"/>
      <c r="Z1650" s="174"/>
    </row>
    <row r="1651">
      <c r="A1651" s="194"/>
      <c r="B1651" s="194"/>
      <c r="C1651" s="194"/>
      <c r="D1651" s="194"/>
      <c r="E1651" s="194"/>
      <c r="F1651" s="194"/>
      <c r="G1651" s="194"/>
      <c r="H1651" s="195"/>
      <c r="I1651" s="195"/>
      <c r="J1651" s="194"/>
      <c r="K1651" s="174"/>
      <c r="L1651" s="174"/>
      <c r="M1651" s="174"/>
      <c r="N1651" s="174"/>
      <c r="O1651" s="174"/>
      <c r="P1651" s="174"/>
      <c r="Q1651" s="174"/>
      <c r="R1651" s="174"/>
      <c r="S1651" s="174"/>
      <c r="T1651" s="174"/>
      <c r="U1651" s="174"/>
      <c r="V1651" s="174"/>
      <c r="W1651" s="174"/>
      <c r="X1651" s="174"/>
      <c r="Y1651" s="174"/>
      <c r="Z1651" s="174"/>
    </row>
    <row r="1652">
      <c r="A1652" s="194"/>
      <c r="B1652" s="194"/>
      <c r="C1652" s="194"/>
      <c r="D1652" s="194"/>
      <c r="E1652" s="194"/>
      <c r="F1652" s="194"/>
      <c r="G1652" s="194"/>
      <c r="H1652" s="195"/>
      <c r="I1652" s="195"/>
      <c r="J1652" s="194"/>
      <c r="K1652" s="174"/>
      <c r="L1652" s="174"/>
      <c r="M1652" s="174"/>
      <c r="N1652" s="174"/>
      <c r="O1652" s="174"/>
      <c r="P1652" s="174"/>
      <c r="Q1652" s="174"/>
      <c r="R1652" s="174"/>
      <c r="S1652" s="174"/>
      <c r="T1652" s="174"/>
      <c r="U1652" s="174"/>
      <c r="V1652" s="174"/>
      <c r="W1652" s="174"/>
      <c r="X1652" s="174"/>
      <c r="Y1652" s="174"/>
      <c r="Z1652" s="174"/>
    </row>
    <row r="1653">
      <c r="A1653" s="194"/>
      <c r="B1653" s="194"/>
      <c r="C1653" s="194"/>
      <c r="D1653" s="194"/>
      <c r="E1653" s="194"/>
      <c r="F1653" s="194"/>
      <c r="G1653" s="194"/>
      <c r="H1653" s="195"/>
      <c r="I1653" s="195"/>
      <c r="J1653" s="194"/>
      <c r="K1653" s="174"/>
      <c r="L1653" s="174"/>
      <c r="M1653" s="174"/>
      <c r="N1653" s="174"/>
      <c r="O1653" s="174"/>
      <c r="P1653" s="174"/>
      <c r="Q1653" s="174"/>
      <c r="R1653" s="174"/>
      <c r="S1653" s="174"/>
      <c r="T1653" s="174"/>
      <c r="U1653" s="174"/>
      <c r="V1653" s="174"/>
      <c r="W1653" s="174"/>
      <c r="X1653" s="174"/>
      <c r="Y1653" s="174"/>
      <c r="Z1653" s="174"/>
    </row>
    <row r="1654">
      <c r="A1654" s="194"/>
      <c r="B1654" s="194"/>
      <c r="C1654" s="194"/>
      <c r="D1654" s="194"/>
      <c r="E1654" s="194"/>
      <c r="F1654" s="194"/>
      <c r="G1654" s="194"/>
      <c r="H1654" s="195"/>
      <c r="I1654" s="195"/>
      <c r="J1654" s="194"/>
      <c r="K1654" s="174"/>
      <c r="L1654" s="174"/>
      <c r="M1654" s="174"/>
      <c r="N1654" s="174"/>
      <c r="O1654" s="174"/>
      <c r="P1654" s="174"/>
      <c r="Q1654" s="174"/>
      <c r="R1654" s="174"/>
      <c r="S1654" s="174"/>
      <c r="T1654" s="174"/>
      <c r="U1654" s="174"/>
      <c r="V1654" s="174"/>
      <c r="W1654" s="174"/>
      <c r="X1654" s="174"/>
      <c r="Y1654" s="174"/>
      <c r="Z1654" s="174"/>
    </row>
    <row r="1655">
      <c r="A1655" s="194"/>
      <c r="B1655" s="194"/>
      <c r="C1655" s="194"/>
      <c r="D1655" s="194"/>
      <c r="E1655" s="194"/>
      <c r="F1655" s="194"/>
      <c r="G1655" s="194"/>
      <c r="H1655" s="195"/>
      <c r="I1655" s="195"/>
      <c r="J1655" s="194"/>
      <c r="K1655" s="174"/>
      <c r="L1655" s="174"/>
      <c r="M1655" s="174"/>
      <c r="N1655" s="174"/>
      <c r="O1655" s="174"/>
      <c r="P1655" s="174"/>
      <c r="Q1655" s="174"/>
      <c r="R1655" s="174"/>
      <c r="S1655" s="174"/>
      <c r="T1655" s="174"/>
      <c r="U1655" s="174"/>
      <c r="V1655" s="174"/>
      <c r="W1655" s="174"/>
      <c r="X1655" s="174"/>
      <c r="Y1655" s="174"/>
      <c r="Z1655" s="174"/>
    </row>
    <row r="1656">
      <c r="A1656" s="194"/>
      <c r="B1656" s="194"/>
      <c r="C1656" s="194"/>
      <c r="D1656" s="194"/>
      <c r="E1656" s="194"/>
      <c r="F1656" s="194"/>
      <c r="G1656" s="194"/>
      <c r="H1656" s="195"/>
      <c r="I1656" s="195"/>
      <c r="J1656" s="194"/>
      <c r="K1656" s="174"/>
      <c r="L1656" s="174"/>
      <c r="M1656" s="174"/>
      <c r="N1656" s="174"/>
      <c r="O1656" s="174"/>
      <c r="P1656" s="174"/>
      <c r="Q1656" s="174"/>
      <c r="R1656" s="174"/>
      <c r="S1656" s="174"/>
      <c r="T1656" s="174"/>
      <c r="U1656" s="174"/>
      <c r="V1656" s="174"/>
      <c r="W1656" s="174"/>
      <c r="X1656" s="174"/>
      <c r="Y1656" s="174"/>
      <c r="Z1656" s="174"/>
    </row>
    <row r="1657">
      <c r="A1657" s="194"/>
      <c r="B1657" s="194"/>
      <c r="C1657" s="194"/>
      <c r="D1657" s="194"/>
      <c r="E1657" s="194"/>
      <c r="F1657" s="194"/>
      <c r="G1657" s="194"/>
      <c r="H1657" s="195"/>
      <c r="I1657" s="195"/>
      <c r="J1657" s="194"/>
      <c r="K1657" s="174"/>
      <c r="L1657" s="174"/>
      <c r="M1657" s="174"/>
      <c r="N1657" s="174"/>
      <c r="O1657" s="174"/>
      <c r="P1657" s="174"/>
      <c r="Q1657" s="174"/>
      <c r="R1657" s="174"/>
      <c r="S1657" s="174"/>
      <c r="T1657" s="174"/>
      <c r="U1657" s="174"/>
      <c r="V1657" s="174"/>
      <c r="W1657" s="174"/>
      <c r="X1657" s="174"/>
      <c r="Y1657" s="174"/>
      <c r="Z1657" s="174"/>
    </row>
    <row r="1658">
      <c r="A1658" s="194"/>
      <c r="B1658" s="194"/>
      <c r="C1658" s="194"/>
      <c r="D1658" s="194"/>
      <c r="E1658" s="194"/>
      <c r="F1658" s="194"/>
      <c r="G1658" s="194"/>
      <c r="H1658" s="195"/>
      <c r="I1658" s="195"/>
      <c r="J1658" s="194"/>
      <c r="K1658" s="174"/>
      <c r="L1658" s="174"/>
      <c r="M1658" s="174"/>
      <c r="N1658" s="174"/>
      <c r="O1658" s="174"/>
      <c r="P1658" s="174"/>
      <c r="Q1658" s="174"/>
      <c r="R1658" s="174"/>
      <c r="S1658" s="174"/>
      <c r="T1658" s="174"/>
      <c r="U1658" s="174"/>
      <c r="V1658" s="174"/>
      <c r="W1658" s="174"/>
      <c r="X1658" s="174"/>
      <c r="Y1658" s="174"/>
      <c r="Z1658" s="174"/>
    </row>
    <row r="1659">
      <c r="A1659" s="194"/>
      <c r="B1659" s="194"/>
      <c r="C1659" s="194"/>
      <c r="D1659" s="194"/>
      <c r="E1659" s="194"/>
      <c r="F1659" s="194"/>
      <c r="G1659" s="194"/>
      <c r="H1659" s="195"/>
      <c r="I1659" s="195"/>
      <c r="J1659" s="194"/>
      <c r="K1659" s="174"/>
      <c r="L1659" s="174"/>
      <c r="M1659" s="174"/>
      <c r="N1659" s="174"/>
      <c r="O1659" s="174"/>
      <c r="P1659" s="174"/>
      <c r="Q1659" s="174"/>
      <c r="R1659" s="174"/>
      <c r="S1659" s="174"/>
      <c r="T1659" s="174"/>
      <c r="U1659" s="174"/>
      <c r="V1659" s="174"/>
      <c r="W1659" s="174"/>
      <c r="X1659" s="174"/>
      <c r="Y1659" s="174"/>
      <c r="Z1659" s="174"/>
    </row>
    <row r="1660">
      <c r="A1660" s="194"/>
      <c r="B1660" s="194"/>
      <c r="C1660" s="194"/>
      <c r="D1660" s="194"/>
      <c r="E1660" s="194"/>
      <c r="F1660" s="194"/>
      <c r="G1660" s="194"/>
      <c r="H1660" s="195"/>
      <c r="I1660" s="195"/>
      <c r="J1660" s="194"/>
      <c r="K1660" s="174"/>
      <c r="L1660" s="174"/>
      <c r="M1660" s="174"/>
      <c r="N1660" s="174"/>
      <c r="O1660" s="174"/>
      <c r="P1660" s="174"/>
      <c r="Q1660" s="174"/>
      <c r="R1660" s="174"/>
      <c r="S1660" s="174"/>
      <c r="T1660" s="174"/>
      <c r="U1660" s="174"/>
      <c r="V1660" s="174"/>
      <c r="W1660" s="174"/>
      <c r="X1660" s="174"/>
      <c r="Y1660" s="174"/>
      <c r="Z1660" s="174"/>
    </row>
    <row r="1661">
      <c r="A1661" s="194"/>
      <c r="B1661" s="194"/>
      <c r="C1661" s="194"/>
      <c r="D1661" s="194"/>
      <c r="E1661" s="194"/>
      <c r="F1661" s="194"/>
      <c r="G1661" s="194"/>
      <c r="H1661" s="195"/>
      <c r="I1661" s="195"/>
      <c r="J1661" s="194"/>
      <c r="K1661" s="174"/>
      <c r="L1661" s="174"/>
      <c r="M1661" s="174"/>
      <c r="N1661" s="174"/>
      <c r="O1661" s="174"/>
      <c r="P1661" s="174"/>
      <c r="Q1661" s="174"/>
      <c r="R1661" s="174"/>
      <c r="S1661" s="174"/>
      <c r="T1661" s="174"/>
      <c r="U1661" s="174"/>
      <c r="V1661" s="174"/>
      <c r="W1661" s="174"/>
      <c r="X1661" s="174"/>
      <c r="Y1661" s="174"/>
      <c r="Z1661" s="174"/>
    </row>
    <row r="1662">
      <c r="A1662" s="194"/>
      <c r="B1662" s="194"/>
      <c r="C1662" s="194"/>
      <c r="D1662" s="194"/>
      <c r="E1662" s="194"/>
      <c r="F1662" s="194"/>
      <c r="G1662" s="194"/>
      <c r="H1662" s="195"/>
      <c r="I1662" s="195"/>
      <c r="J1662" s="194"/>
      <c r="K1662" s="174"/>
      <c r="L1662" s="174"/>
      <c r="M1662" s="174"/>
      <c r="N1662" s="174"/>
      <c r="O1662" s="174"/>
      <c r="P1662" s="174"/>
      <c r="Q1662" s="174"/>
      <c r="R1662" s="174"/>
      <c r="S1662" s="174"/>
      <c r="T1662" s="174"/>
      <c r="U1662" s="174"/>
      <c r="V1662" s="174"/>
      <c r="W1662" s="174"/>
      <c r="X1662" s="174"/>
      <c r="Y1662" s="174"/>
      <c r="Z1662" s="174"/>
    </row>
    <row r="1663">
      <c r="A1663" s="194"/>
      <c r="B1663" s="194"/>
      <c r="C1663" s="194"/>
      <c r="D1663" s="194"/>
      <c r="E1663" s="194"/>
      <c r="F1663" s="194"/>
      <c r="G1663" s="194"/>
      <c r="H1663" s="195"/>
      <c r="I1663" s="195"/>
      <c r="J1663" s="194"/>
      <c r="K1663" s="174"/>
      <c r="L1663" s="174"/>
      <c r="M1663" s="174"/>
      <c r="N1663" s="174"/>
      <c r="O1663" s="174"/>
      <c r="P1663" s="174"/>
      <c r="Q1663" s="174"/>
      <c r="R1663" s="174"/>
      <c r="S1663" s="174"/>
      <c r="T1663" s="174"/>
      <c r="U1663" s="174"/>
      <c r="V1663" s="174"/>
      <c r="W1663" s="174"/>
      <c r="X1663" s="174"/>
      <c r="Y1663" s="174"/>
      <c r="Z1663" s="174"/>
    </row>
    <row r="1664">
      <c r="A1664" s="194"/>
      <c r="B1664" s="194"/>
      <c r="C1664" s="194"/>
      <c r="D1664" s="194"/>
      <c r="E1664" s="194"/>
      <c r="F1664" s="194"/>
      <c r="G1664" s="194"/>
      <c r="H1664" s="195"/>
      <c r="I1664" s="195"/>
      <c r="J1664" s="194"/>
      <c r="K1664" s="174"/>
      <c r="L1664" s="174"/>
      <c r="M1664" s="174"/>
      <c r="N1664" s="174"/>
      <c r="O1664" s="174"/>
      <c r="P1664" s="174"/>
      <c r="Q1664" s="174"/>
      <c r="R1664" s="174"/>
      <c r="S1664" s="174"/>
      <c r="T1664" s="174"/>
      <c r="U1664" s="174"/>
      <c r="V1664" s="174"/>
      <c r="W1664" s="174"/>
      <c r="X1664" s="174"/>
      <c r="Y1664" s="174"/>
      <c r="Z1664" s="174"/>
    </row>
    <row r="1665">
      <c r="A1665" s="194"/>
      <c r="B1665" s="194"/>
      <c r="C1665" s="194"/>
      <c r="D1665" s="194"/>
      <c r="E1665" s="194"/>
      <c r="F1665" s="194"/>
      <c r="G1665" s="194"/>
      <c r="H1665" s="195"/>
      <c r="I1665" s="195"/>
      <c r="J1665" s="194"/>
      <c r="K1665" s="174"/>
      <c r="L1665" s="174"/>
      <c r="M1665" s="174"/>
      <c r="N1665" s="174"/>
      <c r="O1665" s="174"/>
      <c r="P1665" s="174"/>
      <c r="Q1665" s="174"/>
      <c r="R1665" s="174"/>
      <c r="S1665" s="174"/>
      <c r="T1665" s="174"/>
      <c r="U1665" s="174"/>
      <c r="V1665" s="174"/>
      <c r="W1665" s="174"/>
      <c r="X1665" s="174"/>
      <c r="Y1665" s="174"/>
      <c r="Z1665" s="174"/>
    </row>
    <row r="1666">
      <c r="A1666" s="194"/>
      <c r="B1666" s="194"/>
      <c r="C1666" s="194"/>
      <c r="D1666" s="194"/>
      <c r="E1666" s="194"/>
      <c r="F1666" s="194"/>
      <c r="G1666" s="194"/>
      <c r="H1666" s="195"/>
      <c r="I1666" s="195"/>
      <c r="J1666" s="194"/>
      <c r="K1666" s="174"/>
      <c r="L1666" s="174"/>
      <c r="M1666" s="174"/>
      <c r="N1666" s="174"/>
      <c r="O1666" s="174"/>
      <c r="P1666" s="174"/>
      <c r="Q1666" s="174"/>
      <c r="R1666" s="174"/>
      <c r="S1666" s="174"/>
      <c r="T1666" s="174"/>
      <c r="U1666" s="174"/>
      <c r="V1666" s="174"/>
      <c r="W1666" s="174"/>
      <c r="X1666" s="174"/>
      <c r="Y1666" s="174"/>
      <c r="Z1666" s="174"/>
    </row>
    <row r="1667">
      <c r="A1667" s="194"/>
      <c r="B1667" s="194"/>
      <c r="C1667" s="194"/>
      <c r="D1667" s="194"/>
      <c r="E1667" s="194"/>
      <c r="F1667" s="194"/>
      <c r="G1667" s="194"/>
      <c r="H1667" s="195"/>
      <c r="I1667" s="195"/>
      <c r="J1667" s="194"/>
      <c r="K1667" s="174"/>
      <c r="L1667" s="174"/>
      <c r="M1667" s="174"/>
      <c r="N1667" s="174"/>
      <c r="O1667" s="174"/>
      <c r="P1667" s="174"/>
      <c r="Q1667" s="174"/>
      <c r="R1667" s="174"/>
      <c r="S1667" s="174"/>
      <c r="T1667" s="174"/>
      <c r="U1667" s="174"/>
      <c r="V1667" s="174"/>
      <c r="W1667" s="174"/>
      <c r="X1667" s="174"/>
      <c r="Y1667" s="174"/>
      <c r="Z1667" s="174"/>
    </row>
    <row r="1668">
      <c r="A1668" s="194"/>
      <c r="B1668" s="194"/>
      <c r="C1668" s="194"/>
      <c r="D1668" s="194"/>
      <c r="E1668" s="194"/>
      <c r="F1668" s="194"/>
      <c r="G1668" s="194"/>
      <c r="H1668" s="195"/>
      <c r="I1668" s="195"/>
      <c r="J1668" s="194"/>
      <c r="K1668" s="174"/>
      <c r="L1668" s="174"/>
      <c r="M1668" s="174"/>
      <c r="N1668" s="174"/>
      <c r="O1668" s="174"/>
      <c r="P1668" s="174"/>
      <c r="Q1668" s="174"/>
      <c r="R1668" s="174"/>
      <c r="S1668" s="174"/>
      <c r="T1668" s="174"/>
      <c r="U1668" s="174"/>
      <c r="V1668" s="174"/>
      <c r="W1668" s="174"/>
      <c r="X1668" s="174"/>
      <c r="Y1668" s="174"/>
      <c r="Z1668" s="174"/>
    </row>
    <row r="1669">
      <c r="A1669" s="194"/>
      <c r="B1669" s="194"/>
      <c r="C1669" s="194"/>
      <c r="D1669" s="194"/>
      <c r="E1669" s="194"/>
      <c r="F1669" s="194"/>
      <c r="G1669" s="194"/>
      <c r="H1669" s="195"/>
      <c r="I1669" s="195"/>
      <c r="J1669" s="194"/>
      <c r="K1669" s="174"/>
      <c r="L1669" s="174"/>
      <c r="M1669" s="174"/>
      <c r="N1669" s="174"/>
      <c r="O1669" s="174"/>
      <c r="P1669" s="174"/>
      <c r="Q1669" s="174"/>
      <c r="R1669" s="174"/>
      <c r="S1669" s="174"/>
      <c r="T1669" s="174"/>
      <c r="U1669" s="174"/>
      <c r="V1669" s="174"/>
      <c r="W1669" s="174"/>
      <c r="X1669" s="174"/>
      <c r="Y1669" s="174"/>
      <c r="Z1669" s="174"/>
    </row>
    <row r="1670">
      <c r="A1670" s="194"/>
      <c r="B1670" s="194"/>
      <c r="C1670" s="194"/>
      <c r="D1670" s="194"/>
      <c r="E1670" s="194"/>
      <c r="F1670" s="194"/>
      <c r="G1670" s="194"/>
      <c r="H1670" s="195"/>
      <c r="I1670" s="195"/>
      <c r="J1670" s="194"/>
      <c r="K1670" s="174"/>
      <c r="L1670" s="174"/>
      <c r="M1670" s="174"/>
      <c r="N1670" s="174"/>
      <c r="O1670" s="174"/>
      <c r="P1670" s="174"/>
      <c r="Q1670" s="174"/>
      <c r="R1670" s="174"/>
      <c r="S1670" s="174"/>
      <c r="T1670" s="174"/>
      <c r="U1670" s="174"/>
      <c r="V1670" s="174"/>
      <c r="W1670" s="174"/>
      <c r="X1670" s="174"/>
      <c r="Y1670" s="174"/>
      <c r="Z1670" s="174"/>
    </row>
    <row r="1671">
      <c r="A1671" s="194"/>
      <c r="B1671" s="194"/>
      <c r="C1671" s="194"/>
      <c r="D1671" s="194"/>
      <c r="E1671" s="194"/>
      <c r="F1671" s="194"/>
      <c r="G1671" s="194"/>
      <c r="H1671" s="195"/>
      <c r="I1671" s="195"/>
      <c r="J1671" s="194"/>
      <c r="K1671" s="174"/>
      <c r="L1671" s="174"/>
      <c r="M1671" s="174"/>
      <c r="N1671" s="174"/>
      <c r="O1671" s="174"/>
      <c r="P1671" s="174"/>
      <c r="Q1671" s="174"/>
      <c r="R1671" s="174"/>
      <c r="S1671" s="174"/>
      <c r="T1671" s="174"/>
      <c r="U1671" s="174"/>
      <c r="V1671" s="174"/>
      <c r="W1671" s="174"/>
      <c r="X1671" s="174"/>
      <c r="Y1671" s="174"/>
      <c r="Z1671" s="174"/>
    </row>
    <row r="1672">
      <c r="A1672" s="194"/>
      <c r="B1672" s="194"/>
      <c r="C1672" s="194"/>
      <c r="D1672" s="194"/>
      <c r="E1672" s="194"/>
      <c r="F1672" s="194"/>
      <c r="G1672" s="194"/>
      <c r="H1672" s="195"/>
      <c r="I1672" s="195"/>
      <c r="J1672" s="194"/>
      <c r="K1672" s="174"/>
      <c r="L1672" s="174"/>
      <c r="M1672" s="174"/>
      <c r="N1672" s="174"/>
      <c r="O1672" s="174"/>
      <c r="P1672" s="174"/>
      <c r="Q1672" s="174"/>
      <c r="R1672" s="174"/>
      <c r="S1672" s="174"/>
      <c r="T1672" s="174"/>
      <c r="U1672" s="174"/>
      <c r="V1672" s="174"/>
      <c r="W1672" s="174"/>
      <c r="X1672" s="174"/>
      <c r="Y1672" s="174"/>
      <c r="Z1672" s="174"/>
    </row>
    <row r="1673">
      <c r="A1673" s="194"/>
      <c r="B1673" s="194"/>
      <c r="C1673" s="194"/>
      <c r="D1673" s="194"/>
      <c r="E1673" s="194"/>
      <c r="F1673" s="194"/>
      <c r="G1673" s="194"/>
      <c r="H1673" s="195"/>
      <c r="I1673" s="195"/>
      <c r="J1673" s="194"/>
      <c r="K1673" s="174"/>
      <c r="L1673" s="174"/>
      <c r="M1673" s="174"/>
      <c r="N1673" s="174"/>
      <c r="O1673" s="174"/>
      <c r="P1673" s="174"/>
      <c r="Q1673" s="174"/>
      <c r="R1673" s="174"/>
      <c r="S1673" s="174"/>
      <c r="T1673" s="174"/>
      <c r="U1673" s="174"/>
      <c r="V1673" s="174"/>
      <c r="W1673" s="174"/>
      <c r="X1673" s="174"/>
      <c r="Y1673" s="174"/>
      <c r="Z1673" s="174"/>
    </row>
    <row r="1674">
      <c r="A1674" s="194"/>
      <c r="B1674" s="194"/>
      <c r="C1674" s="194"/>
      <c r="D1674" s="194"/>
      <c r="E1674" s="194"/>
      <c r="F1674" s="194"/>
      <c r="G1674" s="194"/>
      <c r="H1674" s="195"/>
      <c r="I1674" s="195"/>
      <c r="J1674" s="194"/>
      <c r="K1674" s="174"/>
      <c r="L1674" s="174"/>
      <c r="M1674" s="174"/>
      <c r="N1674" s="174"/>
      <c r="O1674" s="174"/>
      <c r="P1674" s="174"/>
      <c r="Q1674" s="174"/>
      <c r="R1674" s="174"/>
      <c r="S1674" s="174"/>
      <c r="T1674" s="174"/>
      <c r="U1674" s="174"/>
      <c r="V1674" s="174"/>
      <c r="W1674" s="174"/>
      <c r="X1674" s="174"/>
      <c r="Y1674" s="174"/>
      <c r="Z1674" s="174"/>
    </row>
    <row r="1675">
      <c r="A1675" s="194"/>
      <c r="B1675" s="194"/>
      <c r="C1675" s="194"/>
      <c r="D1675" s="194"/>
      <c r="E1675" s="194"/>
      <c r="F1675" s="194"/>
      <c r="G1675" s="194"/>
      <c r="H1675" s="195"/>
      <c r="I1675" s="195"/>
      <c r="J1675" s="194"/>
      <c r="K1675" s="174"/>
      <c r="L1675" s="174"/>
      <c r="M1675" s="174"/>
      <c r="N1675" s="174"/>
      <c r="O1675" s="174"/>
      <c r="P1675" s="174"/>
      <c r="Q1675" s="174"/>
      <c r="R1675" s="174"/>
      <c r="S1675" s="174"/>
      <c r="T1675" s="174"/>
      <c r="U1675" s="174"/>
      <c r="V1675" s="174"/>
      <c r="W1675" s="174"/>
      <c r="X1675" s="174"/>
      <c r="Y1675" s="174"/>
      <c r="Z1675" s="174"/>
    </row>
    <row r="1676">
      <c r="A1676" s="194"/>
      <c r="B1676" s="194"/>
      <c r="C1676" s="194"/>
      <c r="D1676" s="194"/>
      <c r="E1676" s="194"/>
      <c r="F1676" s="194"/>
      <c r="G1676" s="194"/>
      <c r="H1676" s="195"/>
      <c r="I1676" s="195"/>
      <c r="J1676" s="194"/>
      <c r="K1676" s="174"/>
      <c r="L1676" s="174"/>
      <c r="M1676" s="174"/>
      <c r="N1676" s="174"/>
      <c r="O1676" s="174"/>
      <c r="P1676" s="174"/>
      <c r="Q1676" s="174"/>
      <c r="R1676" s="174"/>
      <c r="S1676" s="174"/>
      <c r="T1676" s="174"/>
      <c r="U1676" s="174"/>
      <c r="V1676" s="174"/>
      <c r="W1676" s="174"/>
      <c r="X1676" s="174"/>
      <c r="Y1676" s="174"/>
      <c r="Z1676" s="174"/>
    </row>
    <row r="1677">
      <c r="A1677" s="194"/>
      <c r="B1677" s="194"/>
      <c r="C1677" s="194"/>
      <c r="D1677" s="194"/>
      <c r="E1677" s="194"/>
      <c r="F1677" s="194"/>
      <c r="G1677" s="194"/>
      <c r="H1677" s="195"/>
      <c r="I1677" s="195"/>
      <c r="J1677" s="194"/>
      <c r="K1677" s="174"/>
      <c r="L1677" s="174"/>
      <c r="M1677" s="174"/>
      <c r="N1677" s="174"/>
      <c r="O1677" s="174"/>
      <c r="P1677" s="174"/>
      <c r="Q1677" s="174"/>
      <c r="R1677" s="174"/>
      <c r="S1677" s="174"/>
      <c r="T1677" s="174"/>
      <c r="U1677" s="174"/>
      <c r="V1677" s="174"/>
      <c r="W1677" s="174"/>
      <c r="X1677" s="174"/>
      <c r="Y1677" s="174"/>
      <c r="Z1677" s="174"/>
    </row>
    <row r="1678">
      <c r="A1678" s="194"/>
      <c r="B1678" s="194"/>
      <c r="C1678" s="194"/>
      <c r="D1678" s="194"/>
      <c r="E1678" s="194"/>
      <c r="F1678" s="194"/>
      <c r="G1678" s="194"/>
      <c r="H1678" s="195"/>
      <c r="I1678" s="195"/>
      <c r="J1678" s="194"/>
      <c r="K1678" s="174"/>
      <c r="L1678" s="174"/>
      <c r="M1678" s="174"/>
      <c r="N1678" s="174"/>
      <c r="O1678" s="174"/>
      <c r="P1678" s="174"/>
      <c r="Q1678" s="174"/>
      <c r="R1678" s="174"/>
      <c r="S1678" s="174"/>
      <c r="T1678" s="174"/>
      <c r="U1678" s="174"/>
      <c r="V1678" s="174"/>
      <c r="W1678" s="174"/>
      <c r="X1678" s="174"/>
      <c r="Y1678" s="174"/>
      <c r="Z1678" s="174"/>
    </row>
    <row r="1679">
      <c r="A1679" s="194"/>
      <c r="B1679" s="194"/>
      <c r="C1679" s="194"/>
      <c r="D1679" s="194"/>
      <c r="E1679" s="194"/>
      <c r="F1679" s="194"/>
      <c r="G1679" s="194"/>
      <c r="H1679" s="195"/>
      <c r="I1679" s="195"/>
      <c r="J1679" s="194"/>
      <c r="K1679" s="174"/>
      <c r="L1679" s="174"/>
      <c r="M1679" s="174"/>
      <c r="N1679" s="174"/>
      <c r="O1679" s="174"/>
      <c r="P1679" s="174"/>
      <c r="Q1679" s="174"/>
      <c r="R1679" s="174"/>
      <c r="S1679" s="174"/>
      <c r="T1679" s="174"/>
      <c r="U1679" s="174"/>
      <c r="V1679" s="174"/>
      <c r="W1679" s="174"/>
      <c r="X1679" s="174"/>
      <c r="Y1679" s="174"/>
      <c r="Z1679" s="174"/>
    </row>
    <row r="1680">
      <c r="A1680" s="194"/>
      <c r="B1680" s="194"/>
      <c r="C1680" s="194"/>
      <c r="D1680" s="194"/>
      <c r="E1680" s="194"/>
      <c r="F1680" s="194"/>
      <c r="G1680" s="194"/>
      <c r="H1680" s="195"/>
      <c r="I1680" s="195"/>
      <c r="J1680" s="194"/>
      <c r="K1680" s="174"/>
      <c r="L1680" s="174"/>
      <c r="M1680" s="174"/>
      <c r="N1680" s="174"/>
      <c r="O1680" s="174"/>
      <c r="P1680" s="174"/>
      <c r="Q1680" s="174"/>
      <c r="R1680" s="174"/>
      <c r="S1680" s="174"/>
      <c r="T1680" s="174"/>
      <c r="U1680" s="174"/>
      <c r="V1680" s="174"/>
      <c r="W1680" s="174"/>
      <c r="X1680" s="174"/>
      <c r="Y1680" s="174"/>
      <c r="Z1680" s="174"/>
    </row>
    <row r="1681">
      <c r="A1681" s="194"/>
      <c r="B1681" s="194"/>
      <c r="C1681" s="194"/>
      <c r="D1681" s="194"/>
      <c r="E1681" s="194"/>
      <c r="F1681" s="194"/>
      <c r="G1681" s="194"/>
      <c r="H1681" s="195"/>
      <c r="I1681" s="195"/>
      <c r="J1681" s="194"/>
      <c r="K1681" s="174"/>
      <c r="L1681" s="174"/>
      <c r="M1681" s="174"/>
      <c r="N1681" s="174"/>
      <c r="O1681" s="174"/>
      <c r="P1681" s="174"/>
      <c r="Q1681" s="174"/>
      <c r="R1681" s="174"/>
      <c r="S1681" s="174"/>
      <c r="T1681" s="174"/>
      <c r="U1681" s="174"/>
      <c r="V1681" s="174"/>
      <c r="W1681" s="174"/>
      <c r="X1681" s="174"/>
      <c r="Y1681" s="174"/>
      <c r="Z1681" s="174"/>
    </row>
    <row r="1682">
      <c r="A1682" s="194"/>
      <c r="B1682" s="194"/>
      <c r="C1682" s="194"/>
      <c r="D1682" s="194"/>
      <c r="E1682" s="194"/>
      <c r="F1682" s="194"/>
      <c r="G1682" s="194"/>
      <c r="H1682" s="195"/>
      <c r="I1682" s="195"/>
      <c r="J1682" s="194"/>
      <c r="K1682" s="174"/>
      <c r="L1682" s="174"/>
      <c r="M1682" s="174"/>
      <c r="N1682" s="174"/>
      <c r="O1682" s="174"/>
      <c r="P1682" s="174"/>
      <c r="Q1682" s="174"/>
      <c r="R1682" s="174"/>
      <c r="S1682" s="174"/>
      <c r="T1682" s="174"/>
      <c r="U1682" s="174"/>
      <c r="V1682" s="174"/>
      <c r="W1682" s="174"/>
      <c r="X1682" s="174"/>
      <c r="Y1682" s="174"/>
      <c r="Z1682" s="174"/>
    </row>
    <row r="1683">
      <c r="A1683" s="194"/>
      <c r="B1683" s="194"/>
      <c r="C1683" s="194"/>
      <c r="D1683" s="194"/>
      <c r="E1683" s="194"/>
      <c r="F1683" s="194"/>
      <c r="G1683" s="194"/>
      <c r="H1683" s="195"/>
      <c r="I1683" s="195"/>
      <c r="J1683" s="194"/>
      <c r="K1683" s="174"/>
      <c r="L1683" s="174"/>
      <c r="M1683" s="174"/>
      <c r="N1683" s="174"/>
      <c r="O1683" s="174"/>
      <c r="P1683" s="174"/>
      <c r="Q1683" s="174"/>
      <c r="R1683" s="174"/>
      <c r="S1683" s="174"/>
      <c r="T1683" s="174"/>
      <c r="U1683" s="174"/>
      <c r="V1683" s="174"/>
      <c r="W1683" s="174"/>
      <c r="X1683" s="174"/>
      <c r="Y1683" s="174"/>
      <c r="Z1683" s="174"/>
    </row>
    <row r="1684">
      <c r="A1684" s="194"/>
      <c r="B1684" s="194"/>
      <c r="C1684" s="194"/>
      <c r="D1684" s="194"/>
      <c r="E1684" s="194"/>
      <c r="F1684" s="194"/>
      <c r="G1684" s="194"/>
      <c r="H1684" s="195"/>
      <c r="I1684" s="195"/>
      <c r="J1684" s="194"/>
      <c r="K1684" s="174"/>
      <c r="L1684" s="174"/>
      <c r="M1684" s="174"/>
      <c r="N1684" s="174"/>
      <c r="O1684" s="174"/>
      <c r="P1684" s="174"/>
      <c r="Q1684" s="174"/>
      <c r="R1684" s="174"/>
      <c r="S1684" s="174"/>
      <c r="T1684" s="174"/>
      <c r="U1684" s="174"/>
      <c r="V1684" s="174"/>
      <c r="W1684" s="174"/>
      <c r="X1684" s="174"/>
      <c r="Y1684" s="174"/>
      <c r="Z1684" s="174"/>
    </row>
    <row r="1685">
      <c r="A1685" s="194"/>
      <c r="B1685" s="194"/>
      <c r="C1685" s="194"/>
      <c r="D1685" s="194"/>
      <c r="E1685" s="194"/>
      <c r="F1685" s="194"/>
      <c r="G1685" s="194"/>
      <c r="H1685" s="195"/>
      <c r="I1685" s="195"/>
      <c r="J1685" s="194"/>
      <c r="K1685" s="174"/>
      <c r="L1685" s="174"/>
      <c r="M1685" s="174"/>
      <c r="N1685" s="174"/>
      <c r="O1685" s="174"/>
      <c r="P1685" s="174"/>
      <c r="Q1685" s="174"/>
      <c r="R1685" s="174"/>
      <c r="S1685" s="174"/>
      <c r="T1685" s="174"/>
      <c r="U1685" s="174"/>
      <c r="V1685" s="174"/>
      <c r="W1685" s="174"/>
      <c r="X1685" s="174"/>
      <c r="Y1685" s="174"/>
      <c r="Z1685" s="174"/>
    </row>
    <row r="1686">
      <c r="A1686" s="194"/>
      <c r="B1686" s="194"/>
      <c r="C1686" s="194"/>
      <c r="D1686" s="194"/>
      <c r="E1686" s="194"/>
      <c r="F1686" s="194"/>
      <c r="G1686" s="194"/>
      <c r="H1686" s="195"/>
      <c r="I1686" s="195"/>
      <c r="J1686" s="194"/>
      <c r="K1686" s="174"/>
      <c r="L1686" s="174"/>
      <c r="M1686" s="174"/>
      <c r="N1686" s="174"/>
      <c r="O1686" s="174"/>
      <c r="P1686" s="174"/>
      <c r="Q1686" s="174"/>
      <c r="R1686" s="174"/>
      <c r="S1686" s="174"/>
      <c r="T1686" s="174"/>
      <c r="U1686" s="174"/>
      <c r="V1686" s="174"/>
      <c r="W1686" s="174"/>
      <c r="X1686" s="174"/>
      <c r="Y1686" s="174"/>
      <c r="Z1686" s="174"/>
    </row>
    <row r="1687">
      <c r="A1687" s="194"/>
      <c r="B1687" s="194"/>
      <c r="C1687" s="194"/>
      <c r="D1687" s="194"/>
      <c r="E1687" s="194"/>
      <c r="F1687" s="194"/>
      <c r="G1687" s="194"/>
      <c r="H1687" s="195"/>
      <c r="I1687" s="195"/>
      <c r="J1687" s="194"/>
      <c r="K1687" s="174"/>
      <c r="L1687" s="174"/>
      <c r="M1687" s="174"/>
      <c r="N1687" s="174"/>
      <c r="O1687" s="174"/>
      <c r="P1687" s="174"/>
      <c r="Q1687" s="174"/>
      <c r="R1687" s="174"/>
      <c r="S1687" s="174"/>
      <c r="T1687" s="174"/>
      <c r="U1687" s="174"/>
      <c r="V1687" s="174"/>
      <c r="W1687" s="174"/>
      <c r="X1687" s="174"/>
      <c r="Y1687" s="174"/>
      <c r="Z1687" s="174"/>
    </row>
    <row r="1688">
      <c r="A1688" s="194"/>
      <c r="B1688" s="194"/>
      <c r="C1688" s="194"/>
      <c r="D1688" s="194"/>
      <c r="E1688" s="194"/>
      <c r="F1688" s="194"/>
      <c r="G1688" s="194"/>
      <c r="H1688" s="195"/>
      <c r="I1688" s="195"/>
      <c r="J1688" s="194"/>
      <c r="K1688" s="174"/>
      <c r="L1688" s="174"/>
      <c r="M1688" s="174"/>
      <c r="N1688" s="174"/>
      <c r="O1688" s="174"/>
      <c r="P1688" s="174"/>
      <c r="Q1688" s="174"/>
      <c r="R1688" s="174"/>
      <c r="S1688" s="174"/>
      <c r="T1688" s="174"/>
      <c r="U1688" s="174"/>
      <c r="V1688" s="174"/>
      <c r="W1688" s="174"/>
      <c r="X1688" s="174"/>
      <c r="Y1688" s="174"/>
      <c r="Z1688" s="174"/>
    </row>
    <row r="1689">
      <c r="A1689" s="194"/>
      <c r="B1689" s="194"/>
      <c r="C1689" s="194"/>
      <c r="D1689" s="194"/>
      <c r="E1689" s="194"/>
      <c r="F1689" s="194"/>
      <c r="G1689" s="194"/>
      <c r="H1689" s="195"/>
      <c r="I1689" s="195"/>
      <c r="J1689" s="194"/>
      <c r="K1689" s="174"/>
      <c r="L1689" s="174"/>
      <c r="M1689" s="174"/>
      <c r="N1689" s="174"/>
      <c r="O1689" s="174"/>
      <c r="P1689" s="174"/>
      <c r="Q1689" s="174"/>
      <c r="R1689" s="174"/>
      <c r="S1689" s="174"/>
      <c r="T1689" s="174"/>
      <c r="U1689" s="174"/>
      <c r="V1689" s="174"/>
      <c r="W1689" s="174"/>
      <c r="X1689" s="174"/>
      <c r="Y1689" s="174"/>
      <c r="Z1689" s="174"/>
    </row>
    <row r="1690">
      <c r="A1690" s="194"/>
      <c r="B1690" s="194"/>
      <c r="C1690" s="194"/>
      <c r="D1690" s="194"/>
      <c r="E1690" s="194"/>
      <c r="F1690" s="194"/>
      <c r="G1690" s="194"/>
      <c r="H1690" s="195"/>
      <c r="I1690" s="195"/>
      <c r="J1690" s="194"/>
      <c r="K1690" s="174"/>
      <c r="L1690" s="174"/>
      <c r="M1690" s="174"/>
      <c r="N1690" s="174"/>
      <c r="O1690" s="174"/>
      <c r="P1690" s="174"/>
      <c r="Q1690" s="174"/>
      <c r="R1690" s="174"/>
      <c r="S1690" s="174"/>
      <c r="T1690" s="174"/>
      <c r="U1690" s="174"/>
      <c r="V1690" s="174"/>
      <c r="W1690" s="174"/>
      <c r="X1690" s="174"/>
      <c r="Y1690" s="174"/>
      <c r="Z1690" s="174"/>
    </row>
    <row r="1691">
      <c r="A1691" s="194"/>
      <c r="B1691" s="194"/>
      <c r="C1691" s="194"/>
      <c r="D1691" s="194"/>
      <c r="E1691" s="194"/>
      <c r="F1691" s="194"/>
      <c r="G1691" s="194"/>
      <c r="H1691" s="195"/>
      <c r="I1691" s="195"/>
      <c r="J1691" s="194"/>
      <c r="K1691" s="174"/>
      <c r="L1691" s="174"/>
      <c r="M1691" s="174"/>
      <c r="N1691" s="174"/>
      <c r="O1691" s="174"/>
      <c r="P1691" s="174"/>
      <c r="Q1691" s="174"/>
      <c r="R1691" s="174"/>
      <c r="S1691" s="174"/>
      <c r="T1691" s="174"/>
      <c r="U1691" s="174"/>
      <c r="V1691" s="174"/>
      <c r="W1691" s="174"/>
      <c r="X1691" s="174"/>
      <c r="Y1691" s="174"/>
      <c r="Z1691" s="174"/>
    </row>
    <row r="1692">
      <c r="A1692" s="194"/>
      <c r="B1692" s="194"/>
      <c r="C1692" s="194"/>
      <c r="D1692" s="194"/>
      <c r="E1692" s="194"/>
      <c r="F1692" s="194"/>
      <c r="G1692" s="194"/>
      <c r="H1692" s="195"/>
      <c r="I1692" s="195"/>
      <c r="J1692" s="194"/>
      <c r="K1692" s="174"/>
      <c r="L1692" s="174"/>
      <c r="M1692" s="174"/>
      <c r="N1692" s="174"/>
      <c r="O1692" s="174"/>
      <c r="P1692" s="174"/>
      <c r="Q1692" s="174"/>
      <c r="R1692" s="174"/>
      <c r="S1692" s="174"/>
      <c r="T1692" s="174"/>
      <c r="U1692" s="174"/>
      <c r="V1692" s="174"/>
      <c r="W1692" s="174"/>
      <c r="X1692" s="174"/>
      <c r="Y1692" s="174"/>
      <c r="Z1692" s="174"/>
    </row>
    <row r="1693">
      <c r="A1693" s="194"/>
      <c r="B1693" s="194"/>
      <c r="C1693" s="194"/>
      <c r="D1693" s="194"/>
      <c r="E1693" s="194"/>
      <c r="F1693" s="194"/>
      <c r="G1693" s="194"/>
      <c r="H1693" s="195"/>
      <c r="I1693" s="195"/>
      <c r="J1693" s="194"/>
      <c r="K1693" s="174"/>
      <c r="L1693" s="174"/>
      <c r="M1693" s="174"/>
      <c r="N1693" s="174"/>
      <c r="O1693" s="174"/>
      <c r="P1693" s="174"/>
      <c r="Q1693" s="174"/>
      <c r="R1693" s="174"/>
      <c r="S1693" s="174"/>
      <c r="T1693" s="174"/>
      <c r="U1693" s="174"/>
      <c r="V1693" s="174"/>
      <c r="W1693" s="174"/>
      <c r="X1693" s="174"/>
      <c r="Y1693" s="174"/>
      <c r="Z1693" s="174"/>
    </row>
    <row r="1694">
      <c r="A1694" s="194"/>
      <c r="B1694" s="194"/>
      <c r="C1694" s="194"/>
      <c r="D1694" s="194"/>
      <c r="E1694" s="194"/>
      <c r="F1694" s="194"/>
      <c r="G1694" s="194"/>
      <c r="H1694" s="195"/>
      <c r="I1694" s="195"/>
      <c r="J1694" s="194"/>
      <c r="K1694" s="174"/>
      <c r="L1694" s="174"/>
      <c r="M1694" s="174"/>
      <c r="N1694" s="174"/>
      <c r="O1694" s="174"/>
      <c r="P1694" s="174"/>
      <c r="Q1694" s="174"/>
      <c r="R1694" s="174"/>
      <c r="S1694" s="174"/>
      <c r="T1694" s="174"/>
      <c r="U1694" s="174"/>
      <c r="V1694" s="174"/>
      <c r="W1694" s="174"/>
      <c r="X1694" s="174"/>
      <c r="Y1694" s="174"/>
      <c r="Z1694" s="174"/>
    </row>
    <row r="1695">
      <c r="A1695" s="194"/>
      <c r="B1695" s="194"/>
      <c r="C1695" s="194"/>
      <c r="D1695" s="194"/>
      <c r="E1695" s="194"/>
      <c r="F1695" s="194"/>
      <c r="G1695" s="194"/>
      <c r="H1695" s="195"/>
      <c r="I1695" s="195"/>
      <c r="J1695" s="194"/>
      <c r="K1695" s="174"/>
      <c r="L1695" s="174"/>
      <c r="M1695" s="174"/>
      <c r="N1695" s="174"/>
      <c r="O1695" s="174"/>
      <c r="P1695" s="174"/>
      <c r="Q1695" s="174"/>
      <c r="R1695" s="174"/>
      <c r="S1695" s="174"/>
      <c r="T1695" s="174"/>
      <c r="U1695" s="174"/>
      <c r="V1695" s="174"/>
      <c r="W1695" s="174"/>
      <c r="X1695" s="174"/>
      <c r="Y1695" s="174"/>
      <c r="Z1695" s="174"/>
    </row>
    <row r="1696">
      <c r="A1696" s="194"/>
      <c r="B1696" s="194"/>
      <c r="C1696" s="194"/>
      <c r="D1696" s="194"/>
      <c r="E1696" s="194"/>
      <c r="F1696" s="194"/>
      <c r="G1696" s="194"/>
      <c r="H1696" s="195"/>
      <c r="I1696" s="195"/>
      <c r="J1696" s="194"/>
      <c r="K1696" s="174"/>
      <c r="L1696" s="174"/>
      <c r="M1696" s="174"/>
      <c r="N1696" s="174"/>
      <c r="O1696" s="174"/>
      <c r="P1696" s="174"/>
      <c r="Q1696" s="174"/>
      <c r="R1696" s="174"/>
      <c r="S1696" s="174"/>
      <c r="T1696" s="174"/>
      <c r="U1696" s="174"/>
      <c r="V1696" s="174"/>
      <c r="W1696" s="174"/>
      <c r="X1696" s="174"/>
      <c r="Y1696" s="174"/>
      <c r="Z1696" s="174"/>
    </row>
    <row r="1697">
      <c r="A1697" s="194"/>
      <c r="B1697" s="194"/>
      <c r="C1697" s="194"/>
      <c r="D1697" s="194"/>
      <c r="E1697" s="194"/>
      <c r="F1697" s="194"/>
      <c r="G1697" s="194"/>
      <c r="H1697" s="195"/>
      <c r="I1697" s="195"/>
      <c r="J1697" s="194"/>
      <c r="K1697" s="174"/>
      <c r="L1697" s="174"/>
      <c r="M1697" s="174"/>
      <c r="N1697" s="174"/>
      <c r="O1697" s="174"/>
      <c r="P1697" s="174"/>
      <c r="Q1697" s="174"/>
      <c r="R1697" s="174"/>
      <c r="S1697" s="174"/>
      <c r="T1697" s="174"/>
      <c r="U1697" s="174"/>
      <c r="V1697" s="174"/>
      <c r="W1697" s="174"/>
      <c r="X1697" s="174"/>
      <c r="Y1697" s="174"/>
      <c r="Z1697" s="174"/>
    </row>
    <row r="1698">
      <c r="A1698" s="194"/>
      <c r="B1698" s="194"/>
      <c r="C1698" s="194"/>
      <c r="D1698" s="194"/>
      <c r="E1698" s="194"/>
      <c r="F1698" s="194"/>
      <c r="G1698" s="194"/>
      <c r="H1698" s="195"/>
      <c r="I1698" s="195"/>
      <c r="J1698" s="194"/>
      <c r="K1698" s="174"/>
      <c r="L1698" s="174"/>
      <c r="M1698" s="174"/>
      <c r="N1698" s="174"/>
      <c r="O1698" s="174"/>
      <c r="P1698" s="174"/>
      <c r="Q1698" s="174"/>
      <c r="R1698" s="174"/>
      <c r="S1698" s="174"/>
      <c r="T1698" s="174"/>
      <c r="U1698" s="174"/>
      <c r="V1698" s="174"/>
      <c r="W1698" s="174"/>
      <c r="X1698" s="174"/>
      <c r="Y1698" s="174"/>
      <c r="Z1698" s="174"/>
    </row>
    <row r="1699">
      <c r="A1699" s="194"/>
      <c r="B1699" s="194"/>
      <c r="C1699" s="194"/>
      <c r="D1699" s="194"/>
      <c r="E1699" s="194"/>
      <c r="F1699" s="194"/>
      <c r="G1699" s="194"/>
      <c r="H1699" s="195"/>
      <c r="I1699" s="195"/>
      <c r="J1699" s="194"/>
      <c r="K1699" s="174"/>
      <c r="L1699" s="174"/>
      <c r="M1699" s="174"/>
      <c r="N1699" s="174"/>
      <c r="O1699" s="174"/>
      <c r="P1699" s="174"/>
      <c r="Q1699" s="174"/>
      <c r="R1699" s="174"/>
      <c r="S1699" s="174"/>
      <c r="T1699" s="174"/>
      <c r="U1699" s="174"/>
      <c r="V1699" s="174"/>
      <c r="W1699" s="174"/>
      <c r="X1699" s="174"/>
      <c r="Y1699" s="174"/>
      <c r="Z1699" s="174"/>
    </row>
    <row r="1700">
      <c r="A1700" s="194"/>
      <c r="B1700" s="194"/>
      <c r="C1700" s="194"/>
      <c r="D1700" s="194"/>
      <c r="E1700" s="194"/>
      <c r="F1700" s="194"/>
      <c r="G1700" s="194"/>
      <c r="H1700" s="195"/>
      <c r="I1700" s="195"/>
      <c r="J1700" s="194"/>
      <c r="K1700" s="174"/>
      <c r="L1700" s="174"/>
      <c r="M1700" s="174"/>
      <c r="N1700" s="174"/>
      <c r="O1700" s="174"/>
      <c r="P1700" s="174"/>
      <c r="Q1700" s="174"/>
      <c r="R1700" s="174"/>
      <c r="S1700" s="174"/>
      <c r="T1700" s="174"/>
      <c r="U1700" s="174"/>
      <c r="V1700" s="174"/>
      <c r="W1700" s="174"/>
      <c r="X1700" s="174"/>
      <c r="Y1700" s="174"/>
      <c r="Z1700" s="174"/>
    </row>
    <row r="1701">
      <c r="A1701" s="194"/>
      <c r="B1701" s="194"/>
      <c r="C1701" s="194"/>
      <c r="D1701" s="194"/>
      <c r="E1701" s="194"/>
      <c r="F1701" s="194"/>
      <c r="G1701" s="194"/>
      <c r="H1701" s="195"/>
      <c r="I1701" s="195"/>
      <c r="J1701" s="194"/>
      <c r="K1701" s="174"/>
      <c r="L1701" s="174"/>
      <c r="M1701" s="174"/>
      <c r="N1701" s="174"/>
      <c r="O1701" s="174"/>
      <c r="P1701" s="174"/>
      <c r="Q1701" s="174"/>
      <c r="R1701" s="174"/>
      <c r="S1701" s="174"/>
      <c r="T1701" s="174"/>
      <c r="U1701" s="174"/>
      <c r="V1701" s="174"/>
      <c r="W1701" s="174"/>
      <c r="X1701" s="174"/>
      <c r="Y1701" s="174"/>
      <c r="Z1701" s="174"/>
    </row>
    <row r="1702">
      <c r="A1702" s="194"/>
      <c r="B1702" s="194"/>
      <c r="C1702" s="194"/>
      <c r="D1702" s="194"/>
      <c r="E1702" s="194"/>
      <c r="F1702" s="194"/>
      <c r="G1702" s="194"/>
      <c r="H1702" s="195"/>
      <c r="I1702" s="195"/>
      <c r="J1702" s="194"/>
      <c r="K1702" s="174"/>
      <c r="L1702" s="174"/>
      <c r="M1702" s="174"/>
      <c r="N1702" s="174"/>
      <c r="O1702" s="174"/>
      <c r="P1702" s="174"/>
      <c r="Q1702" s="174"/>
      <c r="R1702" s="174"/>
      <c r="S1702" s="174"/>
      <c r="T1702" s="174"/>
      <c r="U1702" s="174"/>
      <c r="V1702" s="174"/>
      <c r="W1702" s="174"/>
      <c r="X1702" s="174"/>
      <c r="Y1702" s="174"/>
      <c r="Z1702" s="174"/>
    </row>
    <row r="1703">
      <c r="A1703" s="194"/>
      <c r="B1703" s="194"/>
      <c r="C1703" s="194"/>
      <c r="D1703" s="194"/>
      <c r="E1703" s="194"/>
      <c r="F1703" s="194"/>
      <c r="G1703" s="194"/>
      <c r="H1703" s="195"/>
      <c r="I1703" s="195"/>
      <c r="J1703" s="194"/>
      <c r="K1703" s="174"/>
      <c r="L1703" s="174"/>
      <c r="M1703" s="174"/>
      <c r="N1703" s="174"/>
      <c r="O1703" s="174"/>
      <c r="P1703" s="174"/>
      <c r="Q1703" s="174"/>
      <c r="R1703" s="174"/>
      <c r="S1703" s="174"/>
      <c r="T1703" s="174"/>
      <c r="U1703" s="174"/>
      <c r="V1703" s="174"/>
      <c r="W1703" s="174"/>
      <c r="X1703" s="174"/>
      <c r="Y1703" s="174"/>
      <c r="Z1703" s="174"/>
    </row>
    <row r="1704">
      <c r="A1704" s="194"/>
      <c r="B1704" s="194"/>
      <c r="C1704" s="194"/>
      <c r="D1704" s="194"/>
      <c r="E1704" s="194"/>
      <c r="F1704" s="194"/>
      <c r="G1704" s="194"/>
      <c r="H1704" s="195"/>
      <c r="I1704" s="195"/>
      <c r="J1704" s="194"/>
      <c r="K1704" s="174"/>
      <c r="L1704" s="174"/>
      <c r="M1704" s="174"/>
      <c r="N1704" s="174"/>
      <c r="O1704" s="174"/>
      <c r="P1704" s="174"/>
      <c r="Q1704" s="174"/>
      <c r="R1704" s="174"/>
      <c r="S1704" s="174"/>
      <c r="T1704" s="174"/>
      <c r="U1704" s="174"/>
      <c r="V1704" s="174"/>
      <c r="W1704" s="174"/>
      <c r="X1704" s="174"/>
      <c r="Y1704" s="174"/>
      <c r="Z1704" s="174"/>
    </row>
    <row r="1705">
      <c r="A1705" s="194"/>
      <c r="B1705" s="194"/>
      <c r="C1705" s="194"/>
      <c r="D1705" s="194"/>
      <c r="E1705" s="194"/>
      <c r="F1705" s="194"/>
      <c r="G1705" s="194"/>
      <c r="H1705" s="195"/>
      <c r="I1705" s="195"/>
      <c r="J1705" s="194"/>
      <c r="K1705" s="174"/>
      <c r="L1705" s="174"/>
      <c r="M1705" s="174"/>
      <c r="N1705" s="174"/>
      <c r="O1705" s="174"/>
      <c r="P1705" s="174"/>
      <c r="Q1705" s="174"/>
      <c r="R1705" s="174"/>
      <c r="S1705" s="174"/>
      <c r="T1705" s="174"/>
      <c r="U1705" s="174"/>
      <c r="V1705" s="174"/>
      <c r="W1705" s="174"/>
      <c r="X1705" s="174"/>
      <c r="Y1705" s="174"/>
      <c r="Z1705" s="174"/>
    </row>
    <row r="1706">
      <c r="A1706" s="194"/>
      <c r="B1706" s="194"/>
      <c r="C1706" s="194"/>
      <c r="D1706" s="194"/>
      <c r="E1706" s="194"/>
      <c r="F1706" s="194"/>
      <c r="G1706" s="194"/>
      <c r="H1706" s="195"/>
      <c r="I1706" s="195"/>
      <c r="J1706" s="194"/>
      <c r="K1706" s="174"/>
      <c r="L1706" s="174"/>
      <c r="M1706" s="174"/>
      <c r="N1706" s="174"/>
      <c r="O1706" s="174"/>
      <c r="P1706" s="174"/>
      <c r="Q1706" s="174"/>
      <c r="R1706" s="174"/>
      <c r="S1706" s="174"/>
      <c r="T1706" s="174"/>
      <c r="U1706" s="174"/>
      <c r="V1706" s="174"/>
      <c r="W1706" s="174"/>
      <c r="X1706" s="174"/>
      <c r="Y1706" s="174"/>
      <c r="Z1706" s="174"/>
    </row>
    <row r="1707">
      <c r="A1707" s="194"/>
      <c r="B1707" s="194"/>
      <c r="C1707" s="194"/>
      <c r="D1707" s="194"/>
      <c r="E1707" s="194"/>
      <c r="F1707" s="194"/>
      <c r="G1707" s="194"/>
      <c r="H1707" s="195"/>
      <c r="I1707" s="195"/>
      <c r="J1707" s="194"/>
      <c r="K1707" s="174"/>
      <c r="L1707" s="174"/>
      <c r="M1707" s="174"/>
      <c r="N1707" s="174"/>
      <c r="O1707" s="174"/>
      <c r="P1707" s="174"/>
      <c r="Q1707" s="174"/>
      <c r="R1707" s="174"/>
      <c r="S1707" s="174"/>
      <c r="T1707" s="174"/>
      <c r="U1707" s="174"/>
      <c r="V1707" s="174"/>
      <c r="W1707" s="174"/>
      <c r="X1707" s="174"/>
      <c r="Y1707" s="174"/>
      <c r="Z1707" s="174"/>
    </row>
    <row r="1708">
      <c r="A1708" s="194"/>
      <c r="B1708" s="194"/>
      <c r="C1708" s="194"/>
      <c r="D1708" s="194"/>
      <c r="E1708" s="194"/>
      <c r="F1708" s="194"/>
      <c r="G1708" s="194"/>
      <c r="H1708" s="195"/>
      <c r="I1708" s="195"/>
      <c r="J1708" s="194"/>
      <c r="K1708" s="174"/>
      <c r="L1708" s="174"/>
      <c r="M1708" s="174"/>
      <c r="N1708" s="174"/>
      <c r="O1708" s="174"/>
      <c r="P1708" s="174"/>
      <c r="Q1708" s="174"/>
      <c r="R1708" s="174"/>
      <c r="S1708" s="174"/>
      <c r="T1708" s="174"/>
      <c r="U1708" s="174"/>
      <c r="V1708" s="174"/>
      <c r="W1708" s="174"/>
      <c r="X1708" s="174"/>
      <c r="Y1708" s="174"/>
      <c r="Z1708" s="174"/>
    </row>
    <row r="1709">
      <c r="A1709" s="194"/>
      <c r="B1709" s="194"/>
      <c r="C1709" s="194"/>
      <c r="D1709" s="194"/>
      <c r="E1709" s="194"/>
      <c r="F1709" s="194"/>
      <c r="G1709" s="194"/>
      <c r="H1709" s="195"/>
      <c r="I1709" s="195"/>
      <c r="J1709" s="194"/>
      <c r="K1709" s="174"/>
      <c r="L1709" s="174"/>
      <c r="M1709" s="174"/>
      <c r="N1709" s="174"/>
      <c r="O1709" s="174"/>
      <c r="P1709" s="174"/>
      <c r="Q1709" s="174"/>
      <c r="R1709" s="174"/>
      <c r="S1709" s="174"/>
      <c r="T1709" s="174"/>
      <c r="U1709" s="174"/>
      <c r="V1709" s="174"/>
      <c r="W1709" s="174"/>
      <c r="X1709" s="174"/>
      <c r="Y1709" s="174"/>
      <c r="Z1709" s="174"/>
    </row>
    <row r="1710">
      <c r="A1710" s="194"/>
      <c r="B1710" s="194"/>
      <c r="C1710" s="194"/>
      <c r="D1710" s="194"/>
      <c r="E1710" s="194"/>
      <c r="F1710" s="194"/>
      <c r="G1710" s="194"/>
      <c r="H1710" s="195"/>
      <c r="I1710" s="195"/>
      <c r="J1710" s="194"/>
      <c r="K1710" s="174"/>
      <c r="L1710" s="174"/>
      <c r="M1710" s="174"/>
      <c r="N1710" s="174"/>
      <c r="O1710" s="174"/>
      <c r="P1710" s="174"/>
      <c r="Q1710" s="174"/>
      <c r="R1710" s="174"/>
      <c r="S1710" s="174"/>
      <c r="T1710" s="174"/>
      <c r="U1710" s="174"/>
      <c r="V1710" s="174"/>
      <c r="W1710" s="174"/>
      <c r="X1710" s="174"/>
      <c r="Y1710" s="174"/>
      <c r="Z1710" s="174"/>
    </row>
    <row r="1711">
      <c r="A1711" s="194"/>
      <c r="B1711" s="194"/>
      <c r="C1711" s="194"/>
      <c r="D1711" s="194"/>
      <c r="E1711" s="194"/>
      <c r="F1711" s="194"/>
      <c r="G1711" s="194"/>
      <c r="H1711" s="195"/>
      <c r="I1711" s="195"/>
      <c r="J1711" s="194"/>
      <c r="K1711" s="174"/>
      <c r="L1711" s="174"/>
      <c r="M1711" s="174"/>
      <c r="N1711" s="174"/>
      <c r="O1711" s="174"/>
      <c r="P1711" s="174"/>
      <c r="Q1711" s="174"/>
      <c r="R1711" s="174"/>
      <c r="S1711" s="174"/>
      <c r="T1711" s="174"/>
      <c r="U1711" s="174"/>
      <c r="V1711" s="174"/>
      <c r="W1711" s="174"/>
      <c r="X1711" s="174"/>
      <c r="Y1711" s="174"/>
      <c r="Z1711" s="174"/>
    </row>
    <row r="1712">
      <c r="A1712" s="194"/>
      <c r="B1712" s="194"/>
      <c r="C1712" s="194"/>
      <c r="D1712" s="194"/>
      <c r="E1712" s="194"/>
      <c r="F1712" s="194"/>
      <c r="G1712" s="194"/>
      <c r="H1712" s="195"/>
      <c r="I1712" s="195"/>
      <c r="J1712" s="194"/>
      <c r="K1712" s="174"/>
      <c r="L1712" s="174"/>
      <c r="M1712" s="174"/>
      <c r="N1712" s="174"/>
      <c r="O1712" s="174"/>
      <c r="P1712" s="174"/>
      <c r="Q1712" s="174"/>
      <c r="R1712" s="174"/>
      <c r="S1712" s="174"/>
      <c r="T1712" s="174"/>
      <c r="U1712" s="174"/>
      <c r="V1712" s="174"/>
      <c r="W1712" s="174"/>
      <c r="X1712" s="174"/>
      <c r="Y1712" s="174"/>
      <c r="Z1712" s="174"/>
    </row>
    <row r="1713">
      <c r="A1713" s="194"/>
      <c r="B1713" s="194"/>
      <c r="C1713" s="194"/>
      <c r="D1713" s="194"/>
      <c r="E1713" s="194"/>
      <c r="F1713" s="194"/>
      <c r="G1713" s="194"/>
      <c r="H1713" s="195"/>
      <c r="I1713" s="195"/>
      <c r="J1713" s="194"/>
      <c r="K1713" s="174"/>
      <c r="L1713" s="174"/>
      <c r="M1713" s="174"/>
      <c r="N1713" s="174"/>
      <c r="O1713" s="174"/>
      <c r="P1713" s="174"/>
      <c r="Q1713" s="174"/>
      <c r="R1713" s="174"/>
      <c r="S1713" s="174"/>
      <c r="T1713" s="174"/>
      <c r="U1713" s="174"/>
      <c r="V1713" s="174"/>
      <c r="W1713" s="174"/>
      <c r="X1713" s="174"/>
      <c r="Y1713" s="174"/>
      <c r="Z1713" s="174"/>
    </row>
    <row r="1714">
      <c r="A1714" s="194"/>
      <c r="B1714" s="194"/>
      <c r="C1714" s="194"/>
      <c r="D1714" s="194"/>
      <c r="E1714" s="194"/>
      <c r="F1714" s="194"/>
      <c r="G1714" s="194"/>
      <c r="H1714" s="195"/>
      <c r="I1714" s="195"/>
      <c r="J1714" s="194"/>
      <c r="K1714" s="174"/>
      <c r="L1714" s="174"/>
      <c r="M1714" s="174"/>
      <c r="N1714" s="174"/>
      <c r="O1714" s="174"/>
      <c r="P1714" s="174"/>
      <c r="Q1714" s="174"/>
      <c r="R1714" s="174"/>
      <c r="S1714" s="174"/>
      <c r="T1714" s="174"/>
      <c r="U1714" s="174"/>
      <c r="V1714" s="174"/>
      <c r="W1714" s="174"/>
      <c r="X1714" s="174"/>
      <c r="Y1714" s="174"/>
      <c r="Z1714" s="174"/>
    </row>
    <row r="1715">
      <c r="A1715" s="194"/>
      <c r="B1715" s="194"/>
      <c r="C1715" s="194"/>
      <c r="D1715" s="194"/>
      <c r="E1715" s="194"/>
      <c r="F1715" s="194"/>
      <c r="G1715" s="194"/>
      <c r="H1715" s="195"/>
      <c r="I1715" s="195"/>
      <c r="J1715" s="194"/>
      <c r="K1715" s="174"/>
      <c r="L1715" s="174"/>
      <c r="M1715" s="174"/>
      <c r="N1715" s="174"/>
      <c r="O1715" s="174"/>
      <c r="P1715" s="174"/>
      <c r="Q1715" s="174"/>
      <c r="R1715" s="174"/>
      <c r="S1715" s="174"/>
      <c r="T1715" s="174"/>
      <c r="U1715" s="174"/>
      <c r="V1715" s="174"/>
      <c r="W1715" s="174"/>
      <c r="X1715" s="174"/>
      <c r="Y1715" s="174"/>
      <c r="Z1715" s="174"/>
    </row>
    <row r="1716">
      <c r="A1716" s="194"/>
      <c r="B1716" s="194"/>
      <c r="C1716" s="194"/>
      <c r="D1716" s="194"/>
      <c r="E1716" s="194"/>
      <c r="F1716" s="194"/>
      <c r="G1716" s="194"/>
      <c r="H1716" s="195"/>
      <c r="I1716" s="195"/>
      <c r="J1716" s="194"/>
      <c r="K1716" s="174"/>
      <c r="L1716" s="174"/>
      <c r="M1716" s="174"/>
      <c r="N1716" s="174"/>
      <c r="O1716" s="174"/>
      <c r="P1716" s="174"/>
      <c r="Q1716" s="174"/>
      <c r="R1716" s="174"/>
      <c r="S1716" s="174"/>
      <c r="T1716" s="174"/>
      <c r="U1716" s="174"/>
      <c r="V1716" s="174"/>
      <c r="W1716" s="174"/>
      <c r="X1716" s="174"/>
      <c r="Y1716" s="174"/>
      <c r="Z1716" s="174"/>
    </row>
    <row r="1717">
      <c r="A1717" s="194"/>
      <c r="B1717" s="194"/>
      <c r="C1717" s="194"/>
      <c r="D1717" s="194"/>
      <c r="E1717" s="194"/>
      <c r="F1717" s="194"/>
      <c r="G1717" s="194"/>
      <c r="H1717" s="195"/>
      <c r="I1717" s="195"/>
      <c r="J1717" s="194"/>
      <c r="K1717" s="174"/>
      <c r="L1717" s="174"/>
      <c r="M1717" s="174"/>
      <c r="N1717" s="174"/>
      <c r="O1717" s="174"/>
      <c r="P1717" s="174"/>
      <c r="Q1717" s="174"/>
      <c r="R1717" s="174"/>
      <c r="S1717" s="174"/>
      <c r="T1717" s="174"/>
      <c r="U1717" s="174"/>
      <c r="V1717" s="174"/>
      <c r="W1717" s="174"/>
      <c r="X1717" s="174"/>
      <c r="Y1717" s="174"/>
      <c r="Z1717" s="174"/>
    </row>
    <row r="1718">
      <c r="A1718" s="194"/>
      <c r="B1718" s="194"/>
      <c r="C1718" s="194"/>
      <c r="D1718" s="194"/>
      <c r="E1718" s="194"/>
      <c r="F1718" s="194"/>
      <c r="G1718" s="194"/>
      <c r="H1718" s="195"/>
      <c r="I1718" s="195"/>
      <c r="J1718" s="194"/>
      <c r="K1718" s="174"/>
      <c r="L1718" s="174"/>
      <c r="M1718" s="174"/>
      <c r="N1718" s="174"/>
      <c r="O1718" s="174"/>
      <c r="P1718" s="174"/>
      <c r="Q1718" s="174"/>
      <c r="R1718" s="174"/>
      <c r="S1718" s="174"/>
      <c r="T1718" s="174"/>
      <c r="U1718" s="174"/>
      <c r="V1718" s="174"/>
      <c r="W1718" s="174"/>
      <c r="X1718" s="174"/>
      <c r="Y1718" s="174"/>
      <c r="Z1718" s="174"/>
    </row>
    <row r="1719">
      <c r="A1719" s="194"/>
      <c r="B1719" s="194"/>
      <c r="C1719" s="194"/>
      <c r="D1719" s="194"/>
      <c r="E1719" s="194"/>
      <c r="F1719" s="194"/>
      <c r="G1719" s="194"/>
      <c r="H1719" s="195"/>
      <c r="I1719" s="195"/>
      <c r="J1719" s="194"/>
      <c r="K1719" s="174"/>
      <c r="L1719" s="174"/>
      <c r="M1719" s="174"/>
      <c r="N1719" s="174"/>
      <c r="O1719" s="174"/>
      <c r="P1719" s="174"/>
      <c r="Q1719" s="174"/>
      <c r="R1719" s="174"/>
      <c r="S1719" s="174"/>
      <c r="T1719" s="174"/>
      <c r="U1719" s="174"/>
      <c r="V1719" s="174"/>
      <c r="W1719" s="174"/>
      <c r="X1719" s="174"/>
      <c r="Y1719" s="174"/>
      <c r="Z1719" s="174"/>
    </row>
    <row r="1720">
      <c r="A1720" s="194"/>
      <c r="B1720" s="194"/>
      <c r="C1720" s="194"/>
      <c r="D1720" s="194"/>
      <c r="E1720" s="194"/>
      <c r="F1720" s="194"/>
      <c r="G1720" s="194"/>
      <c r="H1720" s="195"/>
      <c r="I1720" s="195"/>
      <c r="J1720" s="194"/>
      <c r="K1720" s="174"/>
      <c r="L1720" s="174"/>
      <c r="M1720" s="174"/>
      <c r="N1720" s="174"/>
      <c r="O1720" s="174"/>
      <c r="P1720" s="174"/>
      <c r="Q1720" s="174"/>
      <c r="R1720" s="174"/>
      <c r="S1720" s="174"/>
      <c r="T1720" s="174"/>
      <c r="U1720" s="174"/>
      <c r="V1720" s="174"/>
      <c r="W1720" s="174"/>
      <c r="X1720" s="174"/>
      <c r="Y1720" s="174"/>
      <c r="Z1720" s="174"/>
    </row>
    <row r="1721">
      <c r="A1721" s="194"/>
      <c r="B1721" s="194"/>
      <c r="C1721" s="194"/>
      <c r="D1721" s="194"/>
      <c r="E1721" s="194"/>
      <c r="F1721" s="194"/>
      <c r="G1721" s="194"/>
      <c r="H1721" s="195"/>
      <c r="I1721" s="195"/>
      <c r="J1721" s="194"/>
      <c r="K1721" s="174"/>
      <c r="L1721" s="174"/>
      <c r="M1721" s="174"/>
      <c r="N1721" s="174"/>
      <c r="O1721" s="174"/>
      <c r="P1721" s="174"/>
      <c r="Q1721" s="174"/>
      <c r="R1721" s="174"/>
      <c r="S1721" s="174"/>
      <c r="T1721" s="174"/>
      <c r="U1721" s="174"/>
      <c r="V1721" s="174"/>
      <c r="W1721" s="174"/>
      <c r="X1721" s="174"/>
      <c r="Y1721" s="174"/>
      <c r="Z1721" s="174"/>
    </row>
    <row r="1722">
      <c r="A1722" s="194"/>
      <c r="B1722" s="194"/>
      <c r="C1722" s="194"/>
      <c r="D1722" s="194"/>
      <c r="E1722" s="194"/>
      <c r="F1722" s="194"/>
      <c r="G1722" s="194"/>
      <c r="H1722" s="195"/>
      <c r="I1722" s="195"/>
      <c r="J1722" s="194"/>
      <c r="K1722" s="174"/>
      <c r="L1722" s="174"/>
      <c r="M1722" s="174"/>
      <c r="N1722" s="174"/>
      <c r="O1722" s="174"/>
      <c r="P1722" s="174"/>
      <c r="Q1722" s="174"/>
      <c r="R1722" s="174"/>
      <c r="S1722" s="174"/>
      <c r="T1722" s="174"/>
      <c r="U1722" s="174"/>
      <c r="V1722" s="174"/>
      <c r="W1722" s="174"/>
      <c r="X1722" s="174"/>
      <c r="Y1722" s="174"/>
      <c r="Z1722" s="174"/>
    </row>
    <row r="1723">
      <c r="A1723" s="194"/>
      <c r="B1723" s="194"/>
      <c r="C1723" s="194"/>
      <c r="D1723" s="194"/>
      <c r="E1723" s="194"/>
      <c r="F1723" s="194"/>
      <c r="G1723" s="194"/>
      <c r="H1723" s="195"/>
      <c r="I1723" s="195"/>
      <c r="J1723" s="194"/>
      <c r="K1723" s="174"/>
      <c r="L1723" s="174"/>
      <c r="M1723" s="174"/>
      <c r="N1723" s="174"/>
      <c r="O1723" s="174"/>
      <c r="P1723" s="174"/>
      <c r="Q1723" s="174"/>
      <c r="R1723" s="174"/>
      <c r="S1723" s="174"/>
      <c r="T1723" s="174"/>
      <c r="U1723" s="174"/>
      <c r="V1723" s="174"/>
      <c r="W1723" s="174"/>
      <c r="X1723" s="174"/>
      <c r="Y1723" s="174"/>
      <c r="Z1723" s="174"/>
    </row>
    <row r="1724">
      <c r="A1724" s="194"/>
      <c r="B1724" s="194"/>
      <c r="C1724" s="194"/>
      <c r="D1724" s="194"/>
      <c r="E1724" s="194"/>
      <c r="F1724" s="194"/>
      <c r="G1724" s="194"/>
      <c r="H1724" s="195"/>
      <c r="I1724" s="195"/>
      <c r="J1724" s="194"/>
      <c r="K1724" s="174"/>
      <c r="L1724" s="174"/>
      <c r="M1724" s="174"/>
      <c r="N1724" s="174"/>
      <c r="O1724" s="174"/>
      <c r="P1724" s="174"/>
      <c r="Q1724" s="174"/>
      <c r="R1724" s="174"/>
      <c r="S1724" s="174"/>
      <c r="T1724" s="174"/>
      <c r="U1724" s="174"/>
      <c r="V1724" s="174"/>
      <c r="W1724" s="174"/>
      <c r="X1724" s="174"/>
      <c r="Y1724" s="174"/>
      <c r="Z1724" s="174"/>
    </row>
    <row r="1725">
      <c r="A1725" s="194"/>
      <c r="B1725" s="194"/>
      <c r="C1725" s="194"/>
      <c r="D1725" s="194"/>
      <c r="E1725" s="194"/>
      <c r="F1725" s="194"/>
      <c r="G1725" s="194"/>
      <c r="H1725" s="195"/>
      <c r="I1725" s="195"/>
      <c r="J1725" s="194"/>
      <c r="K1725" s="174"/>
      <c r="L1725" s="174"/>
      <c r="M1725" s="174"/>
      <c r="N1725" s="174"/>
      <c r="O1725" s="174"/>
      <c r="P1725" s="174"/>
      <c r="Q1725" s="174"/>
      <c r="R1725" s="174"/>
      <c r="S1725" s="174"/>
      <c r="T1725" s="174"/>
      <c r="U1725" s="174"/>
      <c r="V1725" s="174"/>
      <c r="W1725" s="174"/>
      <c r="X1725" s="174"/>
      <c r="Y1725" s="174"/>
      <c r="Z1725" s="174"/>
    </row>
    <row r="1726">
      <c r="A1726" s="194"/>
      <c r="B1726" s="194"/>
      <c r="C1726" s="194"/>
      <c r="D1726" s="194"/>
      <c r="E1726" s="194"/>
      <c r="F1726" s="194"/>
      <c r="G1726" s="194"/>
      <c r="H1726" s="195"/>
      <c r="I1726" s="195"/>
      <c r="J1726" s="194"/>
      <c r="K1726" s="174"/>
      <c r="L1726" s="174"/>
      <c r="M1726" s="174"/>
      <c r="N1726" s="174"/>
      <c r="O1726" s="174"/>
      <c r="P1726" s="174"/>
      <c r="Q1726" s="174"/>
      <c r="R1726" s="174"/>
      <c r="S1726" s="174"/>
      <c r="T1726" s="174"/>
      <c r="U1726" s="174"/>
      <c r="V1726" s="174"/>
      <c r="W1726" s="174"/>
      <c r="X1726" s="174"/>
      <c r="Y1726" s="174"/>
      <c r="Z1726" s="174"/>
    </row>
    <row r="1727">
      <c r="A1727" s="194"/>
      <c r="B1727" s="194"/>
      <c r="C1727" s="194"/>
      <c r="D1727" s="194"/>
      <c r="E1727" s="194"/>
      <c r="F1727" s="194"/>
      <c r="G1727" s="194"/>
      <c r="H1727" s="195"/>
      <c r="I1727" s="195"/>
      <c r="J1727" s="194"/>
      <c r="K1727" s="174"/>
      <c r="L1727" s="174"/>
      <c r="M1727" s="174"/>
      <c r="N1727" s="174"/>
      <c r="O1727" s="174"/>
      <c r="P1727" s="174"/>
      <c r="Q1727" s="174"/>
      <c r="R1727" s="174"/>
      <c r="S1727" s="174"/>
      <c r="T1727" s="174"/>
      <c r="U1727" s="174"/>
      <c r="V1727" s="174"/>
      <c r="W1727" s="174"/>
      <c r="X1727" s="174"/>
      <c r="Y1727" s="174"/>
      <c r="Z1727" s="174"/>
    </row>
    <row r="1728">
      <c r="A1728" s="194"/>
      <c r="B1728" s="194"/>
      <c r="C1728" s="194"/>
      <c r="D1728" s="194"/>
      <c r="E1728" s="194"/>
      <c r="F1728" s="194"/>
      <c r="G1728" s="194"/>
      <c r="H1728" s="195"/>
      <c r="I1728" s="195"/>
      <c r="J1728" s="194"/>
      <c r="K1728" s="174"/>
      <c r="L1728" s="174"/>
      <c r="M1728" s="174"/>
      <c r="N1728" s="174"/>
      <c r="O1728" s="174"/>
      <c r="P1728" s="174"/>
      <c r="Q1728" s="174"/>
      <c r="R1728" s="174"/>
      <c r="S1728" s="174"/>
      <c r="T1728" s="174"/>
      <c r="U1728" s="174"/>
      <c r="V1728" s="174"/>
      <c r="W1728" s="174"/>
      <c r="X1728" s="174"/>
      <c r="Y1728" s="174"/>
      <c r="Z1728" s="174"/>
    </row>
    <row r="1729">
      <c r="A1729" s="194"/>
      <c r="B1729" s="194"/>
      <c r="C1729" s="194"/>
      <c r="D1729" s="194"/>
      <c r="E1729" s="194"/>
      <c r="F1729" s="194"/>
      <c r="G1729" s="194"/>
      <c r="H1729" s="195"/>
      <c r="I1729" s="195"/>
      <c r="J1729" s="194"/>
      <c r="K1729" s="174"/>
      <c r="L1729" s="174"/>
      <c r="M1729" s="174"/>
      <c r="N1729" s="174"/>
      <c r="O1729" s="174"/>
      <c r="P1729" s="174"/>
      <c r="Q1729" s="174"/>
      <c r="R1729" s="174"/>
      <c r="S1729" s="174"/>
      <c r="T1729" s="174"/>
      <c r="U1729" s="174"/>
      <c r="V1729" s="174"/>
      <c r="W1729" s="174"/>
      <c r="X1729" s="174"/>
      <c r="Y1729" s="174"/>
      <c r="Z1729" s="174"/>
    </row>
    <row r="1730">
      <c r="A1730" s="194"/>
      <c r="B1730" s="194"/>
      <c r="C1730" s="194"/>
      <c r="D1730" s="194"/>
      <c r="E1730" s="194"/>
      <c r="F1730" s="194"/>
      <c r="G1730" s="194"/>
      <c r="H1730" s="195"/>
      <c r="I1730" s="195"/>
      <c r="J1730" s="194"/>
      <c r="K1730" s="174"/>
      <c r="L1730" s="174"/>
      <c r="M1730" s="174"/>
      <c r="N1730" s="174"/>
      <c r="O1730" s="174"/>
      <c r="P1730" s="174"/>
      <c r="Q1730" s="174"/>
      <c r="R1730" s="174"/>
      <c r="S1730" s="174"/>
      <c r="T1730" s="174"/>
      <c r="U1730" s="174"/>
      <c r="V1730" s="174"/>
      <c r="W1730" s="174"/>
      <c r="X1730" s="174"/>
      <c r="Y1730" s="174"/>
      <c r="Z1730" s="174"/>
    </row>
    <row r="1731">
      <c r="A1731" s="194"/>
      <c r="B1731" s="194"/>
      <c r="C1731" s="194"/>
      <c r="D1731" s="194"/>
      <c r="E1731" s="194"/>
      <c r="F1731" s="194"/>
      <c r="G1731" s="194"/>
      <c r="H1731" s="195"/>
      <c r="I1731" s="195"/>
      <c r="J1731" s="194"/>
      <c r="K1731" s="174"/>
      <c r="L1731" s="174"/>
      <c r="M1731" s="174"/>
      <c r="N1731" s="174"/>
      <c r="O1731" s="174"/>
      <c r="P1731" s="174"/>
      <c r="Q1731" s="174"/>
      <c r="R1731" s="174"/>
      <c r="S1731" s="174"/>
      <c r="T1731" s="174"/>
      <c r="U1731" s="174"/>
      <c r="V1731" s="174"/>
      <c r="W1731" s="174"/>
      <c r="X1731" s="174"/>
      <c r="Y1731" s="174"/>
      <c r="Z1731" s="174"/>
    </row>
    <row r="1732">
      <c r="A1732" s="194"/>
      <c r="B1732" s="194"/>
      <c r="C1732" s="194"/>
      <c r="D1732" s="194"/>
      <c r="E1732" s="194"/>
      <c r="F1732" s="194"/>
      <c r="G1732" s="194"/>
      <c r="H1732" s="195"/>
      <c r="I1732" s="195"/>
      <c r="J1732" s="194"/>
      <c r="K1732" s="174"/>
      <c r="L1732" s="174"/>
      <c r="M1732" s="174"/>
      <c r="N1732" s="174"/>
      <c r="O1732" s="174"/>
      <c r="P1732" s="174"/>
      <c r="Q1732" s="174"/>
      <c r="R1732" s="174"/>
      <c r="S1732" s="174"/>
      <c r="T1732" s="174"/>
      <c r="U1732" s="174"/>
      <c r="V1732" s="174"/>
      <c r="W1732" s="174"/>
      <c r="X1732" s="174"/>
      <c r="Y1732" s="174"/>
      <c r="Z1732" s="174"/>
    </row>
    <row r="1733">
      <c r="A1733" s="194"/>
      <c r="B1733" s="194"/>
      <c r="C1733" s="194"/>
      <c r="D1733" s="194"/>
      <c r="E1733" s="194"/>
      <c r="F1733" s="194"/>
      <c r="G1733" s="194"/>
      <c r="H1733" s="195"/>
      <c r="I1733" s="195"/>
      <c r="J1733" s="194"/>
      <c r="K1733" s="174"/>
      <c r="L1733" s="174"/>
      <c r="M1733" s="174"/>
      <c r="N1733" s="174"/>
      <c r="O1733" s="174"/>
      <c r="P1733" s="174"/>
      <c r="Q1733" s="174"/>
      <c r="R1733" s="174"/>
      <c r="S1733" s="174"/>
      <c r="T1733" s="174"/>
      <c r="U1733" s="174"/>
      <c r="V1733" s="174"/>
      <c r="W1733" s="174"/>
      <c r="X1733" s="174"/>
      <c r="Y1733" s="174"/>
      <c r="Z1733" s="174"/>
    </row>
    <row r="1734">
      <c r="A1734" s="194"/>
      <c r="B1734" s="194"/>
      <c r="C1734" s="194"/>
      <c r="D1734" s="194"/>
      <c r="E1734" s="194"/>
      <c r="F1734" s="194"/>
      <c r="G1734" s="194"/>
      <c r="H1734" s="195"/>
      <c r="I1734" s="195"/>
      <c r="J1734" s="194"/>
      <c r="K1734" s="174"/>
      <c r="L1734" s="174"/>
      <c r="M1734" s="174"/>
      <c r="N1734" s="174"/>
      <c r="O1734" s="174"/>
      <c r="P1734" s="174"/>
      <c r="Q1734" s="174"/>
      <c r="R1734" s="174"/>
      <c r="S1734" s="174"/>
      <c r="T1734" s="174"/>
      <c r="U1734" s="174"/>
      <c r="V1734" s="174"/>
      <c r="W1734" s="174"/>
      <c r="X1734" s="174"/>
      <c r="Y1734" s="174"/>
      <c r="Z1734" s="174"/>
    </row>
    <row r="1735">
      <c r="A1735" s="194"/>
      <c r="B1735" s="194"/>
      <c r="C1735" s="194"/>
      <c r="D1735" s="194"/>
      <c r="E1735" s="194"/>
      <c r="F1735" s="194"/>
      <c r="G1735" s="194"/>
      <c r="H1735" s="195"/>
      <c r="I1735" s="195"/>
      <c r="J1735" s="194"/>
      <c r="K1735" s="174"/>
      <c r="L1735" s="174"/>
      <c r="M1735" s="174"/>
      <c r="N1735" s="174"/>
      <c r="O1735" s="174"/>
      <c r="P1735" s="174"/>
      <c r="Q1735" s="174"/>
      <c r="R1735" s="174"/>
      <c r="S1735" s="174"/>
      <c r="T1735" s="174"/>
      <c r="U1735" s="174"/>
      <c r="V1735" s="174"/>
      <c r="W1735" s="174"/>
      <c r="X1735" s="174"/>
      <c r="Y1735" s="174"/>
      <c r="Z1735" s="174"/>
    </row>
    <row r="1736">
      <c r="A1736" s="194"/>
      <c r="B1736" s="194"/>
      <c r="C1736" s="194"/>
      <c r="D1736" s="194"/>
      <c r="E1736" s="194"/>
      <c r="F1736" s="194"/>
      <c r="G1736" s="194"/>
      <c r="H1736" s="195"/>
      <c r="I1736" s="195"/>
      <c r="J1736" s="194"/>
      <c r="K1736" s="174"/>
      <c r="L1736" s="174"/>
      <c r="M1736" s="174"/>
      <c r="N1736" s="174"/>
      <c r="O1736" s="174"/>
      <c r="P1736" s="174"/>
      <c r="Q1736" s="174"/>
      <c r="R1736" s="174"/>
      <c r="S1736" s="174"/>
      <c r="T1736" s="174"/>
      <c r="U1736" s="174"/>
      <c r="V1736" s="174"/>
      <c r="W1736" s="174"/>
      <c r="X1736" s="174"/>
      <c r="Y1736" s="174"/>
      <c r="Z1736" s="174"/>
    </row>
    <row r="1737">
      <c r="A1737" s="194"/>
      <c r="B1737" s="194"/>
      <c r="C1737" s="194"/>
      <c r="D1737" s="194"/>
      <c r="E1737" s="194"/>
      <c r="F1737" s="194"/>
      <c r="G1737" s="194"/>
      <c r="H1737" s="195"/>
      <c r="I1737" s="195"/>
      <c r="J1737" s="194"/>
      <c r="K1737" s="174"/>
      <c r="L1737" s="174"/>
      <c r="M1737" s="174"/>
      <c r="N1737" s="174"/>
      <c r="O1737" s="174"/>
      <c r="P1737" s="174"/>
      <c r="Q1737" s="174"/>
      <c r="R1737" s="174"/>
      <c r="S1737" s="174"/>
      <c r="T1737" s="174"/>
      <c r="U1737" s="174"/>
      <c r="V1737" s="174"/>
      <c r="W1737" s="174"/>
      <c r="X1737" s="174"/>
      <c r="Y1737" s="174"/>
      <c r="Z1737" s="174"/>
    </row>
    <row r="1738">
      <c r="A1738" s="194"/>
      <c r="B1738" s="194"/>
      <c r="C1738" s="194"/>
      <c r="D1738" s="194"/>
      <c r="E1738" s="194"/>
      <c r="F1738" s="194"/>
      <c r="G1738" s="194"/>
      <c r="H1738" s="195"/>
      <c r="I1738" s="195"/>
      <c r="J1738" s="194"/>
      <c r="K1738" s="174"/>
      <c r="L1738" s="174"/>
      <c r="M1738" s="174"/>
      <c r="N1738" s="174"/>
      <c r="O1738" s="174"/>
      <c r="P1738" s="174"/>
      <c r="Q1738" s="174"/>
      <c r="R1738" s="174"/>
      <c r="S1738" s="174"/>
      <c r="T1738" s="174"/>
      <c r="U1738" s="174"/>
      <c r="V1738" s="174"/>
      <c r="W1738" s="174"/>
      <c r="X1738" s="174"/>
      <c r="Y1738" s="174"/>
      <c r="Z1738" s="174"/>
    </row>
    <row r="1739">
      <c r="A1739" s="194"/>
      <c r="B1739" s="194"/>
      <c r="C1739" s="194"/>
      <c r="D1739" s="194"/>
      <c r="E1739" s="194"/>
      <c r="F1739" s="194"/>
      <c r="G1739" s="194"/>
      <c r="H1739" s="195"/>
      <c r="I1739" s="195"/>
      <c r="J1739" s="194"/>
      <c r="K1739" s="174"/>
      <c r="L1739" s="174"/>
      <c r="M1739" s="174"/>
      <c r="N1739" s="174"/>
      <c r="O1739" s="174"/>
      <c r="P1739" s="174"/>
      <c r="Q1739" s="174"/>
      <c r="R1739" s="174"/>
      <c r="S1739" s="174"/>
      <c r="T1739" s="174"/>
      <c r="U1739" s="174"/>
      <c r="V1739" s="174"/>
      <c r="W1739" s="174"/>
      <c r="X1739" s="174"/>
      <c r="Y1739" s="174"/>
      <c r="Z1739" s="174"/>
    </row>
    <row r="1740">
      <c r="A1740" s="194"/>
      <c r="B1740" s="194"/>
      <c r="C1740" s="194"/>
      <c r="D1740" s="194"/>
      <c r="E1740" s="194"/>
      <c r="F1740" s="194"/>
      <c r="G1740" s="194"/>
      <c r="H1740" s="195"/>
      <c r="I1740" s="195"/>
      <c r="J1740" s="194"/>
      <c r="K1740" s="174"/>
      <c r="L1740" s="174"/>
      <c r="M1740" s="174"/>
      <c r="N1740" s="174"/>
      <c r="O1740" s="174"/>
      <c r="P1740" s="174"/>
      <c r="Q1740" s="174"/>
      <c r="R1740" s="174"/>
      <c r="S1740" s="174"/>
      <c r="T1740" s="174"/>
      <c r="U1740" s="174"/>
      <c r="V1740" s="174"/>
      <c r="W1740" s="174"/>
      <c r="X1740" s="174"/>
      <c r="Y1740" s="174"/>
      <c r="Z1740" s="174"/>
    </row>
    <row r="1741">
      <c r="A1741" s="194"/>
      <c r="B1741" s="194"/>
      <c r="C1741" s="194"/>
      <c r="D1741" s="194"/>
      <c r="E1741" s="194"/>
      <c r="F1741" s="194"/>
      <c r="G1741" s="194"/>
      <c r="H1741" s="195"/>
      <c r="I1741" s="195"/>
      <c r="J1741" s="194"/>
      <c r="K1741" s="174"/>
      <c r="L1741" s="174"/>
      <c r="M1741" s="174"/>
      <c r="N1741" s="174"/>
      <c r="O1741" s="174"/>
      <c r="P1741" s="174"/>
      <c r="Q1741" s="174"/>
      <c r="R1741" s="174"/>
      <c r="S1741" s="174"/>
      <c r="T1741" s="174"/>
      <c r="U1741" s="174"/>
      <c r="V1741" s="174"/>
      <c r="W1741" s="174"/>
      <c r="X1741" s="174"/>
      <c r="Y1741" s="174"/>
      <c r="Z1741" s="174"/>
    </row>
    <row r="1742">
      <c r="A1742" s="194"/>
      <c r="B1742" s="194"/>
      <c r="C1742" s="194"/>
      <c r="D1742" s="194"/>
      <c r="E1742" s="194"/>
      <c r="F1742" s="194"/>
      <c r="G1742" s="194"/>
      <c r="H1742" s="195"/>
      <c r="I1742" s="195"/>
      <c r="J1742" s="194"/>
      <c r="K1742" s="174"/>
      <c r="L1742" s="174"/>
      <c r="M1742" s="174"/>
      <c r="N1742" s="174"/>
      <c r="O1742" s="174"/>
      <c r="P1742" s="174"/>
      <c r="Q1742" s="174"/>
      <c r="R1742" s="174"/>
      <c r="S1742" s="174"/>
      <c r="T1742" s="174"/>
      <c r="U1742" s="174"/>
      <c r="V1742" s="174"/>
      <c r="W1742" s="174"/>
      <c r="X1742" s="174"/>
      <c r="Y1742" s="174"/>
      <c r="Z1742" s="174"/>
    </row>
    <row r="1743">
      <c r="A1743" s="194"/>
      <c r="B1743" s="194"/>
      <c r="C1743" s="194"/>
      <c r="D1743" s="194"/>
      <c r="E1743" s="194"/>
      <c r="F1743" s="194"/>
      <c r="G1743" s="194"/>
      <c r="H1743" s="195"/>
      <c r="I1743" s="195"/>
      <c r="J1743" s="194"/>
      <c r="K1743" s="174"/>
      <c r="L1743" s="174"/>
      <c r="M1743" s="174"/>
      <c r="N1743" s="174"/>
      <c r="O1743" s="174"/>
      <c r="P1743" s="174"/>
      <c r="Q1743" s="174"/>
      <c r="R1743" s="174"/>
      <c r="S1743" s="174"/>
      <c r="T1743" s="174"/>
      <c r="U1743" s="174"/>
      <c r="V1743" s="174"/>
      <c r="W1743" s="174"/>
      <c r="X1743" s="174"/>
      <c r="Y1743" s="174"/>
      <c r="Z1743" s="174"/>
    </row>
    <row r="1744">
      <c r="A1744" s="194"/>
      <c r="B1744" s="194"/>
      <c r="C1744" s="194"/>
      <c r="D1744" s="194"/>
      <c r="E1744" s="194"/>
      <c r="F1744" s="194"/>
      <c r="G1744" s="194"/>
      <c r="H1744" s="195"/>
      <c r="I1744" s="195"/>
      <c r="J1744" s="194"/>
      <c r="K1744" s="174"/>
      <c r="L1744" s="174"/>
      <c r="M1744" s="174"/>
      <c r="N1744" s="174"/>
      <c r="O1744" s="174"/>
      <c r="P1744" s="174"/>
      <c r="Q1744" s="174"/>
      <c r="R1744" s="174"/>
      <c r="S1744" s="174"/>
      <c r="T1744" s="174"/>
      <c r="U1744" s="174"/>
      <c r="V1744" s="174"/>
      <c r="W1744" s="174"/>
      <c r="X1744" s="174"/>
      <c r="Y1744" s="174"/>
      <c r="Z1744" s="174"/>
    </row>
    <row r="1745">
      <c r="A1745" s="194"/>
      <c r="B1745" s="194"/>
      <c r="C1745" s="194"/>
      <c r="D1745" s="194"/>
      <c r="E1745" s="194"/>
      <c r="F1745" s="194"/>
      <c r="G1745" s="194"/>
      <c r="H1745" s="195"/>
      <c r="I1745" s="195"/>
      <c r="J1745" s="194"/>
      <c r="K1745" s="174"/>
      <c r="L1745" s="174"/>
      <c r="M1745" s="174"/>
      <c r="N1745" s="174"/>
      <c r="O1745" s="174"/>
      <c r="P1745" s="174"/>
      <c r="Q1745" s="174"/>
      <c r="R1745" s="174"/>
      <c r="S1745" s="174"/>
      <c r="T1745" s="174"/>
      <c r="U1745" s="174"/>
      <c r="V1745" s="174"/>
      <c r="W1745" s="174"/>
      <c r="X1745" s="174"/>
      <c r="Y1745" s="174"/>
      <c r="Z1745" s="174"/>
    </row>
    <row r="1746">
      <c r="A1746" s="194"/>
      <c r="B1746" s="194"/>
      <c r="C1746" s="194"/>
      <c r="D1746" s="194"/>
      <c r="E1746" s="194"/>
      <c r="F1746" s="194"/>
      <c r="G1746" s="194"/>
      <c r="H1746" s="195"/>
      <c r="I1746" s="195"/>
      <c r="J1746" s="194"/>
      <c r="K1746" s="174"/>
      <c r="L1746" s="174"/>
      <c r="M1746" s="174"/>
      <c r="N1746" s="174"/>
      <c r="O1746" s="174"/>
      <c r="P1746" s="174"/>
      <c r="Q1746" s="174"/>
      <c r="R1746" s="174"/>
      <c r="S1746" s="174"/>
      <c r="T1746" s="174"/>
      <c r="U1746" s="174"/>
      <c r="V1746" s="174"/>
      <c r="W1746" s="174"/>
      <c r="X1746" s="174"/>
      <c r="Y1746" s="174"/>
      <c r="Z1746" s="174"/>
    </row>
    <row r="1747">
      <c r="A1747" s="194"/>
      <c r="B1747" s="194"/>
      <c r="C1747" s="194"/>
      <c r="D1747" s="194"/>
      <c r="E1747" s="194"/>
      <c r="F1747" s="194"/>
      <c r="G1747" s="194"/>
      <c r="H1747" s="195"/>
      <c r="I1747" s="195"/>
      <c r="J1747" s="194"/>
      <c r="K1747" s="174"/>
      <c r="L1747" s="174"/>
      <c r="M1747" s="174"/>
      <c r="N1747" s="174"/>
      <c r="O1747" s="174"/>
      <c r="P1747" s="174"/>
      <c r="Q1747" s="174"/>
      <c r="R1747" s="174"/>
      <c r="S1747" s="174"/>
      <c r="T1747" s="174"/>
      <c r="U1747" s="174"/>
      <c r="V1747" s="174"/>
      <c r="W1747" s="174"/>
      <c r="X1747" s="174"/>
      <c r="Y1747" s="174"/>
      <c r="Z1747" s="174"/>
    </row>
    <row r="1748">
      <c r="A1748" s="194"/>
      <c r="B1748" s="194"/>
      <c r="C1748" s="194"/>
      <c r="D1748" s="194"/>
      <c r="E1748" s="194"/>
      <c r="F1748" s="194"/>
      <c r="G1748" s="194"/>
      <c r="H1748" s="195"/>
      <c r="I1748" s="195"/>
      <c r="J1748" s="194"/>
      <c r="K1748" s="174"/>
      <c r="L1748" s="174"/>
      <c r="M1748" s="174"/>
      <c r="N1748" s="174"/>
      <c r="O1748" s="174"/>
      <c r="P1748" s="174"/>
      <c r="Q1748" s="174"/>
      <c r="R1748" s="174"/>
      <c r="S1748" s="174"/>
      <c r="T1748" s="174"/>
      <c r="U1748" s="174"/>
      <c r="V1748" s="174"/>
      <c r="W1748" s="174"/>
      <c r="X1748" s="174"/>
      <c r="Y1748" s="174"/>
      <c r="Z1748" s="174"/>
    </row>
    <row r="1749">
      <c r="A1749" s="194"/>
      <c r="B1749" s="194"/>
      <c r="C1749" s="194"/>
      <c r="D1749" s="194"/>
      <c r="E1749" s="194"/>
      <c r="F1749" s="194"/>
      <c r="G1749" s="194"/>
      <c r="H1749" s="195"/>
      <c r="I1749" s="195"/>
      <c r="J1749" s="194"/>
      <c r="K1749" s="174"/>
      <c r="L1749" s="174"/>
      <c r="M1749" s="174"/>
      <c r="N1749" s="174"/>
      <c r="O1749" s="174"/>
      <c r="P1749" s="174"/>
      <c r="Q1749" s="174"/>
      <c r="R1749" s="174"/>
      <c r="S1749" s="174"/>
      <c r="T1749" s="174"/>
      <c r="U1749" s="174"/>
      <c r="V1749" s="174"/>
      <c r="W1749" s="174"/>
      <c r="X1749" s="174"/>
      <c r="Y1749" s="174"/>
      <c r="Z1749" s="174"/>
    </row>
    <row r="1750">
      <c r="A1750" s="194"/>
      <c r="B1750" s="194"/>
      <c r="C1750" s="194"/>
      <c r="D1750" s="194"/>
      <c r="E1750" s="194"/>
      <c r="F1750" s="194"/>
      <c r="G1750" s="194"/>
      <c r="H1750" s="195"/>
      <c r="I1750" s="195"/>
      <c r="J1750" s="194"/>
      <c r="K1750" s="174"/>
      <c r="L1750" s="174"/>
      <c r="M1750" s="174"/>
      <c r="N1750" s="174"/>
      <c r="O1750" s="174"/>
      <c r="P1750" s="174"/>
      <c r="Q1750" s="174"/>
      <c r="R1750" s="174"/>
      <c r="S1750" s="174"/>
      <c r="T1750" s="174"/>
      <c r="U1750" s="174"/>
      <c r="V1750" s="174"/>
      <c r="W1750" s="174"/>
      <c r="X1750" s="174"/>
      <c r="Y1750" s="174"/>
      <c r="Z1750" s="174"/>
    </row>
    <row r="1751">
      <c r="A1751" s="194"/>
      <c r="B1751" s="194"/>
      <c r="C1751" s="194"/>
      <c r="D1751" s="194"/>
      <c r="E1751" s="194"/>
      <c r="F1751" s="194"/>
      <c r="G1751" s="194"/>
      <c r="H1751" s="195"/>
      <c r="I1751" s="195"/>
      <c r="J1751" s="194"/>
      <c r="K1751" s="174"/>
      <c r="L1751" s="174"/>
      <c r="M1751" s="174"/>
      <c r="N1751" s="174"/>
      <c r="O1751" s="174"/>
      <c r="P1751" s="174"/>
      <c r="Q1751" s="174"/>
      <c r="R1751" s="174"/>
      <c r="S1751" s="174"/>
      <c r="T1751" s="174"/>
      <c r="U1751" s="174"/>
      <c r="V1751" s="174"/>
      <c r="W1751" s="174"/>
      <c r="X1751" s="174"/>
      <c r="Y1751" s="174"/>
      <c r="Z1751" s="174"/>
    </row>
    <row r="1752">
      <c r="A1752" s="194"/>
      <c r="B1752" s="194"/>
      <c r="C1752" s="194"/>
      <c r="D1752" s="194"/>
      <c r="E1752" s="194"/>
      <c r="F1752" s="194"/>
      <c r="G1752" s="194"/>
      <c r="H1752" s="195"/>
      <c r="I1752" s="195"/>
      <c r="J1752" s="194"/>
      <c r="K1752" s="174"/>
      <c r="L1752" s="174"/>
      <c r="M1752" s="174"/>
      <c r="N1752" s="174"/>
      <c r="O1752" s="174"/>
      <c r="P1752" s="174"/>
      <c r="Q1752" s="174"/>
      <c r="R1752" s="174"/>
      <c r="S1752" s="174"/>
      <c r="T1752" s="174"/>
      <c r="U1752" s="174"/>
      <c r="V1752" s="174"/>
      <c r="W1752" s="174"/>
      <c r="X1752" s="174"/>
      <c r="Y1752" s="174"/>
      <c r="Z1752" s="174"/>
    </row>
    <row r="1753">
      <c r="A1753" s="194"/>
      <c r="B1753" s="194"/>
      <c r="C1753" s="194"/>
      <c r="D1753" s="194"/>
      <c r="E1753" s="194"/>
      <c r="F1753" s="194"/>
      <c r="G1753" s="194"/>
      <c r="H1753" s="195"/>
      <c r="I1753" s="195"/>
      <c r="J1753" s="194"/>
      <c r="K1753" s="174"/>
      <c r="L1753" s="174"/>
      <c r="M1753" s="174"/>
      <c r="N1753" s="174"/>
      <c r="O1753" s="174"/>
      <c r="P1753" s="174"/>
      <c r="Q1753" s="174"/>
      <c r="R1753" s="174"/>
      <c r="S1753" s="174"/>
      <c r="T1753" s="174"/>
      <c r="U1753" s="174"/>
      <c r="V1753" s="174"/>
      <c r="W1753" s="174"/>
      <c r="X1753" s="174"/>
      <c r="Y1753" s="174"/>
      <c r="Z1753" s="174"/>
    </row>
    <row r="1754">
      <c r="A1754" s="194"/>
      <c r="B1754" s="194"/>
      <c r="C1754" s="194"/>
      <c r="D1754" s="194"/>
      <c r="E1754" s="194"/>
      <c r="F1754" s="194"/>
      <c r="G1754" s="194"/>
      <c r="H1754" s="195"/>
      <c r="I1754" s="195"/>
      <c r="J1754" s="194"/>
      <c r="K1754" s="174"/>
      <c r="L1754" s="174"/>
      <c r="M1754" s="174"/>
      <c r="N1754" s="174"/>
      <c r="O1754" s="174"/>
      <c r="P1754" s="174"/>
      <c r="Q1754" s="174"/>
      <c r="R1754" s="174"/>
      <c r="S1754" s="174"/>
      <c r="T1754" s="174"/>
      <c r="U1754" s="174"/>
      <c r="V1754" s="174"/>
      <c r="W1754" s="174"/>
      <c r="X1754" s="174"/>
      <c r="Y1754" s="174"/>
      <c r="Z1754" s="174"/>
    </row>
    <row r="1755">
      <c r="A1755" s="194"/>
      <c r="B1755" s="194"/>
      <c r="C1755" s="194"/>
      <c r="D1755" s="194"/>
      <c r="E1755" s="194"/>
      <c r="F1755" s="194"/>
      <c r="G1755" s="194"/>
      <c r="H1755" s="195"/>
      <c r="I1755" s="195"/>
      <c r="J1755" s="194"/>
      <c r="K1755" s="174"/>
      <c r="L1755" s="174"/>
      <c r="M1755" s="174"/>
      <c r="N1755" s="174"/>
      <c r="O1755" s="174"/>
      <c r="P1755" s="174"/>
      <c r="Q1755" s="174"/>
      <c r="R1755" s="174"/>
      <c r="S1755" s="174"/>
      <c r="T1755" s="174"/>
      <c r="U1755" s="174"/>
      <c r="V1755" s="174"/>
      <c r="W1755" s="174"/>
      <c r="X1755" s="174"/>
      <c r="Y1755" s="174"/>
      <c r="Z1755" s="174"/>
    </row>
    <row r="1756">
      <c r="A1756" s="194"/>
      <c r="B1756" s="194"/>
      <c r="C1756" s="194"/>
      <c r="D1756" s="194"/>
      <c r="E1756" s="194"/>
      <c r="F1756" s="194"/>
      <c r="G1756" s="194"/>
      <c r="H1756" s="195"/>
      <c r="I1756" s="195"/>
      <c r="J1756" s="194"/>
      <c r="K1756" s="174"/>
      <c r="L1756" s="174"/>
      <c r="M1756" s="174"/>
      <c r="N1756" s="174"/>
      <c r="O1756" s="174"/>
      <c r="P1756" s="174"/>
      <c r="Q1756" s="174"/>
      <c r="R1756" s="174"/>
      <c r="S1756" s="174"/>
      <c r="T1756" s="174"/>
      <c r="U1756" s="174"/>
      <c r="V1756" s="174"/>
      <c r="W1756" s="174"/>
      <c r="X1756" s="174"/>
      <c r="Y1756" s="174"/>
      <c r="Z1756" s="174"/>
    </row>
    <row r="1757">
      <c r="A1757" s="194"/>
      <c r="B1757" s="194"/>
      <c r="C1757" s="194"/>
      <c r="D1757" s="194"/>
      <c r="E1757" s="194"/>
      <c r="F1757" s="194"/>
      <c r="G1757" s="194"/>
      <c r="H1757" s="195"/>
      <c r="I1757" s="195"/>
      <c r="J1757" s="194"/>
      <c r="K1757" s="174"/>
      <c r="L1757" s="174"/>
      <c r="M1757" s="174"/>
      <c r="N1757" s="174"/>
      <c r="O1757" s="174"/>
      <c r="P1757" s="174"/>
      <c r="Q1757" s="174"/>
      <c r="R1757" s="174"/>
      <c r="S1757" s="174"/>
      <c r="T1757" s="174"/>
      <c r="U1757" s="174"/>
      <c r="V1757" s="174"/>
      <c r="W1757" s="174"/>
      <c r="X1757" s="174"/>
      <c r="Y1757" s="174"/>
      <c r="Z1757" s="174"/>
    </row>
    <row r="1758">
      <c r="A1758" s="194"/>
      <c r="B1758" s="194"/>
      <c r="C1758" s="194"/>
      <c r="D1758" s="194"/>
      <c r="E1758" s="194"/>
      <c r="F1758" s="194"/>
      <c r="G1758" s="194"/>
      <c r="H1758" s="195"/>
      <c r="I1758" s="195"/>
      <c r="J1758" s="194"/>
      <c r="K1758" s="174"/>
      <c r="L1758" s="174"/>
      <c r="M1758" s="174"/>
      <c r="N1758" s="174"/>
      <c r="O1758" s="174"/>
      <c r="P1758" s="174"/>
      <c r="Q1758" s="174"/>
      <c r="R1758" s="174"/>
      <c r="S1758" s="174"/>
      <c r="T1758" s="174"/>
      <c r="U1758" s="174"/>
      <c r="V1758" s="174"/>
      <c r="W1758" s="174"/>
      <c r="X1758" s="174"/>
      <c r="Y1758" s="174"/>
      <c r="Z1758" s="174"/>
    </row>
    <row r="1759">
      <c r="A1759" s="194"/>
      <c r="B1759" s="194"/>
      <c r="C1759" s="194"/>
      <c r="D1759" s="194"/>
      <c r="E1759" s="194"/>
      <c r="F1759" s="194"/>
      <c r="G1759" s="194"/>
      <c r="H1759" s="195"/>
      <c r="I1759" s="195"/>
      <c r="J1759" s="194"/>
      <c r="K1759" s="174"/>
      <c r="L1759" s="174"/>
      <c r="M1759" s="174"/>
      <c r="N1759" s="174"/>
      <c r="O1759" s="174"/>
      <c r="P1759" s="174"/>
      <c r="Q1759" s="174"/>
      <c r="R1759" s="174"/>
      <c r="S1759" s="174"/>
      <c r="T1759" s="174"/>
      <c r="U1759" s="174"/>
      <c r="V1759" s="174"/>
      <c r="W1759" s="174"/>
      <c r="X1759" s="174"/>
      <c r="Y1759" s="174"/>
      <c r="Z1759" s="174"/>
    </row>
    <row r="1760">
      <c r="A1760" s="194"/>
      <c r="B1760" s="194"/>
      <c r="C1760" s="194"/>
      <c r="D1760" s="194"/>
      <c r="E1760" s="194"/>
      <c r="F1760" s="194"/>
      <c r="G1760" s="194"/>
      <c r="H1760" s="195"/>
      <c r="I1760" s="195"/>
      <c r="J1760" s="194"/>
      <c r="K1760" s="174"/>
      <c r="L1760" s="174"/>
      <c r="M1760" s="174"/>
      <c r="N1760" s="174"/>
      <c r="O1760" s="174"/>
      <c r="P1760" s="174"/>
      <c r="Q1760" s="174"/>
      <c r="R1760" s="174"/>
      <c r="S1760" s="174"/>
      <c r="T1760" s="174"/>
      <c r="U1760" s="174"/>
      <c r="V1760" s="174"/>
      <c r="W1760" s="174"/>
      <c r="X1760" s="174"/>
      <c r="Y1760" s="174"/>
      <c r="Z1760" s="174"/>
    </row>
    <row r="1761">
      <c r="A1761" s="194"/>
      <c r="B1761" s="194"/>
      <c r="C1761" s="194"/>
      <c r="D1761" s="194"/>
      <c r="E1761" s="194"/>
      <c r="F1761" s="194"/>
      <c r="G1761" s="194"/>
      <c r="H1761" s="195"/>
      <c r="I1761" s="195"/>
      <c r="J1761" s="194"/>
      <c r="K1761" s="174"/>
      <c r="L1761" s="174"/>
      <c r="M1761" s="174"/>
      <c r="N1761" s="174"/>
      <c r="O1761" s="174"/>
      <c r="P1761" s="174"/>
      <c r="Q1761" s="174"/>
      <c r="R1761" s="174"/>
      <c r="S1761" s="174"/>
      <c r="T1761" s="174"/>
      <c r="U1761" s="174"/>
      <c r="V1761" s="174"/>
      <c r="W1761" s="174"/>
      <c r="X1761" s="174"/>
      <c r="Y1761" s="174"/>
      <c r="Z1761" s="174"/>
    </row>
    <row r="1762">
      <c r="A1762" s="194"/>
      <c r="B1762" s="194"/>
      <c r="C1762" s="194"/>
      <c r="D1762" s="194"/>
      <c r="E1762" s="194"/>
      <c r="F1762" s="194"/>
      <c r="G1762" s="194"/>
      <c r="H1762" s="195"/>
      <c r="I1762" s="195"/>
      <c r="J1762" s="194"/>
      <c r="K1762" s="174"/>
      <c r="L1762" s="174"/>
      <c r="M1762" s="174"/>
      <c r="N1762" s="174"/>
      <c r="O1762" s="174"/>
      <c r="P1762" s="174"/>
      <c r="Q1762" s="174"/>
      <c r="R1762" s="174"/>
      <c r="S1762" s="174"/>
      <c r="T1762" s="174"/>
      <c r="U1762" s="174"/>
      <c r="V1762" s="174"/>
      <c r="W1762" s="174"/>
      <c r="X1762" s="174"/>
      <c r="Y1762" s="174"/>
      <c r="Z1762" s="174"/>
    </row>
    <row r="1763">
      <c r="A1763" s="194"/>
      <c r="B1763" s="194"/>
      <c r="C1763" s="194"/>
      <c r="D1763" s="194"/>
      <c r="E1763" s="194"/>
      <c r="F1763" s="194"/>
      <c r="G1763" s="194"/>
      <c r="H1763" s="195"/>
      <c r="I1763" s="195"/>
      <c r="J1763" s="194"/>
      <c r="K1763" s="174"/>
      <c r="L1763" s="174"/>
      <c r="M1763" s="174"/>
      <c r="N1763" s="174"/>
      <c r="O1763" s="174"/>
      <c r="P1763" s="174"/>
      <c r="Q1763" s="174"/>
      <c r="R1763" s="174"/>
      <c r="S1763" s="174"/>
      <c r="T1763" s="174"/>
      <c r="U1763" s="174"/>
      <c r="V1763" s="174"/>
      <c r="W1763" s="174"/>
      <c r="X1763" s="174"/>
      <c r="Y1763" s="174"/>
      <c r="Z1763" s="174"/>
    </row>
    <row r="1764">
      <c r="A1764" s="194"/>
      <c r="B1764" s="194"/>
      <c r="C1764" s="194"/>
      <c r="D1764" s="194"/>
      <c r="E1764" s="194"/>
      <c r="F1764" s="194"/>
      <c r="G1764" s="194"/>
      <c r="H1764" s="195"/>
      <c r="I1764" s="195"/>
      <c r="J1764" s="194"/>
      <c r="K1764" s="174"/>
      <c r="L1764" s="174"/>
      <c r="M1764" s="174"/>
      <c r="N1764" s="174"/>
      <c r="O1764" s="174"/>
      <c r="P1764" s="174"/>
      <c r="Q1764" s="174"/>
      <c r="R1764" s="174"/>
      <c r="S1764" s="174"/>
      <c r="T1764" s="174"/>
      <c r="U1764" s="174"/>
      <c r="V1764" s="174"/>
      <c r="W1764" s="174"/>
      <c r="X1764" s="174"/>
      <c r="Y1764" s="174"/>
      <c r="Z1764" s="174"/>
    </row>
    <row r="1765">
      <c r="A1765" s="194"/>
      <c r="B1765" s="194"/>
      <c r="C1765" s="194"/>
      <c r="D1765" s="194"/>
      <c r="E1765" s="194"/>
      <c r="F1765" s="194"/>
      <c r="G1765" s="194"/>
      <c r="H1765" s="195"/>
      <c r="I1765" s="195"/>
      <c r="J1765" s="194"/>
      <c r="K1765" s="174"/>
      <c r="L1765" s="174"/>
      <c r="M1765" s="174"/>
      <c r="N1765" s="174"/>
      <c r="O1765" s="174"/>
      <c r="P1765" s="174"/>
      <c r="Q1765" s="174"/>
      <c r="R1765" s="174"/>
      <c r="S1765" s="174"/>
      <c r="T1765" s="174"/>
      <c r="U1765" s="174"/>
      <c r="V1765" s="174"/>
      <c r="W1765" s="174"/>
      <c r="X1765" s="174"/>
      <c r="Y1765" s="174"/>
      <c r="Z1765" s="174"/>
    </row>
    <row r="1766">
      <c r="A1766" s="194"/>
      <c r="B1766" s="194"/>
      <c r="C1766" s="194"/>
      <c r="D1766" s="194"/>
      <c r="E1766" s="194"/>
      <c r="F1766" s="194"/>
      <c r="G1766" s="194"/>
      <c r="H1766" s="195"/>
      <c r="I1766" s="195"/>
      <c r="J1766" s="194"/>
      <c r="K1766" s="174"/>
      <c r="L1766" s="174"/>
      <c r="M1766" s="174"/>
      <c r="N1766" s="174"/>
      <c r="O1766" s="174"/>
      <c r="P1766" s="174"/>
      <c r="Q1766" s="174"/>
      <c r="R1766" s="174"/>
      <c r="S1766" s="174"/>
      <c r="T1766" s="174"/>
      <c r="U1766" s="174"/>
      <c r="V1766" s="174"/>
      <c r="W1766" s="174"/>
      <c r="X1766" s="174"/>
      <c r="Y1766" s="174"/>
      <c r="Z1766" s="174"/>
    </row>
    <row r="1767">
      <c r="A1767" s="194"/>
      <c r="B1767" s="194"/>
      <c r="C1767" s="194"/>
      <c r="D1767" s="194"/>
      <c r="E1767" s="194"/>
      <c r="F1767" s="194"/>
      <c r="G1767" s="194"/>
      <c r="H1767" s="195"/>
      <c r="I1767" s="195"/>
      <c r="J1767" s="194"/>
      <c r="K1767" s="174"/>
      <c r="L1767" s="174"/>
      <c r="M1767" s="174"/>
      <c r="N1767" s="174"/>
      <c r="O1767" s="174"/>
      <c r="P1767" s="174"/>
      <c r="Q1767" s="174"/>
      <c r="R1767" s="174"/>
      <c r="S1767" s="174"/>
      <c r="T1767" s="174"/>
      <c r="U1767" s="174"/>
      <c r="V1767" s="174"/>
      <c r="W1767" s="174"/>
      <c r="X1767" s="174"/>
      <c r="Y1767" s="174"/>
      <c r="Z1767" s="174"/>
    </row>
    <row r="1768">
      <c r="A1768" s="194"/>
      <c r="B1768" s="194"/>
      <c r="C1768" s="194"/>
      <c r="D1768" s="194"/>
      <c r="E1768" s="194"/>
      <c r="F1768" s="194"/>
      <c r="G1768" s="194"/>
      <c r="H1768" s="195"/>
      <c r="I1768" s="195"/>
      <c r="J1768" s="194"/>
      <c r="K1768" s="174"/>
      <c r="L1768" s="174"/>
      <c r="M1768" s="174"/>
      <c r="N1768" s="174"/>
      <c r="O1768" s="174"/>
      <c r="P1768" s="174"/>
      <c r="Q1768" s="174"/>
      <c r="R1768" s="174"/>
      <c r="S1768" s="174"/>
      <c r="T1768" s="174"/>
      <c r="U1768" s="174"/>
      <c r="V1768" s="174"/>
      <c r="W1768" s="174"/>
      <c r="X1768" s="174"/>
      <c r="Y1768" s="174"/>
      <c r="Z1768" s="174"/>
    </row>
    <row r="1769">
      <c r="A1769" s="194"/>
      <c r="B1769" s="194"/>
      <c r="C1769" s="194"/>
      <c r="D1769" s="194"/>
      <c r="E1769" s="194"/>
      <c r="F1769" s="194"/>
      <c r="G1769" s="194"/>
      <c r="H1769" s="195"/>
      <c r="I1769" s="195"/>
      <c r="J1769" s="194"/>
      <c r="K1769" s="174"/>
      <c r="L1769" s="174"/>
      <c r="M1769" s="174"/>
      <c r="N1769" s="174"/>
      <c r="O1769" s="174"/>
      <c r="P1769" s="174"/>
      <c r="Q1769" s="174"/>
      <c r="R1769" s="174"/>
      <c r="S1769" s="174"/>
      <c r="T1769" s="174"/>
      <c r="U1769" s="174"/>
      <c r="V1769" s="174"/>
      <c r="W1769" s="174"/>
      <c r="X1769" s="174"/>
      <c r="Y1769" s="174"/>
      <c r="Z1769" s="174"/>
    </row>
    <row r="1770">
      <c r="A1770" s="194"/>
      <c r="B1770" s="194"/>
      <c r="C1770" s="194"/>
      <c r="D1770" s="194"/>
      <c r="E1770" s="194"/>
      <c r="F1770" s="194"/>
      <c r="G1770" s="194"/>
      <c r="H1770" s="195"/>
      <c r="I1770" s="195"/>
      <c r="J1770" s="194"/>
      <c r="K1770" s="174"/>
      <c r="L1770" s="174"/>
      <c r="M1770" s="174"/>
      <c r="N1770" s="174"/>
      <c r="O1770" s="174"/>
      <c r="P1770" s="174"/>
      <c r="Q1770" s="174"/>
      <c r="R1770" s="174"/>
      <c r="S1770" s="174"/>
      <c r="T1770" s="174"/>
      <c r="U1770" s="174"/>
      <c r="V1770" s="174"/>
      <c r="W1770" s="174"/>
      <c r="X1770" s="174"/>
      <c r="Y1770" s="174"/>
      <c r="Z1770" s="174"/>
    </row>
    <row r="1771">
      <c r="A1771" s="194"/>
      <c r="B1771" s="194"/>
      <c r="C1771" s="194"/>
      <c r="D1771" s="194"/>
      <c r="E1771" s="194"/>
      <c r="F1771" s="194"/>
      <c r="G1771" s="194"/>
      <c r="H1771" s="195"/>
      <c r="I1771" s="195"/>
      <c r="J1771" s="194"/>
      <c r="K1771" s="174"/>
      <c r="L1771" s="174"/>
      <c r="M1771" s="174"/>
      <c r="N1771" s="174"/>
      <c r="O1771" s="174"/>
      <c r="P1771" s="174"/>
      <c r="Q1771" s="174"/>
      <c r="R1771" s="174"/>
      <c r="S1771" s="174"/>
      <c r="T1771" s="174"/>
      <c r="U1771" s="174"/>
      <c r="V1771" s="174"/>
      <c r="W1771" s="174"/>
      <c r="X1771" s="174"/>
      <c r="Y1771" s="174"/>
      <c r="Z1771" s="174"/>
    </row>
    <row r="1772">
      <c r="A1772" s="194"/>
      <c r="B1772" s="194"/>
      <c r="C1772" s="194"/>
      <c r="D1772" s="194"/>
      <c r="E1772" s="194"/>
      <c r="F1772" s="194"/>
      <c r="G1772" s="194"/>
      <c r="H1772" s="195"/>
      <c r="I1772" s="195"/>
      <c r="J1772" s="194"/>
      <c r="K1772" s="174"/>
      <c r="L1772" s="174"/>
      <c r="M1772" s="174"/>
      <c r="N1772" s="174"/>
      <c r="O1772" s="174"/>
      <c r="P1772" s="174"/>
      <c r="Q1772" s="174"/>
      <c r="R1772" s="174"/>
      <c r="S1772" s="174"/>
      <c r="T1772" s="174"/>
      <c r="U1772" s="174"/>
      <c r="V1772" s="174"/>
      <c r="W1772" s="174"/>
      <c r="X1772" s="174"/>
      <c r="Y1772" s="174"/>
      <c r="Z1772" s="174"/>
    </row>
    <row r="1773">
      <c r="A1773" s="194"/>
      <c r="B1773" s="194"/>
      <c r="C1773" s="194"/>
      <c r="D1773" s="194"/>
      <c r="E1773" s="194"/>
      <c r="F1773" s="194"/>
      <c r="G1773" s="194"/>
      <c r="H1773" s="195"/>
      <c r="I1773" s="195"/>
      <c r="J1773" s="194"/>
      <c r="K1773" s="174"/>
      <c r="L1773" s="174"/>
      <c r="M1773" s="174"/>
      <c r="N1773" s="174"/>
      <c r="O1773" s="174"/>
      <c r="P1773" s="174"/>
      <c r="Q1773" s="174"/>
      <c r="R1773" s="174"/>
      <c r="S1773" s="174"/>
      <c r="T1773" s="174"/>
      <c r="U1773" s="174"/>
      <c r="V1773" s="174"/>
      <c r="W1773" s="174"/>
      <c r="X1773" s="174"/>
      <c r="Y1773" s="174"/>
      <c r="Z1773" s="174"/>
    </row>
    <row r="1774">
      <c r="A1774" s="194"/>
      <c r="B1774" s="194"/>
      <c r="C1774" s="194"/>
      <c r="D1774" s="194"/>
      <c r="E1774" s="194"/>
      <c r="F1774" s="194"/>
      <c r="G1774" s="194"/>
      <c r="H1774" s="195"/>
      <c r="I1774" s="195"/>
      <c r="J1774" s="194"/>
      <c r="K1774" s="174"/>
      <c r="L1774" s="174"/>
      <c r="M1774" s="174"/>
      <c r="N1774" s="174"/>
      <c r="O1774" s="174"/>
      <c r="P1774" s="174"/>
      <c r="Q1774" s="174"/>
      <c r="R1774" s="174"/>
      <c r="S1774" s="174"/>
      <c r="T1774" s="174"/>
      <c r="U1774" s="174"/>
      <c r="V1774" s="174"/>
      <c r="W1774" s="174"/>
      <c r="X1774" s="174"/>
      <c r="Y1774" s="174"/>
      <c r="Z1774" s="174"/>
    </row>
    <row r="1775">
      <c r="A1775" s="194"/>
      <c r="B1775" s="194"/>
      <c r="C1775" s="194"/>
      <c r="D1775" s="194"/>
      <c r="E1775" s="194"/>
      <c r="F1775" s="194"/>
      <c r="G1775" s="194"/>
      <c r="H1775" s="195"/>
      <c r="I1775" s="195"/>
      <c r="J1775" s="194"/>
      <c r="K1775" s="174"/>
      <c r="L1775" s="174"/>
      <c r="M1775" s="174"/>
      <c r="N1775" s="174"/>
      <c r="O1775" s="174"/>
      <c r="P1775" s="174"/>
      <c r="Q1775" s="174"/>
      <c r="R1775" s="174"/>
      <c r="S1775" s="174"/>
      <c r="T1775" s="174"/>
      <c r="U1775" s="174"/>
      <c r="V1775" s="174"/>
      <c r="W1775" s="174"/>
      <c r="X1775" s="174"/>
      <c r="Y1775" s="174"/>
      <c r="Z1775" s="174"/>
    </row>
    <row r="1776">
      <c r="A1776" s="194"/>
      <c r="B1776" s="194"/>
      <c r="C1776" s="194"/>
      <c r="D1776" s="194"/>
      <c r="E1776" s="194"/>
      <c r="F1776" s="194"/>
      <c r="G1776" s="194"/>
      <c r="H1776" s="195"/>
      <c r="I1776" s="195"/>
      <c r="J1776" s="194"/>
      <c r="K1776" s="174"/>
      <c r="L1776" s="174"/>
      <c r="M1776" s="174"/>
      <c r="N1776" s="174"/>
      <c r="O1776" s="174"/>
      <c r="P1776" s="174"/>
      <c r="Q1776" s="174"/>
      <c r="R1776" s="174"/>
      <c r="S1776" s="174"/>
      <c r="T1776" s="174"/>
      <c r="U1776" s="174"/>
      <c r="V1776" s="174"/>
      <c r="W1776" s="174"/>
      <c r="X1776" s="174"/>
      <c r="Y1776" s="174"/>
      <c r="Z1776" s="174"/>
    </row>
    <row r="1777">
      <c r="A1777" s="194"/>
      <c r="B1777" s="194"/>
      <c r="C1777" s="194"/>
      <c r="D1777" s="194"/>
      <c r="E1777" s="194"/>
      <c r="F1777" s="194"/>
      <c r="G1777" s="194"/>
      <c r="H1777" s="195"/>
      <c r="I1777" s="195"/>
      <c r="J1777" s="194"/>
      <c r="K1777" s="174"/>
      <c r="L1777" s="174"/>
      <c r="M1777" s="174"/>
      <c r="N1777" s="174"/>
      <c r="O1777" s="174"/>
      <c r="P1777" s="174"/>
      <c r="Q1777" s="174"/>
      <c r="R1777" s="174"/>
      <c r="S1777" s="174"/>
      <c r="T1777" s="174"/>
      <c r="U1777" s="174"/>
      <c r="V1777" s="174"/>
      <c r="W1777" s="174"/>
      <c r="X1777" s="174"/>
      <c r="Y1777" s="174"/>
      <c r="Z1777" s="174"/>
    </row>
    <row r="1778">
      <c r="A1778" s="194"/>
      <c r="B1778" s="194"/>
      <c r="C1778" s="194"/>
      <c r="D1778" s="194"/>
      <c r="E1778" s="194"/>
      <c r="F1778" s="194"/>
      <c r="G1778" s="194"/>
      <c r="H1778" s="195"/>
      <c r="I1778" s="195"/>
      <c r="J1778" s="194"/>
      <c r="K1778" s="174"/>
      <c r="L1778" s="174"/>
      <c r="M1778" s="174"/>
      <c r="N1778" s="174"/>
      <c r="O1778" s="174"/>
      <c r="P1778" s="174"/>
      <c r="Q1778" s="174"/>
      <c r="R1778" s="174"/>
      <c r="S1778" s="174"/>
      <c r="T1778" s="174"/>
      <c r="U1778" s="174"/>
      <c r="V1778" s="174"/>
      <c r="W1778" s="174"/>
      <c r="X1778" s="174"/>
      <c r="Y1778" s="174"/>
      <c r="Z1778" s="174"/>
    </row>
    <row r="1779">
      <c r="A1779" s="194"/>
      <c r="B1779" s="194"/>
      <c r="C1779" s="194"/>
      <c r="D1779" s="194"/>
      <c r="E1779" s="194"/>
      <c r="F1779" s="194"/>
      <c r="G1779" s="194"/>
      <c r="H1779" s="195"/>
      <c r="I1779" s="195"/>
      <c r="J1779" s="194"/>
      <c r="K1779" s="174"/>
      <c r="L1779" s="174"/>
      <c r="M1779" s="174"/>
      <c r="N1779" s="174"/>
      <c r="O1779" s="174"/>
      <c r="P1779" s="174"/>
      <c r="Q1779" s="174"/>
      <c r="R1779" s="174"/>
      <c r="S1779" s="174"/>
      <c r="T1779" s="174"/>
      <c r="U1779" s="174"/>
      <c r="V1779" s="174"/>
      <c r="W1779" s="174"/>
      <c r="X1779" s="174"/>
      <c r="Y1779" s="174"/>
      <c r="Z1779" s="174"/>
    </row>
    <row r="1780">
      <c r="A1780" s="194"/>
      <c r="B1780" s="194"/>
      <c r="C1780" s="194"/>
      <c r="D1780" s="194"/>
      <c r="E1780" s="194"/>
      <c r="F1780" s="194"/>
      <c r="G1780" s="194"/>
      <c r="H1780" s="195"/>
      <c r="I1780" s="195"/>
      <c r="J1780" s="194"/>
      <c r="K1780" s="174"/>
      <c r="L1780" s="174"/>
      <c r="M1780" s="174"/>
      <c r="N1780" s="174"/>
      <c r="O1780" s="174"/>
      <c r="P1780" s="174"/>
      <c r="Q1780" s="174"/>
      <c r="R1780" s="174"/>
      <c r="S1780" s="174"/>
      <c r="T1780" s="174"/>
      <c r="U1780" s="174"/>
      <c r="V1780" s="174"/>
      <c r="W1780" s="174"/>
      <c r="X1780" s="174"/>
      <c r="Y1780" s="174"/>
      <c r="Z1780" s="174"/>
    </row>
    <row r="1781">
      <c r="A1781" s="194"/>
      <c r="B1781" s="194"/>
      <c r="C1781" s="194"/>
      <c r="D1781" s="194"/>
      <c r="E1781" s="194"/>
      <c r="F1781" s="194"/>
      <c r="G1781" s="194"/>
      <c r="H1781" s="195"/>
      <c r="I1781" s="195"/>
      <c r="J1781" s="194"/>
      <c r="K1781" s="174"/>
      <c r="L1781" s="174"/>
      <c r="M1781" s="174"/>
      <c r="N1781" s="174"/>
      <c r="O1781" s="174"/>
      <c r="P1781" s="174"/>
      <c r="Q1781" s="174"/>
      <c r="R1781" s="174"/>
      <c r="S1781" s="174"/>
      <c r="T1781" s="174"/>
      <c r="U1781" s="174"/>
      <c r="V1781" s="174"/>
      <c r="W1781" s="174"/>
      <c r="X1781" s="174"/>
      <c r="Y1781" s="174"/>
      <c r="Z1781" s="174"/>
    </row>
    <row r="1782">
      <c r="A1782" s="194"/>
      <c r="B1782" s="194"/>
      <c r="C1782" s="194"/>
      <c r="D1782" s="194"/>
      <c r="E1782" s="194"/>
      <c r="F1782" s="194"/>
      <c r="G1782" s="194"/>
      <c r="H1782" s="195"/>
      <c r="I1782" s="195"/>
      <c r="J1782" s="194"/>
      <c r="K1782" s="174"/>
      <c r="L1782" s="174"/>
      <c r="M1782" s="174"/>
      <c r="N1782" s="174"/>
      <c r="O1782" s="174"/>
      <c r="P1782" s="174"/>
      <c r="Q1782" s="174"/>
      <c r="R1782" s="174"/>
      <c r="S1782" s="174"/>
      <c r="T1782" s="174"/>
      <c r="U1782" s="174"/>
      <c r="V1782" s="174"/>
      <c r="W1782" s="174"/>
      <c r="X1782" s="174"/>
      <c r="Y1782" s="174"/>
      <c r="Z1782" s="174"/>
    </row>
    <row r="1783">
      <c r="A1783" s="194"/>
      <c r="B1783" s="194"/>
      <c r="C1783" s="194"/>
      <c r="D1783" s="194"/>
      <c r="E1783" s="194"/>
      <c r="F1783" s="194"/>
      <c r="G1783" s="194"/>
      <c r="H1783" s="195"/>
      <c r="I1783" s="195"/>
      <c r="J1783" s="194"/>
      <c r="K1783" s="174"/>
      <c r="L1783" s="174"/>
      <c r="M1783" s="174"/>
      <c r="N1783" s="174"/>
      <c r="O1783" s="174"/>
      <c r="P1783" s="174"/>
      <c r="Q1783" s="174"/>
      <c r="R1783" s="174"/>
      <c r="S1783" s="174"/>
      <c r="T1783" s="174"/>
      <c r="U1783" s="174"/>
      <c r="V1783" s="174"/>
      <c r="W1783" s="174"/>
      <c r="X1783" s="174"/>
      <c r="Y1783" s="174"/>
      <c r="Z1783" s="174"/>
    </row>
    <row r="1784">
      <c r="A1784" s="194"/>
      <c r="B1784" s="194"/>
      <c r="C1784" s="194"/>
      <c r="D1784" s="194"/>
      <c r="E1784" s="194"/>
      <c r="F1784" s="194"/>
      <c r="G1784" s="194"/>
      <c r="H1784" s="195"/>
      <c r="I1784" s="195"/>
      <c r="J1784" s="194"/>
      <c r="K1784" s="174"/>
      <c r="L1784" s="174"/>
      <c r="M1784" s="174"/>
      <c r="N1784" s="174"/>
      <c r="O1784" s="174"/>
      <c r="P1784" s="174"/>
      <c r="Q1784" s="174"/>
      <c r="R1784" s="174"/>
      <c r="S1784" s="174"/>
      <c r="T1784" s="174"/>
      <c r="U1784" s="174"/>
      <c r="V1784" s="174"/>
      <c r="W1784" s="174"/>
      <c r="X1784" s="174"/>
      <c r="Y1784" s="174"/>
      <c r="Z1784" s="174"/>
    </row>
    <row r="1785">
      <c r="A1785" s="194"/>
      <c r="B1785" s="194"/>
      <c r="C1785" s="194"/>
      <c r="D1785" s="194"/>
      <c r="E1785" s="194"/>
      <c r="F1785" s="194"/>
      <c r="G1785" s="194"/>
      <c r="H1785" s="195"/>
      <c r="I1785" s="195"/>
      <c r="J1785" s="194"/>
      <c r="K1785" s="174"/>
      <c r="L1785" s="174"/>
      <c r="M1785" s="174"/>
      <c r="N1785" s="174"/>
      <c r="O1785" s="174"/>
      <c r="P1785" s="174"/>
      <c r="Q1785" s="174"/>
      <c r="R1785" s="174"/>
      <c r="S1785" s="174"/>
      <c r="T1785" s="174"/>
      <c r="U1785" s="174"/>
      <c r="V1785" s="174"/>
      <c r="W1785" s="174"/>
      <c r="X1785" s="174"/>
      <c r="Y1785" s="174"/>
      <c r="Z1785" s="174"/>
    </row>
    <row r="1786">
      <c r="A1786" s="194"/>
      <c r="B1786" s="194"/>
      <c r="C1786" s="194"/>
      <c r="D1786" s="194"/>
      <c r="E1786" s="194"/>
      <c r="F1786" s="194"/>
      <c r="G1786" s="194"/>
      <c r="H1786" s="195"/>
      <c r="I1786" s="195"/>
      <c r="J1786" s="194"/>
      <c r="K1786" s="174"/>
      <c r="L1786" s="174"/>
      <c r="M1786" s="174"/>
      <c r="N1786" s="174"/>
      <c r="O1786" s="174"/>
      <c r="P1786" s="174"/>
      <c r="Q1786" s="174"/>
      <c r="R1786" s="174"/>
      <c r="S1786" s="174"/>
      <c r="T1786" s="174"/>
      <c r="U1786" s="174"/>
      <c r="V1786" s="174"/>
      <c r="W1786" s="174"/>
      <c r="X1786" s="174"/>
      <c r="Y1786" s="174"/>
      <c r="Z1786" s="174"/>
    </row>
    <row r="1787">
      <c r="A1787" s="194"/>
      <c r="B1787" s="194"/>
      <c r="C1787" s="194"/>
      <c r="D1787" s="194"/>
      <c r="E1787" s="194"/>
      <c r="F1787" s="194"/>
      <c r="G1787" s="194"/>
      <c r="H1787" s="195"/>
      <c r="I1787" s="195"/>
      <c r="J1787" s="194"/>
      <c r="K1787" s="174"/>
      <c r="L1787" s="174"/>
      <c r="M1787" s="174"/>
      <c r="N1787" s="174"/>
      <c r="O1787" s="174"/>
      <c r="P1787" s="174"/>
      <c r="Q1787" s="174"/>
      <c r="R1787" s="174"/>
      <c r="S1787" s="174"/>
      <c r="T1787" s="174"/>
      <c r="U1787" s="174"/>
      <c r="V1787" s="174"/>
      <c r="W1787" s="174"/>
      <c r="X1787" s="174"/>
      <c r="Y1787" s="174"/>
      <c r="Z1787" s="174"/>
    </row>
    <row r="1788">
      <c r="A1788" s="194"/>
      <c r="B1788" s="194"/>
      <c r="C1788" s="194"/>
      <c r="D1788" s="194"/>
      <c r="E1788" s="194"/>
      <c r="F1788" s="194"/>
      <c r="G1788" s="194"/>
      <c r="H1788" s="195"/>
      <c r="I1788" s="195"/>
      <c r="J1788" s="194"/>
      <c r="K1788" s="174"/>
      <c r="L1788" s="174"/>
      <c r="M1788" s="174"/>
      <c r="N1788" s="174"/>
      <c r="O1788" s="174"/>
      <c r="P1788" s="174"/>
      <c r="Q1788" s="174"/>
      <c r="R1788" s="174"/>
      <c r="S1788" s="174"/>
      <c r="T1788" s="174"/>
      <c r="U1788" s="174"/>
      <c r="V1788" s="174"/>
      <c r="W1788" s="174"/>
      <c r="X1788" s="174"/>
      <c r="Y1788" s="174"/>
      <c r="Z1788" s="174"/>
    </row>
    <row r="1789">
      <c r="A1789" s="194"/>
      <c r="B1789" s="194"/>
      <c r="C1789" s="194"/>
      <c r="D1789" s="194"/>
      <c r="E1789" s="194"/>
      <c r="F1789" s="194"/>
      <c r="G1789" s="194"/>
      <c r="H1789" s="195"/>
      <c r="I1789" s="195"/>
      <c r="J1789" s="194"/>
      <c r="K1789" s="174"/>
      <c r="L1789" s="174"/>
      <c r="M1789" s="174"/>
      <c r="N1789" s="174"/>
      <c r="O1789" s="174"/>
      <c r="P1789" s="174"/>
      <c r="Q1789" s="174"/>
      <c r="R1789" s="174"/>
      <c r="S1789" s="174"/>
      <c r="T1789" s="174"/>
      <c r="U1789" s="174"/>
      <c r="V1789" s="174"/>
      <c r="W1789" s="174"/>
      <c r="X1789" s="174"/>
      <c r="Y1789" s="174"/>
      <c r="Z1789" s="174"/>
    </row>
    <row r="1790">
      <c r="A1790" s="194"/>
      <c r="B1790" s="194"/>
      <c r="C1790" s="194"/>
      <c r="D1790" s="194"/>
      <c r="E1790" s="194"/>
      <c r="F1790" s="194"/>
      <c r="G1790" s="194"/>
      <c r="H1790" s="195"/>
      <c r="I1790" s="195"/>
      <c r="J1790" s="194"/>
      <c r="K1790" s="174"/>
      <c r="L1790" s="174"/>
      <c r="M1790" s="174"/>
      <c r="N1790" s="174"/>
      <c r="O1790" s="174"/>
      <c r="P1790" s="174"/>
      <c r="Q1790" s="174"/>
      <c r="R1790" s="174"/>
      <c r="S1790" s="174"/>
      <c r="T1790" s="174"/>
      <c r="U1790" s="174"/>
      <c r="V1790" s="174"/>
      <c r="W1790" s="174"/>
      <c r="X1790" s="174"/>
      <c r="Y1790" s="174"/>
      <c r="Z1790" s="174"/>
    </row>
    <row r="1791">
      <c r="A1791" s="194"/>
      <c r="B1791" s="194"/>
      <c r="C1791" s="194"/>
      <c r="D1791" s="194"/>
      <c r="E1791" s="194"/>
      <c r="F1791" s="194"/>
      <c r="G1791" s="194"/>
      <c r="H1791" s="195"/>
      <c r="I1791" s="195"/>
      <c r="J1791" s="194"/>
      <c r="K1791" s="174"/>
      <c r="L1791" s="174"/>
      <c r="M1791" s="174"/>
      <c r="N1791" s="174"/>
      <c r="O1791" s="174"/>
      <c r="P1791" s="174"/>
      <c r="Q1791" s="174"/>
      <c r="R1791" s="174"/>
      <c r="S1791" s="174"/>
      <c r="T1791" s="174"/>
      <c r="U1791" s="174"/>
      <c r="V1791" s="174"/>
      <c r="W1791" s="174"/>
      <c r="X1791" s="174"/>
      <c r="Y1791" s="174"/>
      <c r="Z1791" s="174"/>
    </row>
    <row r="1792">
      <c r="A1792" s="194"/>
      <c r="B1792" s="194"/>
      <c r="C1792" s="194"/>
      <c r="D1792" s="194"/>
      <c r="E1792" s="194"/>
      <c r="F1792" s="194"/>
      <c r="G1792" s="194"/>
      <c r="H1792" s="195"/>
      <c r="I1792" s="195"/>
      <c r="J1792" s="194"/>
      <c r="K1792" s="174"/>
      <c r="L1792" s="174"/>
      <c r="M1792" s="174"/>
      <c r="N1792" s="174"/>
      <c r="O1792" s="174"/>
      <c r="P1792" s="174"/>
      <c r="Q1792" s="174"/>
      <c r="R1792" s="174"/>
      <c r="S1792" s="174"/>
      <c r="T1792" s="174"/>
      <c r="U1792" s="174"/>
      <c r="V1792" s="174"/>
      <c r="W1792" s="174"/>
      <c r="X1792" s="174"/>
      <c r="Y1792" s="174"/>
      <c r="Z1792" s="174"/>
    </row>
    <row r="1793">
      <c r="A1793" s="194"/>
      <c r="B1793" s="194"/>
      <c r="C1793" s="194"/>
      <c r="D1793" s="194"/>
      <c r="E1793" s="194"/>
      <c r="F1793" s="194"/>
      <c r="G1793" s="194"/>
      <c r="H1793" s="195"/>
      <c r="I1793" s="195"/>
      <c r="J1793" s="194"/>
      <c r="K1793" s="174"/>
      <c r="L1793" s="174"/>
      <c r="M1793" s="174"/>
      <c r="N1793" s="174"/>
      <c r="O1793" s="174"/>
      <c r="P1793" s="174"/>
      <c r="Q1793" s="174"/>
      <c r="R1793" s="174"/>
      <c r="S1793" s="174"/>
      <c r="T1793" s="174"/>
      <c r="U1793" s="174"/>
      <c r="V1793" s="174"/>
      <c r="W1793" s="174"/>
      <c r="X1793" s="174"/>
      <c r="Y1793" s="174"/>
      <c r="Z1793" s="174"/>
    </row>
    <row r="1794">
      <c r="A1794" s="194"/>
      <c r="B1794" s="194"/>
      <c r="C1794" s="194"/>
      <c r="D1794" s="194"/>
      <c r="E1794" s="194"/>
      <c r="F1794" s="194"/>
      <c r="G1794" s="194"/>
      <c r="H1794" s="195"/>
      <c r="I1794" s="195"/>
      <c r="J1794" s="194"/>
      <c r="K1794" s="174"/>
      <c r="L1794" s="174"/>
      <c r="M1794" s="174"/>
      <c r="N1794" s="174"/>
      <c r="O1794" s="174"/>
      <c r="P1794" s="174"/>
      <c r="Q1794" s="174"/>
      <c r="R1794" s="174"/>
      <c r="S1794" s="174"/>
      <c r="T1794" s="174"/>
      <c r="U1794" s="174"/>
      <c r="V1794" s="174"/>
      <c r="W1794" s="174"/>
      <c r="X1794" s="174"/>
      <c r="Y1794" s="174"/>
      <c r="Z1794" s="174"/>
    </row>
    <row r="1795">
      <c r="A1795" s="194"/>
      <c r="B1795" s="194"/>
      <c r="C1795" s="194"/>
      <c r="D1795" s="194"/>
      <c r="E1795" s="194"/>
      <c r="F1795" s="194"/>
      <c r="G1795" s="194"/>
      <c r="H1795" s="195"/>
      <c r="I1795" s="195"/>
      <c r="J1795" s="194"/>
      <c r="K1795" s="174"/>
      <c r="L1795" s="174"/>
      <c r="M1795" s="174"/>
      <c r="N1795" s="174"/>
      <c r="O1795" s="174"/>
      <c r="P1795" s="174"/>
      <c r="Q1795" s="174"/>
      <c r="R1795" s="174"/>
      <c r="S1795" s="174"/>
      <c r="T1795" s="174"/>
      <c r="U1795" s="174"/>
      <c r="V1795" s="174"/>
      <c r="W1795" s="174"/>
      <c r="X1795" s="174"/>
      <c r="Y1795" s="174"/>
      <c r="Z1795" s="174"/>
    </row>
    <row r="1796">
      <c r="A1796" s="194"/>
      <c r="B1796" s="194"/>
      <c r="C1796" s="194"/>
      <c r="D1796" s="194"/>
      <c r="E1796" s="194"/>
      <c r="F1796" s="194"/>
      <c r="G1796" s="194"/>
      <c r="H1796" s="195"/>
      <c r="I1796" s="195"/>
      <c r="J1796" s="194"/>
      <c r="K1796" s="174"/>
      <c r="L1796" s="174"/>
      <c r="M1796" s="174"/>
      <c r="N1796" s="174"/>
      <c r="O1796" s="174"/>
      <c r="P1796" s="174"/>
      <c r="Q1796" s="174"/>
      <c r="R1796" s="174"/>
      <c r="S1796" s="174"/>
      <c r="T1796" s="174"/>
      <c r="U1796" s="174"/>
      <c r="V1796" s="174"/>
      <c r="W1796" s="174"/>
      <c r="X1796" s="174"/>
      <c r="Y1796" s="174"/>
      <c r="Z1796" s="174"/>
    </row>
    <row r="1797">
      <c r="A1797" s="194"/>
      <c r="B1797" s="194"/>
      <c r="C1797" s="194"/>
      <c r="D1797" s="194"/>
      <c r="E1797" s="194"/>
      <c r="F1797" s="194"/>
      <c r="G1797" s="194"/>
      <c r="H1797" s="195"/>
      <c r="I1797" s="195"/>
      <c r="J1797" s="194"/>
      <c r="K1797" s="174"/>
      <c r="L1797" s="174"/>
      <c r="M1797" s="174"/>
      <c r="N1797" s="174"/>
      <c r="O1797" s="174"/>
      <c r="P1797" s="174"/>
      <c r="Q1797" s="174"/>
      <c r="R1797" s="174"/>
      <c r="S1797" s="174"/>
      <c r="T1797" s="174"/>
      <c r="U1797" s="174"/>
      <c r="V1797" s="174"/>
      <c r="W1797" s="174"/>
      <c r="X1797" s="174"/>
      <c r="Y1797" s="174"/>
      <c r="Z1797" s="174"/>
    </row>
    <row r="1798">
      <c r="A1798" s="194"/>
      <c r="B1798" s="194"/>
      <c r="C1798" s="194"/>
      <c r="D1798" s="194"/>
      <c r="E1798" s="194"/>
      <c r="F1798" s="194"/>
      <c r="G1798" s="194"/>
      <c r="H1798" s="195"/>
      <c r="I1798" s="195"/>
      <c r="J1798" s="194"/>
      <c r="K1798" s="174"/>
      <c r="L1798" s="174"/>
      <c r="M1798" s="174"/>
      <c r="N1798" s="174"/>
      <c r="O1798" s="174"/>
      <c r="P1798" s="174"/>
      <c r="Q1798" s="174"/>
      <c r="R1798" s="174"/>
      <c r="S1798" s="174"/>
      <c r="T1798" s="174"/>
      <c r="U1798" s="174"/>
      <c r="V1798" s="174"/>
      <c r="W1798" s="174"/>
      <c r="X1798" s="174"/>
      <c r="Y1798" s="174"/>
      <c r="Z1798" s="174"/>
    </row>
    <row r="1799">
      <c r="A1799" s="194"/>
      <c r="B1799" s="194"/>
      <c r="C1799" s="194"/>
      <c r="D1799" s="194"/>
      <c r="E1799" s="194"/>
      <c r="F1799" s="194"/>
      <c r="G1799" s="194"/>
      <c r="H1799" s="195"/>
      <c r="I1799" s="195"/>
      <c r="J1799" s="194"/>
      <c r="K1799" s="174"/>
      <c r="L1799" s="174"/>
      <c r="M1799" s="174"/>
      <c r="N1799" s="174"/>
      <c r="O1799" s="174"/>
      <c r="P1799" s="174"/>
      <c r="Q1799" s="174"/>
      <c r="R1799" s="174"/>
      <c r="S1799" s="174"/>
      <c r="T1799" s="174"/>
      <c r="U1799" s="174"/>
      <c r="V1799" s="174"/>
      <c r="W1799" s="174"/>
      <c r="X1799" s="174"/>
      <c r="Y1799" s="174"/>
      <c r="Z1799" s="174"/>
    </row>
    <row r="1800">
      <c r="A1800" s="194"/>
      <c r="B1800" s="194"/>
      <c r="C1800" s="194"/>
      <c r="D1800" s="194"/>
      <c r="E1800" s="194"/>
      <c r="F1800" s="194"/>
      <c r="G1800" s="194"/>
      <c r="H1800" s="195"/>
      <c r="I1800" s="195"/>
      <c r="J1800" s="194"/>
      <c r="K1800" s="174"/>
      <c r="L1800" s="174"/>
      <c r="M1800" s="174"/>
      <c r="N1800" s="174"/>
      <c r="O1800" s="174"/>
      <c r="P1800" s="174"/>
      <c r="Q1800" s="174"/>
      <c r="R1800" s="174"/>
      <c r="S1800" s="174"/>
      <c r="T1800" s="174"/>
      <c r="U1800" s="174"/>
      <c r="V1800" s="174"/>
      <c r="W1800" s="174"/>
      <c r="X1800" s="174"/>
      <c r="Y1800" s="174"/>
      <c r="Z1800" s="174"/>
    </row>
    <row r="1801">
      <c r="A1801" s="194"/>
      <c r="B1801" s="194"/>
      <c r="C1801" s="194"/>
      <c r="D1801" s="194"/>
      <c r="E1801" s="194"/>
      <c r="F1801" s="194"/>
      <c r="G1801" s="194"/>
      <c r="H1801" s="195"/>
      <c r="I1801" s="195"/>
      <c r="J1801" s="194"/>
      <c r="K1801" s="174"/>
      <c r="L1801" s="174"/>
      <c r="M1801" s="174"/>
      <c r="N1801" s="174"/>
      <c r="O1801" s="174"/>
      <c r="P1801" s="174"/>
      <c r="Q1801" s="174"/>
      <c r="R1801" s="174"/>
      <c r="S1801" s="174"/>
      <c r="T1801" s="174"/>
      <c r="U1801" s="174"/>
      <c r="V1801" s="174"/>
      <c r="W1801" s="174"/>
      <c r="X1801" s="174"/>
      <c r="Y1801" s="174"/>
      <c r="Z1801" s="174"/>
    </row>
    <row r="1802">
      <c r="A1802" s="194"/>
      <c r="B1802" s="194"/>
      <c r="C1802" s="194"/>
      <c r="D1802" s="194"/>
      <c r="E1802" s="194"/>
      <c r="F1802" s="194"/>
      <c r="G1802" s="194"/>
      <c r="H1802" s="195"/>
      <c r="I1802" s="195"/>
      <c r="J1802" s="194"/>
      <c r="K1802" s="174"/>
      <c r="L1802" s="174"/>
      <c r="M1802" s="174"/>
      <c r="N1802" s="174"/>
      <c r="O1802" s="174"/>
      <c r="P1802" s="174"/>
      <c r="Q1802" s="174"/>
      <c r="R1802" s="174"/>
      <c r="S1802" s="174"/>
      <c r="T1802" s="174"/>
      <c r="U1802" s="174"/>
      <c r="V1802" s="174"/>
      <c r="W1802" s="174"/>
      <c r="X1802" s="174"/>
      <c r="Y1802" s="174"/>
      <c r="Z1802" s="174"/>
    </row>
    <row r="1803">
      <c r="A1803" s="194"/>
      <c r="B1803" s="194"/>
      <c r="C1803" s="194"/>
      <c r="D1803" s="194"/>
      <c r="E1803" s="194"/>
      <c r="F1803" s="194"/>
      <c r="G1803" s="194"/>
      <c r="H1803" s="195"/>
      <c r="I1803" s="195"/>
      <c r="J1803" s="194"/>
      <c r="K1803" s="174"/>
      <c r="L1803" s="174"/>
      <c r="M1803" s="174"/>
      <c r="N1803" s="174"/>
      <c r="O1803" s="174"/>
      <c r="P1803" s="174"/>
      <c r="Q1803" s="174"/>
      <c r="R1803" s="174"/>
      <c r="S1803" s="174"/>
      <c r="T1803" s="174"/>
      <c r="U1803" s="174"/>
      <c r="V1803" s="174"/>
      <c r="W1803" s="174"/>
      <c r="X1803" s="174"/>
      <c r="Y1803" s="174"/>
      <c r="Z1803" s="174"/>
    </row>
    <row r="1804">
      <c r="A1804" s="194"/>
      <c r="B1804" s="194"/>
      <c r="C1804" s="194"/>
      <c r="D1804" s="194"/>
      <c r="E1804" s="194"/>
      <c r="F1804" s="194"/>
      <c r="G1804" s="194"/>
      <c r="H1804" s="195"/>
      <c r="I1804" s="195"/>
      <c r="J1804" s="194"/>
      <c r="K1804" s="174"/>
      <c r="L1804" s="174"/>
      <c r="M1804" s="174"/>
      <c r="N1804" s="174"/>
      <c r="O1804" s="174"/>
      <c r="P1804" s="174"/>
      <c r="Q1804" s="174"/>
      <c r="R1804" s="174"/>
      <c r="S1804" s="174"/>
      <c r="T1804" s="174"/>
      <c r="U1804" s="174"/>
      <c r="V1804" s="174"/>
      <c r="W1804" s="174"/>
      <c r="X1804" s="174"/>
      <c r="Y1804" s="174"/>
      <c r="Z1804" s="174"/>
    </row>
    <row r="1805">
      <c r="A1805" s="194"/>
      <c r="B1805" s="194"/>
      <c r="C1805" s="194"/>
      <c r="D1805" s="194"/>
      <c r="E1805" s="194"/>
      <c r="F1805" s="194"/>
      <c r="G1805" s="194"/>
      <c r="H1805" s="195"/>
      <c r="I1805" s="195"/>
      <c r="J1805" s="194"/>
      <c r="K1805" s="174"/>
      <c r="L1805" s="174"/>
      <c r="M1805" s="174"/>
      <c r="N1805" s="174"/>
      <c r="O1805" s="174"/>
      <c r="P1805" s="174"/>
      <c r="Q1805" s="174"/>
      <c r="R1805" s="174"/>
      <c r="S1805" s="174"/>
      <c r="T1805" s="174"/>
      <c r="U1805" s="174"/>
      <c r="V1805" s="174"/>
      <c r="W1805" s="174"/>
      <c r="X1805" s="174"/>
      <c r="Y1805" s="174"/>
      <c r="Z1805" s="174"/>
    </row>
    <row r="1806">
      <c r="A1806" s="194"/>
      <c r="B1806" s="194"/>
      <c r="C1806" s="194"/>
      <c r="D1806" s="194"/>
      <c r="E1806" s="194"/>
      <c r="F1806" s="194"/>
      <c r="G1806" s="194"/>
      <c r="H1806" s="195"/>
      <c r="I1806" s="195"/>
      <c r="J1806" s="194"/>
      <c r="K1806" s="174"/>
      <c r="L1806" s="174"/>
      <c r="M1806" s="174"/>
      <c r="N1806" s="174"/>
      <c r="O1806" s="174"/>
      <c r="P1806" s="174"/>
      <c r="Q1806" s="174"/>
      <c r="R1806" s="174"/>
      <c r="S1806" s="174"/>
      <c r="T1806" s="174"/>
      <c r="U1806" s="174"/>
      <c r="V1806" s="174"/>
      <c r="W1806" s="174"/>
      <c r="X1806" s="174"/>
      <c r="Y1806" s="174"/>
      <c r="Z1806" s="174"/>
    </row>
    <row r="1807">
      <c r="A1807" s="194"/>
      <c r="B1807" s="194"/>
      <c r="C1807" s="194"/>
      <c r="D1807" s="194"/>
      <c r="E1807" s="194"/>
      <c r="F1807" s="194"/>
      <c r="G1807" s="194"/>
      <c r="H1807" s="195"/>
      <c r="I1807" s="195"/>
      <c r="J1807" s="194"/>
      <c r="K1807" s="174"/>
      <c r="L1807" s="174"/>
      <c r="M1807" s="174"/>
      <c r="N1807" s="174"/>
      <c r="O1807" s="174"/>
      <c r="P1807" s="174"/>
      <c r="Q1807" s="174"/>
      <c r="R1807" s="174"/>
      <c r="S1807" s="174"/>
      <c r="T1807" s="174"/>
      <c r="U1807" s="174"/>
      <c r="V1807" s="174"/>
      <c r="W1807" s="174"/>
      <c r="X1807" s="174"/>
      <c r="Y1807" s="174"/>
      <c r="Z1807" s="174"/>
    </row>
    <row r="1808">
      <c r="A1808" s="194"/>
      <c r="B1808" s="194"/>
      <c r="C1808" s="194"/>
      <c r="D1808" s="194"/>
      <c r="E1808" s="194"/>
      <c r="F1808" s="194"/>
      <c r="G1808" s="194"/>
      <c r="H1808" s="195"/>
      <c r="I1808" s="195"/>
      <c r="J1808" s="194"/>
      <c r="K1808" s="174"/>
      <c r="L1808" s="174"/>
      <c r="M1808" s="174"/>
      <c r="N1808" s="174"/>
      <c r="O1808" s="174"/>
      <c r="P1808" s="174"/>
      <c r="Q1808" s="174"/>
      <c r="R1808" s="174"/>
      <c r="S1808" s="174"/>
      <c r="T1808" s="174"/>
      <c r="U1808" s="174"/>
      <c r="V1808" s="174"/>
      <c r="W1808" s="174"/>
      <c r="X1808" s="174"/>
      <c r="Y1808" s="174"/>
      <c r="Z1808" s="174"/>
    </row>
    <row r="1809">
      <c r="A1809" s="194"/>
      <c r="B1809" s="194"/>
      <c r="C1809" s="194"/>
      <c r="D1809" s="194"/>
      <c r="E1809" s="194"/>
      <c r="F1809" s="194"/>
      <c r="G1809" s="194"/>
      <c r="H1809" s="195"/>
      <c r="I1809" s="195"/>
      <c r="J1809" s="194"/>
      <c r="K1809" s="174"/>
      <c r="L1809" s="174"/>
      <c r="M1809" s="174"/>
      <c r="N1809" s="174"/>
      <c r="O1809" s="174"/>
      <c r="P1809" s="174"/>
      <c r="Q1809" s="174"/>
      <c r="R1809" s="174"/>
      <c r="S1809" s="174"/>
      <c r="T1809" s="174"/>
      <c r="U1809" s="174"/>
      <c r="V1809" s="174"/>
      <c r="W1809" s="174"/>
      <c r="X1809" s="174"/>
      <c r="Y1809" s="174"/>
      <c r="Z1809" s="174"/>
    </row>
    <row r="1810">
      <c r="A1810" s="194"/>
      <c r="B1810" s="194"/>
      <c r="C1810" s="194"/>
      <c r="D1810" s="194"/>
      <c r="E1810" s="194"/>
      <c r="F1810" s="194"/>
      <c r="G1810" s="194"/>
      <c r="H1810" s="195"/>
      <c r="I1810" s="195"/>
      <c r="J1810" s="194"/>
      <c r="K1810" s="174"/>
      <c r="L1810" s="174"/>
      <c r="M1810" s="174"/>
      <c r="N1810" s="174"/>
      <c r="O1810" s="174"/>
      <c r="P1810" s="174"/>
      <c r="Q1810" s="174"/>
      <c r="R1810" s="174"/>
      <c r="S1810" s="174"/>
      <c r="T1810" s="174"/>
      <c r="U1810" s="174"/>
      <c r="V1810" s="174"/>
      <c r="W1810" s="174"/>
      <c r="X1810" s="174"/>
      <c r="Y1810" s="174"/>
      <c r="Z1810" s="174"/>
    </row>
    <row r="1811">
      <c r="A1811" s="194"/>
      <c r="B1811" s="194"/>
      <c r="C1811" s="194"/>
      <c r="D1811" s="194"/>
      <c r="E1811" s="194"/>
      <c r="F1811" s="194"/>
      <c r="G1811" s="194"/>
      <c r="H1811" s="195"/>
      <c r="I1811" s="195"/>
      <c r="J1811" s="194"/>
      <c r="K1811" s="174"/>
      <c r="L1811" s="174"/>
      <c r="M1811" s="174"/>
      <c r="N1811" s="174"/>
      <c r="O1811" s="174"/>
      <c r="P1811" s="174"/>
      <c r="Q1811" s="174"/>
      <c r="R1811" s="174"/>
      <c r="S1811" s="174"/>
      <c r="T1811" s="174"/>
      <c r="U1811" s="174"/>
      <c r="V1811" s="174"/>
      <c r="W1811" s="174"/>
      <c r="X1811" s="174"/>
      <c r="Y1811" s="174"/>
      <c r="Z1811" s="174"/>
    </row>
    <row r="1812">
      <c r="A1812" s="194"/>
      <c r="B1812" s="194"/>
      <c r="C1812" s="194"/>
      <c r="D1812" s="194"/>
      <c r="E1812" s="194"/>
      <c r="F1812" s="194"/>
      <c r="G1812" s="194"/>
      <c r="H1812" s="195"/>
      <c r="I1812" s="195"/>
      <c r="J1812" s="194"/>
      <c r="K1812" s="174"/>
      <c r="L1812" s="174"/>
      <c r="M1812" s="174"/>
      <c r="N1812" s="174"/>
      <c r="O1812" s="174"/>
      <c r="P1812" s="174"/>
      <c r="Q1812" s="174"/>
      <c r="R1812" s="174"/>
      <c r="S1812" s="174"/>
      <c r="T1812" s="174"/>
      <c r="U1812" s="174"/>
      <c r="V1812" s="174"/>
      <c r="W1812" s="174"/>
      <c r="X1812" s="174"/>
      <c r="Y1812" s="174"/>
      <c r="Z1812" s="174"/>
    </row>
    <row r="1813">
      <c r="A1813" s="194"/>
      <c r="B1813" s="194"/>
      <c r="C1813" s="194"/>
      <c r="D1813" s="194"/>
      <c r="E1813" s="194"/>
      <c r="F1813" s="194"/>
      <c r="G1813" s="194"/>
      <c r="H1813" s="195"/>
      <c r="I1813" s="195"/>
      <c r="J1813" s="194"/>
      <c r="K1813" s="174"/>
      <c r="L1813" s="174"/>
      <c r="M1813" s="174"/>
      <c r="N1813" s="174"/>
      <c r="O1813" s="174"/>
      <c r="P1813" s="174"/>
      <c r="Q1813" s="174"/>
      <c r="R1813" s="174"/>
      <c r="S1813" s="174"/>
      <c r="T1813" s="174"/>
      <c r="U1813" s="174"/>
      <c r="V1813" s="174"/>
      <c r="W1813" s="174"/>
      <c r="X1813" s="174"/>
      <c r="Y1813" s="174"/>
      <c r="Z1813" s="174"/>
    </row>
    <row r="1814">
      <c r="A1814" s="194"/>
      <c r="B1814" s="194"/>
      <c r="C1814" s="194"/>
      <c r="D1814" s="194"/>
      <c r="E1814" s="194"/>
      <c r="F1814" s="194"/>
      <c r="G1814" s="194"/>
      <c r="H1814" s="195"/>
      <c r="I1814" s="195"/>
      <c r="J1814" s="194"/>
      <c r="K1814" s="174"/>
      <c r="L1814" s="174"/>
      <c r="M1814" s="174"/>
      <c r="N1814" s="174"/>
      <c r="O1814" s="174"/>
      <c r="P1814" s="174"/>
      <c r="Q1814" s="174"/>
      <c r="R1814" s="174"/>
      <c r="S1814" s="174"/>
      <c r="T1814" s="174"/>
      <c r="U1814" s="174"/>
      <c r="V1814" s="174"/>
      <c r="W1814" s="174"/>
      <c r="X1814" s="174"/>
      <c r="Y1814" s="174"/>
      <c r="Z1814" s="174"/>
    </row>
    <row r="1815">
      <c r="A1815" s="194"/>
      <c r="B1815" s="194"/>
      <c r="C1815" s="194"/>
      <c r="D1815" s="194"/>
      <c r="E1815" s="194"/>
      <c r="F1815" s="194"/>
      <c r="G1815" s="194"/>
      <c r="H1815" s="195"/>
      <c r="I1815" s="195"/>
      <c r="J1815" s="194"/>
      <c r="K1815" s="174"/>
      <c r="L1815" s="174"/>
      <c r="M1815" s="174"/>
      <c r="N1815" s="174"/>
      <c r="O1815" s="174"/>
      <c r="P1815" s="174"/>
      <c r="Q1815" s="174"/>
      <c r="R1815" s="174"/>
      <c r="S1815" s="174"/>
      <c r="T1815" s="174"/>
      <c r="U1815" s="174"/>
      <c r="V1815" s="174"/>
      <c r="W1815" s="174"/>
      <c r="X1815" s="174"/>
      <c r="Y1815" s="174"/>
      <c r="Z1815" s="174"/>
    </row>
    <row r="1816">
      <c r="A1816" s="194"/>
      <c r="B1816" s="194"/>
      <c r="C1816" s="194"/>
      <c r="D1816" s="194"/>
      <c r="E1816" s="194"/>
      <c r="F1816" s="194"/>
      <c r="G1816" s="194"/>
      <c r="H1816" s="195"/>
      <c r="I1816" s="195"/>
      <c r="J1816" s="194"/>
      <c r="K1816" s="174"/>
      <c r="L1816" s="174"/>
      <c r="M1816" s="174"/>
      <c r="N1816" s="174"/>
      <c r="O1816" s="174"/>
      <c r="P1816" s="174"/>
      <c r="Q1816" s="174"/>
      <c r="R1816" s="174"/>
      <c r="S1816" s="174"/>
      <c r="T1816" s="174"/>
      <c r="U1816" s="174"/>
      <c r="V1816" s="174"/>
      <c r="W1816" s="174"/>
      <c r="X1816" s="174"/>
      <c r="Y1816" s="174"/>
      <c r="Z1816" s="174"/>
    </row>
    <row r="1817">
      <c r="A1817" s="194"/>
      <c r="B1817" s="194"/>
      <c r="C1817" s="194"/>
      <c r="D1817" s="194"/>
      <c r="E1817" s="194"/>
      <c r="F1817" s="194"/>
      <c r="G1817" s="194"/>
      <c r="H1817" s="195"/>
      <c r="I1817" s="195"/>
      <c r="J1817" s="194"/>
      <c r="K1817" s="174"/>
      <c r="L1817" s="174"/>
      <c r="M1817" s="174"/>
      <c r="N1817" s="174"/>
      <c r="O1817" s="174"/>
      <c r="P1817" s="174"/>
      <c r="Q1817" s="174"/>
      <c r="R1817" s="174"/>
      <c r="S1817" s="174"/>
      <c r="T1817" s="174"/>
      <c r="U1817" s="174"/>
      <c r="V1817" s="174"/>
      <c r="W1817" s="174"/>
      <c r="X1817" s="174"/>
      <c r="Y1817" s="174"/>
      <c r="Z1817" s="174"/>
    </row>
    <row r="1818">
      <c r="A1818" s="194"/>
      <c r="B1818" s="194"/>
      <c r="C1818" s="194"/>
      <c r="D1818" s="194"/>
      <c r="E1818" s="194"/>
      <c r="F1818" s="194"/>
      <c r="G1818" s="194"/>
      <c r="H1818" s="195"/>
      <c r="I1818" s="195"/>
      <c r="J1818" s="194"/>
      <c r="K1818" s="174"/>
      <c r="L1818" s="174"/>
      <c r="M1818" s="174"/>
      <c r="N1818" s="174"/>
      <c r="O1818" s="174"/>
      <c r="P1818" s="174"/>
      <c r="Q1818" s="174"/>
      <c r="R1818" s="174"/>
      <c r="S1818" s="174"/>
      <c r="T1818" s="174"/>
      <c r="U1818" s="174"/>
      <c r="V1818" s="174"/>
      <c r="W1818" s="174"/>
      <c r="X1818" s="174"/>
      <c r="Y1818" s="174"/>
      <c r="Z1818" s="174"/>
    </row>
    <row r="1819">
      <c r="A1819" s="194"/>
      <c r="B1819" s="194"/>
      <c r="C1819" s="194"/>
      <c r="D1819" s="194"/>
      <c r="E1819" s="194"/>
      <c r="F1819" s="194"/>
      <c r="G1819" s="194"/>
      <c r="H1819" s="195"/>
      <c r="I1819" s="195"/>
      <c r="J1819" s="194"/>
      <c r="K1819" s="174"/>
      <c r="L1819" s="174"/>
      <c r="M1819" s="174"/>
      <c r="N1819" s="174"/>
      <c r="O1819" s="174"/>
      <c r="P1819" s="174"/>
      <c r="Q1819" s="174"/>
      <c r="R1819" s="174"/>
      <c r="S1819" s="174"/>
      <c r="T1819" s="174"/>
      <c r="U1819" s="174"/>
      <c r="V1819" s="174"/>
      <c r="W1819" s="174"/>
      <c r="X1819" s="174"/>
      <c r="Y1819" s="174"/>
      <c r="Z1819" s="174"/>
    </row>
    <row r="1820">
      <c r="A1820" s="194"/>
      <c r="B1820" s="194"/>
      <c r="C1820" s="194"/>
      <c r="D1820" s="194"/>
      <c r="E1820" s="194"/>
      <c r="F1820" s="194"/>
      <c r="G1820" s="194"/>
      <c r="H1820" s="195"/>
      <c r="I1820" s="195"/>
      <c r="J1820" s="194"/>
      <c r="K1820" s="174"/>
      <c r="L1820" s="174"/>
      <c r="M1820" s="174"/>
      <c r="N1820" s="174"/>
      <c r="O1820" s="174"/>
      <c r="P1820" s="174"/>
      <c r="Q1820" s="174"/>
      <c r="R1820" s="174"/>
      <c r="S1820" s="174"/>
      <c r="T1820" s="174"/>
      <c r="U1820" s="174"/>
      <c r="V1820" s="174"/>
      <c r="W1820" s="174"/>
      <c r="X1820" s="174"/>
      <c r="Y1820" s="174"/>
      <c r="Z1820" s="174"/>
    </row>
    <row r="1821">
      <c r="A1821" s="194"/>
      <c r="B1821" s="194"/>
      <c r="C1821" s="194"/>
      <c r="D1821" s="194"/>
      <c r="E1821" s="194"/>
      <c r="F1821" s="194"/>
      <c r="G1821" s="194"/>
      <c r="H1821" s="195"/>
      <c r="I1821" s="195"/>
      <c r="J1821" s="194"/>
      <c r="K1821" s="174"/>
      <c r="L1821" s="174"/>
      <c r="M1821" s="174"/>
      <c r="N1821" s="174"/>
      <c r="O1821" s="174"/>
      <c r="P1821" s="174"/>
      <c r="Q1821" s="174"/>
      <c r="R1821" s="174"/>
      <c r="S1821" s="174"/>
      <c r="T1821" s="174"/>
      <c r="U1821" s="174"/>
      <c r="V1821" s="174"/>
      <c r="W1821" s="174"/>
      <c r="X1821" s="174"/>
      <c r="Y1821" s="174"/>
      <c r="Z1821" s="174"/>
    </row>
    <row r="1822">
      <c r="A1822" s="194"/>
      <c r="B1822" s="194"/>
      <c r="C1822" s="194"/>
      <c r="D1822" s="194"/>
      <c r="E1822" s="194"/>
      <c r="F1822" s="194"/>
      <c r="G1822" s="194"/>
      <c r="H1822" s="195"/>
      <c r="I1822" s="195"/>
      <c r="J1822" s="194"/>
      <c r="K1822" s="174"/>
      <c r="L1822" s="174"/>
      <c r="M1822" s="174"/>
      <c r="N1822" s="174"/>
      <c r="O1822" s="174"/>
      <c r="P1822" s="174"/>
      <c r="Q1822" s="174"/>
      <c r="R1822" s="174"/>
      <c r="S1822" s="174"/>
      <c r="T1822" s="174"/>
      <c r="U1822" s="174"/>
      <c r="V1822" s="174"/>
      <c r="W1822" s="174"/>
      <c r="X1822" s="174"/>
      <c r="Y1822" s="174"/>
      <c r="Z1822" s="174"/>
    </row>
    <row r="1823">
      <c r="A1823" s="194"/>
      <c r="B1823" s="194"/>
      <c r="C1823" s="194"/>
      <c r="D1823" s="194"/>
      <c r="E1823" s="194"/>
      <c r="F1823" s="194"/>
      <c r="G1823" s="194"/>
      <c r="H1823" s="195"/>
      <c r="I1823" s="195"/>
      <c r="J1823" s="194"/>
      <c r="K1823" s="174"/>
      <c r="L1823" s="174"/>
      <c r="M1823" s="174"/>
      <c r="N1823" s="174"/>
      <c r="O1823" s="174"/>
      <c r="P1823" s="174"/>
      <c r="Q1823" s="174"/>
      <c r="R1823" s="174"/>
      <c r="S1823" s="174"/>
      <c r="T1823" s="174"/>
      <c r="U1823" s="174"/>
      <c r="V1823" s="174"/>
      <c r="W1823" s="174"/>
      <c r="X1823" s="174"/>
      <c r="Y1823" s="174"/>
      <c r="Z1823" s="174"/>
    </row>
    <row r="1824">
      <c r="A1824" s="194"/>
      <c r="B1824" s="194"/>
      <c r="C1824" s="194"/>
      <c r="D1824" s="194"/>
      <c r="E1824" s="194"/>
      <c r="F1824" s="194"/>
      <c r="G1824" s="194"/>
      <c r="H1824" s="195"/>
      <c r="I1824" s="195"/>
      <c r="J1824" s="194"/>
      <c r="K1824" s="174"/>
      <c r="L1824" s="174"/>
      <c r="M1824" s="174"/>
      <c r="N1824" s="174"/>
      <c r="O1824" s="174"/>
      <c r="P1824" s="174"/>
      <c r="Q1824" s="174"/>
      <c r="R1824" s="174"/>
      <c r="S1824" s="174"/>
      <c r="T1824" s="174"/>
      <c r="U1824" s="174"/>
      <c r="V1824" s="174"/>
      <c r="W1824" s="174"/>
      <c r="X1824" s="174"/>
      <c r="Y1824" s="174"/>
      <c r="Z1824" s="174"/>
    </row>
    <row r="1825">
      <c r="A1825" s="194"/>
      <c r="B1825" s="194"/>
      <c r="C1825" s="194"/>
      <c r="D1825" s="194"/>
      <c r="E1825" s="194"/>
      <c r="F1825" s="194"/>
      <c r="G1825" s="194"/>
      <c r="H1825" s="195"/>
      <c r="I1825" s="195"/>
      <c r="J1825" s="194"/>
      <c r="K1825" s="174"/>
      <c r="L1825" s="174"/>
      <c r="M1825" s="174"/>
      <c r="N1825" s="174"/>
      <c r="O1825" s="174"/>
      <c r="P1825" s="174"/>
      <c r="Q1825" s="174"/>
      <c r="R1825" s="174"/>
      <c r="S1825" s="174"/>
      <c r="T1825" s="174"/>
      <c r="U1825" s="174"/>
      <c r="V1825" s="174"/>
      <c r="W1825" s="174"/>
      <c r="X1825" s="174"/>
      <c r="Y1825" s="174"/>
      <c r="Z1825" s="174"/>
    </row>
    <row r="1826">
      <c r="A1826" s="194"/>
      <c r="B1826" s="194"/>
      <c r="C1826" s="194"/>
      <c r="D1826" s="194"/>
      <c r="E1826" s="194"/>
      <c r="F1826" s="194"/>
      <c r="G1826" s="194"/>
      <c r="H1826" s="195"/>
      <c r="I1826" s="195"/>
      <c r="J1826" s="194"/>
      <c r="K1826" s="174"/>
      <c r="L1826" s="174"/>
      <c r="M1826" s="174"/>
      <c r="N1826" s="174"/>
      <c r="O1826" s="174"/>
      <c r="P1826" s="174"/>
      <c r="Q1826" s="174"/>
      <c r="R1826" s="174"/>
      <c r="S1826" s="174"/>
      <c r="T1826" s="174"/>
      <c r="U1826" s="174"/>
      <c r="V1826" s="174"/>
      <c r="W1826" s="174"/>
      <c r="X1826" s="174"/>
      <c r="Y1826" s="174"/>
      <c r="Z1826" s="174"/>
    </row>
    <row r="1827">
      <c r="A1827" s="194"/>
      <c r="B1827" s="194"/>
      <c r="C1827" s="194"/>
      <c r="D1827" s="194"/>
      <c r="E1827" s="194"/>
      <c r="F1827" s="194"/>
      <c r="G1827" s="194"/>
      <c r="H1827" s="195"/>
      <c r="I1827" s="195"/>
      <c r="J1827" s="194"/>
      <c r="K1827" s="174"/>
      <c r="L1827" s="174"/>
      <c r="M1827" s="174"/>
      <c r="N1827" s="174"/>
      <c r="O1827" s="174"/>
      <c r="P1827" s="174"/>
      <c r="Q1827" s="174"/>
      <c r="R1827" s="174"/>
      <c r="S1827" s="174"/>
      <c r="T1827" s="174"/>
      <c r="U1827" s="174"/>
      <c r="V1827" s="174"/>
      <c r="W1827" s="174"/>
      <c r="X1827" s="174"/>
      <c r="Y1827" s="174"/>
      <c r="Z1827" s="174"/>
    </row>
    <row r="1828">
      <c r="A1828" s="194"/>
      <c r="B1828" s="194"/>
      <c r="C1828" s="194"/>
      <c r="D1828" s="194"/>
      <c r="E1828" s="194"/>
      <c r="F1828" s="194"/>
      <c r="G1828" s="194"/>
      <c r="H1828" s="195"/>
      <c r="I1828" s="195"/>
      <c r="J1828" s="194"/>
      <c r="K1828" s="174"/>
      <c r="L1828" s="174"/>
      <c r="M1828" s="174"/>
      <c r="N1828" s="174"/>
      <c r="O1828" s="174"/>
      <c r="P1828" s="174"/>
      <c r="Q1828" s="174"/>
      <c r="R1828" s="174"/>
      <c r="S1828" s="174"/>
      <c r="T1828" s="174"/>
      <c r="U1828" s="174"/>
      <c r="V1828" s="174"/>
      <c r="W1828" s="174"/>
      <c r="X1828" s="174"/>
      <c r="Y1828" s="174"/>
      <c r="Z1828" s="174"/>
    </row>
    <row r="1829">
      <c r="A1829" s="194"/>
      <c r="B1829" s="194"/>
      <c r="C1829" s="194"/>
      <c r="D1829" s="194"/>
      <c r="E1829" s="194"/>
      <c r="F1829" s="194"/>
      <c r="G1829" s="194"/>
      <c r="H1829" s="195"/>
      <c r="I1829" s="195"/>
      <c r="J1829" s="194"/>
      <c r="K1829" s="174"/>
      <c r="L1829" s="174"/>
      <c r="M1829" s="174"/>
      <c r="N1829" s="174"/>
      <c r="O1829" s="174"/>
      <c r="P1829" s="174"/>
      <c r="Q1829" s="174"/>
      <c r="R1829" s="174"/>
      <c r="S1829" s="174"/>
      <c r="T1829" s="174"/>
      <c r="U1829" s="174"/>
      <c r="V1829" s="174"/>
      <c r="W1829" s="174"/>
      <c r="X1829" s="174"/>
      <c r="Y1829" s="174"/>
      <c r="Z1829" s="174"/>
    </row>
    <row r="1830">
      <c r="A1830" s="194"/>
      <c r="B1830" s="194"/>
      <c r="C1830" s="194"/>
      <c r="D1830" s="194"/>
      <c r="E1830" s="194"/>
      <c r="F1830" s="194"/>
      <c r="G1830" s="194"/>
      <c r="H1830" s="195"/>
      <c r="I1830" s="195"/>
      <c r="J1830" s="194"/>
      <c r="K1830" s="174"/>
      <c r="L1830" s="174"/>
      <c r="M1830" s="174"/>
      <c r="N1830" s="174"/>
      <c r="O1830" s="174"/>
      <c r="P1830" s="174"/>
      <c r="Q1830" s="174"/>
      <c r="R1830" s="174"/>
      <c r="S1830" s="174"/>
      <c r="T1830" s="174"/>
      <c r="U1830" s="174"/>
      <c r="V1830" s="174"/>
      <c r="W1830" s="174"/>
      <c r="X1830" s="174"/>
      <c r="Y1830" s="174"/>
      <c r="Z1830" s="174"/>
    </row>
    <row r="1831">
      <c r="A1831" s="194"/>
      <c r="B1831" s="194"/>
      <c r="C1831" s="194"/>
      <c r="D1831" s="194"/>
      <c r="E1831" s="194"/>
      <c r="F1831" s="194"/>
      <c r="G1831" s="194"/>
      <c r="H1831" s="195"/>
      <c r="I1831" s="195"/>
      <c r="J1831" s="194"/>
      <c r="K1831" s="174"/>
      <c r="L1831" s="174"/>
      <c r="M1831" s="174"/>
      <c r="N1831" s="174"/>
      <c r="O1831" s="174"/>
      <c r="P1831" s="174"/>
      <c r="Q1831" s="174"/>
      <c r="R1831" s="174"/>
      <c r="S1831" s="174"/>
      <c r="T1831" s="174"/>
      <c r="U1831" s="174"/>
      <c r="V1831" s="174"/>
      <c r="W1831" s="174"/>
      <c r="X1831" s="174"/>
      <c r="Y1831" s="174"/>
      <c r="Z1831" s="174"/>
    </row>
    <row r="1832">
      <c r="A1832" s="194"/>
      <c r="B1832" s="194"/>
      <c r="C1832" s="194"/>
      <c r="D1832" s="194"/>
      <c r="E1832" s="194"/>
      <c r="F1832" s="194"/>
      <c r="G1832" s="194"/>
      <c r="H1832" s="195"/>
      <c r="I1832" s="195"/>
      <c r="J1832" s="194"/>
      <c r="K1832" s="174"/>
      <c r="L1832" s="174"/>
      <c r="M1832" s="174"/>
      <c r="N1832" s="174"/>
      <c r="O1832" s="174"/>
      <c r="P1832" s="174"/>
      <c r="Q1832" s="174"/>
      <c r="R1832" s="174"/>
      <c r="S1832" s="174"/>
      <c r="T1832" s="174"/>
      <c r="U1832" s="174"/>
      <c r="V1832" s="174"/>
      <c r="W1832" s="174"/>
      <c r="X1832" s="174"/>
      <c r="Y1832" s="174"/>
      <c r="Z1832" s="174"/>
    </row>
    <row r="1833">
      <c r="A1833" s="194"/>
      <c r="B1833" s="194"/>
      <c r="C1833" s="194"/>
      <c r="D1833" s="194"/>
      <c r="E1833" s="194"/>
      <c r="F1833" s="194"/>
      <c r="G1833" s="194"/>
      <c r="H1833" s="195"/>
      <c r="I1833" s="195"/>
      <c r="J1833" s="194"/>
      <c r="K1833" s="174"/>
      <c r="L1833" s="174"/>
      <c r="M1833" s="174"/>
      <c r="N1833" s="174"/>
      <c r="O1833" s="174"/>
      <c r="P1833" s="174"/>
      <c r="Q1833" s="174"/>
      <c r="R1833" s="174"/>
      <c r="S1833" s="174"/>
      <c r="T1833" s="174"/>
      <c r="U1833" s="174"/>
      <c r="V1833" s="174"/>
      <c r="W1833" s="174"/>
      <c r="X1833" s="174"/>
      <c r="Y1833" s="174"/>
      <c r="Z1833" s="174"/>
    </row>
    <row r="1834">
      <c r="A1834" s="194"/>
      <c r="B1834" s="194"/>
      <c r="C1834" s="194"/>
      <c r="D1834" s="194"/>
      <c r="E1834" s="194"/>
      <c r="F1834" s="194"/>
      <c r="G1834" s="194"/>
      <c r="H1834" s="195"/>
      <c r="I1834" s="195"/>
      <c r="J1834" s="194"/>
      <c r="K1834" s="174"/>
      <c r="L1834" s="174"/>
      <c r="M1834" s="174"/>
      <c r="N1834" s="174"/>
      <c r="O1834" s="174"/>
      <c r="P1834" s="174"/>
      <c r="Q1834" s="174"/>
      <c r="R1834" s="174"/>
      <c r="S1834" s="174"/>
      <c r="T1834" s="174"/>
      <c r="U1834" s="174"/>
      <c r="V1834" s="174"/>
      <c r="W1834" s="174"/>
      <c r="X1834" s="174"/>
      <c r="Y1834" s="174"/>
      <c r="Z1834" s="174"/>
    </row>
    <row r="1835">
      <c r="A1835" s="194"/>
      <c r="B1835" s="194"/>
      <c r="C1835" s="194"/>
      <c r="D1835" s="194"/>
      <c r="E1835" s="194"/>
      <c r="F1835" s="194"/>
      <c r="G1835" s="194"/>
      <c r="H1835" s="195"/>
      <c r="I1835" s="195"/>
      <c r="J1835" s="194"/>
      <c r="K1835" s="174"/>
      <c r="L1835" s="174"/>
      <c r="M1835" s="174"/>
      <c r="N1835" s="174"/>
      <c r="O1835" s="174"/>
      <c r="P1835" s="174"/>
      <c r="Q1835" s="174"/>
      <c r="R1835" s="174"/>
      <c r="S1835" s="174"/>
      <c r="T1835" s="174"/>
      <c r="U1835" s="174"/>
      <c r="V1835" s="174"/>
      <c r="W1835" s="174"/>
      <c r="X1835" s="174"/>
      <c r="Y1835" s="174"/>
      <c r="Z1835" s="174"/>
    </row>
    <row r="1836">
      <c r="A1836" s="194"/>
      <c r="B1836" s="194"/>
      <c r="C1836" s="194"/>
      <c r="D1836" s="194"/>
      <c r="E1836" s="194"/>
      <c r="F1836" s="194"/>
      <c r="G1836" s="194"/>
      <c r="H1836" s="195"/>
      <c r="I1836" s="195"/>
      <c r="J1836" s="194"/>
      <c r="K1836" s="174"/>
      <c r="L1836" s="174"/>
      <c r="M1836" s="174"/>
      <c r="N1836" s="174"/>
      <c r="O1836" s="174"/>
      <c r="P1836" s="174"/>
      <c r="Q1836" s="174"/>
      <c r="R1836" s="174"/>
      <c r="S1836" s="174"/>
      <c r="T1836" s="174"/>
      <c r="U1836" s="174"/>
      <c r="V1836" s="174"/>
      <c r="W1836" s="174"/>
      <c r="X1836" s="174"/>
      <c r="Y1836" s="174"/>
      <c r="Z1836" s="174"/>
    </row>
    <row r="1837">
      <c r="A1837" s="194"/>
      <c r="B1837" s="194"/>
      <c r="C1837" s="194"/>
      <c r="D1837" s="194"/>
      <c r="E1837" s="194"/>
      <c r="F1837" s="194"/>
      <c r="G1837" s="194"/>
      <c r="H1837" s="195"/>
      <c r="I1837" s="195"/>
      <c r="J1837" s="194"/>
      <c r="K1837" s="174"/>
      <c r="L1837" s="174"/>
      <c r="M1837" s="174"/>
      <c r="N1837" s="174"/>
      <c r="O1837" s="174"/>
      <c r="P1837" s="174"/>
      <c r="Q1837" s="174"/>
      <c r="R1837" s="174"/>
      <c r="S1837" s="174"/>
      <c r="T1837" s="174"/>
      <c r="U1837" s="174"/>
      <c r="V1837" s="174"/>
      <c r="W1837" s="174"/>
      <c r="X1837" s="174"/>
      <c r="Y1837" s="174"/>
      <c r="Z1837" s="174"/>
    </row>
    <row r="1838">
      <c r="A1838" s="194"/>
      <c r="B1838" s="194"/>
      <c r="C1838" s="194"/>
      <c r="D1838" s="194"/>
      <c r="E1838" s="194"/>
      <c r="F1838" s="194"/>
      <c r="G1838" s="194"/>
      <c r="H1838" s="195"/>
      <c r="I1838" s="195"/>
      <c r="J1838" s="194"/>
      <c r="K1838" s="174"/>
      <c r="L1838" s="174"/>
      <c r="M1838" s="174"/>
      <c r="N1838" s="174"/>
      <c r="O1838" s="174"/>
      <c r="P1838" s="174"/>
      <c r="Q1838" s="174"/>
      <c r="R1838" s="174"/>
      <c r="S1838" s="174"/>
      <c r="T1838" s="174"/>
      <c r="U1838" s="174"/>
      <c r="V1838" s="174"/>
      <c r="W1838" s="174"/>
      <c r="X1838" s="174"/>
      <c r="Y1838" s="174"/>
      <c r="Z1838" s="174"/>
    </row>
    <row r="1839">
      <c r="A1839" s="194"/>
      <c r="B1839" s="194"/>
      <c r="C1839" s="194"/>
      <c r="D1839" s="194"/>
      <c r="E1839" s="194"/>
      <c r="F1839" s="194"/>
      <c r="G1839" s="194"/>
      <c r="H1839" s="195"/>
      <c r="I1839" s="195"/>
      <c r="J1839" s="194"/>
      <c r="K1839" s="174"/>
      <c r="L1839" s="174"/>
      <c r="M1839" s="174"/>
      <c r="N1839" s="174"/>
      <c r="O1839" s="174"/>
      <c r="P1839" s="174"/>
      <c r="Q1839" s="174"/>
      <c r="R1839" s="174"/>
      <c r="S1839" s="174"/>
      <c r="T1839" s="174"/>
      <c r="U1839" s="174"/>
      <c r="V1839" s="174"/>
      <c r="W1839" s="174"/>
      <c r="X1839" s="174"/>
      <c r="Y1839" s="174"/>
      <c r="Z1839" s="174"/>
    </row>
    <row r="1840">
      <c r="A1840" s="194"/>
      <c r="B1840" s="194"/>
      <c r="C1840" s="194"/>
      <c r="D1840" s="194"/>
      <c r="E1840" s="194"/>
      <c r="F1840" s="194"/>
      <c r="G1840" s="194"/>
      <c r="H1840" s="195"/>
      <c r="I1840" s="195"/>
      <c r="J1840" s="194"/>
      <c r="K1840" s="174"/>
      <c r="L1840" s="174"/>
      <c r="M1840" s="174"/>
      <c r="N1840" s="174"/>
      <c r="O1840" s="174"/>
      <c r="P1840" s="174"/>
      <c r="Q1840" s="174"/>
      <c r="R1840" s="174"/>
      <c r="S1840" s="174"/>
      <c r="T1840" s="174"/>
      <c r="U1840" s="174"/>
      <c r="V1840" s="174"/>
      <c r="W1840" s="174"/>
      <c r="X1840" s="174"/>
      <c r="Y1840" s="174"/>
      <c r="Z1840" s="174"/>
    </row>
    <row r="1841">
      <c r="A1841" s="194"/>
      <c r="B1841" s="194"/>
      <c r="C1841" s="194"/>
      <c r="D1841" s="194"/>
      <c r="E1841" s="194"/>
      <c r="F1841" s="194"/>
      <c r="G1841" s="194"/>
      <c r="H1841" s="195"/>
      <c r="I1841" s="195"/>
      <c r="J1841" s="194"/>
      <c r="K1841" s="174"/>
      <c r="L1841" s="174"/>
      <c r="M1841" s="174"/>
      <c r="N1841" s="174"/>
      <c r="O1841" s="174"/>
      <c r="P1841" s="174"/>
      <c r="Q1841" s="174"/>
      <c r="R1841" s="174"/>
      <c r="S1841" s="174"/>
      <c r="T1841" s="174"/>
      <c r="U1841" s="174"/>
      <c r="V1841" s="174"/>
      <c r="W1841" s="174"/>
      <c r="X1841" s="174"/>
      <c r="Y1841" s="174"/>
      <c r="Z1841" s="174"/>
    </row>
    <row r="1842">
      <c r="A1842" s="194"/>
      <c r="B1842" s="194"/>
      <c r="C1842" s="194"/>
      <c r="D1842" s="194"/>
      <c r="E1842" s="194"/>
      <c r="F1842" s="194"/>
      <c r="G1842" s="194"/>
      <c r="H1842" s="195"/>
      <c r="I1842" s="195"/>
      <c r="J1842" s="194"/>
      <c r="K1842" s="174"/>
      <c r="L1842" s="174"/>
      <c r="M1842" s="174"/>
      <c r="N1842" s="174"/>
      <c r="O1842" s="174"/>
      <c r="P1842" s="174"/>
      <c r="Q1842" s="174"/>
      <c r="R1842" s="174"/>
      <c r="S1842" s="174"/>
      <c r="T1842" s="174"/>
      <c r="U1842" s="174"/>
      <c r="V1842" s="174"/>
      <c r="W1842" s="174"/>
      <c r="X1842" s="174"/>
      <c r="Y1842" s="174"/>
      <c r="Z1842" s="174"/>
    </row>
    <row r="1843">
      <c r="A1843" s="194"/>
      <c r="B1843" s="194"/>
      <c r="C1843" s="194"/>
      <c r="D1843" s="194"/>
      <c r="E1843" s="194"/>
      <c r="F1843" s="194"/>
      <c r="G1843" s="194"/>
      <c r="H1843" s="195"/>
      <c r="I1843" s="195"/>
      <c r="J1843" s="194"/>
      <c r="K1843" s="174"/>
      <c r="L1843" s="174"/>
      <c r="M1843" s="174"/>
      <c r="N1843" s="174"/>
      <c r="O1843" s="174"/>
      <c r="P1843" s="174"/>
      <c r="Q1843" s="174"/>
      <c r="R1843" s="174"/>
      <c r="S1843" s="174"/>
      <c r="T1843" s="174"/>
      <c r="U1843" s="174"/>
      <c r="V1843" s="174"/>
      <c r="W1843" s="174"/>
      <c r="X1843" s="174"/>
      <c r="Y1843" s="174"/>
      <c r="Z1843" s="174"/>
    </row>
    <row r="1844">
      <c r="A1844" s="194"/>
      <c r="B1844" s="194"/>
      <c r="C1844" s="194"/>
      <c r="D1844" s="194"/>
      <c r="E1844" s="194"/>
      <c r="F1844" s="194"/>
      <c r="G1844" s="194"/>
      <c r="H1844" s="195"/>
      <c r="I1844" s="195"/>
      <c r="J1844" s="194"/>
      <c r="K1844" s="174"/>
      <c r="L1844" s="174"/>
      <c r="M1844" s="174"/>
      <c r="N1844" s="174"/>
      <c r="O1844" s="174"/>
      <c r="P1844" s="174"/>
      <c r="Q1844" s="174"/>
      <c r="R1844" s="174"/>
      <c r="S1844" s="174"/>
      <c r="T1844" s="174"/>
      <c r="U1844" s="174"/>
      <c r="V1844" s="174"/>
      <c r="W1844" s="174"/>
      <c r="X1844" s="174"/>
      <c r="Y1844" s="174"/>
      <c r="Z1844" s="174"/>
    </row>
    <row r="1845">
      <c r="A1845" s="194"/>
      <c r="B1845" s="194"/>
      <c r="C1845" s="194"/>
      <c r="D1845" s="194"/>
      <c r="E1845" s="194"/>
      <c r="F1845" s="194"/>
      <c r="G1845" s="194"/>
      <c r="H1845" s="195"/>
      <c r="I1845" s="195"/>
      <c r="J1845" s="194"/>
      <c r="K1845" s="174"/>
      <c r="L1845" s="174"/>
      <c r="M1845" s="174"/>
      <c r="N1845" s="174"/>
      <c r="O1845" s="174"/>
      <c r="P1845" s="174"/>
      <c r="Q1845" s="174"/>
      <c r="R1845" s="174"/>
      <c r="S1845" s="174"/>
      <c r="T1845" s="174"/>
      <c r="U1845" s="174"/>
      <c r="V1845" s="174"/>
      <c r="W1845" s="174"/>
      <c r="X1845" s="174"/>
      <c r="Y1845" s="174"/>
      <c r="Z1845" s="174"/>
    </row>
    <row r="1846">
      <c r="A1846" s="194"/>
      <c r="B1846" s="194"/>
      <c r="C1846" s="194"/>
      <c r="D1846" s="194"/>
      <c r="E1846" s="194"/>
      <c r="F1846" s="194"/>
      <c r="G1846" s="194"/>
      <c r="H1846" s="195"/>
      <c r="I1846" s="195"/>
      <c r="J1846" s="194"/>
      <c r="K1846" s="174"/>
      <c r="L1846" s="174"/>
      <c r="M1846" s="174"/>
      <c r="N1846" s="174"/>
      <c r="O1846" s="174"/>
      <c r="P1846" s="174"/>
      <c r="Q1846" s="174"/>
      <c r="R1846" s="174"/>
      <c r="S1846" s="174"/>
      <c r="T1846" s="174"/>
      <c r="U1846" s="174"/>
      <c r="V1846" s="174"/>
      <c r="W1846" s="174"/>
      <c r="X1846" s="174"/>
      <c r="Y1846" s="174"/>
      <c r="Z1846" s="174"/>
    </row>
    <row r="1847">
      <c r="A1847" s="194"/>
      <c r="B1847" s="194"/>
      <c r="C1847" s="194"/>
      <c r="D1847" s="194"/>
      <c r="E1847" s="194"/>
      <c r="F1847" s="194"/>
      <c r="G1847" s="194"/>
      <c r="H1847" s="195"/>
      <c r="I1847" s="195"/>
      <c r="J1847" s="194"/>
      <c r="K1847" s="174"/>
      <c r="L1847" s="174"/>
      <c r="M1847" s="174"/>
      <c r="N1847" s="174"/>
      <c r="O1847" s="174"/>
      <c r="P1847" s="174"/>
      <c r="Q1847" s="174"/>
      <c r="R1847" s="174"/>
      <c r="S1847" s="174"/>
      <c r="T1847" s="174"/>
      <c r="U1847" s="174"/>
      <c r="V1847" s="174"/>
      <c r="W1847" s="174"/>
      <c r="X1847" s="174"/>
      <c r="Y1847" s="174"/>
      <c r="Z1847" s="174"/>
    </row>
    <row r="1848">
      <c r="A1848" s="194"/>
      <c r="B1848" s="194"/>
      <c r="C1848" s="194"/>
      <c r="D1848" s="194"/>
      <c r="E1848" s="194"/>
      <c r="F1848" s="194"/>
      <c r="G1848" s="194"/>
      <c r="H1848" s="195"/>
      <c r="I1848" s="195"/>
      <c r="J1848" s="194"/>
      <c r="K1848" s="174"/>
      <c r="L1848" s="174"/>
      <c r="M1848" s="174"/>
      <c r="N1848" s="174"/>
      <c r="O1848" s="174"/>
      <c r="P1848" s="174"/>
      <c r="Q1848" s="174"/>
      <c r="R1848" s="174"/>
      <c r="S1848" s="174"/>
      <c r="T1848" s="174"/>
      <c r="U1848" s="174"/>
      <c r="V1848" s="174"/>
      <c r="W1848" s="174"/>
      <c r="X1848" s="174"/>
      <c r="Y1848" s="174"/>
      <c r="Z1848" s="174"/>
    </row>
    <row r="1849">
      <c r="A1849" s="194"/>
      <c r="B1849" s="194"/>
      <c r="C1849" s="194"/>
      <c r="D1849" s="194"/>
      <c r="E1849" s="194"/>
      <c r="F1849" s="194"/>
      <c r="G1849" s="194"/>
      <c r="H1849" s="195"/>
      <c r="I1849" s="195"/>
      <c r="J1849" s="194"/>
      <c r="K1849" s="174"/>
      <c r="L1849" s="174"/>
      <c r="M1849" s="174"/>
      <c r="N1849" s="174"/>
      <c r="O1849" s="174"/>
      <c r="P1849" s="174"/>
      <c r="Q1849" s="174"/>
      <c r="R1849" s="174"/>
      <c r="S1849" s="174"/>
      <c r="T1849" s="174"/>
      <c r="U1849" s="174"/>
      <c r="V1849" s="174"/>
      <c r="W1849" s="174"/>
      <c r="X1849" s="174"/>
      <c r="Y1849" s="174"/>
      <c r="Z1849" s="174"/>
    </row>
    <row r="1850">
      <c r="A1850" s="194"/>
      <c r="B1850" s="194"/>
      <c r="C1850" s="194"/>
      <c r="D1850" s="194"/>
      <c r="E1850" s="194"/>
      <c r="F1850" s="194"/>
      <c r="G1850" s="194"/>
      <c r="H1850" s="195"/>
      <c r="I1850" s="195"/>
      <c r="J1850" s="194"/>
      <c r="K1850" s="174"/>
      <c r="L1850" s="174"/>
      <c r="M1850" s="174"/>
      <c r="N1850" s="174"/>
      <c r="O1850" s="174"/>
      <c r="P1850" s="174"/>
      <c r="Q1850" s="174"/>
      <c r="R1850" s="174"/>
      <c r="S1850" s="174"/>
      <c r="T1850" s="174"/>
      <c r="U1850" s="174"/>
      <c r="V1850" s="174"/>
      <c r="W1850" s="174"/>
      <c r="X1850" s="174"/>
      <c r="Y1850" s="174"/>
      <c r="Z1850" s="174"/>
    </row>
    <row r="1851">
      <c r="A1851" s="194"/>
      <c r="B1851" s="194"/>
      <c r="C1851" s="194"/>
      <c r="D1851" s="194"/>
      <c r="E1851" s="194"/>
      <c r="F1851" s="194"/>
      <c r="G1851" s="194"/>
      <c r="H1851" s="195"/>
      <c r="I1851" s="195"/>
      <c r="J1851" s="194"/>
      <c r="K1851" s="174"/>
      <c r="L1851" s="174"/>
      <c r="M1851" s="174"/>
      <c r="N1851" s="174"/>
      <c r="O1851" s="174"/>
      <c r="P1851" s="174"/>
      <c r="Q1851" s="174"/>
      <c r="R1851" s="174"/>
      <c r="S1851" s="174"/>
      <c r="T1851" s="174"/>
      <c r="U1851" s="174"/>
      <c r="V1851" s="174"/>
      <c r="W1851" s="174"/>
      <c r="X1851" s="174"/>
      <c r="Y1851" s="174"/>
      <c r="Z1851" s="174"/>
    </row>
    <row r="1852">
      <c r="A1852" s="194"/>
      <c r="B1852" s="194"/>
      <c r="C1852" s="194"/>
      <c r="D1852" s="194"/>
      <c r="E1852" s="194"/>
      <c r="F1852" s="194"/>
      <c r="G1852" s="194"/>
      <c r="H1852" s="195"/>
      <c r="I1852" s="195"/>
      <c r="J1852" s="194"/>
      <c r="K1852" s="174"/>
      <c r="L1852" s="174"/>
      <c r="M1852" s="174"/>
      <c r="N1852" s="174"/>
      <c r="O1852" s="174"/>
      <c r="P1852" s="174"/>
      <c r="Q1852" s="174"/>
      <c r="R1852" s="174"/>
      <c r="S1852" s="174"/>
      <c r="T1852" s="174"/>
      <c r="U1852" s="174"/>
      <c r="V1852" s="174"/>
      <c r="W1852" s="174"/>
      <c r="X1852" s="174"/>
      <c r="Y1852" s="174"/>
      <c r="Z1852" s="174"/>
    </row>
    <row r="1853">
      <c r="A1853" s="194"/>
      <c r="B1853" s="194"/>
      <c r="C1853" s="194"/>
      <c r="D1853" s="194"/>
      <c r="E1853" s="194"/>
      <c r="F1853" s="194"/>
      <c r="G1853" s="194"/>
      <c r="H1853" s="195"/>
      <c r="I1853" s="195"/>
      <c r="J1853" s="194"/>
      <c r="K1853" s="174"/>
      <c r="L1853" s="174"/>
      <c r="M1853" s="174"/>
      <c r="N1853" s="174"/>
      <c r="O1853" s="174"/>
      <c r="P1853" s="174"/>
      <c r="Q1853" s="174"/>
      <c r="R1853" s="174"/>
      <c r="S1853" s="174"/>
      <c r="T1853" s="174"/>
      <c r="U1853" s="174"/>
      <c r="V1853" s="174"/>
      <c r="W1853" s="174"/>
      <c r="X1853" s="174"/>
      <c r="Y1853" s="174"/>
      <c r="Z1853" s="174"/>
    </row>
    <row r="1854">
      <c r="A1854" s="194"/>
      <c r="B1854" s="194"/>
      <c r="C1854" s="194"/>
      <c r="D1854" s="194"/>
      <c r="E1854" s="194"/>
      <c r="F1854" s="194"/>
      <c r="G1854" s="194"/>
      <c r="H1854" s="195"/>
      <c r="I1854" s="195"/>
      <c r="J1854" s="194"/>
      <c r="K1854" s="174"/>
      <c r="L1854" s="174"/>
      <c r="M1854" s="174"/>
      <c r="N1854" s="174"/>
      <c r="O1854" s="174"/>
      <c r="P1854" s="174"/>
      <c r="Q1854" s="174"/>
      <c r="R1854" s="174"/>
      <c r="S1854" s="174"/>
      <c r="T1854" s="174"/>
      <c r="U1854" s="174"/>
      <c r="V1854" s="174"/>
      <c r="W1854" s="174"/>
      <c r="X1854" s="174"/>
      <c r="Y1854" s="174"/>
      <c r="Z1854" s="174"/>
    </row>
    <row r="1855">
      <c r="A1855" s="194"/>
      <c r="B1855" s="194"/>
      <c r="C1855" s="194"/>
      <c r="D1855" s="194"/>
      <c r="E1855" s="194"/>
      <c r="F1855" s="194"/>
      <c r="G1855" s="194"/>
      <c r="H1855" s="195"/>
      <c r="I1855" s="195"/>
      <c r="J1855" s="194"/>
      <c r="K1855" s="174"/>
      <c r="L1855" s="174"/>
      <c r="M1855" s="174"/>
      <c r="N1855" s="174"/>
      <c r="O1855" s="174"/>
      <c r="P1855" s="174"/>
      <c r="Q1855" s="174"/>
      <c r="R1855" s="174"/>
      <c r="S1855" s="174"/>
      <c r="T1855" s="174"/>
      <c r="U1855" s="174"/>
      <c r="V1855" s="174"/>
      <c r="W1855" s="174"/>
      <c r="X1855" s="174"/>
      <c r="Y1855" s="174"/>
      <c r="Z1855" s="174"/>
    </row>
    <row r="1856">
      <c r="A1856" s="194"/>
      <c r="B1856" s="194"/>
      <c r="C1856" s="194"/>
      <c r="D1856" s="194"/>
      <c r="E1856" s="194"/>
      <c r="F1856" s="194"/>
      <c r="G1856" s="194"/>
      <c r="H1856" s="195"/>
      <c r="I1856" s="195"/>
      <c r="J1856" s="194"/>
      <c r="K1856" s="174"/>
      <c r="L1856" s="174"/>
      <c r="M1856" s="174"/>
      <c r="N1856" s="174"/>
      <c r="O1856" s="174"/>
      <c r="P1856" s="174"/>
      <c r="Q1856" s="174"/>
      <c r="R1856" s="174"/>
      <c r="S1856" s="174"/>
      <c r="T1856" s="174"/>
      <c r="U1856" s="174"/>
      <c r="V1856" s="174"/>
      <c r="W1856" s="174"/>
      <c r="X1856" s="174"/>
      <c r="Y1856" s="174"/>
      <c r="Z1856" s="174"/>
    </row>
    <row r="1857">
      <c r="A1857" s="194"/>
      <c r="B1857" s="194"/>
      <c r="C1857" s="194"/>
      <c r="D1857" s="194"/>
      <c r="E1857" s="194"/>
      <c r="F1857" s="194"/>
      <c r="G1857" s="194"/>
      <c r="H1857" s="195"/>
      <c r="I1857" s="195"/>
      <c r="J1857" s="194"/>
      <c r="K1857" s="174"/>
      <c r="L1857" s="174"/>
      <c r="M1857" s="174"/>
      <c r="N1857" s="174"/>
      <c r="O1857" s="174"/>
      <c r="P1857" s="174"/>
      <c r="Q1857" s="174"/>
      <c r="R1857" s="174"/>
      <c r="S1857" s="174"/>
      <c r="T1857" s="174"/>
      <c r="U1857" s="174"/>
      <c r="V1857" s="174"/>
      <c r="W1857" s="174"/>
      <c r="X1857" s="174"/>
      <c r="Y1857" s="174"/>
      <c r="Z1857" s="174"/>
    </row>
    <row r="1858">
      <c r="A1858" s="194"/>
      <c r="B1858" s="194"/>
      <c r="C1858" s="194"/>
      <c r="D1858" s="194"/>
      <c r="E1858" s="194"/>
      <c r="F1858" s="194"/>
      <c r="G1858" s="194"/>
      <c r="H1858" s="195"/>
      <c r="I1858" s="195"/>
      <c r="J1858" s="194"/>
      <c r="K1858" s="174"/>
      <c r="L1858" s="174"/>
      <c r="M1858" s="174"/>
      <c r="N1858" s="174"/>
      <c r="O1858" s="174"/>
      <c r="P1858" s="174"/>
      <c r="Q1858" s="174"/>
      <c r="R1858" s="174"/>
      <c r="S1858" s="174"/>
      <c r="T1858" s="174"/>
      <c r="U1858" s="174"/>
      <c r="V1858" s="174"/>
      <c r="W1858" s="174"/>
      <c r="X1858" s="174"/>
      <c r="Y1858" s="174"/>
      <c r="Z1858" s="174"/>
    </row>
    <row r="1859">
      <c r="A1859" s="194"/>
      <c r="B1859" s="194"/>
      <c r="C1859" s="194"/>
      <c r="D1859" s="194"/>
      <c r="E1859" s="194"/>
      <c r="F1859" s="194"/>
      <c r="G1859" s="194"/>
      <c r="H1859" s="195"/>
      <c r="I1859" s="195"/>
      <c r="J1859" s="194"/>
      <c r="K1859" s="174"/>
      <c r="L1859" s="174"/>
      <c r="M1859" s="174"/>
      <c r="N1859" s="174"/>
      <c r="O1859" s="174"/>
      <c r="P1859" s="174"/>
      <c r="Q1859" s="174"/>
      <c r="R1859" s="174"/>
      <c r="S1859" s="174"/>
      <c r="T1859" s="174"/>
      <c r="U1859" s="174"/>
      <c r="V1859" s="174"/>
      <c r="W1859" s="174"/>
      <c r="X1859" s="174"/>
      <c r="Y1859" s="174"/>
      <c r="Z1859" s="174"/>
    </row>
    <row r="1860">
      <c r="A1860" s="194"/>
      <c r="B1860" s="194"/>
      <c r="C1860" s="194"/>
      <c r="D1860" s="194"/>
      <c r="E1860" s="194"/>
      <c r="F1860" s="194"/>
      <c r="G1860" s="194"/>
      <c r="H1860" s="195"/>
      <c r="I1860" s="195"/>
      <c r="J1860" s="194"/>
      <c r="K1860" s="174"/>
      <c r="L1860" s="174"/>
      <c r="M1860" s="174"/>
      <c r="N1860" s="174"/>
      <c r="O1860" s="174"/>
      <c r="P1860" s="174"/>
      <c r="Q1860" s="174"/>
      <c r="R1860" s="174"/>
      <c r="S1860" s="174"/>
      <c r="T1860" s="174"/>
      <c r="U1860" s="174"/>
      <c r="V1860" s="174"/>
      <c r="W1860" s="174"/>
      <c r="X1860" s="174"/>
      <c r="Y1860" s="174"/>
      <c r="Z1860" s="174"/>
    </row>
    <row r="1861">
      <c r="A1861" s="194"/>
      <c r="B1861" s="194"/>
      <c r="C1861" s="194"/>
      <c r="D1861" s="194"/>
      <c r="E1861" s="194"/>
      <c r="F1861" s="194"/>
      <c r="G1861" s="194"/>
      <c r="H1861" s="195"/>
      <c r="I1861" s="195"/>
      <c r="J1861" s="194"/>
      <c r="K1861" s="174"/>
      <c r="L1861" s="174"/>
      <c r="M1861" s="174"/>
      <c r="N1861" s="174"/>
      <c r="O1861" s="174"/>
      <c r="P1861" s="174"/>
      <c r="Q1861" s="174"/>
      <c r="R1861" s="174"/>
      <c r="S1861" s="174"/>
      <c r="T1861" s="174"/>
      <c r="U1861" s="174"/>
      <c r="V1861" s="174"/>
      <c r="W1861" s="174"/>
      <c r="X1861" s="174"/>
      <c r="Y1861" s="174"/>
      <c r="Z1861" s="174"/>
    </row>
    <row r="1862">
      <c r="A1862" s="194"/>
      <c r="B1862" s="194"/>
      <c r="C1862" s="194"/>
      <c r="D1862" s="194"/>
      <c r="E1862" s="194"/>
      <c r="F1862" s="194"/>
      <c r="G1862" s="194"/>
      <c r="H1862" s="195"/>
      <c r="I1862" s="195"/>
      <c r="J1862" s="194"/>
      <c r="K1862" s="174"/>
      <c r="L1862" s="174"/>
      <c r="M1862" s="174"/>
      <c r="N1862" s="174"/>
      <c r="O1862" s="174"/>
      <c r="P1862" s="174"/>
      <c r="Q1862" s="174"/>
      <c r="R1862" s="174"/>
      <c r="S1862" s="174"/>
      <c r="T1862" s="174"/>
      <c r="U1862" s="174"/>
      <c r="V1862" s="174"/>
      <c r="W1862" s="174"/>
      <c r="X1862" s="174"/>
      <c r="Y1862" s="174"/>
      <c r="Z1862" s="174"/>
    </row>
    <row r="1863">
      <c r="A1863" s="194"/>
      <c r="B1863" s="194"/>
      <c r="C1863" s="194"/>
      <c r="D1863" s="194"/>
      <c r="E1863" s="194"/>
      <c r="F1863" s="194"/>
      <c r="G1863" s="194"/>
      <c r="H1863" s="195"/>
      <c r="I1863" s="195"/>
      <c r="J1863" s="194"/>
      <c r="K1863" s="174"/>
      <c r="L1863" s="174"/>
      <c r="M1863" s="174"/>
      <c r="N1863" s="174"/>
      <c r="O1863" s="174"/>
      <c r="P1863" s="174"/>
      <c r="Q1863" s="174"/>
      <c r="R1863" s="174"/>
      <c r="S1863" s="174"/>
      <c r="T1863" s="174"/>
      <c r="U1863" s="174"/>
      <c r="V1863" s="174"/>
      <c r="W1863" s="174"/>
      <c r="X1863" s="174"/>
      <c r="Y1863" s="174"/>
      <c r="Z1863" s="174"/>
    </row>
    <row r="1864">
      <c r="A1864" s="194"/>
      <c r="B1864" s="194"/>
      <c r="C1864" s="194"/>
      <c r="D1864" s="194"/>
      <c r="E1864" s="194"/>
      <c r="F1864" s="194"/>
      <c r="G1864" s="194"/>
      <c r="H1864" s="195"/>
      <c r="I1864" s="195"/>
      <c r="J1864" s="194"/>
      <c r="K1864" s="174"/>
      <c r="L1864" s="174"/>
      <c r="M1864" s="174"/>
      <c r="N1864" s="174"/>
      <c r="O1864" s="174"/>
      <c r="P1864" s="174"/>
      <c r="Q1864" s="174"/>
      <c r="R1864" s="174"/>
      <c r="S1864" s="174"/>
      <c r="T1864" s="174"/>
      <c r="U1864" s="174"/>
      <c r="V1864" s="174"/>
      <c r="W1864" s="174"/>
      <c r="X1864" s="174"/>
      <c r="Y1864" s="174"/>
      <c r="Z1864" s="174"/>
    </row>
    <row r="1865">
      <c r="A1865" s="194"/>
      <c r="B1865" s="194"/>
      <c r="C1865" s="194"/>
      <c r="D1865" s="194"/>
      <c r="E1865" s="194"/>
      <c r="F1865" s="194"/>
      <c r="G1865" s="194"/>
      <c r="H1865" s="195"/>
      <c r="I1865" s="195"/>
      <c r="J1865" s="194"/>
      <c r="K1865" s="174"/>
      <c r="L1865" s="174"/>
      <c r="M1865" s="174"/>
      <c r="N1865" s="174"/>
      <c r="O1865" s="174"/>
      <c r="P1865" s="174"/>
      <c r="Q1865" s="174"/>
      <c r="R1865" s="174"/>
      <c r="S1865" s="174"/>
      <c r="T1865" s="174"/>
      <c r="U1865" s="174"/>
      <c r="V1865" s="174"/>
      <c r="W1865" s="174"/>
      <c r="X1865" s="174"/>
      <c r="Y1865" s="174"/>
      <c r="Z1865" s="174"/>
    </row>
    <row r="1866">
      <c r="A1866" s="194"/>
      <c r="B1866" s="194"/>
      <c r="C1866" s="194"/>
      <c r="D1866" s="194"/>
      <c r="E1866" s="194"/>
      <c r="F1866" s="194"/>
      <c r="G1866" s="194"/>
      <c r="H1866" s="195"/>
      <c r="I1866" s="195"/>
      <c r="J1866" s="194"/>
      <c r="K1866" s="174"/>
      <c r="L1866" s="174"/>
      <c r="M1866" s="174"/>
      <c r="N1866" s="174"/>
      <c r="O1866" s="174"/>
      <c r="P1866" s="174"/>
      <c r="Q1866" s="174"/>
      <c r="R1866" s="174"/>
      <c r="S1866" s="174"/>
      <c r="T1866" s="174"/>
      <c r="U1866" s="174"/>
      <c r="V1866" s="174"/>
      <c r="W1866" s="174"/>
      <c r="X1866" s="174"/>
      <c r="Y1866" s="174"/>
      <c r="Z1866" s="174"/>
    </row>
    <row r="1867">
      <c r="A1867" s="194"/>
      <c r="B1867" s="194"/>
      <c r="C1867" s="194"/>
      <c r="D1867" s="194"/>
      <c r="E1867" s="194"/>
      <c r="F1867" s="194"/>
      <c r="G1867" s="194"/>
      <c r="H1867" s="195"/>
      <c r="I1867" s="195"/>
      <c r="J1867" s="194"/>
      <c r="K1867" s="174"/>
      <c r="L1867" s="174"/>
      <c r="M1867" s="174"/>
      <c r="N1867" s="174"/>
      <c r="O1867" s="174"/>
      <c r="P1867" s="174"/>
      <c r="Q1867" s="174"/>
      <c r="R1867" s="174"/>
      <c r="S1867" s="174"/>
      <c r="T1867" s="174"/>
      <c r="U1867" s="174"/>
      <c r="V1867" s="174"/>
      <c r="W1867" s="174"/>
      <c r="X1867" s="174"/>
      <c r="Y1867" s="174"/>
      <c r="Z1867" s="174"/>
    </row>
    <row r="1868">
      <c r="A1868" s="194"/>
      <c r="B1868" s="194"/>
      <c r="C1868" s="194"/>
      <c r="D1868" s="194"/>
      <c r="E1868" s="194"/>
      <c r="F1868" s="194"/>
      <c r="G1868" s="194"/>
      <c r="H1868" s="195"/>
      <c r="I1868" s="195"/>
      <c r="J1868" s="194"/>
      <c r="K1868" s="174"/>
      <c r="L1868" s="174"/>
      <c r="M1868" s="174"/>
      <c r="N1868" s="174"/>
      <c r="O1868" s="174"/>
      <c r="P1868" s="174"/>
      <c r="Q1868" s="174"/>
      <c r="R1868" s="174"/>
      <c r="S1868" s="174"/>
      <c r="T1868" s="174"/>
      <c r="U1868" s="174"/>
      <c r="V1868" s="174"/>
      <c r="W1868" s="174"/>
      <c r="X1868" s="174"/>
      <c r="Y1868" s="174"/>
      <c r="Z1868" s="174"/>
    </row>
    <row r="1869">
      <c r="A1869" s="194"/>
      <c r="B1869" s="194"/>
      <c r="C1869" s="194"/>
      <c r="D1869" s="194"/>
      <c r="E1869" s="194"/>
      <c r="F1869" s="194"/>
      <c r="G1869" s="194"/>
      <c r="H1869" s="195"/>
      <c r="I1869" s="195"/>
      <c r="J1869" s="194"/>
      <c r="K1869" s="174"/>
      <c r="L1869" s="174"/>
      <c r="M1869" s="174"/>
      <c r="N1869" s="174"/>
      <c r="O1869" s="174"/>
      <c r="P1869" s="174"/>
      <c r="Q1869" s="174"/>
      <c r="R1869" s="174"/>
      <c r="S1869" s="174"/>
      <c r="T1869" s="174"/>
      <c r="U1869" s="174"/>
      <c r="V1869" s="174"/>
      <c r="W1869" s="174"/>
      <c r="X1869" s="174"/>
      <c r="Y1869" s="174"/>
      <c r="Z1869" s="174"/>
    </row>
    <row r="1870">
      <c r="A1870" s="194"/>
      <c r="B1870" s="194"/>
      <c r="C1870" s="194"/>
      <c r="D1870" s="194"/>
      <c r="E1870" s="194"/>
      <c r="F1870" s="194"/>
      <c r="G1870" s="194"/>
      <c r="H1870" s="195"/>
      <c r="I1870" s="195"/>
      <c r="J1870" s="194"/>
      <c r="K1870" s="174"/>
      <c r="L1870" s="174"/>
      <c r="M1870" s="174"/>
      <c r="N1870" s="174"/>
      <c r="O1870" s="174"/>
      <c r="P1870" s="174"/>
      <c r="Q1870" s="174"/>
      <c r="R1870" s="174"/>
      <c r="S1870" s="174"/>
      <c r="T1870" s="174"/>
      <c r="U1870" s="174"/>
      <c r="V1870" s="174"/>
      <c r="W1870" s="174"/>
      <c r="X1870" s="174"/>
      <c r="Y1870" s="174"/>
      <c r="Z1870" s="174"/>
    </row>
    <row r="1871">
      <c r="A1871" s="194"/>
      <c r="B1871" s="194"/>
      <c r="C1871" s="194"/>
      <c r="D1871" s="194"/>
      <c r="E1871" s="194"/>
      <c r="F1871" s="194"/>
      <c r="G1871" s="194"/>
      <c r="H1871" s="195"/>
      <c r="I1871" s="195"/>
      <c r="J1871" s="194"/>
      <c r="K1871" s="174"/>
      <c r="L1871" s="174"/>
      <c r="M1871" s="174"/>
      <c r="N1871" s="174"/>
      <c r="O1871" s="174"/>
      <c r="P1871" s="174"/>
      <c r="Q1871" s="174"/>
      <c r="R1871" s="174"/>
      <c r="S1871" s="174"/>
      <c r="T1871" s="174"/>
      <c r="U1871" s="174"/>
      <c r="V1871" s="174"/>
      <c r="W1871" s="174"/>
      <c r="X1871" s="174"/>
      <c r="Y1871" s="174"/>
      <c r="Z1871" s="174"/>
    </row>
    <row r="1872">
      <c r="A1872" s="194"/>
      <c r="B1872" s="194"/>
      <c r="C1872" s="194"/>
      <c r="D1872" s="194"/>
      <c r="E1872" s="194"/>
      <c r="F1872" s="194"/>
      <c r="G1872" s="194"/>
      <c r="H1872" s="195"/>
      <c r="I1872" s="195"/>
      <c r="J1872" s="194"/>
      <c r="K1872" s="174"/>
      <c r="L1872" s="174"/>
      <c r="M1872" s="174"/>
      <c r="N1872" s="174"/>
      <c r="O1872" s="174"/>
      <c r="P1872" s="174"/>
      <c r="Q1872" s="174"/>
      <c r="R1872" s="174"/>
      <c r="S1872" s="174"/>
      <c r="T1872" s="174"/>
      <c r="U1872" s="174"/>
      <c r="V1872" s="174"/>
      <c r="W1872" s="174"/>
      <c r="X1872" s="174"/>
      <c r="Y1872" s="174"/>
      <c r="Z1872" s="174"/>
    </row>
    <row r="1873">
      <c r="A1873" s="194"/>
      <c r="B1873" s="194"/>
      <c r="C1873" s="194"/>
      <c r="D1873" s="194"/>
      <c r="E1873" s="194"/>
      <c r="F1873" s="194"/>
      <c r="G1873" s="194"/>
      <c r="H1873" s="195"/>
      <c r="I1873" s="195"/>
      <c r="J1873" s="194"/>
      <c r="K1873" s="174"/>
      <c r="L1873" s="174"/>
      <c r="M1873" s="174"/>
      <c r="N1873" s="174"/>
      <c r="O1873" s="174"/>
      <c r="P1873" s="174"/>
      <c r="Q1873" s="174"/>
      <c r="R1873" s="174"/>
      <c r="S1873" s="174"/>
      <c r="T1873" s="174"/>
      <c r="U1873" s="174"/>
      <c r="V1873" s="174"/>
      <c r="W1873" s="174"/>
      <c r="X1873" s="174"/>
      <c r="Y1873" s="174"/>
      <c r="Z1873" s="174"/>
    </row>
    <row r="1874">
      <c r="A1874" s="194"/>
      <c r="B1874" s="194"/>
      <c r="C1874" s="194"/>
      <c r="D1874" s="194"/>
      <c r="E1874" s="194"/>
      <c r="F1874" s="194"/>
      <c r="G1874" s="194"/>
      <c r="H1874" s="195"/>
      <c r="I1874" s="195"/>
      <c r="J1874" s="194"/>
      <c r="K1874" s="174"/>
      <c r="L1874" s="174"/>
      <c r="M1874" s="174"/>
      <c r="N1874" s="174"/>
      <c r="O1874" s="174"/>
      <c r="P1874" s="174"/>
      <c r="Q1874" s="174"/>
      <c r="R1874" s="174"/>
      <c r="S1874" s="174"/>
      <c r="T1874" s="174"/>
      <c r="U1874" s="174"/>
      <c r="V1874" s="174"/>
      <c r="W1874" s="174"/>
      <c r="X1874" s="174"/>
      <c r="Y1874" s="174"/>
      <c r="Z1874" s="174"/>
    </row>
    <row r="1875">
      <c r="A1875" s="194"/>
      <c r="B1875" s="194"/>
      <c r="C1875" s="194"/>
      <c r="D1875" s="194"/>
      <c r="E1875" s="194"/>
      <c r="F1875" s="194"/>
      <c r="G1875" s="194"/>
      <c r="H1875" s="195"/>
      <c r="I1875" s="195"/>
      <c r="J1875" s="194"/>
      <c r="K1875" s="174"/>
      <c r="L1875" s="174"/>
      <c r="M1875" s="174"/>
      <c r="N1875" s="174"/>
      <c r="O1875" s="174"/>
      <c r="P1875" s="174"/>
      <c r="Q1875" s="174"/>
      <c r="R1875" s="174"/>
      <c r="S1875" s="174"/>
      <c r="T1875" s="174"/>
      <c r="U1875" s="174"/>
      <c r="V1875" s="174"/>
      <c r="W1875" s="174"/>
      <c r="X1875" s="174"/>
      <c r="Y1875" s="174"/>
      <c r="Z1875" s="174"/>
    </row>
    <row r="1876">
      <c r="A1876" s="194"/>
      <c r="B1876" s="194"/>
      <c r="C1876" s="194"/>
      <c r="D1876" s="194"/>
      <c r="E1876" s="194"/>
      <c r="F1876" s="194"/>
      <c r="G1876" s="194"/>
      <c r="H1876" s="195"/>
      <c r="I1876" s="195"/>
      <c r="J1876" s="194"/>
      <c r="K1876" s="174"/>
      <c r="L1876" s="174"/>
      <c r="M1876" s="174"/>
      <c r="N1876" s="174"/>
      <c r="O1876" s="174"/>
      <c r="P1876" s="174"/>
      <c r="Q1876" s="174"/>
      <c r="R1876" s="174"/>
      <c r="S1876" s="174"/>
      <c r="T1876" s="174"/>
      <c r="U1876" s="174"/>
      <c r="V1876" s="174"/>
      <c r="W1876" s="174"/>
      <c r="X1876" s="174"/>
      <c r="Y1876" s="174"/>
      <c r="Z1876" s="174"/>
    </row>
    <row r="1877">
      <c r="A1877" s="194"/>
      <c r="B1877" s="194"/>
      <c r="C1877" s="194"/>
      <c r="D1877" s="194"/>
      <c r="E1877" s="194"/>
      <c r="F1877" s="194"/>
      <c r="G1877" s="194"/>
      <c r="H1877" s="195"/>
      <c r="I1877" s="195"/>
      <c r="J1877" s="194"/>
      <c r="K1877" s="174"/>
      <c r="L1877" s="174"/>
      <c r="M1877" s="174"/>
      <c r="N1877" s="174"/>
      <c r="O1877" s="174"/>
      <c r="P1877" s="174"/>
      <c r="Q1877" s="174"/>
      <c r="R1877" s="174"/>
      <c r="S1877" s="174"/>
      <c r="T1877" s="174"/>
      <c r="U1877" s="174"/>
      <c r="V1877" s="174"/>
      <c r="W1877" s="174"/>
      <c r="X1877" s="174"/>
      <c r="Y1877" s="174"/>
      <c r="Z1877" s="174"/>
    </row>
    <row r="1878">
      <c r="A1878" s="194"/>
      <c r="B1878" s="194"/>
      <c r="C1878" s="194"/>
      <c r="D1878" s="194"/>
      <c r="E1878" s="194"/>
      <c r="F1878" s="194"/>
      <c r="G1878" s="194"/>
      <c r="H1878" s="195"/>
      <c r="I1878" s="195"/>
      <c r="J1878" s="194"/>
      <c r="K1878" s="174"/>
      <c r="L1878" s="174"/>
      <c r="M1878" s="174"/>
      <c r="N1878" s="174"/>
      <c r="O1878" s="174"/>
      <c r="P1878" s="174"/>
      <c r="Q1878" s="174"/>
      <c r="R1878" s="174"/>
      <c r="S1878" s="174"/>
      <c r="T1878" s="174"/>
      <c r="U1878" s="174"/>
      <c r="V1878" s="174"/>
      <c r="W1878" s="174"/>
      <c r="X1878" s="174"/>
      <c r="Y1878" s="174"/>
      <c r="Z1878" s="174"/>
    </row>
    <row r="1879">
      <c r="A1879" s="194"/>
      <c r="B1879" s="194"/>
      <c r="C1879" s="194"/>
      <c r="D1879" s="194"/>
      <c r="E1879" s="194"/>
      <c r="F1879" s="194"/>
      <c r="G1879" s="194"/>
      <c r="H1879" s="195"/>
      <c r="I1879" s="195"/>
      <c r="J1879" s="194"/>
      <c r="K1879" s="174"/>
      <c r="L1879" s="174"/>
      <c r="M1879" s="174"/>
      <c r="N1879" s="174"/>
      <c r="O1879" s="174"/>
      <c r="P1879" s="174"/>
      <c r="Q1879" s="174"/>
      <c r="R1879" s="174"/>
      <c r="S1879" s="174"/>
      <c r="T1879" s="174"/>
      <c r="U1879" s="174"/>
      <c r="V1879" s="174"/>
      <c r="W1879" s="174"/>
      <c r="X1879" s="174"/>
      <c r="Y1879" s="174"/>
      <c r="Z1879" s="174"/>
    </row>
    <row r="1880">
      <c r="A1880" s="194"/>
      <c r="B1880" s="194"/>
      <c r="C1880" s="194"/>
      <c r="D1880" s="194"/>
      <c r="E1880" s="194"/>
      <c r="F1880" s="194"/>
      <c r="G1880" s="194"/>
      <c r="H1880" s="195"/>
      <c r="I1880" s="195"/>
      <c r="J1880" s="194"/>
      <c r="K1880" s="174"/>
      <c r="L1880" s="174"/>
      <c r="M1880" s="174"/>
      <c r="N1880" s="174"/>
      <c r="O1880" s="174"/>
      <c r="P1880" s="174"/>
      <c r="Q1880" s="174"/>
      <c r="R1880" s="174"/>
      <c r="S1880" s="174"/>
      <c r="T1880" s="174"/>
      <c r="U1880" s="174"/>
      <c r="V1880" s="174"/>
      <c r="W1880" s="174"/>
      <c r="X1880" s="174"/>
      <c r="Y1880" s="174"/>
      <c r="Z1880" s="174"/>
    </row>
    <row r="1881">
      <c r="A1881" s="194"/>
      <c r="B1881" s="194"/>
      <c r="C1881" s="194"/>
      <c r="D1881" s="194"/>
      <c r="E1881" s="194"/>
      <c r="F1881" s="194"/>
      <c r="G1881" s="194"/>
      <c r="H1881" s="195"/>
      <c r="I1881" s="195"/>
      <c r="J1881" s="194"/>
      <c r="K1881" s="174"/>
      <c r="L1881" s="174"/>
      <c r="M1881" s="174"/>
      <c r="N1881" s="174"/>
      <c r="O1881" s="174"/>
      <c r="P1881" s="174"/>
      <c r="Q1881" s="174"/>
      <c r="R1881" s="174"/>
      <c r="S1881" s="174"/>
      <c r="T1881" s="174"/>
      <c r="U1881" s="174"/>
      <c r="V1881" s="174"/>
      <c r="W1881" s="174"/>
      <c r="X1881" s="174"/>
      <c r="Y1881" s="174"/>
      <c r="Z1881" s="174"/>
    </row>
    <row r="1882">
      <c r="A1882" s="194"/>
      <c r="B1882" s="194"/>
      <c r="C1882" s="194"/>
      <c r="D1882" s="194"/>
      <c r="E1882" s="194"/>
      <c r="F1882" s="194"/>
      <c r="G1882" s="194"/>
      <c r="H1882" s="195"/>
      <c r="I1882" s="195"/>
      <c r="J1882" s="194"/>
      <c r="K1882" s="174"/>
      <c r="L1882" s="174"/>
      <c r="M1882" s="174"/>
      <c r="N1882" s="174"/>
      <c r="O1882" s="174"/>
      <c r="P1882" s="174"/>
      <c r="Q1882" s="174"/>
      <c r="R1882" s="174"/>
      <c r="S1882" s="174"/>
      <c r="T1882" s="174"/>
      <c r="U1882" s="174"/>
      <c r="V1882" s="174"/>
      <c r="W1882" s="174"/>
      <c r="X1882" s="174"/>
      <c r="Y1882" s="174"/>
      <c r="Z1882" s="174"/>
    </row>
    <row r="1883">
      <c r="A1883" s="194"/>
      <c r="B1883" s="194"/>
      <c r="C1883" s="194"/>
      <c r="D1883" s="194"/>
      <c r="E1883" s="194"/>
      <c r="F1883" s="194"/>
      <c r="G1883" s="194"/>
      <c r="H1883" s="195"/>
      <c r="I1883" s="195"/>
      <c r="J1883" s="194"/>
      <c r="K1883" s="174"/>
      <c r="L1883" s="174"/>
      <c r="M1883" s="174"/>
      <c r="N1883" s="174"/>
      <c r="O1883" s="174"/>
      <c r="P1883" s="174"/>
      <c r="Q1883" s="174"/>
      <c r="R1883" s="174"/>
      <c r="S1883" s="174"/>
      <c r="T1883" s="174"/>
      <c r="U1883" s="174"/>
      <c r="V1883" s="174"/>
      <c r="W1883" s="174"/>
      <c r="X1883" s="174"/>
      <c r="Y1883" s="174"/>
      <c r="Z1883" s="174"/>
    </row>
    <row r="1884">
      <c r="A1884" s="194"/>
      <c r="B1884" s="194"/>
      <c r="C1884" s="194"/>
      <c r="D1884" s="194"/>
      <c r="E1884" s="194"/>
      <c r="F1884" s="194"/>
      <c r="G1884" s="194"/>
      <c r="H1884" s="195"/>
      <c r="I1884" s="195"/>
      <c r="J1884" s="194"/>
      <c r="K1884" s="174"/>
      <c r="L1884" s="174"/>
      <c r="M1884" s="174"/>
      <c r="N1884" s="174"/>
      <c r="O1884" s="174"/>
      <c r="P1884" s="174"/>
      <c r="Q1884" s="174"/>
      <c r="R1884" s="174"/>
      <c r="S1884" s="174"/>
      <c r="T1884" s="174"/>
      <c r="U1884" s="174"/>
      <c r="V1884" s="174"/>
      <c r="W1884" s="174"/>
      <c r="X1884" s="174"/>
      <c r="Y1884" s="174"/>
      <c r="Z1884" s="174"/>
    </row>
    <row r="1885">
      <c r="A1885" s="194"/>
      <c r="B1885" s="194"/>
      <c r="C1885" s="194"/>
      <c r="D1885" s="194"/>
      <c r="E1885" s="194"/>
      <c r="F1885" s="194"/>
      <c r="G1885" s="194"/>
      <c r="H1885" s="195"/>
      <c r="I1885" s="195"/>
      <c r="J1885" s="194"/>
      <c r="K1885" s="174"/>
      <c r="L1885" s="174"/>
      <c r="M1885" s="174"/>
      <c r="N1885" s="174"/>
      <c r="O1885" s="174"/>
      <c r="P1885" s="174"/>
      <c r="Q1885" s="174"/>
      <c r="R1885" s="174"/>
      <c r="S1885" s="174"/>
      <c r="T1885" s="174"/>
      <c r="U1885" s="174"/>
      <c r="V1885" s="174"/>
      <c r="W1885" s="174"/>
      <c r="X1885" s="174"/>
      <c r="Y1885" s="174"/>
      <c r="Z1885" s="174"/>
    </row>
    <row r="1886">
      <c r="A1886" s="194"/>
      <c r="B1886" s="194"/>
      <c r="C1886" s="194"/>
      <c r="D1886" s="194"/>
      <c r="E1886" s="194"/>
      <c r="F1886" s="194"/>
      <c r="G1886" s="194"/>
      <c r="H1886" s="195"/>
      <c r="I1886" s="195"/>
      <c r="J1886" s="194"/>
      <c r="K1886" s="174"/>
      <c r="L1886" s="174"/>
      <c r="M1886" s="174"/>
      <c r="N1886" s="174"/>
      <c r="O1886" s="174"/>
      <c r="P1886" s="174"/>
      <c r="Q1886" s="174"/>
      <c r="R1886" s="174"/>
      <c r="S1886" s="174"/>
      <c r="T1886" s="174"/>
      <c r="U1886" s="174"/>
      <c r="V1886" s="174"/>
      <c r="W1886" s="174"/>
      <c r="X1886" s="174"/>
      <c r="Y1886" s="174"/>
      <c r="Z1886" s="174"/>
    </row>
    <row r="1887">
      <c r="A1887" s="194"/>
      <c r="B1887" s="194"/>
      <c r="C1887" s="194"/>
      <c r="D1887" s="194"/>
      <c r="E1887" s="194"/>
      <c r="F1887" s="194"/>
      <c r="G1887" s="194"/>
      <c r="H1887" s="195"/>
      <c r="I1887" s="195"/>
      <c r="J1887" s="194"/>
      <c r="K1887" s="174"/>
      <c r="L1887" s="174"/>
      <c r="M1887" s="174"/>
      <c r="N1887" s="174"/>
      <c r="O1887" s="174"/>
      <c r="P1887" s="174"/>
      <c r="Q1887" s="174"/>
      <c r="R1887" s="174"/>
      <c r="S1887" s="174"/>
      <c r="T1887" s="174"/>
      <c r="U1887" s="174"/>
      <c r="V1887" s="174"/>
      <c r="W1887" s="174"/>
      <c r="X1887" s="174"/>
      <c r="Y1887" s="174"/>
      <c r="Z1887" s="174"/>
    </row>
    <row r="1888">
      <c r="A1888" s="194"/>
      <c r="B1888" s="194"/>
      <c r="C1888" s="194"/>
      <c r="D1888" s="194"/>
      <c r="E1888" s="194"/>
      <c r="F1888" s="194"/>
      <c r="G1888" s="194"/>
      <c r="H1888" s="195"/>
      <c r="I1888" s="195"/>
      <c r="J1888" s="194"/>
      <c r="K1888" s="174"/>
      <c r="L1888" s="174"/>
      <c r="M1888" s="174"/>
      <c r="N1888" s="174"/>
      <c r="O1888" s="174"/>
      <c r="P1888" s="174"/>
      <c r="Q1888" s="174"/>
      <c r="R1888" s="174"/>
      <c r="S1888" s="174"/>
      <c r="T1888" s="174"/>
      <c r="U1888" s="174"/>
      <c r="V1888" s="174"/>
      <c r="W1888" s="174"/>
      <c r="X1888" s="174"/>
      <c r="Y1888" s="174"/>
      <c r="Z1888" s="174"/>
    </row>
    <row r="1889">
      <c r="A1889" s="194"/>
      <c r="B1889" s="194"/>
      <c r="C1889" s="194"/>
      <c r="D1889" s="194"/>
      <c r="E1889" s="194"/>
      <c r="F1889" s="194"/>
      <c r="G1889" s="194"/>
      <c r="H1889" s="195"/>
      <c r="I1889" s="195"/>
      <c r="J1889" s="194"/>
      <c r="K1889" s="174"/>
      <c r="L1889" s="174"/>
      <c r="M1889" s="174"/>
      <c r="N1889" s="174"/>
      <c r="O1889" s="174"/>
      <c r="P1889" s="174"/>
      <c r="Q1889" s="174"/>
      <c r="R1889" s="174"/>
      <c r="S1889" s="174"/>
      <c r="T1889" s="174"/>
      <c r="U1889" s="174"/>
      <c r="V1889" s="174"/>
      <c r="W1889" s="174"/>
      <c r="X1889" s="174"/>
      <c r="Y1889" s="174"/>
      <c r="Z1889" s="174"/>
    </row>
    <row r="1890">
      <c r="A1890" s="194"/>
      <c r="B1890" s="194"/>
      <c r="C1890" s="194"/>
      <c r="D1890" s="194"/>
      <c r="E1890" s="194"/>
      <c r="F1890" s="194"/>
      <c r="G1890" s="194"/>
      <c r="H1890" s="195"/>
      <c r="I1890" s="195"/>
      <c r="J1890" s="194"/>
      <c r="K1890" s="174"/>
      <c r="L1890" s="174"/>
      <c r="M1890" s="174"/>
      <c r="N1890" s="174"/>
      <c r="O1890" s="174"/>
      <c r="P1890" s="174"/>
      <c r="Q1890" s="174"/>
      <c r="R1890" s="174"/>
      <c r="S1890" s="174"/>
      <c r="T1890" s="174"/>
      <c r="U1890" s="174"/>
      <c r="V1890" s="174"/>
      <c r="W1890" s="174"/>
      <c r="X1890" s="174"/>
      <c r="Y1890" s="174"/>
      <c r="Z1890" s="174"/>
    </row>
    <row r="1891">
      <c r="A1891" s="194"/>
      <c r="B1891" s="194"/>
      <c r="C1891" s="194"/>
      <c r="D1891" s="194"/>
      <c r="E1891" s="194"/>
      <c r="F1891" s="194"/>
      <c r="G1891" s="194"/>
      <c r="H1891" s="195"/>
      <c r="I1891" s="195"/>
      <c r="J1891" s="194"/>
      <c r="K1891" s="174"/>
      <c r="L1891" s="174"/>
      <c r="M1891" s="174"/>
      <c r="N1891" s="174"/>
      <c r="O1891" s="174"/>
      <c r="P1891" s="174"/>
      <c r="Q1891" s="174"/>
      <c r="R1891" s="174"/>
      <c r="S1891" s="174"/>
      <c r="T1891" s="174"/>
      <c r="U1891" s="174"/>
      <c r="V1891" s="174"/>
      <c r="W1891" s="174"/>
      <c r="X1891" s="174"/>
      <c r="Y1891" s="174"/>
      <c r="Z1891" s="174"/>
    </row>
    <row r="1892">
      <c r="A1892" s="194"/>
      <c r="B1892" s="194"/>
      <c r="C1892" s="194"/>
      <c r="D1892" s="194"/>
      <c r="E1892" s="194"/>
      <c r="F1892" s="194"/>
      <c r="G1892" s="194"/>
      <c r="H1892" s="195"/>
      <c r="I1892" s="195"/>
      <c r="J1892" s="194"/>
      <c r="K1892" s="174"/>
      <c r="L1892" s="174"/>
      <c r="M1892" s="174"/>
      <c r="N1892" s="174"/>
      <c r="O1892" s="174"/>
      <c r="P1892" s="174"/>
      <c r="Q1892" s="174"/>
      <c r="R1892" s="174"/>
      <c r="S1892" s="174"/>
      <c r="T1892" s="174"/>
      <c r="U1892" s="174"/>
      <c r="V1892" s="174"/>
      <c r="W1892" s="174"/>
      <c r="X1892" s="174"/>
      <c r="Y1892" s="174"/>
      <c r="Z1892" s="174"/>
    </row>
    <row r="1893">
      <c r="A1893" s="194"/>
      <c r="B1893" s="194"/>
      <c r="C1893" s="194"/>
      <c r="D1893" s="194"/>
      <c r="E1893" s="194"/>
      <c r="F1893" s="194"/>
      <c r="G1893" s="194"/>
      <c r="H1893" s="195"/>
      <c r="I1893" s="195"/>
      <c r="J1893" s="194"/>
      <c r="K1893" s="174"/>
      <c r="L1893" s="174"/>
      <c r="M1893" s="174"/>
      <c r="N1893" s="174"/>
      <c r="O1893" s="174"/>
      <c r="P1893" s="174"/>
      <c r="Q1893" s="174"/>
      <c r="R1893" s="174"/>
      <c r="S1893" s="174"/>
      <c r="T1893" s="174"/>
      <c r="U1893" s="174"/>
      <c r="V1893" s="174"/>
      <c r="W1893" s="174"/>
      <c r="X1893" s="174"/>
      <c r="Y1893" s="174"/>
      <c r="Z1893" s="174"/>
    </row>
    <row r="1894">
      <c r="A1894" s="194"/>
      <c r="B1894" s="194"/>
      <c r="C1894" s="194"/>
      <c r="D1894" s="194"/>
      <c r="E1894" s="194"/>
      <c r="F1894" s="194"/>
      <c r="G1894" s="194"/>
      <c r="H1894" s="195"/>
      <c r="I1894" s="195"/>
      <c r="J1894" s="194"/>
      <c r="K1894" s="174"/>
      <c r="L1894" s="174"/>
      <c r="M1894" s="174"/>
      <c r="N1894" s="174"/>
      <c r="O1894" s="174"/>
      <c r="P1894" s="174"/>
      <c r="Q1894" s="174"/>
      <c r="R1894" s="174"/>
      <c r="S1894" s="174"/>
      <c r="T1894" s="174"/>
      <c r="U1894" s="174"/>
      <c r="V1894" s="174"/>
      <c r="W1894" s="174"/>
      <c r="X1894" s="174"/>
      <c r="Y1894" s="174"/>
      <c r="Z1894" s="174"/>
    </row>
    <row r="1895">
      <c r="A1895" s="194"/>
      <c r="B1895" s="194"/>
      <c r="C1895" s="194"/>
      <c r="D1895" s="194"/>
      <c r="E1895" s="194"/>
      <c r="F1895" s="194"/>
      <c r="G1895" s="194"/>
      <c r="H1895" s="195"/>
      <c r="I1895" s="195"/>
      <c r="J1895" s="194"/>
      <c r="K1895" s="174"/>
      <c r="L1895" s="174"/>
      <c r="M1895" s="174"/>
      <c r="N1895" s="174"/>
      <c r="O1895" s="174"/>
      <c r="P1895" s="174"/>
      <c r="Q1895" s="174"/>
      <c r="R1895" s="174"/>
      <c r="S1895" s="174"/>
      <c r="T1895" s="174"/>
      <c r="U1895" s="174"/>
      <c r="V1895" s="174"/>
      <c r="W1895" s="174"/>
      <c r="X1895" s="174"/>
      <c r="Y1895" s="174"/>
      <c r="Z1895" s="174"/>
    </row>
    <row r="1896">
      <c r="A1896" s="194"/>
      <c r="B1896" s="194"/>
      <c r="C1896" s="194"/>
      <c r="D1896" s="194"/>
      <c r="E1896" s="194"/>
      <c r="F1896" s="194"/>
      <c r="G1896" s="194"/>
      <c r="H1896" s="195"/>
      <c r="I1896" s="195"/>
      <c r="J1896" s="194"/>
      <c r="K1896" s="174"/>
      <c r="L1896" s="174"/>
      <c r="M1896" s="174"/>
      <c r="N1896" s="174"/>
      <c r="O1896" s="174"/>
      <c r="P1896" s="174"/>
      <c r="Q1896" s="174"/>
      <c r="R1896" s="174"/>
      <c r="S1896" s="174"/>
      <c r="T1896" s="174"/>
      <c r="U1896" s="174"/>
      <c r="V1896" s="174"/>
      <c r="W1896" s="174"/>
      <c r="X1896" s="174"/>
      <c r="Y1896" s="174"/>
      <c r="Z1896" s="174"/>
    </row>
    <row r="1897">
      <c r="A1897" s="194"/>
      <c r="B1897" s="194"/>
      <c r="C1897" s="194"/>
      <c r="D1897" s="194"/>
      <c r="E1897" s="194"/>
      <c r="F1897" s="194"/>
      <c r="G1897" s="194"/>
      <c r="H1897" s="195"/>
      <c r="I1897" s="195"/>
      <c r="J1897" s="194"/>
      <c r="K1897" s="174"/>
      <c r="L1897" s="174"/>
      <c r="M1897" s="174"/>
      <c r="N1897" s="174"/>
      <c r="O1897" s="174"/>
      <c r="P1897" s="174"/>
      <c r="Q1897" s="174"/>
      <c r="R1897" s="174"/>
      <c r="S1897" s="174"/>
      <c r="T1897" s="174"/>
      <c r="U1897" s="174"/>
      <c r="V1897" s="174"/>
      <c r="W1897" s="174"/>
      <c r="X1897" s="174"/>
      <c r="Y1897" s="174"/>
      <c r="Z1897" s="174"/>
    </row>
    <row r="1898">
      <c r="A1898" s="194"/>
      <c r="B1898" s="194"/>
      <c r="C1898" s="194"/>
      <c r="D1898" s="194"/>
      <c r="E1898" s="194"/>
      <c r="F1898" s="194"/>
      <c r="G1898" s="194"/>
      <c r="H1898" s="195"/>
      <c r="I1898" s="195"/>
      <c r="J1898" s="194"/>
      <c r="K1898" s="174"/>
      <c r="L1898" s="174"/>
      <c r="M1898" s="174"/>
      <c r="N1898" s="174"/>
      <c r="O1898" s="174"/>
      <c r="P1898" s="174"/>
      <c r="Q1898" s="174"/>
      <c r="R1898" s="174"/>
      <c r="S1898" s="174"/>
      <c r="T1898" s="174"/>
      <c r="U1898" s="174"/>
      <c r="V1898" s="174"/>
      <c r="W1898" s="174"/>
      <c r="X1898" s="174"/>
      <c r="Y1898" s="174"/>
      <c r="Z1898" s="174"/>
    </row>
    <row r="1899">
      <c r="A1899" s="194"/>
      <c r="B1899" s="194"/>
      <c r="C1899" s="194"/>
      <c r="D1899" s="194"/>
      <c r="E1899" s="194"/>
      <c r="F1899" s="194"/>
      <c r="G1899" s="194"/>
      <c r="H1899" s="195"/>
      <c r="I1899" s="195"/>
      <c r="J1899" s="194"/>
      <c r="K1899" s="174"/>
      <c r="L1899" s="174"/>
      <c r="M1899" s="174"/>
      <c r="N1899" s="174"/>
      <c r="O1899" s="174"/>
      <c r="P1899" s="174"/>
      <c r="Q1899" s="174"/>
      <c r="R1899" s="174"/>
      <c r="S1899" s="174"/>
      <c r="T1899" s="174"/>
      <c r="U1899" s="174"/>
      <c r="V1899" s="174"/>
      <c r="W1899" s="174"/>
      <c r="X1899" s="174"/>
      <c r="Y1899" s="174"/>
      <c r="Z1899" s="174"/>
    </row>
    <row r="1900">
      <c r="A1900" s="194"/>
      <c r="B1900" s="194"/>
      <c r="C1900" s="194"/>
      <c r="D1900" s="194"/>
      <c r="E1900" s="194"/>
      <c r="F1900" s="194"/>
      <c r="G1900" s="194"/>
      <c r="H1900" s="195"/>
      <c r="I1900" s="195"/>
      <c r="J1900" s="194"/>
      <c r="K1900" s="174"/>
      <c r="L1900" s="174"/>
      <c r="M1900" s="174"/>
      <c r="N1900" s="174"/>
      <c r="O1900" s="174"/>
      <c r="P1900" s="174"/>
      <c r="Q1900" s="174"/>
      <c r="R1900" s="174"/>
      <c r="S1900" s="174"/>
      <c r="T1900" s="174"/>
      <c r="U1900" s="174"/>
      <c r="V1900" s="174"/>
      <c r="W1900" s="174"/>
      <c r="X1900" s="174"/>
      <c r="Y1900" s="174"/>
      <c r="Z1900" s="174"/>
    </row>
    <row r="1901">
      <c r="A1901" s="194"/>
      <c r="B1901" s="194"/>
      <c r="C1901" s="194"/>
      <c r="D1901" s="194"/>
      <c r="E1901" s="194"/>
      <c r="F1901" s="194"/>
      <c r="G1901" s="194"/>
      <c r="H1901" s="195"/>
      <c r="I1901" s="195"/>
      <c r="J1901" s="194"/>
      <c r="K1901" s="174"/>
      <c r="L1901" s="174"/>
      <c r="M1901" s="174"/>
      <c r="N1901" s="174"/>
      <c r="O1901" s="174"/>
      <c r="P1901" s="174"/>
      <c r="Q1901" s="174"/>
      <c r="R1901" s="174"/>
      <c r="S1901" s="174"/>
      <c r="T1901" s="174"/>
      <c r="U1901" s="174"/>
      <c r="V1901" s="174"/>
      <c r="W1901" s="174"/>
      <c r="X1901" s="174"/>
      <c r="Y1901" s="174"/>
      <c r="Z1901" s="174"/>
    </row>
    <row r="1902">
      <c r="A1902" s="194"/>
      <c r="B1902" s="194"/>
      <c r="C1902" s="194"/>
      <c r="D1902" s="194"/>
      <c r="E1902" s="194"/>
      <c r="F1902" s="194"/>
      <c r="G1902" s="194"/>
      <c r="H1902" s="195"/>
      <c r="I1902" s="195"/>
      <c r="J1902" s="194"/>
      <c r="K1902" s="174"/>
      <c r="L1902" s="174"/>
      <c r="M1902" s="174"/>
      <c r="N1902" s="174"/>
      <c r="O1902" s="174"/>
      <c r="P1902" s="174"/>
      <c r="Q1902" s="174"/>
      <c r="R1902" s="174"/>
      <c r="S1902" s="174"/>
      <c r="T1902" s="174"/>
      <c r="U1902" s="174"/>
      <c r="V1902" s="174"/>
      <c r="W1902" s="174"/>
      <c r="X1902" s="174"/>
      <c r="Y1902" s="174"/>
      <c r="Z1902" s="174"/>
    </row>
    <row r="1903">
      <c r="A1903" s="194"/>
      <c r="B1903" s="194"/>
      <c r="C1903" s="194"/>
      <c r="D1903" s="194"/>
      <c r="E1903" s="194"/>
      <c r="F1903" s="194"/>
      <c r="G1903" s="194"/>
      <c r="H1903" s="195"/>
      <c r="I1903" s="195"/>
      <c r="J1903" s="194"/>
      <c r="K1903" s="174"/>
      <c r="L1903" s="174"/>
      <c r="M1903" s="174"/>
      <c r="N1903" s="174"/>
      <c r="O1903" s="174"/>
      <c r="P1903" s="174"/>
      <c r="Q1903" s="174"/>
      <c r="R1903" s="174"/>
      <c r="S1903" s="174"/>
      <c r="T1903" s="174"/>
      <c r="U1903" s="174"/>
      <c r="V1903" s="174"/>
      <c r="W1903" s="174"/>
      <c r="X1903" s="174"/>
      <c r="Y1903" s="174"/>
      <c r="Z1903" s="174"/>
    </row>
    <row r="1904">
      <c r="A1904" s="194"/>
      <c r="B1904" s="194"/>
      <c r="C1904" s="194"/>
      <c r="D1904" s="194"/>
      <c r="E1904" s="194"/>
      <c r="F1904" s="194"/>
      <c r="G1904" s="194"/>
      <c r="H1904" s="195"/>
      <c r="I1904" s="195"/>
      <c r="J1904" s="194"/>
      <c r="K1904" s="174"/>
      <c r="L1904" s="174"/>
      <c r="M1904" s="174"/>
      <c r="N1904" s="174"/>
      <c r="O1904" s="174"/>
      <c r="P1904" s="174"/>
      <c r="Q1904" s="174"/>
      <c r="R1904" s="174"/>
      <c r="S1904" s="174"/>
      <c r="T1904" s="174"/>
      <c r="U1904" s="174"/>
      <c r="V1904" s="174"/>
      <c r="W1904" s="174"/>
      <c r="X1904" s="174"/>
      <c r="Y1904" s="174"/>
      <c r="Z1904" s="174"/>
    </row>
    <row r="1905">
      <c r="A1905" s="194"/>
      <c r="B1905" s="194"/>
      <c r="C1905" s="194"/>
      <c r="D1905" s="194"/>
      <c r="E1905" s="194"/>
      <c r="F1905" s="194"/>
      <c r="G1905" s="194"/>
      <c r="H1905" s="195"/>
      <c r="I1905" s="195"/>
      <c r="J1905" s="194"/>
      <c r="K1905" s="174"/>
      <c r="L1905" s="174"/>
      <c r="M1905" s="174"/>
      <c r="N1905" s="174"/>
      <c r="O1905" s="174"/>
      <c r="P1905" s="174"/>
      <c r="Q1905" s="174"/>
      <c r="R1905" s="174"/>
      <c r="S1905" s="174"/>
      <c r="T1905" s="174"/>
      <c r="U1905" s="174"/>
      <c r="V1905" s="174"/>
      <c r="W1905" s="174"/>
      <c r="X1905" s="174"/>
      <c r="Y1905" s="174"/>
      <c r="Z1905" s="174"/>
    </row>
    <row r="1906">
      <c r="A1906" s="194"/>
      <c r="B1906" s="194"/>
      <c r="C1906" s="194"/>
      <c r="D1906" s="194"/>
      <c r="E1906" s="194"/>
      <c r="F1906" s="194"/>
      <c r="G1906" s="194"/>
      <c r="H1906" s="195"/>
      <c r="I1906" s="195"/>
      <c r="J1906" s="194"/>
      <c r="K1906" s="174"/>
      <c r="L1906" s="174"/>
      <c r="M1906" s="174"/>
      <c r="N1906" s="174"/>
      <c r="O1906" s="174"/>
      <c r="P1906" s="174"/>
      <c r="Q1906" s="174"/>
      <c r="R1906" s="174"/>
      <c r="S1906" s="174"/>
      <c r="T1906" s="174"/>
      <c r="U1906" s="174"/>
      <c r="V1906" s="174"/>
      <c r="W1906" s="174"/>
      <c r="X1906" s="174"/>
      <c r="Y1906" s="174"/>
      <c r="Z1906" s="174"/>
    </row>
    <row r="1907">
      <c r="A1907" s="194"/>
      <c r="B1907" s="194"/>
      <c r="C1907" s="194"/>
      <c r="D1907" s="194"/>
      <c r="E1907" s="194"/>
      <c r="F1907" s="194"/>
      <c r="G1907" s="194"/>
      <c r="H1907" s="195"/>
      <c r="I1907" s="195"/>
      <c r="J1907" s="194"/>
      <c r="K1907" s="174"/>
      <c r="L1907" s="174"/>
      <c r="M1907" s="174"/>
      <c r="N1907" s="174"/>
      <c r="O1907" s="174"/>
      <c r="P1907" s="174"/>
      <c r="Q1907" s="174"/>
      <c r="R1907" s="174"/>
      <c r="S1907" s="174"/>
      <c r="T1907" s="174"/>
      <c r="U1907" s="174"/>
      <c r="V1907" s="174"/>
      <c r="W1907" s="174"/>
      <c r="X1907" s="174"/>
      <c r="Y1907" s="174"/>
      <c r="Z1907" s="174"/>
    </row>
    <row r="1908">
      <c r="A1908" s="194"/>
      <c r="B1908" s="194"/>
      <c r="C1908" s="194"/>
      <c r="D1908" s="194"/>
      <c r="E1908" s="194"/>
      <c r="F1908" s="194"/>
      <c r="G1908" s="194"/>
      <c r="H1908" s="195"/>
      <c r="I1908" s="195"/>
      <c r="J1908" s="194"/>
      <c r="K1908" s="174"/>
      <c r="L1908" s="174"/>
      <c r="M1908" s="174"/>
      <c r="N1908" s="174"/>
      <c r="O1908" s="174"/>
      <c r="P1908" s="174"/>
      <c r="Q1908" s="174"/>
      <c r="R1908" s="174"/>
      <c r="S1908" s="174"/>
      <c r="T1908" s="174"/>
      <c r="U1908" s="174"/>
      <c r="V1908" s="174"/>
      <c r="W1908" s="174"/>
      <c r="X1908" s="174"/>
      <c r="Y1908" s="174"/>
      <c r="Z1908" s="174"/>
    </row>
    <row r="1909">
      <c r="A1909" s="194"/>
      <c r="B1909" s="194"/>
      <c r="C1909" s="194"/>
      <c r="D1909" s="194"/>
      <c r="E1909" s="194"/>
      <c r="F1909" s="194"/>
      <c r="G1909" s="194"/>
      <c r="H1909" s="195"/>
      <c r="I1909" s="195"/>
      <c r="J1909" s="194"/>
      <c r="K1909" s="174"/>
      <c r="L1909" s="174"/>
      <c r="M1909" s="174"/>
      <c r="N1909" s="174"/>
      <c r="O1909" s="174"/>
      <c r="P1909" s="174"/>
      <c r="Q1909" s="174"/>
      <c r="R1909" s="174"/>
      <c r="S1909" s="174"/>
      <c r="T1909" s="174"/>
      <c r="U1909" s="174"/>
      <c r="V1909" s="174"/>
      <c r="W1909" s="174"/>
      <c r="X1909" s="174"/>
      <c r="Y1909" s="174"/>
      <c r="Z1909" s="174"/>
    </row>
    <row r="1910">
      <c r="A1910" s="194"/>
      <c r="B1910" s="194"/>
      <c r="C1910" s="194"/>
      <c r="D1910" s="194"/>
      <c r="E1910" s="194"/>
      <c r="F1910" s="194"/>
      <c r="G1910" s="194"/>
      <c r="H1910" s="195"/>
      <c r="I1910" s="195"/>
      <c r="J1910" s="194"/>
      <c r="K1910" s="174"/>
      <c r="L1910" s="174"/>
      <c r="M1910" s="174"/>
      <c r="N1910" s="174"/>
      <c r="O1910" s="174"/>
      <c r="P1910" s="174"/>
      <c r="Q1910" s="174"/>
      <c r="R1910" s="174"/>
      <c r="S1910" s="174"/>
      <c r="T1910" s="174"/>
      <c r="U1910" s="174"/>
      <c r="V1910" s="174"/>
      <c r="W1910" s="174"/>
      <c r="X1910" s="174"/>
      <c r="Y1910" s="174"/>
      <c r="Z1910" s="174"/>
    </row>
    <row r="1911">
      <c r="A1911" s="194"/>
      <c r="B1911" s="194"/>
      <c r="C1911" s="194"/>
      <c r="D1911" s="194"/>
      <c r="E1911" s="194"/>
      <c r="F1911" s="194"/>
      <c r="G1911" s="194"/>
      <c r="H1911" s="195"/>
      <c r="I1911" s="195"/>
      <c r="J1911" s="194"/>
      <c r="K1911" s="174"/>
      <c r="L1911" s="174"/>
      <c r="M1911" s="174"/>
      <c r="N1911" s="174"/>
      <c r="O1911" s="174"/>
      <c r="P1911" s="174"/>
      <c r="Q1911" s="174"/>
      <c r="R1911" s="174"/>
      <c r="S1911" s="174"/>
      <c r="T1911" s="174"/>
      <c r="U1911" s="174"/>
      <c r="V1911" s="174"/>
      <c r="W1911" s="174"/>
      <c r="X1911" s="174"/>
      <c r="Y1911" s="174"/>
      <c r="Z1911" s="174"/>
    </row>
    <row r="1912">
      <c r="A1912" s="194"/>
      <c r="B1912" s="194"/>
      <c r="C1912" s="194"/>
      <c r="D1912" s="194"/>
      <c r="E1912" s="194"/>
      <c r="F1912" s="194"/>
      <c r="G1912" s="194"/>
      <c r="H1912" s="195"/>
      <c r="I1912" s="195"/>
      <c r="J1912" s="194"/>
      <c r="K1912" s="174"/>
      <c r="L1912" s="174"/>
      <c r="M1912" s="174"/>
      <c r="N1912" s="174"/>
      <c r="O1912" s="174"/>
      <c r="P1912" s="174"/>
      <c r="Q1912" s="174"/>
      <c r="R1912" s="174"/>
      <c r="S1912" s="174"/>
      <c r="T1912" s="174"/>
      <c r="U1912" s="174"/>
      <c r="V1912" s="174"/>
      <c r="W1912" s="174"/>
      <c r="X1912" s="174"/>
      <c r="Y1912" s="174"/>
      <c r="Z1912" s="174"/>
    </row>
    <row r="1913">
      <c r="A1913" s="194"/>
      <c r="B1913" s="194"/>
      <c r="C1913" s="194"/>
      <c r="D1913" s="194"/>
      <c r="E1913" s="194"/>
      <c r="F1913" s="194"/>
      <c r="G1913" s="194"/>
      <c r="H1913" s="195"/>
      <c r="I1913" s="195"/>
      <c r="J1913" s="194"/>
      <c r="K1913" s="174"/>
      <c r="L1913" s="174"/>
      <c r="M1913" s="174"/>
      <c r="N1913" s="174"/>
      <c r="O1913" s="174"/>
      <c r="P1913" s="174"/>
      <c r="Q1913" s="174"/>
      <c r="R1913" s="174"/>
      <c r="S1913" s="174"/>
      <c r="T1913" s="174"/>
      <c r="U1913" s="174"/>
      <c r="V1913" s="174"/>
      <c r="W1913" s="174"/>
      <c r="X1913" s="174"/>
      <c r="Y1913" s="174"/>
      <c r="Z1913" s="174"/>
    </row>
    <row r="1914">
      <c r="A1914" s="194"/>
      <c r="B1914" s="194"/>
      <c r="C1914" s="194"/>
      <c r="D1914" s="194"/>
      <c r="E1914" s="194"/>
      <c r="F1914" s="194"/>
      <c r="G1914" s="194"/>
      <c r="H1914" s="195"/>
      <c r="I1914" s="195"/>
      <c r="J1914" s="194"/>
      <c r="K1914" s="174"/>
      <c r="L1914" s="174"/>
      <c r="M1914" s="174"/>
      <c r="N1914" s="174"/>
      <c r="O1914" s="174"/>
      <c r="P1914" s="174"/>
      <c r="Q1914" s="174"/>
      <c r="R1914" s="174"/>
      <c r="S1914" s="174"/>
      <c r="T1914" s="174"/>
      <c r="U1914" s="174"/>
      <c r="V1914" s="174"/>
      <c r="W1914" s="174"/>
      <c r="X1914" s="174"/>
      <c r="Y1914" s="174"/>
      <c r="Z1914" s="174"/>
    </row>
    <row r="1915">
      <c r="A1915" s="194"/>
      <c r="B1915" s="194"/>
      <c r="C1915" s="194"/>
      <c r="D1915" s="194"/>
      <c r="E1915" s="194"/>
      <c r="F1915" s="194"/>
      <c r="G1915" s="194"/>
      <c r="H1915" s="195"/>
      <c r="I1915" s="195"/>
      <c r="J1915" s="194"/>
      <c r="K1915" s="174"/>
      <c r="L1915" s="174"/>
      <c r="M1915" s="174"/>
      <c r="N1915" s="174"/>
      <c r="O1915" s="174"/>
      <c r="P1915" s="174"/>
      <c r="Q1915" s="174"/>
      <c r="R1915" s="174"/>
      <c r="S1915" s="174"/>
      <c r="T1915" s="174"/>
      <c r="U1915" s="174"/>
      <c r="V1915" s="174"/>
      <c r="W1915" s="174"/>
      <c r="X1915" s="174"/>
      <c r="Y1915" s="174"/>
      <c r="Z1915" s="174"/>
    </row>
    <row r="1916">
      <c r="A1916" s="194"/>
      <c r="B1916" s="194"/>
      <c r="C1916" s="194"/>
      <c r="D1916" s="194"/>
      <c r="E1916" s="194"/>
      <c r="F1916" s="194"/>
      <c r="G1916" s="194"/>
      <c r="H1916" s="195"/>
      <c r="I1916" s="195"/>
      <c r="J1916" s="194"/>
      <c r="K1916" s="174"/>
      <c r="L1916" s="174"/>
      <c r="M1916" s="174"/>
      <c r="N1916" s="174"/>
      <c r="O1916" s="174"/>
      <c r="P1916" s="174"/>
      <c r="Q1916" s="174"/>
      <c r="R1916" s="174"/>
      <c r="S1916" s="174"/>
      <c r="T1916" s="174"/>
      <c r="U1916" s="174"/>
      <c r="V1916" s="174"/>
      <c r="W1916" s="174"/>
      <c r="X1916" s="174"/>
      <c r="Y1916" s="174"/>
      <c r="Z1916" s="174"/>
    </row>
    <row r="1917">
      <c r="A1917" s="194"/>
      <c r="B1917" s="194"/>
      <c r="C1917" s="194"/>
      <c r="D1917" s="194"/>
      <c r="E1917" s="194"/>
      <c r="F1917" s="194"/>
      <c r="G1917" s="194"/>
      <c r="H1917" s="195"/>
      <c r="I1917" s="195"/>
      <c r="J1917" s="194"/>
      <c r="K1917" s="174"/>
      <c r="L1917" s="174"/>
      <c r="M1917" s="174"/>
      <c r="N1917" s="174"/>
      <c r="O1917" s="174"/>
      <c r="P1917" s="174"/>
      <c r="Q1917" s="174"/>
      <c r="R1917" s="174"/>
      <c r="S1917" s="174"/>
      <c r="T1917" s="174"/>
      <c r="U1917" s="174"/>
      <c r="V1917" s="174"/>
      <c r="W1917" s="174"/>
      <c r="X1917" s="174"/>
      <c r="Y1917" s="174"/>
      <c r="Z1917" s="174"/>
    </row>
    <row r="1918">
      <c r="A1918" s="194"/>
      <c r="B1918" s="194"/>
      <c r="C1918" s="194"/>
      <c r="D1918" s="194"/>
      <c r="E1918" s="194"/>
      <c r="F1918" s="194"/>
      <c r="G1918" s="194"/>
      <c r="H1918" s="195"/>
      <c r="I1918" s="195"/>
      <c r="J1918" s="194"/>
      <c r="K1918" s="174"/>
      <c r="L1918" s="174"/>
      <c r="M1918" s="174"/>
      <c r="N1918" s="174"/>
      <c r="O1918" s="174"/>
      <c r="P1918" s="174"/>
      <c r="Q1918" s="174"/>
      <c r="R1918" s="174"/>
      <c r="S1918" s="174"/>
      <c r="T1918" s="174"/>
      <c r="U1918" s="174"/>
      <c r="V1918" s="174"/>
      <c r="W1918" s="174"/>
      <c r="X1918" s="174"/>
      <c r="Y1918" s="174"/>
      <c r="Z1918" s="174"/>
    </row>
    <row r="1919">
      <c r="A1919" s="194"/>
      <c r="B1919" s="194"/>
      <c r="C1919" s="194"/>
      <c r="D1919" s="194"/>
      <c r="E1919" s="194"/>
      <c r="F1919" s="194"/>
      <c r="G1919" s="194"/>
      <c r="H1919" s="195"/>
      <c r="I1919" s="195"/>
      <c r="J1919" s="194"/>
      <c r="K1919" s="174"/>
      <c r="L1919" s="174"/>
      <c r="M1919" s="174"/>
      <c r="N1919" s="174"/>
      <c r="O1919" s="174"/>
      <c r="P1919" s="174"/>
      <c r="Q1919" s="174"/>
      <c r="R1919" s="174"/>
      <c r="S1919" s="174"/>
      <c r="T1919" s="174"/>
      <c r="U1919" s="174"/>
      <c r="V1919" s="174"/>
      <c r="W1919" s="174"/>
      <c r="X1919" s="174"/>
      <c r="Y1919" s="174"/>
      <c r="Z1919" s="174"/>
    </row>
    <row r="1920">
      <c r="A1920" s="194"/>
      <c r="B1920" s="194"/>
      <c r="C1920" s="194"/>
      <c r="D1920" s="194"/>
      <c r="E1920" s="194"/>
      <c r="F1920" s="194"/>
      <c r="G1920" s="194"/>
      <c r="H1920" s="195"/>
      <c r="I1920" s="195"/>
      <c r="J1920" s="194"/>
      <c r="K1920" s="174"/>
      <c r="L1920" s="174"/>
      <c r="M1920" s="174"/>
      <c r="N1920" s="174"/>
      <c r="O1920" s="174"/>
      <c r="P1920" s="174"/>
      <c r="Q1920" s="174"/>
      <c r="R1920" s="174"/>
      <c r="S1920" s="174"/>
      <c r="T1920" s="174"/>
      <c r="U1920" s="174"/>
      <c r="V1920" s="174"/>
      <c r="W1920" s="174"/>
      <c r="X1920" s="174"/>
      <c r="Y1920" s="174"/>
      <c r="Z1920" s="174"/>
    </row>
    <row r="1921">
      <c r="A1921" s="194"/>
      <c r="B1921" s="194"/>
      <c r="C1921" s="194"/>
      <c r="D1921" s="194"/>
      <c r="E1921" s="194"/>
      <c r="F1921" s="194"/>
      <c r="G1921" s="194"/>
      <c r="H1921" s="195"/>
      <c r="I1921" s="195"/>
      <c r="J1921" s="194"/>
      <c r="K1921" s="174"/>
      <c r="L1921" s="174"/>
      <c r="M1921" s="174"/>
      <c r="N1921" s="174"/>
      <c r="O1921" s="174"/>
      <c r="P1921" s="174"/>
      <c r="Q1921" s="174"/>
      <c r="R1921" s="174"/>
      <c r="S1921" s="174"/>
      <c r="T1921" s="174"/>
      <c r="U1921" s="174"/>
      <c r="V1921" s="174"/>
      <c r="W1921" s="174"/>
      <c r="X1921" s="174"/>
      <c r="Y1921" s="174"/>
      <c r="Z1921" s="174"/>
    </row>
    <row r="1922">
      <c r="A1922" s="194"/>
      <c r="B1922" s="194"/>
      <c r="C1922" s="194"/>
      <c r="D1922" s="194"/>
      <c r="E1922" s="194"/>
      <c r="F1922" s="194"/>
      <c r="G1922" s="194"/>
      <c r="H1922" s="195"/>
      <c r="I1922" s="195"/>
      <c r="J1922" s="194"/>
      <c r="K1922" s="174"/>
      <c r="L1922" s="174"/>
      <c r="M1922" s="174"/>
      <c r="N1922" s="174"/>
      <c r="O1922" s="174"/>
      <c r="P1922" s="174"/>
      <c r="Q1922" s="174"/>
      <c r="R1922" s="174"/>
      <c r="S1922" s="174"/>
      <c r="T1922" s="174"/>
      <c r="U1922" s="174"/>
      <c r="V1922" s="174"/>
      <c r="W1922" s="174"/>
      <c r="X1922" s="174"/>
      <c r="Y1922" s="174"/>
      <c r="Z1922" s="174"/>
    </row>
    <row r="1923">
      <c r="A1923" s="194"/>
      <c r="B1923" s="194"/>
      <c r="C1923" s="194"/>
      <c r="D1923" s="194"/>
      <c r="E1923" s="194"/>
      <c r="F1923" s="194"/>
      <c r="G1923" s="194"/>
      <c r="H1923" s="195"/>
      <c r="I1923" s="195"/>
      <c r="J1923" s="194"/>
      <c r="K1923" s="174"/>
      <c r="L1923" s="174"/>
      <c r="M1923" s="174"/>
      <c r="N1923" s="174"/>
      <c r="O1923" s="174"/>
      <c r="P1923" s="174"/>
      <c r="Q1923" s="174"/>
      <c r="R1923" s="174"/>
      <c r="S1923" s="174"/>
      <c r="T1923" s="174"/>
      <c r="U1923" s="174"/>
      <c r="V1923" s="174"/>
      <c r="W1923" s="174"/>
      <c r="X1923" s="174"/>
      <c r="Y1923" s="174"/>
      <c r="Z1923" s="174"/>
    </row>
    <row r="1924">
      <c r="A1924" s="194"/>
      <c r="B1924" s="194"/>
      <c r="C1924" s="194"/>
      <c r="D1924" s="194"/>
      <c r="E1924" s="194"/>
      <c r="F1924" s="194"/>
      <c r="G1924" s="194"/>
      <c r="H1924" s="195"/>
      <c r="I1924" s="195"/>
      <c r="J1924" s="194"/>
      <c r="K1924" s="174"/>
      <c r="L1924" s="174"/>
      <c r="M1924" s="174"/>
      <c r="N1924" s="174"/>
      <c r="O1924" s="174"/>
      <c r="P1924" s="174"/>
      <c r="Q1924" s="174"/>
      <c r="R1924" s="174"/>
      <c r="S1924" s="174"/>
      <c r="T1924" s="174"/>
      <c r="U1924" s="174"/>
      <c r="V1924" s="174"/>
      <c r="W1924" s="174"/>
      <c r="X1924" s="174"/>
      <c r="Y1924" s="174"/>
      <c r="Z1924" s="174"/>
    </row>
    <row r="1925">
      <c r="A1925" s="194"/>
      <c r="B1925" s="194"/>
      <c r="C1925" s="194"/>
      <c r="D1925" s="194"/>
      <c r="E1925" s="194"/>
      <c r="F1925" s="194"/>
      <c r="G1925" s="194"/>
      <c r="H1925" s="195"/>
      <c r="I1925" s="195"/>
      <c r="J1925" s="194"/>
      <c r="K1925" s="174"/>
      <c r="L1925" s="174"/>
      <c r="M1925" s="174"/>
      <c r="N1925" s="174"/>
      <c r="O1925" s="174"/>
      <c r="P1925" s="174"/>
      <c r="Q1925" s="174"/>
      <c r="R1925" s="174"/>
      <c r="S1925" s="174"/>
      <c r="T1925" s="174"/>
      <c r="U1925" s="174"/>
      <c r="V1925" s="174"/>
      <c r="W1925" s="174"/>
      <c r="X1925" s="174"/>
      <c r="Y1925" s="174"/>
      <c r="Z1925" s="174"/>
    </row>
    <row r="1926">
      <c r="A1926" s="194"/>
      <c r="B1926" s="194"/>
      <c r="C1926" s="194"/>
      <c r="D1926" s="194"/>
      <c r="E1926" s="194"/>
      <c r="F1926" s="194"/>
      <c r="G1926" s="194"/>
      <c r="H1926" s="195"/>
      <c r="I1926" s="195"/>
      <c r="J1926" s="194"/>
      <c r="K1926" s="174"/>
      <c r="L1926" s="174"/>
      <c r="M1926" s="174"/>
      <c r="N1926" s="174"/>
      <c r="O1926" s="174"/>
      <c r="P1926" s="174"/>
      <c r="Q1926" s="174"/>
      <c r="R1926" s="174"/>
      <c r="S1926" s="174"/>
      <c r="T1926" s="174"/>
      <c r="U1926" s="174"/>
      <c r="V1926" s="174"/>
      <c r="W1926" s="174"/>
      <c r="X1926" s="174"/>
      <c r="Y1926" s="174"/>
      <c r="Z1926" s="174"/>
    </row>
    <row r="1927">
      <c r="A1927" s="194"/>
      <c r="B1927" s="194"/>
      <c r="C1927" s="194"/>
      <c r="D1927" s="194"/>
      <c r="E1927" s="194"/>
      <c r="F1927" s="194"/>
      <c r="G1927" s="194"/>
      <c r="H1927" s="195"/>
      <c r="I1927" s="195"/>
      <c r="J1927" s="194"/>
      <c r="K1927" s="174"/>
      <c r="L1927" s="174"/>
      <c r="M1927" s="174"/>
      <c r="N1927" s="174"/>
      <c r="O1927" s="174"/>
      <c r="P1927" s="174"/>
      <c r="Q1927" s="174"/>
      <c r="R1927" s="174"/>
      <c r="S1927" s="174"/>
      <c r="T1927" s="174"/>
      <c r="U1927" s="174"/>
      <c r="V1927" s="174"/>
      <c r="W1927" s="174"/>
      <c r="X1927" s="174"/>
      <c r="Y1927" s="174"/>
      <c r="Z1927" s="174"/>
    </row>
    <row r="1928">
      <c r="A1928" s="194"/>
      <c r="B1928" s="194"/>
      <c r="C1928" s="194"/>
      <c r="D1928" s="194"/>
      <c r="E1928" s="194"/>
      <c r="F1928" s="194"/>
      <c r="G1928" s="194"/>
      <c r="H1928" s="195"/>
      <c r="I1928" s="195"/>
      <c r="J1928" s="194"/>
      <c r="K1928" s="174"/>
      <c r="L1928" s="174"/>
      <c r="M1928" s="174"/>
      <c r="N1928" s="174"/>
      <c r="O1928" s="174"/>
      <c r="P1928" s="174"/>
      <c r="Q1928" s="174"/>
      <c r="R1928" s="174"/>
      <c r="S1928" s="174"/>
      <c r="T1928" s="174"/>
      <c r="U1928" s="174"/>
      <c r="V1928" s="174"/>
      <c r="W1928" s="174"/>
      <c r="X1928" s="174"/>
      <c r="Y1928" s="174"/>
      <c r="Z1928" s="174"/>
    </row>
    <row r="1929">
      <c r="A1929" s="194"/>
      <c r="B1929" s="194"/>
      <c r="C1929" s="194"/>
      <c r="D1929" s="194"/>
      <c r="E1929" s="194"/>
      <c r="F1929" s="194"/>
      <c r="G1929" s="194"/>
      <c r="H1929" s="195"/>
      <c r="I1929" s="195"/>
      <c r="J1929" s="194"/>
      <c r="K1929" s="174"/>
      <c r="L1929" s="174"/>
      <c r="M1929" s="174"/>
      <c r="N1929" s="174"/>
      <c r="O1929" s="174"/>
      <c r="P1929" s="174"/>
      <c r="Q1929" s="174"/>
      <c r="R1929" s="174"/>
      <c r="S1929" s="174"/>
      <c r="T1929" s="174"/>
      <c r="U1929" s="174"/>
      <c r="V1929" s="174"/>
      <c r="W1929" s="174"/>
      <c r="X1929" s="174"/>
      <c r="Y1929" s="174"/>
      <c r="Z1929" s="174"/>
    </row>
    <row r="1930">
      <c r="A1930" s="194"/>
      <c r="B1930" s="194"/>
      <c r="C1930" s="194"/>
      <c r="D1930" s="194"/>
      <c r="E1930" s="194"/>
      <c r="F1930" s="194"/>
      <c r="G1930" s="194"/>
      <c r="H1930" s="195"/>
      <c r="I1930" s="195"/>
      <c r="J1930" s="194"/>
      <c r="K1930" s="174"/>
      <c r="L1930" s="174"/>
      <c r="M1930" s="174"/>
      <c r="N1930" s="174"/>
      <c r="O1930" s="174"/>
      <c r="P1930" s="174"/>
      <c r="Q1930" s="174"/>
      <c r="R1930" s="174"/>
      <c r="S1930" s="174"/>
      <c r="T1930" s="174"/>
      <c r="U1930" s="174"/>
      <c r="V1930" s="174"/>
      <c r="W1930" s="174"/>
      <c r="X1930" s="174"/>
      <c r="Y1930" s="174"/>
      <c r="Z1930" s="174"/>
    </row>
    <row r="1931">
      <c r="A1931" s="194"/>
      <c r="B1931" s="194"/>
      <c r="C1931" s="194"/>
      <c r="D1931" s="194"/>
      <c r="E1931" s="194"/>
      <c r="F1931" s="194"/>
      <c r="G1931" s="194"/>
      <c r="H1931" s="195"/>
      <c r="I1931" s="195"/>
      <c r="J1931" s="194"/>
      <c r="K1931" s="174"/>
      <c r="L1931" s="174"/>
      <c r="M1931" s="174"/>
      <c r="N1931" s="174"/>
      <c r="O1931" s="174"/>
      <c r="P1931" s="174"/>
      <c r="Q1931" s="174"/>
      <c r="R1931" s="174"/>
      <c r="S1931" s="174"/>
      <c r="T1931" s="174"/>
      <c r="U1931" s="174"/>
      <c r="V1931" s="174"/>
      <c r="W1931" s="174"/>
      <c r="X1931" s="174"/>
      <c r="Y1931" s="174"/>
      <c r="Z1931" s="174"/>
    </row>
    <row r="1932">
      <c r="A1932" s="194"/>
      <c r="B1932" s="194"/>
      <c r="C1932" s="194"/>
      <c r="D1932" s="194"/>
      <c r="E1932" s="194"/>
      <c r="F1932" s="194"/>
      <c r="G1932" s="194"/>
      <c r="H1932" s="195"/>
      <c r="I1932" s="195"/>
      <c r="J1932" s="194"/>
      <c r="K1932" s="174"/>
      <c r="L1932" s="174"/>
      <c r="M1932" s="174"/>
      <c r="N1932" s="174"/>
      <c r="O1932" s="174"/>
      <c r="P1932" s="174"/>
      <c r="Q1932" s="174"/>
      <c r="R1932" s="174"/>
      <c r="S1932" s="174"/>
      <c r="T1932" s="174"/>
      <c r="U1932" s="174"/>
      <c r="V1932" s="174"/>
      <c r="W1932" s="174"/>
      <c r="X1932" s="174"/>
      <c r="Y1932" s="174"/>
      <c r="Z1932" s="174"/>
    </row>
    <row r="1933">
      <c r="A1933" s="194"/>
      <c r="B1933" s="194"/>
      <c r="C1933" s="194"/>
      <c r="D1933" s="194"/>
      <c r="E1933" s="194"/>
      <c r="F1933" s="194"/>
      <c r="G1933" s="194"/>
      <c r="H1933" s="195"/>
      <c r="I1933" s="195"/>
      <c r="J1933" s="194"/>
      <c r="K1933" s="174"/>
      <c r="L1933" s="174"/>
      <c r="M1933" s="174"/>
      <c r="N1933" s="174"/>
      <c r="O1933" s="174"/>
      <c r="P1933" s="174"/>
      <c r="Q1933" s="174"/>
      <c r="R1933" s="174"/>
      <c r="S1933" s="174"/>
      <c r="T1933" s="174"/>
      <c r="U1933" s="174"/>
      <c r="V1933" s="174"/>
      <c r="W1933" s="174"/>
      <c r="X1933" s="174"/>
      <c r="Y1933" s="174"/>
      <c r="Z1933" s="174"/>
    </row>
    <row r="1934">
      <c r="A1934" s="194"/>
      <c r="B1934" s="194"/>
      <c r="C1934" s="194"/>
      <c r="D1934" s="194"/>
      <c r="E1934" s="194"/>
      <c r="F1934" s="194"/>
      <c r="G1934" s="194"/>
      <c r="H1934" s="195"/>
      <c r="I1934" s="195"/>
      <c r="J1934" s="194"/>
      <c r="K1934" s="174"/>
      <c r="L1934" s="174"/>
      <c r="M1934" s="174"/>
      <c r="N1934" s="174"/>
      <c r="O1934" s="174"/>
      <c r="P1934" s="174"/>
      <c r="Q1934" s="174"/>
      <c r="R1934" s="174"/>
      <c r="S1934" s="174"/>
      <c r="T1934" s="174"/>
      <c r="U1934" s="174"/>
      <c r="V1934" s="174"/>
      <c r="W1934" s="174"/>
      <c r="X1934" s="174"/>
      <c r="Y1934" s="174"/>
      <c r="Z1934" s="174"/>
    </row>
    <row r="1935">
      <c r="A1935" s="194"/>
      <c r="B1935" s="194"/>
      <c r="C1935" s="194"/>
      <c r="D1935" s="194"/>
      <c r="E1935" s="194"/>
      <c r="F1935" s="194"/>
      <c r="G1935" s="194"/>
      <c r="H1935" s="195"/>
      <c r="I1935" s="195"/>
      <c r="J1935" s="194"/>
      <c r="K1935" s="174"/>
      <c r="L1935" s="174"/>
      <c r="M1935" s="174"/>
      <c r="N1935" s="174"/>
      <c r="O1935" s="174"/>
      <c r="P1935" s="174"/>
      <c r="Q1935" s="174"/>
      <c r="R1935" s="174"/>
      <c r="S1935" s="174"/>
      <c r="T1935" s="174"/>
      <c r="U1935" s="174"/>
      <c r="V1935" s="174"/>
      <c r="W1935" s="174"/>
      <c r="X1935" s="174"/>
      <c r="Y1935" s="174"/>
      <c r="Z1935" s="174"/>
    </row>
    <row r="1936">
      <c r="A1936" s="194"/>
      <c r="B1936" s="194"/>
      <c r="C1936" s="194"/>
      <c r="D1936" s="194"/>
      <c r="E1936" s="194"/>
      <c r="F1936" s="194"/>
      <c r="G1936" s="194"/>
      <c r="H1936" s="195"/>
      <c r="I1936" s="195"/>
      <c r="J1936" s="194"/>
      <c r="K1936" s="174"/>
      <c r="L1936" s="174"/>
      <c r="M1936" s="174"/>
      <c r="N1936" s="174"/>
      <c r="O1936" s="174"/>
      <c r="P1936" s="174"/>
      <c r="Q1936" s="174"/>
      <c r="R1936" s="174"/>
      <c r="S1936" s="174"/>
      <c r="T1936" s="174"/>
      <c r="U1936" s="174"/>
      <c r="V1936" s="174"/>
      <c r="W1936" s="174"/>
      <c r="X1936" s="174"/>
      <c r="Y1936" s="174"/>
      <c r="Z1936" s="174"/>
    </row>
    <row r="1937">
      <c r="A1937" s="194"/>
      <c r="B1937" s="194"/>
      <c r="C1937" s="194"/>
      <c r="D1937" s="194"/>
      <c r="E1937" s="194"/>
      <c r="F1937" s="194"/>
      <c r="G1937" s="194"/>
      <c r="H1937" s="195"/>
      <c r="I1937" s="195"/>
      <c r="J1937" s="194"/>
      <c r="K1937" s="174"/>
      <c r="L1937" s="174"/>
      <c r="M1937" s="174"/>
      <c r="N1937" s="174"/>
      <c r="O1937" s="174"/>
      <c r="P1937" s="174"/>
      <c r="Q1937" s="174"/>
      <c r="R1937" s="174"/>
      <c r="S1937" s="174"/>
      <c r="T1937" s="174"/>
      <c r="U1937" s="174"/>
      <c r="V1937" s="174"/>
      <c r="W1937" s="174"/>
      <c r="X1937" s="174"/>
      <c r="Y1937" s="174"/>
      <c r="Z1937" s="174"/>
    </row>
    <row r="1938">
      <c r="A1938" s="194"/>
      <c r="B1938" s="194"/>
      <c r="C1938" s="194"/>
      <c r="D1938" s="194"/>
      <c r="E1938" s="194"/>
      <c r="F1938" s="194"/>
      <c r="G1938" s="194"/>
      <c r="H1938" s="195"/>
      <c r="I1938" s="195"/>
      <c r="J1938" s="194"/>
      <c r="K1938" s="174"/>
      <c r="L1938" s="174"/>
      <c r="M1938" s="174"/>
      <c r="N1938" s="174"/>
      <c r="O1938" s="174"/>
      <c r="P1938" s="174"/>
      <c r="Q1938" s="174"/>
      <c r="R1938" s="174"/>
      <c r="S1938" s="174"/>
      <c r="T1938" s="174"/>
      <c r="U1938" s="174"/>
      <c r="V1938" s="174"/>
      <c r="W1938" s="174"/>
      <c r="X1938" s="174"/>
      <c r="Y1938" s="174"/>
      <c r="Z1938" s="174"/>
    </row>
    <row r="1939">
      <c r="A1939" s="194"/>
      <c r="B1939" s="194"/>
      <c r="C1939" s="194"/>
      <c r="D1939" s="194"/>
      <c r="E1939" s="194"/>
      <c r="F1939" s="194"/>
      <c r="G1939" s="194"/>
      <c r="H1939" s="195"/>
      <c r="I1939" s="195"/>
      <c r="J1939" s="194"/>
      <c r="K1939" s="174"/>
      <c r="L1939" s="174"/>
      <c r="M1939" s="174"/>
      <c r="N1939" s="174"/>
      <c r="O1939" s="174"/>
      <c r="P1939" s="174"/>
      <c r="Q1939" s="174"/>
      <c r="R1939" s="174"/>
      <c r="S1939" s="174"/>
      <c r="T1939" s="174"/>
      <c r="U1939" s="174"/>
      <c r="V1939" s="174"/>
      <c r="W1939" s="174"/>
      <c r="X1939" s="174"/>
      <c r="Y1939" s="174"/>
      <c r="Z1939" s="174"/>
    </row>
    <row r="1940">
      <c r="A1940" s="194"/>
      <c r="B1940" s="194"/>
      <c r="C1940" s="194"/>
      <c r="D1940" s="194"/>
      <c r="E1940" s="194"/>
      <c r="F1940" s="194"/>
      <c r="G1940" s="194"/>
      <c r="H1940" s="195"/>
      <c r="I1940" s="195"/>
      <c r="J1940" s="194"/>
      <c r="K1940" s="174"/>
      <c r="L1940" s="174"/>
      <c r="M1940" s="174"/>
      <c r="N1940" s="174"/>
      <c r="O1940" s="174"/>
      <c r="P1940" s="174"/>
      <c r="Q1940" s="174"/>
      <c r="R1940" s="174"/>
      <c r="S1940" s="174"/>
      <c r="T1940" s="174"/>
      <c r="U1940" s="174"/>
      <c r="V1940" s="174"/>
      <c r="W1940" s="174"/>
      <c r="X1940" s="174"/>
      <c r="Y1940" s="174"/>
      <c r="Z1940" s="174"/>
    </row>
    <row r="1941">
      <c r="A1941" s="194"/>
      <c r="B1941" s="194"/>
      <c r="C1941" s="194"/>
      <c r="D1941" s="194"/>
      <c r="E1941" s="194"/>
      <c r="F1941" s="194"/>
      <c r="G1941" s="194"/>
      <c r="H1941" s="195"/>
      <c r="I1941" s="195"/>
      <c r="J1941" s="194"/>
      <c r="K1941" s="174"/>
      <c r="L1941" s="174"/>
      <c r="M1941" s="174"/>
      <c r="N1941" s="174"/>
      <c r="O1941" s="174"/>
      <c r="P1941" s="174"/>
      <c r="Q1941" s="174"/>
      <c r="R1941" s="174"/>
      <c r="S1941" s="174"/>
      <c r="T1941" s="174"/>
      <c r="U1941" s="174"/>
      <c r="V1941" s="174"/>
      <c r="W1941" s="174"/>
      <c r="X1941" s="174"/>
      <c r="Y1941" s="174"/>
      <c r="Z1941" s="174"/>
    </row>
    <row r="1942">
      <c r="A1942" s="194"/>
      <c r="B1942" s="194"/>
      <c r="C1942" s="194"/>
      <c r="D1942" s="194"/>
      <c r="E1942" s="194"/>
      <c r="F1942" s="194"/>
      <c r="G1942" s="194"/>
      <c r="H1942" s="195"/>
      <c r="I1942" s="195"/>
      <c r="J1942" s="194"/>
      <c r="K1942" s="174"/>
      <c r="L1942" s="174"/>
      <c r="M1942" s="174"/>
      <c r="N1942" s="174"/>
      <c r="O1942" s="174"/>
      <c r="P1942" s="174"/>
      <c r="Q1942" s="174"/>
      <c r="R1942" s="174"/>
      <c r="S1942" s="174"/>
      <c r="T1942" s="174"/>
      <c r="U1942" s="174"/>
      <c r="V1942" s="174"/>
      <c r="W1942" s="174"/>
      <c r="X1942" s="174"/>
      <c r="Y1942" s="174"/>
      <c r="Z1942" s="174"/>
    </row>
    <row r="1943">
      <c r="A1943" s="194"/>
      <c r="B1943" s="194"/>
      <c r="C1943" s="194"/>
      <c r="D1943" s="194"/>
      <c r="E1943" s="194"/>
      <c r="F1943" s="194"/>
      <c r="G1943" s="194"/>
      <c r="H1943" s="195"/>
      <c r="I1943" s="195"/>
      <c r="J1943" s="194"/>
      <c r="K1943" s="174"/>
      <c r="L1943" s="174"/>
      <c r="M1943" s="174"/>
      <c r="N1943" s="174"/>
      <c r="O1943" s="174"/>
      <c r="P1943" s="174"/>
      <c r="Q1943" s="174"/>
      <c r="R1943" s="174"/>
      <c r="S1943" s="174"/>
      <c r="T1943" s="174"/>
      <c r="U1943" s="174"/>
      <c r="V1943" s="174"/>
      <c r="W1943" s="174"/>
      <c r="X1943" s="174"/>
      <c r="Y1943" s="174"/>
      <c r="Z1943" s="174"/>
    </row>
    <row r="1944">
      <c r="A1944" s="194"/>
      <c r="B1944" s="194"/>
      <c r="C1944" s="194"/>
      <c r="D1944" s="194"/>
      <c r="E1944" s="194"/>
      <c r="F1944" s="194"/>
      <c r="G1944" s="194"/>
      <c r="H1944" s="195"/>
      <c r="I1944" s="195"/>
      <c r="J1944" s="194"/>
      <c r="K1944" s="174"/>
      <c r="L1944" s="174"/>
      <c r="M1944" s="174"/>
      <c r="N1944" s="174"/>
      <c r="O1944" s="174"/>
      <c r="P1944" s="174"/>
      <c r="Q1944" s="174"/>
      <c r="R1944" s="174"/>
      <c r="S1944" s="174"/>
      <c r="T1944" s="174"/>
      <c r="U1944" s="174"/>
      <c r="V1944" s="174"/>
      <c r="W1944" s="174"/>
      <c r="X1944" s="174"/>
      <c r="Y1944" s="174"/>
      <c r="Z1944" s="174"/>
    </row>
    <row r="1945">
      <c r="A1945" s="194"/>
      <c r="B1945" s="194"/>
      <c r="C1945" s="194"/>
      <c r="D1945" s="194"/>
      <c r="E1945" s="194"/>
      <c r="F1945" s="194"/>
      <c r="G1945" s="194"/>
      <c r="H1945" s="195"/>
      <c r="I1945" s="195"/>
      <c r="J1945" s="194"/>
      <c r="K1945" s="174"/>
      <c r="L1945" s="174"/>
      <c r="M1945" s="174"/>
      <c r="N1945" s="174"/>
      <c r="O1945" s="174"/>
      <c r="P1945" s="174"/>
      <c r="Q1945" s="174"/>
      <c r="R1945" s="174"/>
      <c r="S1945" s="174"/>
      <c r="T1945" s="174"/>
      <c r="U1945" s="174"/>
      <c r="V1945" s="174"/>
      <c r="W1945" s="174"/>
      <c r="X1945" s="174"/>
      <c r="Y1945" s="174"/>
      <c r="Z1945" s="174"/>
    </row>
    <row r="1946">
      <c r="A1946" s="194"/>
      <c r="B1946" s="194"/>
      <c r="C1946" s="194"/>
      <c r="D1946" s="194"/>
      <c r="E1946" s="194"/>
      <c r="F1946" s="194"/>
      <c r="G1946" s="194"/>
      <c r="H1946" s="195"/>
      <c r="I1946" s="195"/>
      <c r="J1946" s="194"/>
      <c r="K1946" s="174"/>
      <c r="L1946" s="174"/>
      <c r="M1946" s="174"/>
      <c r="N1946" s="174"/>
      <c r="O1946" s="174"/>
      <c r="P1946" s="174"/>
      <c r="Q1946" s="174"/>
      <c r="R1946" s="174"/>
      <c r="S1946" s="174"/>
      <c r="T1946" s="174"/>
      <c r="U1946" s="174"/>
      <c r="V1946" s="174"/>
      <c r="W1946" s="174"/>
      <c r="X1946" s="174"/>
      <c r="Y1946" s="174"/>
      <c r="Z1946" s="174"/>
    </row>
    <row r="1947">
      <c r="A1947" s="194"/>
      <c r="B1947" s="194"/>
      <c r="C1947" s="194"/>
      <c r="D1947" s="194"/>
      <c r="E1947" s="194"/>
      <c r="F1947" s="194"/>
      <c r="G1947" s="194"/>
      <c r="H1947" s="195"/>
      <c r="I1947" s="195"/>
      <c r="J1947" s="194"/>
      <c r="K1947" s="174"/>
      <c r="L1947" s="174"/>
      <c r="M1947" s="174"/>
      <c r="N1947" s="174"/>
      <c r="O1947" s="174"/>
      <c r="P1947" s="174"/>
      <c r="Q1947" s="174"/>
      <c r="R1947" s="174"/>
      <c r="S1947" s="174"/>
      <c r="T1947" s="174"/>
      <c r="U1947" s="174"/>
      <c r="V1947" s="174"/>
      <c r="W1947" s="174"/>
      <c r="X1947" s="174"/>
      <c r="Y1947" s="174"/>
      <c r="Z1947" s="174"/>
    </row>
    <row r="1948">
      <c r="A1948" s="194"/>
      <c r="B1948" s="194"/>
      <c r="C1948" s="194"/>
      <c r="D1948" s="194"/>
      <c r="E1948" s="194"/>
      <c r="F1948" s="194"/>
      <c r="G1948" s="194"/>
      <c r="H1948" s="195"/>
      <c r="I1948" s="195"/>
      <c r="J1948" s="194"/>
      <c r="K1948" s="174"/>
      <c r="L1948" s="174"/>
      <c r="M1948" s="174"/>
      <c r="N1948" s="174"/>
      <c r="O1948" s="174"/>
      <c r="P1948" s="174"/>
      <c r="Q1948" s="174"/>
      <c r="R1948" s="174"/>
      <c r="S1948" s="174"/>
      <c r="T1948" s="174"/>
      <c r="U1948" s="174"/>
      <c r="V1948" s="174"/>
      <c r="W1948" s="174"/>
      <c r="X1948" s="174"/>
      <c r="Y1948" s="174"/>
      <c r="Z1948" s="174"/>
    </row>
    <row r="1949">
      <c r="A1949" s="194"/>
      <c r="B1949" s="194"/>
      <c r="C1949" s="194"/>
      <c r="D1949" s="194"/>
      <c r="E1949" s="194"/>
      <c r="F1949" s="194"/>
      <c r="G1949" s="194"/>
      <c r="H1949" s="195"/>
      <c r="I1949" s="195"/>
      <c r="J1949" s="194"/>
      <c r="K1949" s="174"/>
      <c r="L1949" s="174"/>
      <c r="M1949" s="174"/>
      <c r="N1949" s="174"/>
      <c r="O1949" s="174"/>
      <c r="P1949" s="174"/>
      <c r="Q1949" s="174"/>
      <c r="R1949" s="174"/>
      <c r="S1949" s="174"/>
      <c r="T1949" s="174"/>
      <c r="U1949" s="174"/>
      <c r="V1949" s="174"/>
      <c r="W1949" s="174"/>
      <c r="X1949" s="174"/>
      <c r="Y1949" s="174"/>
      <c r="Z1949" s="174"/>
    </row>
    <row r="1950">
      <c r="A1950" s="194"/>
      <c r="B1950" s="194"/>
      <c r="C1950" s="194"/>
      <c r="D1950" s="194"/>
      <c r="E1950" s="194"/>
      <c r="F1950" s="194"/>
      <c r="G1950" s="194"/>
      <c r="H1950" s="195"/>
      <c r="I1950" s="195"/>
      <c r="J1950" s="194"/>
      <c r="K1950" s="174"/>
      <c r="L1950" s="174"/>
      <c r="M1950" s="174"/>
      <c r="N1950" s="174"/>
      <c r="O1950" s="174"/>
      <c r="P1950" s="174"/>
      <c r="Q1950" s="174"/>
      <c r="R1950" s="174"/>
      <c r="S1950" s="174"/>
      <c r="T1950" s="174"/>
      <c r="U1950" s="174"/>
      <c r="V1950" s="174"/>
      <c r="W1950" s="174"/>
      <c r="X1950" s="174"/>
      <c r="Y1950" s="174"/>
      <c r="Z1950" s="174"/>
    </row>
    <row r="1951">
      <c r="A1951" s="194"/>
      <c r="B1951" s="194"/>
      <c r="C1951" s="194"/>
      <c r="D1951" s="194"/>
      <c r="E1951" s="194"/>
      <c r="F1951" s="194"/>
      <c r="G1951" s="194"/>
      <c r="H1951" s="195"/>
      <c r="I1951" s="195"/>
      <c r="J1951" s="194"/>
      <c r="K1951" s="174"/>
      <c r="L1951" s="174"/>
      <c r="M1951" s="174"/>
      <c r="N1951" s="174"/>
      <c r="O1951" s="174"/>
      <c r="P1951" s="174"/>
      <c r="Q1951" s="174"/>
      <c r="R1951" s="174"/>
      <c r="S1951" s="174"/>
      <c r="T1951" s="174"/>
      <c r="U1951" s="174"/>
      <c r="V1951" s="174"/>
      <c r="W1951" s="174"/>
      <c r="X1951" s="174"/>
      <c r="Y1951" s="174"/>
      <c r="Z1951" s="174"/>
    </row>
    <row r="1952">
      <c r="A1952" s="194"/>
      <c r="B1952" s="194"/>
      <c r="C1952" s="194"/>
      <c r="D1952" s="194"/>
      <c r="E1952" s="194"/>
      <c r="F1952" s="194"/>
      <c r="G1952" s="194"/>
      <c r="H1952" s="195"/>
      <c r="I1952" s="195"/>
      <c r="J1952" s="194"/>
      <c r="K1952" s="174"/>
      <c r="L1952" s="174"/>
      <c r="M1952" s="174"/>
      <c r="N1952" s="174"/>
      <c r="O1952" s="174"/>
      <c r="P1952" s="174"/>
      <c r="Q1952" s="174"/>
      <c r="R1952" s="174"/>
      <c r="S1952" s="174"/>
      <c r="T1952" s="174"/>
      <c r="U1952" s="174"/>
      <c r="V1952" s="174"/>
      <c r="W1952" s="174"/>
      <c r="X1952" s="174"/>
      <c r="Y1952" s="174"/>
      <c r="Z1952" s="174"/>
    </row>
    <row r="1953">
      <c r="A1953" s="194"/>
      <c r="B1953" s="194"/>
      <c r="C1953" s="194"/>
      <c r="D1953" s="194"/>
      <c r="E1953" s="194"/>
      <c r="F1953" s="194"/>
      <c r="G1953" s="194"/>
      <c r="H1953" s="195"/>
      <c r="I1953" s="195"/>
      <c r="J1953" s="194"/>
      <c r="K1953" s="174"/>
      <c r="L1953" s="174"/>
      <c r="M1953" s="174"/>
      <c r="N1953" s="174"/>
      <c r="O1953" s="174"/>
      <c r="P1953" s="174"/>
      <c r="Q1953" s="174"/>
      <c r="R1953" s="174"/>
      <c r="S1953" s="174"/>
      <c r="T1953" s="174"/>
      <c r="U1953" s="174"/>
      <c r="V1953" s="174"/>
      <c r="W1953" s="174"/>
      <c r="X1953" s="174"/>
      <c r="Y1953" s="174"/>
      <c r="Z1953" s="174"/>
    </row>
    <row r="1954">
      <c r="A1954" s="194"/>
      <c r="B1954" s="194"/>
      <c r="C1954" s="194"/>
      <c r="D1954" s="194"/>
      <c r="E1954" s="194"/>
      <c r="F1954" s="194"/>
      <c r="G1954" s="194"/>
      <c r="H1954" s="195"/>
      <c r="I1954" s="195"/>
      <c r="J1954" s="194"/>
      <c r="K1954" s="174"/>
      <c r="L1954" s="174"/>
      <c r="M1954" s="174"/>
      <c r="N1954" s="174"/>
      <c r="O1954" s="174"/>
      <c r="P1954" s="174"/>
      <c r="Q1954" s="174"/>
      <c r="R1954" s="174"/>
      <c r="S1954" s="174"/>
      <c r="T1954" s="174"/>
      <c r="U1954" s="174"/>
      <c r="V1954" s="174"/>
      <c r="W1954" s="174"/>
      <c r="X1954" s="174"/>
      <c r="Y1954" s="174"/>
      <c r="Z1954" s="174"/>
    </row>
    <row r="1955">
      <c r="A1955" s="194"/>
      <c r="B1955" s="194"/>
      <c r="C1955" s="194"/>
      <c r="D1955" s="194"/>
      <c r="E1955" s="194"/>
      <c r="F1955" s="194"/>
      <c r="G1955" s="194"/>
      <c r="H1955" s="195"/>
      <c r="I1955" s="195"/>
      <c r="J1955" s="194"/>
      <c r="K1955" s="174"/>
      <c r="L1955" s="174"/>
      <c r="M1955" s="174"/>
      <c r="N1955" s="174"/>
      <c r="O1955" s="174"/>
      <c r="P1955" s="174"/>
      <c r="Q1955" s="174"/>
      <c r="R1955" s="174"/>
      <c r="S1955" s="174"/>
      <c r="T1955" s="174"/>
      <c r="U1955" s="174"/>
      <c r="V1955" s="174"/>
      <c r="W1955" s="174"/>
      <c r="X1955" s="174"/>
      <c r="Y1955" s="174"/>
      <c r="Z1955" s="174"/>
    </row>
    <row r="1956">
      <c r="A1956" s="194"/>
      <c r="B1956" s="194"/>
      <c r="C1956" s="194"/>
      <c r="D1956" s="194"/>
      <c r="E1956" s="194"/>
      <c r="F1956" s="194"/>
      <c r="G1956" s="194"/>
      <c r="H1956" s="195"/>
      <c r="I1956" s="195"/>
      <c r="J1956" s="194"/>
      <c r="K1956" s="174"/>
      <c r="L1956" s="174"/>
      <c r="M1956" s="174"/>
      <c r="N1956" s="174"/>
      <c r="O1956" s="174"/>
      <c r="P1956" s="174"/>
      <c r="Q1956" s="174"/>
      <c r="R1956" s="174"/>
      <c r="S1956" s="174"/>
      <c r="T1956" s="174"/>
      <c r="U1956" s="174"/>
      <c r="V1956" s="174"/>
      <c r="W1956" s="174"/>
      <c r="X1956" s="174"/>
      <c r="Y1956" s="174"/>
      <c r="Z1956" s="174"/>
    </row>
    <row r="1957">
      <c r="A1957" s="194"/>
      <c r="B1957" s="194"/>
      <c r="C1957" s="194"/>
      <c r="D1957" s="194"/>
      <c r="E1957" s="194"/>
      <c r="F1957" s="194"/>
      <c r="G1957" s="194"/>
      <c r="H1957" s="195"/>
      <c r="I1957" s="195"/>
      <c r="J1957" s="194"/>
      <c r="K1957" s="174"/>
      <c r="L1957" s="174"/>
      <c r="M1957" s="174"/>
      <c r="N1957" s="174"/>
      <c r="O1957" s="174"/>
      <c r="P1957" s="174"/>
      <c r="Q1957" s="174"/>
      <c r="R1957" s="174"/>
      <c r="S1957" s="174"/>
      <c r="T1957" s="174"/>
      <c r="U1957" s="174"/>
      <c r="V1957" s="174"/>
      <c r="W1957" s="174"/>
      <c r="X1957" s="174"/>
      <c r="Y1957" s="174"/>
      <c r="Z1957" s="174"/>
    </row>
    <row r="1958">
      <c r="A1958" s="194"/>
      <c r="B1958" s="194"/>
      <c r="C1958" s="194"/>
      <c r="D1958" s="194"/>
      <c r="E1958" s="194"/>
      <c r="F1958" s="194"/>
      <c r="G1958" s="194"/>
      <c r="H1958" s="195"/>
      <c r="I1958" s="195"/>
      <c r="J1958" s="194"/>
      <c r="K1958" s="174"/>
      <c r="L1958" s="174"/>
      <c r="M1958" s="174"/>
      <c r="N1958" s="174"/>
      <c r="O1958" s="174"/>
      <c r="P1958" s="174"/>
      <c r="Q1958" s="174"/>
      <c r="R1958" s="174"/>
      <c r="S1958" s="174"/>
      <c r="T1958" s="174"/>
      <c r="U1958" s="174"/>
      <c r="V1958" s="174"/>
      <c r="W1958" s="174"/>
      <c r="X1958" s="174"/>
      <c r="Y1958" s="174"/>
      <c r="Z1958" s="174"/>
    </row>
    <row r="1959">
      <c r="A1959" s="194"/>
      <c r="B1959" s="194"/>
      <c r="C1959" s="194"/>
      <c r="D1959" s="194"/>
      <c r="E1959" s="194"/>
      <c r="F1959" s="194"/>
      <c r="G1959" s="194"/>
      <c r="H1959" s="195"/>
      <c r="I1959" s="195"/>
      <c r="J1959" s="194"/>
      <c r="K1959" s="174"/>
      <c r="L1959" s="174"/>
      <c r="M1959" s="174"/>
      <c r="N1959" s="174"/>
      <c r="O1959" s="174"/>
      <c r="P1959" s="174"/>
      <c r="Q1959" s="174"/>
      <c r="R1959" s="174"/>
      <c r="S1959" s="174"/>
      <c r="T1959" s="174"/>
      <c r="U1959" s="174"/>
      <c r="V1959" s="174"/>
      <c r="W1959" s="174"/>
      <c r="X1959" s="174"/>
      <c r="Y1959" s="174"/>
      <c r="Z1959" s="174"/>
    </row>
    <row r="1960">
      <c r="A1960" s="194"/>
      <c r="B1960" s="194"/>
      <c r="C1960" s="194"/>
      <c r="D1960" s="194"/>
      <c r="E1960" s="194"/>
      <c r="F1960" s="194"/>
      <c r="G1960" s="194"/>
      <c r="H1960" s="195"/>
      <c r="I1960" s="195"/>
      <c r="J1960" s="194"/>
      <c r="K1960" s="174"/>
      <c r="L1960" s="174"/>
      <c r="M1960" s="174"/>
      <c r="N1960" s="174"/>
      <c r="O1960" s="174"/>
      <c r="P1960" s="174"/>
      <c r="Q1960" s="174"/>
      <c r="R1960" s="174"/>
      <c r="S1960" s="174"/>
      <c r="T1960" s="174"/>
      <c r="U1960" s="174"/>
      <c r="V1960" s="174"/>
      <c r="W1960" s="174"/>
      <c r="X1960" s="174"/>
      <c r="Y1960" s="174"/>
      <c r="Z1960" s="174"/>
    </row>
    <row r="1961">
      <c r="A1961" s="194"/>
      <c r="B1961" s="194"/>
      <c r="C1961" s="194"/>
      <c r="D1961" s="194"/>
      <c r="E1961" s="194"/>
      <c r="F1961" s="194"/>
      <c r="G1961" s="194"/>
      <c r="H1961" s="195"/>
      <c r="I1961" s="195"/>
      <c r="J1961" s="194"/>
      <c r="K1961" s="174"/>
      <c r="L1961" s="174"/>
      <c r="M1961" s="174"/>
      <c r="N1961" s="174"/>
      <c r="O1961" s="174"/>
      <c r="P1961" s="174"/>
      <c r="Q1961" s="174"/>
      <c r="R1961" s="174"/>
      <c r="S1961" s="174"/>
      <c r="T1961" s="174"/>
      <c r="U1961" s="174"/>
      <c r="V1961" s="174"/>
      <c r="W1961" s="174"/>
      <c r="X1961" s="174"/>
      <c r="Y1961" s="174"/>
      <c r="Z1961" s="174"/>
    </row>
    <row r="1962">
      <c r="A1962" s="194"/>
      <c r="B1962" s="194"/>
      <c r="C1962" s="194"/>
      <c r="D1962" s="194"/>
      <c r="E1962" s="194"/>
      <c r="F1962" s="194"/>
      <c r="G1962" s="194"/>
      <c r="H1962" s="195"/>
      <c r="I1962" s="195"/>
      <c r="J1962" s="194"/>
      <c r="K1962" s="174"/>
      <c r="L1962" s="174"/>
      <c r="M1962" s="174"/>
      <c r="N1962" s="174"/>
      <c r="O1962" s="174"/>
      <c r="P1962" s="174"/>
      <c r="Q1962" s="174"/>
      <c r="R1962" s="174"/>
      <c r="S1962" s="174"/>
      <c r="T1962" s="174"/>
      <c r="U1962" s="174"/>
      <c r="V1962" s="174"/>
      <c r="W1962" s="174"/>
      <c r="X1962" s="174"/>
      <c r="Y1962" s="174"/>
      <c r="Z1962" s="174"/>
    </row>
    <row r="1963">
      <c r="A1963" s="194"/>
      <c r="B1963" s="194"/>
      <c r="C1963" s="194"/>
      <c r="D1963" s="194"/>
      <c r="E1963" s="194"/>
      <c r="F1963" s="194"/>
      <c r="G1963" s="194"/>
      <c r="H1963" s="195"/>
      <c r="I1963" s="195"/>
      <c r="J1963" s="194"/>
      <c r="K1963" s="174"/>
      <c r="L1963" s="174"/>
      <c r="M1963" s="174"/>
      <c r="N1963" s="174"/>
      <c r="O1963" s="174"/>
      <c r="P1963" s="174"/>
      <c r="Q1963" s="174"/>
      <c r="R1963" s="174"/>
      <c r="S1963" s="174"/>
      <c r="T1963" s="174"/>
      <c r="U1963" s="174"/>
      <c r="V1963" s="174"/>
      <c r="W1963" s="174"/>
      <c r="X1963" s="174"/>
      <c r="Y1963" s="174"/>
      <c r="Z1963" s="174"/>
    </row>
    <row r="1964">
      <c r="A1964" s="194"/>
      <c r="B1964" s="194"/>
      <c r="C1964" s="194"/>
      <c r="D1964" s="194"/>
      <c r="E1964" s="194"/>
      <c r="F1964" s="194"/>
      <c r="G1964" s="194"/>
      <c r="H1964" s="195"/>
      <c r="I1964" s="195"/>
      <c r="J1964" s="194"/>
      <c r="K1964" s="174"/>
      <c r="L1964" s="174"/>
      <c r="M1964" s="174"/>
      <c r="N1964" s="174"/>
      <c r="O1964" s="174"/>
      <c r="P1964" s="174"/>
      <c r="Q1964" s="174"/>
      <c r="R1964" s="174"/>
      <c r="S1964" s="174"/>
      <c r="T1964" s="174"/>
      <c r="U1964" s="174"/>
      <c r="V1964" s="174"/>
      <c r="W1964" s="174"/>
      <c r="X1964" s="174"/>
      <c r="Y1964" s="174"/>
      <c r="Z1964" s="174"/>
    </row>
    <row r="1965">
      <c r="A1965" s="194"/>
      <c r="B1965" s="194"/>
      <c r="C1965" s="194"/>
      <c r="D1965" s="194"/>
      <c r="E1965" s="194"/>
      <c r="F1965" s="194"/>
      <c r="G1965" s="194"/>
      <c r="H1965" s="195"/>
      <c r="I1965" s="195"/>
      <c r="J1965" s="194"/>
      <c r="K1965" s="174"/>
      <c r="L1965" s="174"/>
      <c r="M1965" s="174"/>
      <c r="N1965" s="174"/>
      <c r="O1965" s="174"/>
      <c r="P1965" s="174"/>
      <c r="Q1965" s="174"/>
      <c r="R1965" s="174"/>
      <c r="S1965" s="174"/>
      <c r="T1965" s="174"/>
      <c r="U1965" s="174"/>
      <c r="V1965" s="174"/>
      <c r="W1965" s="174"/>
      <c r="X1965" s="174"/>
      <c r="Y1965" s="174"/>
      <c r="Z1965" s="174"/>
    </row>
    <row r="1966">
      <c r="A1966" s="194"/>
      <c r="B1966" s="194"/>
      <c r="C1966" s="194"/>
      <c r="D1966" s="194"/>
      <c r="E1966" s="194"/>
      <c r="F1966" s="194"/>
      <c r="G1966" s="194"/>
      <c r="H1966" s="195"/>
      <c r="I1966" s="195"/>
      <c r="J1966" s="194"/>
      <c r="K1966" s="174"/>
      <c r="L1966" s="174"/>
      <c r="M1966" s="174"/>
      <c r="N1966" s="174"/>
      <c r="O1966" s="174"/>
      <c r="P1966" s="174"/>
      <c r="Q1966" s="174"/>
      <c r="R1966" s="174"/>
      <c r="S1966" s="174"/>
      <c r="T1966" s="174"/>
      <c r="U1966" s="174"/>
      <c r="V1966" s="174"/>
      <c r="W1966" s="174"/>
      <c r="X1966" s="174"/>
      <c r="Y1966" s="174"/>
      <c r="Z1966" s="174"/>
    </row>
    <row r="1967">
      <c r="A1967" s="194"/>
      <c r="B1967" s="194"/>
      <c r="C1967" s="194"/>
      <c r="D1967" s="194"/>
      <c r="E1967" s="194"/>
      <c r="F1967" s="194"/>
      <c r="G1967" s="194"/>
      <c r="H1967" s="195"/>
      <c r="I1967" s="195"/>
      <c r="J1967" s="194"/>
      <c r="K1967" s="174"/>
      <c r="L1967" s="174"/>
      <c r="M1967" s="174"/>
      <c r="N1967" s="174"/>
      <c r="O1967" s="174"/>
      <c r="P1967" s="174"/>
      <c r="Q1967" s="174"/>
      <c r="R1967" s="174"/>
      <c r="S1967" s="174"/>
      <c r="T1967" s="174"/>
      <c r="U1967" s="174"/>
      <c r="V1967" s="174"/>
      <c r="W1967" s="174"/>
      <c r="X1967" s="174"/>
      <c r="Y1967" s="174"/>
      <c r="Z1967" s="174"/>
    </row>
    <row r="1968">
      <c r="A1968" s="194"/>
      <c r="B1968" s="194"/>
      <c r="C1968" s="194"/>
      <c r="D1968" s="194"/>
      <c r="E1968" s="194"/>
      <c r="F1968" s="194"/>
      <c r="G1968" s="194"/>
      <c r="H1968" s="195"/>
      <c r="I1968" s="195"/>
      <c r="J1968" s="194"/>
      <c r="K1968" s="174"/>
      <c r="L1968" s="174"/>
      <c r="M1968" s="174"/>
      <c r="N1968" s="174"/>
      <c r="O1968" s="174"/>
      <c r="P1968" s="174"/>
      <c r="Q1968" s="174"/>
      <c r="R1968" s="174"/>
      <c r="S1968" s="174"/>
      <c r="T1968" s="174"/>
      <c r="U1968" s="174"/>
      <c r="V1968" s="174"/>
      <c r="W1968" s="174"/>
      <c r="X1968" s="174"/>
      <c r="Y1968" s="174"/>
      <c r="Z1968" s="174"/>
    </row>
    <row r="1969">
      <c r="A1969" s="194"/>
      <c r="B1969" s="194"/>
      <c r="C1969" s="194"/>
      <c r="D1969" s="194"/>
      <c r="E1969" s="194"/>
      <c r="F1969" s="194"/>
      <c r="G1969" s="194"/>
      <c r="H1969" s="195"/>
      <c r="I1969" s="195"/>
      <c r="J1969" s="194"/>
      <c r="K1969" s="174"/>
      <c r="L1969" s="174"/>
      <c r="M1969" s="174"/>
      <c r="N1969" s="174"/>
      <c r="O1969" s="174"/>
      <c r="P1969" s="174"/>
      <c r="Q1969" s="174"/>
      <c r="R1969" s="174"/>
      <c r="S1969" s="174"/>
      <c r="T1969" s="174"/>
      <c r="U1969" s="174"/>
      <c r="V1969" s="174"/>
      <c r="W1969" s="174"/>
      <c r="X1969" s="174"/>
      <c r="Y1969" s="174"/>
      <c r="Z1969" s="174"/>
    </row>
    <row r="1970">
      <c r="A1970" s="194"/>
      <c r="B1970" s="194"/>
      <c r="C1970" s="194"/>
      <c r="D1970" s="194"/>
      <c r="E1970" s="194"/>
      <c r="F1970" s="194"/>
      <c r="G1970" s="194"/>
      <c r="H1970" s="195"/>
      <c r="I1970" s="195"/>
      <c r="J1970" s="194"/>
      <c r="K1970" s="174"/>
      <c r="L1970" s="174"/>
      <c r="M1970" s="174"/>
      <c r="N1970" s="174"/>
      <c r="O1970" s="174"/>
      <c r="P1970" s="174"/>
      <c r="Q1970" s="174"/>
      <c r="R1970" s="174"/>
      <c r="S1970" s="174"/>
      <c r="T1970" s="174"/>
      <c r="U1970" s="174"/>
      <c r="V1970" s="174"/>
      <c r="W1970" s="174"/>
      <c r="X1970" s="174"/>
      <c r="Y1970" s="174"/>
      <c r="Z1970" s="174"/>
    </row>
    <row r="1971">
      <c r="A1971" s="194"/>
      <c r="B1971" s="194"/>
      <c r="C1971" s="194"/>
      <c r="D1971" s="194"/>
      <c r="E1971" s="194"/>
      <c r="F1971" s="194"/>
      <c r="G1971" s="194"/>
      <c r="H1971" s="195"/>
      <c r="I1971" s="195"/>
      <c r="J1971" s="194"/>
      <c r="K1971" s="174"/>
      <c r="L1971" s="174"/>
      <c r="M1971" s="174"/>
      <c r="N1971" s="174"/>
      <c r="O1971" s="174"/>
      <c r="P1971" s="174"/>
      <c r="Q1971" s="174"/>
      <c r="R1971" s="174"/>
      <c r="S1971" s="174"/>
      <c r="T1971" s="174"/>
      <c r="U1971" s="174"/>
      <c r="V1971" s="174"/>
      <c r="W1971" s="174"/>
      <c r="X1971" s="174"/>
      <c r="Y1971" s="174"/>
      <c r="Z1971" s="174"/>
    </row>
    <row r="1972">
      <c r="A1972" s="194"/>
      <c r="B1972" s="194"/>
      <c r="C1972" s="194"/>
      <c r="D1972" s="194"/>
      <c r="E1972" s="194"/>
      <c r="F1972" s="194"/>
      <c r="G1972" s="194"/>
      <c r="H1972" s="195"/>
      <c r="I1972" s="195"/>
      <c r="J1972" s="194"/>
      <c r="K1972" s="174"/>
      <c r="L1972" s="174"/>
      <c r="M1972" s="174"/>
      <c r="N1972" s="174"/>
      <c r="O1972" s="174"/>
      <c r="P1972" s="174"/>
      <c r="Q1972" s="174"/>
      <c r="R1972" s="174"/>
      <c r="S1972" s="174"/>
      <c r="T1972" s="174"/>
      <c r="U1972" s="174"/>
      <c r="V1972" s="174"/>
      <c r="W1972" s="174"/>
      <c r="X1972" s="174"/>
      <c r="Y1972" s="174"/>
      <c r="Z1972" s="174"/>
    </row>
    <row r="1973">
      <c r="A1973" s="194"/>
      <c r="B1973" s="194"/>
      <c r="C1973" s="194"/>
      <c r="D1973" s="194"/>
      <c r="E1973" s="194"/>
      <c r="F1973" s="194"/>
      <c r="G1973" s="194"/>
      <c r="H1973" s="195"/>
      <c r="I1973" s="195"/>
      <c r="J1973" s="194"/>
      <c r="K1973" s="174"/>
      <c r="L1973" s="174"/>
      <c r="M1973" s="174"/>
      <c r="N1973" s="174"/>
      <c r="O1973" s="174"/>
      <c r="P1973" s="174"/>
      <c r="Q1973" s="174"/>
      <c r="R1973" s="174"/>
      <c r="S1973" s="174"/>
      <c r="T1973" s="174"/>
      <c r="U1973" s="174"/>
      <c r="V1973" s="174"/>
      <c r="W1973" s="174"/>
      <c r="X1973" s="174"/>
      <c r="Y1973" s="174"/>
      <c r="Z1973" s="174"/>
    </row>
    <row r="1974">
      <c r="A1974" s="194"/>
      <c r="B1974" s="194"/>
      <c r="C1974" s="194"/>
      <c r="D1974" s="194"/>
      <c r="E1974" s="194"/>
      <c r="F1974" s="194"/>
      <c r="G1974" s="194"/>
      <c r="H1974" s="195"/>
      <c r="I1974" s="195"/>
      <c r="J1974" s="194"/>
      <c r="K1974" s="174"/>
      <c r="L1974" s="174"/>
      <c r="M1974" s="174"/>
      <c r="N1974" s="174"/>
      <c r="O1974" s="174"/>
      <c r="P1974" s="174"/>
      <c r="Q1974" s="174"/>
      <c r="R1974" s="174"/>
      <c r="S1974" s="174"/>
      <c r="T1974" s="174"/>
      <c r="U1974" s="174"/>
      <c r="V1974" s="174"/>
      <c r="W1974" s="174"/>
      <c r="X1974" s="174"/>
      <c r="Y1974" s="174"/>
      <c r="Z1974" s="174"/>
    </row>
    <row r="1975">
      <c r="A1975" s="194"/>
      <c r="B1975" s="194"/>
      <c r="C1975" s="194"/>
      <c r="D1975" s="194"/>
      <c r="E1975" s="194"/>
      <c r="F1975" s="194"/>
      <c r="G1975" s="194"/>
      <c r="H1975" s="195"/>
      <c r="I1975" s="195"/>
      <c r="J1975" s="194"/>
      <c r="K1975" s="174"/>
      <c r="L1975" s="174"/>
      <c r="M1975" s="174"/>
      <c r="N1975" s="174"/>
      <c r="O1975" s="174"/>
      <c r="P1975" s="174"/>
      <c r="Q1975" s="174"/>
      <c r="R1975" s="174"/>
      <c r="S1975" s="174"/>
      <c r="T1975" s="174"/>
      <c r="U1975" s="174"/>
      <c r="V1975" s="174"/>
      <c r="W1975" s="174"/>
      <c r="X1975" s="174"/>
      <c r="Y1975" s="174"/>
      <c r="Z1975" s="174"/>
    </row>
    <row r="1976">
      <c r="A1976" s="194"/>
      <c r="B1976" s="194"/>
      <c r="C1976" s="194"/>
      <c r="D1976" s="194"/>
      <c r="E1976" s="194"/>
      <c r="F1976" s="194"/>
      <c r="G1976" s="194"/>
      <c r="H1976" s="195"/>
      <c r="I1976" s="195"/>
      <c r="J1976" s="194"/>
      <c r="K1976" s="174"/>
      <c r="L1976" s="174"/>
      <c r="M1976" s="174"/>
      <c r="N1976" s="174"/>
      <c r="O1976" s="174"/>
      <c r="P1976" s="174"/>
      <c r="Q1976" s="174"/>
      <c r="R1976" s="174"/>
      <c r="S1976" s="174"/>
      <c r="T1976" s="174"/>
      <c r="U1976" s="174"/>
      <c r="V1976" s="174"/>
      <c r="W1976" s="174"/>
      <c r="X1976" s="174"/>
      <c r="Y1976" s="174"/>
      <c r="Z1976" s="174"/>
    </row>
    <row r="1977">
      <c r="A1977" s="194"/>
      <c r="B1977" s="194"/>
      <c r="C1977" s="194"/>
      <c r="D1977" s="194"/>
      <c r="E1977" s="194"/>
      <c r="F1977" s="194"/>
      <c r="G1977" s="194"/>
      <c r="H1977" s="195"/>
      <c r="I1977" s="195"/>
      <c r="J1977" s="194"/>
      <c r="K1977" s="174"/>
      <c r="L1977" s="174"/>
      <c r="M1977" s="174"/>
      <c r="N1977" s="174"/>
      <c r="O1977" s="174"/>
      <c r="P1977" s="174"/>
      <c r="Q1977" s="174"/>
      <c r="R1977" s="174"/>
      <c r="S1977" s="174"/>
      <c r="T1977" s="174"/>
      <c r="U1977" s="174"/>
      <c r="V1977" s="174"/>
      <c r="W1977" s="174"/>
      <c r="X1977" s="174"/>
      <c r="Y1977" s="174"/>
      <c r="Z1977" s="174"/>
    </row>
    <row r="1978">
      <c r="A1978" s="194"/>
      <c r="B1978" s="194"/>
      <c r="C1978" s="194"/>
      <c r="D1978" s="194"/>
      <c r="E1978" s="194"/>
      <c r="F1978" s="194"/>
      <c r="G1978" s="194"/>
      <c r="H1978" s="195"/>
      <c r="I1978" s="195"/>
      <c r="J1978" s="194"/>
      <c r="K1978" s="174"/>
      <c r="L1978" s="174"/>
      <c r="M1978" s="174"/>
      <c r="N1978" s="174"/>
      <c r="O1978" s="174"/>
      <c r="P1978" s="174"/>
      <c r="Q1978" s="174"/>
      <c r="R1978" s="174"/>
      <c r="S1978" s="174"/>
      <c r="T1978" s="174"/>
      <c r="U1978" s="174"/>
      <c r="V1978" s="174"/>
      <c r="W1978" s="174"/>
      <c r="X1978" s="174"/>
      <c r="Y1978" s="174"/>
      <c r="Z1978" s="174"/>
    </row>
    <row r="1979">
      <c r="A1979" s="194"/>
      <c r="B1979" s="194"/>
      <c r="C1979" s="194"/>
      <c r="D1979" s="194"/>
      <c r="E1979" s="194"/>
      <c r="F1979" s="194"/>
      <c r="G1979" s="194"/>
      <c r="H1979" s="195"/>
      <c r="I1979" s="195"/>
      <c r="J1979" s="194"/>
      <c r="K1979" s="174"/>
      <c r="L1979" s="174"/>
      <c r="M1979" s="174"/>
      <c r="N1979" s="174"/>
      <c r="O1979" s="174"/>
      <c r="P1979" s="174"/>
      <c r="Q1979" s="174"/>
      <c r="R1979" s="174"/>
      <c r="S1979" s="174"/>
      <c r="T1979" s="174"/>
      <c r="U1979" s="174"/>
      <c r="V1979" s="174"/>
      <c r="W1979" s="174"/>
      <c r="X1979" s="174"/>
      <c r="Y1979" s="174"/>
      <c r="Z1979" s="174"/>
    </row>
    <row r="1980">
      <c r="A1980" s="194"/>
      <c r="B1980" s="194"/>
      <c r="C1980" s="194"/>
      <c r="D1980" s="194"/>
      <c r="E1980" s="194"/>
      <c r="F1980" s="194"/>
      <c r="G1980" s="194"/>
      <c r="H1980" s="195"/>
      <c r="I1980" s="195"/>
      <c r="J1980" s="194"/>
      <c r="K1980" s="174"/>
      <c r="L1980" s="174"/>
      <c r="M1980" s="174"/>
      <c r="N1980" s="174"/>
      <c r="O1980" s="174"/>
      <c r="P1980" s="174"/>
      <c r="Q1980" s="174"/>
      <c r="R1980" s="174"/>
      <c r="S1980" s="174"/>
      <c r="T1980" s="174"/>
      <c r="U1980" s="174"/>
      <c r="V1980" s="174"/>
      <c r="W1980" s="174"/>
      <c r="X1980" s="174"/>
      <c r="Y1980" s="174"/>
      <c r="Z1980" s="174"/>
    </row>
    <row r="1981">
      <c r="A1981" s="194"/>
      <c r="B1981" s="194"/>
      <c r="C1981" s="194"/>
      <c r="D1981" s="194"/>
      <c r="E1981" s="194"/>
      <c r="F1981" s="194"/>
      <c r="G1981" s="194"/>
      <c r="H1981" s="195"/>
      <c r="I1981" s="195"/>
      <c r="J1981" s="194"/>
      <c r="K1981" s="174"/>
      <c r="L1981" s="174"/>
      <c r="M1981" s="174"/>
      <c r="N1981" s="174"/>
      <c r="O1981" s="174"/>
      <c r="P1981" s="174"/>
      <c r="Q1981" s="174"/>
      <c r="R1981" s="174"/>
      <c r="S1981" s="174"/>
      <c r="T1981" s="174"/>
      <c r="U1981" s="174"/>
      <c r="V1981" s="174"/>
      <c r="W1981" s="174"/>
      <c r="X1981" s="174"/>
      <c r="Y1981" s="174"/>
      <c r="Z1981" s="174"/>
    </row>
    <row r="1982">
      <c r="A1982" s="194"/>
      <c r="B1982" s="194"/>
      <c r="C1982" s="194"/>
      <c r="D1982" s="194"/>
      <c r="E1982" s="194"/>
      <c r="F1982" s="194"/>
      <c r="G1982" s="194"/>
      <c r="H1982" s="195"/>
      <c r="I1982" s="195"/>
      <c r="J1982" s="194"/>
      <c r="K1982" s="174"/>
      <c r="L1982" s="174"/>
      <c r="M1982" s="174"/>
      <c r="N1982" s="174"/>
      <c r="O1982" s="174"/>
      <c r="P1982" s="174"/>
      <c r="Q1982" s="174"/>
      <c r="R1982" s="174"/>
      <c r="S1982" s="174"/>
      <c r="T1982" s="174"/>
      <c r="U1982" s="174"/>
      <c r="V1982" s="174"/>
      <c r="W1982" s="174"/>
      <c r="X1982" s="174"/>
      <c r="Y1982" s="174"/>
      <c r="Z1982" s="174"/>
    </row>
    <row r="1983">
      <c r="A1983" s="194"/>
      <c r="B1983" s="194"/>
      <c r="C1983" s="194"/>
      <c r="D1983" s="194"/>
      <c r="E1983" s="194"/>
      <c r="F1983" s="194"/>
      <c r="G1983" s="194"/>
      <c r="H1983" s="195"/>
      <c r="I1983" s="195"/>
      <c r="J1983" s="194"/>
      <c r="K1983" s="174"/>
      <c r="L1983" s="174"/>
      <c r="M1983" s="174"/>
      <c r="N1983" s="174"/>
      <c r="O1983" s="174"/>
      <c r="P1983" s="174"/>
      <c r="Q1983" s="174"/>
      <c r="R1983" s="174"/>
      <c r="S1983" s="174"/>
      <c r="T1983" s="174"/>
      <c r="U1983" s="174"/>
      <c r="V1983" s="174"/>
      <c r="W1983" s="174"/>
      <c r="X1983" s="174"/>
      <c r="Y1983" s="174"/>
      <c r="Z1983" s="174"/>
    </row>
    <row r="1984">
      <c r="A1984" s="194"/>
      <c r="B1984" s="194"/>
      <c r="C1984" s="194"/>
      <c r="D1984" s="194"/>
      <c r="E1984" s="194"/>
      <c r="F1984" s="194"/>
      <c r="G1984" s="194"/>
      <c r="H1984" s="195"/>
      <c r="I1984" s="195"/>
      <c r="J1984" s="194"/>
      <c r="K1984" s="174"/>
      <c r="L1984" s="174"/>
      <c r="M1984" s="174"/>
      <c r="N1984" s="174"/>
      <c r="O1984" s="174"/>
      <c r="P1984" s="174"/>
      <c r="Q1984" s="174"/>
      <c r="R1984" s="174"/>
      <c r="S1984" s="174"/>
      <c r="T1984" s="174"/>
      <c r="U1984" s="174"/>
      <c r="V1984" s="174"/>
      <c r="W1984" s="174"/>
      <c r="X1984" s="174"/>
      <c r="Y1984" s="174"/>
      <c r="Z1984" s="174"/>
    </row>
    <row r="1985">
      <c r="A1985" s="194"/>
      <c r="B1985" s="194"/>
      <c r="C1985" s="194"/>
      <c r="D1985" s="194"/>
      <c r="E1985" s="194"/>
      <c r="F1985" s="194"/>
      <c r="G1985" s="194"/>
      <c r="H1985" s="195"/>
      <c r="I1985" s="195"/>
      <c r="J1985" s="194"/>
      <c r="K1985" s="174"/>
      <c r="L1985" s="174"/>
      <c r="M1985" s="174"/>
      <c r="N1985" s="174"/>
      <c r="O1985" s="174"/>
      <c r="P1985" s="174"/>
      <c r="Q1985" s="174"/>
      <c r="R1985" s="174"/>
      <c r="S1985" s="174"/>
      <c r="T1985" s="174"/>
      <c r="U1985" s="174"/>
      <c r="V1985" s="174"/>
      <c r="W1985" s="174"/>
      <c r="X1985" s="174"/>
      <c r="Y1985" s="174"/>
      <c r="Z1985" s="174"/>
    </row>
    <row r="1986">
      <c r="A1986" s="194"/>
      <c r="B1986" s="194"/>
      <c r="C1986" s="194"/>
      <c r="D1986" s="194"/>
      <c r="E1986" s="194"/>
      <c r="F1986" s="194"/>
      <c r="G1986" s="194"/>
      <c r="H1986" s="195"/>
      <c r="I1986" s="195"/>
      <c r="J1986" s="194"/>
      <c r="K1986" s="174"/>
      <c r="L1986" s="174"/>
      <c r="M1986" s="174"/>
      <c r="N1986" s="174"/>
      <c r="O1986" s="174"/>
      <c r="P1986" s="174"/>
      <c r="Q1986" s="174"/>
      <c r="R1986" s="174"/>
      <c r="S1986" s="174"/>
      <c r="T1986" s="174"/>
      <c r="U1986" s="174"/>
      <c r="V1986" s="174"/>
      <c r="W1986" s="174"/>
      <c r="X1986" s="174"/>
      <c r="Y1986" s="174"/>
      <c r="Z1986" s="174"/>
    </row>
    <row r="1987">
      <c r="A1987" s="194"/>
      <c r="B1987" s="194"/>
      <c r="C1987" s="194"/>
      <c r="D1987" s="194"/>
      <c r="E1987" s="194"/>
      <c r="F1987" s="194"/>
      <c r="G1987" s="194"/>
      <c r="H1987" s="195"/>
      <c r="I1987" s="195"/>
      <c r="J1987" s="194"/>
      <c r="K1987" s="174"/>
      <c r="L1987" s="174"/>
      <c r="M1987" s="174"/>
      <c r="N1987" s="174"/>
      <c r="O1987" s="174"/>
      <c r="P1987" s="174"/>
      <c r="Q1987" s="174"/>
      <c r="R1987" s="174"/>
      <c r="S1987" s="174"/>
      <c r="T1987" s="174"/>
      <c r="U1987" s="174"/>
      <c r="V1987" s="174"/>
      <c r="W1987" s="174"/>
      <c r="X1987" s="174"/>
      <c r="Y1987" s="174"/>
      <c r="Z1987" s="174"/>
    </row>
    <row r="1988">
      <c r="A1988" s="194"/>
      <c r="B1988" s="194"/>
      <c r="C1988" s="194"/>
      <c r="D1988" s="194"/>
      <c r="E1988" s="194"/>
      <c r="F1988" s="194"/>
      <c r="G1988" s="194"/>
      <c r="H1988" s="195"/>
      <c r="I1988" s="195"/>
      <c r="J1988" s="194"/>
      <c r="K1988" s="174"/>
      <c r="L1988" s="174"/>
      <c r="M1988" s="174"/>
      <c r="N1988" s="174"/>
      <c r="O1988" s="174"/>
      <c r="P1988" s="174"/>
      <c r="Q1988" s="174"/>
      <c r="R1988" s="174"/>
      <c r="S1988" s="174"/>
      <c r="T1988" s="174"/>
      <c r="U1988" s="174"/>
      <c r="V1988" s="174"/>
      <c r="W1988" s="174"/>
      <c r="X1988" s="174"/>
      <c r="Y1988" s="174"/>
      <c r="Z1988" s="174"/>
    </row>
    <row r="1989">
      <c r="A1989" s="194"/>
      <c r="B1989" s="194"/>
      <c r="C1989" s="194"/>
      <c r="D1989" s="194"/>
      <c r="E1989" s="194"/>
      <c r="F1989" s="194"/>
      <c r="G1989" s="194"/>
      <c r="H1989" s="195"/>
      <c r="I1989" s="195"/>
      <c r="J1989" s="194"/>
      <c r="K1989" s="174"/>
      <c r="L1989" s="174"/>
      <c r="M1989" s="174"/>
      <c r="N1989" s="174"/>
      <c r="O1989" s="174"/>
      <c r="P1989" s="174"/>
      <c r="Q1989" s="174"/>
      <c r="R1989" s="174"/>
      <c r="S1989" s="174"/>
      <c r="T1989" s="174"/>
      <c r="U1989" s="174"/>
      <c r="V1989" s="174"/>
      <c r="W1989" s="174"/>
      <c r="X1989" s="174"/>
      <c r="Y1989" s="174"/>
      <c r="Z1989" s="174"/>
    </row>
    <row r="1990">
      <c r="A1990" s="194"/>
      <c r="B1990" s="194"/>
      <c r="C1990" s="194"/>
      <c r="D1990" s="194"/>
      <c r="E1990" s="194"/>
      <c r="F1990" s="194"/>
      <c r="G1990" s="194"/>
      <c r="H1990" s="195"/>
      <c r="I1990" s="195"/>
      <c r="J1990" s="194"/>
      <c r="K1990" s="174"/>
      <c r="L1990" s="174"/>
      <c r="M1990" s="174"/>
      <c r="N1990" s="174"/>
      <c r="O1990" s="174"/>
      <c r="P1990" s="174"/>
      <c r="Q1990" s="174"/>
      <c r="R1990" s="174"/>
      <c r="S1990" s="174"/>
      <c r="T1990" s="174"/>
      <c r="U1990" s="174"/>
      <c r="V1990" s="174"/>
      <c r="W1990" s="174"/>
      <c r="X1990" s="174"/>
      <c r="Y1990" s="174"/>
      <c r="Z1990" s="174"/>
    </row>
    <row r="1991">
      <c r="A1991" s="194"/>
      <c r="B1991" s="194"/>
      <c r="C1991" s="194"/>
      <c r="D1991" s="194"/>
      <c r="E1991" s="194"/>
      <c r="F1991" s="194"/>
      <c r="G1991" s="194"/>
      <c r="H1991" s="195"/>
      <c r="I1991" s="195"/>
      <c r="J1991" s="194"/>
      <c r="K1991" s="174"/>
      <c r="L1991" s="174"/>
      <c r="M1991" s="174"/>
      <c r="N1991" s="174"/>
      <c r="O1991" s="174"/>
      <c r="P1991" s="174"/>
      <c r="Q1991" s="174"/>
      <c r="R1991" s="174"/>
      <c r="S1991" s="174"/>
      <c r="T1991" s="174"/>
      <c r="U1991" s="174"/>
      <c r="V1991" s="174"/>
      <c r="W1991" s="174"/>
      <c r="X1991" s="174"/>
      <c r="Y1991" s="174"/>
      <c r="Z1991" s="174"/>
    </row>
    <row r="1992">
      <c r="A1992" s="194"/>
      <c r="B1992" s="194"/>
      <c r="C1992" s="194"/>
      <c r="D1992" s="194"/>
      <c r="E1992" s="194"/>
      <c r="F1992" s="194"/>
      <c r="G1992" s="194"/>
      <c r="H1992" s="195"/>
      <c r="I1992" s="195"/>
      <c r="J1992" s="194"/>
      <c r="K1992" s="174"/>
      <c r="L1992" s="174"/>
      <c r="M1992" s="174"/>
      <c r="N1992" s="174"/>
      <c r="O1992" s="174"/>
      <c r="P1992" s="174"/>
      <c r="Q1992" s="174"/>
      <c r="R1992" s="174"/>
      <c r="S1992" s="174"/>
      <c r="T1992" s="174"/>
      <c r="U1992" s="174"/>
      <c r="V1992" s="174"/>
      <c r="W1992" s="174"/>
      <c r="X1992" s="174"/>
      <c r="Y1992" s="174"/>
      <c r="Z1992" s="174"/>
    </row>
    <row r="1993">
      <c r="A1993" s="194"/>
      <c r="B1993" s="194"/>
      <c r="C1993" s="194"/>
      <c r="D1993" s="194"/>
      <c r="E1993" s="194"/>
      <c r="F1993" s="194"/>
      <c r="G1993" s="194"/>
      <c r="H1993" s="195"/>
      <c r="I1993" s="195"/>
      <c r="J1993" s="194"/>
      <c r="K1993" s="174"/>
      <c r="L1993" s="174"/>
      <c r="M1993" s="174"/>
      <c r="N1993" s="174"/>
      <c r="O1993" s="174"/>
      <c r="P1993" s="174"/>
      <c r="Q1993" s="174"/>
      <c r="R1993" s="174"/>
      <c r="S1993" s="174"/>
      <c r="T1993" s="174"/>
      <c r="U1993" s="174"/>
      <c r="V1993" s="174"/>
      <c r="W1993" s="174"/>
      <c r="X1993" s="174"/>
      <c r="Y1993" s="174"/>
      <c r="Z1993" s="174"/>
    </row>
    <row r="1994">
      <c r="A1994" s="194"/>
      <c r="B1994" s="194"/>
      <c r="C1994" s="194"/>
      <c r="D1994" s="194"/>
      <c r="E1994" s="194"/>
      <c r="F1994" s="194"/>
      <c r="G1994" s="194"/>
      <c r="H1994" s="195"/>
      <c r="I1994" s="195"/>
      <c r="J1994" s="194"/>
      <c r="K1994" s="174"/>
      <c r="L1994" s="174"/>
      <c r="M1994" s="174"/>
      <c r="N1994" s="174"/>
      <c r="O1994" s="174"/>
      <c r="P1994" s="174"/>
      <c r="Q1994" s="174"/>
      <c r="R1994" s="174"/>
      <c r="S1994" s="174"/>
      <c r="T1994" s="174"/>
      <c r="U1994" s="174"/>
      <c r="V1994" s="174"/>
      <c r="W1994" s="174"/>
      <c r="X1994" s="174"/>
      <c r="Y1994" s="174"/>
      <c r="Z1994" s="174"/>
    </row>
    <row r="1995">
      <c r="A1995" s="194"/>
      <c r="B1995" s="194"/>
      <c r="C1995" s="194"/>
      <c r="D1995" s="194"/>
      <c r="E1995" s="194"/>
      <c r="F1995" s="194"/>
      <c r="G1995" s="194"/>
      <c r="H1995" s="195"/>
      <c r="I1995" s="195"/>
      <c r="J1995" s="194"/>
      <c r="K1995" s="174"/>
      <c r="L1995" s="174"/>
      <c r="M1995" s="174"/>
      <c r="N1995" s="174"/>
      <c r="O1995" s="174"/>
      <c r="P1995" s="174"/>
      <c r="Q1995" s="174"/>
      <c r="R1995" s="174"/>
      <c r="S1995" s="174"/>
      <c r="T1995" s="174"/>
      <c r="U1995" s="174"/>
      <c r="V1995" s="174"/>
      <c r="W1995" s="174"/>
      <c r="X1995" s="174"/>
      <c r="Y1995" s="174"/>
      <c r="Z1995" s="174"/>
    </row>
    <row r="1996">
      <c r="A1996" s="194"/>
      <c r="B1996" s="194"/>
      <c r="C1996" s="194"/>
      <c r="D1996" s="194"/>
      <c r="E1996" s="194"/>
      <c r="F1996" s="194"/>
      <c r="G1996" s="194"/>
      <c r="H1996" s="195"/>
      <c r="I1996" s="195"/>
      <c r="J1996" s="194"/>
      <c r="K1996" s="174"/>
      <c r="L1996" s="174"/>
      <c r="M1996" s="174"/>
      <c r="N1996" s="174"/>
      <c r="O1996" s="174"/>
      <c r="P1996" s="174"/>
      <c r="Q1996" s="174"/>
      <c r="R1996" s="174"/>
      <c r="S1996" s="174"/>
      <c r="T1996" s="174"/>
      <c r="U1996" s="174"/>
      <c r="V1996" s="174"/>
      <c r="W1996" s="174"/>
      <c r="X1996" s="174"/>
      <c r="Y1996" s="174"/>
      <c r="Z1996" s="174"/>
    </row>
    <row r="1997">
      <c r="A1997" s="194"/>
      <c r="B1997" s="194"/>
      <c r="C1997" s="194"/>
      <c r="D1997" s="194"/>
      <c r="E1997" s="194"/>
      <c r="F1997" s="194"/>
      <c r="G1997" s="194"/>
      <c r="H1997" s="195"/>
      <c r="I1997" s="195"/>
      <c r="J1997" s="194"/>
      <c r="K1997" s="174"/>
      <c r="L1997" s="174"/>
      <c r="M1997" s="174"/>
      <c r="N1997" s="174"/>
      <c r="O1997" s="174"/>
      <c r="P1997" s="174"/>
      <c r="Q1997" s="174"/>
      <c r="R1997" s="174"/>
      <c r="S1997" s="174"/>
      <c r="T1997" s="174"/>
      <c r="U1997" s="174"/>
      <c r="V1997" s="174"/>
      <c r="W1997" s="174"/>
      <c r="X1997" s="174"/>
      <c r="Y1997" s="174"/>
      <c r="Z1997" s="174"/>
    </row>
    <row r="1998">
      <c r="A1998" s="194"/>
      <c r="B1998" s="194"/>
      <c r="C1998" s="194"/>
      <c r="D1998" s="194"/>
      <c r="E1998" s="194"/>
      <c r="F1998" s="194"/>
      <c r="G1998" s="194"/>
      <c r="H1998" s="195"/>
      <c r="I1998" s="195"/>
      <c r="J1998" s="194"/>
      <c r="K1998" s="174"/>
      <c r="L1998" s="174"/>
      <c r="M1998" s="174"/>
      <c r="N1998" s="174"/>
      <c r="O1998" s="174"/>
      <c r="P1998" s="174"/>
      <c r="Q1998" s="174"/>
      <c r="R1998" s="174"/>
      <c r="S1998" s="174"/>
      <c r="T1998" s="174"/>
      <c r="U1998" s="174"/>
      <c r="V1998" s="174"/>
      <c r="W1998" s="174"/>
      <c r="X1998" s="174"/>
      <c r="Y1998" s="174"/>
      <c r="Z1998" s="174"/>
    </row>
    <row r="1999">
      <c r="A1999" s="194"/>
      <c r="B1999" s="194"/>
      <c r="C1999" s="194"/>
      <c r="D1999" s="194"/>
      <c r="E1999" s="194"/>
      <c r="F1999" s="194"/>
      <c r="G1999" s="194"/>
      <c r="H1999" s="195"/>
      <c r="I1999" s="195"/>
      <c r="J1999" s="194"/>
      <c r="K1999" s="174"/>
      <c r="L1999" s="174"/>
      <c r="M1999" s="174"/>
      <c r="N1999" s="174"/>
      <c r="O1999" s="174"/>
      <c r="P1999" s="174"/>
      <c r="Q1999" s="174"/>
      <c r="R1999" s="174"/>
      <c r="S1999" s="174"/>
      <c r="T1999" s="174"/>
      <c r="U1999" s="174"/>
      <c r="V1999" s="174"/>
      <c r="W1999" s="174"/>
      <c r="X1999" s="174"/>
      <c r="Y1999" s="174"/>
      <c r="Z1999" s="174"/>
    </row>
    <row r="2000">
      <c r="A2000" s="194"/>
      <c r="B2000" s="194"/>
      <c r="C2000" s="194"/>
      <c r="D2000" s="194"/>
      <c r="E2000" s="194"/>
      <c r="F2000" s="194"/>
      <c r="G2000" s="194"/>
      <c r="H2000" s="195"/>
      <c r="I2000" s="195"/>
      <c r="J2000" s="194"/>
      <c r="K2000" s="174"/>
      <c r="L2000" s="174"/>
      <c r="M2000" s="174"/>
      <c r="N2000" s="174"/>
      <c r="O2000" s="174"/>
      <c r="P2000" s="174"/>
      <c r="Q2000" s="174"/>
      <c r="R2000" s="174"/>
      <c r="S2000" s="174"/>
      <c r="T2000" s="174"/>
      <c r="U2000" s="174"/>
      <c r="V2000" s="174"/>
      <c r="W2000" s="174"/>
      <c r="X2000" s="174"/>
      <c r="Y2000" s="174"/>
      <c r="Z2000" s="174"/>
    </row>
    <row r="2001">
      <c r="A2001" s="194"/>
      <c r="B2001" s="194"/>
      <c r="C2001" s="194"/>
      <c r="D2001" s="194"/>
      <c r="E2001" s="194"/>
      <c r="F2001" s="194"/>
      <c r="G2001" s="194"/>
      <c r="H2001" s="195"/>
      <c r="I2001" s="195"/>
      <c r="J2001" s="194"/>
      <c r="K2001" s="174"/>
      <c r="L2001" s="174"/>
      <c r="M2001" s="174"/>
      <c r="N2001" s="174"/>
      <c r="O2001" s="174"/>
      <c r="P2001" s="174"/>
      <c r="Q2001" s="174"/>
      <c r="R2001" s="174"/>
      <c r="S2001" s="174"/>
      <c r="T2001" s="174"/>
      <c r="U2001" s="174"/>
      <c r="V2001" s="174"/>
      <c r="W2001" s="174"/>
      <c r="X2001" s="174"/>
      <c r="Y2001" s="174"/>
      <c r="Z2001" s="174"/>
    </row>
    <row r="2002">
      <c r="A2002" s="194"/>
      <c r="B2002" s="194"/>
      <c r="C2002" s="194"/>
      <c r="D2002" s="194"/>
      <c r="E2002" s="194"/>
      <c r="F2002" s="194"/>
      <c r="G2002" s="194"/>
      <c r="H2002" s="195"/>
      <c r="I2002" s="195"/>
      <c r="J2002" s="194"/>
      <c r="K2002" s="174"/>
      <c r="L2002" s="174"/>
      <c r="M2002" s="174"/>
      <c r="N2002" s="174"/>
      <c r="O2002" s="174"/>
      <c r="P2002" s="174"/>
      <c r="Q2002" s="174"/>
      <c r="R2002" s="174"/>
      <c r="S2002" s="174"/>
      <c r="T2002" s="174"/>
      <c r="U2002" s="174"/>
      <c r="V2002" s="174"/>
      <c r="W2002" s="174"/>
      <c r="X2002" s="174"/>
      <c r="Y2002" s="174"/>
      <c r="Z2002" s="174"/>
    </row>
    <row r="2003">
      <c r="A2003" s="194"/>
      <c r="B2003" s="194"/>
      <c r="C2003" s="194"/>
      <c r="D2003" s="194"/>
      <c r="E2003" s="194"/>
      <c r="F2003" s="194"/>
      <c r="G2003" s="194"/>
      <c r="H2003" s="195"/>
      <c r="I2003" s="195"/>
      <c r="J2003" s="194"/>
      <c r="K2003" s="174"/>
      <c r="L2003" s="174"/>
      <c r="M2003" s="174"/>
      <c r="N2003" s="174"/>
      <c r="O2003" s="174"/>
      <c r="P2003" s="174"/>
      <c r="Q2003" s="174"/>
      <c r="R2003" s="174"/>
      <c r="S2003" s="174"/>
      <c r="T2003" s="174"/>
      <c r="U2003" s="174"/>
      <c r="V2003" s="174"/>
      <c r="W2003" s="174"/>
      <c r="X2003" s="174"/>
      <c r="Y2003" s="174"/>
      <c r="Z2003" s="174"/>
    </row>
    <row r="2004">
      <c r="A2004" s="194"/>
      <c r="B2004" s="194"/>
      <c r="C2004" s="194"/>
      <c r="D2004" s="194"/>
      <c r="E2004" s="194"/>
      <c r="F2004" s="194"/>
      <c r="G2004" s="194"/>
      <c r="H2004" s="195"/>
      <c r="I2004" s="195"/>
      <c r="J2004" s="194"/>
      <c r="K2004" s="174"/>
      <c r="L2004" s="174"/>
      <c r="M2004" s="174"/>
      <c r="N2004" s="174"/>
      <c r="O2004" s="174"/>
      <c r="P2004" s="174"/>
      <c r="Q2004" s="174"/>
      <c r="R2004" s="174"/>
      <c r="S2004" s="174"/>
      <c r="T2004" s="174"/>
      <c r="U2004" s="174"/>
      <c r="V2004" s="174"/>
      <c r="W2004" s="174"/>
      <c r="X2004" s="174"/>
      <c r="Y2004" s="174"/>
      <c r="Z2004" s="174"/>
    </row>
    <row r="2005">
      <c r="A2005" s="194"/>
      <c r="B2005" s="194"/>
      <c r="C2005" s="194"/>
      <c r="D2005" s="194"/>
      <c r="E2005" s="194"/>
      <c r="F2005" s="194"/>
      <c r="G2005" s="194"/>
      <c r="H2005" s="195"/>
      <c r="I2005" s="195"/>
      <c r="J2005" s="194"/>
      <c r="K2005" s="174"/>
      <c r="L2005" s="174"/>
      <c r="M2005" s="174"/>
      <c r="N2005" s="174"/>
      <c r="O2005" s="174"/>
      <c r="P2005" s="174"/>
      <c r="Q2005" s="174"/>
      <c r="R2005" s="174"/>
      <c r="S2005" s="174"/>
      <c r="T2005" s="174"/>
      <c r="U2005" s="174"/>
      <c r="V2005" s="174"/>
      <c r="W2005" s="174"/>
      <c r="X2005" s="174"/>
      <c r="Y2005" s="174"/>
      <c r="Z2005" s="174"/>
    </row>
    <row r="2006">
      <c r="A2006" s="194"/>
      <c r="B2006" s="194"/>
      <c r="C2006" s="194"/>
      <c r="D2006" s="194"/>
      <c r="E2006" s="194"/>
      <c r="F2006" s="194"/>
      <c r="G2006" s="194"/>
      <c r="H2006" s="195"/>
      <c r="I2006" s="195"/>
      <c r="J2006" s="194"/>
      <c r="K2006" s="174"/>
      <c r="L2006" s="174"/>
      <c r="M2006" s="174"/>
      <c r="N2006" s="174"/>
      <c r="O2006" s="174"/>
      <c r="P2006" s="174"/>
      <c r="Q2006" s="174"/>
      <c r="R2006" s="174"/>
      <c r="S2006" s="174"/>
      <c r="T2006" s="174"/>
      <c r="U2006" s="174"/>
      <c r="V2006" s="174"/>
      <c r="W2006" s="174"/>
      <c r="X2006" s="174"/>
      <c r="Y2006" s="174"/>
      <c r="Z2006" s="174"/>
    </row>
    <row r="2007">
      <c r="A2007" s="194"/>
      <c r="B2007" s="194"/>
      <c r="C2007" s="194"/>
      <c r="D2007" s="194"/>
      <c r="E2007" s="194"/>
      <c r="F2007" s="194"/>
      <c r="G2007" s="194"/>
      <c r="H2007" s="195"/>
      <c r="I2007" s="195"/>
      <c r="J2007" s="194"/>
      <c r="K2007" s="174"/>
      <c r="L2007" s="174"/>
      <c r="M2007" s="174"/>
      <c r="N2007" s="174"/>
      <c r="O2007" s="174"/>
      <c r="P2007" s="174"/>
      <c r="Q2007" s="174"/>
      <c r="R2007" s="174"/>
      <c r="S2007" s="174"/>
      <c r="T2007" s="174"/>
      <c r="U2007" s="174"/>
      <c r="V2007" s="174"/>
      <c r="W2007" s="174"/>
      <c r="X2007" s="174"/>
      <c r="Y2007" s="174"/>
      <c r="Z2007" s="174"/>
    </row>
    <row r="2008">
      <c r="A2008" s="194"/>
      <c r="B2008" s="194"/>
      <c r="C2008" s="194"/>
      <c r="D2008" s="194"/>
      <c r="E2008" s="194"/>
      <c r="F2008" s="194"/>
      <c r="G2008" s="194"/>
      <c r="H2008" s="195"/>
      <c r="I2008" s="195"/>
      <c r="J2008" s="194"/>
      <c r="K2008" s="174"/>
      <c r="L2008" s="174"/>
      <c r="M2008" s="174"/>
      <c r="N2008" s="174"/>
      <c r="O2008" s="174"/>
      <c r="P2008" s="174"/>
      <c r="Q2008" s="174"/>
      <c r="R2008" s="174"/>
      <c r="S2008" s="174"/>
      <c r="T2008" s="174"/>
      <c r="U2008" s="174"/>
      <c r="V2008" s="174"/>
      <c r="W2008" s="174"/>
      <c r="X2008" s="174"/>
      <c r="Y2008" s="174"/>
      <c r="Z2008" s="174"/>
    </row>
    <row r="2009">
      <c r="A2009" s="194"/>
      <c r="B2009" s="194"/>
      <c r="C2009" s="194"/>
      <c r="D2009" s="194"/>
      <c r="E2009" s="194"/>
      <c r="F2009" s="194"/>
      <c r="G2009" s="194"/>
      <c r="H2009" s="195"/>
      <c r="I2009" s="195"/>
      <c r="J2009" s="194"/>
      <c r="K2009" s="174"/>
      <c r="L2009" s="174"/>
      <c r="M2009" s="174"/>
      <c r="N2009" s="174"/>
      <c r="O2009" s="174"/>
      <c r="P2009" s="174"/>
      <c r="Q2009" s="174"/>
      <c r="R2009" s="174"/>
      <c r="S2009" s="174"/>
      <c r="T2009" s="174"/>
      <c r="U2009" s="174"/>
      <c r="V2009" s="174"/>
      <c r="W2009" s="174"/>
      <c r="X2009" s="174"/>
      <c r="Y2009" s="174"/>
      <c r="Z2009" s="174"/>
    </row>
    <row r="2010">
      <c r="A2010" s="194"/>
      <c r="B2010" s="194"/>
      <c r="C2010" s="194"/>
      <c r="D2010" s="194"/>
      <c r="E2010" s="194"/>
      <c r="F2010" s="194"/>
      <c r="G2010" s="194"/>
      <c r="H2010" s="195"/>
      <c r="I2010" s="195"/>
      <c r="J2010" s="194"/>
      <c r="K2010" s="174"/>
      <c r="L2010" s="174"/>
      <c r="M2010" s="174"/>
      <c r="N2010" s="174"/>
      <c r="O2010" s="174"/>
      <c r="P2010" s="174"/>
      <c r="Q2010" s="174"/>
      <c r="R2010" s="174"/>
      <c r="S2010" s="174"/>
      <c r="T2010" s="174"/>
      <c r="U2010" s="174"/>
      <c r="V2010" s="174"/>
      <c r="W2010" s="174"/>
      <c r="X2010" s="174"/>
      <c r="Y2010" s="174"/>
      <c r="Z2010" s="174"/>
    </row>
    <row r="2011">
      <c r="A2011" s="194"/>
      <c r="B2011" s="194"/>
      <c r="C2011" s="194"/>
      <c r="D2011" s="194"/>
      <c r="E2011" s="194"/>
      <c r="F2011" s="194"/>
      <c r="G2011" s="194"/>
      <c r="H2011" s="195"/>
      <c r="I2011" s="195"/>
      <c r="J2011" s="194"/>
      <c r="K2011" s="174"/>
      <c r="L2011" s="174"/>
      <c r="M2011" s="174"/>
      <c r="N2011" s="174"/>
      <c r="O2011" s="174"/>
      <c r="P2011" s="174"/>
      <c r="Q2011" s="174"/>
      <c r="R2011" s="174"/>
      <c r="S2011" s="174"/>
      <c r="T2011" s="174"/>
      <c r="U2011" s="174"/>
      <c r="V2011" s="174"/>
      <c r="W2011" s="174"/>
      <c r="X2011" s="174"/>
      <c r="Y2011" s="174"/>
      <c r="Z2011" s="174"/>
    </row>
    <row r="2012">
      <c r="A2012" s="194"/>
      <c r="B2012" s="194"/>
      <c r="C2012" s="194"/>
      <c r="D2012" s="194"/>
      <c r="E2012" s="194"/>
      <c r="F2012" s="194"/>
      <c r="G2012" s="194"/>
      <c r="H2012" s="195"/>
      <c r="I2012" s="195"/>
      <c r="J2012" s="194"/>
      <c r="K2012" s="174"/>
      <c r="L2012" s="174"/>
      <c r="M2012" s="174"/>
      <c r="N2012" s="174"/>
      <c r="O2012" s="174"/>
      <c r="P2012" s="174"/>
      <c r="Q2012" s="174"/>
      <c r="R2012" s="174"/>
      <c r="S2012" s="174"/>
      <c r="T2012" s="174"/>
      <c r="U2012" s="174"/>
      <c r="V2012" s="174"/>
      <c r="W2012" s="174"/>
      <c r="X2012" s="174"/>
      <c r="Y2012" s="174"/>
      <c r="Z2012" s="174"/>
    </row>
    <row r="2013">
      <c r="A2013" s="194"/>
      <c r="B2013" s="194"/>
      <c r="C2013" s="194"/>
      <c r="D2013" s="194"/>
      <c r="E2013" s="194"/>
      <c r="F2013" s="194"/>
      <c r="G2013" s="194"/>
      <c r="H2013" s="195"/>
      <c r="I2013" s="195"/>
      <c r="J2013" s="194"/>
      <c r="K2013" s="174"/>
      <c r="L2013" s="174"/>
      <c r="M2013" s="174"/>
      <c r="N2013" s="174"/>
      <c r="O2013" s="174"/>
      <c r="P2013" s="174"/>
      <c r="Q2013" s="174"/>
      <c r="R2013" s="174"/>
      <c r="S2013" s="174"/>
      <c r="T2013" s="174"/>
      <c r="U2013" s="174"/>
      <c r="V2013" s="174"/>
      <c r="W2013" s="174"/>
      <c r="X2013" s="174"/>
      <c r="Y2013" s="174"/>
      <c r="Z2013" s="174"/>
    </row>
    <row r="2014">
      <c r="A2014" s="194"/>
      <c r="B2014" s="194"/>
      <c r="C2014" s="194"/>
      <c r="D2014" s="194"/>
      <c r="E2014" s="194"/>
      <c r="F2014" s="194"/>
      <c r="G2014" s="194"/>
      <c r="H2014" s="195"/>
      <c r="I2014" s="195"/>
      <c r="J2014" s="194"/>
      <c r="K2014" s="174"/>
      <c r="L2014" s="174"/>
      <c r="M2014" s="174"/>
      <c r="N2014" s="174"/>
      <c r="O2014" s="174"/>
      <c r="P2014" s="174"/>
      <c r="Q2014" s="174"/>
      <c r="R2014" s="174"/>
      <c r="S2014" s="174"/>
      <c r="T2014" s="174"/>
      <c r="U2014" s="174"/>
      <c r="V2014" s="174"/>
      <c r="W2014" s="174"/>
      <c r="X2014" s="174"/>
      <c r="Y2014" s="174"/>
      <c r="Z2014" s="174"/>
    </row>
    <row r="2015">
      <c r="A2015" s="194"/>
      <c r="B2015" s="194"/>
      <c r="C2015" s="194"/>
      <c r="D2015" s="194"/>
      <c r="E2015" s="194"/>
      <c r="F2015" s="194"/>
      <c r="G2015" s="194"/>
      <c r="H2015" s="195"/>
      <c r="I2015" s="195"/>
      <c r="J2015" s="194"/>
      <c r="K2015" s="174"/>
      <c r="L2015" s="174"/>
      <c r="M2015" s="174"/>
      <c r="N2015" s="174"/>
      <c r="O2015" s="174"/>
      <c r="P2015" s="174"/>
      <c r="Q2015" s="174"/>
      <c r="R2015" s="174"/>
      <c r="S2015" s="174"/>
      <c r="T2015" s="174"/>
      <c r="U2015" s="174"/>
      <c r="V2015" s="174"/>
      <c r="W2015" s="174"/>
      <c r="X2015" s="174"/>
      <c r="Y2015" s="174"/>
      <c r="Z2015" s="174"/>
    </row>
    <row r="2016">
      <c r="A2016" s="194"/>
      <c r="B2016" s="194"/>
      <c r="C2016" s="194"/>
      <c r="D2016" s="194"/>
      <c r="E2016" s="194"/>
      <c r="F2016" s="194"/>
      <c r="G2016" s="194"/>
      <c r="H2016" s="195"/>
      <c r="I2016" s="195"/>
      <c r="J2016" s="194"/>
      <c r="K2016" s="174"/>
      <c r="L2016" s="174"/>
      <c r="M2016" s="174"/>
      <c r="N2016" s="174"/>
      <c r="O2016" s="174"/>
      <c r="P2016" s="174"/>
      <c r="Q2016" s="174"/>
      <c r="R2016" s="174"/>
      <c r="S2016" s="174"/>
      <c r="T2016" s="174"/>
      <c r="U2016" s="174"/>
      <c r="V2016" s="174"/>
      <c r="W2016" s="174"/>
      <c r="X2016" s="174"/>
      <c r="Y2016" s="174"/>
      <c r="Z2016" s="174"/>
    </row>
    <row r="2017">
      <c r="A2017" s="194"/>
      <c r="B2017" s="194"/>
      <c r="C2017" s="194"/>
      <c r="D2017" s="194"/>
      <c r="E2017" s="194"/>
      <c r="F2017" s="194"/>
      <c r="G2017" s="194"/>
      <c r="H2017" s="195"/>
      <c r="I2017" s="195"/>
      <c r="J2017" s="194"/>
      <c r="K2017" s="174"/>
      <c r="L2017" s="174"/>
      <c r="M2017" s="174"/>
      <c r="N2017" s="174"/>
      <c r="O2017" s="174"/>
      <c r="P2017" s="174"/>
      <c r="Q2017" s="174"/>
      <c r="R2017" s="174"/>
      <c r="S2017" s="174"/>
      <c r="T2017" s="174"/>
      <c r="U2017" s="174"/>
      <c r="V2017" s="174"/>
      <c r="W2017" s="174"/>
      <c r="X2017" s="174"/>
      <c r="Y2017" s="174"/>
      <c r="Z2017" s="174"/>
    </row>
    <row r="2018">
      <c r="A2018" s="194"/>
      <c r="B2018" s="194"/>
      <c r="C2018" s="194"/>
      <c r="D2018" s="194"/>
      <c r="E2018" s="194"/>
      <c r="F2018" s="194"/>
      <c r="G2018" s="194"/>
      <c r="H2018" s="195"/>
      <c r="I2018" s="195"/>
      <c r="J2018" s="194"/>
      <c r="K2018" s="174"/>
      <c r="L2018" s="174"/>
      <c r="M2018" s="174"/>
      <c r="N2018" s="174"/>
      <c r="O2018" s="174"/>
      <c r="P2018" s="174"/>
      <c r="Q2018" s="174"/>
      <c r="R2018" s="174"/>
      <c r="S2018" s="174"/>
      <c r="T2018" s="174"/>
      <c r="U2018" s="174"/>
      <c r="V2018" s="174"/>
      <c r="W2018" s="174"/>
      <c r="X2018" s="174"/>
      <c r="Y2018" s="174"/>
      <c r="Z2018" s="174"/>
    </row>
    <row r="2019">
      <c r="A2019" s="194"/>
      <c r="B2019" s="194"/>
      <c r="C2019" s="194"/>
      <c r="D2019" s="194"/>
      <c r="E2019" s="194"/>
      <c r="F2019" s="194"/>
      <c r="G2019" s="194"/>
      <c r="H2019" s="195"/>
      <c r="I2019" s="195"/>
      <c r="J2019" s="194"/>
      <c r="K2019" s="174"/>
      <c r="L2019" s="174"/>
      <c r="M2019" s="174"/>
      <c r="N2019" s="174"/>
      <c r="O2019" s="174"/>
      <c r="P2019" s="174"/>
      <c r="Q2019" s="174"/>
      <c r="R2019" s="174"/>
      <c r="S2019" s="174"/>
      <c r="T2019" s="174"/>
      <c r="U2019" s="174"/>
      <c r="V2019" s="174"/>
      <c r="W2019" s="174"/>
      <c r="X2019" s="174"/>
      <c r="Y2019" s="174"/>
      <c r="Z2019" s="174"/>
    </row>
    <row r="2020">
      <c r="A2020" s="194"/>
      <c r="B2020" s="194"/>
      <c r="C2020" s="194"/>
      <c r="D2020" s="194"/>
      <c r="E2020" s="194"/>
      <c r="F2020" s="194"/>
      <c r="G2020" s="194"/>
      <c r="H2020" s="195"/>
      <c r="I2020" s="195"/>
      <c r="J2020" s="194"/>
      <c r="K2020" s="174"/>
      <c r="L2020" s="174"/>
      <c r="M2020" s="174"/>
      <c r="N2020" s="174"/>
      <c r="O2020" s="174"/>
      <c r="P2020" s="174"/>
      <c r="Q2020" s="174"/>
      <c r="R2020" s="174"/>
      <c r="S2020" s="174"/>
      <c r="T2020" s="174"/>
      <c r="U2020" s="174"/>
      <c r="V2020" s="174"/>
      <c r="W2020" s="174"/>
      <c r="X2020" s="174"/>
      <c r="Y2020" s="174"/>
      <c r="Z2020" s="174"/>
    </row>
    <row r="2021">
      <c r="A2021" s="194"/>
      <c r="B2021" s="194"/>
      <c r="C2021" s="194"/>
      <c r="D2021" s="194"/>
      <c r="E2021" s="194"/>
      <c r="F2021" s="194"/>
      <c r="G2021" s="194"/>
      <c r="H2021" s="195"/>
      <c r="I2021" s="195"/>
      <c r="J2021" s="194"/>
      <c r="K2021" s="174"/>
      <c r="L2021" s="174"/>
      <c r="M2021" s="174"/>
      <c r="N2021" s="174"/>
      <c r="O2021" s="174"/>
      <c r="P2021" s="174"/>
      <c r="Q2021" s="174"/>
      <c r="R2021" s="174"/>
      <c r="S2021" s="174"/>
      <c r="T2021" s="174"/>
      <c r="U2021" s="174"/>
      <c r="V2021" s="174"/>
      <c r="W2021" s="174"/>
      <c r="X2021" s="174"/>
      <c r="Y2021" s="174"/>
      <c r="Z2021" s="174"/>
    </row>
    <row r="2022">
      <c r="A2022" s="194"/>
      <c r="B2022" s="194"/>
      <c r="C2022" s="194"/>
      <c r="D2022" s="194"/>
      <c r="E2022" s="194"/>
      <c r="F2022" s="194"/>
      <c r="G2022" s="194"/>
      <c r="H2022" s="195"/>
      <c r="I2022" s="195"/>
      <c r="J2022" s="194"/>
      <c r="K2022" s="174"/>
      <c r="L2022" s="174"/>
      <c r="M2022" s="174"/>
      <c r="N2022" s="174"/>
      <c r="O2022" s="174"/>
      <c r="P2022" s="174"/>
      <c r="Q2022" s="174"/>
      <c r="R2022" s="174"/>
      <c r="S2022" s="174"/>
      <c r="T2022" s="174"/>
      <c r="U2022" s="174"/>
      <c r="V2022" s="174"/>
      <c r="W2022" s="174"/>
      <c r="X2022" s="174"/>
      <c r="Y2022" s="174"/>
      <c r="Z2022" s="174"/>
    </row>
    <row r="2023">
      <c r="A2023" s="194"/>
      <c r="B2023" s="194"/>
      <c r="C2023" s="194"/>
      <c r="D2023" s="194"/>
      <c r="E2023" s="194"/>
      <c r="F2023" s="194"/>
      <c r="G2023" s="194"/>
      <c r="H2023" s="195"/>
      <c r="I2023" s="195"/>
      <c r="J2023" s="194"/>
      <c r="K2023" s="174"/>
      <c r="L2023" s="174"/>
      <c r="M2023" s="174"/>
      <c r="N2023" s="174"/>
      <c r="O2023" s="174"/>
      <c r="P2023" s="174"/>
      <c r="Q2023" s="174"/>
      <c r="R2023" s="174"/>
      <c r="S2023" s="174"/>
      <c r="T2023" s="174"/>
      <c r="U2023" s="174"/>
      <c r="V2023" s="174"/>
      <c r="W2023" s="174"/>
      <c r="X2023" s="174"/>
      <c r="Y2023" s="174"/>
      <c r="Z2023" s="174"/>
    </row>
    <row r="2024">
      <c r="A2024" s="194"/>
      <c r="B2024" s="194"/>
      <c r="C2024" s="194"/>
      <c r="D2024" s="194"/>
      <c r="E2024" s="194"/>
      <c r="F2024" s="194"/>
      <c r="G2024" s="194"/>
      <c r="H2024" s="195"/>
      <c r="I2024" s="195"/>
      <c r="J2024" s="194"/>
      <c r="K2024" s="174"/>
      <c r="L2024" s="174"/>
      <c r="M2024" s="174"/>
      <c r="N2024" s="174"/>
      <c r="O2024" s="174"/>
      <c r="P2024" s="174"/>
      <c r="Q2024" s="174"/>
      <c r="R2024" s="174"/>
      <c r="S2024" s="174"/>
      <c r="T2024" s="174"/>
      <c r="U2024" s="174"/>
      <c r="V2024" s="174"/>
      <c r="W2024" s="174"/>
      <c r="X2024" s="174"/>
      <c r="Y2024" s="174"/>
      <c r="Z2024" s="174"/>
    </row>
    <row r="2025">
      <c r="A2025" s="194"/>
      <c r="B2025" s="194"/>
      <c r="C2025" s="194"/>
      <c r="D2025" s="194"/>
      <c r="E2025" s="194"/>
      <c r="F2025" s="194"/>
      <c r="G2025" s="194"/>
      <c r="H2025" s="195"/>
      <c r="I2025" s="195"/>
      <c r="J2025" s="194"/>
      <c r="K2025" s="174"/>
      <c r="L2025" s="174"/>
      <c r="M2025" s="174"/>
      <c r="N2025" s="174"/>
      <c r="O2025" s="174"/>
      <c r="P2025" s="174"/>
      <c r="Q2025" s="174"/>
      <c r="R2025" s="174"/>
      <c r="S2025" s="174"/>
      <c r="T2025" s="174"/>
      <c r="U2025" s="174"/>
      <c r="V2025" s="174"/>
      <c r="W2025" s="174"/>
      <c r="X2025" s="174"/>
      <c r="Y2025" s="174"/>
      <c r="Z2025" s="174"/>
    </row>
    <row r="2026">
      <c r="A2026" s="194"/>
      <c r="B2026" s="194"/>
      <c r="C2026" s="194"/>
      <c r="D2026" s="194"/>
      <c r="E2026" s="194"/>
      <c r="F2026" s="194"/>
      <c r="G2026" s="194"/>
      <c r="H2026" s="195"/>
      <c r="I2026" s="195"/>
      <c r="J2026" s="194"/>
      <c r="K2026" s="174"/>
      <c r="L2026" s="174"/>
      <c r="M2026" s="174"/>
      <c r="N2026" s="174"/>
      <c r="O2026" s="174"/>
      <c r="P2026" s="174"/>
      <c r="Q2026" s="174"/>
      <c r="R2026" s="174"/>
      <c r="S2026" s="174"/>
      <c r="T2026" s="174"/>
      <c r="U2026" s="174"/>
      <c r="V2026" s="174"/>
      <c r="W2026" s="174"/>
      <c r="X2026" s="174"/>
      <c r="Y2026" s="174"/>
      <c r="Z2026" s="174"/>
    </row>
    <row r="2027">
      <c r="A2027" s="194"/>
      <c r="B2027" s="194"/>
      <c r="C2027" s="194"/>
      <c r="D2027" s="194"/>
      <c r="E2027" s="194"/>
      <c r="F2027" s="194"/>
      <c r="G2027" s="194"/>
      <c r="H2027" s="195"/>
      <c r="I2027" s="195"/>
      <c r="J2027" s="194"/>
      <c r="K2027" s="174"/>
      <c r="L2027" s="174"/>
      <c r="M2027" s="174"/>
      <c r="N2027" s="174"/>
      <c r="O2027" s="174"/>
      <c r="P2027" s="174"/>
      <c r="Q2027" s="174"/>
      <c r="R2027" s="174"/>
      <c r="S2027" s="174"/>
      <c r="T2027" s="174"/>
      <c r="U2027" s="174"/>
      <c r="V2027" s="174"/>
      <c r="W2027" s="174"/>
      <c r="X2027" s="174"/>
      <c r="Y2027" s="174"/>
      <c r="Z2027" s="174"/>
    </row>
    <row r="2028">
      <c r="A2028" s="194"/>
      <c r="B2028" s="194"/>
      <c r="C2028" s="194"/>
      <c r="D2028" s="194"/>
      <c r="E2028" s="194"/>
      <c r="F2028" s="194"/>
      <c r="G2028" s="194"/>
      <c r="H2028" s="195"/>
      <c r="I2028" s="195"/>
      <c r="J2028" s="194"/>
      <c r="K2028" s="174"/>
      <c r="L2028" s="174"/>
      <c r="M2028" s="174"/>
      <c r="N2028" s="174"/>
      <c r="O2028" s="174"/>
      <c r="P2028" s="174"/>
      <c r="Q2028" s="174"/>
      <c r="R2028" s="174"/>
      <c r="S2028" s="174"/>
      <c r="T2028" s="174"/>
      <c r="U2028" s="174"/>
      <c r="V2028" s="174"/>
      <c r="W2028" s="174"/>
      <c r="X2028" s="174"/>
      <c r="Y2028" s="174"/>
      <c r="Z2028" s="174"/>
    </row>
    <row r="2029">
      <c r="A2029" s="194"/>
      <c r="B2029" s="194"/>
      <c r="C2029" s="194"/>
      <c r="D2029" s="194"/>
      <c r="E2029" s="194"/>
      <c r="F2029" s="194"/>
      <c r="G2029" s="194"/>
      <c r="H2029" s="195"/>
      <c r="I2029" s="195"/>
      <c r="J2029" s="194"/>
      <c r="K2029" s="174"/>
      <c r="L2029" s="174"/>
      <c r="M2029" s="174"/>
      <c r="N2029" s="174"/>
      <c r="O2029" s="174"/>
      <c r="P2029" s="174"/>
      <c r="Q2029" s="174"/>
      <c r="R2029" s="174"/>
      <c r="S2029" s="174"/>
      <c r="T2029" s="174"/>
      <c r="U2029" s="174"/>
      <c r="V2029" s="174"/>
      <c r="W2029" s="174"/>
      <c r="X2029" s="174"/>
      <c r="Y2029" s="174"/>
      <c r="Z2029" s="174"/>
    </row>
    <row r="2030">
      <c r="A2030" s="194"/>
      <c r="B2030" s="194"/>
      <c r="C2030" s="194"/>
      <c r="D2030" s="194"/>
      <c r="E2030" s="194"/>
      <c r="F2030" s="194"/>
      <c r="G2030" s="194"/>
      <c r="H2030" s="195"/>
      <c r="I2030" s="195"/>
      <c r="J2030" s="194"/>
      <c r="K2030" s="174"/>
      <c r="L2030" s="174"/>
      <c r="M2030" s="174"/>
      <c r="N2030" s="174"/>
      <c r="O2030" s="174"/>
      <c r="P2030" s="174"/>
      <c r="Q2030" s="174"/>
      <c r="R2030" s="174"/>
      <c r="S2030" s="174"/>
      <c r="T2030" s="174"/>
      <c r="U2030" s="174"/>
      <c r="V2030" s="174"/>
      <c r="W2030" s="174"/>
      <c r="X2030" s="174"/>
      <c r="Y2030" s="174"/>
      <c r="Z2030" s="174"/>
    </row>
    <row r="2031">
      <c r="A2031" s="194"/>
      <c r="B2031" s="194"/>
      <c r="C2031" s="194"/>
      <c r="D2031" s="194"/>
      <c r="E2031" s="194"/>
      <c r="F2031" s="194"/>
      <c r="G2031" s="194"/>
      <c r="H2031" s="195"/>
      <c r="I2031" s="195"/>
      <c r="J2031" s="194"/>
      <c r="K2031" s="174"/>
      <c r="L2031" s="174"/>
      <c r="M2031" s="174"/>
      <c r="N2031" s="174"/>
      <c r="O2031" s="174"/>
      <c r="P2031" s="174"/>
      <c r="Q2031" s="174"/>
      <c r="R2031" s="174"/>
      <c r="S2031" s="174"/>
      <c r="T2031" s="174"/>
      <c r="U2031" s="174"/>
      <c r="V2031" s="174"/>
      <c r="W2031" s="174"/>
      <c r="X2031" s="174"/>
      <c r="Y2031" s="174"/>
      <c r="Z2031" s="174"/>
    </row>
    <row r="2032">
      <c r="A2032" s="194"/>
      <c r="B2032" s="194"/>
      <c r="C2032" s="194"/>
      <c r="D2032" s="194"/>
      <c r="E2032" s="194"/>
      <c r="F2032" s="194"/>
      <c r="G2032" s="194"/>
      <c r="H2032" s="195"/>
      <c r="I2032" s="195"/>
      <c r="J2032" s="194"/>
      <c r="K2032" s="174"/>
      <c r="L2032" s="174"/>
      <c r="M2032" s="174"/>
      <c r="N2032" s="174"/>
      <c r="O2032" s="174"/>
      <c r="P2032" s="174"/>
      <c r="Q2032" s="174"/>
      <c r="R2032" s="174"/>
      <c r="S2032" s="174"/>
      <c r="T2032" s="174"/>
      <c r="U2032" s="174"/>
      <c r="V2032" s="174"/>
      <c r="W2032" s="174"/>
      <c r="X2032" s="174"/>
      <c r="Y2032" s="174"/>
      <c r="Z2032" s="174"/>
    </row>
    <row r="2033">
      <c r="A2033" s="194"/>
      <c r="B2033" s="194"/>
      <c r="C2033" s="194"/>
      <c r="D2033" s="194"/>
      <c r="E2033" s="194"/>
      <c r="F2033" s="194"/>
      <c r="G2033" s="194"/>
      <c r="H2033" s="195"/>
      <c r="I2033" s="195"/>
      <c r="J2033" s="194"/>
      <c r="K2033" s="174"/>
      <c r="L2033" s="174"/>
      <c r="M2033" s="174"/>
      <c r="N2033" s="174"/>
      <c r="O2033" s="174"/>
      <c r="P2033" s="174"/>
      <c r="Q2033" s="174"/>
      <c r="R2033" s="174"/>
      <c r="S2033" s="174"/>
      <c r="T2033" s="174"/>
      <c r="U2033" s="174"/>
      <c r="V2033" s="174"/>
      <c r="W2033" s="174"/>
      <c r="X2033" s="174"/>
      <c r="Y2033" s="174"/>
      <c r="Z2033" s="174"/>
    </row>
    <row r="2034">
      <c r="A2034" s="194"/>
      <c r="B2034" s="194"/>
      <c r="C2034" s="194"/>
      <c r="D2034" s="194"/>
      <c r="E2034" s="194"/>
      <c r="F2034" s="194"/>
      <c r="G2034" s="194"/>
      <c r="H2034" s="195"/>
      <c r="I2034" s="195"/>
      <c r="J2034" s="194"/>
      <c r="K2034" s="174"/>
      <c r="L2034" s="174"/>
      <c r="M2034" s="174"/>
      <c r="N2034" s="174"/>
      <c r="O2034" s="174"/>
      <c r="P2034" s="174"/>
      <c r="Q2034" s="174"/>
      <c r="R2034" s="174"/>
      <c r="S2034" s="174"/>
      <c r="T2034" s="174"/>
      <c r="U2034" s="174"/>
      <c r="V2034" s="174"/>
      <c r="W2034" s="174"/>
      <c r="X2034" s="174"/>
      <c r="Y2034" s="174"/>
      <c r="Z2034" s="174"/>
    </row>
    <row r="2035">
      <c r="A2035" s="194"/>
      <c r="B2035" s="194"/>
      <c r="C2035" s="194"/>
      <c r="D2035" s="194"/>
      <c r="E2035" s="194"/>
      <c r="F2035" s="194"/>
      <c r="G2035" s="194"/>
      <c r="H2035" s="195"/>
      <c r="I2035" s="195"/>
      <c r="J2035" s="194"/>
      <c r="K2035" s="174"/>
      <c r="L2035" s="174"/>
      <c r="M2035" s="174"/>
      <c r="N2035" s="174"/>
      <c r="O2035" s="174"/>
      <c r="P2035" s="174"/>
      <c r="Q2035" s="174"/>
      <c r="R2035" s="174"/>
      <c r="S2035" s="174"/>
      <c r="T2035" s="174"/>
      <c r="U2035" s="174"/>
      <c r="V2035" s="174"/>
      <c r="W2035" s="174"/>
      <c r="X2035" s="174"/>
      <c r="Y2035" s="174"/>
      <c r="Z2035" s="174"/>
    </row>
    <row r="2036">
      <c r="A2036" s="194"/>
      <c r="B2036" s="194"/>
      <c r="C2036" s="194"/>
      <c r="D2036" s="194"/>
      <c r="E2036" s="194"/>
      <c r="F2036" s="194"/>
      <c r="G2036" s="194"/>
      <c r="H2036" s="195"/>
      <c r="I2036" s="195"/>
      <c r="J2036" s="194"/>
      <c r="K2036" s="174"/>
      <c r="L2036" s="174"/>
      <c r="M2036" s="174"/>
      <c r="N2036" s="174"/>
      <c r="O2036" s="174"/>
      <c r="P2036" s="174"/>
      <c r="Q2036" s="174"/>
      <c r="R2036" s="174"/>
      <c r="S2036" s="174"/>
      <c r="T2036" s="174"/>
      <c r="U2036" s="174"/>
      <c r="V2036" s="174"/>
      <c r="W2036" s="174"/>
      <c r="X2036" s="174"/>
      <c r="Y2036" s="174"/>
      <c r="Z2036" s="174"/>
    </row>
    <row r="2037">
      <c r="A2037" s="194"/>
      <c r="B2037" s="194"/>
      <c r="C2037" s="194"/>
      <c r="D2037" s="194"/>
      <c r="E2037" s="194"/>
      <c r="F2037" s="194"/>
      <c r="G2037" s="194"/>
      <c r="H2037" s="195"/>
      <c r="I2037" s="195"/>
      <c r="J2037" s="194"/>
      <c r="K2037" s="174"/>
      <c r="L2037" s="174"/>
      <c r="M2037" s="174"/>
      <c r="N2037" s="174"/>
      <c r="O2037" s="174"/>
      <c r="P2037" s="174"/>
      <c r="Q2037" s="174"/>
      <c r="R2037" s="174"/>
      <c r="S2037" s="174"/>
      <c r="T2037" s="174"/>
      <c r="U2037" s="174"/>
      <c r="V2037" s="174"/>
      <c r="W2037" s="174"/>
      <c r="X2037" s="174"/>
      <c r="Y2037" s="174"/>
      <c r="Z2037" s="174"/>
    </row>
    <row r="2038">
      <c r="A2038" s="194"/>
      <c r="B2038" s="194"/>
      <c r="C2038" s="194"/>
      <c r="D2038" s="194"/>
      <c r="E2038" s="194"/>
      <c r="F2038" s="194"/>
      <c r="G2038" s="194"/>
      <c r="H2038" s="195"/>
      <c r="I2038" s="195"/>
      <c r="J2038" s="194"/>
      <c r="K2038" s="174"/>
      <c r="L2038" s="174"/>
      <c r="M2038" s="174"/>
      <c r="N2038" s="174"/>
      <c r="O2038" s="174"/>
      <c r="P2038" s="174"/>
      <c r="Q2038" s="174"/>
      <c r="R2038" s="174"/>
      <c r="S2038" s="174"/>
      <c r="T2038" s="174"/>
      <c r="U2038" s="174"/>
      <c r="V2038" s="174"/>
      <c r="W2038" s="174"/>
      <c r="X2038" s="174"/>
      <c r="Y2038" s="174"/>
      <c r="Z2038" s="174"/>
    </row>
    <row r="2039">
      <c r="A2039" s="194"/>
      <c r="B2039" s="194"/>
      <c r="C2039" s="194"/>
      <c r="D2039" s="194"/>
      <c r="E2039" s="194"/>
      <c r="F2039" s="194"/>
      <c r="G2039" s="194"/>
      <c r="H2039" s="195"/>
      <c r="I2039" s="195"/>
      <c r="J2039" s="194"/>
      <c r="K2039" s="174"/>
      <c r="L2039" s="174"/>
      <c r="M2039" s="174"/>
      <c r="N2039" s="174"/>
      <c r="O2039" s="174"/>
      <c r="P2039" s="174"/>
      <c r="Q2039" s="174"/>
      <c r="R2039" s="174"/>
      <c r="S2039" s="174"/>
      <c r="T2039" s="174"/>
      <c r="U2039" s="174"/>
      <c r="V2039" s="174"/>
      <c r="W2039" s="174"/>
      <c r="X2039" s="174"/>
      <c r="Y2039" s="174"/>
      <c r="Z2039" s="174"/>
    </row>
    <row r="2040">
      <c r="A2040" s="194"/>
      <c r="B2040" s="194"/>
      <c r="C2040" s="194"/>
      <c r="D2040" s="194"/>
      <c r="E2040" s="194"/>
      <c r="F2040" s="194"/>
      <c r="G2040" s="194"/>
      <c r="H2040" s="195"/>
      <c r="I2040" s="195"/>
      <c r="J2040" s="194"/>
      <c r="K2040" s="174"/>
      <c r="L2040" s="174"/>
      <c r="M2040" s="174"/>
      <c r="N2040" s="174"/>
      <c r="O2040" s="174"/>
      <c r="P2040" s="174"/>
      <c r="Q2040" s="174"/>
      <c r="R2040" s="174"/>
      <c r="S2040" s="174"/>
      <c r="T2040" s="174"/>
      <c r="U2040" s="174"/>
      <c r="V2040" s="174"/>
      <c r="W2040" s="174"/>
      <c r="X2040" s="174"/>
      <c r="Y2040" s="174"/>
      <c r="Z2040" s="174"/>
    </row>
    <row r="2041">
      <c r="A2041" s="194"/>
      <c r="B2041" s="194"/>
      <c r="C2041" s="194"/>
      <c r="D2041" s="194"/>
      <c r="E2041" s="194"/>
      <c r="F2041" s="194"/>
      <c r="G2041" s="194"/>
      <c r="H2041" s="195"/>
      <c r="I2041" s="195"/>
      <c r="J2041" s="194"/>
      <c r="K2041" s="174"/>
      <c r="L2041" s="174"/>
      <c r="M2041" s="174"/>
      <c r="N2041" s="174"/>
      <c r="O2041" s="174"/>
      <c r="P2041" s="174"/>
      <c r="Q2041" s="174"/>
      <c r="R2041" s="174"/>
      <c r="S2041" s="174"/>
      <c r="T2041" s="174"/>
      <c r="U2041" s="174"/>
      <c r="V2041" s="174"/>
      <c r="W2041" s="174"/>
      <c r="X2041" s="174"/>
      <c r="Y2041" s="174"/>
      <c r="Z2041" s="174"/>
    </row>
    <row r="2042">
      <c r="A2042" s="194"/>
      <c r="B2042" s="194"/>
      <c r="C2042" s="194"/>
      <c r="D2042" s="194"/>
      <c r="E2042" s="194"/>
      <c r="F2042" s="194"/>
      <c r="G2042" s="194"/>
      <c r="H2042" s="195"/>
      <c r="I2042" s="195"/>
      <c r="J2042" s="194"/>
      <c r="K2042" s="174"/>
      <c r="L2042" s="174"/>
      <c r="M2042" s="174"/>
      <c r="N2042" s="174"/>
      <c r="O2042" s="174"/>
      <c r="P2042" s="174"/>
      <c r="Q2042" s="174"/>
      <c r="R2042" s="174"/>
      <c r="S2042" s="174"/>
      <c r="T2042" s="174"/>
      <c r="U2042" s="174"/>
      <c r="V2042" s="174"/>
      <c r="W2042" s="174"/>
      <c r="X2042" s="174"/>
      <c r="Y2042" s="174"/>
      <c r="Z2042" s="174"/>
    </row>
    <row r="2043">
      <c r="A2043" s="194"/>
      <c r="B2043" s="194"/>
      <c r="C2043" s="194"/>
      <c r="D2043" s="194"/>
      <c r="E2043" s="194"/>
      <c r="F2043" s="194"/>
      <c r="G2043" s="194"/>
      <c r="H2043" s="195"/>
      <c r="I2043" s="195"/>
      <c r="J2043" s="194"/>
      <c r="K2043" s="174"/>
      <c r="L2043" s="174"/>
      <c r="M2043" s="174"/>
      <c r="N2043" s="174"/>
      <c r="O2043" s="174"/>
      <c r="P2043" s="174"/>
      <c r="Q2043" s="174"/>
      <c r="R2043" s="174"/>
      <c r="S2043" s="174"/>
      <c r="T2043" s="174"/>
      <c r="U2043" s="174"/>
      <c r="V2043" s="174"/>
      <c r="W2043" s="174"/>
      <c r="X2043" s="174"/>
      <c r="Y2043" s="174"/>
      <c r="Z2043" s="174"/>
    </row>
    <row r="2044">
      <c r="A2044" s="194"/>
      <c r="B2044" s="194"/>
      <c r="C2044" s="194"/>
      <c r="D2044" s="194"/>
      <c r="E2044" s="194"/>
      <c r="F2044" s="194"/>
      <c r="G2044" s="194"/>
      <c r="H2044" s="195"/>
      <c r="I2044" s="195"/>
      <c r="J2044" s="194"/>
      <c r="K2044" s="174"/>
      <c r="L2044" s="174"/>
      <c r="M2044" s="174"/>
      <c r="N2044" s="174"/>
      <c r="O2044" s="174"/>
      <c r="P2044" s="174"/>
      <c r="Q2044" s="174"/>
      <c r="R2044" s="174"/>
      <c r="S2044" s="174"/>
      <c r="T2044" s="174"/>
      <c r="U2044" s="174"/>
      <c r="V2044" s="174"/>
      <c r="W2044" s="174"/>
      <c r="X2044" s="174"/>
      <c r="Y2044" s="174"/>
      <c r="Z2044" s="174"/>
    </row>
    <row r="2045">
      <c r="A2045" s="194"/>
      <c r="B2045" s="194"/>
      <c r="C2045" s="194"/>
      <c r="D2045" s="194"/>
      <c r="E2045" s="194"/>
      <c r="F2045" s="194"/>
      <c r="G2045" s="194"/>
      <c r="H2045" s="195"/>
      <c r="I2045" s="195"/>
      <c r="J2045" s="194"/>
      <c r="K2045" s="174"/>
      <c r="L2045" s="174"/>
      <c r="M2045" s="174"/>
      <c r="N2045" s="174"/>
      <c r="O2045" s="174"/>
      <c r="P2045" s="174"/>
      <c r="Q2045" s="174"/>
      <c r="R2045" s="174"/>
      <c r="S2045" s="174"/>
      <c r="T2045" s="174"/>
      <c r="U2045" s="174"/>
      <c r="V2045" s="174"/>
      <c r="W2045" s="174"/>
      <c r="X2045" s="174"/>
      <c r="Y2045" s="174"/>
      <c r="Z2045" s="174"/>
    </row>
    <row r="2046">
      <c r="A2046" s="194"/>
      <c r="B2046" s="194"/>
      <c r="C2046" s="194"/>
      <c r="D2046" s="194"/>
      <c r="E2046" s="194"/>
      <c r="F2046" s="194"/>
      <c r="G2046" s="194"/>
      <c r="H2046" s="195"/>
      <c r="I2046" s="195"/>
      <c r="J2046" s="194"/>
      <c r="K2046" s="174"/>
      <c r="L2046" s="174"/>
      <c r="M2046" s="174"/>
      <c r="N2046" s="174"/>
      <c r="O2046" s="174"/>
      <c r="P2046" s="174"/>
      <c r="Q2046" s="174"/>
      <c r="R2046" s="174"/>
      <c r="S2046" s="174"/>
      <c r="T2046" s="174"/>
      <c r="U2046" s="174"/>
      <c r="V2046" s="174"/>
      <c r="W2046" s="174"/>
      <c r="X2046" s="174"/>
      <c r="Y2046" s="174"/>
      <c r="Z2046" s="174"/>
    </row>
    <row r="2047">
      <c r="A2047" s="194"/>
      <c r="B2047" s="194"/>
      <c r="C2047" s="194"/>
      <c r="D2047" s="194"/>
      <c r="E2047" s="194"/>
      <c r="F2047" s="194"/>
      <c r="G2047" s="194"/>
      <c r="H2047" s="195"/>
      <c r="I2047" s="195"/>
      <c r="J2047" s="194"/>
      <c r="K2047" s="174"/>
      <c r="L2047" s="174"/>
      <c r="M2047" s="174"/>
      <c r="N2047" s="174"/>
      <c r="O2047" s="174"/>
      <c r="P2047" s="174"/>
      <c r="Q2047" s="174"/>
      <c r="R2047" s="174"/>
      <c r="S2047" s="174"/>
      <c r="T2047" s="174"/>
      <c r="U2047" s="174"/>
      <c r="V2047" s="174"/>
      <c r="W2047" s="174"/>
      <c r="X2047" s="174"/>
      <c r="Y2047" s="174"/>
      <c r="Z2047" s="174"/>
    </row>
    <row r="2048">
      <c r="A2048" s="194"/>
      <c r="B2048" s="194"/>
      <c r="C2048" s="194"/>
      <c r="D2048" s="194"/>
      <c r="E2048" s="194"/>
      <c r="F2048" s="194"/>
      <c r="G2048" s="194"/>
      <c r="H2048" s="195"/>
      <c r="I2048" s="195"/>
      <c r="J2048" s="194"/>
      <c r="K2048" s="174"/>
      <c r="L2048" s="174"/>
      <c r="M2048" s="174"/>
      <c r="N2048" s="174"/>
      <c r="O2048" s="174"/>
      <c r="P2048" s="174"/>
      <c r="Q2048" s="174"/>
      <c r="R2048" s="174"/>
      <c r="S2048" s="174"/>
      <c r="T2048" s="174"/>
      <c r="U2048" s="174"/>
      <c r="V2048" s="174"/>
      <c r="W2048" s="174"/>
      <c r="X2048" s="174"/>
      <c r="Y2048" s="174"/>
      <c r="Z2048" s="174"/>
    </row>
    <row r="2049">
      <c r="A2049" s="194"/>
      <c r="B2049" s="194"/>
      <c r="C2049" s="194"/>
      <c r="D2049" s="194"/>
      <c r="E2049" s="194"/>
      <c r="F2049" s="194"/>
      <c r="G2049" s="194"/>
      <c r="H2049" s="195"/>
      <c r="I2049" s="195"/>
      <c r="J2049" s="194"/>
      <c r="K2049" s="174"/>
      <c r="L2049" s="174"/>
      <c r="M2049" s="174"/>
      <c r="N2049" s="174"/>
      <c r="O2049" s="174"/>
      <c r="P2049" s="174"/>
      <c r="Q2049" s="174"/>
      <c r="R2049" s="174"/>
      <c r="S2049" s="174"/>
      <c r="T2049" s="174"/>
      <c r="U2049" s="174"/>
      <c r="V2049" s="174"/>
      <c r="W2049" s="174"/>
      <c r="X2049" s="174"/>
      <c r="Y2049" s="174"/>
      <c r="Z2049" s="174"/>
    </row>
    <row r="2050">
      <c r="A2050" s="194"/>
      <c r="B2050" s="194"/>
      <c r="C2050" s="194"/>
      <c r="D2050" s="194"/>
      <c r="E2050" s="194"/>
      <c r="F2050" s="194"/>
      <c r="G2050" s="194"/>
      <c r="H2050" s="195"/>
      <c r="I2050" s="195"/>
      <c r="J2050" s="194"/>
      <c r="K2050" s="174"/>
      <c r="L2050" s="174"/>
      <c r="M2050" s="174"/>
      <c r="N2050" s="174"/>
      <c r="O2050" s="174"/>
      <c r="P2050" s="174"/>
      <c r="Q2050" s="174"/>
      <c r="R2050" s="174"/>
      <c r="S2050" s="174"/>
      <c r="T2050" s="174"/>
      <c r="U2050" s="174"/>
      <c r="V2050" s="174"/>
      <c r="W2050" s="174"/>
      <c r="X2050" s="174"/>
      <c r="Y2050" s="174"/>
      <c r="Z2050" s="174"/>
    </row>
    <row r="2051">
      <c r="A2051" s="194"/>
      <c r="B2051" s="194"/>
      <c r="C2051" s="194"/>
      <c r="D2051" s="194"/>
      <c r="E2051" s="194"/>
      <c r="F2051" s="194"/>
      <c r="G2051" s="194"/>
      <c r="H2051" s="195"/>
      <c r="I2051" s="195"/>
      <c r="J2051" s="194"/>
      <c r="K2051" s="174"/>
      <c r="L2051" s="174"/>
      <c r="M2051" s="174"/>
      <c r="N2051" s="174"/>
      <c r="O2051" s="174"/>
      <c r="P2051" s="174"/>
      <c r="Q2051" s="174"/>
      <c r="R2051" s="174"/>
      <c r="S2051" s="174"/>
      <c r="T2051" s="174"/>
      <c r="U2051" s="174"/>
      <c r="V2051" s="174"/>
      <c r="W2051" s="174"/>
      <c r="X2051" s="174"/>
      <c r="Y2051" s="174"/>
      <c r="Z2051" s="174"/>
    </row>
    <row r="2052">
      <c r="A2052" s="194"/>
      <c r="B2052" s="194"/>
      <c r="C2052" s="194"/>
      <c r="D2052" s="194"/>
      <c r="E2052" s="194"/>
      <c r="F2052" s="194"/>
      <c r="G2052" s="194"/>
      <c r="H2052" s="195"/>
      <c r="I2052" s="195"/>
      <c r="J2052" s="194"/>
      <c r="K2052" s="174"/>
      <c r="L2052" s="174"/>
      <c r="M2052" s="174"/>
      <c r="N2052" s="174"/>
      <c r="O2052" s="174"/>
      <c r="P2052" s="174"/>
      <c r="Q2052" s="174"/>
      <c r="R2052" s="174"/>
      <c r="S2052" s="174"/>
      <c r="T2052" s="174"/>
      <c r="U2052" s="174"/>
      <c r="V2052" s="174"/>
      <c r="W2052" s="174"/>
      <c r="X2052" s="174"/>
      <c r="Y2052" s="174"/>
      <c r="Z2052" s="174"/>
    </row>
    <row r="2053">
      <c r="A2053" s="194"/>
      <c r="B2053" s="194"/>
      <c r="C2053" s="194"/>
      <c r="D2053" s="194"/>
      <c r="E2053" s="194"/>
      <c r="F2053" s="194"/>
      <c r="G2053" s="194"/>
      <c r="H2053" s="195"/>
      <c r="I2053" s="195"/>
      <c r="J2053" s="194"/>
      <c r="K2053" s="174"/>
      <c r="L2053" s="174"/>
      <c r="M2053" s="174"/>
      <c r="N2053" s="174"/>
      <c r="O2053" s="174"/>
      <c r="P2053" s="174"/>
      <c r="Q2053" s="174"/>
      <c r="R2053" s="174"/>
      <c r="S2053" s="174"/>
      <c r="T2053" s="174"/>
      <c r="U2053" s="174"/>
      <c r="V2053" s="174"/>
      <c r="W2053" s="174"/>
      <c r="X2053" s="174"/>
      <c r="Y2053" s="174"/>
      <c r="Z2053" s="174"/>
    </row>
    <row r="2054">
      <c r="A2054" s="194"/>
      <c r="B2054" s="194"/>
      <c r="C2054" s="194"/>
      <c r="D2054" s="194"/>
      <c r="E2054" s="194"/>
      <c r="F2054" s="194"/>
      <c r="G2054" s="194"/>
      <c r="H2054" s="195"/>
      <c r="I2054" s="195"/>
      <c r="J2054" s="194"/>
      <c r="K2054" s="174"/>
      <c r="L2054" s="174"/>
      <c r="M2054" s="174"/>
      <c r="N2054" s="174"/>
      <c r="O2054" s="174"/>
      <c r="P2054" s="174"/>
      <c r="Q2054" s="174"/>
      <c r="R2054" s="174"/>
      <c r="S2054" s="174"/>
      <c r="T2054" s="174"/>
      <c r="U2054" s="174"/>
      <c r="V2054" s="174"/>
      <c r="W2054" s="174"/>
      <c r="X2054" s="174"/>
      <c r="Y2054" s="174"/>
      <c r="Z2054" s="174"/>
    </row>
    <row r="2055">
      <c r="A2055" s="194"/>
      <c r="B2055" s="194"/>
      <c r="C2055" s="194"/>
      <c r="D2055" s="194"/>
      <c r="E2055" s="194"/>
      <c r="F2055" s="194"/>
      <c r="G2055" s="194"/>
      <c r="H2055" s="195"/>
      <c r="I2055" s="195"/>
      <c r="J2055" s="194"/>
      <c r="K2055" s="174"/>
      <c r="L2055" s="174"/>
      <c r="M2055" s="174"/>
      <c r="N2055" s="174"/>
      <c r="O2055" s="174"/>
      <c r="P2055" s="174"/>
      <c r="Q2055" s="174"/>
      <c r="R2055" s="174"/>
      <c r="S2055" s="174"/>
      <c r="T2055" s="174"/>
      <c r="U2055" s="174"/>
      <c r="V2055" s="174"/>
      <c r="W2055" s="174"/>
      <c r="X2055" s="174"/>
      <c r="Y2055" s="174"/>
      <c r="Z2055" s="174"/>
    </row>
    <row r="2056">
      <c r="A2056" s="194"/>
      <c r="B2056" s="194"/>
      <c r="C2056" s="194"/>
      <c r="D2056" s="194"/>
      <c r="E2056" s="194"/>
      <c r="F2056" s="194"/>
      <c r="G2056" s="194"/>
      <c r="H2056" s="195"/>
      <c r="I2056" s="195"/>
      <c r="J2056" s="194"/>
      <c r="K2056" s="174"/>
      <c r="L2056" s="174"/>
      <c r="M2056" s="174"/>
      <c r="N2056" s="174"/>
      <c r="O2056" s="174"/>
      <c r="P2056" s="174"/>
      <c r="Q2056" s="174"/>
      <c r="R2056" s="174"/>
      <c r="S2056" s="174"/>
      <c r="T2056" s="174"/>
      <c r="U2056" s="174"/>
      <c r="V2056" s="174"/>
      <c r="W2056" s="174"/>
      <c r="X2056" s="174"/>
      <c r="Y2056" s="174"/>
      <c r="Z2056" s="174"/>
    </row>
    <row r="2057">
      <c r="A2057" s="194"/>
      <c r="B2057" s="194"/>
      <c r="C2057" s="194"/>
      <c r="D2057" s="194"/>
      <c r="E2057" s="194"/>
      <c r="F2057" s="194"/>
      <c r="G2057" s="194"/>
      <c r="H2057" s="195"/>
      <c r="I2057" s="195"/>
      <c r="J2057" s="194"/>
      <c r="K2057" s="174"/>
      <c r="L2057" s="174"/>
      <c r="M2057" s="174"/>
      <c r="N2057" s="174"/>
      <c r="O2057" s="174"/>
      <c r="P2057" s="174"/>
      <c r="Q2057" s="174"/>
      <c r="R2057" s="174"/>
      <c r="S2057" s="174"/>
      <c r="T2057" s="174"/>
      <c r="U2057" s="174"/>
      <c r="V2057" s="174"/>
      <c r="W2057" s="174"/>
      <c r="X2057" s="174"/>
      <c r="Y2057" s="174"/>
      <c r="Z2057" s="174"/>
    </row>
    <row r="2058">
      <c r="A2058" s="194"/>
      <c r="B2058" s="194"/>
      <c r="C2058" s="194"/>
      <c r="D2058" s="194"/>
      <c r="E2058" s="194"/>
      <c r="F2058" s="194"/>
      <c r="G2058" s="194"/>
      <c r="H2058" s="195"/>
      <c r="I2058" s="195"/>
      <c r="J2058" s="194"/>
      <c r="K2058" s="174"/>
      <c r="L2058" s="174"/>
      <c r="M2058" s="174"/>
      <c r="N2058" s="174"/>
      <c r="O2058" s="174"/>
      <c r="P2058" s="174"/>
      <c r="Q2058" s="174"/>
      <c r="R2058" s="174"/>
      <c r="S2058" s="174"/>
      <c r="T2058" s="174"/>
      <c r="U2058" s="174"/>
      <c r="V2058" s="174"/>
      <c r="W2058" s="174"/>
      <c r="X2058" s="174"/>
      <c r="Y2058" s="174"/>
      <c r="Z2058" s="174"/>
    </row>
    <row r="2059">
      <c r="A2059" s="194"/>
      <c r="B2059" s="194"/>
      <c r="C2059" s="194"/>
      <c r="D2059" s="194"/>
      <c r="E2059" s="194"/>
      <c r="F2059" s="194"/>
      <c r="G2059" s="194"/>
      <c r="H2059" s="195"/>
      <c r="I2059" s="195"/>
      <c r="J2059" s="194"/>
      <c r="K2059" s="174"/>
      <c r="L2059" s="174"/>
      <c r="M2059" s="174"/>
      <c r="N2059" s="174"/>
      <c r="O2059" s="174"/>
      <c r="P2059" s="174"/>
      <c r="Q2059" s="174"/>
      <c r="R2059" s="174"/>
      <c r="S2059" s="174"/>
      <c r="T2059" s="174"/>
      <c r="U2059" s="174"/>
      <c r="V2059" s="174"/>
      <c r="W2059" s="174"/>
      <c r="X2059" s="174"/>
      <c r="Y2059" s="174"/>
      <c r="Z2059" s="174"/>
    </row>
    <row r="2060">
      <c r="A2060" s="194"/>
      <c r="B2060" s="194"/>
      <c r="C2060" s="194"/>
      <c r="D2060" s="194"/>
      <c r="E2060" s="194"/>
      <c r="F2060" s="194"/>
      <c r="G2060" s="194"/>
      <c r="H2060" s="195"/>
      <c r="I2060" s="195"/>
      <c r="J2060" s="194"/>
      <c r="K2060" s="174"/>
      <c r="L2060" s="174"/>
      <c r="M2060" s="174"/>
      <c r="N2060" s="174"/>
      <c r="O2060" s="174"/>
      <c r="P2060" s="174"/>
      <c r="Q2060" s="174"/>
      <c r="R2060" s="174"/>
      <c r="S2060" s="174"/>
      <c r="T2060" s="174"/>
      <c r="U2060" s="174"/>
      <c r="V2060" s="174"/>
      <c r="W2060" s="174"/>
      <c r="X2060" s="174"/>
      <c r="Y2060" s="174"/>
      <c r="Z2060" s="174"/>
    </row>
    <row r="2061">
      <c r="A2061" s="194"/>
      <c r="B2061" s="194"/>
      <c r="C2061" s="194"/>
      <c r="D2061" s="194"/>
      <c r="E2061" s="194"/>
      <c r="F2061" s="194"/>
      <c r="G2061" s="194"/>
      <c r="H2061" s="195"/>
      <c r="I2061" s="195"/>
      <c r="J2061" s="194"/>
      <c r="K2061" s="174"/>
      <c r="L2061" s="174"/>
      <c r="M2061" s="174"/>
      <c r="N2061" s="174"/>
      <c r="O2061" s="174"/>
      <c r="P2061" s="174"/>
      <c r="Q2061" s="174"/>
      <c r="R2061" s="174"/>
      <c r="S2061" s="174"/>
      <c r="T2061" s="174"/>
      <c r="U2061" s="174"/>
      <c r="V2061" s="174"/>
      <c r="W2061" s="174"/>
      <c r="X2061" s="174"/>
      <c r="Y2061" s="174"/>
      <c r="Z2061" s="174"/>
    </row>
    <row r="2062">
      <c r="A2062" s="194"/>
      <c r="B2062" s="194"/>
      <c r="C2062" s="194"/>
      <c r="D2062" s="194"/>
      <c r="E2062" s="194"/>
      <c r="F2062" s="194"/>
      <c r="G2062" s="194"/>
      <c r="H2062" s="195"/>
      <c r="I2062" s="195"/>
      <c r="J2062" s="194"/>
      <c r="K2062" s="174"/>
      <c r="L2062" s="174"/>
      <c r="M2062" s="174"/>
      <c r="N2062" s="174"/>
      <c r="O2062" s="174"/>
      <c r="P2062" s="174"/>
      <c r="Q2062" s="174"/>
      <c r="R2062" s="174"/>
      <c r="S2062" s="174"/>
      <c r="T2062" s="174"/>
      <c r="U2062" s="174"/>
      <c r="V2062" s="174"/>
      <c r="W2062" s="174"/>
      <c r="X2062" s="174"/>
      <c r="Y2062" s="174"/>
      <c r="Z2062" s="174"/>
    </row>
    <row r="2063">
      <c r="A2063" s="194"/>
      <c r="B2063" s="194"/>
      <c r="C2063" s="194"/>
      <c r="D2063" s="194"/>
      <c r="E2063" s="194"/>
      <c r="F2063" s="194"/>
      <c r="G2063" s="194"/>
      <c r="H2063" s="195"/>
      <c r="I2063" s="195"/>
      <c r="J2063" s="194"/>
      <c r="K2063" s="174"/>
      <c r="L2063" s="174"/>
      <c r="M2063" s="174"/>
      <c r="N2063" s="174"/>
      <c r="O2063" s="174"/>
      <c r="P2063" s="174"/>
      <c r="Q2063" s="174"/>
      <c r="R2063" s="174"/>
      <c r="S2063" s="174"/>
      <c r="T2063" s="174"/>
      <c r="U2063" s="174"/>
      <c r="V2063" s="174"/>
      <c r="W2063" s="174"/>
      <c r="X2063" s="174"/>
      <c r="Y2063" s="174"/>
      <c r="Z2063" s="174"/>
    </row>
    <row r="2064">
      <c r="A2064" s="194"/>
      <c r="B2064" s="194"/>
      <c r="C2064" s="194"/>
      <c r="D2064" s="194"/>
      <c r="E2064" s="194"/>
      <c r="F2064" s="194"/>
      <c r="G2064" s="194"/>
      <c r="H2064" s="195"/>
      <c r="I2064" s="195"/>
      <c r="J2064" s="194"/>
      <c r="K2064" s="174"/>
      <c r="L2064" s="174"/>
      <c r="M2064" s="174"/>
      <c r="N2064" s="174"/>
      <c r="O2064" s="174"/>
      <c r="P2064" s="174"/>
      <c r="Q2064" s="174"/>
      <c r="R2064" s="174"/>
      <c r="S2064" s="174"/>
      <c r="T2064" s="174"/>
      <c r="U2064" s="174"/>
      <c r="V2064" s="174"/>
      <c r="W2064" s="174"/>
      <c r="X2064" s="174"/>
      <c r="Y2064" s="174"/>
      <c r="Z2064" s="174"/>
    </row>
    <row r="2065">
      <c r="A2065" s="194"/>
      <c r="B2065" s="194"/>
      <c r="C2065" s="194"/>
      <c r="D2065" s="194"/>
      <c r="E2065" s="194"/>
      <c r="F2065" s="194"/>
      <c r="G2065" s="194"/>
      <c r="H2065" s="195"/>
      <c r="I2065" s="195"/>
      <c r="J2065" s="194"/>
      <c r="K2065" s="174"/>
      <c r="L2065" s="174"/>
      <c r="M2065" s="174"/>
      <c r="N2065" s="174"/>
      <c r="O2065" s="174"/>
      <c r="P2065" s="174"/>
      <c r="Q2065" s="174"/>
      <c r="R2065" s="174"/>
      <c r="S2065" s="174"/>
      <c r="T2065" s="174"/>
      <c r="U2065" s="174"/>
      <c r="V2065" s="174"/>
      <c r="W2065" s="174"/>
      <c r="X2065" s="174"/>
      <c r="Y2065" s="174"/>
      <c r="Z2065" s="174"/>
    </row>
    <row r="2066">
      <c r="A2066" s="194"/>
      <c r="B2066" s="194"/>
      <c r="C2066" s="194"/>
      <c r="D2066" s="194"/>
      <c r="E2066" s="194"/>
      <c r="F2066" s="194"/>
      <c r="G2066" s="194"/>
      <c r="H2066" s="195"/>
      <c r="I2066" s="195"/>
      <c r="J2066" s="194"/>
      <c r="K2066" s="174"/>
      <c r="L2066" s="174"/>
      <c r="M2066" s="174"/>
      <c r="N2066" s="174"/>
      <c r="O2066" s="174"/>
      <c r="P2066" s="174"/>
      <c r="Q2066" s="174"/>
      <c r="R2066" s="174"/>
      <c r="S2066" s="174"/>
      <c r="T2066" s="174"/>
      <c r="U2066" s="174"/>
      <c r="V2066" s="174"/>
      <c r="W2066" s="174"/>
      <c r="X2066" s="174"/>
      <c r="Y2066" s="174"/>
      <c r="Z2066" s="174"/>
    </row>
    <row r="2067">
      <c r="A2067" s="194"/>
      <c r="B2067" s="194"/>
      <c r="C2067" s="194"/>
      <c r="D2067" s="194"/>
      <c r="E2067" s="194"/>
      <c r="F2067" s="194"/>
      <c r="G2067" s="194"/>
      <c r="H2067" s="195"/>
      <c r="I2067" s="195"/>
      <c r="J2067" s="194"/>
      <c r="K2067" s="174"/>
      <c r="L2067" s="174"/>
      <c r="M2067" s="174"/>
      <c r="N2067" s="174"/>
      <c r="O2067" s="174"/>
      <c r="P2067" s="174"/>
      <c r="Q2067" s="174"/>
      <c r="R2067" s="174"/>
      <c r="S2067" s="174"/>
      <c r="T2067" s="174"/>
      <c r="U2067" s="174"/>
      <c r="V2067" s="174"/>
      <c r="W2067" s="174"/>
      <c r="X2067" s="174"/>
      <c r="Y2067" s="174"/>
      <c r="Z2067" s="174"/>
    </row>
    <row r="2068">
      <c r="A2068" s="194"/>
      <c r="B2068" s="194"/>
      <c r="C2068" s="194"/>
      <c r="D2068" s="194"/>
      <c r="E2068" s="194"/>
      <c r="F2068" s="194"/>
      <c r="G2068" s="194"/>
      <c r="H2068" s="195"/>
      <c r="I2068" s="195"/>
      <c r="J2068" s="194"/>
      <c r="K2068" s="174"/>
      <c r="L2068" s="174"/>
      <c r="M2068" s="174"/>
      <c r="N2068" s="174"/>
      <c r="O2068" s="174"/>
      <c r="P2068" s="174"/>
      <c r="Q2068" s="174"/>
      <c r="R2068" s="174"/>
      <c r="S2068" s="174"/>
      <c r="T2068" s="174"/>
      <c r="U2068" s="174"/>
      <c r="V2068" s="174"/>
      <c r="W2068" s="174"/>
      <c r="X2068" s="174"/>
      <c r="Y2068" s="174"/>
      <c r="Z2068" s="174"/>
    </row>
    <row r="2069">
      <c r="A2069" s="194"/>
      <c r="B2069" s="194"/>
      <c r="C2069" s="194"/>
      <c r="D2069" s="194"/>
      <c r="E2069" s="194"/>
      <c r="F2069" s="194"/>
      <c r="G2069" s="194"/>
      <c r="H2069" s="195"/>
      <c r="I2069" s="195"/>
      <c r="J2069" s="194"/>
      <c r="K2069" s="174"/>
      <c r="L2069" s="174"/>
      <c r="M2069" s="174"/>
      <c r="N2069" s="174"/>
      <c r="O2069" s="174"/>
      <c r="P2069" s="174"/>
      <c r="Q2069" s="174"/>
      <c r="R2069" s="174"/>
      <c r="S2069" s="174"/>
      <c r="T2069" s="174"/>
      <c r="U2069" s="174"/>
      <c r="V2069" s="174"/>
      <c r="W2069" s="174"/>
      <c r="X2069" s="174"/>
      <c r="Y2069" s="174"/>
      <c r="Z2069" s="174"/>
    </row>
    <row r="2070">
      <c r="A2070" s="194"/>
      <c r="B2070" s="194"/>
      <c r="C2070" s="194"/>
      <c r="D2070" s="194"/>
      <c r="E2070" s="194"/>
      <c r="F2070" s="194"/>
      <c r="G2070" s="194"/>
      <c r="H2070" s="195"/>
      <c r="I2070" s="195"/>
      <c r="J2070" s="194"/>
      <c r="K2070" s="174"/>
      <c r="L2070" s="174"/>
      <c r="M2070" s="174"/>
      <c r="N2070" s="174"/>
      <c r="O2070" s="174"/>
      <c r="P2070" s="174"/>
      <c r="Q2070" s="174"/>
      <c r="R2070" s="174"/>
      <c r="S2070" s="174"/>
      <c r="T2070" s="174"/>
      <c r="U2070" s="174"/>
      <c r="V2070" s="174"/>
      <c r="W2070" s="174"/>
      <c r="X2070" s="174"/>
      <c r="Y2070" s="174"/>
      <c r="Z2070" s="174"/>
    </row>
    <row r="2071">
      <c r="A2071" s="194"/>
      <c r="B2071" s="194"/>
      <c r="C2071" s="194"/>
      <c r="D2071" s="194"/>
      <c r="E2071" s="194"/>
      <c r="F2071" s="194"/>
      <c r="G2071" s="194"/>
      <c r="H2071" s="195"/>
      <c r="I2071" s="195"/>
      <c r="J2071" s="194"/>
      <c r="K2071" s="174"/>
      <c r="L2071" s="174"/>
      <c r="M2071" s="174"/>
      <c r="N2071" s="174"/>
      <c r="O2071" s="174"/>
      <c r="P2071" s="174"/>
      <c r="Q2071" s="174"/>
      <c r="R2071" s="174"/>
      <c r="S2071" s="174"/>
      <c r="T2071" s="174"/>
      <c r="U2071" s="174"/>
      <c r="V2071" s="174"/>
      <c r="W2071" s="174"/>
      <c r="X2071" s="174"/>
      <c r="Y2071" s="174"/>
      <c r="Z2071" s="174"/>
    </row>
    <row r="2072">
      <c r="A2072" s="194"/>
      <c r="B2072" s="194"/>
      <c r="C2072" s="194"/>
      <c r="D2072" s="194"/>
      <c r="E2072" s="194"/>
      <c r="F2072" s="194"/>
      <c r="G2072" s="194"/>
      <c r="H2072" s="195"/>
      <c r="I2072" s="195"/>
      <c r="J2072" s="194"/>
      <c r="K2072" s="174"/>
      <c r="L2072" s="174"/>
      <c r="M2072" s="174"/>
      <c r="N2072" s="174"/>
      <c r="O2072" s="174"/>
      <c r="P2072" s="174"/>
      <c r="Q2072" s="174"/>
      <c r="R2072" s="174"/>
      <c r="S2072" s="174"/>
      <c r="T2072" s="174"/>
      <c r="U2072" s="174"/>
      <c r="V2072" s="174"/>
      <c r="W2072" s="174"/>
      <c r="X2072" s="174"/>
      <c r="Y2072" s="174"/>
      <c r="Z2072" s="174"/>
    </row>
    <row r="2073">
      <c r="A2073" s="194"/>
      <c r="B2073" s="194"/>
      <c r="C2073" s="194"/>
      <c r="D2073" s="194"/>
      <c r="E2073" s="194"/>
      <c r="F2073" s="194"/>
      <c r="G2073" s="194"/>
      <c r="H2073" s="195"/>
      <c r="I2073" s="195"/>
      <c r="J2073" s="194"/>
      <c r="K2073" s="174"/>
      <c r="L2073" s="174"/>
      <c r="M2073" s="174"/>
      <c r="N2073" s="174"/>
      <c r="O2073" s="174"/>
      <c r="P2073" s="174"/>
      <c r="Q2073" s="174"/>
      <c r="R2073" s="174"/>
      <c r="S2073" s="174"/>
      <c r="T2073" s="174"/>
      <c r="U2073" s="174"/>
      <c r="V2073" s="174"/>
      <c r="W2073" s="174"/>
      <c r="X2073" s="174"/>
      <c r="Y2073" s="174"/>
      <c r="Z2073" s="174"/>
    </row>
    <row r="2074">
      <c r="A2074" s="194"/>
      <c r="B2074" s="194"/>
      <c r="C2074" s="194"/>
      <c r="D2074" s="194"/>
      <c r="E2074" s="194"/>
      <c r="F2074" s="194"/>
      <c r="G2074" s="194"/>
      <c r="H2074" s="195"/>
      <c r="I2074" s="195"/>
      <c r="J2074" s="194"/>
      <c r="K2074" s="174"/>
      <c r="L2074" s="174"/>
      <c r="M2074" s="174"/>
      <c r="N2074" s="174"/>
      <c r="O2074" s="174"/>
      <c r="P2074" s="174"/>
      <c r="Q2074" s="174"/>
      <c r="R2074" s="174"/>
      <c r="S2074" s="174"/>
      <c r="T2074" s="174"/>
      <c r="U2074" s="174"/>
      <c r="V2074" s="174"/>
      <c r="W2074" s="174"/>
      <c r="X2074" s="174"/>
      <c r="Y2074" s="174"/>
      <c r="Z2074" s="174"/>
    </row>
    <row r="2075">
      <c r="A2075" s="194"/>
      <c r="B2075" s="194"/>
      <c r="C2075" s="194"/>
      <c r="D2075" s="194"/>
      <c r="E2075" s="194"/>
      <c r="F2075" s="194"/>
      <c r="G2075" s="194"/>
      <c r="H2075" s="195"/>
      <c r="I2075" s="195"/>
      <c r="J2075" s="194"/>
      <c r="K2075" s="174"/>
      <c r="L2075" s="174"/>
      <c r="M2075" s="174"/>
      <c r="N2075" s="174"/>
      <c r="O2075" s="174"/>
      <c r="P2075" s="174"/>
      <c r="Q2075" s="174"/>
      <c r="R2075" s="174"/>
      <c r="S2075" s="174"/>
      <c r="T2075" s="174"/>
      <c r="U2075" s="174"/>
      <c r="V2075" s="174"/>
      <c r="W2075" s="174"/>
      <c r="X2075" s="174"/>
      <c r="Y2075" s="174"/>
      <c r="Z2075" s="174"/>
    </row>
    <row r="2076">
      <c r="A2076" s="194"/>
      <c r="B2076" s="194"/>
      <c r="C2076" s="194"/>
      <c r="D2076" s="194"/>
      <c r="E2076" s="194"/>
      <c r="F2076" s="194"/>
      <c r="G2076" s="194"/>
      <c r="H2076" s="195"/>
      <c r="I2076" s="195"/>
      <c r="J2076" s="194"/>
      <c r="K2076" s="174"/>
      <c r="L2076" s="174"/>
      <c r="M2076" s="174"/>
      <c r="N2076" s="174"/>
      <c r="O2076" s="174"/>
      <c r="P2076" s="174"/>
      <c r="Q2076" s="174"/>
      <c r="R2076" s="174"/>
      <c r="S2076" s="174"/>
      <c r="T2076" s="174"/>
      <c r="U2076" s="174"/>
      <c r="V2076" s="174"/>
      <c r="W2076" s="174"/>
      <c r="X2076" s="174"/>
      <c r="Y2076" s="174"/>
      <c r="Z2076" s="174"/>
    </row>
    <row r="2077">
      <c r="A2077" s="194"/>
      <c r="B2077" s="194"/>
      <c r="C2077" s="194"/>
      <c r="D2077" s="194"/>
      <c r="E2077" s="194"/>
      <c r="F2077" s="194"/>
      <c r="G2077" s="194"/>
      <c r="H2077" s="195"/>
      <c r="I2077" s="195"/>
      <c r="J2077" s="194"/>
      <c r="K2077" s="174"/>
      <c r="L2077" s="174"/>
      <c r="M2077" s="174"/>
      <c r="N2077" s="174"/>
      <c r="O2077" s="174"/>
      <c r="P2077" s="174"/>
      <c r="Q2077" s="174"/>
      <c r="R2077" s="174"/>
      <c r="S2077" s="174"/>
      <c r="T2077" s="174"/>
      <c r="U2077" s="174"/>
      <c r="V2077" s="174"/>
      <c r="W2077" s="174"/>
      <c r="X2077" s="174"/>
      <c r="Y2077" s="174"/>
      <c r="Z2077" s="174"/>
    </row>
    <row r="2078">
      <c r="A2078" s="194"/>
      <c r="B2078" s="194"/>
      <c r="C2078" s="194"/>
      <c r="D2078" s="194"/>
      <c r="E2078" s="194"/>
      <c r="F2078" s="194"/>
      <c r="G2078" s="194"/>
      <c r="H2078" s="195"/>
      <c r="I2078" s="195"/>
      <c r="J2078" s="194"/>
      <c r="K2078" s="174"/>
      <c r="L2078" s="174"/>
      <c r="M2078" s="174"/>
      <c r="N2078" s="174"/>
      <c r="O2078" s="174"/>
      <c r="P2078" s="174"/>
      <c r="Q2078" s="174"/>
      <c r="R2078" s="174"/>
      <c r="S2078" s="174"/>
      <c r="T2078" s="174"/>
      <c r="U2078" s="174"/>
      <c r="V2078" s="174"/>
      <c r="W2078" s="174"/>
      <c r="X2078" s="174"/>
      <c r="Y2078" s="174"/>
      <c r="Z2078" s="174"/>
    </row>
    <row r="2079">
      <c r="A2079" s="194"/>
      <c r="B2079" s="194"/>
      <c r="C2079" s="194"/>
      <c r="D2079" s="194"/>
      <c r="E2079" s="194"/>
      <c r="F2079" s="194"/>
      <c r="G2079" s="194"/>
      <c r="H2079" s="195"/>
      <c r="I2079" s="195"/>
      <c r="J2079" s="194"/>
      <c r="K2079" s="174"/>
      <c r="L2079" s="174"/>
      <c r="M2079" s="174"/>
      <c r="N2079" s="174"/>
      <c r="O2079" s="174"/>
      <c r="P2079" s="174"/>
      <c r="Q2079" s="174"/>
      <c r="R2079" s="174"/>
      <c r="S2079" s="174"/>
      <c r="T2079" s="174"/>
      <c r="U2079" s="174"/>
      <c r="V2079" s="174"/>
      <c r="W2079" s="174"/>
      <c r="X2079" s="174"/>
      <c r="Y2079" s="174"/>
      <c r="Z2079" s="174"/>
    </row>
    <row r="2080">
      <c r="A2080" s="194"/>
      <c r="B2080" s="194"/>
      <c r="C2080" s="194"/>
      <c r="D2080" s="194"/>
      <c r="E2080" s="194"/>
      <c r="F2080" s="194"/>
      <c r="G2080" s="194"/>
      <c r="H2080" s="195"/>
      <c r="I2080" s="195"/>
      <c r="J2080" s="194"/>
      <c r="K2080" s="174"/>
      <c r="L2080" s="174"/>
      <c r="M2080" s="174"/>
      <c r="N2080" s="174"/>
      <c r="O2080" s="174"/>
      <c r="P2080" s="174"/>
      <c r="Q2080" s="174"/>
      <c r="R2080" s="174"/>
      <c r="S2080" s="174"/>
      <c r="T2080" s="174"/>
      <c r="U2080" s="174"/>
      <c r="V2080" s="174"/>
      <c r="W2080" s="174"/>
      <c r="X2080" s="174"/>
      <c r="Y2080" s="174"/>
      <c r="Z2080" s="174"/>
    </row>
    <row r="2081">
      <c r="A2081" s="194"/>
      <c r="B2081" s="194"/>
      <c r="C2081" s="194"/>
      <c r="D2081" s="194"/>
      <c r="E2081" s="194"/>
      <c r="F2081" s="194"/>
      <c r="G2081" s="194"/>
      <c r="H2081" s="195"/>
      <c r="I2081" s="195"/>
      <c r="J2081" s="194"/>
      <c r="K2081" s="174"/>
      <c r="L2081" s="174"/>
      <c r="M2081" s="174"/>
      <c r="N2081" s="174"/>
      <c r="O2081" s="174"/>
      <c r="P2081" s="174"/>
      <c r="Q2081" s="174"/>
      <c r="R2081" s="174"/>
      <c r="S2081" s="174"/>
      <c r="T2081" s="174"/>
      <c r="U2081" s="174"/>
      <c r="V2081" s="174"/>
      <c r="W2081" s="174"/>
      <c r="X2081" s="174"/>
      <c r="Y2081" s="174"/>
      <c r="Z2081" s="174"/>
    </row>
    <row r="2082">
      <c r="A2082" s="194"/>
      <c r="B2082" s="194"/>
      <c r="C2082" s="194"/>
      <c r="D2082" s="194"/>
      <c r="E2082" s="194"/>
      <c r="F2082" s="194"/>
      <c r="G2082" s="194"/>
      <c r="H2082" s="195"/>
      <c r="I2082" s="195"/>
      <c r="J2082" s="194"/>
      <c r="K2082" s="174"/>
      <c r="L2082" s="174"/>
      <c r="M2082" s="174"/>
      <c r="N2082" s="174"/>
      <c r="O2082" s="174"/>
      <c r="P2082" s="174"/>
      <c r="Q2082" s="174"/>
      <c r="R2082" s="174"/>
      <c r="S2082" s="174"/>
      <c r="T2082" s="174"/>
      <c r="U2082" s="174"/>
      <c r="V2082" s="174"/>
      <c r="W2082" s="174"/>
      <c r="X2082" s="174"/>
      <c r="Y2082" s="174"/>
      <c r="Z2082" s="174"/>
    </row>
    <row r="2083">
      <c r="A2083" s="194"/>
      <c r="B2083" s="194"/>
      <c r="C2083" s="194"/>
      <c r="D2083" s="194"/>
      <c r="E2083" s="194"/>
      <c r="F2083" s="194"/>
      <c r="G2083" s="194"/>
      <c r="H2083" s="195"/>
      <c r="I2083" s="195"/>
      <c r="J2083" s="194"/>
      <c r="K2083" s="174"/>
      <c r="L2083" s="174"/>
      <c r="M2083" s="174"/>
      <c r="N2083" s="174"/>
      <c r="O2083" s="174"/>
      <c r="P2083" s="174"/>
      <c r="Q2083" s="174"/>
      <c r="R2083" s="174"/>
      <c r="S2083" s="174"/>
      <c r="T2083" s="174"/>
      <c r="U2083" s="174"/>
      <c r="V2083" s="174"/>
      <c r="W2083" s="174"/>
      <c r="X2083" s="174"/>
      <c r="Y2083" s="174"/>
      <c r="Z2083" s="174"/>
    </row>
    <row r="2084">
      <c r="A2084" s="194"/>
      <c r="B2084" s="194"/>
      <c r="C2084" s="194"/>
      <c r="D2084" s="194"/>
      <c r="E2084" s="194"/>
      <c r="F2084" s="194"/>
      <c r="G2084" s="194"/>
      <c r="H2084" s="195"/>
      <c r="I2084" s="195"/>
      <c r="J2084" s="194"/>
      <c r="K2084" s="174"/>
      <c r="L2084" s="174"/>
      <c r="M2084" s="174"/>
      <c r="N2084" s="174"/>
      <c r="O2084" s="174"/>
      <c r="P2084" s="174"/>
      <c r="Q2084" s="174"/>
      <c r="R2084" s="174"/>
      <c r="S2084" s="174"/>
      <c r="T2084" s="174"/>
      <c r="U2084" s="174"/>
      <c r="V2084" s="174"/>
      <c r="W2084" s="174"/>
      <c r="X2084" s="174"/>
      <c r="Y2084" s="174"/>
      <c r="Z2084" s="174"/>
    </row>
    <row r="2085">
      <c r="A2085" s="194"/>
      <c r="B2085" s="194"/>
      <c r="C2085" s="194"/>
      <c r="D2085" s="194"/>
      <c r="E2085" s="194"/>
      <c r="F2085" s="194"/>
      <c r="G2085" s="194"/>
      <c r="H2085" s="195"/>
      <c r="I2085" s="195"/>
      <c r="J2085" s="194"/>
      <c r="K2085" s="174"/>
      <c r="L2085" s="174"/>
      <c r="M2085" s="174"/>
      <c r="N2085" s="174"/>
      <c r="O2085" s="174"/>
      <c r="P2085" s="174"/>
      <c r="Q2085" s="174"/>
      <c r="R2085" s="174"/>
      <c r="S2085" s="174"/>
      <c r="T2085" s="174"/>
      <c r="U2085" s="174"/>
      <c r="V2085" s="174"/>
      <c r="W2085" s="174"/>
      <c r="X2085" s="174"/>
      <c r="Y2085" s="174"/>
      <c r="Z2085" s="174"/>
    </row>
    <row r="2086">
      <c r="A2086" s="194"/>
      <c r="B2086" s="194"/>
      <c r="C2086" s="194"/>
      <c r="D2086" s="194"/>
      <c r="E2086" s="194"/>
      <c r="F2086" s="194"/>
      <c r="G2086" s="194"/>
      <c r="H2086" s="195"/>
      <c r="I2086" s="195"/>
      <c r="J2086" s="194"/>
      <c r="K2086" s="174"/>
      <c r="L2086" s="174"/>
      <c r="M2086" s="174"/>
      <c r="N2086" s="174"/>
      <c r="O2086" s="174"/>
      <c r="P2086" s="174"/>
      <c r="Q2086" s="174"/>
      <c r="R2086" s="174"/>
      <c r="S2086" s="174"/>
      <c r="T2086" s="174"/>
      <c r="U2086" s="174"/>
      <c r="V2086" s="174"/>
      <c r="W2086" s="174"/>
      <c r="X2086" s="174"/>
      <c r="Y2086" s="174"/>
      <c r="Z2086" s="174"/>
    </row>
    <row r="2087">
      <c r="A2087" s="194"/>
      <c r="B2087" s="194"/>
      <c r="C2087" s="194"/>
      <c r="D2087" s="194"/>
      <c r="E2087" s="194"/>
      <c r="F2087" s="194"/>
      <c r="G2087" s="194"/>
      <c r="H2087" s="195"/>
      <c r="I2087" s="195"/>
      <c r="J2087" s="194"/>
      <c r="K2087" s="174"/>
      <c r="L2087" s="174"/>
      <c r="M2087" s="174"/>
      <c r="N2087" s="174"/>
      <c r="O2087" s="174"/>
      <c r="P2087" s="174"/>
      <c r="Q2087" s="174"/>
      <c r="R2087" s="174"/>
      <c r="S2087" s="174"/>
      <c r="T2087" s="174"/>
      <c r="U2087" s="174"/>
      <c r="V2087" s="174"/>
      <c r="W2087" s="174"/>
      <c r="X2087" s="174"/>
      <c r="Y2087" s="174"/>
      <c r="Z2087" s="174"/>
    </row>
    <row r="2088">
      <c r="A2088" s="194"/>
      <c r="B2088" s="194"/>
      <c r="C2088" s="194"/>
      <c r="D2088" s="194"/>
      <c r="E2088" s="194"/>
      <c r="F2088" s="194"/>
      <c r="G2088" s="194"/>
      <c r="H2088" s="195"/>
      <c r="I2088" s="195"/>
      <c r="J2088" s="194"/>
      <c r="K2088" s="174"/>
      <c r="L2088" s="174"/>
      <c r="M2088" s="174"/>
      <c r="N2088" s="174"/>
      <c r="O2088" s="174"/>
      <c r="P2088" s="174"/>
      <c r="Q2088" s="174"/>
      <c r="R2088" s="174"/>
      <c r="S2088" s="174"/>
      <c r="T2088" s="174"/>
      <c r="U2088" s="174"/>
      <c r="V2088" s="174"/>
      <c r="W2088" s="174"/>
      <c r="X2088" s="174"/>
      <c r="Y2088" s="174"/>
      <c r="Z2088" s="174"/>
    </row>
    <row r="2089">
      <c r="A2089" s="194"/>
      <c r="B2089" s="194"/>
      <c r="C2089" s="194"/>
      <c r="D2089" s="194"/>
      <c r="E2089" s="194"/>
      <c r="F2089" s="194"/>
      <c r="G2089" s="194"/>
      <c r="H2089" s="195"/>
      <c r="I2089" s="195"/>
      <c r="J2089" s="194"/>
      <c r="K2089" s="174"/>
      <c r="L2089" s="174"/>
      <c r="M2089" s="174"/>
      <c r="N2089" s="174"/>
      <c r="O2089" s="174"/>
      <c r="P2089" s="174"/>
      <c r="Q2089" s="174"/>
      <c r="R2089" s="174"/>
      <c r="S2089" s="174"/>
      <c r="T2089" s="174"/>
      <c r="U2089" s="174"/>
      <c r="V2089" s="174"/>
      <c r="W2089" s="174"/>
      <c r="X2089" s="174"/>
      <c r="Y2089" s="174"/>
      <c r="Z2089" s="174"/>
    </row>
    <row r="2090">
      <c r="A2090" s="194"/>
      <c r="B2090" s="194"/>
      <c r="C2090" s="194"/>
      <c r="D2090" s="194"/>
      <c r="E2090" s="194"/>
      <c r="F2090" s="194"/>
      <c r="G2090" s="194"/>
      <c r="H2090" s="195"/>
      <c r="I2090" s="195"/>
      <c r="J2090" s="194"/>
      <c r="K2090" s="174"/>
      <c r="L2090" s="174"/>
      <c r="M2090" s="174"/>
      <c r="N2090" s="174"/>
      <c r="O2090" s="174"/>
      <c r="P2090" s="174"/>
      <c r="Q2090" s="174"/>
      <c r="R2090" s="174"/>
      <c r="S2090" s="174"/>
      <c r="T2090" s="174"/>
      <c r="U2090" s="174"/>
      <c r="V2090" s="174"/>
      <c r="W2090" s="174"/>
      <c r="X2090" s="174"/>
      <c r="Y2090" s="174"/>
      <c r="Z2090" s="174"/>
    </row>
    <row r="2091">
      <c r="A2091" s="194"/>
      <c r="B2091" s="194"/>
      <c r="C2091" s="194"/>
      <c r="D2091" s="194"/>
      <c r="E2091" s="194"/>
      <c r="F2091" s="194"/>
      <c r="G2091" s="194"/>
      <c r="H2091" s="195"/>
      <c r="I2091" s="195"/>
      <c r="J2091" s="194"/>
      <c r="K2091" s="174"/>
      <c r="L2091" s="174"/>
      <c r="M2091" s="174"/>
      <c r="N2091" s="174"/>
      <c r="O2091" s="174"/>
      <c r="P2091" s="174"/>
      <c r="Q2091" s="174"/>
      <c r="R2091" s="174"/>
      <c r="S2091" s="174"/>
      <c r="T2091" s="174"/>
      <c r="U2091" s="174"/>
      <c r="V2091" s="174"/>
      <c r="W2091" s="174"/>
      <c r="X2091" s="174"/>
      <c r="Y2091" s="174"/>
      <c r="Z2091" s="174"/>
    </row>
    <row r="2092">
      <c r="A2092" s="194"/>
      <c r="B2092" s="194"/>
      <c r="C2092" s="194"/>
      <c r="D2092" s="194"/>
      <c r="E2092" s="194"/>
      <c r="F2092" s="194"/>
      <c r="G2092" s="194"/>
      <c r="H2092" s="195"/>
      <c r="I2092" s="195"/>
      <c r="J2092" s="194"/>
      <c r="K2092" s="174"/>
      <c r="L2092" s="174"/>
      <c r="M2092" s="174"/>
      <c r="N2092" s="174"/>
      <c r="O2092" s="174"/>
      <c r="P2092" s="174"/>
      <c r="Q2092" s="174"/>
      <c r="R2092" s="174"/>
      <c r="S2092" s="174"/>
      <c r="T2092" s="174"/>
      <c r="U2092" s="174"/>
      <c r="V2092" s="174"/>
      <c r="W2092" s="174"/>
      <c r="X2092" s="174"/>
      <c r="Y2092" s="174"/>
      <c r="Z2092" s="174"/>
    </row>
    <row r="2093">
      <c r="A2093" s="194"/>
      <c r="B2093" s="194"/>
      <c r="C2093" s="194"/>
      <c r="D2093" s="194"/>
      <c r="E2093" s="194"/>
      <c r="F2093" s="194"/>
      <c r="G2093" s="194"/>
      <c r="H2093" s="195"/>
      <c r="I2093" s="195"/>
      <c r="J2093" s="194"/>
      <c r="K2093" s="174"/>
      <c r="L2093" s="174"/>
      <c r="M2093" s="174"/>
      <c r="N2093" s="174"/>
      <c r="O2093" s="174"/>
      <c r="P2093" s="174"/>
      <c r="Q2093" s="174"/>
      <c r="R2093" s="174"/>
      <c r="S2093" s="174"/>
      <c r="T2093" s="174"/>
      <c r="U2093" s="174"/>
      <c r="V2093" s="174"/>
      <c r="W2093" s="174"/>
      <c r="X2093" s="174"/>
      <c r="Y2093" s="174"/>
      <c r="Z2093" s="174"/>
    </row>
    <row r="2094">
      <c r="A2094" s="194"/>
      <c r="B2094" s="194"/>
      <c r="C2094" s="194"/>
      <c r="D2094" s="194"/>
      <c r="E2094" s="194"/>
      <c r="F2094" s="194"/>
      <c r="G2094" s="194"/>
      <c r="H2094" s="195"/>
      <c r="I2094" s="195"/>
      <c r="J2094" s="194"/>
      <c r="K2094" s="174"/>
      <c r="L2094" s="174"/>
      <c r="M2094" s="174"/>
      <c r="N2094" s="174"/>
      <c r="O2094" s="174"/>
      <c r="P2094" s="174"/>
      <c r="Q2094" s="174"/>
      <c r="R2094" s="174"/>
      <c r="S2094" s="174"/>
      <c r="T2094" s="174"/>
      <c r="U2094" s="174"/>
      <c r="V2094" s="174"/>
      <c r="W2094" s="174"/>
      <c r="X2094" s="174"/>
      <c r="Y2094" s="174"/>
      <c r="Z2094" s="174"/>
    </row>
    <row r="2095">
      <c r="A2095" s="194"/>
      <c r="B2095" s="194"/>
      <c r="C2095" s="194"/>
      <c r="D2095" s="194"/>
      <c r="E2095" s="194"/>
      <c r="F2095" s="194"/>
      <c r="G2095" s="194"/>
      <c r="H2095" s="195"/>
      <c r="I2095" s="195"/>
      <c r="J2095" s="194"/>
      <c r="K2095" s="174"/>
      <c r="L2095" s="174"/>
      <c r="M2095" s="174"/>
      <c r="N2095" s="174"/>
      <c r="O2095" s="174"/>
      <c r="P2095" s="174"/>
      <c r="Q2095" s="174"/>
      <c r="R2095" s="174"/>
      <c r="S2095" s="174"/>
      <c r="T2095" s="174"/>
      <c r="U2095" s="174"/>
      <c r="V2095" s="174"/>
      <c r="W2095" s="174"/>
      <c r="X2095" s="174"/>
      <c r="Y2095" s="174"/>
      <c r="Z2095" s="174"/>
    </row>
    <row r="2096">
      <c r="A2096" s="194"/>
      <c r="B2096" s="194"/>
      <c r="C2096" s="194"/>
      <c r="D2096" s="194"/>
      <c r="E2096" s="194"/>
      <c r="F2096" s="194"/>
      <c r="G2096" s="194"/>
      <c r="H2096" s="195"/>
      <c r="I2096" s="195"/>
      <c r="J2096" s="194"/>
      <c r="K2096" s="174"/>
      <c r="L2096" s="174"/>
      <c r="M2096" s="174"/>
      <c r="N2096" s="174"/>
      <c r="O2096" s="174"/>
      <c r="P2096" s="174"/>
      <c r="Q2096" s="174"/>
      <c r="R2096" s="174"/>
      <c r="S2096" s="174"/>
      <c r="T2096" s="174"/>
      <c r="U2096" s="174"/>
      <c r="V2096" s="174"/>
      <c r="W2096" s="174"/>
      <c r="X2096" s="174"/>
      <c r="Y2096" s="174"/>
      <c r="Z2096" s="174"/>
    </row>
    <row r="2097">
      <c r="A2097" s="194"/>
      <c r="B2097" s="194"/>
      <c r="C2097" s="194"/>
      <c r="D2097" s="194"/>
      <c r="E2097" s="194"/>
      <c r="F2097" s="194"/>
      <c r="G2097" s="194"/>
      <c r="H2097" s="195"/>
      <c r="I2097" s="195"/>
      <c r="J2097" s="194"/>
      <c r="K2097" s="174"/>
      <c r="L2097" s="174"/>
      <c r="M2097" s="174"/>
      <c r="N2097" s="174"/>
      <c r="O2097" s="174"/>
      <c r="P2097" s="174"/>
      <c r="Q2097" s="174"/>
      <c r="R2097" s="174"/>
      <c r="S2097" s="174"/>
      <c r="T2097" s="174"/>
      <c r="U2097" s="174"/>
      <c r="V2097" s="174"/>
      <c r="W2097" s="174"/>
      <c r="X2097" s="174"/>
      <c r="Y2097" s="174"/>
      <c r="Z2097" s="174"/>
    </row>
    <row r="2098">
      <c r="A2098" s="194"/>
      <c r="B2098" s="194"/>
      <c r="C2098" s="194"/>
      <c r="D2098" s="194"/>
      <c r="E2098" s="194"/>
      <c r="F2098" s="194"/>
      <c r="G2098" s="194"/>
      <c r="H2098" s="195"/>
      <c r="I2098" s="195"/>
      <c r="J2098" s="194"/>
      <c r="K2098" s="174"/>
      <c r="L2098" s="174"/>
      <c r="M2098" s="174"/>
      <c r="N2098" s="174"/>
      <c r="O2098" s="174"/>
      <c r="P2098" s="174"/>
      <c r="Q2098" s="174"/>
      <c r="R2098" s="174"/>
      <c r="S2098" s="174"/>
      <c r="T2098" s="174"/>
      <c r="U2098" s="174"/>
      <c r="V2098" s="174"/>
      <c r="W2098" s="174"/>
      <c r="X2098" s="174"/>
      <c r="Y2098" s="174"/>
      <c r="Z2098" s="174"/>
    </row>
    <row r="2099">
      <c r="A2099" s="194"/>
      <c r="B2099" s="194"/>
      <c r="C2099" s="194"/>
      <c r="D2099" s="194"/>
      <c r="E2099" s="194"/>
      <c r="F2099" s="194"/>
      <c r="G2099" s="194"/>
      <c r="H2099" s="195"/>
      <c r="I2099" s="195"/>
      <c r="J2099" s="194"/>
      <c r="K2099" s="174"/>
      <c r="L2099" s="174"/>
      <c r="M2099" s="174"/>
      <c r="N2099" s="174"/>
      <c r="O2099" s="174"/>
      <c r="P2099" s="174"/>
      <c r="Q2099" s="174"/>
      <c r="R2099" s="174"/>
      <c r="S2099" s="174"/>
      <c r="T2099" s="174"/>
      <c r="U2099" s="174"/>
      <c r="V2099" s="174"/>
      <c r="W2099" s="174"/>
      <c r="X2099" s="174"/>
      <c r="Y2099" s="174"/>
      <c r="Z2099" s="174"/>
    </row>
    <row r="2100">
      <c r="A2100" s="194"/>
      <c r="B2100" s="194"/>
      <c r="C2100" s="194"/>
      <c r="D2100" s="194"/>
      <c r="E2100" s="194"/>
      <c r="F2100" s="194"/>
      <c r="G2100" s="194"/>
      <c r="H2100" s="195"/>
      <c r="I2100" s="195"/>
      <c r="J2100" s="194"/>
      <c r="K2100" s="174"/>
      <c r="L2100" s="174"/>
      <c r="M2100" s="174"/>
      <c r="N2100" s="174"/>
      <c r="O2100" s="174"/>
      <c r="P2100" s="174"/>
      <c r="Q2100" s="174"/>
      <c r="R2100" s="174"/>
      <c r="S2100" s="174"/>
      <c r="T2100" s="174"/>
      <c r="U2100" s="174"/>
      <c r="V2100" s="174"/>
      <c r="W2100" s="174"/>
      <c r="X2100" s="174"/>
      <c r="Y2100" s="174"/>
      <c r="Z2100" s="174"/>
    </row>
    <row r="2101">
      <c r="A2101" s="194"/>
      <c r="B2101" s="194"/>
      <c r="C2101" s="194"/>
      <c r="D2101" s="194"/>
      <c r="E2101" s="194"/>
      <c r="F2101" s="194"/>
      <c r="G2101" s="194"/>
      <c r="H2101" s="195"/>
      <c r="I2101" s="195"/>
      <c r="J2101" s="194"/>
      <c r="K2101" s="174"/>
      <c r="L2101" s="174"/>
      <c r="M2101" s="174"/>
      <c r="N2101" s="174"/>
      <c r="O2101" s="174"/>
      <c r="P2101" s="174"/>
      <c r="Q2101" s="174"/>
      <c r="R2101" s="174"/>
      <c r="S2101" s="174"/>
      <c r="T2101" s="174"/>
      <c r="U2101" s="174"/>
      <c r="V2101" s="174"/>
      <c r="W2101" s="174"/>
      <c r="X2101" s="174"/>
      <c r="Y2101" s="174"/>
      <c r="Z2101" s="174"/>
    </row>
    <row r="2102">
      <c r="A2102" s="194"/>
      <c r="B2102" s="194"/>
      <c r="C2102" s="194"/>
      <c r="D2102" s="194"/>
      <c r="E2102" s="194"/>
      <c r="F2102" s="194"/>
      <c r="G2102" s="194"/>
      <c r="H2102" s="195"/>
      <c r="I2102" s="195"/>
      <c r="J2102" s="194"/>
      <c r="K2102" s="174"/>
      <c r="L2102" s="174"/>
      <c r="M2102" s="174"/>
      <c r="N2102" s="174"/>
      <c r="O2102" s="174"/>
      <c r="P2102" s="174"/>
      <c r="Q2102" s="174"/>
      <c r="R2102" s="174"/>
      <c r="S2102" s="174"/>
      <c r="T2102" s="174"/>
      <c r="U2102" s="174"/>
      <c r="V2102" s="174"/>
      <c r="W2102" s="174"/>
      <c r="X2102" s="174"/>
      <c r="Y2102" s="174"/>
      <c r="Z2102" s="174"/>
    </row>
    <row r="2103">
      <c r="A2103" s="194"/>
      <c r="B2103" s="194"/>
      <c r="C2103" s="194"/>
      <c r="D2103" s="194"/>
      <c r="E2103" s="194"/>
      <c r="F2103" s="194"/>
      <c r="G2103" s="194"/>
      <c r="H2103" s="195"/>
      <c r="I2103" s="195"/>
      <c r="J2103" s="194"/>
      <c r="K2103" s="174"/>
      <c r="L2103" s="174"/>
      <c r="M2103" s="174"/>
      <c r="N2103" s="174"/>
      <c r="O2103" s="174"/>
      <c r="P2103" s="174"/>
      <c r="Q2103" s="174"/>
      <c r="R2103" s="174"/>
      <c r="S2103" s="174"/>
      <c r="T2103" s="174"/>
      <c r="U2103" s="174"/>
      <c r="V2103" s="174"/>
      <c r="W2103" s="174"/>
      <c r="X2103" s="174"/>
      <c r="Y2103" s="174"/>
      <c r="Z2103" s="174"/>
    </row>
    <row r="2104">
      <c r="A2104" s="194"/>
      <c r="B2104" s="194"/>
      <c r="C2104" s="194"/>
      <c r="D2104" s="194"/>
      <c r="E2104" s="194"/>
      <c r="F2104" s="194"/>
      <c r="G2104" s="194"/>
      <c r="H2104" s="195"/>
      <c r="I2104" s="195"/>
      <c r="J2104" s="194"/>
      <c r="K2104" s="174"/>
      <c r="L2104" s="174"/>
      <c r="M2104" s="174"/>
      <c r="N2104" s="174"/>
      <c r="O2104" s="174"/>
      <c r="P2104" s="174"/>
      <c r="Q2104" s="174"/>
      <c r="R2104" s="174"/>
      <c r="S2104" s="174"/>
      <c r="T2104" s="174"/>
      <c r="U2104" s="174"/>
      <c r="V2104" s="174"/>
      <c r="W2104" s="174"/>
      <c r="X2104" s="174"/>
      <c r="Y2104" s="174"/>
      <c r="Z2104" s="174"/>
    </row>
    <row r="2105">
      <c r="A2105" s="194"/>
      <c r="B2105" s="194"/>
      <c r="C2105" s="194"/>
      <c r="D2105" s="194"/>
      <c r="E2105" s="194"/>
      <c r="F2105" s="194"/>
      <c r="G2105" s="194"/>
      <c r="H2105" s="195"/>
      <c r="I2105" s="195"/>
      <c r="J2105" s="194"/>
      <c r="K2105" s="174"/>
      <c r="L2105" s="174"/>
      <c r="M2105" s="174"/>
      <c r="N2105" s="174"/>
      <c r="O2105" s="174"/>
      <c r="P2105" s="174"/>
      <c r="Q2105" s="174"/>
      <c r="R2105" s="174"/>
      <c r="S2105" s="174"/>
      <c r="T2105" s="174"/>
      <c r="U2105" s="174"/>
      <c r="V2105" s="174"/>
      <c r="W2105" s="174"/>
      <c r="X2105" s="174"/>
      <c r="Y2105" s="174"/>
      <c r="Z2105" s="174"/>
    </row>
    <row r="2106">
      <c r="A2106" s="194"/>
      <c r="B2106" s="194"/>
      <c r="C2106" s="194"/>
      <c r="D2106" s="194"/>
      <c r="E2106" s="194"/>
      <c r="F2106" s="194"/>
      <c r="G2106" s="194"/>
      <c r="H2106" s="195"/>
      <c r="I2106" s="195"/>
      <c r="J2106" s="194"/>
      <c r="K2106" s="174"/>
      <c r="L2106" s="174"/>
      <c r="M2106" s="174"/>
      <c r="N2106" s="174"/>
      <c r="O2106" s="174"/>
      <c r="P2106" s="174"/>
      <c r="Q2106" s="174"/>
      <c r="R2106" s="174"/>
      <c r="S2106" s="174"/>
      <c r="T2106" s="174"/>
      <c r="U2106" s="174"/>
      <c r="V2106" s="174"/>
      <c r="W2106" s="174"/>
      <c r="X2106" s="174"/>
      <c r="Y2106" s="174"/>
      <c r="Z2106" s="174"/>
    </row>
    <row r="2107">
      <c r="A2107" s="194"/>
      <c r="B2107" s="194"/>
      <c r="C2107" s="194"/>
      <c r="D2107" s="194"/>
      <c r="E2107" s="194"/>
      <c r="F2107" s="194"/>
      <c r="G2107" s="194"/>
      <c r="H2107" s="195"/>
      <c r="I2107" s="195"/>
      <c r="J2107" s="194"/>
      <c r="K2107" s="174"/>
      <c r="L2107" s="174"/>
      <c r="M2107" s="174"/>
      <c r="N2107" s="174"/>
      <c r="O2107" s="174"/>
      <c r="P2107" s="174"/>
      <c r="Q2107" s="174"/>
      <c r="R2107" s="174"/>
      <c r="S2107" s="174"/>
      <c r="T2107" s="174"/>
      <c r="U2107" s="174"/>
      <c r="V2107" s="174"/>
      <c r="W2107" s="174"/>
      <c r="X2107" s="174"/>
      <c r="Y2107" s="174"/>
      <c r="Z2107" s="174"/>
    </row>
    <row r="2108">
      <c r="A2108" s="194"/>
      <c r="B2108" s="194"/>
      <c r="C2108" s="194"/>
      <c r="D2108" s="194"/>
      <c r="E2108" s="194"/>
      <c r="F2108" s="194"/>
      <c r="G2108" s="194"/>
      <c r="H2108" s="195"/>
      <c r="I2108" s="195"/>
      <c r="J2108" s="194"/>
      <c r="K2108" s="174"/>
      <c r="L2108" s="174"/>
      <c r="M2108" s="174"/>
      <c r="N2108" s="174"/>
      <c r="O2108" s="174"/>
      <c r="P2108" s="174"/>
      <c r="Q2108" s="174"/>
      <c r="R2108" s="174"/>
      <c r="S2108" s="174"/>
      <c r="T2108" s="174"/>
      <c r="U2108" s="174"/>
      <c r="V2108" s="174"/>
      <c r="W2108" s="174"/>
      <c r="X2108" s="174"/>
      <c r="Y2108" s="174"/>
      <c r="Z2108" s="174"/>
    </row>
    <row r="2109">
      <c r="A2109" s="194"/>
      <c r="B2109" s="194"/>
      <c r="C2109" s="194"/>
      <c r="D2109" s="194"/>
      <c r="E2109" s="194"/>
      <c r="F2109" s="194"/>
      <c r="G2109" s="194"/>
      <c r="H2109" s="195"/>
      <c r="I2109" s="195"/>
      <c r="J2109" s="194"/>
      <c r="K2109" s="174"/>
      <c r="L2109" s="174"/>
      <c r="M2109" s="174"/>
      <c r="N2109" s="174"/>
      <c r="O2109" s="174"/>
      <c r="P2109" s="174"/>
      <c r="Q2109" s="174"/>
      <c r="R2109" s="174"/>
      <c r="S2109" s="174"/>
      <c r="T2109" s="174"/>
      <c r="U2109" s="174"/>
      <c r="V2109" s="174"/>
      <c r="W2109" s="174"/>
      <c r="X2109" s="174"/>
      <c r="Y2109" s="174"/>
      <c r="Z2109" s="174"/>
    </row>
    <row r="2110">
      <c r="A2110" s="194"/>
      <c r="B2110" s="194"/>
      <c r="C2110" s="194"/>
      <c r="D2110" s="194"/>
      <c r="E2110" s="194"/>
      <c r="F2110" s="194"/>
      <c r="G2110" s="194"/>
      <c r="H2110" s="195"/>
      <c r="I2110" s="195"/>
      <c r="J2110" s="194"/>
      <c r="K2110" s="174"/>
      <c r="L2110" s="174"/>
      <c r="M2110" s="174"/>
      <c r="N2110" s="174"/>
      <c r="O2110" s="174"/>
      <c r="P2110" s="174"/>
      <c r="Q2110" s="174"/>
      <c r="R2110" s="174"/>
      <c r="S2110" s="174"/>
      <c r="T2110" s="174"/>
      <c r="U2110" s="174"/>
      <c r="V2110" s="174"/>
      <c r="W2110" s="174"/>
      <c r="X2110" s="174"/>
      <c r="Y2110" s="174"/>
      <c r="Z2110" s="174"/>
    </row>
    <row r="2111">
      <c r="A2111" s="194"/>
      <c r="B2111" s="194"/>
      <c r="C2111" s="194"/>
      <c r="D2111" s="194"/>
      <c r="E2111" s="194"/>
      <c r="F2111" s="194"/>
      <c r="G2111" s="194"/>
      <c r="H2111" s="195"/>
      <c r="I2111" s="195"/>
      <c r="J2111" s="194"/>
      <c r="K2111" s="174"/>
      <c r="L2111" s="174"/>
      <c r="M2111" s="174"/>
      <c r="N2111" s="174"/>
      <c r="O2111" s="174"/>
      <c r="P2111" s="174"/>
      <c r="Q2111" s="174"/>
      <c r="R2111" s="174"/>
      <c r="S2111" s="174"/>
      <c r="T2111" s="174"/>
      <c r="U2111" s="174"/>
      <c r="V2111" s="174"/>
      <c r="W2111" s="174"/>
      <c r="X2111" s="174"/>
      <c r="Y2111" s="174"/>
      <c r="Z2111" s="174"/>
    </row>
    <row r="2112">
      <c r="A2112" s="194"/>
      <c r="B2112" s="194"/>
      <c r="C2112" s="194"/>
      <c r="D2112" s="194"/>
      <c r="E2112" s="194"/>
      <c r="F2112" s="194"/>
      <c r="G2112" s="194"/>
      <c r="H2112" s="195"/>
      <c r="I2112" s="195"/>
      <c r="J2112" s="194"/>
      <c r="K2112" s="174"/>
      <c r="L2112" s="174"/>
      <c r="M2112" s="174"/>
      <c r="N2112" s="174"/>
      <c r="O2112" s="174"/>
      <c r="P2112" s="174"/>
      <c r="Q2112" s="174"/>
      <c r="R2112" s="174"/>
      <c r="S2112" s="174"/>
      <c r="T2112" s="174"/>
      <c r="U2112" s="174"/>
      <c r="V2112" s="174"/>
      <c r="W2112" s="174"/>
      <c r="X2112" s="174"/>
      <c r="Y2112" s="174"/>
      <c r="Z2112" s="174"/>
    </row>
    <row r="2113">
      <c r="A2113" s="194"/>
      <c r="B2113" s="194"/>
      <c r="C2113" s="194"/>
      <c r="D2113" s="194"/>
      <c r="E2113" s="194"/>
      <c r="F2113" s="194"/>
      <c r="G2113" s="194"/>
      <c r="H2113" s="195"/>
      <c r="I2113" s="195"/>
      <c r="J2113" s="194"/>
      <c r="K2113" s="174"/>
      <c r="L2113" s="174"/>
      <c r="M2113" s="174"/>
      <c r="N2113" s="174"/>
      <c r="O2113" s="174"/>
      <c r="P2113" s="174"/>
      <c r="Q2113" s="174"/>
      <c r="R2113" s="174"/>
      <c r="S2113" s="174"/>
      <c r="T2113" s="174"/>
      <c r="U2113" s="174"/>
      <c r="V2113" s="174"/>
      <c r="W2113" s="174"/>
      <c r="X2113" s="174"/>
      <c r="Y2113" s="174"/>
      <c r="Z2113" s="174"/>
    </row>
    <row r="2114">
      <c r="A2114" s="194"/>
      <c r="B2114" s="194"/>
      <c r="C2114" s="194"/>
      <c r="D2114" s="194"/>
      <c r="E2114" s="194"/>
      <c r="F2114" s="194"/>
      <c r="G2114" s="194"/>
      <c r="H2114" s="195"/>
      <c r="I2114" s="195"/>
      <c r="J2114" s="194"/>
      <c r="K2114" s="174"/>
      <c r="L2114" s="174"/>
      <c r="M2114" s="174"/>
      <c r="N2114" s="174"/>
      <c r="O2114" s="174"/>
      <c r="P2114" s="174"/>
      <c r="Q2114" s="174"/>
      <c r="R2114" s="174"/>
      <c r="S2114" s="174"/>
      <c r="T2114" s="174"/>
      <c r="U2114" s="174"/>
      <c r="V2114" s="174"/>
      <c r="W2114" s="174"/>
      <c r="X2114" s="174"/>
      <c r="Y2114" s="174"/>
      <c r="Z2114" s="174"/>
    </row>
    <row r="2115">
      <c r="A2115" s="194"/>
      <c r="B2115" s="194"/>
      <c r="C2115" s="194"/>
      <c r="D2115" s="194"/>
      <c r="E2115" s="194"/>
      <c r="F2115" s="194"/>
      <c r="G2115" s="194"/>
      <c r="H2115" s="195"/>
      <c r="I2115" s="195"/>
      <c r="J2115" s="194"/>
      <c r="K2115" s="174"/>
      <c r="L2115" s="174"/>
      <c r="M2115" s="174"/>
      <c r="N2115" s="174"/>
      <c r="O2115" s="174"/>
      <c r="P2115" s="174"/>
      <c r="Q2115" s="174"/>
      <c r="R2115" s="174"/>
      <c r="S2115" s="174"/>
      <c r="T2115" s="174"/>
      <c r="U2115" s="174"/>
      <c r="V2115" s="174"/>
      <c r="W2115" s="174"/>
      <c r="X2115" s="174"/>
      <c r="Y2115" s="174"/>
      <c r="Z2115" s="174"/>
    </row>
    <row r="2116">
      <c r="A2116" s="194"/>
      <c r="B2116" s="194"/>
      <c r="C2116" s="194"/>
      <c r="D2116" s="194"/>
      <c r="E2116" s="194"/>
      <c r="F2116" s="194"/>
      <c r="G2116" s="194"/>
      <c r="H2116" s="195"/>
      <c r="I2116" s="195"/>
      <c r="J2116" s="194"/>
      <c r="K2116" s="174"/>
      <c r="L2116" s="174"/>
      <c r="M2116" s="174"/>
      <c r="N2116" s="174"/>
      <c r="O2116" s="174"/>
      <c r="P2116" s="174"/>
      <c r="Q2116" s="174"/>
      <c r="R2116" s="174"/>
      <c r="S2116" s="174"/>
      <c r="T2116" s="174"/>
      <c r="U2116" s="174"/>
      <c r="V2116" s="174"/>
      <c r="W2116" s="174"/>
      <c r="X2116" s="174"/>
      <c r="Y2116" s="174"/>
      <c r="Z2116" s="174"/>
    </row>
    <row r="2117">
      <c r="A2117" s="194"/>
      <c r="B2117" s="194"/>
      <c r="C2117" s="194"/>
      <c r="D2117" s="194"/>
      <c r="E2117" s="194"/>
      <c r="F2117" s="194"/>
      <c r="G2117" s="194"/>
      <c r="H2117" s="195"/>
      <c r="I2117" s="195"/>
      <c r="J2117" s="194"/>
      <c r="K2117" s="174"/>
      <c r="L2117" s="174"/>
      <c r="M2117" s="174"/>
      <c r="N2117" s="174"/>
      <c r="O2117" s="174"/>
      <c r="P2117" s="174"/>
      <c r="Q2117" s="174"/>
      <c r="R2117" s="174"/>
      <c r="S2117" s="174"/>
      <c r="T2117" s="174"/>
      <c r="U2117" s="174"/>
      <c r="V2117" s="174"/>
      <c r="W2117" s="174"/>
      <c r="X2117" s="174"/>
      <c r="Y2117" s="174"/>
      <c r="Z2117" s="174"/>
    </row>
    <row r="2118">
      <c r="A2118" s="194"/>
      <c r="B2118" s="194"/>
      <c r="C2118" s="194"/>
      <c r="D2118" s="194"/>
      <c r="E2118" s="194"/>
      <c r="F2118" s="194"/>
      <c r="G2118" s="194"/>
      <c r="H2118" s="195"/>
      <c r="I2118" s="195"/>
      <c r="J2118" s="194"/>
      <c r="K2118" s="174"/>
      <c r="L2118" s="174"/>
      <c r="M2118" s="174"/>
      <c r="N2118" s="174"/>
      <c r="O2118" s="174"/>
      <c r="P2118" s="174"/>
      <c r="Q2118" s="174"/>
      <c r="R2118" s="174"/>
      <c r="S2118" s="174"/>
      <c r="T2118" s="174"/>
      <c r="U2118" s="174"/>
      <c r="V2118" s="174"/>
      <c r="W2118" s="174"/>
      <c r="X2118" s="174"/>
      <c r="Y2118" s="174"/>
      <c r="Z2118" s="174"/>
    </row>
    <row r="2119">
      <c r="A2119" s="194"/>
      <c r="B2119" s="194"/>
      <c r="C2119" s="194"/>
      <c r="D2119" s="194"/>
      <c r="E2119" s="194"/>
      <c r="F2119" s="194"/>
      <c r="G2119" s="194"/>
      <c r="H2119" s="195"/>
      <c r="I2119" s="195"/>
      <c r="J2119" s="194"/>
      <c r="K2119" s="174"/>
      <c r="L2119" s="174"/>
      <c r="M2119" s="174"/>
      <c r="N2119" s="174"/>
      <c r="O2119" s="174"/>
      <c r="P2119" s="174"/>
      <c r="Q2119" s="174"/>
      <c r="R2119" s="174"/>
      <c r="S2119" s="174"/>
      <c r="T2119" s="174"/>
      <c r="U2119" s="174"/>
      <c r="V2119" s="174"/>
      <c r="W2119" s="174"/>
      <c r="X2119" s="174"/>
      <c r="Y2119" s="174"/>
      <c r="Z2119" s="174"/>
    </row>
    <row r="2120">
      <c r="A2120" s="194"/>
      <c r="B2120" s="194"/>
      <c r="C2120" s="194"/>
      <c r="D2120" s="194"/>
      <c r="E2120" s="194"/>
      <c r="F2120" s="194"/>
      <c r="G2120" s="194"/>
      <c r="H2120" s="195"/>
      <c r="I2120" s="195"/>
      <c r="J2120" s="194"/>
      <c r="K2120" s="174"/>
      <c r="L2120" s="174"/>
      <c r="M2120" s="174"/>
      <c r="N2120" s="174"/>
      <c r="O2120" s="174"/>
      <c r="P2120" s="174"/>
      <c r="Q2120" s="174"/>
      <c r="R2120" s="174"/>
      <c r="S2120" s="174"/>
      <c r="T2120" s="174"/>
      <c r="U2120" s="174"/>
      <c r="V2120" s="174"/>
      <c r="W2120" s="174"/>
      <c r="X2120" s="174"/>
      <c r="Y2120" s="174"/>
      <c r="Z2120" s="174"/>
    </row>
    <row r="2121">
      <c r="A2121" s="194"/>
      <c r="B2121" s="194"/>
      <c r="C2121" s="194"/>
      <c r="D2121" s="194"/>
      <c r="E2121" s="194"/>
      <c r="F2121" s="194"/>
      <c r="G2121" s="194"/>
      <c r="H2121" s="195"/>
      <c r="I2121" s="195"/>
      <c r="J2121" s="194"/>
      <c r="K2121" s="174"/>
      <c r="L2121" s="174"/>
      <c r="M2121" s="174"/>
      <c r="N2121" s="174"/>
      <c r="O2121" s="174"/>
      <c r="P2121" s="174"/>
      <c r="Q2121" s="174"/>
      <c r="R2121" s="174"/>
      <c r="S2121" s="174"/>
      <c r="T2121" s="174"/>
      <c r="U2121" s="174"/>
      <c r="V2121" s="174"/>
      <c r="W2121" s="174"/>
      <c r="X2121" s="174"/>
      <c r="Y2121" s="174"/>
      <c r="Z2121" s="174"/>
    </row>
    <row r="2122">
      <c r="A2122" s="194"/>
      <c r="B2122" s="194"/>
      <c r="C2122" s="194"/>
      <c r="D2122" s="194"/>
      <c r="E2122" s="194"/>
      <c r="F2122" s="194"/>
      <c r="G2122" s="194"/>
      <c r="H2122" s="195"/>
      <c r="I2122" s="195"/>
      <c r="J2122" s="194"/>
      <c r="K2122" s="174"/>
      <c r="L2122" s="174"/>
      <c r="M2122" s="174"/>
      <c r="N2122" s="174"/>
      <c r="O2122" s="174"/>
      <c r="P2122" s="174"/>
      <c r="Q2122" s="174"/>
      <c r="R2122" s="174"/>
      <c r="S2122" s="174"/>
      <c r="T2122" s="174"/>
      <c r="U2122" s="174"/>
      <c r="V2122" s="174"/>
      <c r="W2122" s="174"/>
      <c r="X2122" s="174"/>
      <c r="Y2122" s="174"/>
      <c r="Z2122" s="174"/>
    </row>
    <row r="2123">
      <c r="A2123" s="194"/>
      <c r="B2123" s="194"/>
      <c r="C2123" s="194"/>
      <c r="D2123" s="194"/>
      <c r="E2123" s="194"/>
      <c r="F2123" s="194"/>
      <c r="G2123" s="194"/>
      <c r="H2123" s="195"/>
      <c r="I2123" s="195"/>
      <c r="J2123" s="194"/>
      <c r="K2123" s="174"/>
      <c r="L2123" s="174"/>
      <c r="M2123" s="174"/>
      <c r="N2123" s="174"/>
      <c r="O2123" s="174"/>
      <c r="P2123" s="174"/>
      <c r="Q2123" s="174"/>
      <c r="R2123" s="174"/>
      <c r="S2123" s="174"/>
      <c r="T2123" s="174"/>
      <c r="U2123" s="174"/>
      <c r="V2123" s="174"/>
      <c r="W2123" s="174"/>
      <c r="X2123" s="174"/>
      <c r="Y2123" s="174"/>
      <c r="Z2123" s="174"/>
    </row>
    <row r="2124">
      <c r="A2124" s="194"/>
      <c r="B2124" s="194"/>
      <c r="C2124" s="194"/>
      <c r="D2124" s="194"/>
      <c r="E2124" s="194"/>
      <c r="F2124" s="194"/>
      <c r="G2124" s="194"/>
      <c r="H2124" s="195"/>
      <c r="I2124" s="195"/>
      <c r="J2124" s="194"/>
      <c r="K2124" s="174"/>
      <c r="L2124" s="174"/>
      <c r="M2124" s="174"/>
      <c r="N2124" s="174"/>
      <c r="O2124" s="174"/>
      <c r="P2124" s="174"/>
      <c r="Q2124" s="174"/>
      <c r="R2124" s="174"/>
      <c r="S2124" s="174"/>
      <c r="T2124" s="174"/>
      <c r="U2124" s="174"/>
      <c r="V2124" s="174"/>
      <c r="W2124" s="174"/>
      <c r="X2124" s="174"/>
      <c r="Y2124" s="174"/>
      <c r="Z2124" s="174"/>
    </row>
    <row r="2125">
      <c r="A2125" s="194"/>
      <c r="B2125" s="194"/>
      <c r="C2125" s="194"/>
      <c r="D2125" s="194"/>
      <c r="E2125" s="194"/>
      <c r="F2125" s="194"/>
      <c r="G2125" s="194"/>
      <c r="H2125" s="195"/>
      <c r="I2125" s="195"/>
      <c r="J2125" s="194"/>
      <c r="K2125" s="174"/>
      <c r="L2125" s="174"/>
      <c r="M2125" s="174"/>
      <c r="N2125" s="174"/>
      <c r="O2125" s="174"/>
      <c r="P2125" s="174"/>
      <c r="Q2125" s="174"/>
      <c r="R2125" s="174"/>
      <c r="S2125" s="174"/>
      <c r="T2125" s="174"/>
      <c r="U2125" s="174"/>
      <c r="V2125" s="174"/>
      <c r="W2125" s="174"/>
      <c r="X2125" s="174"/>
      <c r="Y2125" s="174"/>
      <c r="Z2125" s="174"/>
    </row>
    <row r="2126">
      <c r="A2126" s="194"/>
      <c r="B2126" s="194"/>
      <c r="C2126" s="194"/>
      <c r="D2126" s="194"/>
      <c r="E2126" s="194"/>
      <c r="F2126" s="194"/>
      <c r="G2126" s="194"/>
      <c r="H2126" s="195"/>
      <c r="I2126" s="195"/>
      <c r="J2126" s="194"/>
      <c r="K2126" s="174"/>
      <c r="L2126" s="174"/>
      <c r="M2126" s="174"/>
      <c r="N2126" s="174"/>
      <c r="O2126" s="174"/>
      <c r="P2126" s="174"/>
      <c r="Q2126" s="174"/>
      <c r="R2126" s="174"/>
      <c r="S2126" s="174"/>
      <c r="T2126" s="174"/>
      <c r="U2126" s="174"/>
      <c r="V2126" s="174"/>
      <c r="W2126" s="174"/>
      <c r="X2126" s="174"/>
      <c r="Y2126" s="174"/>
      <c r="Z2126" s="174"/>
    </row>
    <row r="2127">
      <c r="A2127" s="194"/>
      <c r="B2127" s="194"/>
      <c r="C2127" s="194"/>
      <c r="D2127" s="194"/>
      <c r="E2127" s="194"/>
      <c r="F2127" s="194"/>
      <c r="G2127" s="194"/>
      <c r="H2127" s="195"/>
      <c r="I2127" s="195"/>
      <c r="J2127" s="194"/>
      <c r="K2127" s="174"/>
      <c r="L2127" s="174"/>
      <c r="M2127" s="174"/>
      <c r="N2127" s="174"/>
      <c r="O2127" s="174"/>
      <c r="P2127" s="174"/>
      <c r="Q2127" s="174"/>
      <c r="R2127" s="174"/>
      <c r="S2127" s="174"/>
      <c r="T2127" s="174"/>
      <c r="U2127" s="174"/>
      <c r="V2127" s="174"/>
      <c r="W2127" s="174"/>
      <c r="X2127" s="174"/>
      <c r="Y2127" s="174"/>
      <c r="Z2127" s="174"/>
    </row>
    <row r="2128">
      <c r="A2128" s="194"/>
      <c r="B2128" s="194"/>
      <c r="C2128" s="194"/>
      <c r="D2128" s="194"/>
      <c r="E2128" s="194"/>
      <c r="F2128" s="194"/>
      <c r="G2128" s="194"/>
      <c r="H2128" s="195"/>
      <c r="I2128" s="195"/>
      <c r="J2128" s="194"/>
      <c r="K2128" s="174"/>
      <c r="L2128" s="174"/>
      <c r="M2128" s="174"/>
      <c r="N2128" s="174"/>
      <c r="O2128" s="174"/>
      <c r="P2128" s="174"/>
      <c r="Q2128" s="174"/>
      <c r="R2128" s="174"/>
      <c r="S2128" s="174"/>
      <c r="T2128" s="174"/>
      <c r="U2128" s="174"/>
      <c r="V2128" s="174"/>
      <c r="W2128" s="174"/>
      <c r="X2128" s="174"/>
      <c r="Y2128" s="174"/>
      <c r="Z2128" s="174"/>
    </row>
    <row r="2129">
      <c r="A2129" s="194"/>
      <c r="B2129" s="194"/>
      <c r="C2129" s="194"/>
      <c r="D2129" s="194"/>
      <c r="E2129" s="194"/>
      <c r="F2129" s="194"/>
      <c r="G2129" s="194"/>
      <c r="H2129" s="195"/>
      <c r="I2129" s="195"/>
      <c r="J2129" s="194"/>
      <c r="K2129" s="174"/>
      <c r="L2129" s="174"/>
      <c r="M2129" s="174"/>
      <c r="N2129" s="174"/>
      <c r="O2129" s="174"/>
      <c r="P2129" s="174"/>
      <c r="Q2129" s="174"/>
      <c r="R2129" s="174"/>
      <c r="S2129" s="174"/>
      <c r="T2129" s="174"/>
      <c r="U2129" s="174"/>
      <c r="V2129" s="174"/>
      <c r="W2129" s="174"/>
      <c r="X2129" s="174"/>
      <c r="Y2129" s="174"/>
      <c r="Z2129" s="174"/>
    </row>
    <row r="2130">
      <c r="A2130" s="194"/>
      <c r="B2130" s="194"/>
      <c r="C2130" s="194"/>
      <c r="D2130" s="194"/>
      <c r="E2130" s="194"/>
      <c r="F2130" s="194"/>
      <c r="G2130" s="194"/>
      <c r="H2130" s="195"/>
      <c r="I2130" s="195"/>
      <c r="J2130" s="194"/>
      <c r="K2130" s="174"/>
      <c r="L2130" s="174"/>
      <c r="M2130" s="174"/>
      <c r="N2130" s="174"/>
      <c r="O2130" s="174"/>
      <c r="P2130" s="174"/>
      <c r="Q2130" s="174"/>
      <c r="R2130" s="174"/>
      <c r="S2130" s="174"/>
      <c r="T2130" s="174"/>
      <c r="U2130" s="174"/>
      <c r="V2130" s="174"/>
      <c r="W2130" s="174"/>
      <c r="X2130" s="174"/>
      <c r="Y2130" s="174"/>
      <c r="Z2130" s="174"/>
    </row>
    <row r="2131">
      <c r="A2131" s="194"/>
      <c r="B2131" s="194"/>
      <c r="C2131" s="194"/>
      <c r="D2131" s="194"/>
      <c r="E2131" s="194"/>
      <c r="F2131" s="194"/>
      <c r="G2131" s="194"/>
      <c r="H2131" s="195"/>
      <c r="I2131" s="195"/>
      <c r="J2131" s="194"/>
      <c r="K2131" s="174"/>
      <c r="L2131" s="174"/>
      <c r="M2131" s="174"/>
      <c r="N2131" s="174"/>
      <c r="O2131" s="174"/>
      <c r="P2131" s="174"/>
      <c r="Q2131" s="174"/>
      <c r="R2131" s="174"/>
      <c r="S2131" s="174"/>
      <c r="T2131" s="174"/>
      <c r="U2131" s="174"/>
      <c r="V2131" s="174"/>
      <c r="W2131" s="174"/>
      <c r="X2131" s="174"/>
      <c r="Y2131" s="174"/>
      <c r="Z2131" s="174"/>
    </row>
    <row r="2132">
      <c r="A2132" s="194"/>
      <c r="B2132" s="194"/>
      <c r="C2132" s="194"/>
      <c r="D2132" s="194"/>
      <c r="E2132" s="194"/>
      <c r="F2132" s="194"/>
      <c r="G2132" s="194"/>
      <c r="H2132" s="195"/>
      <c r="I2132" s="195"/>
      <c r="J2132" s="194"/>
      <c r="K2132" s="174"/>
      <c r="L2132" s="174"/>
      <c r="M2132" s="174"/>
      <c r="N2132" s="174"/>
      <c r="O2132" s="174"/>
      <c r="P2132" s="174"/>
      <c r="Q2132" s="174"/>
      <c r="R2132" s="174"/>
      <c r="S2132" s="174"/>
      <c r="T2132" s="174"/>
      <c r="U2132" s="174"/>
      <c r="V2132" s="174"/>
      <c r="W2132" s="174"/>
      <c r="X2132" s="174"/>
      <c r="Y2132" s="174"/>
      <c r="Z2132" s="174"/>
    </row>
    <row r="2133">
      <c r="A2133" s="194"/>
      <c r="B2133" s="194"/>
      <c r="C2133" s="194"/>
      <c r="D2133" s="194"/>
      <c r="E2133" s="194"/>
      <c r="F2133" s="194"/>
      <c r="G2133" s="194"/>
      <c r="H2133" s="195"/>
      <c r="I2133" s="195"/>
      <c r="J2133" s="194"/>
      <c r="K2133" s="174"/>
      <c r="L2133" s="174"/>
      <c r="M2133" s="174"/>
      <c r="N2133" s="174"/>
      <c r="O2133" s="174"/>
      <c r="P2133" s="174"/>
      <c r="Q2133" s="174"/>
      <c r="R2133" s="174"/>
      <c r="S2133" s="174"/>
      <c r="T2133" s="174"/>
      <c r="U2133" s="174"/>
      <c r="V2133" s="174"/>
      <c r="W2133" s="174"/>
      <c r="X2133" s="174"/>
      <c r="Y2133" s="174"/>
      <c r="Z2133" s="174"/>
    </row>
    <row r="2134">
      <c r="A2134" s="194"/>
      <c r="B2134" s="194"/>
      <c r="C2134" s="194"/>
      <c r="D2134" s="194"/>
      <c r="E2134" s="194"/>
      <c r="F2134" s="194"/>
      <c r="G2134" s="194"/>
      <c r="H2134" s="195"/>
      <c r="I2134" s="195"/>
      <c r="J2134" s="194"/>
      <c r="K2134" s="174"/>
      <c r="L2134" s="174"/>
      <c r="M2134" s="174"/>
      <c r="N2134" s="174"/>
      <c r="O2134" s="174"/>
      <c r="P2134" s="174"/>
      <c r="Q2134" s="174"/>
      <c r="R2134" s="174"/>
      <c r="S2134" s="174"/>
      <c r="T2134" s="174"/>
      <c r="U2134" s="174"/>
      <c r="V2134" s="174"/>
      <c r="W2134" s="174"/>
      <c r="X2134" s="174"/>
      <c r="Y2134" s="174"/>
      <c r="Z2134" s="174"/>
    </row>
    <row r="2135">
      <c r="A2135" s="194"/>
      <c r="B2135" s="194"/>
      <c r="C2135" s="194"/>
      <c r="D2135" s="194"/>
      <c r="E2135" s="194"/>
      <c r="F2135" s="194"/>
      <c r="G2135" s="194"/>
      <c r="H2135" s="195"/>
      <c r="I2135" s="195"/>
      <c r="J2135" s="194"/>
      <c r="K2135" s="174"/>
      <c r="L2135" s="174"/>
      <c r="M2135" s="174"/>
      <c r="N2135" s="174"/>
      <c r="O2135" s="174"/>
      <c r="P2135" s="174"/>
      <c r="Q2135" s="174"/>
      <c r="R2135" s="174"/>
      <c r="S2135" s="174"/>
      <c r="T2135" s="174"/>
      <c r="U2135" s="174"/>
      <c r="V2135" s="174"/>
      <c r="W2135" s="174"/>
      <c r="X2135" s="174"/>
      <c r="Y2135" s="174"/>
      <c r="Z2135" s="174"/>
    </row>
    <row r="2136">
      <c r="A2136" s="194"/>
      <c r="B2136" s="194"/>
      <c r="C2136" s="194"/>
      <c r="D2136" s="194"/>
      <c r="E2136" s="194"/>
      <c r="F2136" s="194"/>
      <c r="G2136" s="194"/>
      <c r="H2136" s="195"/>
      <c r="I2136" s="195"/>
      <c r="J2136" s="194"/>
      <c r="K2136" s="174"/>
      <c r="L2136" s="174"/>
      <c r="M2136" s="174"/>
      <c r="N2136" s="174"/>
      <c r="O2136" s="174"/>
      <c r="P2136" s="174"/>
      <c r="Q2136" s="174"/>
      <c r="R2136" s="174"/>
      <c r="S2136" s="174"/>
      <c r="T2136" s="174"/>
      <c r="U2136" s="174"/>
      <c r="V2136" s="174"/>
      <c r="W2136" s="174"/>
      <c r="X2136" s="174"/>
      <c r="Y2136" s="174"/>
      <c r="Z2136" s="174"/>
    </row>
    <row r="2137">
      <c r="A2137" s="194"/>
      <c r="B2137" s="194"/>
      <c r="C2137" s="194"/>
      <c r="D2137" s="194"/>
      <c r="E2137" s="194"/>
      <c r="F2137" s="194"/>
      <c r="G2137" s="194"/>
      <c r="H2137" s="195"/>
      <c r="I2137" s="195"/>
      <c r="J2137" s="194"/>
      <c r="K2137" s="174"/>
      <c r="L2137" s="174"/>
      <c r="M2137" s="174"/>
      <c r="N2137" s="174"/>
      <c r="O2137" s="174"/>
      <c r="P2137" s="174"/>
      <c r="Q2137" s="174"/>
      <c r="R2137" s="174"/>
      <c r="S2137" s="174"/>
      <c r="T2137" s="174"/>
      <c r="U2137" s="174"/>
      <c r="V2137" s="174"/>
      <c r="W2137" s="174"/>
      <c r="X2137" s="174"/>
      <c r="Y2137" s="174"/>
      <c r="Z2137" s="174"/>
    </row>
    <row r="2138">
      <c r="A2138" s="194"/>
      <c r="B2138" s="194"/>
      <c r="C2138" s="194"/>
      <c r="D2138" s="194"/>
      <c r="E2138" s="194"/>
      <c r="F2138" s="194"/>
      <c r="G2138" s="194"/>
      <c r="H2138" s="195"/>
      <c r="I2138" s="195"/>
      <c r="J2138" s="194"/>
      <c r="K2138" s="174"/>
      <c r="L2138" s="174"/>
      <c r="M2138" s="174"/>
      <c r="N2138" s="174"/>
      <c r="O2138" s="174"/>
      <c r="P2138" s="174"/>
      <c r="Q2138" s="174"/>
      <c r="R2138" s="174"/>
      <c r="S2138" s="174"/>
      <c r="T2138" s="174"/>
      <c r="U2138" s="174"/>
      <c r="V2138" s="174"/>
      <c r="W2138" s="174"/>
      <c r="X2138" s="174"/>
      <c r="Y2138" s="174"/>
      <c r="Z2138" s="174"/>
    </row>
    <row r="2139">
      <c r="A2139" s="194"/>
      <c r="B2139" s="194"/>
      <c r="C2139" s="194"/>
      <c r="D2139" s="194"/>
      <c r="E2139" s="194"/>
      <c r="F2139" s="194"/>
      <c r="G2139" s="194"/>
      <c r="H2139" s="195"/>
      <c r="I2139" s="195"/>
      <c r="J2139" s="194"/>
      <c r="K2139" s="174"/>
      <c r="L2139" s="174"/>
      <c r="M2139" s="174"/>
      <c r="N2139" s="174"/>
      <c r="O2139" s="174"/>
      <c r="P2139" s="174"/>
      <c r="Q2139" s="174"/>
      <c r="R2139" s="174"/>
      <c r="S2139" s="174"/>
      <c r="T2139" s="174"/>
      <c r="U2139" s="174"/>
      <c r="V2139" s="174"/>
      <c r="W2139" s="174"/>
      <c r="X2139" s="174"/>
      <c r="Y2139" s="174"/>
      <c r="Z2139" s="174"/>
    </row>
    <row r="2140">
      <c r="A2140" s="194"/>
      <c r="B2140" s="194"/>
      <c r="C2140" s="194"/>
      <c r="D2140" s="194"/>
      <c r="E2140" s="194"/>
      <c r="F2140" s="194"/>
      <c r="G2140" s="194"/>
      <c r="H2140" s="195"/>
      <c r="I2140" s="195"/>
      <c r="J2140" s="194"/>
      <c r="K2140" s="174"/>
      <c r="L2140" s="174"/>
      <c r="M2140" s="174"/>
      <c r="N2140" s="174"/>
      <c r="O2140" s="174"/>
      <c r="P2140" s="174"/>
      <c r="Q2140" s="174"/>
      <c r="R2140" s="174"/>
      <c r="S2140" s="174"/>
      <c r="T2140" s="174"/>
      <c r="U2140" s="174"/>
      <c r="V2140" s="174"/>
      <c r="W2140" s="174"/>
      <c r="X2140" s="174"/>
      <c r="Y2140" s="174"/>
      <c r="Z2140" s="174"/>
    </row>
    <row r="2141">
      <c r="A2141" s="194"/>
      <c r="B2141" s="194"/>
      <c r="C2141" s="194"/>
      <c r="D2141" s="194"/>
      <c r="E2141" s="194"/>
      <c r="F2141" s="194"/>
      <c r="G2141" s="194"/>
      <c r="H2141" s="195"/>
      <c r="I2141" s="195"/>
      <c r="J2141" s="194"/>
      <c r="K2141" s="174"/>
      <c r="L2141" s="174"/>
      <c r="M2141" s="174"/>
      <c r="N2141" s="174"/>
      <c r="O2141" s="174"/>
      <c r="P2141" s="174"/>
      <c r="Q2141" s="174"/>
      <c r="R2141" s="174"/>
      <c r="S2141" s="174"/>
      <c r="T2141" s="174"/>
      <c r="U2141" s="174"/>
      <c r="V2141" s="174"/>
      <c r="W2141" s="174"/>
      <c r="X2141" s="174"/>
      <c r="Y2141" s="174"/>
      <c r="Z2141" s="174"/>
    </row>
    <row r="2142">
      <c r="A2142" s="194"/>
      <c r="B2142" s="194"/>
      <c r="C2142" s="194"/>
      <c r="D2142" s="194"/>
      <c r="E2142" s="194"/>
      <c r="F2142" s="194"/>
      <c r="G2142" s="194"/>
      <c r="H2142" s="195"/>
      <c r="I2142" s="195"/>
      <c r="J2142" s="194"/>
      <c r="K2142" s="174"/>
      <c r="L2142" s="174"/>
      <c r="M2142" s="174"/>
      <c r="N2142" s="174"/>
      <c r="O2142" s="174"/>
      <c r="P2142" s="174"/>
      <c r="Q2142" s="174"/>
      <c r="R2142" s="174"/>
      <c r="S2142" s="174"/>
      <c r="T2142" s="174"/>
      <c r="U2142" s="174"/>
      <c r="V2142" s="174"/>
      <c r="W2142" s="174"/>
      <c r="X2142" s="174"/>
      <c r="Y2142" s="174"/>
      <c r="Z2142" s="174"/>
    </row>
    <row r="2143">
      <c r="A2143" s="194"/>
      <c r="B2143" s="194"/>
      <c r="C2143" s="194"/>
      <c r="D2143" s="194"/>
      <c r="E2143" s="194"/>
      <c r="F2143" s="194"/>
      <c r="G2143" s="194"/>
      <c r="H2143" s="195"/>
      <c r="I2143" s="195"/>
      <c r="J2143" s="194"/>
      <c r="K2143" s="174"/>
      <c r="L2143" s="174"/>
      <c r="M2143" s="174"/>
      <c r="N2143" s="174"/>
      <c r="O2143" s="174"/>
      <c r="P2143" s="174"/>
      <c r="Q2143" s="174"/>
      <c r="R2143" s="174"/>
      <c r="S2143" s="174"/>
      <c r="T2143" s="174"/>
      <c r="U2143" s="174"/>
      <c r="V2143" s="174"/>
      <c r="W2143" s="174"/>
      <c r="X2143" s="174"/>
      <c r="Y2143" s="174"/>
      <c r="Z2143" s="174"/>
    </row>
    <row r="2144">
      <c r="A2144" s="194"/>
      <c r="B2144" s="194"/>
      <c r="C2144" s="194"/>
      <c r="D2144" s="194"/>
      <c r="E2144" s="194"/>
      <c r="F2144" s="194"/>
      <c r="G2144" s="194"/>
      <c r="H2144" s="195"/>
      <c r="I2144" s="195"/>
      <c r="J2144" s="194"/>
      <c r="K2144" s="174"/>
      <c r="L2144" s="174"/>
      <c r="M2144" s="174"/>
      <c r="N2144" s="174"/>
      <c r="O2144" s="174"/>
      <c r="P2144" s="174"/>
      <c r="Q2144" s="174"/>
      <c r="R2144" s="174"/>
      <c r="S2144" s="174"/>
      <c r="T2144" s="174"/>
      <c r="U2144" s="174"/>
      <c r="V2144" s="174"/>
      <c r="W2144" s="174"/>
      <c r="X2144" s="174"/>
      <c r="Y2144" s="174"/>
      <c r="Z2144" s="174"/>
    </row>
    <row r="2145">
      <c r="A2145" s="194"/>
      <c r="B2145" s="194"/>
      <c r="C2145" s="194"/>
      <c r="D2145" s="194"/>
      <c r="E2145" s="194"/>
      <c r="F2145" s="194"/>
      <c r="G2145" s="194"/>
      <c r="H2145" s="195"/>
      <c r="I2145" s="195"/>
      <c r="J2145" s="194"/>
      <c r="K2145" s="174"/>
      <c r="L2145" s="174"/>
      <c r="M2145" s="174"/>
      <c r="N2145" s="174"/>
      <c r="O2145" s="174"/>
      <c r="P2145" s="174"/>
      <c r="Q2145" s="174"/>
      <c r="R2145" s="174"/>
      <c r="S2145" s="174"/>
      <c r="T2145" s="174"/>
      <c r="U2145" s="174"/>
      <c r="V2145" s="174"/>
      <c r="W2145" s="174"/>
      <c r="X2145" s="174"/>
      <c r="Y2145" s="174"/>
      <c r="Z2145" s="174"/>
    </row>
    <row r="2146">
      <c r="A2146" s="194"/>
      <c r="B2146" s="194"/>
      <c r="C2146" s="194"/>
      <c r="D2146" s="194"/>
      <c r="E2146" s="194"/>
      <c r="F2146" s="194"/>
      <c r="G2146" s="194"/>
      <c r="H2146" s="195"/>
      <c r="I2146" s="195"/>
      <c r="J2146" s="194"/>
      <c r="K2146" s="174"/>
      <c r="L2146" s="174"/>
      <c r="M2146" s="174"/>
      <c r="N2146" s="174"/>
      <c r="O2146" s="174"/>
      <c r="P2146" s="174"/>
      <c r="Q2146" s="174"/>
      <c r="R2146" s="174"/>
      <c r="S2146" s="174"/>
      <c r="T2146" s="174"/>
      <c r="U2146" s="174"/>
      <c r="V2146" s="174"/>
      <c r="W2146" s="174"/>
      <c r="X2146" s="174"/>
      <c r="Y2146" s="174"/>
      <c r="Z2146" s="174"/>
    </row>
    <row r="2147">
      <c r="A2147" s="194"/>
      <c r="B2147" s="194"/>
      <c r="C2147" s="194"/>
      <c r="D2147" s="194"/>
      <c r="E2147" s="194"/>
      <c r="F2147" s="194"/>
      <c r="G2147" s="194"/>
      <c r="H2147" s="195"/>
      <c r="I2147" s="195"/>
      <c r="J2147" s="194"/>
      <c r="K2147" s="174"/>
      <c r="L2147" s="174"/>
      <c r="M2147" s="174"/>
      <c r="N2147" s="174"/>
      <c r="O2147" s="174"/>
      <c r="P2147" s="174"/>
      <c r="Q2147" s="174"/>
      <c r="R2147" s="174"/>
      <c r="S2147" s="174"/>
      <c r="T2147" s="174"/>
      <c r="U2147" s="174"/>
      <c r="V2147" s="174"/>
      <c r="W2147" s="174"/>
      <c r="X2147" s="174"/>
      <c r="Y2147" s="174"/>
      <c r="Z2147" s="174"/>
    </row>
    <row r="2148">
      <c r="A2148" s="194"/>
      <c r="B2148" s="194"/>
      <c r="C2148" s="194"/>
      <c r="D2148" s="194"/>
      <c r="E2148" s="194"/>
      <c r="F2148" s="194"/>
      <c r="G2148" s="194"/>
      <c r="H2148" s="195"/>
      <c r="I2148" s="195"/>
      <c r="J2148" s="194"/>
      <c r="K2148" s="174"/>
      <c r="L2148" s="174"/>
      <c r="M2148" s="174"/>
      <c r="N2148" s="174"/>
      <c r="O2148" s="174"/>
      <c r="P2148" s="174"/>
      <c r="Q2148" s="174"/>
      <c r="R2148" s="174"/>
      <c r="S2148" s="174"/>
      <c r="T2148" s="174"/>
      <c r="U2148" s="174"/>
      <c r="V2148" s="174"/>
      <c r="W2148" s="174"/>
      <c r="X2148" s="174"/>
      <c r="Y2148" s="174"/>
      <c r="Z2148" s="174"/>
    </row>
    <row r="2149">
      <c r="A2149" s="194"/>
      <c r="B2149" s="194"/>
      <c r="C2149" s="194"/>
      <c r="D2149" s="194"/>
      <c r="E2149" s="194"/>
      <c r="F2149" s="194"/>
      <c r="G2149" s="194"/>
      <c r="H2149" s="195"/>
      <c r="I2149" s="195"/>
      <c r="J2149" s="194"/>
      <c r="K2149" s="174"/>
      <c r="L2149" s="174"/>
      <c r="M2149" s="174"/>
      <c r="N2149" s="174"/>
      <c r="O2149" s="174"/>
      <c r="P2149" s="174"/>
      <c r="Q2149" s="174"/>
      <c r="R2149" s="174"/>
      <c r="S2149" s="174"/>
      <c r="T2149" s="174"/>
      <c r="U2149" s="174"/>
      <c r="V2149" s="174"/>
      <c r="W2149" s="174"/>
      <c r="X2149" s="174"/>
      <c r="Y2149" s="174"/>
      <c r="Z2149" s="174"/>
    </row>
    <row r="2150">
      <c r="A2150" s="194"/>
      <c r="B2150" s="194"/>
      <c r="C2150" s="194"/>
      <c r="D2150" s="194"/>
      <c r="E2150" s="194"/>
      <c r="F2150" s="194"/>
      <c r="G2150" s="194"/>
      <c r="H2150" s="195"/>
      <c r="I2150" s="195"/>
      <c r="J2150" s="194"/>
      <c r="K2150" s="174"/>
      <c r="L2150" s="174"/>
      <c r="M2150" s="174"/>
      <c r="N2150" s="174"/>
      <c r="O2150" s="174"/>
      <c r="P2150" s="174"/>
      <c r="Q2150" s="174"/>
      <c r="R2150" s="174"/>
      <c r="S2150" s="174"/>
      <c r="T2150" s="174"/>
      <c r="U2150" s="174"/>
      <c r="V2150" s="174"/>
      <c r="W2150" s="174"/>
      <c r="X2150" s="174"/>
      <c r="Y2150" s="174"/>
      <c r="Z2150" s="174"/>
    </row>
    <row r="2151">
      <c r="A2151" s="194"/>
      <c r="B2151" s="194"/>
      <c r="C2151" s="194"/>
      <c r="D2151" s="194"/>
      <c r="E2151" s="194"/>
      <c r="F2151" s="194"/>
      <c r="G2151" s="194"/>
      <c r="H2151" s="195"/>
      <c r="I2151" s="195"/>
      <c r="J2151" s="194"/>
      <c r="K2151" s="174"/>
      <c r="L2151" s="174"/>
      <c r="M2151" s="174"/>
      <c r="N2151" s="174"/>
      <c r="O2151" s="174"/>
      <c r="P2151" s="174"/>
      <c r="Q2151" s="174"/>
      <c r="R2151" s="174"/>
      <c r="S2151" s="174"/>
      <c r="T2151" s="174"/>
      <c r="U2151" s="174"/>
      <c r="V2151" s="174"/>
      <c r="W2151" s="174"/>
      <c r="X2151" s="174"/>
      <c r="Y2151" s="174"/>
      <c r="Z2151" s="174"/>
    </row>
    <row r="2152">
      <c r="A2152" s="194"/>
      <c r="B2152" s="194"/>
      <c r="C2152" s="194"/>
      <c r="D2152" s="194"/>
      <c r="E2152" s="194"/>
      <c r="F2152" s="194"/>
      <c r="G2152" s="194"/>
      <c r="H2152" s="195"/>
      <c r="I2152" s="195"/>
      <c r="J2152" s="194"/>
      <c r="K2152" s="174"/>
      <c r="L2152" s="174"/>
      <c r="M2152" s="174"/>
      <c r="N2152" s="174"/>
      <c r="O2152" s="174"/>
      <c r="P2152" s="174"/>
      <c r="Q2152" s="174"/>
      <c r="R2152" s="174"/>
      <c r="S2152" s="174"/>
      <c r="T2152" s="174"/>
      <c r="U2152" s="174"/>
      <c r="V2152" s="174"/>
      <c r="W2152" s="174"/>
      <c r="X2152" s="174"/>
      <c r="Y2152" s="174"/>
      <c r="Z2152" s="174"/>
    </row>
    <row r="2153">
      <c r="A2153" s="194"/>
      <c r="B2153" s="194"/>
      <c r="C2153" s="194"/>
      <c r="D2153" s="194"/>
      <c r="E2153" s="194"/>
      <c r="F2153" s="194"/>
      <c r="G2153" s="194"/>
      <c r="H2153" s="195"/>
      <c r="I2153" s="195"/>
      <c r="J2153" s="194"/>
      <c r="K2153" s="174"/>
      <c r="L2153" s="174"/>
      <c r="M2153" s="174"/>
      <c r="N2153" s="174"/>
      <c r="O2153" s="174"/>
      <c r="P2153" s="174"/>
      <c r="Q2153" s="174"/>
      <c r="R2153" s="174"/>
      <c r="S2153" s="174"/>
      <c r="T2153" s="174"/>
      <c r="U2153" s="174"/>
      <c r="V2153" s="174"/>
      <c r="W2153" s="174"/>
      <c r="X2153" s="174"/>
      <c r="Y2153" s="174"/>
      <c r="Z2153" s="174"/>
    </row>
    <row r="2154">
      <c r="A2154" s="194"/>
      <c r="B2154" s="194"/>
      <c r="C2154" s="194"/>
      <c r="D2154" s="194"/>
      <c r="E2154" s="194"/>
      <c r="F2154" s="194"/>
      <c r="G2154" s="194"/>
      <c r="H2154" s="195"/>
      <c r="I2154" s="195"/>
      <c r="J2154" s="194"/>
      <c r="K2154" s="174"/>
      <c r="L2154" s="174"/>
      <c r="M2154" s="174"/>
      <c r="N2154" s="174"/>
      <c r="O2154" s="174"/>
      <c r="P2154" s="174"/>
      <c r="Q2154" s="174"/>
      <c r="R2154" s="174"/>
      <c r="S2154" s="174"/>
      <c r="T2154" s="174"/>
      <c r="U2154" s="174"/>
      <c r="V2154" s="174"/>
      <c r="W2154" s="174"/>
      <c r="X2154" s="174"/>
      <c r="Y2154" s="174"/>
      <c r="Z2154" s="174"/>
    </row>
    <row r="2155">
      <c r="A2155" s="194"/>
      <c r="B2155" s="194"/>
      <c r="C2155" s="194"/>
      <c r="D2155" s="194"/>
      <c r="E2155" s="194"/>
      <c r="F2155" s="194"/>
      <c r="G2155" s="194"/>
      <c r="H2155" s="195"/>
      <c r="I2155" s="195"/>
      <c r="J2155" s="194"/>
      <c r="K2155" s="174"/>
      <c r="L2155" s="174"/>
      <c r="M2155" s="174"/>
      <c r="N2155" s="174"/>
      <c r="O2155" s="174"/>
      <c r="P2155" s="174"/>
      <c r="Q2155" s="174"/>
      <c r="R2155" s="174"/>
      <c r="S2155" s="174"/>
      <c r="T2155" s="174"/>
      <c r="U2155" s="174"/>
      <c r="V2155" s="174"/>
      <c r="W2155" s="174"/>
      <c r="X2155" s="174"/>
      <c r="Y2155" s="174"/>
      <c r="Z2155" s="174"/>
    </row>
    <row r="2156">
      <c r="A2156" s="194"/>
      <c r="B2156" s="194"/>
      <c r="C2156" s="194"/>
      <c r="D2156" s="194"/>
      <c r="E2156" s="194"/>
      <c r="F2156" s="194"/>
      <c r="G2156" s="194"/>
      <c r="H2156" s="195"/>
      <c r="I2156" s="195"/>
      <c r="J2156" s="194"/>
      <c r="K2156" s="174"/>
      <c r="L2156" s="174"/>
      <c r="M2156" s="174"/>
      <c r="N2156" s="174"/>
      <c r="O2156" s="174"/>
      <c r="P2156" s="174"/>
      <c r="Q2156" s="174"/>
      <c r="R2156" s="174"/>
      <c r="S2156" s="174"/>
      <c r="T2156" s="174"/>
      <c r="U2156" s="174"/>
      <c r="V2156" s="174"/>
      <c r="W2156" s="174"/>
      <c r="X2156" s="174"/>
      <c r="Y2156" s="174"/>
      <c r="Z2156" s="174"/>
    </row>
    <row r="2157">
      <c r="A2157" s="194"/>
      <c r="B2157" s="194"/>
      <c r="C2157" s="194"/>
      <c r="D2157" s="194"/>
      <c r="E2157" s="194"/>
      <c r="F2157" s="194"/>
      <c r="G2157" s="194"/>
      <c r="H2157" s="195"/>
      <c r="I2157" s="195"/>
      <c r="J2157" s="194"/>
      <c r="K2157" s="174"/>
      <c r="L2157" s="174"/>
      <c r="M2157" s="174"/>
      <c r="N2157" s="174"/>
      <c r="O2157" s="174"/>
      <c r="P2157" s="174"/>
      <c r="Q2157" s="174"/>
      <c r="R2157" s="174"/>
      <c r="S2157" s="174"/>
      <c r="T2157" s="174"/>
      <c r="U2157" s="174"/>
      <c r="V2157" s="174"/>
      <c r="W2157" s="174"/>
      <c r="X2157" s="174"/>
      <c r="Y2157" s="174"/>
      <c r="Z2157" s="174"/>
    </row>
    <row r="2158">
      <c r="A2158" s="194"/>
      <c r="B2158" s="194"/>
      <c r="C2158" s="194"/>
      <c r="D2158" s="194"/>
      <c r="E2158" s="194"/>
      <c r="F2158" s="194"/>
      <c r="G2158" s="194"/>
      <c r="H2158" s="195"/>
      <c r="I2158" s="195"/>
      <c r="J2158" s="194"/>
      <c r="K2158" s="174"/>
      <c r="L2158" s="174"/>
      <c r="M2158" s="174"/>
      <c r="N2158" s="174"/>
      <c r="O2158" s="174"/>
      <c r="P2158" s="174"/>
      <c r="Q2158" s="174"/>
      <c r="R2158" s="174"/>
      <c r="S2158" s="174"/>
      <c r="T2158" s="174"/>
      <c r="U2158" s="174"/>
      <c r="V2158" s="174"/>
      <c r="W2158" s="174"/>
      <c r="X2158" s="174"/>
      <c r="Y2158" s="174"/>
      <c r="Z2158" s="174"/>
    </row>
    <row r="2159">
      <c r="A2159" s="194"/>
      <c r="B2159" s="194"/>
      <c r="C2159" s="194"/>
      <c r="D2159" s="194"/>
      <c r="E2159" s="194"/>
      <c r="F2159" s="194"/>
      <c r="G2159" s="194"/>
      <c r="H2159" s="195"/>
      <c r="I2159" s="195"/>
      <c r="J2159" s="194"/>
      <c r="K2159" s="174"/>
      <c r="L2159" s="174"/>
      <c r="M2159" s="174"/>
      <c r="N2159" s="174"/>
      <c r="O2159" s="174"/>
      <c r="P2159" s="174"/>
      <c r="Q2159" s="174"/>
      <c r="R2159" s="174"/>
      <c r="S2159" s="174"/>
      <c r="T2159" s="174"/>
      <c r="U2159" s="174"/>
      <c r="V2159" s="174"/>
      <c r="W2159" s="174"/>
      <c r="X2159" s="174"/>
      <c r="Y2159" s="174"/>
      <c r="Z2159" s="174"/>
    </row>
    <row r="2160">
      <c r="A2160" s="194"/>
      <c r="B2160" s="194"/>
      <c r="C2160" s="194"/>
      <c r="D2160" s="194"/>
      <c r="E2160" s="194"/>
      <c r="F2160" s="194"/>
      <c r="G2160" s="194"/>
      <c r="H2160" s="195"/>
      <c r="I2160" s="195"/>
      <c r="J2160" s="194"/>
      <c r="K2160" s="174"/>
      <c r="L2160" s="174"/>
      <c r="M2160" s="174"/>
      <c r="N2160" s="174"/>
      <c r="O2160" s="174"/>
      <c r="P2160" s="174"/>
      <c r="Q2160" s="174"/>
      <c r="R2160" s="174"/>
      <c r="S2160" s="174"/>
      <c r="T2160" s="174"/>
      <c r="U2160" s="174"/>
      <c r="V2160" s="174"/>
      <c r="W2160" s="174"/>
      <c r="X2160" s="174"/>
      <c r="Y2160" s="174"/>
      <c r="Z2160" s="174"/>
    </row>
    <row r="2161">
      <c r="A2161" s="194"/>
      <c r="B2161" s="194"/>
      <c r="C2161" s="194"/>
      <c r="D2161" s="194"/>
      <c r="E2161" s="194"/>
      <c r="F2161" s="194"/>
      <c r="G2161" s="194"/>
      <c r="H2161" s="195"/>
      <c r="I2161" s="195"/>
      <c r="J2161" s="194"/>
      <c r="K2161" s="174"/>
      <c r="L2161" s="174"/>
      <c r="M2161" s="174"/>
      <c r="N2161" s="174"/>
      <c r="O2161" s="174"/>
      <c r="P2161" s="174"/>
      <c r="Q2161" s="174"/>
      <c r="R2161" s="174"/>
      <c r="S2161" s="174"/>
      <c r="T2161" s="174"/>
      <c r="U2161" s="174"/>
      <c r="V2161" s="174"/>
      <c r="W2161" s="174"/>
      <c r="X2161" s="174"/>
      <c r="Y2161" s="174"/>
      <c r="Z2161" s="174"/>
    </row>
    <row r="2162">
      <c r="A2162" s="194"/>
      <c r="B2162" s="194"/>
      <c r="C2162" s="194"/>
      <c r="D2162" s="194"/>
      <c r="E2162" s="194"/>
      <c r="F2162" s="194"/>
      <c r="G2162" s="194"/>
      <c r="H2162" s="195"/>
      <c r="I2162" s="195"/>
      <c r="J2162" s="194"/>
      <c r="K2162" s="174"/>
      <c r="L2162" s="174"/>
      <c r="M2162" s="174"/>
      <c r="N2162" s="174"/>
      <c r="O2162" s="174"/>
      <c r="P2162" s="174"/>
      <c r="Q2162" s="174"/>
      <c r="R2162" s="174"/>
      <c r="S2162" s="174"/>
      <c r="T2162" s="174"/>
      <c r="U2162" s="174"/>
      <c r="V2162" s="174"/>
      <c r="W2162" s="174"/>
      <c r="X2162" s="174"/>
      <c r="Y2162" s="174"/>
      <c r="Z2162" s="174"/>
    </row>
    <row r="2163">
      <c r="A2163" s="194"/>
      <c r="B2163" s="194"/>
      <c r="C2163" s="194"/>
      <c r="D2163" s="194"/>
      <c r="E2163" s="194"/>
      <c r="F2163" s="194"/>
      <c r="G2163" s="194"/>
      <c r="H2163" s="195"/>
      <c r="I2163" s="195"/>
      <c r="J2163" s="194"/>
      <c r="K2163" s="174"/>
      <c r="L2163" s="174"/>
      <c r="M2163" s="174"/>
      <c r="N2163" s="174"/>
      <c r="O2163" s="174"/>
      <c r="P2163" s="174"/>
      <c r="Q2163" s="174"/>
      <c r="R2163" s="174"/>
      <c r="S2163" s="174"/>
      <c r="T2163" s="174"/>
      <c r="U2163" s="174"/>
      <c r="V2163" s="174"/>
      <c r="W2163" s="174"/>
      <c r="X2163" s="174"/>
      <c r="Y2163" s="174"/>
      <c r="Z2163" s="174"/>
    </row>
    <row r="2164">
      <c r="A2164" s="194"/>
      <c r="B2164" s="194"/>
      <c r="C2164" s="194"/>
      <c r="D2164" s="194"/>
      <c r="E2164" s="194"/>
      <c r="F2164" s="194"/>
      <c r="G2164" s="194"/>
      <c r="H2164" s="195"/>
      <c r="I2164" s="195"/>
      <c r="J2164" s="194"/>
      <c r="K2164" s="174"/>
      <c r="L2164" s="174"/>
      <c r="M2164" s="174"/>
      <c r="N2164" s="174"/>
      <c r="O2164" s="174"/>
      <c r="P2164" s="174"/>
      <c r="Q2164" s="174"/>
      <c r="R2164" s="174"/>
      <c r="S2164" s="174"/>
      <c r="T2164" s="174"/>
      <c r="U2164" s="174"/>
      <c r="V2164" s="174"/>
      <c r="W2164" s="174"/>
      <c r="X2164" s="174"/>
      <c r="Y2164" s="174"/>
      <c r="Z2164" s="174"/>
    </row>
    <row r="2165">
      <c r="A2165" s="194"/>
      <c r="B2165" s="194"/>
      <c r="C2165" s="194"/>
      <c r="D2165" s="194"/>
      <c r="E2165" s="194"/>
      <c r="F2165" s="194"/>
      <c r="G2165" s="194"/>
      <c r="H2165" s="195"/>
      <c r="I2165" s="195"/>
      <c r="J2165" s="194"/>
      <c r="K2165" s="174"/>
      <c r="L2165" s="174"/>
      <c r="M2165" s="174"/>
      <c r="N2165" s="174"/>
      <c r="O2165" s="174"/>
      <c r="P2165" s="174"/>
      <c r="Q2165" s="174"/>
      <c r="R2165" s="174"/>
      <c r="S2165" s="174"/>
      <c r="T2165" s="174"/>
      <c r="U2165" s="174"/>
      <c r="V2165" s="174"/>
      <c r="W2165" s="174"/>
      <c r="X2165" s="174"/>
      <c r="Y2165" s="174"/>
      <c r="Z2165" s="174"/>
    </row>
    <row r="2166">
      <c r="A2166" s="194"/>
      <c r="B2166" s="194"/>
      <c r="C2166" s="194"/>
      <c r="D2166" s="194"/>
      <c r="E2166" s="194"/>
      <c r="F2166" s="194"/>
      <c r="G2166" s="194"/>
      <c r="H2166" s="195"/>
      <c r="I2166" s="195"/>
      <c r="J2166" s="194"/>
      <c r="K2166" s="174"/>
      <c r="L2166" s="174"/>
      <c r="M2166" s="174"/>
      <c r="N2166" s="174"/>
      <c r="O2166" s="174"/>
      <c r="P2166" s="174"/>
      <c r="Q2166" s="174"/>
      <c r="R2166" s="174"/>
      <c r="S2166" s="174"/>
      <c r="T2166" s="174"/>
      <c r="U2166" s="174"/>
      <c r="V2166" s="174"/>
      <c r="W2166" s="174"/>
      <c r="X2166" s="174"/>
      <c r="Y2166" s="174"/>
      <c r="Z2166" s="174"/>
    </row>
    <row r="2167">
      <c r="A2167" s="194"/>
      <c r="B2167" s="194"/>
      <c r="C2167" s="194"/>
      <c r="D2167" s="194"/>
      <c r="E2167" s="194"/>
      <c r="F2167" s="194"/>
      <c r="G2167" s="194"/>
      <c r="H2167" s="195"/>
      <c r="I2167" s="195"/>
      <c r="J2167" s="194"/>
      <c r="K2167" s="174"/>
      <c r="L2167" s="174"/>
      <c r="M2167" s="174"/>
      <c r="N2167" s="174"/>
      <c r="O2167" s="174"/>
      <c r="P2167" s="174"/>
      <c r="Q2167" s="174"/>
      <c r="R2167" s="174"/>
      <c r="S2167" s="174"/>
      <c r="T2167" s="174"/>
      <c r="U2167" s="174"/>
      <c r="V2167" s="174"/>
      <c r="W2167" s="174"/>
      <c r="X2167" s="174"/>
      <c r="Y2167" s="174"/>
      <c r="Z2167" s="174"/>
    </row>
    <row r="2168">
      <c r="A2168" s="194"/>
      <c r="B2168" s="194"/>
      <c r="C2168" s="194"/>
      <c r="D2168" s="194"/>
      <c r="E2168" s="194"/>
      <c r="F2168" s="194"/>
      <c r="G2168" s="194"/>
      <c r="H2168" s="195"/>
      <c r="I2168" s="195"/>
      <c r="J2168" s="194"/>
      <c r="K2168" s="174"/>
      <c r="L2168" s="174"/>
      <c r="M2168" s="174"/>
      <c r="N2168" s="174"/>
      <c r="O2168" s="174"/>
      <c r="P2168" s="174"/>
      <c r="Q2168" s="174"/>
      <c r="R2168" s="174"/>
      <c r="S2168" s="174"/>
      <c r="T2168" s="174"/>
      <c r="U2168" s="174"/>
      <c r="V2168" s="174"/>
      <c r="W2168" s="174"/>
      <c r="X2168" s="174"/>
      <c r="Y2168" s="174"/>
      <c r="Z2168" s="174"/>
    </row>
    <row r="2169">
      <c r="A2169" s="194"/>
      <c r="B2169" s="194"/>
      <c r="C2169" s="194"/>
      <c r="D2169" s="194"/>
      <c r="E2169" s="194"/>
      <c r="F2169" s="194"/>
      <c r="G2169" s="194"/>
      <c r="H2169" s="195"/>
      <c r="I2169" s="195"/>
      <c r="J2169" s="194"/>
      <c r="K2169" s="174"/>
      <c r="L2169" s="174"/>
      <c r="M2169" s="174"/>
      <c r="N2169" s="174"/>
      <c r="O2169" s="174"/>
      <c r="P2169" s="174"/>
      <c r="Q2169" s="174"/>
      <c r="R2169" s="174"/>
      <c r="S2169" s="174"/>
      <c r="T2169" s="174"/>
      <c r="U2169" s="174"/>
      <c r="V2169" s="174"/>
      <c r="W2169" s="174"/>
      <c r="X2169" s="174"/>
      <c r="Y2169" s="174"/>
      <c r="Z2169" s="174"/>
    </row>
    <row r="2170">
      <c r="A2170" s="194"/>
      <c r="B2170" s="194"/>
      <c r="C2170" s="194"/>
      <c r="D2170" s="194"/>
      <c r="E2170" s="194"/>
      <c r="F2170" s="194"/>
      <c r="G2170" s="194"/>
      <c r="H2170" s="195"/>
      <c r="I2170" s="195"/>
      <c r="J2170" s="194"/>
      <c r="K2170" s="174"/>
      <c r="L2170" s="174"/>
      <c r="M2170" s="174"/>
      <c r="N2170" s="174"/>
      <c r="O2170" s="174"/>
      <c r="P2170" s="174"/>
      <c r="Q2170" s="174"/>
      <c r="R2170" s="174"/>
      <c r="S2170" s="174"/>
      <c r="T2170" s="174"/>
      <c r="U2170" s="174"/>
      <c r="V2170" s="174"/>
      <c r="W2170" s="174"/>
      <c r="X2170" s="174"/>
      <c r="Y2170" s="174"/>
      <c r="Z2170" s="174"/>
    </row>
    <row r="2171">
      <c r="A2171" s="194"/>
      <c r="B2171" s="194"/>
      <c r="C2171" s="194"/>
      <c r="D2171" s="194"/>
      <c r="E2171" s="194"/>
      <c r="F2171" s="194"/>
      <c r="G2171" s="194"/>
      <c r="H2171" s="195"/>
      <c r="I2171" s="195"/>
      <c r="J2171" s="194"/>
      <c r="K2171" s="174"/>
      <c r="L2171" s="174"/>
      <c r="M2171" s="174"/>
      <c r="N2171" s="174"/>
      <c r="O2171" s="174"/>
      <c r="P2171" s="174"/>
      <c r="Q2171" s="174"/>
      <c r="R2171" s="174"/>
      <c r="S2171" s="174"/>
      <c r="T2171" s="174"/>
      <c r="U2171" s="174"/>
      <c r="V2171" s="174"/>
      <c r="W2171" s="174"/>
      <c r="X2171" s="174"/>
      <c r="Y2171" s="174"/>
      <c r="Z2171" s="174"/>
    </row>
    <row r="2172">
      <c r="A2172" s="194"/>
      <c r="B2172" s="194"/>
      <c r="C2172" s="194"/>
      <c r="D2172" s="194"/>
      <c r="E2172" s="194"/>
      <c r="F2172" s="194"/>
      <c r="G2172" s="194"/>
      <c r="H2172" s="195"/>
      <c r="I2172" s="195"/>
      <c r="J2172" s="194"/>
      <c r="K2172" s="174"/>
      <c r="L2172" s="174"/>
      <c r="M2172" s="174"/>
      <c r="N2172" s="174"/>
      <c r="O2172" s="174"/>
      <c r="P2172" s="174"/>
      <c r="Q2172" s="174"/>
      <c r="R2172" s="174"/>
      <c r="S2172" s="174"/>
      <c r="T2172" s="174"/>
      <c r="U2172" s="174"/>
      <c r="V2172" s="174"/>
      <c r="W2172" s="174"/>
      <c r="X2172" s="174"/>
      <c r="Y2172" s="174"/>
      <c r="Z2172" s="174"/>
    </row>
    <row r="2173">
      <c r="A2173" s="194"/>
      <c r="B2173" s="194"/>
      <c r="C2173" s="194"/>
      <c r="D2173" s="194"/>
      <c r="E2173" s="194"/>
      <c r="F2173" s="194"/>
      <c r="G2173" s="194"/>
      <c r="H2173" s="195"/>
      <c r="I2173" s="195"/>
      <c r="J2173" s="194"/>
      <c r="K2173" s="174"/>
      <c r="L2173" s="174"/>
      <c r="M2173" s="174"/>
      <c r="N2173" s="174"/>
      <c r="O2173" s="174"/>
      <c r="P2173" s="174"/>
      <c r="Q2173" s="174"/>
      <c r="R2173" s="174"/>
      <c r="S2173" s="174"/>
      <c r="T2173" s="174"/>
      <c r="U2173" s="174"/>
      <c r="V2173" s="174"/>
      <c r="W2173" s="174"/>
      <c r="X2173" s="174"/>
      <c r="Y2173" s="174"/>
      <c r="Z2173" s="174"/>
    </row>
    <row r="2174">
      <c r="A2174" s="194"/>
      <c r="B2174" s="194"/>
      <c r="C2174" s="194"/>
      <c r="D2174" s="194"/>
      <c r="E2174" s="194"/>
      <c r="F2174" s="194"/>
      <c r="G2174" s="194"/>
      <c r="H2174" s="195"/>
      <c r="I2174" s="195"/>
      <c r="J2174" s="194"/>
      <c r="K2174" s="174"/>
      <c r="L2174" s="174"/>
      <c r="M2174" s="174"/>
      <c r="N2174" s="174"/>
      <c r="O2174" s="174"/>
      <c r="P2174" s="174"/>
      <c r="Q2174" s="174"/>
      <c r="R2174" s="174"/>
      <c r="S2174" s="174"/>
      <c r="T2174" s="174"/>
      <c r="U2174" s="174"/>
      <c r="V2174" s="174"/>
      <c r="W2174" s="174"/>
      <c r="X2174" s="174"/>
      <c r="Y2174" s="174"/>
      <c r="Z2174" s="174"/>
    </row>
    <row r="2175">
      <c r="A2175" s="194"/>
      <c r="B2175" s="194"/>
      <c r="C2175" s="194"/>
      <c r="D2175" s="194"/>
      <c r="E2175" s="194"/>
      <c r="F2175" s="194"/>
      <c r="G2175" s="194"/>
      <c r="H2175" s="195"/>
      <c r="I2175" s="195"/>
      <c r="J2175" s="194"/>
      <c r="K2175" s="174"/>
      <c r="L2175" s="174"/>
      <c r="M2175" s="174"/>
      <c r="N2175" s="174"/>
      <c r="O2175" s="174"/>
      <c r="P2175" s="174"/>
      <c r="Q2175" s="174"/>
      <c r="R2175" s="174"/>
      <c r="S2175" s="174"/>
      <c r="T2175" s="174"/>
      <c r="U2175" s="174"/>
      <c r="V2175" s="174"/>
      <c r="W2175" s="174"/>
      <c r="X2175" s="174"/>
      <c r="Y2175" s="174"/>
      <c r="Z2175" s="174"/>
    </row>
    <row r="2176">
      <c r="A2176" s="194"/>
      <c r="B2176" s="194"/>
      <c r="C2176" s="194"/>
      <c r="D2176" s="194"/>
      <c r="E2176" s="194"/>
      <c r="F2176" s="194"/>
      <c r="G2176" s="194"/>
      <c r="H2176" s="195"/>
      <c r="I2176" s="195"/>
      <c r="J2176" s="194"/>
      <c r="K2176" s="174"/>
      <c r="L2176" s="174"/>
      <c r="M2176" s="174"/>
      <c r="N2176" s="174"/>
      <c r="O2176" s="174"/>
      <c r="P2176" s="174"/>
      <c r="Q2176" s="174"/>
      <c r="R2176" s="174"/>
      <c r="S2176" s="174"/>
      <c r="T2176" s="174"/>
      <c r="U2176" s="174"/>
      <c r="V2176" s="174"/>
      <c r="W2176" s="174"/>
      <c r="X2176" s="174"/>
      <c r="Y2176" s="174"/>
      <c r="Z2176" s="174"/>
    </row>
    <row r="2177">
      <c r="A2177" s="194"/>
      <c r="B2177" s="194"/>
      <c r="C2177" s="194"/>
      <c r="D2177" s="194"/>
      <c r="E2177" s="194"/>
      <c r="F2177" s="194"/>
      <c r="G2177" s="194"/>
      <c r="H2177" s="195"/>
      <c r="I2177" s="195"/>
      <c r="J2177" s="194"/>
      <c r="K2177" s="174"/>
      <c r="L2177" s="174"/>
      <c r="M2177" s="174"/>
      <c r="N2177" s="174"/>
      <c r="O2177" s="174"/>
      <c r="P2177" s="174"/>
      <c r="Q2177" s="174"/>
      <c r="R2177" s="174"/>
      <c r="S2177" s="174"/>
      <c r="T2177" s="174"/>
      <c r="U2177" s="174"/>
      <c r="V2177" s="174"/>
      <c r="W2177" s="174"/>
      <c r="X2177" s="174"/>
      <c r="Y2177" s="174"/>
      <c r="Z2177" s="174"/>
    </row>
    <row r="2178">
      <c r="A2178" s="194"/>
      <c r="B2178" s="194"/>
      <c r="C2178" s="194"/>
      <c r="D2178" s="194"/>
      <c r="E2178" s="194"/>
      <c r="F2178" s="194"/>
      <c r="G2178" s="194"/>
      <c r="H2178" s="195"/>
      <c r="I2178" s="195"/>
      <c r="J2178" s="194"/>
      <c r="K2178" s="174"/>
      <c r="L2178" s="174"/>
      <c r="M2178" s="174"/>
      <c r="N2178" s="174"/>
      <c r="O2178" s="174"/>
      <c r="P2178" s="174"/>
      <c r="Q2178" s="174"/>
      <c r="R2178" s="174"/>
      <c r="S2178" s="174"/>
      <c r="T2178" s="174"/>
      <c r="U2178" s="174"/>
      <c r="V2178" s="174"/>
      <c r="W2178" s="174"/>
      <c r="X2178" s="174"/>
      <c r="Y2178" s="174"/>
      <c r="Z2178" s="174"/>
    </row>
    <row r="2179">
      <c r="A2179" s="194"/>
      <c r="B2179" s="194"/>
      <c r="C2179" s="194"/>
      <c r="D2179" s="194"/>
      <c r="E2179" s="194"/>
      <c r="F2179" s="194"/>
      <c r="G2179" s="194"/>
      <c r="H2179" s="195"/>
      <c r="I2179" s="195"/>
      <c r="J2179" s="194"/>
      <c r="K2179" s="174"/>
      <c r="L2179" s="174"/>
      <c r="M2179" s="174"/>
      <c r="N2179" s="174"/>
      <c r="O2179" s="174"/>
      <c r="P2179" s="174"/>
      <c r="Q2179" s="174"/>
      <c r="R2179" s="174"/>
      <c r="S2179" s="174"/>
      <c r="T2179" s="174"/>
      <c r="U2179" s="174"/>
      <c r="V2179" s="174"/>
      <c r="W2179" s="174"/>
      <c r="X2179" s="174"/>
      <c r="Y2179" s="174"/>
      <c r="Z2179" s="174"/>
    </row>
    <row r="2180">
      <c r="A2180" s="194"/>
      <c r="B2180" s="194"/>
      <c r="C2180" s="194"/>
      <c r="D2180" s="194"/>
      <c r="E2180" s="194"/>
      <c r="F2180" s="194"/>
      <c r="G2180" s="194"/>
      <c r="H2180" s="195"/>
      <c r="I2180" s="195"/>
      <c r="J2180" s="194"/>
      <c r="K2180" s="174"/>
      <c r="L2180" s="174"/>
      <c r="M2180" s="174"/>
      <c r="N2180" s="174"/>
      <c r="O2180" s="174"/>
      <c r="P2180" s="174"/>
      <c r="Q2180" s="174"/>
      <c r="R2180" s="174"/>
      <c r="S2180" s="174"/>
      <c r="T2180" s="174"/>
      <c r="U2180" s="174"/>
      <c r="V2180" s="174"/>
      <c r="W2180" s="174"/>
      <c r="X2180" s="174"/>
      <c r="Y2180" s="174"/>
      <c r="Z2180" s="174"/>
    </row>
    <row r="2181">
      <c r="A2181" s="194"/>
      <c r="B2181" s="194"/>
      <c r="C2181" s="194"/>
      <c r="D2181" s="194"/>
      <c r="E2181" s="194"/>
      <c r="F2181" s="194"/>
      <c r="G2181" s="194"/>
      <c r="H2181" s="195"/>
      <c r="I2181" s="195"/>
      <c r="J2181" s="194"/>
      <c r="K2181" s="174"/>
      <c r="L2181" s="174"/>
      <c r="M2181" s="174"/>
      <c r="N2181" s="174"/>
      <c r="O2181" s="174"/>
      <c r="P2181" s="174"/>
      <c r="Q2181" s="174"/>
      <c r="R2181" s="174"/>
      <c r="S2181" s="174"/>
      <c r="T2181" s="174"/>
      <c r="U2181" s="174"/>
      <c r="V2181" s="174"/>
      <c r="W2181" s="174"/>
      <c r="X2181" s="174"/>
      <c r="Y2181" s="174"/>
      <c r="Z2181" s="174"/>
    </row>
    <row r="2182">
      <c r="A2182" s="194"/>
      <c r="B2182" s="194"/>
      <c r="C2182" s="194"/>
      <c r="D2182" s="194"/>
      <c r="E2182" s="194"/>
      <c r="F2182" s="194"/>
      <c r="G2182" s="194"/>
      <c r="H2182" s="195"/>
      <c r="I2182" s="195"/>
      <c r="J2182" s="194"/>
      <c r="K2182" s="174"/>
      <c r="L2182" s="174"/>
      <c r="M2182" s="174"/>
      <c r="N2182" s="174"/>
      <c r="O2182" s="174"/>
      <c r="P2182" s="174"/>
      <c r="Q2182" s="174"/>
      <c r="R2182" s="174"/>
      <c r="S2182" s="174"/>
      <c r="T2182" s="174"/>
      <c r="U2182" s="174"/>
      <c r="V2182" s="174"/>
      <c r="W2182" s="174"/>
      <c r="X2182" s="174"/>
      <c r="Y2182" s="174"/>
      <c r="Z2182" s="174"/>
    </row>
    <row r="2183">
      <c r="A2183" s="194"/>
      <c r="B2183" s="194"/>
      <c r="C2183" s="194"/>
      <c r="D2183" s="194"/>
      <c r="E2183" s="194"/>
      <c r="F2183" s="194"/>
      <c r="G2183" s="194"/>
      <c r="H2183" s="195"/>
      <c r="I2183" s="195"/>
      <c r="J2183" s="194"/>
      <c r="K2183" s="174"/>
      <c r="L2183" s="174"/>
      <c r="M2183" s="174"/>
      <c r="N2183" s="174"/>
      <c r="O2183" s="174"/>
      <c r="P2183" s="174"/>
      <c r="Q2183" s="174"/>
      <c r="R2183" s="174"/>
      <c r="S2183" s="174"/>
      <c r="T2183" s="174"/>
      <c r="U2183" s="174"/>
      <c r="V2183" s="174"/>
      <c r="W2183" s="174"/>
      <c r="X2183" s="174"/>
      <c r="Y2183" s="174"/>
      <c r="Z2183" s="174"/>
    </row>
    <row r="2184">
      <c r="A2184" s="194"/>
      <c r="B2184" s="194"/>
      <c r="C2184" s="194"/>
      <c r="D2184" s="194"/>
      <c r="E2184" s="194"/>
      <c r="F2184" s="194"/>
      <c r="G2184" s="194"/>
      <c r="H2184" s="195"/>
      <c r="I2184" s="195"/>
      <c r="J2184" s="194"/>
      <c r="K2184" s="174"/>
      <c r="L2184" s="174"/>
      <c r="M2184" s="174"/>
      <c r="N2184" s="174"/>
      <c r="O2184" s="174"/>
      <c r="P2184" s="174"/>
      <c r="Q2184" s="174"/>
      <c r="R2184" s="174"/>
      <c r="S2184" s="174"/>
      <c r="T2184" s="174"/>
      <c r="U2184" s="174"/>
      <c r="V2184" s="174"/>
      <c r="W2184" s="174"/>
      <c r="X2184" s="174"/>
      <c r="Y2184" s="174"/>
      <c r="Z2184" s="174"/>
    </row>
    <row r="2185">
      <c r="A2185" s="194"/>
      <c r="B2185" s="194"/>
      <c r="C2185" s="194"/>
      <c r="D2185" s="194"/>
      <c r="E2185" s="194"/>
      <c r="F2185" s="194"/>
      <c r="G2185" s="194"/>
      <c r="H2185" s="195"/>
      <c r="I2185" s="195"/>
      <c r="J2185" s="194"/>
      <c r="K2185" s="174"/>
      <c r="L2185" s="174"/>
      <c r="M2185" s="174"/>
      <c r="N2185" s="174"/>
      <c r="O2185" s="174"/>
      <c r="P2185" s="174"/>
      <c r="Q2185" s="174"/>
      <c r="R2185" s="174"/>
      <c r="S2185" s="174"/>
      <c r="T2185" s="174"/>
      <c r="U2185" s="174"/>
      <c r="V2185" s="174"/>
      <c r="W2185" s="174"/>
      <c r="X2185" s="174"/>
      <c r="Y2185" s="174"/>
      <c r="Z2185" s="174"/>
    </row>
    <row r="2186">
      <c r="A2186" s="194"/>
      <c r="B2186" s="194"/>
      <c r="C2186" s="194"/>
      <c r="D2186" s="194"/>
      <c r="E2186" s="194"/>
      <c r="F2186" s="194"/>
      <c r="G2186" s="194"/>
      <c r="H2186" s="195"/>
      <c r="I2186" s="195"/>
      <c r="J2186" s="194"/>
      <c r="K2186" s="174"/>
      <c r="L2186" s="174"/>
      <c r="M2186" s="174"/>
      <c r="N2186" s="174"/>
      <c r="O2186" s="174"/>
      <c r="P2186" s="174"/>
      <c r="Q2186" s="174"/>
      <c r="R2186" s="174"/>
      <c r="S2186" s="174"/>
      <c r="T2186" s="174"/>
      <c r="U2186" s="174"/>
      <c r="V2186" s="174"/>
      <c r="W2186" s="174"/>
      <c r="X2186" s="174"/>
      <c r="Y2186" s="174"/>
      <c r="Z2186" s="174"/>
    </row>
    <row r="2187">
      <c r="A2187" s="194"/>
      <c r="B2187" s="194"/>
      <c r="C2187" s="194"/>
      <c r="D2187" s="194"/>
      <c r="E2187" s="194"/>
      <c r="F2187" s="194"/>
      <c r="G2187" s="194"/>
      <c r="H2187" s="195"/>
      <c r="I2187" s="195"/>
      <c r="J2187" s="194"/>
      <c r="K2187" s="174"/>
      <c r="L2187" s="174"/>
      <c r="M2187" s="174"/>
      <c r="N2187" s="174"/>
      <c r="O2187" s="174"/>
      <c r="P2187" s="174"/>
      <c r="Q2187" s="174"/>
      <c r="R2187" s="174"/>
      <c r="S2187" s="174"/>
      <c r="T2187" s="174"/>
      <c r="U2187" s="174"/>
      <c r="V2187" s="174"/>
      <c r="W2187" s="174"/>
      <c r="X2187" s="174"/>
      <c r="Y2187" s="174"/>
      <c r="Z2187" s="174"/>
    </row>
    <row r="2188">
      <c r="A2188" s="194"/>
      <c r="B2188" s="194"/>
      <c r="C2188" s="194"/>
      <c r="D2188" s="194"/>
      <c r="E2188" s="194"/>
      <c r="F2188" s="194"/>
      <c r="G2188" s="194"/>
      <c r="H2188" s="195"/>
      <c r="I2188" s="195"/>
      <c r="J2188" s="194"/>
      <c r="K2188" s="174"/>
      <c r="L2188" s="174"/>
      <c r="M2188" s="174"/>
      <c r="N2188" s="174"/>
      <c r="O2188" s="174"/>
      <c r="P2188" s="174"/>
      <c r="Q2188" s="174"/>
      <c r="R2188" s="174"/>
      <c r="S2188" s="174"/>
      <c r="T2188" s="174"/>
      <c r="U2188" s="174"/>
      <c r="V2188" s="174"/>
      <c r="W2188" s="174"/>
      <c r="X2188" s="174"/>
      <c r="Y2188" s="174"/>
      <c r="Z2188" s="174"/>
    </row>
    <row r="2189">
      <c r="A2189" s="194"/>
      <c r="B2189" s="194"/>
      <c r="C2189" s="194"/>
      <c r="D2189" s="194"/>
      <c r="E2189" s="194"/>
      <c r="F2189" s="194"/>
      <c r="G2189" s="194"/>
      <c r="H2189" s="195"/>
      <c r="I2189" s="195"/>
      <c r="J2189" s="194"/>
      <c r="K2189" s="174"/>
      <c r="L2189" s="174"/>
      <c r="M2189" s="174"/>
      <c r="N2189" s="174"/>
      <c r="O2189" s="174"/>
      <c r="P2189" s="174"/>
      <c r="Q2189" s="174"/>
      <c r="R2189" s="174"/>
      <c r="S2189" s="174"/>
      <c r="T2189" s="174"/>
      <c r="U2189" s="174"/>
      <c r="V2189" s="174"/>
      <c r="W2189" s="174"/>
      <c r="X2189" s="174"/>
      <c r="Y2189" s="174"/>
      <c r="Z2189" s="174"/>
    </row>
    <row r="2190">
      <c r="A2190" s="194"/>
      <c r="B2190" s="194"/>
      <c r="C2190" s="194"/>
      <c r="D2190" s="194"/>
      <c r="E2190" s="194"/>
      <c r="F2190" s="194"/>
      <c r="G2190" s="194"/>
      <c r="H2190" s="195"/>
      <c r="I2190" s="195"/>
      <c r="J2190" s="194"/>
      <c r="K2190" s="174"/>
      <c r="L2190" s="174"/>
      <c r="M2190" s="174"/>
      <c r="N2190" s="174"/>
      <c r="O2190" s="174"/>
      <c r="P2190" s="174"/>
      <c r="Q2190" s="174"/>
      <c r="R2190" s="174"/>
      <c r="S2190" s="174"/>
      <c r="T2190" s="174"/>
      <c r="U2190" s="174"/>
      <c r="V2190" s="174"/>
      <c r="W2190" s="174"/>
      <c r="X2190" s="174"/>
      <c r="Y2190" s="174"/>
      <c r="Z2190" s="174"/>
    </row>
    <row r="2191">
      <c r="A2191" s="194"/>
      <c r="B2191" s="194"/>
      <c r="C2191" s="194"/>
      <c r="D2191" s="194"/>
      <c r="E2191" s="194"/>
      <c r="F2191" s="194"/>
      <c r="G2191" s="194"/>
      <c r="H2191" s="195"/>
      <c r="I2191" s="195"/>
      <c r="J2191" s="194"/>
      <c r="K2191" s="174"/>
      <c r="L2191" s="174"/>
      <c r="M2191" s="174"/>
      <c r="N2191" s="174"/>
      <c r="O2191" s="174"/>
      <c r="P2191" s="174"/>
      <c r="Q2191" s="174"/>
      <c r="R2191" s="174"/>
      <c r="S2191" s="174"/>
      <c r="T2191" s="174"/>
      <c r="U2191" s="174"/>
      <c r="V2191" s="174"/>
      <c r="W2191" s="174"/>
      <c r="X2191" s="174"/>
      <c r="Y2191" s="174"/>
      <c r="Z2191" s="174"/>
    </row>
    <row r="2192">
      <c r="A2192" s="194"/>
      <c r="B2192" s="194"/>
      <c r="C2192" s="194"/>
      <c r="D2192" s="194"/>
      <c r="E2192" s="194"/>
      <c r="F2192" s="194"/>
      <c r="G2192" s="194"/>
      <c r="H2192" s="195"/>
      <c r="I2192" s="195"/>
      <c r="J2192" s="194"/>
      <c r="K2192" s="174"/>
      <c r="L2192" s="174"/>
      <c r="M2192" s="174"/>
      <c r="N2192" s="174"/>
      <c r="O2192" s="174"/>
      <c r="P2192" s="174"/>
      <c r="Q2192" s="174"/>
      <c r="R2192" s="174"/>
      <c r="S2192" s="174"/>
      <c r="T2192" s="174"/>
      <c r="U2192" s="174"/>
      <c r="V2192" s="174"/>
      <c r="W2192" s="174"/>
      <c r="X2192" s="174"/>
      <c r="Y2192" s="174"/>
      <c r="Z2192" s="174"/>
    </row>
    <row r="2193">
      <c r="A2193" s="194"/>
      <c r="B2193" s="194"/>
      <c r="C2193" s="194"/>
      <c r="D2193" s="194"/>
      <c r="E2193" s="194"/>
      <c r="F2193" s="194"/>
      <c r="G2193" s="194"/>
      <c r="H2193" s="195"/>
      <c r="I2193" s="195"/>
      <c r="J2193" s="194"/>
      <c r="K2193" s="174"/>
      <c r="L2193" s="174"/>
      <c r="M2193" s="174"/>
      <c r="N2193" s="174"/>
      <c r="O2193" s="174"/>
      <c r="P2193" s="174"/>
      <c r="Q2193" s="174"/>
      <c r="R2193" s="174"/>
      <c r="S2193" s="174"/>
      <c r="T2193" s="174"/>
      <c r="U2193" s="174"/>
      <c r="V2193" s="174"/>
      <c r="W2193" s="174"/>
      <c r="X2193" s="174"/>
      <c r="Y2193" s="174"/>
      <c r="Z2193" s="174"/>
    </row>
    <row r="2194">
      <c r="A2194" s="194"/>
      <c r="B2194" s="194"/>
      <c r="C2194" s="194"/>
      <c r="D2194" s="194"/>
      <c r="E2194" s="194"/>
      <c r="F2194" s="194"/>
      <c r="G2194" s="194"/>
      <c r="H2194" s="195"/>
      <c r="I2194" s="195"/>
      <c r="J2194" s="194"/>
      <c r="K2194" s="174"/>
      <c r="L2194" s="174"/>
      <c r="M2194" s="174"/>
      <c r="N2194" s="174"/>
      <c r="O2194" s="174"/>
      <c r="P2194" s="174"/>
      <c r="Q2194" s="174"/>
      <c r="R2194" s="174"/>
      <c r="S2194" s="174"/>
      <c r="T2194" s="174"/>
      <c r="U2194" s="174"/>
      <c r="V2194" s="174"/>
      <c r="W2194" s="174"/>
      <c r="X2194" s="174"/>
      <c r="Y2194" s="174"/>
      <c r="Z2194" s="174"/>
    </row>
    <row r="2195">
      <c r="A2195" s="194"/>
      <c r="B2195" s="194"/>
      <c r="C2195" s="194"/>
      <c r="D2195" s="194"/>
      <c r="E2195" s="194"/>
      <c r="F2195" s="194"/>
      <c r="G2195" s="194"/>
      <c r="H2195" s="195"/>
      <c r="I2195" s="195"/>
      <c r="J2195" s="194"/>
      <c r="K2195" s="174"/>
      <c r="L2195" s="174"/>
      <c r="M2195" s="174"/>
      <c r="N2195" s="174"/>
      <c r="O2195" s="174"/>
      <c r="P2195" s="174"/>
      <c r="Q2195" s="174"/>
      <c r="R2195" s="174"/>
      <c r="S2195" s="174"/>
      <c r="T2195" s="174"/>
      <c r="U2195" s="174"/>
      <c r="V2195" s="174"/>
      <c r="W2195" s="174"/>
      <c r="X2195" s="174"/>
      <c r="Y2195" s="174"/>
      <c r="Z2195" s="174"/>
    </row>
    <row r="2196">
      <c r="A2196" s="194"/>
      <c r="B2196" s="194"/>
      <c r="C2196" s="194"/>
      <c r="D2196" s="194"/>
      <c r="E2196" s="194"/>
      <c r="F2196" s="194"/>
      <c r="G2196" s="194"/>
      <c r="H2196" s="195"/>
      <c r="I2196" s="195"/>
      <c r="J2196" s="194"/>
      <c r="K2196" s="174"/>
      <c r="L2196" s="174"/>
      <c r="M2196" s="174"/>
      <c r="N2196" s="174"/>
      <c r="O2196" s="174"/>
      <c r="P2196" s="174"/>
      <c r="Q2196" s="174"/>
      <c r="R2196" s="174"/>
      <c r="S2196" s="174"/>
      <c r="T2196" s="174"/>
      <c r="U2196" s="174"/>
      <c r="V2196" s="174"/>
      <c r="W2196" s="174"/>
      <c r="X2196" s="174"/>
      <c r="Y2196" s="174"/>
      <c r="Z2196" s="174"/>
    </row>
    <row r="2197">
      <c r="A2197" s="194"/>
      <c r="B2197" s="194"/>
      <c r="C2197" s="194"/>
      <c r="D2197" s="194"/>
      <c r="E2197" s="194"/>
      <c r="F2197" s="194"/>
      <c r="G2197" s="194"/>
      <c r="H2197" s="195"/>
      <c r="I2197" s="195"/>
      <c r="J2197" s="194"/>
      <c r="K2197" s="174"/>
      <c r="L2197" s="174"/>
      <c r="M2197" s="174"/>
      <c r="N2197" s="174"/>
      <c r="O2197" s="174"/>
      <c r="P2197" s="174"/>
      <c r="Q2197" s="174"/>
      <c r="R2197" s="174"/>
      <c r="S2197" s="174"/>
      <c r="T2197" s="174"/>
      <c r="U2197" s="174"/>
      <c r="V2197" s="174"/>
      <c r="W2197" s="174"/>
      <c r="X2197" s="174"/>
      <c r="Y2197" s="174"/>
      <c r="Z2197" s="174"/>
    </row>
    <row r="2198">
      <c r="A2198" s="194"/>
      <c r="B2198" s="194"/>
      <c r="C2198" s="194"/>
      <c r="D2198" s="194"/>
      <c r="E2198" s="194"/>
      <c r="F2198" s="194"/>
      <c r="G2198" s="194"/>
      <c r="H2198" s="195"/>
      <c r="I2198" s="195"/>
      <c r="J2198" s="194"/>
      <c r="K2198" s="174"/>
      <c r="L2198" s="174"/>
      <c r="M2198" s="174"/>
      <c r="N2198" s="174"/>
      <c r="O2198" s="174"/>
      <c r="P2198" s="174"/>
      <c r="Q2198" s="174"/>
      <c r="R2198" s="174"/>
      <c r="S2198" s="174"/>
      <c r="T2198" s="174"/>
      <c r="U2198" s="174"/>
      <c r="V2198" s="174"/>
      <c r="W2198" s="174"/>
      <c r="X2198" s="174"/>
      <c r="Y2198" s="174"/>
      <c r="Z2198" s="174"/>
    </row>
    <row r="2199">
      <c r="A2199" s="194"/>
      <c r="B2199" s="194"/>
      <c r="C2199" s="194"/>
      <c r="D2199" s="194"/>
      <c r="E2199" s="194"/>
      <c r="F2199" s="194"/>
      <c r="G2199" s="194"/>
      <c r="H2199" s="195"/>
      <c r="I2199" s="195"/>
      <c r="J2199" s="194"/>
      <c r="K2199" s="174"/>
      <c r="L2199" s="174"/>
      <c r="M2199" s="174"/>
      <c r="N2199" s="174"/>
      <c r="O2199" s="174"/>
      <c r="P2199" s="174"/>
      <c r="Q2199" s="174"/>
      <c r="R2199" s="174"/>
      <c r="S2199" s="174"/>
      <c r="T2199" s="174"/>
      <c r="U2199" s="174"/>
      <c r="V2199" s="174"/>
      <c r="W2199" s="174"/>
      <c r="X2199" s="174"/>
      <c r="Y2199" s="174"/>
      <c r="Z2199" s="174"/>
    </row>
    <row r="2200">
      <c r="A2200" s="194"/>
      <c r="B2200" s="194"/>
      <c r="C2200" s="194"/>
      <c r="D2200" s="194"/>
      <c r="E2200" s="194"/>
      <c r="F2200" s="194"/>
      <c r="G2200" s="194"/>
      <c r="H2200" s="195"/>
      <c r="I2200" s="195"/>
      <c r="J2200" s="194"/>
      <c r="K2200" s="174"/>
      <c r="L2200" s="174"/>
      <c r="M2200" s="174"/>
      <c r="N2200" s="174"/>
      <c r="O2200" s="174"/>
      <c r="P2200" s="174"/>
      <c r="Q2200" s="174"/>
      <c r="R2200" s="174"/>
      <c r="S2200" s="174"/>
      <c r="T2200" s="174"/>
      <c r="U2200" s="174"/>
      <c r="V2200" s="174"/>
      <c r="W2200" s="174"/>
      <c r="X2200" s="174"/>
      <c r="Y2200" s="174"/>
      <c r="Z2200" s="174"/>
    </row>
    <row r="2201">
      <c r="A2201" s="194"/>
      <c r="B2201" s="194"/>
      <c r="C2201" s="194"/>
      <c r="D2201" s="194"/>
      <c r="E2201" s="194"/>
      <c r="F2201" s="194"/>
      <c r="G2201" s="194"/>
      <c r="H2201" s="195"/>
      <c r="I2201" s="195"/>
      <c r="J2201" s="194"/>
      <c r="K2201" s="174"/>
      <c r="L2201" s="174"/>
      <c r="M2201" s="174"/>
      <c r="N2201" s="174"/>
      <c r="O2201" s="174"/>
      <c r="P2201" s="174"/>
      <c r="Q2201" s="174"/>
      <c r="R2201" s="174"/>
      <c r="S2201" s="174"/>
      <c r="T2201" s="174"/>
      <c r="U2201" s="174"/>
      <c r="V2201" s="174"/>
      <c r="W2201" s="174"/>
      <c r="X2201" s="174"/>
      <c r="Y2201" s="174"/>
      <c r="Z2201" s="174"/>
    </row>
    <row r="2202">
      <c r="A2202" s="194"/>
      <c r="B2202" s="194"/>
      <c r="C2202" s="194"/>
      <c r="D2202" s="194"/>
      <c r="E2202" s="194"/>
      <c r="F2202" s="194"/>
      <c r="G2202" s="194"/>
      <c r="H2202" s="195"/>
      <c r="I2202" s="195"/>
      <c r="J2202" s="194"/>
      <c r="K2202" s="174"/>
      <c r="L2202" s="174"/>
      <c r="M2202" s="174"/>
      <c r="N2202" s="174"/>
      <c r="O2202" s="174"/>
      <c r="P2202" s="174"/>
      <c r="Q2202" s="174"/>
      <c r="R2202" s="174"/>
      <c r="S2202" s="174"/>
      <c r="T2202" s="174"/>
      <c r="U2202" s="174"/>
      <c r="V2202" s="174"/>
      <c r="W2202" s="174"/>
      <c r="X2202" s="174"/>
      <c r="Y2202" s="174"/>
      <c r="Z2202" s="174"/>
    </row>
    <row r="2203">
      <c r="A2203" s="194"/>
      <c r="B2203" s="194"/>
      <c r="C2203" s="194"/>
      <c r="D2203" s="194"/>
      <c r="E2203" s="194"/>
      <c r="F2203" s="194"/>
      <c r="G2203" s="194"/>
      <c r="H2203" s="195"/>
      <c r="I2203" s="195"/>
      <c r="J2203" s="194"/>
      <c r="K2203" s="174"/>
      <c r="L2203" s="174"/>
      <c r="M2203" s="174"/>
      <c r="N2203" s="174"/>
      <c r="O2203" s="174"/>
      <c r="P2203" s="174"/>
      <c r="Q2203" s="174"/>
      <c r="R2203" s="174"/>
      <c r="S2203" s="174"/>
      <c r="T2203" s="174"/>
      <c r="U2203" s="174"/>
      <c r="V2203" s="174"/>
      <c r="W2203" s="174"/>
      <c r="X2203" s="174"/>
      <c r="Y2203" s="174"/>
      <c r="Z2203" s="174"/>
    </row>
    <row r="2204">
      <c r="A2204" s="194"/>
      <c r="B2204" s="194"/>
      <c r="C2204" s="194"/>
      <c r="D2204" s="194"/>
      <c r="E2204" s="194"/>
      <c r="F2204" s="194"/>
      <c r="G2204" s="194"/>
      <c r="H2204" s="195"/>
      <c r="I2204" s="195"/>
      <c r="J2204" s="194"/>
      <c r="K2204" s="174"/>
      <c r="L2204" s="174"/>
      <c r="M2204" s="174"/>
      <c r="N2204" s="174"/>
      <c r="O2204" s="174"/>
      <c r="P2204" s="174"/>
      <c r="Q2204" s="174"/>
      <c r="R2204" s="174"/>
      <c r="S2204" s="174"/>
      <c r="T2204" s="174"/>
      <c r="U2204" s="174"/>
      <c r="V2204" s="174"/>
      <c r="W2204" s="174"/>
      <c r="X2204" s="174"/>
      <c r="Y2204" s="174"/>
      <c r="Z2204" s="174"/>
    </row>
    <row r="2205">
      <c r="A2205" s="194"/>
      <c r="B2205" s="194"/>
      <c r="C2205" s="194"/>
      <c r="D2205" s="194"/>
      <c r="E2205" s="194"/>
      <c r="F2205" s="194"/>
      <c r="G2205" s="194"/>
      <c r="H2205" s="195"/>
      <c r="I2205" s="195"/>
      <c r="J2205" s="194"/>
      <c r="K2205" s="174"/>
      <c r="L2205" s="174"/>
      <c r="M2205" s="174"/>
      <c r="N2205" s="174"/>
      <c r="O2205" s="174"/>
      <c r="P2205" s="174"/>
      <c r="Q2205" s="174"/>
      <c r="R2205" s="174"/>
      <c r="S2205" s="174"/>
      <c r="T2205" s="174"/>
      <c r="U2205" s="174"/>
      <c r="V2205" s="174"/>
      <c r="W2205" s="174"/>
      <c r="X2205" s="174"/>
      <c r="Y2205" s="174"/>
      <c r="Z2205" s="174"/>
    </row>
    <row r="2206">
      <c r="A2206" s="194"/>
      <c r="B2206" s="194"/>
      <c r="C2206" s="194"/>
      <c r="D2206" s="194"/>
      <c r="E2206" s="194"/>
      <c r="F2206" s="194"/>
      <c r="G2206" s="194"/>
      <c r="H2206" s="195"/>
      <c r="I2206" s="195"/>
      <c r="J2206" s="194"/>
      <c r="K2206" s="174"/>
      <c r="L2206" s="174"/>
      <c r="M2206" s="174"/>
      <c r="N2206" s="174"/>
      <c r="O2206" s="174"/>
      <c r="P2206" s="174"/>
      <c r="Q2206" s="174"/>
      <c r="R2206" s="174"/>
      <c r="S2206" s="174"/>
      <c r="T2206" s="174"/>
      <c r="U2206" s="174"/>
      <c r="V2206" s="174"/>
      <c r="W2206" s="174"/>
      <c r="X2206" s="174"/>
      <c r="Y2206" s="174"/>
      <c r="Z2206" s="174"/>
    </row>
    <row r="2207">
      <c r="A2207" s="194"/>
      <c r="B2207" s="194"/>
      <c r="C2207" s="194"/>
      <c r="D2207" s="194"/>
      <c r="E2207" s="194"/>
      <c r="F2207" s="194"/>
      <c r="G2207" s="194"/>
      <c r="H2207" s="195"/>
      <c r="I2207" s="195"/>
      <c r="J2207" s="194"/>
      <c r="K2207" s="174"/>
      <c r="L2207" s="174"/>
      <c r="M2207" s="174"/>
      <c r="N2207" s="174"/>
      <c r="O2207" s="174"/>
      <c r="P2207" s="174"/>
      <c r="Q2207" s="174"/>
      <c r="R2207" s="174"/>
      <c r="S2207" s="174"/>
      <c r="T2207" s="174"/>
      <c r="U2207" s="174"/>
      <c r="V2207" s="174"/>
      <c r="W2207" s="174"/>
      <c r="X2207" s="174"/>
      <c r="Y2207" s="174"/>
      <c r="Z2207" s="174"/>
    </row>
    <row r="2208">
      <c r="A2208" s="194"/>
      <c r="B2208" s="194"/>
      <c r="C2208" s="194"/>
      <c r="D2208" s="194"/>
      <c r="E2208" s="194"/>
      <c r="F2208" s="194"/>
      <c r="G2208" s="194"/>
      <c r="H2208" s="195"/>
      <c r="I2208" s="195"/>
      <c r="J2208" s="194"/>
      <c r="K2208" s="174"/>
      <c r="L2208" s="174"/>
      <c r="M2208" s="174"/>
      <c r="N2208" s="174"/>
      <c r="O2208" s="174"/>
      <c r="P2208" s="174"/>
      <c r="Q2208" s="174"/>
      <c r="R2208" s="174"/>
      <c r="S2208" s="174"/>
      <c r="T2208" s="174"/>
      <c r="U2208" s="174"/>
      <c r="V2208" s="174"/>
      <c r="W2208" s="174"/>
      <c r="X2208" s="174"/>
      <c r="Y2208" s="174"/>
      <c r="Z2208" s="174"/>
    </row>
    <row r="2209">
      <c r="A2209" s="194"/>
      <c r="B2209" s="194"/>
      <c r="C2209" s="194"/>
      <c r="D2209" s="194"/>
      <c r="E2209" s="194"/>
      <c r="F2209" s="194"/>
      <c r="G2209" s="194"/>
      <c r="H2209" s="195"/>
      <c r="I2209" s="195"/>
      <c r="J2209" s="194"/>
      <c r="K2209" s="174"/>
      <c r="L2209" s="174"/>
      <c r="M2209" s="174"/>
      <c r="N2209" s="174"/>
      <c r="O2209" s="174"/>
      <c r="P2209" s="174"/>
      <c r="Q2209" s="174"/>
      <c r="R2209" s="174"/>
      <c r="S2209" s="174"/>
      <c r="T2209" s="174"/>
      <c r="U2209" s="174"/>
      <c r="V2209" s="174"/>
      <c r="W2209" s="174"/>
      <c r="X2209" s="174"/>
      <c r="Y2209" s="174"/>
      <c r="Z2209" s="174"/>
    </row>
    <row r="2210">
      <c r="A2210" s="194"/>
      <c r="B2210" s="194"/>
      <c r="C2210" s="194"/>
      <c r="D2210" s="194"/>
      <c r="E2210" s="194"/>
      <c r="F2210" s="194"/>
      <c r="G2210" s="194"/>
      <c r="H2210" s="195"/>
      <c r="I2210" s="195"/>
      <c r="J2210" s="194"/>
      <c r="K2210" s="174"/>
      <c r="L2210" s="174"/>
      <c r="M2210" s="174"/>
      <c r="N2210" s="174"/>
      <c r="O2210" s="174"/>
      <c r="P2210" s="174"/>
      <c r="Q2210" s="174"/>
      <c r="R2210" s="174"/>
      <c r="S2210" s="174"/>
      <c r="T2210" s="174"/>
      <c r="U2210" s="174"/>
      <c r="V2210" s="174"/>
      <c r="W2210" s="174"/>
      <c r="X2210" s="174"/>
      <c r="Y2210" s="174"/>
      <c r="Z2210" s="174"/>
    </row>
    <row r="2211">
      <c r="A2211" s="194"/>
      <c r="B2211" s="194"/>
      <c r="C2211" s="194"/>
      <c r="D2211" s="194"/>
      <c r="E2211" s="194"/>
      <c r="F2211" s="194"/>
      <c r="G2211" s="194"/>
      <c r="H2211" s="195"/>
      <c r="I2211" s="195"/>
      <c r="J2211" s="194"/>
      <c r="K2211" s="174"/>
      <c r="L2211" s="174"/>
      <c r="M2211" s="174"/>
      <c r="N2211" s="174"/>
      <c r="O2211" s="174"/>
      <c r="P2211" s="174"/>
      <c r="Q2211" s="174"/>
      <c r="R2211" s="174"/>
      <c r="S2211" s="174"/>
      <c r="T2211" s="174"/>
      <c r="U2211" s="174"/>
      <c r="V2211" s="174"/>
      <c r="W2211" s="174"/>
      <c r="X2211" s="174"/>
      <c r="Y2211" s="174"/>
      <c r="Z2211" s="174"/>
    </row>
    <row r="2212">
      <c r="A2212" s="194"/>
      <c r="B2212" s="194"/>
      <c r="C2212" s="194"/>
      <c r="D2212" s="194"/>
      <c r="E2212" s="194"/>
      <c r="F2212" s="194"/>
      <c r="G2212" s="194"/>
      <c r="H2212" s="195"/>
      <c r="I2212" s="195"/>
      <c r="J2212" s="194"/>
      <c r="K2212" s="174"/>
      <c r="L2212" s="174"/>
      <c r="M2212" s="174"/>
      <c r="N2212" s="174"/>
      <c r="O2212" s="174"/>
      <c r="P2212" s="174"/>
      <c r="Q2212" s="174"/>
      <c r="R2212" s="174"/>
      <c r="S2212" s="174"/>
      <c r="T2212" s="174"/>
      <c r="U2212" s="174"/>
      <c r="V2212" s="174"/>
      <c r="W2212" s="174"/>
      <c r="X2212" s="174"/>
      <c r="Y2212" s="174"/>
      <c r="Z2212" s="174"/>
    </row>
    <row r="2213">
      <c r="A2213" s="194"/>
      <c r="B2213" s="194"/>
      <c r="C2213" s="194"/>
      <c r="D2213" s="194"/>
      <c r="E2213" s="194"/>
      <c r="F2213" s="194"/>
      <c r="G2213" s="194"/>
      <c r="H2213" s="195"/>
      <c r="I2213" s="195"/>
      <c r="J2213" s="194"/>
      <c r="K2213" s="174"/>
      <c r="L2213" s="174"/>
      <c r="M2213" s="174"/>
      <c r="N2213" s="174"/>
      <c r="O2213" s="174"/>
      <c r="P2213" s="174"/>
      <c r="Q2213" s="174"/>
      <c r="R2213" s="174"/>
      <c r="S2213" s="174"/>
      <c r="T2213" s="174"/>
      <c r="U2213" s="174"/>
      <c r="V2213" s="174"/>
      <c r="W2213" s="174"/>
      <c r="X2213" s="174"/>
      <c r="Y2213" s="174"/>
      <c r="Z2213" s="174"/>
    </row>
    <row r="2214">
      <c r="A2214" s="194"/>
      <c r="B2214" s="194"/>
      <c r="C2214" s="194"/>
      <c r="D2214" s="194"/>
      <c r="E2214" s="194"/>
      <c r="F2214" s="194"/>
      <c r="G2214" s="194"/>
      <c r="H2214" s="195"/>
      <c r="I2214" s="195"/>
      <c r="J2214" s="194"/>
      <c r="K2214" s="174"/>
      <c r="L2214" s="174"/>
      <c r="M2214" s="174"/>
      <c r="N2214" s="174"/>
      <c r="O2214" s="174"/>
      <c r="P2214" s="174"/>
      <c r="Q2214" s="174"/>
      <c r="R2214" s="174"/>
      <c r="S2214" s="174"/>
      <c r="T2214" s="174"/>
      <c r="U2214" s="174"/>
      <c r="V2214" s="174"/>
      <c r="W2214" s="174"/>
      <c r="X2214" s="174"/>
      <c r="Y2214" s="174"/>
      <c r="Z2214" s="174"/>
    </row>
    <row r="2215">
      <c r="A2215" s="194"/>
      <c r="B2215" s="194"/>
      <c r="C2215" s="194"/>
      <c r="D2215" s="194"/>
      <c r="E2215" s="194"/>
      <c r="F2215" s="194"/>
      <c r="G2215" s="194"/>
      <c r="H2215" s="195"/>
      <c r="I2215" s="195"/>
      <c r="J2215" s="194"/>
      <c r="K2215" s="174"/>
      <c r="L2215" s="174"/>
      <c r="M2215" s="174"/>
      <c r="N2215" s="174"/>
      <c r="O2215" s="174"/>
      <c r="P2215" s="174"/>
      <c r="Q2215" s="174"/>
      <c r="R2215" s="174"/>
      <c r="S2215" s="174"/>
      <c r="T2215" s="174"/>
      <c r="U2215" s="174"/>
      <c r="V2215" s="174"/>
      <c r="W2215" s="174"/>
      <c r="X2215" s="174"/>
      <c r="Y2215" s="174"/>
      <c r="Z2215" s="174"/>
    </row>
    <row r="2216">
      <c r="A2216" s="194"/>
      <c r="B2216" s="194"/>
      <c r="C2216" s="194"/>
      <c r="D2216" s="194"/>
      <c r="E2216" s="194"/>
      <c r="F2216" s="194"/>
      <c r="G2216" s="194"/>
      <c r="H2216" s="195"/>
      <c r="I2216" s="195"/>
      <c r="J2216" s="194"/>
      <c r="K2216" s="174"/>
      <c r="L2216" s="174"/>
      <c r="M2216" s="174"/>
      <c r="N2216" s="174"/>
      <c r="O2216" s="174"/>
      <c r="P2216" s="174"/>
      <c r="Q2216" s="174"/>
      <c r="R2216" s="174"/>
      <c r="S2216" s="174"/>
      <c r="T2216" s="174"/>
      <c r="U2216" s="174"/>
      <c r="V2216" s="174"/>
      <c r="W2216" s="174"/>
      <c r="X2216" s="174"/>
      <c r="Y2216" s="174"/>
      <c r="Z2216" s="174"/>
    </row>
    <row r="2217">
      <c r="A2217" s="194"/>
      <c r="B2217" s="194"/>
      <c r="C2217" s="194"/>
      <c r="D2217" s="194"/>
      <c r="E2217" s="194"/>
      <c r="F2217" s="194"/>
      <c r="G2217" s="194"/>
      <c r="H2217" s="195"/>
      <c r="I2217" s="195"/>
      <c r="J2217" s="194"/>
      <c r="K2217" s="174"/>
      <c r="L2217" s="174"/>
      <c r="M2217" s="174"/>
      <c r="N2217" s="174"/>
      <c r="O2217" s="174"/>
      <c r="P2217" s="174"/>
      <c r="Q2217" s="174"/>
      <c r="R2217" s="174"/>
      <c r="S2217" s="174"/>
      <c r="T2217" s="174"/>
      <c r="U2217" s="174"/>
      <c r="V2217" s="174"/>
      <c r="W2217" s="174"/>
      <c r="X2217" s="174"/>
      <c r="Y2217" s="174"/>
      <c r="Z2217" s="174"/>
    </row>
    <row r="2218">
      <c r="A2218" s="194"/>
      <c r="B2218" s="194"/>
      <c r="C2218" s="194"/>
      <c r="D2218" s="194"/>
      <c r="E2218" s="194"/>
      <c r="F2218" s="194"/>
      <c r="G2218" s="194"/>
      <c r="H2218" s="195"/>
      <c r="I2218" s="195"/>
      <c r="J2218" s="194"/>
      <c r="K2218" s="174"/>
      <c r="L2218" s="174"/>
      <c r="M2218" s="174"/>
      <c r="N2218" s="174"/>
      <c r="O2218" s="174"/>
      <c r="P2218" s="174"/>
      <c r="Q2218" s="174"/>
      <c r="R2218" s="174"/>
      <c r="S2218" s="174"/>
      <c r="T2218" s="174"/>
      <c r="U2218" s="174"/>
      <c r="V2218" s="174"/>
      <c r="W2218" s="174"/>
      <c r="X2218" s="174"/>
      <c r="Y2218" s="174"/>
      <c r="Z2218" s="174"/>
    </row>
    <row r="2219">
      <c r="A2219" s="194"/>
      <c r="B2219" s="194"/>
      <c r="C2219" s="194"/>
      <c r="D2219" s="194"/>
      <c r="E2219" s="194"/>
      <c r="F2219" s="194"/>
      <c r="G2219" s="194"/>
      <c r="H2219" s="195"/>
      <c r="I2219" s="195"/>
      <c r="J2219" s="194"/>
      <c r="K2219" s="174"/>
      <c r="L2219" s="174"/>
      <c r="M2219" s="174"/>
      <c r="N2219" s="174"/>
      <c r="O2219" s="174"/>
      <c r="P2219" s="174"/>
      <c r="Q2219" s="174"/>
      <c r="R2219" s="174"/>
      <c r="S2219" s="174"/>
      <c r="T2219" s="174"/>
      <c r="U2219" s="174"/>
      <c r="V2219" s="174"/>
      <c r="W2219" s="174"/>
      <c r="X2219" s="174"/>
      <c r="Y2219" s="174"/>
      <c r="Z2219" s="174"/>
    </row>
    <row r="2220">
      <c r="A2220" s="194"/>
      <c r="B2220" s="194"/>
      <c r="C2220" s="194"/>
      <c r="D2220" s="194"/>
      <c r="E2220" s="194"/>
      <c r="F2220" s="194"/>
      <c r="G2220" s="194"/>
      <c r="H2220" s="195"/>
      <c r="I2220" s="195"/>
      <c r="J2220" s="194"/>
      <c r="K2220" s="174"/>
      <c r="L2220" s="174"/>
      <c r="M2220" s="174"/>
      <c r="N2220" s="174"/>
      <c r="O2220" s="174"/>
      <c r="P2220" s="174"/>
      <c r="Q2220" s="174"/>
      <c r="R2220" s="174"/>
      <c r="S2220" s="174"/>
      <c r="T2220" s="174"/>
      <c r="U2220" s="174"/>
      <c r="V2220" s="174"/>
      <c r="W2220" s="174"/>
      <c r="X2220" s="174"/>
      <c r="Y2220" s="174"/>
      <c r="Z2220" s="174"/>
    </row>
    <row r="2221">
      <c r="A2221" s="194"/>
      <c r="B2221" s="194"/>
      <c r="C2221" s="194"/>
      <c r="D2221" s="194"/>
      <c r="E2221" s="194"/>
      <c r="F2221" s="194"/>
      <c r="G2221" s="194"/>
      <c r="H2221" s="195"/>
      <c r="I2221" s="195"/>
      <c r="J2221" s="194"/>
      <c r="K2221" s="174"/>
      <c r="L2221" s="174"/>
      <c r="M2221" s="174"/>
      <c r="N2221" s="174"/>
      <c r="O2221" s="174"/>
      <c r="P2221" s="174"/>
      <c r="Q2221" s="174"/>
      <c r="R2221" s="174"/>
      <c r="S2221" s="174"/>
      <c r="T2221" s="174"/>
      <c r="U2221" s="174"/>
      <c r="V2221" s="174"/>
      <c r="W2221" s="174"/>
      <c r="X2221" s="174"/>
      <c r="Y2221" s="174"/>
      <c r="Z2221" s="174"/>
    </row>
    <row r="2222">
      <c r="A2222" s="194"/>
      <c r="B2222" s="194"/>
      <c r="C2222" s="194"/>
      <c r="D2222" s="194"/>
      <c r="E2222" s="194"/>
      <c r="F2222" s="194"/>
      <c r="G2222" s="194"/>
      <c r="H2222" s="195"/>
      <c r="I2222" s="195"/>
      <c r="J2222" s="194"/>
      <c r="K2222" s="174"/>
      <c r="L2222" s="174"/>
      <c r="M2222" s="174"/>
      <c r="N2222" s="174"/>
      <c r="O2222" s="174"/>
      <c r="P2222" s="174"/>
      <c r="Q2222" s="174"/>
      <c r="R2222" s="174"/>
      <c r="S2222" s="174"/>
      <c r="T2222" s="174"/>
      <c r="U2222" s="174"/>
      <c r="V2222" s="174"/>
      <c r="W2222" s="174"/>
      <c r="X2222" s="174"/>
      <c r="Y2222" s="174"/>
      <c r="Z2222" s="174"/>
    </row>
    <row r="2223">
      <c r="A2223" s="194"/>
      <c r="B2223" s="194"/>
      <c r="C2223" s="194"/>
      <c r="D2223" s="194"/>
      <c r="E2223" s="194"/>
      <c r="F2223" s="194"/>
      <c r="G2223" s="194"/>
      <c r="H2223" s="195"/>
      <c r="I2223" s="195"/>
      <c r="J2223" s="194"/>
      <c r="K2223" s="174"/>
      <c r="L2223" s="174"/>
      <c r="M2223" s="174"/>
      <c r="N2223" s="174"/>
      <c r="O2223" s="174"/>
      <c r="P2223" s="174"/>
      <c r="Q2223" s="174"/>
      <c r="R2223" s="174"/>
      <c r="S2223" s="174"/>
      <c r="T2223" s="174"/>
      <c r="U2223" s="174"/>
      <c r="V2223" s="174"/>
      <c r="W2223" s="174"/>
      <c r="X2223" s="174"/>
      <c r="Y2223" s="174"/>
      <c r="Z2223" s="174"/>
    </row>
    <row r="2224">
      <c r="A2224" s="194"/>
      <c r="B2224" s="194"/>
      <c r="C2224" s="194"/>
      <c r="D2224" s="194"/>
      <c r="E2224" s="194"/>
      <c r="F2224" s="194"/>
      <c r="G2224" s="194"/>
      <c r="H2224" s="195"/>
      <c r="I2224" s="195"/>
      <c r="J2224" s="194"/>
      <c r="K2224" s="174"/>
      <c r="L2224" s="174"/>
      <c r="M2224" s="174"/>
      <c r="N2224" s="174"/>
      <c r="O2224" s="174"/>
      <c r="P2224" s="174"/>
      <c r="Q2224" s="174"/>
      <c r="R2224" s="174"/>
      <c r="S2224" s="174"/>
      <c r="T2224" s="174"/>
      <c r="U2224" s="174"/>
      <c r="V2224" s="174"/>
      <c r="W2224" s="174"/>
      <c r="X2224" s="174"/>
      <c r="Y2224" s="174"/>
      <c r="Z2224" s="174"/>
    </row>
    <row r="2225">
      <c r="A2225" s="194"/>
      <c r="B2225" s="194"/>
      <c r="C2225" s="194"/>
      <c r="D2225" s="194"/>
      <c r="E2225" s="194"/>
      <c r="F2225" s="194"/>
      <c r="G2225" s="194"/>
      <c r="H2225" s="195"/>
      <c r="I2225" s="195"/>
      <c r="J2225" s="194"/>
      <c r="K2225" s="174"/>
      <c r="L2225" s="174"/>
      <c r="M2225" s="174"/>
      <c r="N2225" s="174"/>
      <c r="O2225" s="174"/>
      <c r="P2225" s="174"/>
      <c r="Q2225" s="174"/>
      <c r="R2225" s="174"/>
      <c r="S2225" s="174"/>
      <c r="T2225" s="174"/>
      <c r="U2225" s="174"/>
      <c r="V2225" s="174"/>
      <c r="W2225" s="174"/>
      <c r="X2225" s="174"/>
      <c r="Y2225" s="174"/>
      <c r="Z2225" s="174"/>
    </row>
    <row r="2226">
      <c r="A2226" s="194"/>
      <c r="B2226" s="194"/>
      <c r="C2226" s="194"/>
      <c r="D2226" s="194"/>
      <c r="E2226" s="194"/>
      <c r="F2226" s="194"/>
      <c r="G2226" s="194"/>
      <c r="H2226" s="195"/>
      <c r="I2226" s="195"/>
      <c r="J2226" s="194"/>
      <c r="K2226" s="174"/>
      <c r="L2226" s="174"/>
      <c r="M2226" s="174"/>
      <c r="N2226" s="174"/>
      <c r="O2226" s="174"/>
      <c r="P2226" s="174"/>
      <c r="Q2226" s="174"/>
      <c r="R2226" s="174"/>
      <c r="S2226" s="174"/>
      <c r="T2226" s="174"/>
      <c r="U2226" s="174"/>
      <c r="V2226" s="174"/>
      <c r="W2226" s="174"/>
      <c r="X2226" s="174"/>
      <c r="Y2226" s="174"/>
      <c r="Z2226" s="174"/>
    </row>
    <row r="2227">
      <c r="A2227" s="194"/>
      <c r="B2227" s="194"/>
      <c r="C2227" s="194"/>
      <c r="D2227" s="194"/>
      <c r="E2227" s="194"/>
      <c r="F2227" s="194"/>
      <c r="G2227" s="194"/>
      <c r="H2227" s="195"/>
      <c r="I2227" s="195"/>
      <c r="J2227" s="194"/>
      <c r="K2227" s="174"/>
      <c r="L2227" s="174"/>
      <c r="M2227" s="174"/>
      <c r="N2227" s="174"/>
      <c r="O2227" s="174"/>
      <c r="P2227" s="174"/>
      <c r="Q2227" s="174"/>
      <c r="R2227" s="174"/>
      <c r="S2227" s="174"/>
      <c r="T2227" s="174"/>
      <c r="U2227" s="174"/>
      <c r="V2227" s="174"/>
      <c r="W2227" s="174"/>
      <c r="X2227" s="174"/>
      <c r="Y2227" s="174"/>
      <c r="Z2227" s="174"/>
    </row>
    <row r="2228">
      <c r="A2228" s="194"/>
      <c r="B2228" s="194"/>
      <c r="C2228" s="194"/>
      <c r="D2228" s="194"/>
      <c r="E2228" s="194"/>
      <c r="F2228" s="194"/>
      <c r="G2228" s="194"/>
      <c r="H2228" s="195"/>
      <c r="I2228" s="195"/>
      <c r="J2228" s="194"/>
      <c r="K2228" s="174"/>
      <c r="L2228" s="174"/>
      <c r="M2228" s="174"/>
      <c r="N2228" s="174"/>
      <c r="O2228" s="174"/>
      <c r="P2228" s="174"/>
      <c r="Q2228" s="174"/>
      <c r="R2228" s="174"/>
      <c r="S2228" s="174"/>
      <c r="T2228" s="174"/>
      <c r="U2228" s="174"/>
      <c r="V2228" s="174"/>
      <c r="W2228" s="174"/>
      <c r="X2228" s="174"/>
      <c r="Y2228" s="174"/>
      <c r="Z2228" s="174"/>
    </row>
    <row r="2229">
      <c r="A2229" s="194"/>
      <c r="B2229" s="194"/>
      <c r="C2229" s="194"/>
      <c r="D2229" s="194"/>
      <c r="E2229" s="194"/>
      <c r="F2229" s="194"/>
      <c r="G2229" s="194"/>
      <c r="H2229" s="195"/>
      <c r="I2229" s="195"/>
      <c r="J2229" s="194"/>
      <c r="K2229" s="174"/>
      <c r="L2229" s="174"/>
      <c r="M2229" s="174"/>
      <c r="N2229" s="174"/>
      <c r="O2229" s="174"/>
      <c r="P2229" s="174"/>
      <c r="Q2229" s="174"/>
      <c r="R2229" s="174"/>
      <c r="S2229" s="174"/>
      <c r="T2229" s="174"/>
      <c r="U2229" s="174"/>
      <c r="V2229" s="174"/>
      <c r="W2229" s="174"/>
      <c r="X2229" s="174"/>
      <c r="Y2229" s="174"/>
      <c r="Z2229" s="174"/>
    </row>
    <row r="2230">
      <c r="A2230" s="194"/>
      <c r="B2230" s="194"/>
      <c r="C2230" s="194"/>
      <c r="D2230" s="194"/>
      <c r="E2230" s="194"/>
      <c r="F2230" s="194"/>
      <c r="G2230" s="194"/>
      <c r="H2230" s="195"/>
      <c r="I2230" s="195"/>
      <c r="J2230" s="194"/>
      <c r="K2230" s="174"/>
      <c r="L2230" s="174"/>
      <c r="M2230" s="174"/>
      <c r="N2230" s="174"/>
      <c r="O2230" s="174"/>
      <c r="P2230" s="174"/>
      <c r="Q2230" s="174"/>
      <c r="R2230" s="174"/>
      <c r="S2230" s="174"/>
      <c r="T2230" s="174"/>
      <c r="U2230" s="174"/>
      <c r="V2230" s="174"/>
      <c r="W2230" s="174"/>
      <c r="X2230" s="174"/>
      <c r="Y2230" s="174"/>
      <c r="Z2230" s="174"/>
    </row>
    <row r="2231">
      <c r="A2231" s="194"/>
      <c r="B2231" s="194"/>
      <c r="C2231" s="194"/>
      <c r="D2231" s="194"/>
      <c r="E2231" s="194"/>
      <c r="F2231" s="194"/>
      <c r="G2231" s="194"/>
      <c r="H2231" s="195"/>
      <c r="I2231" s="195"/>
      <c r="J2231" s="194"/>
      <c r="K2231" s="174"/>
      <c r="L2231" s="174"/>
      <c r="M2231" s="174"/>
      <c r="N2231" s="174"/>
      <c r="O2231" s="174"/>
      <c r="P2231" s="174"/>
      <c r="Q2231" s="174"/>
      <c r="R2231" s="174"/>
      <c r="S2231" s="174"/>
      <c r="T2231" s="174"/>
      <c r="U2231" s="174"/>
      <c r="V2231" s="174"/>
      <c r="W2231" s="174"/>
      <c r="X2231" s="174"/>
      <c r="Y2231" s="174"/>
      <c r="Z2231" s="174"/>
    </row>
    <row r="2232">
      <c r="A2232" s="194"/>
      <c r="B2232" s="194"/>
      <c r="C2232" s="194"/>
      <c r="D2232" s="194"/>
      <c r="E2232" s="194"/>
      <c r="F2232" s="194"/>
      <c r="G2232" s="194"/>
      <c r="H2232" s="195"/>
      <c r="I2232" s="195"/>
      <c r="J2232" s="194"/>
      <c r="K2232" s="174"/>
      <c r="L2232" s="174"/>
      <c r="M2232" s="174"/>
      <c r="N2232" s="174"/>
      <c r="O2232" s="174"/>
      <c r="P2232" s="174"/>
      <c r="Q2232" s="174"/>
      <c r="R2232" s="174"/>
      <c r="S2232" s="174"/>
      <c r="T2232" s="174"/>
      <c r="U2232" s="174"/>
      <c r="V2232" s="174"/>
      <c r="W2232" s="174"/>
      <c r="X2232" s="174"/>
      <c r="Y2232" s="174"/>
      <c r="Z2232" s="174"/>
    </row>
    <row r="2233">
      <c r="A2233" s="194"/>
      <c r="B2233" s="194"/>
      <c r="C2233" s="194"/>
      <c r="D2233" s="194"/>
      <c r="E2233" s="194"/>
      <c r="F2233" s="194"/>
      <c r="G2233" s="194"/>
      <c r="H2233" s="195"/>
      <c r="I2233" s="195"/>
      <c r="J2233" s="194"/>
      <c r="K2233" s="174"/>
      <c r="L2233" s="174"/>
      <c r="M2233" s="174"/>
      <c r="N2233" s="174"/>
      <c r="O2233" s="174"/>
      <c r="P2233" s="174"/>
      <c r="Q2233" s="174"/>
      <c r="R2233" s="174"/>
      <c r="S2233" s="174"/>
      <c r="T2233" s="174"/>
      <c r="U2233" s="174"/>
      <c r="V2233" s="174"/>
      <c r="W2233" s="174"/>
      <c r="X2233" s="174"/>
      <c r="Y2233" s="174"/>
      <c r="Z2233" s="174"/>
    </row>
    <row r="2234">
      <c r="A2234" s="194"/>
      <c r="B2234" s="194"/>
      <c r="C2234" s="194"/>
      <c r="D2234" s="194"/>
      <c r="E2234" s="194"/>
      <c r="F2234" s="194"/>
      <c r="G2234" s="194"/>
      <c r="H2234" s="195"/>
      <c r="I2234" s="195"/>
      <c r="J2234" s="194"/>
      <c r="K2234" s="174"/>
      <c r="L2234" s="174"/>
      <c r="M2234" s="174"/>
      <c r="N2234" s="174"/>
      <c r="O2234" s="174"/>
      <c r="P2234" s="174"/>
      <c r="Q2234" s="174"/>
      <c r="R2234" s="174"/>
      <c r="S2234" s="174"/>
      <c r="T2234" s="174"/>
      <c r="U2234" s="174"/>
      <c r="V2234" s="174"/>
      <c r="W2234" s="174"/>
      <c r="X2234" s="174"/>
      <c r="Y2234" s="174"/>
      <c r="Z2234" s="174"/>
    </row>
    <row r="2235">
      <c r="A2235" s="194"/>
      <c r="B2235" s="194"/>
      <c r="C2235" s="194"/>
      <c r="D2235" s="194"/>
      <c r="E2235" s="194"/>
      <c r="F2235" s="194"/>
      <c r="G2235" s="194"/>
      <c r="H2235" s="195"/>
      <c r="I2235" s="195"/>
      <c r="J2235" s="194"/>
      <c r="K2235" s="174"/>
      <c r="L2235" s="174"/>
      <c r="M2235" s="174"/>
      <c r="N2235" s="174"/>
      <c r="O2235" s="174"/>
      <c r="P2235" s="174"/>
      <c r="Q2235" s="174"/>
      <c r="R2235" s="174"/>
      <c r="S2235" s="174"/>
      <c r="T2235" s="174"/>
      <c r="U2235" s="174"/>
      <c r="V2235" s="174"/>
      <c r="W2235" s="174"/>
      <c r="X2235" s="174"/>
      <c r="Y2235" s="174"/>
      <c r="Z2235" s="174"/>
    </row>
    <row r="2236">
      <c r="A2236" s="194"/>
      <c r="B2236" s="194"/>
      <c r="C2236" s="194"/>
      <c r="D2236" s="194"/>
      <c r="E2236" s="194"/>
      <c r="F2236" s="194"/>
      <c r="G2236" s="194"/>
      <c r="H2236" s="195"/>
      <c r="I2236" s="195"/>
      <c r="J2236" s="194"/>
      <c r="K2236" s="174"/>
      <c r="L2236" s="174"/>
      <c r="M2236" s="174"/>
      <c r="N2236" s="174"/>
      <c r="O2236" s="174"/>
      <c r="P2236" s="174"/>
      <c r="Q2236" s="174"/>
      <c r="R2236" s="174"/>
      <c r="S2236" s="174"/>
      <c r="T2236" s="174"/>
      <c r="U2236" s="174"/>
      <c r="V2236" s="174"/>
      <c r="W2236" s="174"/>
      <c r="X2236" s="174"/>
      <c r="Y2236" s="174"/>
      <c r="Z2236" s="174"/>
    </row>
    <row r="2237">
      <c r="A2237" s="194"/>
      <c r="B2237" s="194"/>
      <c r="C2237" s="194"/>
      <c r="D2237" s="194"/>
      <c r="E2237" s="194"/>
      <c r="F2237" s="194"/>
      <c r="G2237" s="194"/>
      <c r="H2237" s="195"/>
      <c r="I2237" s="195"/>
      <c r="J2237" s="194"/>
      <c r="K2237" s="174"/>
      <c r="L2237" s="174"/>
      <c r="M2237" s="174"/>
      <c r="N2237" s="174"/>
      <c r="O2237" s="174"/>
      <c r="P2237" s="174"/>
      <c r="Q2237" s="174"/>
      <c r="R2237" s="174"/>
      <c r="S2237" s="174"/>
      <c r="T2237" s="174"/>
      <c r="U2237" s="174"/>
      <c r="V2237" s="174"/>
      <c r="W2237" s="174"/>
      <c r="X2237" s="174"/>
      <c r="Y2237" s="174"/>
      <c r="Z2237" s="174"/>
    </row>
    <row r="2238">
      <c r="A2238" s="194"/>
      <c r="B2238" s="194"/>
      <c r="C2238" s="194"/>
      <c r="D2238" s="194"/>
      <c r="E2238" s="194"/>
      <c r="F2238" s="194"/>
      <c r="G2238" s="194"/>
      <c r="H2238" s="195"/>
      <c r="I2238" s="195"/>
      <c r="J2238" s="194"/>
      <c r="K2238" s="174"/>
      <c r="L2238" s="174"/>
      <c r="M2238" s="174"/>
      <c r="N2238" s="174"/>
      <c r="O2238" s="174"/>
      <c r="P2238" s="174"/>
      <c r="Q2238" s="174"/>
      <c r="R2238" s="174"/>
      <c r="S2238" s="174"/>
      <c r="T2238" s="174"/>
      <c r="U2238" s="174"/>
      <c r="V2238" s="174"/>
      <c r="W2238" s="174"/>
      <c r="X2238" s="174"/>
      <c r="Y2238" s="174"/>
      <c r="Z2238" s="174"/>
    </row>
    <row r="2239">
      <c r="A2239" s="194"/>
      <c r="B2239" s="194"/>
      <c r="C2239" s="194"/>
      <c r="D2239" s="194"/>
      <c r="E2239" s="194"/>
      <c r="F2239" s="194"/>
      <c r="G2239" s="194"/>
      <c r="H2239" s="195"/>
      <c r="I2239" s="195"/>
      <c r="J2239" s="194"/>
      <c r="K2239" s="174"/>
      <c r="L2239" s="174"/>
      <c r="M2239" s="174"/>
      <c r="N2239" s="174"/>
      <c r="O2239" s="174"/>
      <c r="P2239" s="174"/>
      <c r="Q2239" s="174"/>
      <c r="R2239" s="174"/>
      <c r="S2239" s="174"/>
      <c r="T2239" s="174"/>
      <c r="U2239" s="174"/>
      <c r="V2239" s="174"/>
      <c r="W2239" s="174"/>
      <c r="X2239" s="174"/>
      <c r="Y2239" s="174"/>
      <c r="Z2239" s="174"/>
    </row>
    <row r="2240">
      <c r="A2240" s="194"/>
      <c r="B2240" s="194"/>
      <c r="C2240" s="194"/>
      <c r="D2240" s="194"/>
      <c r="E2240" s="194"/>
      <c r="F2240" s="194"/>
      <c r="G2240" s="194"/>
      <c r="H2240" s="195"/>
      <c r="I2240" s="195"/>
      <c r="J2240" s="194"/>
      <c r="K2240" s="174"/>
      <c r="L2240" s="174"/>
      <c r="M2240" s="174"/>
      <c r="N2240" s="174"/>
      <c r="O2240" s="174"/>
      <c r="P2240" s="174"/>
      <c r="Q2240" s="174"/>
      <c r="R2240" s="174"/>
      <c r="S2240" s="174"/>
      <c r="T2240" s="174"/>
      <c r="U2240" s="174"/>
      <c r="V2240" s="174"/>
      <c r="W2240" s="174"/>
      <c r="X2240" s="174"/>
      <c r="Y2240" s="174"/>
      <c r="Z2240" s="174"/>
    </row>
    <row r="2241">
      <c r="A2241" s="194"/>
      <c r="B2241" s="194"/>
      <c r="C2241" s="194"/>
      <c r="D2241" s="194"/>
      <c r="E2241" s="194"/>
      <c r="F2241" s="194"/>
      <c r="G2241" s="194"/>
      <c r="H2241" s="195"/>
      <c r="I2241" s="195"/>
      <c r="J2241" s="194"/>
      <c r="K2241" s="174"/>
      <c r="L2241" s="174"/>
      <c r="M2241" s="174"/>
      <c r="N2241" s="174"/>
      <c r="O2241" s="174"/>
      <c r="P2241" s="174"/>
      <c r="Q2241" s="174"/>
      <c r="R2241" s="174"/>
      <c r="S2241" s="174"/>
      <c r="T2241" s="174"/>
      <c r="U2241" s="174"/>
      <c r="V2241" s="174"/>
      <c r="W2241" s="174"/>
      <c r="X2241" s="174"/>
      <c r="Y2241" s="174"/>
      <c r="Z2241" s="174"/>
    </row>
    <row r="2242">
      <c r="A2242" s="194"/>
      <c r="B2242" s="194"/>
      <c r="C2242" s="194"/>
      <c r="D2242" s="194"/>
      <c r="E2242" s="194"/>
      <c r="F2242" s="194"/>
      <c r="G2242" s="194"/>
      <c r="H2242" s="195"/>
      <c r="I2242" s="195"/>
      <c r="J2242" s="194"/>
      <c r="K2242" s="174"/>
      <c r="L2242" s="174"/>
      <c r="M2242" s="174"/>
      <c r="N2242" s="174"/>
      <c r="O2242" s="174"/>
      <c r="P2242" s="174"/>
      <c r="Q2242" s="174"/>
      <c r="R2242" s="174"/>
      <c r="S2242" s="174"/>
      <c r="T2242" s="174"/>
      <c r="U2242" s="174"/>
      <c r="V2242" s="174"/>
      <c r="W2242" s="174"/>
      <c r="X2242" s="174"/>
      <c r="Y2242" s="174"/>
      <c r="Z2242" s="174"/>
    </row>
    <row r="2243">
      <c r="A2243" s="194"/>
      <c r="B2243" s="194"/>
      <c r="C2243" s="194"/>
      <c r="D2243" s="194"/>
      <c r="E2243" s="194"/>
      <c r="F2243" s="194"/>
      <c r="G2243" s="194"/>
      <c r="H2243" s="195"/>
      <c r="I2243" s="195"/>
      <c r="J2243" s="194"/>
      <c r="K2243" s="174"/>
      <c r="L2243" s="174"/>
      <c r="M2243" s="174"/>
      <c r="N2243" s="174"/>
      <c r="O2243" s="174"/>
      <c r="P2243" s="174"/>
      <c r="Q2243" s="174"/>
      <c r="R2243" s="174"/>
      <c r="S2243" s="174"/>
      <c r="T2243" s="174"/>
      <c r="U2243" s="174"/>
      <c r="V2243" s="174"/>
      <c r="W2243" s="174"/>
      <c r="X2243" s="174"/>
      <c r="Y2243" s="174"/>
      <c r="Z2243" s="174"/>
    </row>
    <row r="2244">
      <c r="A2244" s="194"/>
      <c r="B2244" s="194"/>
      <c r="C2244" s="194"/>
      <c r="D2244" s="194"/>
      <c r="E2244" s="194"/>
      <c r="F2244" s="194"/>
      <c r="G2244" s="194"/>
      <c r="H2244" s="195"/>
      <c r="I2244" s="195"/>
      <c r="J2244" s="194"/>
      <c r="K2244" s="174"/>
      <c r="L2244" s="174"/>
      <c r="M2244" s="174"/>
      <c r="N2244" s="174"/>
      <c r="O2244" s="174"/>
      <c r="P2244" s="174"/>
      <c r="Q2244" s="174"/>
      <c r="R2244" s="174"/>
      <c r="S2244" s="174"/>
      <c r="T2244" s="174"/>
      <c r="U2244" s="174"/>
      <c r="V2244" s="174"/>
      <c r="W2244" s="174"/>
      <c r="X2244" s="174"/>
      <c r="Y2244" s="174"/>
      <c r="Z2244" s="174"/>
    </row>
    <row r="2245">
      <c r="A2245" s="194"/>
      <c r="B2245" s="194"/>
      <c r="C2245" s="194"/>
      <c r="D2245" s="194"/>
      <c r="E2245" s="194"/>
      <c r="F2245" s="194"/>
      <c r="G2245" s="194"/>
      <c r="H2245" s="195"/>
      <c r="I2245" s="195"/>
      <c r="J2245" s="194"/>
      <c r="K2245" s="174"/>
      <c r="L2245" s="174"/>
      <c r="M2245" s="174"/>
      <c r="N2245" s="174"/>
      <c r="O2245" s="174"/>
      <c r="P2245" s="174"/>
      <c r="Q2245" s="174"/>
      <c r="R2245" s="174"/>
      <c r="S2245" s="174"/>
      <c r="T2245" s="174"/>
      <c r="U2245" s="174"/>
      <c r="V2245" s="174"/>
      <c r="W2245" s="174"/>
      <c r="X2245" s="174"/>
      <c r="Y2245" s="174"/>
      <c r="Z2245" s="174"/>
    </row>
    <row r="2246">
      <c r="A2246" s="194"/>
      <c r="B2246" s="194"/>
      <c r="C2246" s="194"/>
      <c r="D2246" s="194"/>
      <c r="E2246" s="194"/>
      <c r="F2246" s="194"/>
      <c r="G2246" s="194"/>
      <c r="H2246" s="195"/>
      <c r="I2246" s="195"/>
      <c r="J2246" s="194"/>
      <c r="K2246" s="174"/>
      <c r="L2246" s="174"/>
      <c r="M2246" s="174"/>
      <c r="N2246" s="174"/>
      <c r="O2246" s="174"/>
      <c r="P2246" s="174"/>
      <c r="Q2246" s="174"/>
      <c r="R2246" s="174"/>
      <c r="S2246" s="174"/>
      <c r="T2246" s="174"/>
      <c r="U2246" s="174"/>
      <c r="V2246" s="174"/>
      <c r="W2246" s="174"/>
      <c r="X2246" s="174"/>
      <c r="Y2246" s="174"/>
      <c r="Z2246" s="174"/>
    </row>
    <row r="2247">
      <c r="A2247" s="194"/>
      <c r="B2247" s="194"/>
      <c r="C2247" s="194"/>
      <c r="D2247" s="194"/>
      <c r="E2247" s="194"/>
      <c r="F2247" s="194"/>
      <c r="G2247" s="194"/>
      <c r="H2247" s="195"/>
      <c r="I2247" s="195"/>
      <c r="J2247" s="194"/>
      <c r="K2247" s="174"/>
      <c r="L2247" s="174"/>
      <c r="M2247" s="174"/>
      <c r="N2247" s="174"/>
      <c r="O2247" s="174"/>
      <c r="P2247" s="174"/>
      <c r="Q2247" s="174"/>
      <c r="R2247" s="174"/>
      <c r="S2247" s="174"/>
      <c r="T2247" s="174"/>
      <c r="U2247" s="174"/>
      <c r="V2247" s="174"/>
      <c r="W2247" s="174"/>
      <c r="X2247" s="174"/>
      <c r="Y2247" s="174"/>
      <c r="Z2247" s="174"/>
    </row>
    <row r="2248">
      <c r="A2248" s="194"/>
      <c r="B2248" s="194"/>
      <c r="C2248" s="194"/>
      <c r="D2248" s="194"/>
      <c r="E2248" s="194"/>
      <c r="F2248" s="194"/>
      <c r="G2248" s="194"/>
      <c r="H2248" s="195"/>
      <c r="I2248" s="195"/>
      <c r="J2248" s="194"/>
      <c r="K2248" s="174"/>
      <c r="L2248" s="174"/>
      <c r="M2248" s="174"/>
      <c r="N2248" s="174"/>
      <c r="O2248" s="174"/>
      <c r="P2248" s="174"/>
      <c r="Q2248" s="174"/>
      <c r="R2248" s="174"/>
      <c r="S2248" s="174"/>
      <c r="T2248" s="174"/>
      <c r="U2248" s="174"/>
      <c r="V2248" s="174"/>
      <c r="W2248" s="174"/>
      <c r="X2248" s="174"/>
      <c r="Y2248" s="174"/>
      <c r="Z2248" s="174"/>
    </row>
    <row r="2249">
      <c r="A2249" s="194"/>
      <c r="B2249" s="194"/>
      <c r="C2249" s="194"/>
      <c r="D2249" s="194"/>
      <c r="E2249" s="194"/>
      <c r="F2249" s="194"/>
      <c r="G2249" s="194"/>
      <c r="H2249" s="195"/>
      <c r="I2249" s="195"/>
      <c r="J2249" s="194"/>
      <c r="K2249" s="174"/>
      <c r="L2249" s="174"/>
      <c r="M2249" s="174"/>
      <c r="N2249" s="174"/>
      <c r="O2249" s="174"/>
      <c r="P2249" s="174"/>
      <c r="Q2249" s="174"/>
      <c r="R2249" s="174"/>
      <c r="S2249" s="174"/>
      <c r="T2249" s="174"/>
      <c r="U2249" s="174"/>
      <c r="V2249" s="174"/>
      <c r="W2249" s="174"/>
      <c r="X2249" s="174"/>
      <c r="Y2249" s="174"/>
      <c r="Z2249" s="174"/>
    </row>
    <row r="2250">
      <c r="A2250" s="194"/>
      <c r="B2250" s="194"/>
      <c r="C2250" s="194"/>
      <c r="D2250" s="194"/>
      <c r="E2250" s="194"/>
      <c r="F2250" s="194"/>
      <c r="G2250" s="194"/>
      <c r="H2250" s="195"/>
      <c r="I2250" s="195"/>
      <c r="J2250" s="194"/>
      <c r="K2250" s="174"/>
      <c r="L2250" s="174"/>
      <c r="M2250" s="174"/>
      <c r="N2250" s="174"/>
      <c r="O2250" s="174"/>
      <c r="P2250" s="174"/>
      <c r="Q2250" s="174"/>
      <c r="R2250" s="174"/>
      <c r="S2250" s="174"/>
      <c r="T2250" s="174"/>
      <c r="U2250" s="174"/>
      <c r="V2250" s="174"/>
      <c r="W2250" s="174"/>
      <c r="X2250" s="174"/>
      <c r="Y2250" s="174"/>
      <c r="Z2250" s="174"/>
    </row>
    <row r="2251">
      <c r="A2251" s="194"/>
      <c r="B2251" s="194"/>
      <c r="C2251" s="194"/>
      <c r="D2251" s="194"/>
      <c r="E2251" s="194"/>
      <c r="F2251" s="194"/>
      <c r="G2251" s="194"/>
      <c r="H2251" s="195"/>
      <c r="I2251" s="195"/>
      <c r="J2251" s="194"/>
      <c r="K2251" s="174"/>
      <c r="L2251" s="174"/>
      <c r="M2251" s="174"/>
      <c r="N2251" s="174"/>
      <c r="O2251" s="174"/>
      <c r="P2251" s="174"/>
      <c r="Q2251" s="174"/>
      <c r="R2251" s="174"/>
      <c r="S2251" s="174"/>
      <c r="T2251" s="174"/>
      <c r="U2251" s="174"/>
      <c r="V2251" s="174"/>
      <c r="W2251" s="174"/>
      <c r="X2251" s="174"/>
      <c r="Y2251" s="174"/>
      <c r="Z2251" s="174"/>
    </row>
    <row r="2252">
      <c r="A2252" s="194"/>
      <c r="B2252" s="194"/>
      <c r="C2252" s="194"/>
      <c r="D2252" s="194"/>
      <c r="E2252" s="194"/>
      <c r="F2252" s="194"/>
      <c r="G2252" s="194"/>
      <c r="H2252" s="195"/>
      <c r="I2252" s="195"/>
      <c r="J2252" s="194"/>
      <c r="K2252" s="174"/>
      <c r="L2252" s="174"/>
      <c r="M2252" s="174"/>
      <c r="N2252" s="174"/>
      <c r="O2252" s="174"/>
      <c r="P2252" s="174"/>
      <c r="Q2252" s="174"/>
      <c r="R2252" s="174"/>
      <c r="S2252" s="174"/>
      <c r="T2252" s="174"/>
      <c r="U2252" s="174"/>
      <c r="V2252" s="174"/>
      <c r="W2252" s="174"/>
      <c r="X2252" s="174"/>
      <c r="Y2252" s="174"/>
      <c r="Z2252" s="174"/>
    </row>
    <row r="2253">
      <c r="A2253" s="194"/>
      <c r="B2253" s="194"/>
      <c r="C2253" s="194"/>
      <c r="D2253" s="194"/>
      <c r="E2253" s="194"/>
      <c r="F2253" s="194"/>
      <c r="G2253" s="194"/>
      <c r="H2253" s="195"/>
      <c r="I2253" s="195"/>
      <c r="J2253" s="194"/>
      <c r="K2253" s="174"/>
      <c r="L2253" s="174"/>
      <c r="M2253" s="174"/>
      <c r="N2253" s="174"/>
      <c r="O2253" s="174"/>
      <c r="P2253" s="174"/>
      <c r="Q2253" s="174"/>
      <c r="R2253" s="174"/>
      <c r="S2253" s="174"/>
      <c r="T2253" s="174"/>
      <c r="U2253" s="174"/>
      <c r="V2253" s="174"/>
      <c r="W2253" s="174"/>
      <c r="X2253" s="174"/>
      <c r="Y2253" s="174"/>
      <c r="Z2253" s="174"/>
    </row>
    <row r="2254">
      <c r="A2254" s="194"/>
      <c r="B2254" s="194"/>
      <c r="C2254" s="194"/>
      <c r="D2254" s="194"/>
      <c r="E2254" s="194"/>
      <c r="F2254" s="194"/>
      <c r="G2254" s="194"/>
      <c r="H2254" s="195"/>
      <c r="I2254" s="195"/>
      <c r="J2254" s="194"/>
      <c r="K2254" s="174"/>
      <c r="L2254" s="174"/>
      <c r="M2254" s="174"/>
      <c r="N2254" s="174"/>
      <c r="O2254" s="174"/>
      <c r="P2254" s="174"/>
      <c r="Q2254" s="174"/>
      <c r="R2254" s="174"/>
      <c r="S2254" s="174"/>
      <c r="T2254" s="174"/>
      <c r="U2254" s="174"/>
      <c r="V2254" s="174"/>
      <c r="W2254" s="174"/>
      <c r="X2254" s="174"/>
      <c r="Y2254" s="174"/>
      <c r="Z2254" s="174"/>
    </row>
    <row r="2255">
      <c r="A2255" s="194"/>
      <c r="B2255" s="194"/>
      <c r="C2255" s="194"/>
      <c r="D2255" s="194"/>
      <c r="E2255" s="194"/>
      <c r="F2255" s="194"/>
      <c r="G2255" s="194"/>
      <c r="H2255" s="195"/>
      <c r="I2255" s="195"/>
      <c r="J2255" s="194"/>
      <c r="K2255" s="174"/>
      <c r="L2255" s="174"/>
      <c r="M2255" s="174"/>
      <c r="N2255" s="174"/>
      <c r="O2255" s="174"/>
      <c r="P2255" s="174"/>
      <c r="Q2255" s="174"/>
      <c r="R2255" s="174"/>
      <c r="S2255" s="174"/>
      <c r="T2255" s="174"/>
      <c r="U2255" s="174"/>
      <c r="V2255" s="174"/>
      <c r="W2255" s="174"/>
      <c r="X2255" s="174"/>
      <c r="Y2255" s="174"/>
      <c r="Z2255" s="174"/>
    </row>
    <row r="2256">
      <c r="A2256" s="194"/>
      <c r="B2256" s="194"/>
      <c r="C2256" s="194"/>
      <c r="D2256" s="194"/>
      <c r="E2256" s="194"/>
      <c r="F2256" s="194"/>
      <c r="G2256" s="194"/>
      <c r="H2256" s="195"/>
      <c r="I2256" s="195"/>
      <c r="J2256" s="194"/>
      <c r="K2256" s="174"/>
      <c r="L2256" s="174"/>
      <c r="M2256" s="174"/>
      <c r="N2256" s="174"/>
      <c r="O2256" s="174"/>
      <c r="P2256" s="174"/>
      <c r="Q2256" s="174"/>
      <c r="R2256" s="174"/>
      <c r="S2256" s="174"/>
      <c r="T2256" s="174"/>
      <c r="U2256" s="174"/>
      <c r="V2256" s="174"/>
      <c r="W2256" s="174"/>
      <c r="X2256" s="174"/>
      <c r="Y2256" s="174"/>
      <c r="Z2256" s="174"/>
    </row>
    <row r="2257">
      <c r="A2257" s="194"/>
      <c r="B2257" s="194"/>
      <c r="C2257" s="194"/>
      <c r="D2257" s="194"/>
      <c r="E2257" s="194"/>
      <c r="F2257" s="194"/>
      <c r="G2257" s="194"/>
      <c r="H2257" s="195"/>
      <c r="I2257" s="195"/>
      <c r="J2257" s="194"/>
      <c r="K2257" s="174"/>
      <c r="L2257" s="174"/>
      <c r="M2257" s="174"/>
      <c r="N2257" s="174"/>
      <c r="O2257" s="174"/>
      <c r="P2257" s="174"/>
      <c r="Q2257" s="174"/>
      <c r="R2257" s="174"/>
      <c r="S2257" s="174"/>
      <c r="T2257" s="174"/>
      <c r="U2257" s="174"/>
      <c r="V2257" s="174"/>
      <c r="W2257" s="174"/>
      <c r="X2257" s="174"/>
      <c r="Y2257" s="174"/>
      <c r="Z2257" s="174"/>
    </row>
    <row r="2258">
      <c r="A2258" s="194"/>
      <c r="B2258" s="194"/>
      <c r="C2258" s="194"/>
      <c r="D2258" s="194"/>
      <c r="E2258" s="194"/>
      <c r="F2258" s="194"/>
      <c r="G2258" s="194"/>
      <c r="H2258" s="195"/>
      <c r="I2258" s="195"/>
      <c r="J2258" s="194"/>
      <c r="K2258" s="174"/>
      <c r="L2258" s="174"/>
      <c r="M2258" s="174"/>
      <c r="N2258" s="174"/>
      <c r="O2258" s="174"/>
      <c r="P2258" s="174"/>
      <c r="Q2258" s="174"/>
      <c r="R2258" s="174"/>
      <c r="S2258" s="174"/>
      <c r="T2258" s="174"/>
      <c r="U2258" s="174"/>
      <c r="V2258" s="174"/>
      <c r="W2258" s="174"/>
      <c r="X2258" s="174"/>
      <c r="Y2258" s="174"/>
      <c r="Z2258" s="174"/>
    </row>
    <row r="2259">
      <c r="A2259" s="194"/>
      <c r="B2259" s="194"/>
      <c r="C2259" s="194"/>
      <c r="D2259" s="194"/>
      <c r="E2259" s="194"/>
      <c r="F2259" s="194"/>
      <c r="G2259" s="194"/>
      <c r="H2259" s="195"/>
      <c r="I2259" s="195"/>
      <c r="J2259" s="194"/>
      <c r="K2259" s="174"/>
      <c r="L2259" s="174"/>
      <c r="M2259" s="174"/>
      <c r="N2259" s="174"/>
      <c r="O2259" s="174"/>
      <c r="P2259" s="174"/>
      <c r="Q2259" s="174"/>
      <c r="R2259" s="174"/>
      <c r="S2259" s="174"/>
      <c r="T2259" s="174"/>
      <c r="U2259" s="174"/>
      <c r="V2259" s="174"/>
      <c r="W2259" s="174"/>
      <c r="X2259" s="174"/>
      <c r="Y2259" s="174"/>
      <c r="Z2259" s="174"/>
    </row>
    <row r="2260">
      <c r="A2260" s="194"/>
      <c r="B2260" s="194"/>
      <c r="C2260" s="194"/>
      <c r="D2260" s="194"/>
      <c r="E2260" s="194"/>
      <c r="F2260" s="194"/>
      <c r="G2260" s="194"/>
      <c r="H2260" s="195"/>
      <c r="I2260" s="195"/>
      <c r="J2260" s="194"/>
      <c r="K2260" s="174"/>
      <c r="L2260" s="174"/>
      <c r="M2260" s="174"/>
      <c r="N2260" s="174"/>
      <c r="O2260" s="174"/>
      <c r="P2260" s="174"/>
      <c r="Q2260" s="174"/>
      <c r="R2260" s="174"/>
      <c r="S2260" s="174"/>
      <c r="T2260" s="174"/>
      <c r="U2260" s="174"/>
      <c r="V2260" s="174"/>
      <c r="W2260" s="174"/>
      <c r="X2260" s="174"/>
      <c r="Y2260" s="174"/>
      <c r="Z2260" s="174"/>
    </row>
    <row r="2261">
      <c r="A2261" s="194"/>
      <c r="B2261" s="194"/>
      <c r="C2261" s="194"/>
      <c r="D2261" s="194"/>
      <c r="E2261" s="194"/>
      <c r="F2261" s="194"/>
      <c r="G2261" s="194"/>
      <c r="H2261" s="195"/>
      <c r="I2261" s="195"/>
      <c r="J2261" s="194"/>
      <c r="K2261" s="174"/>
      <c r="L2261" s="174"/>
      <c r="M2261" s="174"/>
      <c r="N2261" s="174"/>
      <c r="O2261" s="174"/>
      <c r="P2261" s="174"/>
      <c r="Q2261" s="174"/>
      <c r="R2261" s="174"/>
      <c r="S2261" s="174"/>
      <c r="T2261" s="174"/>
      <c r="U2261" s="174"/>
      <c r="V2261" s="174"/>
      <c r="W2261" s="174"/>
      <c r="X2261" s="174"/>
      <c r="Y2261" s="174"/>
      <c r="Z2261" s="174"/>
    </row>
    <row r="2262">
      <c r="A2262" s="194"/>
      <c r="B2262" s="194"/>
      <c r="C2262" s="194"/>
      <c r="D2262" s="194"/>
      <c r="E2262" s="194"/>
      <c r="F2262" s="194"/>
      <c r="G2262" s="194"/>
      <c r="H2262" s="195"/>
      <c r="I2262" s="195"/>
      <c r="J2262" s="194"/>
      <c r="K2262" s="174"/>
      <c r="L2262" s="174"/>
      <c r="M2262" s="174"/>
      <c r="N2262" s="174"/>
      <c r="O2262" s="174"/>
      <c r="P2262" s="174"/>
      <c r="Q2262" s="174"/>
      <c r="R2262" s="174"/>
      <c r="S2262" s="174"/>
      <c r="T2262" s="174"/>
      <c r="U2262" s="174"/>
      <c r="V2262" s="174"/>
      <c r="W2262" s="174"/>
      <c r="X2262" s="174"/>
      <c r="Y2262" s="174"/>
      <c r="Z2262" s="174"/>
    </row>
    <row r="2263">
      <c r="A2263" s="194"/>
      <c r="B2263" s="194"/>
      <c r="C2263" s="194"/>
      <c r="D2263" s="194"/>
      <c r="E2263" s="194"/>
      <c r="F2263" s="194"/>
      <c r="G2263" s="194"/>
      <c r="H2263" s="195"/>
      <c r="I2263" s="195"/>
      <c r="J2263" s="194"/>
      <c r="K2263" s="174"/>
      <c r="L2263" s="174"/>
      <c r="M2263" s="174"/>
      <c r="N2263" s="174"/>
      <c r="O2263" s="174"/>
      <c r="P2263" s="174"/>
      <c r="Q2263" s="174"/>
      <c r="R2263" s="174"/>
      <c r="S2263" s="174"/>
      <c r="T2263" s="174"/>
      <c r="U2263" s="174"/>
      <c r="V2263" s="174"/>
      <c r="W2263" s="174"/>
      <c r="X2263" s="174"/>
      <c r="Y2263" s="174"/>
      <c r="Z2263" s="174"/>
    </row>
    <row r="2264">
      <c r="A2264" s="194"/>
      <c r="B2264" s="194"/>
      <c r="C2264" s="194"/>
      <c r="D2264" s="194"/>
      <c r="E2264" s="194"/>
      <c r="F2264" s="194"/>
      <c r="G2264" s="194"/>
      <c r="H2264" s="195"/>
      <c r="I2264" s="195"/>
      <c r="J2264" s="194"/>
      <c r="K2264" s="174"/>
      <c r="L2264" s="174"/>
      <c r="M2264" s="174"/>
      <c r="N2264" s="174"/>
      <c r="O2264" s="174"/>
      <c r="P2264" s="174"/>
      <c r="Q2264" s="174"/>
      <c r="R2264" s="174"/>
      <c r="S2264" s="174"/>
      <c r="T2264" s="174"/>
      <c r="U2264" s="174"/>
      <c r="V2264" s="174"/>
      <c r="W2264" s="174"/>
      <c r="X2264" s="174"/>
      <c r="Y2264" s="174"/>
      <c r="Z2264" s="174"/>
    </row>
    <row r="2265">
      <c r="A2265" s="194"/>
      <c r="B2265" s="194"/>
      <c r="C2265" s="194"/>
      <c r="D2265" s="194"/>
      <c r="E2265" s="194"/>
      <c r="F2265" s="194"/>
      <c r="G2265" s="194"/>
      <c r="H2265" s="195"/>
      <c r="I2265" s="195"/>
      <c r="J2265" s="194"/>
      <c r="K2265" s="174"/>
      <c r="L2265" s="174"/>
      <c r="M2265" s="174"/>
      <c r="N2265" s="174"/>
      <c r="O2265" s="174"/>
      <c r="P2265" s="174"/>
      <c r="Q2265" s="174"/>
      <c r="R2265" s="174"/>
      <c r="S2265" s="174"/>
      <c r="T2265" s="174"/>
      <c r="U2265" s="174"/>
      <c r="V2265" s="174"/>
      <c r="W2265" s="174"/>
      <c r="X2265" s="174"/>
      <c r="Y2265" s="174"/>
      <c r="Z2265" s="174"/>
    </row>
    <row r="2266">
      <c r="A2266" s="194"/>
      <c r="B2266" s="194"/>
      <c r="C2266" s="194"/>
      <c r="D2266" s="194"/>
      <c r="E2266" s="194"/>
      <c r="F2266" s="194"/>
      <c r="G2266" s="194"/>
      <c r="H2266" s="195"/>
      <c r="I2266" s="195"/>
      <c r="J2266" s="194"/>
      <c r="K2266" s="174"/>
      <c r="L2266" s="174"/>
      <c r="M2266" s="174"/>
      <c r="N2266" s="174"/>
      <c r="O2266" s="174"/>
      <c r="P2266" s="174"/>
      <c r="Q2266" s="174"/>
      <c r="R2266" s="174"/>
      <c r="S2266" s="174"/>
      <c r="T2266" s="174"/>
      <c r="U2266" s="174"/>
      <c r="V2266" s="174"/>
      <c r="W2266" s="174"/>
      <c r="X2266" s="174"/>
      <c r="Y2266" s="174"/>
      <c r="Z2266" s="174"/>
    </row>
    <row r="2267">
      <c r="A2267" s="194"/>
      <c r="B2267" s="194"/>
      <c r="C2267" s="194"/>
      <c r="D2267" s="194"/>
      <c r="E2267" s="194"/>
      <c r="F2267" s="194"/>
      <c r="G2267" s="194"/>
      <c r="H2267" s="195"/>
      <c r="I2267" s="195"/>
      <c r="J2267" s="194"/>
      <c r="K2267" s="174"/>
      <c r="L2267" s="174"/>
      <c r="M2267" s="174"/>
      <c r="N2267" s="174"/>
      <c r="O2267" s="174"/>
      <c r="P2267" s="174"/>
      <c r="Q2267" s="174"/>
      <c r="R2267" s="174"/>
      <c r="S2267" s="174"/>
      <c r="T2267" s="174"/>
      <c r="U2267" s="174"/>
      <c r="V2267" s="174"/>
      <c r="W2267" s="174"/>
      <c r="X2267" s="174"/>
      <c r="Y2267" s="174"/>
      <c r="Z2267" s="174"/>
    </row>
    <row r="2268">
      <c r="A2268" s="194"/>
      <c r="B2268" s="194"/>
      <c r="C2268" s="194"/>
      <c r="D2268" s="194"/>
      <c r="E2268" s="194"/>
      <c r="F2268" s="194"/>
      <c r="G2268" s="194"/>
      <c r="H2268" s="195"/>
      <c r="I2268" s="195"/>
      <c r="J2268" s="194"/>
      <c r="K2268" s="174"/>
      <c r="L2268" s="174"/>
      <c r="M2268" s="174"/>
      <c r="N2268" s="174"/>
      <c r="O2268" s="174"/>
      <c r="P2268" s="174"/>
      <c r="Q2268" s="174"/>
      <c r="R2268" s="174"/>
      <c r="S2268" s="174"/>
      <c r="T2268" s="174"/>
      <c r="U2268" s="174"/>
      <c r="V2268" s="174"/>
      <c r="W2268" s="174"/>
      <c r="X2268" s="174"/>
      <c r="Y2268" s="174"/>
      <c r="Z2268" s="174"/>
    </row>
    <row r="2269">
      <c r="A2269" s="194"/>
      <c r="B2269" s="194"/>
      <c r="C2269" s="194"/>
      <c r="D2269" s="194"/>
      <c r="E2269" s="194"/>
      <c r="F2269" s="194"/>
      <c r="G2269" s="194"/>
      <c r="H2269" s="195"/>
      <c r="I2269" s="195"/>
      <c r="J2269" s="194"/>
      <c r="K2269" s="174"/>
      <c r="L2269" s="174"/>
      <c r="M2269" s="174"/>
      <c r="N2269" s="174"/>
      <c r="O2269" s="174"/>
      <c r="P2269" s="174"/>
      <c r="Q2269" s="174"/>
      <c r="R2269" s="174"/>
      <c r="S2269" s="174"/>
      <c r="T2269" s="174"/>
      <c r="U2269" s="174"/>
      <c r="V2269" s="174"/>
      <c r="W2269" s="174"/>
      <c r="X2269" s="174"/>
      <c r="Y2269" s="174"/>
      <c r="Z2269" s="174"/>
    </row>
    <row r="2270">
      <c r="A2270" s="194"/>
      <c r="B2270" s="194"/>
      <c r="C2270" s="194"/>
      <c r="D2270" s="194"/>
      <c r="E2270" s="194"/>
      <c r="F2270" s="194"/>
      <c r="G2270" s="194"/>
      <c r="H2270" s="195"/>
      <c r="I2270" s="195"/>
      <c r="J2270" s="194"/>
      <c r="K2270" s="174"/>
      <c r="L2270" s="174"/>
      <c r="M2270" s="174"/>
      <c r="N2270" s="174"/>
      <c r="O2270" s="174"/>
      <c r="P2270" s="174"/>
      <c r="Q2270" s="174"/>
      <c r="R2270" s="174"/>
      <c r="S2270" s="174"/>
      <c r="T2270" s="174"/>
      <c r="U2270" s="174"/>
      <c r="V2270" s="174"/>
      <c r="W2270" s="174"/>
      <c r="X2270" s="174"/>
      <c r="Y2270" s="174"/>
      <c r="Z2270" s="174"/>
    </row>
    <row r="2271">
      <c r="A2271" s="194"/>
      <c r="B2271" s="194"/>
      <c r="C2271" s="194"/>
      <c r="D2271" s="194"/>
      <c r="E2271" s="194"/>
      <c r="F2271" s="194"/>
      <c r="G2271" s="194"/>
      <c r="H2271" s="195"/>
      <c r="I2271" s="195"/>
      <c r="J2271" s="194"/>
      <c r="K2271" s="174"/>
      <c r="L2271" s="174"/>
      <c r="M2271" s="174"/>
      <c r="N2271" s="174"/>
      <c r="O2271" s="174"/>
      <c r="P2271" s="174"/>
      <c r="Q2271" s="174"/>
      <c r="R2271" s="174"/>
      <c r="S2271" s="174"/>
      <c r="T2271" s="174"/>
      <c r="U2271" s="174"/>
      <c r="V2271" s="174"/>
      <c r="W2271" s="174"/>
      <c r="X2271" s="174"/>
      <c r="Y2271" s="174"/>
      <c r="Z2271" s="174"/>
    </row>
    <row r="2272">
      <c r="A2272" s="194"/>
      <c r="B2272" s="194"/>
      <c r="C2272" s="194"/>
      <c r="D2272" s="194"/>
      <c r="E2272" s="194"/>
      <c r="F2272" s="194"/>
      <c r="G2272" s="194"/>
      <c r="H2272" s="195"/>
      <c r="I2272" s="195"/>
      <c r="J2272" s="194"/>
      <c r="K2272" s="174"/>
      <c r="L2272" s="174"/>
      <c r="M2272" s="174"/>
      <c r="N2272" s="174"/>
      <c r="O2272" s="174"/>
      <c r="P2272" s="174"/>
      <c r="Q2272" s="174"/>
      <c r="R2272" s="174"/>
      <c r="S2272" s="174"/>
      <c r="T2272" s="174"/>
      <c r="U2272" s="174"/>
      <c r="V2272" s="174"/>
      <c r="W2272" s="174"/>
      <c r="X2272" s="174"/>
      <c r="Y2272" s="174"/>
      <c r="Z2272" s="174"/>
    </row>
    <row r="2273">
      <c r="A2273" s="194"/>
      <c r="B2273" s="194"/>
      <c r="C2273" s="194"/>
      <c r="D2273" s="194"/>
      <c r="E2273" s="194"/>
      <c r="F2273" s="194"/>
      <c r="G2273" s="194"/>
      <c r="H2273" s="195"/>
      <c r="I2273" s="195"/>
      <c r="J2273" s="194"/>
      <c r="K2273" s="174"/>
      <c r="L2273" s="174"/>
      <c r="M2273" s="174"/>
      <c r="N2273" s="174"/>
      <c r="O2273" s="174"/>
      <c r="P2273" s="174"/>
      <c r="Q2273" s="174"/>
      <c r="R2273" s="174"/>
      <c r="S2273" s="174"/>
      <c r="T2273" s="174"/>
      <c r="U2273" s="174"/>
      <c r="V2273" s="174"/>
      <c r="W2273" s="174"/>
      <c r="X2273" s="174"/>
      <c r="Y2273" s="174"/>
      <c r="Z2273" s="174"/>
    </row>
    <row r="2274">
      <c r="A2274" s="194"/>
      <c r="B2274" s="194"/>
      <c r="C2274" s="194"/>
      <c r="D2274" s="194"/>
      <c r="E2274" s="194"/>
      <c r="F2274" s="194"/>
      <c r="G2274" s="194"/>
      <c r="H2274" s="195"/>
      <c r="I2274" s="195"/>
      <c r="J2274" s="194"/>
      <c r="K2274" s="174"/>
      <c r="L2274" s="174"/>
      <c r="M2274" s="174"/>
      <c r="N2274" s="174"/>
      <c r="O2274" s="174"/>
      <c r="P2274" s="174"/>
      <c r="Q2274" s="174"/>
      <c r="R2274" s="174"/>
      <c r="S2274" s="174"/>
      <c r="T2274" s="174"/>
      <c r="U2274" s="174"/>
      <c r="V2274" s="174"/>
      <c r="W2274" s="174"/>
      <c r="X2274" s="174"/>
      <c r="Y2274" s="174"/>
      <c r="Z2274" s="174"/>
    </row>
    <row r="2275">
      <c r="A2275" s="194"/>
      <c r="B2275" s="194"/>
      <c r="C2275" s="194"/>
      <c r="D2275" s="194"/>
      <c r="E2275" s="194"/>
      <c r="F2275" s="194"/>
      <c r="G2275" s="194"/>
      <c r="H2275" s="195"/>
      <c r="I2275" s="195"/>
      <c r="J2275" s="194"/>
      <c r="K2275" s="174"/>
      <c r="L2275" s="174"/>
      <c r="M2275" s="174"/>
      <c r="N2275" s="174"/>
      <c r="O2275" s="174"/>
      <c r="P2275" s="174"/>
      <c r="Q2275" s="174"/>
      <c r="R2275" s="174"/>
      <c r="S2275" s="174"/>
      <c r="T2275" s="174"/>
      <c r="U2275" s="174"/>
      <c r="V2275" s="174"/>
      <c r="W2275" s="174"/>
      <c r="X2275" s="174"/>
      <c r="Y2275" s="174"/>
      <c r="Z2275" s="174"/>
    </row>
    <row r="2276">
      <c r="A2276" s="194"/>
      <c r="B2276" s="194"/>
      <c r="C2276" s="194"/>
      <c r="D2276" s="194"/>
      <c r="E2276" s="194"/>
      <c r="F2276" s="194"/>
      <c r="G2276" s="194"/>
      <c r="H2276" s="195"/>
      <c r="I2276" s="195"/>
      <c r="J2276" s="194"/>
      <c r="K2276" s="174"/>
      <c r="L2276" s="174"/>
      <c r="M2276" s="174"/>
      <c r="N2276" s="174"/>
      <c r="O2276" s="174"/>
      <c r="P2276" s="174"/>
      <c r="Q2276" s="174"/>
      <c r="R2276" s="174"/>
      <c r="S2276" s="174"/>
      <c r="T2276" s="174"/>
      <c r="U2276" s="174"/>
      <c r="V2276" s="174"/>
      <c r="W2276" s="174"/>
      <c r="X2276" s="174"/>
      <c r="Y2276" s="174"/>
      <c r="Z2276" s="174"/>
    </row>
    <row r="2277">
      <c r="A2277" s="194"/>
      <c r="B2277" s="194"/>
      <c r="C2277" s="194"/>
      <c r="D2277" s="194"/>
      <c r="E2277" s="194"/>
      <c r="F2277" s="194"/>
      <c r="G2277" s="194"/>
      <c r="H2277" s="195"/>
      <c r="I2277" s="195"/>
      <c r="J2277" s="194"/>
      <c r="K2277" s="174"/>
      <c r="L2277" s="174"/>
      <c r="M2277" s="174"/>
      <c r="N2277" s="174"/>
      <c r="O2277" s="174"/>
      <c r="P2277" s="174"/>
      <c r="Q2277" s="174"/>
      <c r="R2277" s="174"/>
      <c r="S2277" s="174"/>
      <c r="T2277" s="174"/>
      <c r="U2277" s="174"/>
      <c r="V2277" s="174"/>
      <c r="W2277" s="174"/>
      <c r="X2277" s="174"/>
      <c r="Y2277" s="174"/>
      <c r="Z2277" s="174"/>
    </row>
    <row r="2278">
      <c r="A2278" s="194"/>
      <c r="B2278" s="194"/>
      <c r="C2278" s="194"/>
      <c r="D2278" s="194"/>
      <c r="E2278" s="194"/>
      <c r="F2278" s="194"/>
      <c r="G2278" s="194"/>
      <c r="H2278" s="195"/>
      <c r="I2278" s="195"/>
      <c r="J2278" s="194"/>
      <c r="K2278" s="174"/>
      <c r="L2278" s="174"/>
      <c r="M2278" s="174"/>
      <c r="N2278" s="174"/>
      <c r="O2278" s="174"/>
      <c r="P2278" s="174"/>
      <c r="Q2278" s="174"/>
      <c r="R2278" s="174"/>
      <c r="S2278" s="174"/>
      <c r="T2278" s="174"/>
      <c r="U2278" s="174"/>
      <c r="V2278" s="174"/>
      <c r="W2278" s="174"/>
      <c r="X2278" s="174"/>
      <c r="Y2278" s="174"/>
      <c r="Z2278" s="174"/>
    </row>
    <row r="2279">
      <c r="A2279" s="194"/>
      <c r="B2279" s="194"/>
      <c r="C2279" s="194"/>
      <c r="D2279" s="194"/>
      <c r="E2279" s="194"/>
      <c r="F2279" s="194"/>
      <c r="G2279" s="194"/>
      <c r="H2279" s="195"/>
      <c r="I2279" s="195"/>
      <c r="J2279" s="194"/>
      <c r="K2279" s="174"/>
      <c r="L2279" s="174"/>
      <c r="M2279" s="174"/>
      <c r="N2279" s="174"/>
      <c r="O2279" s="174"/>
      <c r="P2279" s="174"/>
      <c r="Q2279" s="174"/>
      <c r="R2279" s="174"/>
      <c r="S2279" s="174"/>
      <c r="T2279" s="174"/>
      <c r="U2279" s="174"/>
      <c r="V2279" s="174"/>
      <c r="W2279" s="174"/>
      <c r="X2279" s="174"/>
      <c r="Y2279" s="174"/>
      <c r="Z2279" s="174"/>
    </row>
    <row r="2280">
      <c r="A2280" s="194"/>
      <c r="B2280" s="194"/>
      <c r="C2280" s="194"/>
      <c r="D2280" s="194"/>
      <c r="E2280" s="194"/>
      <c r="F2280" s="194"/>
      <c r="G2280" s="194"/>
      <c r="H2280" s="195"/>
      <c r="I2280" s="195"/>
      <c r="J2280" s="194"/>
      <c r="K2280" s="174"/>
      <c r="L2280" s="174"/>
      <c r="M2280" s="174"/>
      <c r="N2280" s="174"/>
      <c r="O2280" s="174"/>
      <c r="P2280" s="174"/>
      <c r="Q2280" s="174"/>
      <c r="R2280" s="174"/>
      <c r="S2280" s="174"/>
      <c r="T2280" s="174"/>
      <c r="U2280" s="174"/>
      <c r="V2280" s="174"/>
      <c r="W2280" s="174"/>
      <c r="X2280" s="174"/>
      <c r="Y2280" s="174"/>
      <c r="Z2280" s="174"/>
    </row>
    <row r="2281">
      <c r="A2281" s="194"/>
      <c r="B2281" s="194"/>
      <c r="C2281" s="194"/>
      <c r="D2281" s="194"/>
      <c r="E2281" s="194"/>
      <c r="F2281" s="194"/>
      <c r="G2281" s="194"/>
      <c r="H2281" s="195"/>
      <c r="I2281" s="195"/>
      <c r="J2281" s="194"/>
      <c r="K2281" s="174"/>
      <c r="L2281" s="174"/>
      <c r="M2281" s="174"/>
      <c r="N2281" s="174"/>
      <c r="O2281" s="174"/>
      <c r="P2281" s="174"/>
      <c r="Q2281" s="174"/>
      <c r="R2281" s="174"/>
      <c r="S2281" s="174"/>
      <c r="T2281" s="174"/>
      <c r="U2281" s="174"/>
      <c r="V2281" s="174"/>
      <c r="W2281" s="174"/>
      <c r="X2281" s="174"/>
      <c r="Y2281" s="174"/>
      <c r="Z2281" s="174"/>
    </row>
    <row r="2282">
      <c r="A2282" s="194"/>
      <c r="B2282" s="194"/>
      <c r="C2282" s="194"/>
      <c r="D2282" s="194"/>
      <c r="E2282" s="194"/>
      <c r="F2282" s="194"/>
      <c r="G2282" s="194"/>
      <c r="H2282" s="195"/>
      <c r="I2282" s="195"/>
      <c r="J2282" s="194"/>
      <c r="K2282" s="174"/>
      <c r="L2282" s="174"/>
      <c r="M2282" s="174"/>
      <c r="N2282" s="174"/>
      <c r="O2282" s="174"/>
      <c r="P2282" s="174"/>
      <c r="Q2282" s="174"/>
      <c r="R2282" s="174"/>
      <c r="S2282" s="174"/>
      <c r="T2282" s="174"/>
      <c r="U2282" s="174"/>
      <c r="V2282" s="174"/>
      <c r="W2282" s="174"/>
      <c r="X2282" s="174"/>
      <c r="Y2282" s="174"/>
      <c r="Z2282" s="174"/>
    </row>
    <row r="2283">
      <c r="A2283" s="194"/>
      <c r="B2283" s="194"/>
      <c r="C2283" s="194"/>
      <c r="D2283" s="194"/>
      <c r="E2283" s="194"/>
      <c r="F2283" s="194"/>
      <c r="G2283" s="194"/>
      <c r="H2283" s="195"/>
      <c r="I2283" s="195"/>
      <c r="J2283" s="194"/>
      <c r="K2283" s="174"/>
      <c r="L2283" s="174"/>
      <c r="M2283" s="174"/>
      <c r="N2283" s="174"/>
      <c r="O2283" s="174"/>
      <c r="P2283" s="174"/>
      <c r="Q2283" s="174"/>
      <c r="R2283" s="174"/>
      <c r="S2283" s="174"/>
      <c r="T2283" s="174"/>
      <c r="U2283" s="174"/>
      <c r="V2283" s="174"/>
      <c r="W2283" s="174"/>
      <c r="X2283" s="174"/>
      <c r="Y2283" s="174"/>
      <c r="Z2283" s="174"/>
    </row>
    <row r="2284">
      <c r="A2284" s="194"/>
      <c r="B2284" s="194"/>
      <c r="C2284" s="194"/>
      <c r="D2284" s="194"/>
      <c r="E2284" s="194"/>
      <c r="F2284" s="194"/>
      <c r="G2284" s="194"/>
      <c r="H2284" s="195"/>
      <c r="I2284" s="195"/>
      <c r="J2284" s="194"/>
      <c r="K2284" s="174"/>
      <c r="L2284" s="174"/>
      <c r="M2284" s="174"/>
      <c r="N2284" s="174"/>
      <c r="O2284" s="174"/>
      <c r="P2284" s="174"/>
      <c r="Q2284" s="174"/>
      <c r="R2284" s="174"/>
      <c r="S2284" s="174"/>
      <c r="T2284" s="174"/>
      <c r="U2284" s="174"/>
      <c r="V2284" s="174"/>
      <c r="W2284" s="174"/>
      <c r="X2284" s="174"/>
      <c r="Y2284" s="174"/>
      <c r="Z2284" s="174"/>
    </row>
    <row r="2285">
      <c r="A2285" s="194"/>
      <c r="B2285" s="194"/>
      <c r="C2285" s="194"/>
      <c r="D2285" s="194"/>
      <c r="E2285" s="194"/>
      <c r="F2285" s="194"/>
      <c r="G2285" s="194"/>
      <c r="H2285" s="195"/>
      <c r="I2285" s="195"/>
      <c r="J2285" s="194"/>
      <c r="K2285" s="174"/>
      <c r="L2285" s="174"/>
      <c r="M2285" s="174"/>
      <c r="N2285" s="174"/>
      <c r="O2285" s="174"/>
      <c r="P2285" s="174"/>
      <c r="Q2285" s="174"/>
      <c r="R2285" s="174"/>
      <c r="S2285" s="174"/>
      <c r="T2285" s="174"/>
      <c r="U2285" s="174"/>
      <c r="V2285" s="174"/>
      <c r="W2285" s="174"/>
      <c r="X2285" s="174"/>
      <c r="Y2285" s="174"/>
      <c r="Z2285" s="174"/>
    </row>
    <row r="2286">
      <c r="A2286" s="194"/>
      <c r="B2286" s="194"/>
      <c r="C2286" s="194"/>
      <c r="D2286" s="194"/>
      <c r="E2286" s="194"/>
      <c r="F2286" s="194"/>
      <c r="G2286" s="194"/>
      <c r="H2286" s="195"/>
      <c r="I2286" s="195"/>
      <c r="J2286" s="194"/>
      <c r="K2286" s="174"/>
      <c r="L2286" s="174"/>
      <c r="M2286" s="174"/>
      <c r="N2286" s="174"/>
      <c r="O2286" s="174"/>
      <c r="P2286" s="174"/>
      <c r="Q2286" s="174"/>
      <c r="R2286" s="174"/>
      <c r="S2286" s="174"/>
      <c r="T2286" s="174"/>
      <c r="U2286" s="174"/>
      <c r="V2286" s="174"/>
      <c r="W2286" s="174"/>
      <c r="X2286" s="174"/>
      <c r="Y2286" s="174"/>
      <c r="Z2286" s="174"/>
    </row>
    <row r="2287">
      <c r="A2287" s="194"/>
      <c r="B2287" s="194"/>
      <c r="C2287" s="194"/>
      <c r="D2287" s="194"/>
      <c r="E2287" s="194"/>
      <c r="F2287" s="194"/>
      <c r="G2287" s="194"/>
      <c r="H2287" s="195"/>
      <c r="I2287" s="195"/>
      <c r="J2287" s="194"/>
      <c r="K2287" s="174"/>
      <c r="L2287" s="174"/>
      <c r="M2287" s="174"/>
      <c r="N2287" s="174"/>
      <c r="O2287" s="174"/>
      <c r="P2287" s="174"/>
      <c r="Q2287" s="174"/>
      <c r="R2287" s="174"/>
      <c r="S2287" s="174"/>
      <c r="T2287" s="174"/>
      <c r="U2287" s="174"/>
      <c r="V2287" s="174"/>
      <c r="W2287" s="174"/>
      <c r="X2287" s="174"/>
      <c r="Y2287" s="174"/>
      <c r="Z2287" s="174"/>
    </row>
    <row r="2288">
      <c r="A2288" s="194"/>
      <c r="B2288" s="194"/>
      <c r="C2288" s="194"/>
      <c r="D2288" s="194"/>
      <c r="E2288" s="194"/>
      <c r="F2288" s="194"/>
      <c r="G2288" s="194"/>
      <c r="H2288" s="195"/>
      <c r="I2288" s="195"/>
      <c r="J2288" s="194"/>
      <c r="K2288" s="174"/>
      <c r="L2288" s="174"/>
      <c r="M2288" s="174"/>
      <c r="N2288" s="174"/>
      <c r="O2288" s="174"/>
      <c r="P2288" s="174"/>
      <c r="Q2288" s="174"/>
      <c r="R2288" s="174"/>
      <c r="S2288" s="174"/>
      <c r="T2288" s="174"/>
      <c r="U2288" s="174"/>
      <c r="V2288" s="174"/>
      <c r="W2288" s="174"/>
      <c r="X2288" s="174"/>
      <c r="Y2288" s="174"/>
      <c r="Z2288" s="174"/>
    </row>
    <row r="2289">
      <c r="A2289" s="194"/>
      <c r="B2289" s="194"/>
      <c r="C2289" s="194"/>
      <c r="D2289" s="194"/>
      <c r="E2289" s="194"/>
      <c r="F2289" s="194"/>
      <c r="G2289" s="194"/>
      <c r="H2289" s="195"/>
      <c r="I2289" s="195"/>
      <c r="J2289" s="194"/>
      <c r="K2289" s="174"/>
      <c r="L2289" s="174"/>
      <c r="M2289" s="174"/>
      <c r="N2289" s="174"/>
      <c r="O2289" s="174"/>
      <c r="P2289" s="174"/>
      <c r="Q2289" s="174"/>
      <c r="R2289" s="174"/>
      <c r="S2289" s="174"/>
      <c r="T2289" s="174"/>
      <c r="U2289" s="174"/>
      <c r="V2289" s="174"/>
      <c r="W2289" s="174"/>
      <c r="X2289" s="174"/>
      <c r="Y2289" s="174"/>
      <c r="Z2289" s="174"/>
    </row>
    <row r="2290">
      <c r="A2290" s="194"/>
      <c r="B2290" s="194"/>
      <c r="C2290" s="194"/>
      <c r="D2290" s="194"/>
      <c r="E2290" s="194"/>
      <c r="F2290" s="194"/>
      <c r="G2290" s="194"/>
      <c r="H2290" s="195"/>
      <c r="I2290" s="195"/>
      <c r="J2290" s="194"/>
      <c r="K2290" s="174"/>
      <c r="L2290" s="174"/>
      <c r="M2290" s="174"/>
      <c r="N2290" s="174"/>
      <c r="O2290" s="174"/>
      <c r="P2290" s="174"/>
      <c r="Q2290" s="174"/>
      <c r="R2290" s="174"/>
      <c r="S2290" s="174"/>
      <c r="T2290" s="174"/>
      <c r="U2290" s="174"/>
      <c r="V2290" s="174"/>
      <c r="W2290" s="174"/>
      <c r="X2290" s="174"/>
      <c r="Y2290" s="174"/>
      <c r="Z2290" s="174"/>
    </row>
    <row r="2291">
      <c r="A2291" s="194"/>
      <c r="B2291" s="194"/>
      <c r="C2291" s="194"/>
      <c r="D2291" s="194"/>
      <c r="E2291" s="194"/>
      <c r="F2291" s="194"/>
      <c r="G2291" s="194"/>
      <c r="H2291" s="195"/>
      <c r="I2291" s="195"/>
      <c r="J2291" s="194"/>
      <c r="K2291" s="174"/>
      <c r="L2291" s="174"/>
      <c r="M2291" s="174"/>
      <c r="N2291" s="174"/>
      <c r="O2291" s="174"/>
      <c r="P2291" s="174"/>
      <c r="Q2291" s="174"/>
      <c r="R2291" s="174"/>
      <c r="S2291" s="174"/>
      <c r="T2291" s="174"/>
      <c r="U2291" s="174"/>
      <c r="V2291" s="174"/>
      <c r="W2291" s="174"/>
      <c r="X2291" s="174"/>
      <c r="Y2291" s="174"/>
      <c r="Z2291" s="174"/>
    </row>
    <row r="2292">
      <c r="A2292" s="194"/>
      <c r="B2292" s="194"/>
      <c r="C2292" s="194"/>
      <c r="D2292" s="194"/>
      <c r="E2292" s="194"/>
      <c r="F2292" s="194"/>
      <c r="G2292" s="194"/>
      <c r="H2292" s="195"/>
      <c r="I2292" s="195"/>
      <c r="J2292" s="194"/>
      <c r="K2292" s="174"/>
      <c r="L2292" s="174"/>
      <c r="M2292" s="174"/>
      <c r="N2292" s="174"/>
      <c r="O2292" s="174"/>
      <c r="P2292" s="174"/>
      <c r="Q2292" s="174"/>
      <c r="R2292" s="174"/>
      <c r="S2292" s="174"/>
      <c r="T2292" s="174"/>
      <c r="U2292" s="174"/>
      <c r="V2292" s="174"/>
      <c r="W2292" s="174"/>
      <c r="X2292" s="174"/>
      <c r="Y2292" s="174"/>
      <c r="Z2292" s="174"/>
    </row>
    <row r="2293">
      <c r="A2293" s="194"/>
      <c r="B2293" s="194"/>
      <c r="C2293" s="194"/>
      <c r="D2293" s="194"/>
      <c r="E2293" s="194"/>
      <c r="F2293" s="194"/>
      <c r="G2293" s="194"/>
      <c r="H2293" s="195"/>
      <c r="I2293" s="195"/>
      <c r="J2293" s="194"/>
      <c r="K2293" s="174"/>
      <c r="L2293" s="174"/>
      <c r="M2293" s="174"/>
      <c r="N2293" s="174"/>
      <c r="O2293" s="174"/>
      <c r="P2293" s="174"/>
      <c r="Q2293" s="174"/>
      <c r="R2293" s="174"/>
      <c r="S2293" s="174"/>
      <c r="T2293" s="174"/>
      <c r="U2293" s="174"/>
      <c r="V2293" s="174"/>
      <c r="W2293" s="174"/>
      <c r="X2293" s="174"/>
      <c r="Y2293" s="174"/>
      <c r="Z2293" s="174"/>
    </row>
    <row r="2294">
      <c r="A2294" s="194"/>
      <c r="B2294" s="194"/>
      <c r="C2294" s="194"/>
      <c r="D2294" s="194"/>
      <c r="E2294" s="194"/>
      <c r="F2294" s="194"/>
      <c r="G2294" s="194"/>
      <c r="H2294" s="195"/>
      <c r="I2294" s="195"/>
      <c r="J2294" s="194"/>
      <c r="K2294" s="174"/>
      <c r="L2294" s="174"/>
      <c r="M2294" s="174"/>
      <c r="N2294" s="174"/>
      <c r="O2294" s="174"/>
      <c r="P2294" s="174"/>
      <c r="Q2294" s="174"/>
      <c r="R2294" s="174"/>
      <c r="S2294" s="174"/>
      <c r="T2294" s="174"/>
      <c r="U2294" s="174"/>
      <c r="V2294" s="174"/>
      <c r="W2294" s="174"/>
      <c r="X2294" s="174"/>
      <c r="Y2294" s="174"/>
      <c r="Z2294" s="174"/>
    </row>
    <row r="2295">
      <c r="A2295" s="194"/>
      <c r="B2295" s="194"/>
      <c r="C2295" s="194"/>
      <c r="D2295" s="194"/>
      <c r="E2295" s="194"/>
      <c r="F2295" s="194"/>
      <c r="G2295" s="194"/>
      <c r="H2295" s="195"/>
      <c r="I2295" s="195"/>
      <c r="J2295" s="194"/>
      <c r="K2295" s="174"/>
      <c r="L2295" s="174"/>
      <c r="M2295" s="174"/>
      <c r="N2295" s="174"/>
      <c r="O2295" s="174"/>
      <c r="P2295" s="174"/>
      <c r="Q2295" s="174"/>
      <c r="R2295" s="174"/>
      <c r="S2295" s="174"/>
      <c r="T2295" s="174"/>
      <c r="U2295" s="174"/>
      <c r="V2295" s="174"/>
      <c r="W2295" s="174"/>
      <c r="X2295" s="174"/>
      <c r="Y2295" s="174"/>
      <c r="Z2295" s="174"/>
    </row>
    <row r="2296">
      <c r="A2296" s="194"/>
      <c r="B2296" s="194"/>
      <c r="C2296" s="194"/>
      <c r="D2296" s="194"/>
      <c r="E2296" s="194"/>
      <c r="F2296" s="194"/>
      <c r="G2296" s="194"/>
      <c r="H2296" s="195"/>
      <c r="I2296" s="195"/>
      <c r="J2296" s="194"/>
      <c r="K2296" s="174"/>
      <c r="L2296" s="174"/>
      <c r="M2296" s="174"/>
      <c r="N2296" s="174"/>
      <c r="O2296" s="174"/>
      <c r="P2296" s="174"/>
      <c r="Q2296" s="174"/>
      <c r="R2296" s="174"/>
      <c r="S2296" s="174"/>
      <c r="T2296" s="174"/>
      <c r="U2296" s="174"/>
      <c r="V2296" s="174"/>
      <c r="W2296" s="174"/>
      <c r="X2296" s="174"/>
      <c r="Y2296" s="174"/>
      <c r="Z2296" s="174"/>
    </row>
    <row r="2297">
      <c r="A2297" s="194"/>
      <c r="B2297" s="194"/>
      <c r="C2297" s="194"/>
      <c r="D2297" s="194"/>
      <c r="E2297" s="194"/>
      <c r="F2297" s="194"/>
      <c r="G2297" s="194"/>
      <c r="H2297" s="195"/>
      <c r="I2297" s="195"/>
      <c r="J2297" s="194"/>
      <c r="K2297" s="174"/>
      <c r="L2297" s="174"/>
      <c r="M2297" s="174"/>
      <c r="N2297" s="174"/>
      <c r="O2297" s="174"/>
      <c r="P2297" s="174"/>
      <c r="Q2297" s="174"/>
      <c r="R2297" s="174"/>
      <c r="S2297" s="174"/>
      <c r="T2297" s="174"/>
      <c r="U2297" s="174"/>
      <c r="V2297" s="174"/>
      <c r="W2297" s="174"/>
      <c r="X2297" s="174"/>
      <c r="Y2297" s="174"/>
      <c r="Z2297" s="174"/>
    </row>
    <row r="2298">
      <c r="A2298" s="194"/>
      <c r="B2298" s="194"/>
      <c r="C2298" s="194"/>
      <c r="D2298" s="194"/>
      <c r="E2298" s="194"/>
      <c r="F2298" s="194"/>
      <c r="G2298" s="194"/>
      <c r="H2298" s="195"/>
      <c r="I2298" s="195"/>
      <c r="J2298" s="194"/>
      <c r="K2298" s="174"/>
      <c r="L2298" s="174"/>
      <c r="M2298" s="174"/>
      <c r="N2298" s="174"/>
      <c r="O2298" s="174"/>
      <c r="P2298" s="174"/>
      <c r="Q2298" s="174"/>
      <c r="R2298" s="174"/>
      <c r="S2298" s="174"/>
      <c r="T2298" s="174"/>
      <c r="U2298" s="174"/>
      <c r="V2298" s="174"/>
      <c r="W2298" s="174"/>
      <c r="X2298" s="174"/>
      <c r="Y2298" s="174"/>
      <c r="Z2298" s="174"/>
    </row>
    <row r="2299">
      <c r="A2299" s="194"/>
      <c r="B2299" s="194"/>
      <c r="C2299" s="194"/>
      <c r="D2299" s="194"/>
      <c r="E2299" s="194"/>
      <c r="F2299" s="194"/>
      <c r="G2299" s="194"/>
      <c r="H2299" s="195"/>
      <c r="I2299" s="195"/>
      <c r="J2299" s="194"/>
      <c r="K2299" s="174"/>
      <c r="L2299" s="174"/>
      <c r="M2299" s="174"/>
      <c r="N2299" s="174"/>
      <c r="O2299" s="174"/>
      <c r="P2299" s="174"/>
      <c r="Q2299" s="174"/>
      <c r="R2299" s="174"/>
      <c r="S2299" s="174"/>
      <c r="T2299" s="174"/>
      <c r="U2299" s="174"/>
      <c r="V2299" s="174"/>
      <c r="W2299" s="174"/>
      <c r="X2299" s="174"/>
      <c r="Y2299" s="174"/>
      <c r="Z2299" s="174"/>
    </row>
    <row r="2300">
      <c r="A2300" s="194"/>
      <c r="B2300" s="194"/>
      <c r="C2300" s="194"/>
      <c r="D2300" s="194"/>
      <c r="E2300" s="194"/>
      <c r="F2300" s="194"/>
      <c r="G2300" s="194"/>
      <c r="H2300" s="195"/>
      <c r="I2300" s="195"/>
      <c r="J2300" s="194"/>
      <c r="K2300" s="174"/>
      <c r="L2300" s="174"/>
      <c r="M2300" s="174"/>
      <c r="N2300" s="174"/>
      <c r="O2300" s="174"/>
      <c r="P2300" s="174"/>
      <c r="Q2300" s="174"/>
      <c r="R2300" s="174"/>
      <c r="S2300" s="174"/>
      <c r="T2300" s="174"/>
      <c r="U2300" s="174"/>
      <c r="V2300" s="174"/>
      <c r="W2300" s="174"/>
      <c r="X2300" s="174"/>
      <c r="Y2300" s="174"/>
      <c r="Z2300" s="174"/>
    </row>
    <row r="2301">
      <c r="A2301" s="194"/>
      <c r="B2301" s="194"/>
      <c r="C2301" s="194"/>
      <c r="D2301" s="194"/>
      <c r="E2301" s="194"/>
      <c r="F2301" s="194"/>
      <c r="G2301" s="194"/>
      <c r="H2301" s="195"/>
      <c r="I2301" s="195"/>
      <c r="J2301" s="194"/>
      <c r="K2301" s="174"/>
      <c r="L2301" s="174"/>
      <c r="M2301" s="174"/>
      <c r="N2301" s="174"/>
      <c r="O2301" s="174"/>
      <c r="P2301" s="174"/>
      <c r="Q2301" s="174"/>
      <c r="R2301" s="174"/>
      <c r="S2301" s="174"/>
      <c r="T2301" s="174"/>
      <c r="U2301" s="174"/>
      <c r="V2301" s="174"/>
      <c r="W2301" s="174"/>
      <c r="X2301" s="174"/>
      <c r="Y2301" s="174"/>
      <c r="Z2301" s="174"/>
    </row>
    <row r="2302">
      <c r="A2302" s="194"/>
      <c r="B2302" s="194"/>
      <c r="C2302" s="194"/>
      <c r="D2302" s="194"/>
      <c r="E2302" s="194"/>
      <c r="F2302" s="194"/>
      <c r="G2302" s="194"/>
      <c r="H2302" s="195"/>
      <c r="I2302" s="195"/>
      <c r="J2302" s="194"/>
      <c r="K2302" s="174"/>
      <c r="L2302" s="174"/>
      <c r="M2302" s="174"/>
      <c r="N2302" s="174"/>
      <c r="O2302" s="174"/>
      <c r="P2302" s="174"/>
      <c r="Q2302" s="174"/>
      <c r="R2302" s="174"/>
      <c r="S2302" s="174"/>
      <c r="T2302" s="174"/>
      <c r="U2302" s="174"/>
      <c r="V2302" s="174"/>
      <c r="W2302" s="174"/>
      <c r="X2302" s="174"/>
      <c r="Y2302" s="174"/>
      <c r="Z2302" s="174"/>
    </row>
    <row r="2303">
      <c r="A2303" s="194"/>
      <c r="B2303" s="194"/>
      <c r="C2303" s="194"/>
      <c r="D2303" s="194"/>
      <c r="E2303" s="194"/>
      <c r="F2303" s="194"/>
      <c r="G2303" s="194"/>
      <c r="H2303" s="195"/>
      <c r="I2303" s="195"/>
      <c r="J2303" s="194"/>
      <c r="K2303" s="174"/>
      <c r="L2303" s="174"/>
      <c r="M2303" s="174"/>
      <c r="N2303" s="174"/>
      <c r="O2303" s="174"/>
      <c r="P2303" s="174"/>
      <c r="Q2303" s="174"/>
      <c r="R2303" s="174"/>
      <c r="S2303" s="174"/>
      <c r="T2303" s="174"/>
      <c r="U2303" s="174"/>
      <c r="V2303" s="174"/>
      <c r="W2303" s="174"/>
      <c r="X2303" s="174"/>
      <c r="Y2303" s="174"/>
      <c r="Z2303" s="174"/>
    </row>
    <row r="2304">
      <c r="A2304" s="194"/>
      <c r="B2304" s="194"/>
      <c r="C2304" s="194"/>
      <c r="D2304" s="194"/>
      <c r="E2304" s="194"/>
      <c r="F2304" s="194"/>
      <c r="G2304" s="194"/>
      <c r="H2304" s="195"/>
      <c r="I2304" s="195"/>
      <c r="J2304" s="194"/>
      <c r="K2304" s="174"/>
      <c r="L2304" s="174"/>
      <c r="M2304" s="174"/>
      <c r="N2304" s="174"/>
      <c r="O2304" s="174"/>
      <c r="P2304" s="174"/>
      <c r="Q2304" s="174"/>
      <c r="R2304" s="174"/>
      <c r="S2304" s="174"/>
      <c r="T2304" s="174"/>
      <c r="U2304" s="174"/>
      <c r="V2304" s="174"/>
      <c r="W2304" s="174"/>
      <c r="X2304" s="174"/>
      <c r="Y2304" s="174"/>
      <c r="Z2304" s="174"/>
    </row>
    <row r="2305">
      <c r="A2305" s="194"/>
      <c r="B2305" s="194"/>
      <c r="C2305" s="194"/>
      <c r="D2305" s="194"/>
      <c r="E2305" s="194"/>
      <c r="F2305" s="194"/>
      <c r="G2305" s="194"/>
      <c r="H2305" s="195"/>
      <c r="I2305" s="195"/>
      <c r="J2305" s="194"/>
      <c r="K2305" s="174"/>
      <c r="L2305" s="174"/>
      <c r="M2305" s="174"/>
      <c r="N2305" s="174"/>
      <c r="O2305" s="174"/>
      <c r="P2305" s="174"/>
      <c r="Q2305" s="174"/>
      <c r="R2305" s="174"/>
      <c r="S2305" s="174"/>
      <c r="T2305" s="174"/>
      <c r="U2305" s="174"/>
      <c r="V2305" s="174"/>
      <c r="W2305" s="174"/>
      <c r="X2305" s="174"/>
      <c r="Y2305" s="174"/>
      <c r="Z2305" s="174"/>
    </row>
    <row r="2306">
      <c r="A2306" s="194"/>
      <c r="B2306" s="194"/>
      <c r="C2306" s="194"/>
      <c r="D2306" s="194"/>
      <c r="E2306" s="194"/>
      <c r="F2306" s="194"/>
      <c r="G2306" s="194"/>
      <c r="H2306" s="195"/>
      <c r="I2306" s="195"/>
      <c r="J2306" s="194"/>
      <c r="K2306" s="174"/>
      <c r="L2306" s="174"/>
      <c r="M2306" s="174"/>
      <c r="N2306" s="174"/>
      <c r="O2306" s="174"/>
      <c r="P2306" s="174"/>
      <c r="Q2306" s="174"/>
      <c r="R2306" s="174"/>
      <c r="S2306" s="174"/>
      <c r="T2306" s="174"/>
      <c r="U2306" s="174"/>
      <c r="V2306" s="174"/>
      <c r="W2306" s="174"/>
      <c r="X2306" s="174"/>
      <c r="Y2306" s="174"/>
      <c r="Z2306" s="174"/>
    </row>
    <row r="2307">
      <c r="A2307" s="194"/>
      <c r="B2307" s="194"/>
      <c r="C2307" s="194"/>
      <c r="D2307" s="194"/>
      <c r="E2307" s="194"/>
      <c r="F2307" s="194"/>
      <c r="G2307" s="194"/>
      <c r="H2307" s="195"/>
      <c r="I2307" s="195"/>
      <c r="J2307" s="194"/>
      <c r="K2307" s="174"/>
      <c r="L2307" s="174"/>
      <c r="M2307" s="174"/>
      <c r="N2307" s="174"/>
      <c r="O2307" s="174"/>
      <c r="P2307" s="174"/>
      <c r="Q2307" s="174"/>
      <c r="R2307" s="174"/>
      <c r="S2307" s="174"/>
      <c r="T2307" s="174"/>
      <c r="U2307" s="174"/>
      <c r="V2307" s="174"/>
      <c r="W2307" s="174"/>
      <c r="X2307" s="174"/>
      <c r="Y2307" s="174"/>
      <c r="Z2307" s="174"/>
    </row>
    <row r="2308">
      <c r="A2308" s="194"/>
      <c r="B2308" s="194"/>
      <c r="C2308" s="194"/>
      <c r="D2308" s="194"/>
      <c r="E2308" s="194"/>
      <c r="F2308" s="194"/>
      <c r="G2308" s="194"/>
      <c r="H2308" s="195"/>
      <c r="I2308" s="195"/>
      <c r="J2308" s="194"/>
      <c r="K2308" s="174"/>
      <c r="L2308" s="174"/>
      <c r="M2308" s="174"/>
      <c r="N2308" s="174"/>
      <c r="O2308" s="174"/>
      <c r="P2308" s="174"/>
      <c r="Q2308" s="174"/>
      <c r="R2308" s="174"/>
      <c r="S2308" s="174"/>
      <c r="T2308" s="174"/>
      <c r="U2308" s="174"/>
      <c r="V2308" s="174"/>
      <c r="W2308" s="174"/>
      <c r="X2308" s="174"/>
      <c r="Y2308" s="174"/>
      <c r="Z2308" s="174"/>
    </row>
    <row r="2309">
      <c r="A2309" s="194"/>
      <c r="B2309" s="194"/>
      <c r="C2309" s="194"/>
      <c r="D2309" s="194"/>
      <c r="E2309" s="194"/>
      <c r="F2309" s="194"/>
      <c r="G2309" s="194"/>
      <c r="H2309" s="195"/>
      <c r="I2309" s="195"/>
      <c r="J2309" s="194"/>
      <c r="K2309" s="174"/>
      <c r="L2309" s="174"/>
      <c r="M2309" s="174"/>
      <c r="N2309" s="174"/>
      <c r="O2309" s="174"/>
      <c r="P2309" s="174"/>
      <c r="Q2309" s="174"/>
      <c r="R2309" s="174"/>
      <c r="S2309" s="174"/>
      <c r="T2309" s="174"/>
      <c r="U2309" s="174"/>
      <c r="V2309" s="174"/>
      <c r="W2309" s="174"/>
      <c r="X2309" s="174"/>
      <c r="Y2309" s="174"/>
      <c r="Z2309" s="174"/>
    </row>
    <row r="2310">
      <c r="A2310" s="194"/>
      <c r="B2310" s="194"/>
      <c r="C2310" s="194"/>
      <c r="D2310" s="194"/>
      <c r="E2310" s="194"/>
      <c r="F2310" s="194"/>
      <c r="G2310" s="194"/>
      <c r="H2310" s="195"/>
      <c r="I2310" s="195"/>
      <c r="J2310" s="194"/>
      <c r="K2310" s="174"/>
      <c r="L2310" s="174"/>
      <c r="M2310" s="174"/>
      <c r="N2310" s="174"/>
      <c r="O2310" s="174"/>
      <c r="P2310" s="174"/>
      <c r="Q2310" s="174"/>
      <c r="R2310" s="174"/>
      <c r="S2310" s="174"/>
      <c r="T2310" s="174"/>
      <c r="U2310" s="174"/>
      <c r="V2310" s="174"/>
      <c r="W2310" s="174"/>
      <c r="X2310" s="174"/>
      <c r="Y2310" s="174"/>
      <c r="Z2310" s="174"/>
    </row>
    <row r="2311">
      <c r="A2311" s="194"/>
      <c r="B2311" s="194"/>
      <c r="C2311" s="194"/>
      <c r="D2311" s="194"/>
      <c r="E2311" s="194"/>
      <c r="F2311" s="194"/>
      <c r="G2311" s="194"/>
      <c r="H2311" s="195"/>
      <c r="I2311" s="195"/>
      <c r="J2311" s="194"/>
      <c r="K2311" s="174"/>
      <c r="L2311" s="174"/>
      <c r="M2311" s="174"/>
      <c r="N2311" s="174"/>
      <c r="O2311" s="174"/>
      <c r="P2311" s="174"/>
      <c r="Q2311" s="174"/>
      <c r="R2311" s="174"/>
      <c r="S2311" s="174"/>
      <c r="T2311" s="174"/>
      <c r="U2311" s="174"/>
      <c r="V2311" s="174"/>
      <c r="W2311" s="174"/>
      <c r="X2311" s="174"/>
      <c r="Y2311" s="174"/>
      <c r="Z2311" s="174"/>
    </row>
    <row r="2312">
      <c r="A2312" s="194"/>
      <c r="B2312" s="194"/>
      <c r="C2312" s="194"/>
      <c r="D2312" s="194"/>
      <c r="E2312" s="194"/>
      <c r="F2312" s="194"/>
      <c r="G2312" s="194"/>
      <c r="H2312" s="195"/>
      <c r="I2312" s="195"/>
      <c r="J2312" s="194"/>
      <c r="K2312" s="174"/>
      <c r="L2312" s="174"/>
      <c r="M2312" s="174"/>
      <c r="N2312" s="174"/>
      <c r="O2312" s="174"/>
      <c r="P2312" s="174"/>
      <c r="Q2312" s="174"/>
      <c r="R2312" s="174"/>
      <c r="S2312" s="174"/>
      <c r="T2312" s="174"/>
      <c r="U2312" s="174"/>
      <c r="V2312" s="174"/>
      <c r="W2312" s="174"/>
      <c r="X2312" s="174"/>
      <c r="Y2312" s="174"/>
      <c r="Z2312" s="174"/>
    </row>
    <row r="2313">
      <c r="A2313" s="194"/>
      <c r="B2313" s="194"/>
      <c r="C2313" s="194"/>
      <c r="D2313" s="194"/>
      <c r="E2313" s="194"/>
      <c r="F2313" s="194"/>
      <c r="G2313" s="194"/>
      <c r="H2313" s="195"/>
      <c r="I2313" s="195"/>
      <c r="J2313" s="194"/>
      <c r="K2313" s="174"/>
      <c r="L2313" s="174"/>
      <c r="M2313" s="174"/>
      <c r="N2313" s="174"/>
      <c r="O2313" s="174"/>
      <c r="P2313" s="174"/>
      <c r="Q2313" s="174"/>
      <c r="R2313" s="174"/>
      <c r="S2313" s="174"/>
      <c r="T2313" s="174"/>
      <c r="U2313" s="174"/>
      <c r="V2313" s="174"/>
      <c r="W2313" s="174"/>
      <c r="X2313" s="174"/>
      <c r="Y2313" s="174"/>
      <c r="Z2313" s="174"/>
    </row>
    <row r="2314">
      <c r="A2314" s="194"/>
      <c r="B2314" s="194"/>
      <c r="C2314" s="194"/>
      <c r="D2314" s="194"/>
      <c r="E2314" s="194"/>
      <c r="F2314" s="194"/>
      <c r="G2314" s="194"/>
      <c r="H2314" s="195"/>
      <c r="I2314" s="195"/>
      <c r="J2314" s="194"/>
      <c r="K2314" s="174"/>
      <c r="L2314" s="174"/>
      <c r="M2314" s="174"/>
      <c r="N2314" s="174"/>
      <c r="O2314" s="174"/>
      <c r="P2314" s="174"/>
      <c r="Q2314" s="174"/>
      <c r="R2314" s="174"/>
      <c r="S2314" s="174"/>
      <c r="T2314" s="174"/>
      <c r="U2314" s="174"/>
      <c r="V2314" s="174"/>
      <c r="W2314" s="174"/>
      <c r="X2314" s="174"/>
      <c r="Y2314" s="174"/>
      <c r="Z2314" s="174"/>
    </row>
    <row r="2315">
      <c r="A2315" s="194"/>
      <c r="B2315" s="194"/>
      <c r="C2315" s="194"/>
      <c r="D2315" s="194"/>
      <c r="E2315" s="194"/>
      <c r="F2315" s="194"/>
      <c r="G2315" s="194"/>
      <c r="H2315" s="195"/>
      <c r="I2315" s="195"/>
      <c r="J2315" s="194"/>
      <c r="K2315" s="174"/>
      <c r="L2315" s="174"/>
      <c r="M2315" s="174"/>
      <c r="N2315" s="174"/>
      <c r="O2315" s="174"/>
      <c r="P2315" s="174"/>
      <c r="Q2315" s="174"/>
      <c r="R2315" s="174"/>
      <c r="S2315" s="174"/>
      <c r="T2315" s="174"/>
      <c r="U2315" s="174"/>
      <c r="V2315" s="174"/>
      <c r="W2315" s="174"/>
      <c r="X2315" s="174"/>
      <c r="Y2315" s="174"/>
      <c r="Z2315" s="174"/>
    </row>
    <row r="2316">
      <c r="A2316" s="194"/>
      <c r="B2316" s="194"/>
      <c r="C2316" s="194"/>
      <c r="D2316" s="194"/>
      <c r="E2316" s="194"/>
      <c r="F2316" s="194"/>
      <c r="G2316" s="194"/>
      <c r="H2316" s="195"/>
      <c r="I2316" s="195"/>
      <c r="J2316" s="194"/>
      <c r="K2316" s="174"/>
      <c r="L2316" s="174"/>
      <c r="M2316" s="174"/>
      <c r="N2316" s="174"/>
      <c r="O2316" s="174"/>
      <c r="P2316" s="174"/>
      <c r="Q2316" s="174"/>
      <c r="R2316" s="174"/>
      <c r="S2316" s="174"/>
      <c r="T2316" s="174"/>
      <c r="U2316" s="174"/>
      <c r="V2316" s="174"/>
      <c r="W2316" s="174"/>
      <c r="X2316" s="174"/>
      <c r="Y2316" s="174"/>
      <c r="Z2316" s="174"/>
    </row>
    <row r="2317">
      <c r="A2317" s="194"/>
      <c r="B2317" s="194"/>
      <c r="C2317" s="194"/>
      <c r="D2317" s="194"/>
      <c r="E2317" s="194"/>
      <c r="F2317" s="194"/>
      <c r="G2317" s="194"/>
      <c r="H2317" s="195"/>
      <c r="I2317" s="195"/>
      <c r="J2317" s="194"/>
      <c r="K2317" s="174"/>
      <c r="L2317" s="174"/>
      <c r="M2317" s="174"/>
      <c r="N2317" s="174"/>
      <c r="O2317" s="174"/>
      <c r="P2317" s="174"/>
      <c r="Q2317" s="174"/>
      <c r="R2317" s="174"/>
      <c r="S2317" s="174"/>
      <c r="T2317" s="174"/>
      <c r="U2317" s="174"/>
      <c r="V2317" s="174"/>
      <c r="W2317" s="174"/>
      <c r="X2317" s="174"/>
      <c r="Y2317" s="174"/>
      <c r="Z2317" s="174"/>
    </row>
    <row r="2318">
      <c r="A2318" s="194"/>
      <c r="B2318" s="194"/>
      <c r="C2318" s="194"/>
      <c r="D2318" s="194"/>
      <c r="E2318" s="194"/>
      <c r="F2318" s="194"/>
      <c r="G2318" s="194"/>
      <c r="H2318" s="195"/>
      <c r="I2318" s="195"/>
      <c r="J2318" s="194"/>
      <c r="K2318" s="174"/>
      <c r="L2318" s="174"/>
      <c r="M2318" s="174"/>
      <c r="N2318" s="174"/>
      <c r="O2318" s="174"/>
      <c r="P2318" s="174"/>
      <c r="Q2318" s="174"/>
      <c r="R2318" s="174"/>
      <c r="S2318" s="174"/>
      <c r="T2318" s="174"/>
      <c r="U2318" s="174"/>
      <c r="V2318" s="174"/>
      <c r="W2318" s="174"/>
      <c r="X2318" s="174"/>
      <c r="Y2318" s="174"/>
      <c r="Z2318" s="174"/>
    </row>
    <row r="2319">
      <c r="A2319" s="194"/>
      <c r="B2319" s="194"/>
      <c r="C2319" s="194"/>
      <c r="D2319" s="194"/>
      <c r="E2319" s="194"/>
      <c r="F2319" s="194"/>
      <c r="G2319" s="194"/>
      <c r="H2319" s="195"/>
      <c r="I2319" s="195"/>
      <c r="J2319" s="194"/>
      <c r="K2319" s="174"/>
      <c r="L2319" s="174"/>
      <c r="M2319" s="174"/>
      <c r="N2319" s="174"/>
      <c r="O2319" s="174"/>
      <c r="P2319" s="174"/>
      <c r="Q2319" s="174"/>
      <c r="R2319" s="174"/>
      <c r="S2319" s="174"/>
      <c r="T2319" s="174"/>
      <c r="U2319" s="174"/>
      <c r="V2319" s="174"/>
      <c r="W2319" s="174"/>
      <c r="X2319" s="174"/>
      <c r="Y2319" s="174"/>
      <c r="Z2319" s="174"/>
    </row>
    <row r="2320">
      <c r="A2320" s="194"/>
      <c r="B2320" s="194"/>
      <c r="C2320" s="194"/>
      <c r="D2320" s="194"/>
      <c r="E2320" s="194"/>
      <c r="F2320" s="194"/>
      <c r="G2320" s="194"/>
      <c r="H2320" s="195"/>
      <c r="I2320" s="195"/>
      <c r="J2320" s="194"/>
      <c r="K2320" s="174"/>
      <c r="L2320" s="174"/>
      <c r="M2320" s="174"/>
      <c r="N2320" s="174"/>
      <c r="O2320" s="174"/>
      <c r="P2320" s="174"/>
      <c r="Q2320" s="174"/>
      <c r="R2320" s="174"/>
      <c r="S2320" s="174"/>
      <c r="T2320" s="174"/>
      <c r="U2320" s="174"/>
      <c r="V2320" s="174"/>
      <c r="W2320" s="174"/>
      <c r="X2320" s="174"/>
      <c r="Y2320" s="174"/>
      <c r="Z2320" s="174"/>
    </row>
    <row r="2321">
      <c r="A2321" s="194"/>
      <c r="B2321" s="194"/>
      <c r="C2321" s="194"/>
      <c r="D2321" s="194"/>
      <c r="E2321" s="194"/>
      <c r="F2321" s="194"/>
      <c r="G2321" s="194"/>
      <c r="H2321" s="195"/>
      <c r="I2321" s="195"/>
      <c r="J2321" s="194"/>
      <c r="K2321" s="174"/>
      <c r="L2321" s="174"/>
      <c r="M2321" s="174"/>
      <c r="N2321" s="174"/>
      <c r="O2321" s="174"/>
      <c r="P2321" s="174"/>
      <c r="Q2321" s="174"/>
      <c r="R2321" s="174"/>
      <c r="S2321" s="174"/>
      <c r="T2321" s="174"/>
      <c r="U2321" s="174"/>
      <c r="V2321" s="174"/>
      <c r="W2321" s="174"/>
      <c r="X2321" s="174"/>
      <c r="Y2321" s="174"/>
      <c r="Z2321" s="174"/>
    </row>
    <row r="2322">
      <c r="A2322" s="194"/>
      <c r="B2322" s="194"/>
      <c r="C2322" s="194"/>
      <c r="D2322" s="194"/>
      <c r="E2322" s="194"/>
      <c r="F2322" s="194"/>
      <c r="G2322" s="194"/>
      <c r="H2322" s="195"/>
      <c r="I2322" s="195"/>
      <c r="J2322" s="194"/>
      <c r="K2322" s="174"/>
      <c r="L2322" s="174"/>
      <c r="M2322" s="174"/>
      <c r="N2322" s="174"/>
      <c r="O2322" s="174"/>
      <c r="P2322" s="174"/>
      <c r="Q2322" s="174"/>
      <c r="R2322" s="174"/>
      <c r="S2322" s="174"/>
      <c r="T2322" s="174"/>
      <c r="U2322" s="174"/>
      <c r="V2322" s="174"/>
      <c r="W2322" s="174"/>
      <c r="X2322" s="174"/>
      <c r="Y2322" s="174"/>
      <c r="Z2322" s="174"/>
    </row>
    <row r="2323">
      <c r="A2323" s="194"/>
      <c r="B2323" s="194"/>
      <c r="C2323" s="194"/>
      <c r="D2323" s="194"/>
      <c r="E2323" s="194"/>
      <c r="F2323" s="194"/>
      <c r="G2323" s="194"/>
      <c r="H2323" s="195"/>
      <c r="I2323" s="195"/>
      <c r="J2323" s="194"/>
      <c r="K2323" s="174"/>
      <c r="L2323" s="174"/>
      <c r="M2323" s="174"/>
      <c r="N2323" s="174"/>
      <c r="O2323" s="174"/>
      <c r="P2323" s="174"/>
      <c r="Q2323" s="174"/>
      <c r="R2323" s="174"/>
      <c r="S2323" s="174"/>
      <c r="T2323" s="174"/>
      <c r="U2323" s="174"/>
      <c r="V2323" s="174"/>
      <c r="W2323" s="174"/>
      <c r="X2323" s="174"/>
      <c r="Y2323" s="174"/>
      <c r="Z2323" s="174"/>
    </row>
    <row r="2324">
      <c r="A2324" s="194"/>
      <c r="B2324" s="194"/>
      <c r="C2324" s="194"/>
      <c r="D2324" s="194"/>
      <c r="E2324" s="194"/>
      <c r="F2324" s="194"/>
      <c r="G2324" s="194"/>
      <c r="H2324" s="195"/>
      <c r="I2324" s="195"/>
      <c r="J2324" s="194"/>
      <c r="K2324" s="174"/>
      <c r="L2324" s="174"/>
      <c r="M2324" s="174"/>
      <c r="N2324" s="174"/>
      <c r="O2324" s="174"/>
      <c r="P2324" s="174"/>
      <c r="Q2324" s="174"/>
      <c r="R2324" s="174"/>
      <c r="S2324" s="174"/>
      <c r="T2324" s="174"/>
      <c r="U2324" s="174"/>
      <c r="V2324" s="174"/>
      <c r="W2324" s="174"/>
      <c r="X2324" s="174"/>
      <c r="Y2324" s="174"/>
      <c r="Z2324" s="174"/>
    </row>
    <row r="2325">
      <c r="A2325" s="194"/>
      <c r="B2325" s="194"/>
      <c r="C2325" s="194"/>
      <c r="D2325" s="194"/>
      <c r="E2325" s="194"/>
      <c r="F2325" s="194"/>
      <c r="G2325" s="194"/>
      <c r="H2325" s="195"/>
      <c r="I2325" s="195"/>
      <c r="J2325" s="194"/>
      <c r="K2325" s="174"/>
      <c r="L2325" s="174"/>
      <c r="M2325" s="174"/>
      <c r="N2325" s="174"/>
      <c r="O2325" s="174"/>
      <c r="P2325" s="174"/>
      <c r="Q2325" s="174"/>
      <c r="R2325" s="174"/>
      <c r="S2325" s="174"/>
      <c r="T2325" s="174"/>
      <c r="U2325" s="174"/>
      <c r="V2325" s="174"/>
      <c r="W2325" s="174"/>
      <c r="X2325" s="174"/>
      <c r="Y2325" s="174"/>
      <c r="Z2325" s="174"/>
    </row>
    <row r="2326">
      <c r="A2326" s="194"/>
      <c r="B2326" s="194"/>
      <c r="C2326" s="194"/>
      <c r="D2326" s="194"/>
      <c r="E2326" s="194"/>
      <c r="F2326" s="194"/>
      <c r="G2326" s="194"/>
      <c r="H2326" s="195"/>
      <c r="I2326" s="195"/>
      <c r="J2326" s="194"/>
      <c r="K2326" s="174"/>
      <c r="L2326" s="174"/>
      <c r="M2326" s="174"/>
      <c r="N2326" s="174"/>
      <c r="O2326" s="174"/>
      <c r="P2326" s="174"/>
      <c r="Q2326" s="174"/>
      <c r="R2326" s="174"/>
      <c r="S2326" s="174"/>
      <c r="T2326" s="174"/>
      <c r="U2326" s="174"/>
      <c r="V2326" s="174"/>
      <c r="W2326" s="174"/>
      <c r="X2326" s="174"/>
      <c r="Y2326" s="174"/>
      <c r="Z2326" s="174"/>
    </row>
    <row r="2327">
      <c r="A2327" s="194"/>
      <c r="B2327" s="194"/>
      <c r="C2327" s="194"/>
      <c r="D2327" s="194"/>
      <c r="E2327" s="194"/>
      <c r="F2327" s="194"/>
      <c r="G2327" s="194"/>
      <c r="H2327" s="195"/>
      <c r="I2327" s="195"/>
      <c r="J2327" s="194"/>
      <c r="K2327" s="174"/>
      <c r="L2327" s="174"/>
      <c r="M2327" s="174"/>
      <c r="N2327" s="174"/>
      <c r="O2327" s="174"/>
      <c r="P2327" s="174"/>
      <c r="Q2327" s="174"/>
      <c r="R2327" s="174"/>
      <c r="S2327" s="174"/>
      <c r="T2327" s="174"/>
      <c r="U2327" s="174"/>
      <c r="V2327" s="174"/>
      <c r="W2327" s="174"/>
      <c r="X2327" s="174"/>
      <c r="Y2327" s="174"/>
      <c r="Z2327" s="174"/>
    </row>
    <row r="2328">
      <c r="A2328" s="194"/>
      <c r="B2328" s="194"/>
      <c r="C2328" s="194"/>
      <c r="D2328" s="194"/>
      <c r="E2328" s="194"/>
      <c r="F2328" s="194"/>
      <c r="G2328" s="194"/>
      <c r="H2328" s="195"/>
      <c r="I2328" s="195"/>
      <c r="J2328" s="194"/>
      <c r="K2328" s="174"/>
      <c r="L2328" s="174"/>
      <c r="M2328" s="174"/>
      <c r="N2328" s="174"/>
      <c r="O2328" s="174"/>
      <c r="P2328" s="174"/>
      <c r="Q2328" s="174"/>
      <c r="R2328" s="174"/>
      <c r="S2328" s="174"/>
      <c r="T2328" s="174"/>
      <c r="U2328" s="174"/>
      <c r="V2328" s="174"/>
      <c r="W2328" s="174"/>
      <c r="X2328" s="174"/>
      <c r="Y2328" s="174"/>
      <c r="Z2328" s="174"/>
    </row>
    <row r="2329">
      <c r="A2329" s="194"/>
      <c r="B2329" s="194"/>
      <c r="C2329" s="194"/>
      <c r="D2329" s="194"/>
      <c r="E2329" s="194"/>
      <c r="F2329" s="194"/>
      <c r="G2329" s="194"/>
      <c r="H2329" s="195"/>
      <c r="I2329" s="195"/>
      <c r="J2329" s="194"/>
      <c r="K2329" s="174"/>
      <c r="L2329" s="174"/>
      <c r="M2329" s="174"/>
      <c r="N2329" s="174"/>
      <c r="O2329" s="174"/>
      <c r="P2329" s="174"/>
      <c r="Q2329" s="174"/>
      <c r="R2329" s="174"/>
      <c r="S2329" s="174"/>
      <c r="T2329" s="174"/>
      <c r="U2329" s="174"/>
      <c r="V2329" s="174"/>
      <c r="W2329" s="174"/>
      <c r="X2329" s="174"/>
      <c r="Y2329" s="174"/>
      <c r="Z2329" s="174"/>
    </row>
    <row r="2330">
      <c r="A2330" s="194"/>
      <c r="B2330" s="194"/>
      <c r="C2330" s="194"/>
      <c r="D2330" s="194"/>
      <c r="E2330" s="194"/>
      <c r="F2330" s="194"/>
      <c r="G2330" s="194"/>
      <c r="H2330" s="195"/>
      <c r="I2330" s="195"/>
      <c r="J2330" s="194"/>
      <c r="K2330" s="174"/>
      <c r="L2330" s="174"/>
      <c r="M2330" s="174"/>
      <c r="N2330" s="174"/>
      <c r="O2330" s="174"/>
      <c r="P2330" s="174"/>
      <c r="Q2330" s="174"/>
      <c r="R2330" s="174"/>
      <c r="S2330" s="174"/>
      <c r="T2330" s="174"/>
      <c r="U2330" s="174"/>
      <c r="V2330" s="174"/>
      <c r="W2330" s="174"/>
      <c r="X2330" s="174"/>
      <c r="Y2330" s="174"/>
      <c r="Z2330" s="174"/>
    </row>
    <row r="2331">
      <c r="A2331" s="194"/>
      <c r="B2331" s="194"/>
      <c r="C2331" s="194"/>
      <c r="D2331" s="194"/>
      <c r="E2331" s="194"/>
      <c r="F2331" s="194"/>
      <c r="G2331" s="194"/>
      <c r="H2331" s="195"/>
      <c r="I2331" s="195"/>
      <c r="J2331" s="194"/>
      <c r="K2331" s="174"/>
      <c r="L2331" s="174"/>
      <c r="M2331" s="174"/>
      <c r="N2331" s="174"/>
      <c r="O2331" s="174"/>
      <c r="P2331" s="174"/>
      <c r="Q2331" s="174"/>
      <c r="R2331" s="174"/>
      <c r="S2331" s="174"/>
      <c r="T2331" s="174"/>
      <c r="U2331" s="174"/>
      <c r="V2331" s="174"/>
      <c r="W2331" s="174"/>
      <c r="X2331" s="174"/>
      <c r="Y2331" s="174"/>
      <c r="Z2331" s="174"/>
    </row>
    <row r="2332">
      <c r="A2332" s="194"/>
      <c r="B2332" s="194"/>
      <c r="C2332" s="194"/>
      <c r="D2332" s="194"/>
      <c r="E2332" s="194"/>
      <c r="F2332" s="194"/>
      <c r="G2332" s="194"/>
      <c r="H2332" s="195"/>
      <c r="I2332" s="195"/>
      <c r="J2332" s="194"/>
      <c r="K2332" s="174"/>
      <c r="L2332" s="174"/>
      <c r="M2332" s="174"/>
      <c r="N2332" s="174"/>
      <c r="O2332" s="174"/>
      <c r="P2332" s="174"/>
      <c r="Q2332" s="174"/>
      <c r="R2332" s="174"/>
      <c r="S2332" s="174"/>
      <c r="T2332" s="174"/>
      <c r="U2332" s="174"/>
      <c r="V2332" s="174"/>
      <c r="W2332" s="174"/>
      <c r="X2332" s="174"/>
      <c r="Y2332" s="174"/>
      <c r="Z2332" s="174"/>
    </row>
    <row r="2333">
      <c r="A2333" s="194"/>
      <c r="B2333" s="194"/>
      <c r="C2333" s="194"/>
      <c r="D2333" s="194"/>
      <c r="E2333" s="194"/>
      <c r="F2333" s="194"/>
      <c r="G2333" s="194"/>
      <c r="H2333" s="195"/>
      <c r="I2333" s="195"/>
      <c r="J2333" s="194"/>
      <c r="K2333" s="174"/>
      <c r="L2333" s="174"/>
      <c r="M2333" s="174"/>
      <c r="N2333" s="174"/>
      <c r="O2333" s="174"/>
      <c r="P2333" s="174"/>
      <c r="Q2333" s="174"/>
      <c r="R2333" s="174"/>
      <c r="S2333" s="174"/>
      <c r="T2333" s="174"/>
      <c r="U2333" s="174"/>
      <c r="V2333" s="174"/>
      <c r="W2333" s="174"/>
      <c r="X2333" s="174"/>
      <c r="Y2333" s="174"/>
      <c r="Z2333" s="174"/>
    </row>
    <row r="2334">
      <c r="A2334" s="194"/>
      <c r="B2334" s="194"/>
      <c r="C2334" s="194"/>
      <c r="D2334" s="194"/>
      <c r="E2334" s="194"/>
      <c r="F2334" s="194"/>
      <c r="G2334" s="194"/>
      <c r="H2334" s="195"/>
      <c r="I2334" s="195"/>
      <c r="J2334" s="194"/>
      <c r="K2334" s="174"/>
      <c r="L2334" s="174"/>
      <c r="M2334" s="174"/>
      <c r="N2334" s="174"/>
      <c r="O2334" s="174"/>
      <c r="P2334" s="174"/>
      <c r="Q2334" s="174"/>
      <c r="R2334" s="174"/>
      <c r="S2334" s="174"/>
      <c r="T2334" s="174"/>
      <c r="U2334" s="174"/>
      <c r="V2334" s="174"/>
      <c r="W2334" s="174"/>
      <c r="X2334" s="174"/>
      <c r="Y2334" s="174"/>
      <c r="Z2334" s="174"/>
    </row>
    <row r="2335">
      <c r="A2335" s="194"/>
      <c r="B2335" s="194"/>
      <c r="C2335" s="194"/>
      <c r="D2335" s="194"/>
      <c r="E2335" s="194"/>
      <c r="F2335" s="194"/>
      <c r="G2335" s="194"/>
      <c r="H2335" s="195"/>
      <c r="I2335" s="195"/>
      <c r="J2335" s="194"/>
      <c r="K2335" s="174"/>
      <c r="L2335" s="174"/>
      <c r="M2335" s="174"/>
      <c r="N2335" s="174"/>
      <c r="O2335" s="174"/>
      <c r="P2335" s="174"/>
      <c r="Q2335" s="174"/>
      <c r="R2335" s="174"/>
      <c r="S2335" s="174"/>
      <c r="T2335" s="174"/>
      <c r="U2335" s="174"/>
      <c r="V2335" s="174"/>
      <c r="W2335" s="174"/>
      <c r="X2335" s="174"/>
      <c r="Y2335" s="174"/>
      <c r="Z2335" s="174"/>
    </row>
    <row r="2336">
      <c r="A2336" s="194"/>
      <c r="B2336" s="194"/>
      <c r="C2336" s="194"/>
      <c r="D2336" s="194"/>
      <c r="E2336" s="194"/>
      <c r="F2336" s="194"/>
      <c r="G2336" s="194"/>
      <c r="H2336" s="195"/>
      <c r="I2336" s="195"/>
      <c r="J2336" s="194"/>
      <c r="K2336" s="174"/>
      <c r="L2336" s="174"/>
      <c r="M2336" s="174"/>
      <c r="N2336" s="174"/>
      <c r="O2336" s="174"/>
      <c r="P2336" s="174"/>
      <c r="Q2336" s="174"/>
      <c r="R2336" s="174"/>
      <c r="S2336" s="174"/>
      <c r="T2336" s="174"/>
      <c r="U2336" s="174"/>
      <c r="V2336" s="174"/>
      <c r="W2336" s="174"/>
      <c r="X2336" s="174"/>
      <c r="Y2336" s="174"/>
      <c r="Z2336" s="174"/>
    </row>
    <row r="2337">
      <c r="A2337" s="194"/>
      <c r="B2337" s="194"/>
      <c r="C2337" s="194"/>
      <c r="D2337" s="194"/>
      <c r="E2337" s="194"/>
      <c r="F2337" s="194"/>
      <c r="G2337" s="194"/>
      <c r="H2337" s="195"/>
      <c r="I2337" s="195"/>
      <c r="J2337" s="194"/>
      <c r="K2337" s="174"/>
      <c r="L2337" s="174"/>
      <c r="M2337" s="174"/>
      <c r="N2337" s="174"/>
      <c r="O2337" s="174"/>
      <c r="P2337" s="174"/>
      <c r="Q2337" s="174"/>
      <c r="R2337" s="174"/>
      <c r="S2337" s="174"/>
      <c r="T2337" s="174"/>
      <c r="U2337" s="174"/>
      <c r="V2337" s="174"/>
      <c r="W2337" s="174"/>
      <c r="X2337" s="174"/>
      <c r="Y2337" s="174"/>
      <c r="Z2337" s="174"/>
    </row>
    <row r="2338">
      <c r="A2338" s="194"/>
      <c r="B2338" s="194"/>
      <c r="C2338" s="194"/>
      <c r="D2338" s="194"/>
      <c r="E2338" s="194"/>
      <c r="F2338" s="194"/>
      <c r="G2338" s="194"/>
      <c r="H2338" s="195"/>
      <c r="I2338" s="195"/>
      <c r="J2338" s="194"/>
      <c r="K2338" s="174"/>
      <c r="L2338" s="174"/>
      <c r="M2338" s="174"/>
      <c r="N2338" s="174"/>
      <c r="O2338" s="174"/>
      <c r="P2338" s="174"/>
      <c r="Q2338" s="174"/>
      <c r="R2338" s="174"/>
      <c r="S2338" s="174"/>
      <c r="T2338" s="174"/>
      <c r="U2338" s="174"/>
      <c r="V2338" s="174"/>
      <c r="W2338" s="174"/>
      <c r="X2338" s="174"/>
      <c r="Y2338" s="174"/>
      <c r="Z2338" s="174"/>
    </row>
    <row r="2339">
      <c r="A2339" s="194"/>
      <c r="B2339" s="194"/>
      <c r="C2339" s="194"/>
      <c r="D2339" s="194"/>
      <c r="E2339" s="194"/>
      <c r="F2339" s="194"/>
      <c r="G2339" s="194"/>
      <c r="H2339" s="195"/>
      <c r="I2339" s="195"/>
      <c r="J2339" s="194"/>
      <c r="K2339" s="174"/>
      <c r="L2339" s="174"/>
      <c r="M2339" s="174"/>
      <c r="N2339" s="174"/>
      <c r="O2339" s="174"/>
      <c r="P2339" s="174"/>
      <c r="Q2339" s="174"/>
      <c r="R2339" s="174"/>
      <c r="S2339" s="174"/>
      <c r="T2339" s="174"/>
      <c r="U2339" s="174"/>
      <c r="V2339" s="174"/>
      <c r="W2339" s="174"/>
      <c r="X2339" s="174"/>
      <c r="Y2339" s="174"/>
      <c r="Z2339" s="174"/>
    </row>
    <row r="2340">
      <c r="A2340" s="194"/>
      <c r="B2340" s="194"/>
      <c r="C2340" s="194"/>
      <c r="D2340" s="194"/>
      <c r="E2340" s="194"/>
      <c r="F2340" s="194"/>
      <c r="G2340" s="194"/>
      <c r="H2340" s="195"/>
      <c r="I2340" s="195"/>
      <c r="J2340" s="194"/>
      <c r="K2340" s="174"/>
      <c r="L2340" s="174"/>
      <c r="M2340" s="174"/>
      <c r="N2340" s="174"/>
      <c r="O2340" s="174"/>
      <c r="P2340" s="174"/>
      <c r="Q2340" s="174"/>
      <c r="R2340" s="174"/>
      <c r="S2340" s="174"/>
      <c r="T2340" s="174"/>
      <c r="U2340" s="174"/>
      <c r="V2340" s="174"/>
      <c r="W2340" s="174"/>
      <c r="X2340" s="174"/>
      <c r="Y2340" s="174"/>
      <c r="Z2340" s="174"/>
    </row>
    <row r="2341">
      <c r="A2341" s="194"/>
      <c r="B2341" s="194"/>
      <c r="C2341" s="194"/>
      <c r="D2341" s="194"/>
      <c r="E2341" s="194"/>
      <c r="F2341" s="194"/>
      <c r="G2341" s="194"/>
      <c r="H2341" s="195"/>
      <c r="I2341" s="195"/>
      <c r="J2341" s="194"/>
      <c r="K2341" s="174"/>
      <c r="L2341" s="174"/>
      <c r="M2341" s="174"/>
      <c r="N2341" s="174"/>
      <c r="O2341" s="174"/>
      <c r="P2341" s="174"/>
      <c r="Q2341" s="174"/>
      <c r="R2341" s="174"/>
      <c r="S2341" s="174"/>
      <c r="T2341" s="174"/>
      <c r="U2341" s="174"/>
      <c r="V2341" s="174"/>
      <c r="W2341" s="174"/>
      <c r="X2341" s="174"/>
      <c r="Y2341" s="174"/>
      <c r="Z2341" s="174"/>
    </row>
    <row r="2342">
      <c r="A2342" s="194"/>
      <c r="B2342" s="194"/>
      <c r="C2342" s="194"/>
      <c r="D2342" s="194"/>
      <c r="E2342" s="194"/>
      <c r="F2342" s="194"/>
      <c r="G2342" s="194"/>
      <c r="H2342" s="195"/>
      <c r="I2342" s="195"/>
      <c r="J2342" s="194"/>
      <c r="K2342" s="174"/>
      <c r="L2342" s="174"/>
      <c r="M2342" s="174"/>
      <c r="N2342" s="174"/>
      <c r="O2342" s="174"/>
      <c r="P2342" s="174"/>
      <c r="Q2342" s="174"/>
      <c r="R2342" s="174"/>
      <c r="S2342" s="174"/>
      <c r="T2342" s="174"/>
      <c r="U2342" s="174"/>
      <c r="V2342" s="174"/>
      <c r="W2342" s="174"/>
      <c r="X2342" s="174"/>
      <c r="Y2342" s="174"/>
      <c r="Z2342" s="174"/>
    </row>
    <row r="2343">
      <c r="A2343" s="194"/>
      <c r="B2343" s="194"/>
      <c r="C2343" s="194"/>
      <c r="D2343" s="194"/>
      <c r="E2343" s="194"/>
      <c r="F2343" s="194"/>
      <c r="G2343" s="194"/>
      <c r="H2343" s="195"/>
      <c r="I2343" s="195"/>
      <c r="J2343" s="194"/>
      <c r="K2343" s="174"/>
      <c r="L2343" s="174"/>
      <c r="M2343" s="174"/>
      <c r="N2343" s="174"/>
      <c r="O2343" s="174"/>
      <c r="P2343" s="174"/>
      <c r="Q2343" s="174"/>
      <c r="R2343" s="174"/>
      <c r="S2343" s="174"/>
      <c r="T2343" s="174"/>
      <c r="U2343" s="174"/>
      <c r="V2343" s="174"/>
      <c r="W2343" s="174"/>
      <c r="X2343" s="174"/>
      <c r="Y2343" s="174"/>
      <c r="Z2343" s="174"/>
    </row>
    <row r="2344">
      <c r="A2344" s="194"/>
      <c r="B2344" s="194"/>
      <c r="C2344" s="194"/>
      <c r="D2344" s="194"/>
      <c r="E2344" s="194"/>
      <c r="F2344" s="194"/>
      <c r="G2344" s="194"/>
      <c r="H2344" s="195"/>
      <c r="I2344" s="195"/>
      <c r="J2344" s="194"/>
      <c r="K2344" s="174"/>
      <c r="L2344" s="174"/>
      <c r="M2344" s="174"/>
      <c r="N2344" s="174"/>
      <c r="O2344" s="174"/>
      <c r="P2344" s="174"/>
      <c r="Q2344" s="174"/>
      <c r="R2344" s="174"/>
      <c r="S2344" s="174"/>
      <c r="T2344" s="174"/>
      <c r="U2344" s="174"/>
      <c r="V2344" s="174"/>
      <c r="W2344" s="174"/>
      <c r="X2344" s="174"/>
      <c r="Y2344" s="174"/>
      <c r="Z2344" s="174"/>
    </row>
    <row r="2345">
      <c r="A2345" s="194"/>
      <c r="B2345" s="194"/>
      <c r="C2345" s="194"/>
      <c r="D2345" s="194"/>
      <c r="E2345" s="194"/>
      <c r="F2345" s="194"/>
      <c r="G2345" s="194"/>
      <c r="H2345" s="195"/>
      <c r="I2345" s="195"/>
      <c r="J2345" s="194"/>
      <c r="K2345" s="174"/>
      <c r="L2345" s="174"/>
      <c r="M2345" s="174"/>
      <c r="N2345" s="174"/>
      <c r="O2345" s="174"/>
      <c r="P2345" s="174"/>
      <c r="Q2345" s="174"/>
      <c r="R2345" s="174"/>
      <c r="S2345" s="174"/>
      <c r="T2345" s="174"/>
      <c r="U2345" s="174"/>
      <c r="V2345" s="174"/>
      <c r="W2345" s="174"/>
      <c r="X2345" s="174"/>
      <c r="Y2345" s="174"/>
      <c r="Z2345" s="174"/>
    </row>
    <row r="2346">
      <c r="A2346" s="194"/>
      <c r="B2346" s="194"/>
      <c r="C2346" s="194"/>
      <c r="D2346" s="194"/>
      <c r="E2346" s="194"/>
      <c r="F2346" s="194"/>
      <c r="G2346" s="194"/>
      <c r="H2346" s="195"/>
      <c r="I2346" s="195"/>
      <c r="J2346" s="194"/>
      <c r="K2346" s="174"/>
      <c r="L2346" s="174"/>
      <c r="M2346" s="174"/>
      <c r="N2346" s="174"/>
      <c r="O2346" s="174"/>
      <c r="P2346" s="174"/>
      <c r="Q2346" s="174"/>
      <c r="R2346" s="174"/>
      <c r="S2346" s="174"/>
      <c r="T2346" s="174"/>
      <c r="U2346" s="174"/>
      <c r="V2346" s="174"/>
      <c r="W2346" s="174"/>
      <c r="X2346" s="174"/>
      <c r="Y2346" s="174"/>
      <c r="Z2346" s="174"/>
    </row>
    <row r="2347">
      <c r="A2347" s="194"/>
      <c r="B2347" s="194"/>
      <c r="C2347" s="194"/>
      <c r="D2347" s="194"/>
      <c r="E2347" s="194"/>
      <c r="F2347" s="194"/>
      <c r="G2347" s="194"/>
      <c r="H2347" s="195"/>
      <c r="I2347" s="195"/>
      <c r="J2347" s="194"/>
      <c r="K2347" s="174"/>
      <c r="L2347" s="174"/>
      <c r="M2347" s="174"/>
      <c r="N2347" s="174"/>
      <c r="O2347" s="174"/>
      <c r="P2347" s="174"/>
      <c r="Q2347" s="174"/>
      <c r="R2347" s="174"/>
      <c r="S2347" s="174"/>
      <c r="T2347" s="174"/>
      <c r="U2347" s="174"/>
      <c r="V2347" s="174"/>
      <c r="W2347" s="174"/>
      <c r="X2347" s="174"/>
      <c r="Y2347" s="174"/>
      <c r="Z2347" s="174"/>
    </row>
    <row r="2348">
      <c r="A2348" s="194"/>
      <c r="B2348" s="194"/>
      <c r="C2348" s="194"/>
      <c r="D2348" s="194"/>
      <c r="E2348" s="194"/>
      <c r="F2348" s="194"/>
      <c r="G2348" s="194"/>
      <c r="H2348" s="195"/>
      <c r="I2348" s="195"/>
      <c r="J2348" s="194"/>
      <c r="K2348" s="174"/>
      <c r="L2348" s="174"/>
      <c r="M2348" s="174"/>
      <c r="N2348" s="174"/>
      <c r="O2348" s="174"/>
      <c r="P2348" s="174"/>
      <c r="Q2348" s="174"/>
      <c r="R2348" s="174"/>
      <c r="S2348" s="174"/>
      <c r="T2348" s="174"/>
      <c r="U2348" s="174"/>
      <c r="V2348" s="174"/>
      <c r="W2348" s="174"/>
      <c r="X2348" s="174"/>
      <c r="Y2348" s="174"/>
      <c r="Z2348" s="174"/>
    </row>
    <row r="2349">
      <c r="A2349" s="194"/>
      <c r="B2349" s="194"/>
      <c r="C2349" s="194"/>
      <c r="D2349" s="194"/>
      <c r="E2349" s="194"/>
      <c r="F2349" s="194"/>
      <c r="G2349" s="194"/>
      <c r="H2349" s="195"/>
      <c r="I2349" s="195"/>
      <c r="J2349" s="194"/>
      <c r="K2349" s="174"/>
      <c r="L2349" s="174"/>
      <c r="M2349" s="174"/>
      <c r="N2349" s="174"/>
      <c r="O2349" s="174"/>
      <c r="P2349" s="174"/>
      <c r="Q2349" s="174"/>
      <c r="R2349" s="174"/>
      <c r="S2349" s="174"/>
      <c r="T2349" s="174"/>
      <c r="U2349" s="174"/>
      <c r="V2349" s="174"/>
      <c r="W2349" s="174"/>
      <c r="X2349" s="174"/>
      <c r="Y2349" s="174"/>
      <c r="Z2349" s="174"/>
    </row>
    <row r="2350">
      <c r="A2350" s="194"/>
      <c r="B2350" s="194"/>
      <c r="C2350" s="194"/>
      <c r="D2350" s="194"/>
      <c r="E2350" s="194"/>
      <c r="F2350" s="194"/>
      <c r="G2350" s="194"/>
      <c r="H2350" s="195"/>
      <c r="I2350" s="195"/>
      <c r="J2350" s="194"/>
      <c r="K2350" s="174"/>
      <c r="L2350" s="174"/>
      <c r="M2350" s="174"/>
      <c r="N2350" s="174"/>
      <c r="O2350" s="174"/>
      <c r="P2350" s="174"/>
      <c r="Q2350" s="174"/>
      <c r="R2350" s="174"/>
      <c r="S2350" s="174"/>
      <c r="T2350" s="174"/>
      <c r="U2350" s="174"/>
      <c r="V2350" s="174"/>
      <c r="W2350" s="174"/>
      <c r="X2350" s="174"/>
      <c r="Y2350" s="174"/>
      <c r="Z2350" s="174"/>
    </row>
    <row r="2351">
      <c r="A2351" s="194"/>
      <c r="B2351" s="194"/>
      <c r="C2351" s="194"/>
      <c r="D2351" s="194"/>
      <c r="E2351" s="194"/>
      <c r="F2351" s="194"/>
      <c r="G2351" s="194"/>
      <c r="H2351" s="195"/>
      <c r="I2351" s="195"/>
      <c r="J2351" s="194"/>
      <c r="K2351" s="174"/>
      <c r="L2351" s="174"/>
      <c r="M2351" s="174"/>
      <c r="N2351" s="174"/>
      <c r="O2351" s="174"/>
      <c r="P2351" s="174"/>
      <c r="Q2351" s="174"/>
      <c r="R2351" s="174"/>
      <c r="S2351" s="174"/>
      <c r="T2351" s="174"/>
      <c r="U2351" s="174"/>
      <c r="V2351" s="174"/>
      <c r="W2351" s="174"/>
      <c r="X2351" s="174"/>
      <c r="Y2351" s="174"/>
      <c r="Z2351" s="174"/>
    </row>
    <row r="2352">
      <c r="A2352" s="194"/>
      <c r="B2352" s="194"/>
      <c r="C2352" s="194"/>
      <c r="D2352" s="194"/>
      <c r="E2352" s="194"/>
      <c r="F2352" s="194"/>
      <c r="G2352" s="194"/>
      <c r="H2352" s="195"/>
      <c r="I2352" s="195"/>
      <c r="J2352" s="194"/>
      <c r="K2352" s="174"/>
      <c r="L2352" s="174"/>
      <c r="M2352" s="174"/>
      <c r="N2352" s="174"/>
      <c r="O2352" s="174"/>
      <c r="P2352" s="174"/>
      <c r="Q2352" s="174"/>
      <c r="R2352" s="174"/>
      <c r="S2352" s="174"/>
      <c r="T2352" s="174"/>
      <c r="U2352" s="174"/>
      <c r="V2352" s="174"/>
      <c r="W2352" s="174"/>
      <c r="X2352" s="174"/>
      <c r="Y2352" s="174"/>
      <c r="Z2352" s="174"/>
    </row>
    <row r="2353">
      <c r="A2353" s="194"/>
      <c r="B2353" s="194"/>
      <c r="C2353" s="194"/>
      <c r="D2353" s="194"/>
      <c r="E2353" s="194"/>
      <c r="F2353" s="194"/>
      <c r="G2353" s="194"/>
      <c r="H2353" s="195"/>
      <c r="I2353" s="195"/>
      <c r="J2353" s="194"/>
      <c r="K2353" s="174"/>
      <c r="L2353" s="174"/>
      <c r="M2353" s="174"/>
      <c r="N2353" s="174"/>
      <c r="O2353" s="174"/>
      <c r="P2353" s="174"/>
      <c r="Q2353" s="174"/>
      <c r="R2353" s="174"/>
      <c r="S2353" s="174"/>
      <c r="T2353" s="174"/>
      <c r="U2353" s="174"/>
      <c r="V2353" s="174"/>
      <c r="W2353" s="174"/>
      <c r="X2353" s="174"/>
      <c r="Y2353" s="174"/>
      <c r="Z2353" s="174"/>
    </row>
    <row r="2354">
      <c r="A2354" s="194"/>
      <c r="B2354" s="194"/>
      <c r="C2354" s="194"/>
      <c r="D2354" s="194"/>
      <c r="E2354" s="194"/>
      <c r="F2354" s="194"/>
      <c r="G2354" s="194"/>
      <c r="H2354" s="195"/>
      <c r="I2354" s="195"/>
      <c r="J2354" s="194"/>
      <c r="K2354" s="174"/>
      <c r="L2354" s="174"/>
      <c r="M2354" s="174"/>
      <c r="N2354" s="174"/>
      <c r="O2354" s="174"/>
      <c r="P2354" s="174"/>
      <c r="Q2354" s="174"/>
      <c r="R2354" s="174"/>
      <c r="S2354" s="174"/>
      <c r="T2354" s="174"/>
      <c r="U2354" s="174"/>
      <c r="V2354" s="174"/>
      <c r="W2354" s="174"/>
      <c r="X2354" s="174"/>
      <c r="Y2354" s="174"/>
      <c r="Z2354" s="174"/>
    </row>
    <row r="2355">
      <c r="A2355" s="194"/>
      <c r="B2355" s="194"/>
      <c r="C2355" s="194"/>
      <c r="D2355" s="194"/>
      <c r="E2355" s="194"/>
      <c r="F2355" s="194"/>
      <c r="G2355" s="194"/>
      <c r="H2355" s="195"/>
      <c r="I2355" s="195"/>
      <c r="J2355" s="194"/>
      <c r="K2355" s="174"/>
      <c r="L2355" s="174"/>
      <c r="M2355" s="174"/>
      <c r="N2355" s="174"/>
      <c r="O2355" s="174"/>
      <c r="P2355" s="174"/>
      <c r="Q2355" s="174"/>
      <c r="R2355" s="174"/>
      <c r="S2355" s="174"/>
      <c r="T2355" s="174"/>
      <c r="U2355" s="174"/>
      <c r="V2355" s="174"/>
      <c r="W2355" s="174"/>
      <c r="X2355" s="174"/>
      <c r="Y2355" s="174"/>
      <c r="Z2355" s="174"/>
    </row>
    <row r="2356">
      <c r="A2356" s="194"/>
      <c r="B2356" s="194"/>
      <c r="C2356" s="194"/>
      <c r="D2356" s="194"/>
      <c r="E2356" s="194"/>
      <c r="F2356" s="194"/>
      <c r="G2356" s="194"/>
      <c r="H2356" s="195"/>
      <c r="I2356" s="195"/>
      <c r="J2356" s="194"/>
      <c r="K2356" s="174"/>
      <c r="L2356" s="174"/>
      <c r="M2356" s="174"/>
      <c r="N2356" s="174"/>
      <c r="O2356" s="174"/>
      <c r="P2356" s="174"/>
      <c r="Q2356" s="174"/>
      <c r="R2356" s="174"/>
      <c r="S2356" s="174"/>
      <c r="T2356" s="174"/>
      <c r="U2356" s="174"/>
      <c r="V2356" s="174"/>
      <c r="W2356" s="174"/>
      <c r="X2356" s="174"/>
      <c r="Y2356" s="174"/>
      <c r="Z2356" s="174"/>
    </row>
    <row r="2357">
      <c r="A2357" s="194"/>
      <c r="B2357" s="194"/>
      <c r="C2357" s="194"/>
      <c r="D2357" s="194"/>
      <c r="E2357" s="194"/>
      <c r="F2357" s="194"/>
      <c r="G2357" s="194"/>
      <c r="H2357" s="195"/>
      <c r="I2357" s="195"/>
      <c r="J2357" s="194"/>
      <c r="K2357" s="174"/>
      <c r="L2357" s="174"/>
      <c r="M2357" s="174"/>
      <c r="N2357" s="174"/>
      <c r="O2357" s="174"/>
      <c r="P2357" s="174"/>
      <c r="Q2357" s="174"/>
      <c r="R2357" s="174"/>
      <c r="S2357" s="174"/>
      <c r="T2357" s="174"/>
      <c r="U2357" s="174"/>
      <c r="V2357" s="174"/>
      <c r="W2357" s="174"/>
      <c r="X2357" s="174"/>
      <c r="Y2357" s="174"/>
      <c r="Z2357" s="174"/>
    </row>
    <row r="2358">
      <c r="A2358" s="194"/>
      <c r="B2358" s="194"/>
      <c r="C2358" s="194"/>
      <c r="D2358" s="194"/>
      <c r="E2358" s="194"/>
      <c r="F2358" s="194"/>
      <c r="G2358" s="194"/>
      <c r="H2358" s="195"/>
      <c r="I2358" s="195"/>
      <c r="J2358" s="194"/>
      <c r="K2358" s="174"/>
      <c r="L2358" s="174"/>
      <c r="M2358" s="174"/>
      <c r="N2358" s="174"/>
      <c r="O2358" s="174"/>
      <c r="P2358" s="174"/>
      <c r="Q2358" s="174"/>
      <c r="R2358" s="174"/>
      <c r="S2358" s="174"/>
      <c r="T2358" s="174"/>
      <c r="U2358" s="174"/>
      <c r="V2358" s="174"/>
      <c r="W2358" s="174"/>
      <c r="X2358" s="174"/>
      <c r="Y2358" s="174"/>
      <c r="Z2358" s="174"/>
    </row>
    <row r="2359">
      <c r="A2359" s="194"/>
      <c r="B2359" s="194"/>
      <c r="C2359" s="194"/>
      <c r="D2359" s="194"/>
      <c r="E2359" s="194"/>
      <c r="F2359" s="194"/>
      <c r="G2359" s="194"/>
      <c r="H2359" s="195"/>
      <c r="I2359" s="195"/>
      <c r="J2359" s="194"/>
      <c r="K2359" s="174"/>
      <c r="L2359" s="174"/>
      <c r="M2359" s="174"/>
      <c r="N2359" s="174"/>
      <c r="O2359" s="174"/>
      <c r="P2359" s="174"/>
      <c r="Q2359" s="174"/>
      <c r="R2359" s="174"/>
      <c r="S2359" s="174"/>
      <c r="T2359" s="174"/>
      <c r="U2359" s="174"/>
      <c r="V2359" s="174"/>
      <c r="W2359" s="174"/>
      <c r="X2359" s="174"/>
      <c r="Y2359" s="174"/>
      <c r="Z2359" s="174"/>
    </row>
    <row r="2360">
      <c r="A2360" s="194"/>
      <c r="B2360" s="194"/>
      <c r="C2360" s="194"/>
      <c r="D2360" s="194"/>
      <c r="E2360" s="194"/>
      <c r="F2360" s="194"/>
      <c r="G2360" s="194"/>
      <c r="H2360" s="195"/>
      <c r="I2360" s="195"/>
      <c r="J2360" s="194"/>
      <c r="K2360" s="174"/>
      <c r="L2360" s="174"/>
      <c r="M2360" s="174"/>
      <c r="N2360" s="174"/>
      <c r="O2360" s="174"/>
      <c r="P2360" s="174"/>
      <c r="Q2360" s="174"/>
      <c r="R2360" s="174"/>
      <c r="S2360" s="174"/>
      <c r="T2360" s="174"/>
      <c r="U2360" s="174"/>
      <c r="V2360" s="174"/>
      <c r="W2360" s="174"/>
      <c r="X2360" s="174"/>
      <c r="Y2360" s="174"/>
      <c r="Z2360" s="174"/>
    </row>
    <row r="2361">
      <c r="A2361" s="194"/>
      <c r="B2361" s="194"/>
      <c r="C2361" s="194"/>
      <c r="D2361" s="194"/>
      <c r="E2361" s="194"/>
      <c r="F2361" s="194"/>
      <c r="G2361" s="194"/>
      <c r="H2361" s="195"/>
      <c r="I2361" s="195"/>
      <c r="J2361" s="194"/>
      <c r="K2361" s="174"/>
      <c r="L2361" s="174"/>
      <c r="M2361" s="174"/>
      <c r="N2361" s="174"/>
      <c r="O2361" s="174"/>
      <c r="P2361" s="174"/>
      <c r="Q2361" s="174"/>
      <c r="R2361" s="174"/>
      <c r="S2361" s="174"/>
      <c r="T2361" s="174"/>
      <c r="U2361" s="174"/>
      <c r="V2361" s="174"/>
      <c r="W2361" s="174"/>
      <c r="X2361" s="174"/>
      <c r="Y2361" s="174"/>
      <c r="Z2361" s="174"/>
    </row>
    <row r="2362">
      <c r="A2362" s="194"/>
      <c r="B2362" s="194"/>
      <c r="C2362" s="194"/>
      <c r="D2362" s="194"/>
      <c r="E2362" s="194"/>
      <c r="F2362" s="194"/>
      <c r="G2362" s="194"/>
      <c r="H2362" s="195"/>
      <c r="I2362" s="195"/>
      <c r="J2362" s="194"/>
      <c r="K2362" s="174"/>
      <c r="L2362" s="174"/>
      <c r="M2362" s="174"/>
      <c r="N2362" s="174"/>
      <c r="O2362" s="174"/>
      <c r="P2362" s="174"/>
      <c r="Q2362" s="174"/>
      <c r="R2362" s="174"/>
      <c r="S2362" s="174"/>
      <c r="T2362" s="174"/>
      <c r="U2362" s="174"/>
      <c r="V2362" s="174"/>
      <c r="W2362" s="174"/>
      <c r="X2362" s="174"/>
      <c r="Y2362" s="174"/>
      <c r="Z2362" s="174"/>
    </row>
    <row r="2363">
      <c r="A2363" s="194"/>
      <c r="B2363" s="194"/>
      <c r="C2363" s="194"/>
      <c r="D2363" s="194"/>
      <c r="E2363" s="194"/>
      <c r="F2363" s="194"/>
      <c r="G2363" s="194"/>
      <c r="H2363" s="195"/>
      <c r="I2363" s="195"/>
      <c r="J2363" s="194"/>
      <c r="K2363" s="174"/>
      <c r="L2363" s="174"/>
      <c r="M2363" s="174"/>
      <c r="N2363" s="174"/>
      <c r="O2363" s="174"/>
      <c r="P2363" s="174"/>
      <c r="Q2363" s="174"/>
      <c r="R2363" s="174"/>
      <c r="S2363" s="174"/>
      <c r="T2363" s="174"/>
      <c r="U2363" s="174"/>
      <c r="V2363" s="174"/>
      <c r="W2363" s="174"/>
      <c r="X2363" s="174"/>
      <c r="Y2363" s="174"/>
      <c r="Z2363" s="174"/>
    </row>
    <row r="2364">
      <c r="A2364" s="194"/>
      <c r="B2364" s="194"/>
      <c r="C2364" s="194"/>
      <c r="D2364" s="194"/>
      <c r="E2364" s="194"/>
      <c r="F2364" s="194"/>
      <c r="G2364" s="194"/>
      <c r="H2364" s="195"/>
      <c r="I2364" s="195"/>
      <c r="J2364" s="194"/>
      <c r="K2364" s="174"/>
      <c r="L2364" s="174"/>
      <c r="M2364" s="174"/>
      <c r="N2364" s="174"/>
      <c r="O2364" s="174"/>
      <c r="P2364" s="174"/>
      <c r="Q2364" s="174"/>
      <c r="R2364" s="174"/>
      <c r="S2364" s="174"/>
      <c r="T2364" s="174"/>
      <c r="U2364" s="174"/>
      <c r="V2364" s="174"/>
      <c r="W2364" s="174"/>
      <c r="X2364" s="174"/>
      <c r="Y2364" s="174"/>
      <c r="Z2364" s="174"/>
    </row>
    <row r="2365">
      <c r="A2365" s="194"/>
      <c r="B2365" s="194"/>
      <c r="C2365" s="194"/>
      <c r="D2365" s="194"/>
      <c r="E2365" s="194"/>
      <c r="F2365" s="194"/>
      <c r="G2365" s="194"/>
      <c r="H2365" s="195"/>
      <c r="I2365" s="195"/>
      <c r="J2365" s="194"/>
      <c r="K2365" s="174"/>
      <c r="L2365" s="174"/>
      <c r="M2365" s="174"/>
      <c r="N2365" s="174"/>
      <c r="O2365" s="174"/>
      <c r="P2365" s="174"/>
      <c r="Q2365" s="174"/>
      <c r="R2365" s="174"/>
      <c r="S2365" s="174"/>
      <c r="T2365" s="174"/>
      <c r="U2365" s="174"/>
      <c r="V2365" s="174"/>
      <c r="W2365" s="174"/>
      <c r="X2365" s="174"/>
      <c r="Y2365" s="174"/>
      <c r="Z2365" s="174"/>
    </row>
    <row r="2366">
      <c r="A2366" s="194"/>
      <c r="B2366" s="194"/>
      <c r="C2366" s="194"/>
      <c r="D2366" s="194"/>
      <c r="E2366" s="194"/>
      <c r="F2366" s="194"/>
      <c r="G2366" s="194"/>
      <c r="H2366" s="195"/>
      <c r="I2366" s="195"/>
      <c r="J2366" s="194"/>
      <c r="K2366" s="174"/>
      <c r="L2366" s="174"/>
      <c r="M2366" s="174"/>
      <c r="N2366" s="174"/>
      <c r="O2366" s="174"/>
      <c r="P2366" s="174"/>
      <c r="Q2366" s="174"/>
      <c r="R2366" s="174"/>
      <c r="S2366" s="174"/>
      <c r="T2366" s="174"/>
      <c r="U2366" s="174"/>
      <c r="V2366" s="174"/>
      <c r="W2366" s="174"/>
      <c r="X2366" s="174"/>
      <c r="Y2366" s="174"/>
      <c r="Z2366" s="174"/>
    </row>
    <row r="2367">
      <c r="A2367" s="194"/>
      <c r="B2367" s="194"/>
      <c r="C2367" s="194"/>
      <c r="D2367" s="194"/>
      <c r="E2367" s="194"/>
      <c r="F2367" s="194"/>
      <c r="G2367" s="194"/>
      <c r="H2367" s="195"/>
      <c r="I2367" s="195"/>
      <c r="J2367" s="194"/>
      <c r="K2367" s="174"/>
      <c r="L2367" s="174"/>
      <c r="M2367" s="174"/>
      <c r="N2367" s="174"/>
      <c r="O2367" s="174"/>
      <c r="P2367" s="174"/>
      <c r="Q2367" s="174"/>
      <c r="R2367" s="174"/>
      <c r="S2367" s="174"/>
      <c r="T2367" s="174"/>
      <c r="U2367" s="174"/>
      <c r="V2367" s="174"/>
      <c r="W2367" s="174"/>
      <c r="X2367" s="174"/>
      <c r="Y2367" s="174"/>
      <c r="Z2367" s="174"/>
    </row>
    <row r="2368">
      <c r="A2368" s="194"/>
      <c r="B2368" s="194"/>
      <c r="C2368" s="194"/>
      <c r="D2368" s="194"/>
      <c r="E2368" s="194"/>
      <c r="F2368" s="194"/>
      <c r="G2368" s="194"/>
      <c r="H2368" s="195"/>
      <c r="I2368" s="195"/>
      <c r="J2368" s="194"/>
      <c r="K2368" s="174"/>
      <c r="L2368" s="174"/>
      <c r="M2368" s="174"/>
      <c r="N2368" s="174"/>
      <c r="O2368" s="174"/>
      <c r="P2368" s="174"/>
      <c r="Q2368" s="174"/>
      <c r="R2368" s="174"/>
      <c r="S2368" s="174"/>
      <c r="T2368" s="174"/>
      <c r="U2368" s="174"/>
      <c r="V2368" s="174"/>
      <c r="W2368" s="174"/>
      <c r="X2368" s="174"/>
      <c r="Y2368" s="174"/>
      <c r="Z2368" s="174"/>
    </row>
    <row r="2369">
      <c r="A2369" s="194"/>
      <c r="B2369" s="194"/>
      <c r="C2369" s="194"/>
      <c r="D2369" s="194"/>
      <c r="E2369" s="194"/>
      <c r="F2369" s="194"/>
      <c r="G2369" s="194"/>
      <c r="H2369" s="195"/>
      <c r="I2369" s="195"/>
      <c r="J2369" s="194"/>
      <c r="K2369" s="174"/>
      <c r="L2369" s="174"/>
      <c r="M2369" s="174"/>
      <c r="N2369" s="174"/>
      <c r="O2369" s="174"/>
      <c r="P2369" s="174"/>
      <c r="Q2369" s="174"/>
      <c r="R2369" s="174"/>
      <c r="S2369" s="174"/>
      <c r="T2369" s="174"/>
      <c r="U2369" s="174"/>
      <c r="V2369" s="174"/>
      <c r="W2369" s="174"/>
      <c r="X2369" s="174"/>
      <c r="Y2369" s="174"/>
      <c r="Z2369" s="174"/>
    </row>
    <row r="2370">
      <c r="A2370" s="194"/>
      <c r="B2370" s="194"/>
      <c r="C2370" s="194"/>
      <c r="D2370" s="194"/>
      <c r="E2370" s="194"/>
      <c r="F2370" s="194"/>
      <c r="G2370" s="194"/>
      <c r="H2370" s="195"/>
      <c r="I2370" s="195"/>
      <c r="J2370" s="194"/>
      <c r="K2370" s="174"/>
      <c r="L2370" s="174"/>
      <c r="M2370" s="174"/>
      <c r="N2370" s="174"/>
      <c r="O2370" s="174"/>
      <c r="P2370" s="174"/>
      <c r="Q2370" s="174"/>
      <c r="R2370" s="174"/>
      <c r="S2370" s="174"/>
      <c r="T2370" s="174"/>
      <c r="U2370" s="174"/>
      <c r="V2370" s="174"/>
      <c r="W2370" s="174"/>
      <c r="X2370" s="174"/>
      <c r="Y2370" s="174"/>
      <c r="Z2370" s="174"/>
    </row>
    <row r="2371">
      <c r="A2371" s="194"/>
      <c r="B2371" s="194"/>
      <c r="C2371" s="194"/>
      <c r="D2371" s="194"/>
      <c r="E2371" s="194"/>
      <c r="F2371" s="194"/>
      <c r="G2371" s="194"/>
      <c r="H2371" s="195"/>
      <c r="I2371" s="195"/>
      <c r="J2371" s="194"/>
      <c r="K2371" s="174"/>
      <c r="L2371" s="174"/>
      <c r="M2371" s="174"/>
      <c r="N2371" s="174"/>
      <c r="O2371" s="174"/>
      <c r="P2371" s="174"/>
      <c r="Q2371" s="174"/>
      <c r="R2371" s="174"/>
      <c r="S2371" s="174"/>
      <c r="T2371" s="174"/>
      <c r="U2371" s="174"/>
      <c r="V2371" s="174"/>
      <c r="W2371" s="174"/>
      <c r="X2371" s="174"/>
      <c r="Y2371" s="174"/>
      <c r="Z2371" s="174"/>
    </row>
    <row r="2372">
      <c r="A2372" s="194"/>
      <c r="B2372" s="194"/>
      <c r="C2372" s="194"/>
      <c r="D2372" s="194"/>
      <c r="E2372" s="194"/>
      <c r="F2372" s="194"/>
      <c r="G2372" s="194"/>
      <c r="H2372" s="195"/>
      <c r="I2372" s="195"/>
      <c r="J2372" s="194"/>
      <c r="K2372" s="174"/>
      <c r="L2372" s="174"/>
      <c r="M2372" s="174"/>
      <c r="N2372" s="174"/>
      <c r="O2372" s="174"/>
      <c r="P2372" s="174"/>
      <c r="Q2372" s="174"/>
      <c r="R2372" s="174"/>
      <c r="S2372" s="174"/>
      <c r="T2372" s="174"/>
      <c r="U2372" s="174"/>
      <c r="V2372" s="174"/>
      <c r="W2372" s="174"/>
      <c r="X2372" s="174"/>
      <c r="Y2372" s="174"/>
      <c r="Z2372" s="174"/>
    </row>
    <row r="2373">
      <c r="A2373" s="194"/>
      <c r="B2373" s="194"/>
      <c r="C2373" s="194"/>
      <c r="D2373" s="194"/>
      <c r="E2373" s="194"/>
      <c r="F2373" s="194"/>
      <c r="G2373" s="194"/>
      <c r="H2373" s="195"/>
      <c r="I2373" s="195"/>
      <c r="J2373" s="194"/>
      <c r="K2373" s="174"/>
      <c r="L2373" s="174"/>
      <c r="M2373" s="174"/>
      <c r="N2373" s="174"/>
      <c r="O2373" s="174"/>
      <c r="P2373" s="174"/>
      <c r="Q2373" s="174"/>
      <c r="R2373" s="174"/>
      <c r="S2373" s="174"/>
      <c r="T2373" s="174"/>
      <c r="U2373" s="174"/>
      <c r="V2373" s="174"/>
      <c r="W2373" s="174"/>
      <c r="X2373" s="174"/>
      <c r="Y2373" s="174"/>
      <c r="Z2373" s="174"/>
    </row>
    <row r="2374">
      <c r="A2374" s="194"/>
      <c r="B2374" s="194"/>
      <c r="C2374" s="194"/>
      <c r="D2374" s="194"/>
      <c r="E2374" s="194"/>
      <c r="F2374" s="194"/>
      <c r="G2374" s="194"/>
      <c r="H2374" s="195"/>
      <c r="I2374" s="195"/>
      <c r="J2374" s="194"/>
      <c r="K2374" s="174"/>
      <c r="L2374" s="174"/>
      <c r="M2374" s="174"/>
      <c r="N2374" s="174"/>
      <c r="O2374" s="174"/>
      <c r="P2374" s="174"/>
      <c r="Q2374" s="174"/>
      <c r="R2374" s="174"/>
      <c r="S2374" s="174"/>
      <c r="T2374" s="174"/>
      <c r="U2374" s="174"/>
      <c r="V2374" s="174"/>
      <c r="W2374" s="174"/>
      <c r="X2374" s="174"/>
      <c r="Y2374" s="174"/>
      <c r="Z2374" s="174"/>
    </row>
    <row r="2375">
      <c r="A2375" s="194"/>
      <c r="B2375" s="194"/>
      <c r="C2375" s="194"/>
      <c r="D2375" s="194"/>
      <c r="E2375" s="194"/>
      <c r="F2375" s="194"/>
      <c r="G2375" s="194"/>
      <c r="H2375" s="195"/>
      <c r="I2375" s="195"/>
      <c r="J2375" s="194"/>
      <c r="K2375" s="174"/>
      <c r="L2375" s="174"/>
      <c r="M2375" s="174"/>
      <c r="N2375" s="174"/>
      <c r="O2375" s="174"/>
      <c r="P2375" s="174"/>
      <c r="Q2375" s="174"/>
      <c r="R2375" s="174"/>
      <c r="S2375" s="174"/>
      <c r="T2375" s="174"/>
      <c r="U2375" s="174"/>
      <c r="V2375" s="174"/>
      <c r="W2375" s="174"/>
      <c r="X2375" s="174"/>
      <c r="Y2375" s="174"/>
      <c r="Z2375" s="174"/>
    </row>
    <row r="2376">
      <c r="A2376" s="194"/>
      <c r="B2376" s="194"/>
      <c r="C2376" s="194"/>
      <c r="D2376" s="194"/>
      <c r="E2376" s="194"/>
      <c r="F2376" s="194"/>
      <c r="G2376" s="194"/>
      <c r="H2376" s="195"/>
      <c r="I2376" s="195"/>
      <c r="J2376" s="194"/>
      <c r="K2376" s="174"/>
      <c r="L2376" s="174"/>
      <c r="M2376" s="174"/>
      <c r="N2376" s="174"/>
      <c r="O2376" s="174"/>
      <c r="P2376" s="174"/>
      <c r="Q2376" s="174"/>
      <c r="R2376" s="174"/>
      <c r="S2376" s="174"/>
      <c r="T2376" s="174"/>
      <c r="U2376" s="174"/>
      <c r="V2376" s="174"/>
      <c r="W2376" s="174"/>
      <c r="X2376" s="174"/>
      <c r="Y2376" s="174"/>
      <c r="Z2376" s="174"/>
    </row>
    <row r="2377">
      <c r="A2377" s="194"/>
      <c r="B2377" s="194"/>
      <c r="C2377" s="194"/>
      <c r="D2377" s="194"/>
      <c r="E2377" s="194"/>
      <c r="F2377" s="194"/>
      <c r="G2377" s="194"/>
      <c r="H2377" s="195"/>
      <c r="I2377" s="195"/>
      <c r="J2377" s="194"/>
      <c r="K2377" s="174"/>
      <c r="L2377" s="174"/>
      <c r="M2377" s="174"/>
      <c r="N2377" s="174"/>
      <c r="O2377" s="174"/>
      <c r="P2377" s="174"/>
      <c r="Q2377" s="174"/>
      <c r="R2377" s="174"/>
      <c r="S2377" s="174"/>
      <c r="T2377" s="174"/>
      <c r="U2377" s="174"/>
      <c r="V2377" s="174"/>
      <c r="W2377" s="174"/>
      <c r="X2377" s="174"/>
      <c r="Y2377" s="174"/>
      <c r="Z2377" s="174"/>
    </row>
    <row r="2378">
      <c r="A2378" s="194"/>
      <c r="B2378" s="194"/>
      <c r="C2378" s="194"/>
      <c r="D2378" s="194"/>
      <c r="E2378" s="194"/>
      <c r="F2378" s="194"/>
      <c r="G2378" s="194"/>
      <c r="H2378" s="195"/>
      <c r="I2378" s="195"/>
      <c r="J2378" s="194"/>
      <c r="K2378" s="174"/>
      <c r="L2378" s="174"/>
      <c r="M2378" s="174"/>
      <c r="N2378" s="174"/>
      <c r="O2378" s="174"/>
      <c r="P2378" s="174"/>
      <c r="Q2378" s="174"/>
      <c r="R2378" s="174"/>
      <c r="S2378" s="174"/>
      <c r="T2378" s="174"/>
      <c r="U2378" s="174"/>
      <c r="V2378" s="174"/>
      <c r="W2378" s="174"/>
      <c r="X2378" s="174"/>
      <c r="Y2378" s="174"/>
      <c r="Z2378" s="174"/>
    </row>
    <row r="2379">
      <c r="A2379" s="194"/>
      <c r="B2379" s="194"/>
      <c r="C2379" s="194"/>
      <c r="D2379" s="194"/>
      <c r="E2379" s="194"/>
      <c r="F2379" s="194"/>
      <c r="G2379" s="194"/>
      <c r="H2379" s="195"/>
      <c r="I2379" s="195"/>
      <c r="J2379" s="194"/>
      <c r="K2379" s="174"/>
      <c r="L2379" s="174"/>
      <c r="M2379" s="174"/>
      <c r="N2379" s="174"/>
      <c r="O2379" s="174"/>
      <c r="P2379" s="174"/>
      <c r="Q2379" s="174"/>
      <c r="R2379" s="174"/>
      <c r="S2379" s="174"/>
      <c r="T2379" s="174"/>
      <c r="U2379" s="174"/>
      <c r="V2379" s="174"/>
      <c r="W2379" s="174"/>
      <c r="X2379" s="174"/>
      <c r="Y2379" s="174"/>
      <c r="Z2379" s="174"/>
    </row>
    <row r="2380">
      <c r="A2380" s="194"/>
      <c r="B2380" s="194"/>
      <c r="C2380" s="194"/>
      <c r="D2380" s="194"/>
      <c r="E2380" s="194"/>
      <c r="F2380" s="194"/>
      <c r="G2380" s="194"/>
      <c r="H2380" s="195"/>
      <c r="I2380" s="195"/>
      <c r="J2380" s="194"/>
      <c r="K2380" s="174"/>
      <c r="L2380" s="174"/>
      <c r="M2380" s="174"/>
      <c r="N2380" s="174"/>
      <c r="O2380" s="174"/>
      <c r="P2380" s="174"/>
      <c r="Q2380" s="174"/>
      <c r="R2380" s="174"/>
      <c r="S2380" s="174"/>
      <c r="T2380" s="174"/>
      <c r="U2380" s="174"/>
      <c r="V2380" s="174"/>
      <c r="W2380" s="174"/>
      <c r="X2380" s="174"/>
      <c r="Y2380" s="174"/>
      <c r="Z2380" s="174"/>
    </row>
    <row r="2381">
      <c r="A2381" s="194"/>
      <c r="B2381" s="194"/>
      <c r="C2381" s="194"/>
      <c r="D2381" s="194"/>
      <c r="E2381" s="194"/>
      <c r="F2381" s="194"/>
      <c r="G2381" s="194"/>
      <c r="H2381" s="195"/>
      <c r="I2381" s="195"/>
      <c r="J2381" s="194"/>
      <c r="K2381" s="174"/>
      <c r="L2381" s="174"/>
      <c r="M2381" s="174"/>
      <c r="N2381" s="174"/>
      <c r="O2381" s="174"/>
      <c r="P2381" s="174"/>
      <c r="Q2381" s="174"/>
      <c r="R2381" s="174"/>
      <c r="S2381" s="174"/>
      <c r="T2381" s="174"/>
      <c r="U2381" s="174"/>
      <c r="V2381" s="174"/>
      <c r="W2381" s="174"/>
      <c r="X2381" s="174"/>
      <c r="Y2381" s="174"/>
      <c r="Z2381" s="174"/>
    </row>
    <row r="2382">
      <c r="A2382" s="194"/>
      <c r="B2382" s="194"/>
      <c r="C2382" s="194"/>
      <c r="D2382" s="194"/>
      <c r="E2382" s="194"/>
      <c r="F2382" s="194"/>
      <c r="G2382" s="194"/>
      <c r="H2382" s="195"/>
      <c r="I2382" s="195"/>
      <c r="J2382" s="194"/>
      <c r="K2382" s="174"/>
      <c r="L2382" s="174"/>
      <c r="M2382" s="174"/>
      <c r="N2382" s="174"/>
      <c r="O2382" s="174"/>
      <c r="P2382" s="174"/>
      <c r="Q2382" s="174"/>
      <c r="R2382" s="174"/>
      <c r="S2382" s="174"/>
      <c r="T2382" s="174"/>
      <c r="U2382" s="174"/>
      <c r="V2382" s="174"/>
      <c r="W2382" s="174"/>
      <c r="X2382" s="174"/>
      <c r="Y2382" s="174"/>
      <c r="Z2382" s="174"/>
    </row>
    <row r="2383">
      <c r="A2383" s="194"/>
      <c r="B2383" s="194"/>
      <c r="C2383" s="194"/>
      <c r="D2383" s="194"/>
      <c r="E2383" s="194"/>
      <c r="F2383" s="194"/>
      <c r="G2383" s="194"/>
      <c r="H2383" s="195"/>
      <c r="I2383" s="195"/>
      <c r="J2383" s="194"/>
      <c r="K2383" s="174"/>
      <c r="L2383" s="174"/>
      <c r="M2383" s="174"/>
      <c r="N2383" s="174"/>
      <c r="O2383" s="174"/>
      <c r="P2383" s="174"/>
      <c r="Q2383" s="174"/>
      <c r="R2383" s="174"/>
      <c r="S2383" s="174"/>
      <c r="T2383" s="174"/>
      <c r="U2383" s="174"/>
      <c r="V2383" s="174"/>
      <c r="W2383" s="174"/>
      <c r="X2383" s="174"/>
      <c r="Y2383" s="174"/>
      <c r="Z2383" s="174"/>
    </row>
    <row r="2384">
      <c r="A2384" s="194"/>
      <c r="B2384" s="194"/>
      <c r="C2384" s="194"/>
      <c r="D2384" s="194"/>
      <c r="E2384" s="194"/>
      <c r="F2384" s="194"/>
      <c r="G2384" s="194"/>
      <c r="H2384" s="195"/>
      <c r="I2384" s="195"/>
      <c r="J2384" s="194"/>
      <c r="K2384" s="174"/>
      <c r="L2384" s="174"/>
      <c r="M2384" s="174"/>
      <c r="N2384" s="174"/>
      <c r="O2384" s="174"/>
      <c r="P2384" s="174"/>
      <c r="Q2384" s="174"/>
      <c r="R2384" s="174"/>
      <c r="S2384" s="174"/>
      <c r="T2384" s="174"/>
      <c r="U2384" s="174"/>
      <c r="V2384" s="174"/>
      <c r="W2384" s="174"/>
      <c r="X2384" s="174"/>
      <c r="Y2384" s="174"/>
      <c r="Z2384" s="174"/>
    </row>
    <row r="2385">
      <c r="A2385" s="194"/>
      <c r="B2385" s="194"/>
      <c r="C2385" s="194"/>
      <c r="D2385" s="194"/>
      <c r="E2385" s="194"/>
      <c r="F2385" s="194"/>
      <c r="G2385" s="194"/>
      <c r="H2385" s="195"/>
      <c r="I2385" s="195"/>
      <c r="J2385" s="194"/>
      <c r="K2385" s="174"/>
      <c r="L2385" s="174"/>
      <c r="M2385" s="174"/>
      <c r="N2385" s="174"/>
      <c r="O2385" s="174"/>
      <c r="P2385" s="174"/>
      <c r="Q2385" s="174"/>
      <c r="R2385" s="174"/>
      <c r="S2385" s="174"/>
      <c r="T2385" s="174"/>
      <c r="U2385" s="174"/>
      <c r="V2385" s="174"/>
      <c r="W2385" s="174"/>
      <c r="X2385" s="174"/>
      <c r="Y2385" s="174"/>
      <c r="Z2385" s="174"/>
    </row>
    <row r="2386">
      <c r="A2386" s="194"/>
      <c r="B2386" s="194"/>
      <c r="C2386" s="194"/>
      <c r="D2386" s="194"/>
      <c r="E2386" s="194"/>
      <c r="F2386" s="194"/>
      <c r="G2386" s="194"/>
      <c r="H2386" s="195"/>
      <c r="I2386" s="195"/>
      <c r="J2386" s="194"/>
      <c r="K2386" s="174"/>
      <c r="L2386" s="174"/>
      <c r="M2386" s="174"/>
      <c r="N2386" s="174"/>
      <c r="O2386" s="174"/>
      <c r="P2386" s="174"/>
      <c r="Q2386" s="174"/>
      <c r="R2386" s="174"/>
      <c r="S2386" s="174"/>
      <c r="T2386" s="174"/>
      <c r="U2386" s="174"/>
      <c r="V2386" s="174"/>
      <c r="W2386" s="174"/>
      <c r="X2386" s="174"/>
      <c r="Y2386" s="174"/>
      <c r="Z2386" s="174"/>
    </row>
    <row r="2387">
      <c r="A2387" s="194"/>
      <c r="B2387" s="194"/>
      <c r="C2387" s="194"/>
      <c r="D2387" s="194"/>
      <c r="E2387" s="194"/>
      <c r="F2387" s="194"/>
      <c r="G2387" s="194"/>
      <c r="H2387" s="195"/>
      <c r="I2387" s="195"/>
      <c r="J2387" s="194"/>
      <c r="K2387" s="174"/>
      <c r="L2387" s="174"/>
      <c r="M2387" s="174"/>
      <c r="N2387" s="174"/>
      <c r="O2387" s="174"/>
      <c r="P2387" s="174"/>
      <c r="Q2387" s="174"/>
      <c r="R2387" s="174"/>
      <c r="S2387" s="174"/>
      <c r="T2387" s="174"/>
      <c r="U2387" s="174"/>
      <c r="V2387" s="174"/>
      <c r="W2387" s="174"/>
      <c r="X2387" s="174"/>
      <c r="Y2387" s="174"/>
      <c r="Z2387" s="174"/>
    </row>
    <row r="2388">
      <c r="A2388" s="194"/>
      <c r="B2388" s="194"/>
      <c r="C2388" s="194"/>
      <c r="D2388" s="194"/>
      <c r="E2388" s="194"/>
      <c r="F2388" s="194"/>
      <c r="G2388" s="194"/>
      <c r="H2388" s="195"/>
      <c r="I2388" s="195"/>
      <c r="J2388" s="194"/>
      <c r="K2388" s="174"/>
      <c r="L2388" s="174"/>
      <c r="M2388" s="174"/>
      <c r="N2388" s="174"/>
      <c r="O2388" s="174"/>
      <c r="P2388" s="174"/>
      <c r="Q2388" s="174"/>
      <c r="R2388" s="174"/>
      <c r="S2388" s="174"/>
      <c r="T2388" s="174"/>
      <c r="U2388" s="174"/>
      <c r="V2388" s="174"/>
      <c r="W2388" s="174"/>
      <c r="X2388" s="174"/>
      <c r="Y2388" s="174"/>
      <c r="Z2388" s="174"/>
    </row>
    <row r="2389">
      <c r="A2389" s="194"/>
      <c r="B2389" s="194"/>
      <c r="C2389" s="194"/>
      <c r="D2389" s="194"/>
      <c r="E2389" s="194"/>
      <c r="F2389" s="194"/>
      <c r="G2389" s="194"/>
      <c r="H2389" s="195"/>
      <c r="I2389" s="195"/>
      <c r="J2389" s="194"/>
      <c r="K2389" s="174"/>
      <c r="L2389" s="174"/>
      <c r="M2389" s="174"/>
      <c r="N2389" s="174"/>
      <c r="O2389" s="174"/>
      <c r="P2389" s="174"/>
      <c r="Q2389" s="174"/>
      <c r="R2389" s="174"/>
      <c r="S2389" s="174"/>
      <c r="T2389" s="174"/>
      <c r="U2389" s="174"/>
      <c r="V2389" s="174"/>
      <c r="W2389" s="174"/>
      <c r="X2389" s="174"/>
      <c r="Y2389" s="174"/>
      <c r="Z2389" s="174"/>
    </row>
    <row r="2390">
      <c r="A2390" s="194"/>
      <c r="B2390" s="194"/>
      <c r="C2390" s="194"/>
      <c r="D2390" s="194"/>
      <c r="E2390" s="194"/>
      <c r="F2390" s="194"/>
      <c r="G2390" s="194"/>
      <c r="H2390" s="195"/>
      <c r="I2390" s="195"/>
      <c r="J2390" s="194"/>
      <c r="K2390" s="174"/>
      <c r="L2390" s="174"/>
      <c r="M2390" s="174"/>
      <c r="N2390" s="174"/>
      <c r="O2390" s="174"/>
      <c r="P2390" s="174"/>
      <c r="Q2390" s="174"/>
      <c r="R2390" s="174"/>
      <c r="S2390" s="174"/>
      <c r="T2390" s="174"/>
      <c r="U2390" s="174"/>
      <c r="V2390" s="174"/>
      <c r="W2390" s="174"/>
      <c r="X2390" s="174"/>
      <c r="Y2390" s="174"/>
      <c r="Z2390" s="174"/>
    </row>
    <row r="2391">
      <c r="A2391" s="194"/>
      <c r="B2391" s="194"/>
      <c r="C2391" s="194"/>
      <c r="D2391" s="194"/>
      <c r="E2391" s="194"/>
      <c r="F2391" s="194"/>
      <c r="G2391" s="194"/>
      <c r="H2391" s="195"/>
      <c r="I2391" s="195"/>
      <c r="J2391" s="194"/>
      <c r="K2391" s="174"/>
      <c r="L2391" s="174"/>
      <c r="M2391" s="174"/>
      <c r="N2391" s="174"/>
      <c r="O2391" s="174"/>
      <c r="P2391" s="174"/>
      <c r="Q2391" s="174"/>
      <c r="R2391" s="174"/>
      <c r="S2391" s="174"/>
      <c r="T2391" s="174"/>
      <c r="U2391" s="174"/>
      <c r="V2391" s="174"/>
      <c r="W2391" s="174"/>
      <c r="X2391" s="174"/>
      <c r="Y2391" s="174"/>
      <c r="Z2391" s="174"/>
    </row>
    <row r="2392">
      <c r="A2392" s="194"/>
      <c r="B2392" s="194"/>
      <c r="C2392" s="194"/>
      <c r="D2392" s="194"/>
      <c r="E2392" s="194"/>
      <c r="F2392" s="194"/>
      <c r="G2392" s="194"/>
      <c r="H2392" s="195"/>
      <c r="I2392" s="195"/>
      <c r="J2392" s="194"/>
      <c r="K2392" s="174"/>
      <c r="L2392" s="174"/>
      <c r="M2392" s="174"/>
      <c r="N2392" s="174"/>
      <c r="O2392" s="174"/>
      <c r="P2392" s="174"/>
      <c r="Q2392" s="174"/>
      <c r="R2392" s="174"/>
      <c r="S2392" s="174"/>
      <c r="T2392" s="174"/>
      <c r="U2392" s="174"/>
      <c r="V2392" s="174"/>
      <c r="W2392" s="174"/>
      <c r="X2392" s="174"/>
      <c r="Y2392" s="174"/>
      <c r="Z2392" s="174"/>
    </row>
    <row r="2393">
      <c r="A2393" s="194"/>
      <c r="B2393" s="194"/>
      <c r="C2393" s="194"/>
      <c r="D2393" s="194"/>
      <c r="E2393" s="194"/>
      <c r="F2393" s="194"/>
      <c r="G2393" s="194"/>
      <c r="H2393" s="195"/>
      <c r="I2393" s="195"/>
      <c r="J2393" s="194"/>
      <c r="K2393" s="174"/>
      <c r="L2393" s="174"/>
      <c r="M2393" s="174"/>
      <c r="N2393" s="174"/>
      <c r="O2393" s="174"/>
      <c r="P2393" s="174"/>
      <c r="Q2393" s="174"/>
      <c r="R2393" s="174"/>
      <c r="S2393" s="174"/>
      <c r="T2393" s="174"/>
      <c r="U2393" s="174"/>
      <c r="V2393" s="174"/>
      <c r="W2393" s="174"/>
      <c r="X2393" s="174"/>
      <c r="Y2393" s="174"/>
      <c r="Z2393" s="174"/>
    </row>
    <row r="2394">
      <c r="A2394" s="194"/>
      <c r="B2394" s="194"/>
      <c r="C2394" s="194"/>
      <c r="D2394" s="194"/>
      <c r="E2394" s="194"/>
      <c r="F2394" s="194"/>
      <c r="G2394" s="194"/>
      <c r="H2394" s="195"/>
      <c r="I2394" s="195"/>
      <c r="J2394" s="194"/>
      <c r="K2394" s="174"/>
      <c r="L2394" s="174"/>
      <c r="M2394" s="174"/>
      <c r="N2394" s="174"/>
      <c r="O2394" s="174"/>
      <c r="P2394" s="174"/>
      <c r="Q2394" s="174"/>
      <c r="R2394" s="174"/>
      <c r="S2394" s="174"/>
      <c r="T2394" s="174"/>
      <c r="U2394" s="174"/>
      <c r="V2394" s="174"/>
      <c r="W2394" s="174"/>
      <c r="X2394" s="174"/>
      <c r="Y2394" s="174"/>
      <c r="Z2394" s="174"/>
    </row>
    <row r="2395">
      <c r="A2395" s="194"/>
      <c r="B2395" s="194"/>
      <c r="C2395" s="194"/>
      <c r="D2395" s="194"/>
      <c r="E2395" s="194"/>
      <c r="F2395" s="194"/>
      <c r="G2395" s="194"/>
      <c r="H2395" s="195"/>
      <c r="I2395" s="195"/>
      <c r="J2395" s="194"/>
      <c r="K2395" s="174"/>
      <c r="L2395" s="174"/>
      <c r="M2395" s="174"/>
      <c r="N2395" s="174"/>
      <c r="O2395" s="174"/>
      <c r="P2395" s="174"/>
      <c r="Q2395" s="174"/>
      <c r="R2395" s="174"/>
      <c r="S2395" s="174"/>
      <c r="T2395" s="174"/>
      <c r="U2395" s="174"/>
      <c r="V2395" s="174"/>
      <c r="W2395" s="174"/>
      <c r="X2395" s="174"/>
      <c r="Y2395" s="174"/>
      <c r="Z2395" s="174"/>
    </row>
    <row r="2396">
      <c r="A2396" s="194"/>
      <c r="B2396" s="194"/>
      <c r="C2396" s="194"/>
      <c r="D2396" s="194"/>
      <c r="E2396" s="194"/>
      <c r="F2396" s="194"/>
      <c r="G2396" s="194"/>
      <c r="H2396" s="195"/>
      <c r="I2396" s="195"/>
      <c r="J2396" s="194"/>
      <c r="K2396" s="174"/>
      <c r="L2396" s="174"/>
      <c r="M2396" s="174"/>
      <c r="N2396" s="174"/>
      <c r="O2396" s="174"/>
      <c r="P2396" s="174"/>
      <c r="Q2396" s="174"/>
      <c r="R2396" s="174"/>
      <c r="S2396" s="174"/>
      <c r="T2396" s="174"/>
      <c r="U2396" s="174"/>
      <c r="V2396" s="174"/>
      <c r="W2396" s="174"/>
      <c r="X2396" s="174"/>
      <c r="Y2396" s="174"/>
      <c r="Z2396" s="174"/>
    </row>
    <row r="2397">
      <c r="A2397" s="194"/>
      <c r="B2397" s="194"/>
      <c r="C2397" s="194"/>
      <c r="D2397" s="194"/>
      <c r="E2397" s="194"/>
      <c r="F2397" s="194"/>
      <c r="G2397" s="194"/>
      <c r="H2397" s="195"/>
      <c r="I2397" s="195"/>
      <c r="J2397" s="194"/>
      <c r="K2397" s="174"/>
      <c r="L2397" s="174"/>
      <c r="M2397" s="174"/>
      <c r="N2397" s="174"/>
      <c r="O2397" s="174"/>
      <c r="P2397" s="174"/>
      <c r="Q2397" s="174"/>
      <c r="R2397" s="174"/>
      <c r="S2397" s="174"/>
      <c r="T2397" s="174"/>
      <c r="U2397" s="174"/>
      <c r="V2397" s="174"/>
      <c r="W2397" s="174"/>
      <c r="X2397" s="174"/>
      <c r="Y2397" s="174"/>
      <c r="Z2397" s="174"/>
    </row>
    <row r="2398">
      <c r="A2398" s="194"/>
      <c r="B2398" s="194"/>
      <c r="C2398" s="194"/>
      <c r="D2398" s="194"/>
      <c r="E2398" s="194"/>
      <c r="F2398" s="194"/>
      <c r="G2398" s="194"/>
      <c r="H2398" s="195"/>
      <c r="I2398" s="195"/>
      <c r="J2398" s="194"/>
      <c r="K2398" s="174"/>
      <c r="L2398" s="174"/>
      <c r="M2398" s="174"/>
      <c r="N2398" s="174"/>
      <c r="O2398" s="174"/>
      <c r="P2398" s="174"/>
      <c r="Q2398" s="174"/>
      <c r="R2398" s="174"/>
      <c r="S2398" s="174"/>
      <c r="T2398" s="174"/>
      <c r="U2398" s="174"/>
      <c r="V2398" s="174"/>
      <c r="W2398" s="174"/>
      <c r="X2398" s="174"/>
      <c r="Y2398" s="174"/>
      <c r="Z2398" s="174"/>
    </row>
    <row r="2399">
      <c r="A2399" s="194"/>
      <c r="B2399" s="194"/>
      <c r="C2399" s="194"/>
      <c r="D2399" s="194"/>
      <c r="E2399" s="194"/>
      <c r="F2399" s="194"/>
      <c r="G2399" s="194"/>
      <c r="H2399" s="195"/>
      <c r="I2399" s="195"/>
      <c r="J2399" s="194"/>
      <c r="K2399" s="174"/>
      <c r="L2399" s="174"/>
      <c r="M2399" s="174"/>
      <c r="N2399" s="174"/>
      <c r="O2399" s="174"/>
      <c r="P2399" s="174"/>
      <c r="Q2399" s="174"/>
      <c r="R2399" s="174"/>
      <c r="S2399" s="174"/>
      <c r="T2399" s="174"/>
      <c r="U2399" s="174"/>
      <c r="V2399" s="174"/>
      <c r="W2399" s="174"/>
      <c r="X2399" s="174"/>
      <c r="Y2399" s="174"/>
      <c r="Z2399" s="174"/>
    </row>
    <row r="2400">
      <c r="A2400" s="194"/>
      <c r="B2400" s="194"/>
      <c r="C2400" s="194"/>
      <c r="D2400" s="194"/>
      <c r="E2400" s="194"/>
      <c r="F2400" s="194"/>
      <c r="G2400" s="194"/>
      <c r="H2400" s="195"/>
      <c r="I2400" s="195"/>
      <c r="J2400" s="194"/>
      <c r="K2400" s="174"/>
      <c r="L2400" s="174"/>
      <c r="M2400" s="174"/>
      <c r="N2400" s="174"/>
      <c r="O2400" s="174"/>
      <c r="P2400" s="174"/>
      <c r="Q2400" s="174"/>
      <c r="R2400" s="174"/>
      <c r="S2400" s="174"/>
      <c r="T2400" s="174"/>
      <c r="U2400" s="174"/>
      <c r="V2400" s="174"/>
      <c r="W2400" s="174"/>
      <c r="X2400" s="174"/>
      <c r="Y2400" s="174"/>
      <c r="Z2400" s="174"/>
    </row>
    <row r="2401">
      <c r="A2401" s="194"/>
      <c r="B2401" s="194"/>
      <c r="C2401" s="194"/>
      <c r="D2401" s="194"/>
      <c r="E2401" s="194"/>
      <c r="F2401" s="194"/>
      <c r="G2401" s="194"/>
      <c r="H2401" s="195"/>
      <c r="I2401" s="195"/>
      <c r="J2401" s="194"/>
      <c r="K2401" s="174"/>
      <c r="L2401" s="174"/>
      <c r="M2401" s="174"/>
      <c r="N2401" s="174"/>
      <c r="O2401" s="174"/>
      <c r="P2401" s="174"/>
      <c r="Q2401" s="174"/>
      <c r="R2401" s="174"/>
      <c r="S2401" s="174"/>
      <c r="T2401" s="174"/>
      <c r="U2401" s="174"/>
      <c r="V2401" s="174"/>
      <c r="W2401" s="174"/>
      <c r="X2401" s="174"/>
      <c r="Y2401" s="174"/>
      <c r="Z2401" s="174"/>
    </row>
    <row r="2402">
      <c r="A2402" s="194"/>
      <c r="B2402" s="194"/>
      <c r="C2402" s="194"/>
      <c r="D2402" s="194"/>
      <c r="E2402" s="194"/>
      <c r="F2402" s="194"/>
      <c r="G2402" s="194"/>
      <c r="H2402" s="195"/>
      <c r="I2402" s="195"/>
      <c r="J2402" s="194"/>
      <c r="K2402" s="174"/>
      <c r="L2402" s="174"/>
      <c r="M2402" s="174"/>
      <c r="N2402" s="174"/>
      <c r="O2402" s="174"/>
      <c r="P2402" s="174"/>
      <c r="Q2402" s="174"/>
      <c r="R2402" s="174"/>
      <c r="S2402" s="174"/>
      <c r="T2402" s="174"/>
      <c r="U2402" s="174"/>
      <c r="V2402" s="174"/>
      <c r="W2402" s="174"/>
      <c r="X2402" s="174"/>
      <c r="Y2402" s="174"/>
      <c r="Z2402" s="174"/>
    </row>
    <row r="2403">
      <c r="A2403" s="194"/>
      <c r="B2403" s="194"/>
      <c r="C2403" s="194"/>
      <c r="D2403" s="194"/>
      <c r="E2403" s="194"/>
      <c r="F2403" s="194"/>
      <c r="G2403" s="194"/>
      <c r="H2403" s="195"/>
      <c r="I2403" s="195"/>
      <c r="J2403" s="194"/>
      <c r="K2403" s="174"/>
      <c r="L2403" s="174"/>
      <c r="M2403" s="174"/>
      <c r="N2403" s="174"/>
      <c r="O2403" s="174"/>
      <c r="P2403" s="174"/>
      <c r="Q2403" s="174"/>
      <c r="R2403" s="174"/>
      <c r="S2403" s="174"/>
      <c r="T2403" s="174"/>
      <c r="U2403" s="174"/>
      <c r="V2403" s="174"/>
      <c r="W2403" s="174"/>
      <c r="X2403" s="174"/>
      <c r="Y2403" s="174"/>
      <c r="Z2403" s="174"/>
    </row>
    <row r="2404">
      <c r="A2404" s="194"/>
      <c r="B2404" s="194"/>
      <c r="C2404" s="194"/>
      <c r="D2404" s="194"/>
      <c r="E2404" s="194"/>
      <c r="F2404" s="194"/>
      <c r="G2404" s="194"/>
      <c r="H2404" s="195"/>
      <c r="I2404" s="195"/>
      <c r="J2404" s="194"/>
      <c r="K2404" s="174"/>
      <c r="L2404" s="174"/>
      <c r="M2404" s="174"/>
      <c r="N2404" s="174"/>
      <c r="O2404" s="174"/>
      <c r="P2404" s="174"/>
      <c r="Q2404" s="174"/>
      <c r="R2404" s="174"/>
      <c r="S2404" s="174"/>
      <c r="T2404" s="174"/>
      <c r="U2404" s="174"/>
      <c r="V2404" s="174"/>
      <c r="W2404" s="174"/>
      <c r="X2404" s="174"/>
      <c r="Y2404" s="174"/>
      <c r="Z2404" s="174"/>
    </row>
    <row r="2405">
      <c r="A2405" s="194"/>
      <c r="B2405" s="194"/>
      <c r="C2405" s="194"/>
      <c r="D2405" s="194"/>
      <c r="E2405" s="194"/>
      <c r="F2405" s="194"/>
      <c r="G2405" s="194"/>
      <c r="H2405" s="195"/>
      <c r="I2405" s="195"/>
      <c r="J2405" s="194"/>
      <c r="K2405" s="174"/>
      <c r="L2405" s="174"/>
      <c r="M2405" s="174"/>
      <c r="N2405" s="174"/>
      <c r="O2405" s="174"/>
      <c r="P2405" s="174"/>
      <c r="Q2405" s="174"/>
      <c r="R2405" s="174"/>
      <c r="S2405" s="174"/>
      <c r="T2405" s="174"/>
      <c r="U2405" s="174"/>
      <c r="V2405" s="174"/>
      <c r="W2405" s="174"/>
      <c r="X2405" s="174"/>
      <c r="Y2405" s="174"/>
      <c r="Z2405" s="174"/>
    </row>
    <row r="2406">
      <c r="A2406" s="194"/>
      <c r="B2406" s="194"/>
      <c r="C2406" s="194"/>
      <c r="D2406" s="194"/>
      <c r="E2406" s="194"/>
      <c r="F2406" s="194"/>
      <c r="G2406" s="194"/>
      <c r="H2406" s="195"/>
      <c r="I2406" s="195"/>
      <c r="J2406" s="194"/>
      <c r="K2406" s="174"/>
      <c r="L2406" s="174"/>
      <c r="M2406" s="174"/>
      <c r="N2406" s="174"/>
      <c r="O2406" s="174"/>
      <c r="P2406" s="174"/>
      <c r="Q2406" s="174"/>
      <c r="R2406" s="174"/>
      <c r="S2406" s="174"/>
      <c r="T2406" s="174"/>
      <c r="U2406" s="174"/>
      <c r="V2406" s="174"/>
      <c r="W2406" s="174"/>
      <c r="X2406" s="174"/>
      <c r="Y2406" s="174"/>
      <c r="Z2406" s="174"/>
    </row>
    <row r="2407">
      <c r="A2407" s="194"/>
      <c r="B2407" s="194"/>
      <c r="C2407" s="194"/>
      <c r="D2407" s="194"/>
      <c r="E2407" s="194"/>
      <c r="F2407" s="194"/>
      <c r="G2407" s="194"/>
      <c r="H2407" s="195"/>
      <c r="I2407" s="195"/>
      <c r="J2407" s="194"/>
      <c r="K2407" s="174"/>
      <c r="L2407" s="174"/>
      <c r="M2407" s="174"/>
      <c r="N2407" s="174"/>
      <c r="O2407" s="174"/>
      <c r="P2407" s="174"/>
      <c r="Q2407" s="174"/>
      <c r="R2407" s="174"/>
      <c r="S2407" s="174"/>
      <c r="T2407" s="174"/>
      <c r="U2407" s="174"/>
      <c r="V2407" s="174"/>
      <c r="W2407" s="174"/>
      <c r="X2407" s="174"/>
      <c r="Y2407" s="174"/>
      <c r="Z2407" s="174"/>
    </row>
    <row r="2408">
      <c r="A2408" s="194"/>
      <c r="B2408" s="194"/>
      <c r="C2408" s="194"/>
      <c r="D2408" s="194"/>
      <c r="E2408" s="194"/>
      <c r="F2408" s="194"/>
      <c r="G2408" s="194"/>
      <c r="H2408" s="195"/>
      <c r="I2408" s="195"/>
      <c r="J2408" s="194"/>
      <c r="K2408" s="174"/>
      <c r="L2408" s="174"/>
      <c r="M2408" s="174"/>
      <c r="N2408" s="174"/>
      <c r="O2408" s="174"/>
      <c r="P2408" s="174"/>
      <c r="Q2408" s="174"/>
      <c r="R2408" s="174"/>
      <c r="S2408" s="174"/>
      <c r="T2408" s="174"/>
      <c r="U2408" s="174"/>
      <c r="V2408" s="174"/>
      <c r="W2408" s="174"/>
      <c r="X2408" s="174"/>
      <c r="Y2408" s="174"/>
      <c r="Z2408" s="174"/>
    </row>
    <row r="2409">
      <c r="A2409" s="194"/>
      <c r="B2409" s="194"/>
      <c r="C2409" s="194"/>
      <c r="D2409" s="194"/>
      <c r="E2409" s="194"/>
      <c r="F2409" s="194"/>
      <c r="G2409" s="194"/>
      <c r="H2409" s="195"/>
      <c r="I2409" s="195"/>
      <c r="J2409" s="194"/>
      <c r="K2409" s="174"/>
      <c r="L2409" s="174"/>
      <c r="M2409" s="174"/>
      <c r="N2409" s="174"/>
      <c r="O2409" s="174"/>
      <c r="P2409" s="174"/>
      <c r="Q2409" s="174"/>
      <c r="R2409" s="174"/>
      <c r="S2409" s="174"/>
      <c r="T2409" s="174"/>
      <c r="U2409" s="174"/>
      <c r="V2409" s="174"/>
      <c r="W2409" s="174"/>
      <c r="X2409" s="174"/>
      <c r="Y2409" s="174"/>
      <c r="Z2409" s="174"/>
    </row>
    <row r="2410">
      <c r="A2410" s="194"/>
      <c r="B2410" s="194"/>
      <c r="C2410" s="194"/>
      <c r="D2410" s="194"/>
      <c r="E2410" s="194"/>
      <c r="F2410" s="194"/>
      <c r="G2410" s="194"/>
      <c r="H2410" s="195"/>
      <c r="I2410" s="195"/>
      <c r="J2410" s="194"/>
      <c r="K2410" s="174"/>
      <c r="L2410" s="174"/>
      <c r="M2410" s="174"/>
      <c r="N2410" s="174"/>
      <c r="O2410" s="174"/>
      <c r="P2410" s="174"/>
      <c r="Q2410" s="174"/>
      <c r="R2410" s="174"/>
      <c r="S2410" s="174"/>
      <c r="T2410" s="174"/>
      <c r="U2410" s="174"/>
      <c r="V2410" s="174"/>
      <c r="W2410" s="174"/>
      <c r="X2410" s="174"/>
      <c r="Y2410" s="174"/>
      <c r="Z2410" s="174"/>
    </row>
    <row r="2411">
      <c r="A2411" s="194"/>
      <c r="B2411" s="194"/>
      <c r="C2411" s="194"/>
      <c r="D2411" s="194"/>
      <c r="E2411" s="194"/>
      <c r="F2411" s="194"/>
      <c r="G2411" s="194"/>
      <c r="H2411" s="195"/>
      <c r="I2411" s="195"/>
      <c r="J2411" s="194"/>
      <c r="K2411" s="174"/>
      <c r="L2411" s="174"/>
      <c r="M2411" s="174"/>
      <c r="N2411" s="174"/>
      <c r="O2411" s="174"/>
      <c r="P2411" s="174"/>
      <c r="Q2411" s="174"/>
      <c r="R2411" s="174"/>
      <c r="S2411" s="174"/>
      <c r="T2411" s="174"/>
      <c r="U2411" s="174"/>
      <c r="V2411" s="174"/>
      <c r="W2411" s="174"/>
      <c r="X2411" s="174"/>
      <c r="Y2411" s="174"/>
      <c r="Z2411" s="174"/>
    </row>
    <row r="2412">
      <c r="A2412" s="194"/>
      <c r="B2412" s="194"/>
      <c r="C2412" s="194"/>
      <c r="D2412" s="194"/>
      <c r="E2412" s="194"/>
      <c r="F2412" s="194"/>
      <c r="G2412" s="194"/>
      <c r="H2412" s="195"/>
      <c r="I2412" s="195"/>
      <c r="J2412" s="194"/>
      <c r="K2412" s="174"/>
      <c r="L2412" s="174"/>
      <c r="M2412" s="174"/>
      <c r="N2412" s="174"/>
      <c r="O2412" s="174"/>
      <c r="P2412" s="174"/>
      <c r="Q2412" s="174"/>
      <c r="R2412" s="174"/>
      <c r="S2412" s="174"/>
      <c r="T2412" s="174"/>
      <c r="U2412" s="174"/>
      <c r="V2412" s="174"/>
      <c r="W2412" s="174"/>
      <c r="X2412" s="174"/>
      <c r="Y2412" s="174"/>
      <c r="Z2412" s="174"/>
    </row>
    <row r="2413">
      <c r="A2413" s="194"/>
      <c r="B2413" s="194"/>
      <c r="C2413" s="194"/>
      <c r="D2413" s="194"/>
      <c r="E2413" s="194"/>
      <c r="F2413" s="194"/>
      <c r="G2413" s="194"/>
      <c r="H2413" s="195"/>
      <c r="I2413" s="195"/>
      <c r="J2413" s="194"/>
      <c r="K2413" s="174"/>
      <c r="L2413" s="174"/>
      <c r="M2413" s="174"/>
      <c r="N2413" s="174"/>
      <c r="O2413" s="174"/>
      <c r="P2413" s="174"/>
      <c r="Q2413" s="174"/>
      <c r="R2413" s="174"/>
      <c r="S2413" s="174"/>
      <c r="T2413" s="174"/>
      <c r="U2413" s="174"/>
      <c r="V2413" s="174"/>
      <c r="W2413" s="174"/>
      <c r="X2413" s="174"/>
      <c r="Y2413" s="174"/>
      <c r="Z2413" s="174"/>
    </row>
    <row r="2414">
      <c r="A2414" s="194"/>
      <c r="B2414" s="194"/>
      <c r="C2414" s="194"/>
      <c r="D2414" s="194"/>
      <c r="E2414" s="194"/>
      <c r="F2414" s="194"/>
      <c r="G2414" s="194"/>
      <c r="H2414" s="195"/>
      <c r="I2414" s="195"/>
      <c r="J2414" s="194"/>
      <c r="K2414" s="174"/>
      <c r="L2414" s="174"/>
      <c r="M2414" s="174"/>
      <c r="N2414" s="174"/>
      <c r="O2414" s="174"/>
      <c r="P2414" s="174"/>
      <c r="Q2414" s="174"/>
      <c r="R2414" s="174"/>
      <c r="S2414" s="174"/>
      <c r="T2414" s="174"/>
      <c r="U2414" s="174"/>
      <c r="V2414" s="174"/>
      <c r="W2414" s="174"/>
      <c r="X2414" s="174"/>
      <c r="Y2414" s="174"/>
      <c r="Z2414" s="174"/>
    </row>
    <row r="2415">
      <c r="A2415" s="194"/>
      <c r="B2415" s="194"/>
      <c r="C2415" s="194"/>
      <c r="D2415" s="194"/>
      <c r="E2415" s="194"/>
      <c r="F2415" s="194"/>
      <c r="G2415" s="194"/>
      <c r="H2415" s="195"/>
      <c r="I2415" s="195"/>
      <c r="J2415" s="194"/>
      <c r="K2415" s="174"/>
      <c r="L2415" s="174"/>
      <c r="M2415" s="174"/>
      <c r="N2415" s="174"/>
      <c r="O2415" s="174"/>
      <c r="P2415" s="174"/>
      <c r="Q2415" s="174"/>
      <c r="R2415" s="174"/>
      <c r="S2415" s="174"/>
      <c r="T2415" s="174"/>
      <c r="U2415" s="174"/>
      <c r="V2415" s="174"/>
      <c r="W2415" s="174"/>
      <c r="X2415" s="174"/>
      <c r="Y2415" s="174"/>
      <c r="Z2415" s="174"/>
    </row>
    <row r="2416">
      <c r="A2416" s="194"/>
      <c r="B2416" s="194"/>
      <c r="C2416" s="194"/>
      <c r="D2416" s="194"/>
      <c r="E2416" s="194"/>
      <c r="F2416" s="194"/>
      <c r="G2416" s="194"/>
      <c r="H2416" s="195"/>
      <c r="I2416" s="195"/>
      <c r="J2416" s="194"/>
      <c r="K2416" s="174"/>
      <c r="L2416" s="174"/>
      <c r="M2416" s="174"/>
      <c r="N2416" s="174"/>
      <c r="O2416" s="174"/>
      <c r="P2416" s="174"/>
      <c r="Q2416" s="174"/>
      <c r="R2416" s="174"/>
      <c r="S2416" s="174"/>
      <c r="T2416" s="174"/>
      <c r="U2416" s="174"/>
      <c r="V2416" s="174"/>
      <c r="W2416" s="174"/>
      <c r="X2416" s="174"/>
      <c r="Y2416" s="174"/>
      <c r="Z2416" s="174"/>
    </row>
    <row r="2417">
      <c r="A2417" s="194"/>
      <c r="B2417" s="194"/>
      <c r="C2417" s="194"/>
      <c r="D2417" s="194"/>
      <c r="E2417" s="194"/>
      <c r="F2417" s="194"/>
      <c r="G2417" s="194"/>
      <c r="H2417" s="195"/>
      <c r="I2417" s="195"/>
      <c r="J2417" s="194"/>
      <c r="K2417" s="174"/>
      <c r="L2417" s="174"/>
      <c r="M2417" s="174"/>
      <c r="N2417" s="174"/>
      <c r="O2417" s="174"/>
      <c r="P2417" s="174"/>
      <c r="Q2417" s="174"/>
      <c r="R2417" s="174"/>
      <c r="S2417" s="174"/>
      <c r="T2417" s="174"/>
      <c r="U2417" s="174"/>
      <c r="V2417" s="174"/>
      <c r="W2417" s="174"/>
      <c r="X2417" s="174"/>
      <c r="Y2417" s="174"/>
      <c r="Z2417" s="174"/>
    </row>
    <row r="2418">
      <c r="A2418" s="194"/>
      <c r="B2418" s="194"/>
      <c r="C2418" s="194"/>
      <c r="D2418" s="194"/>
      <c r="E2418" s="194"/>
      <c r="F2418" s="194"/>
      <c r="G2418" s="194"/>
      <c r="H2418" s="195"/>
      <c r="I2418" s="195"/>
      <c r="J2418" s="194"/>
      <c r="K2418" s="174"/>
      <c r="L2418" s="174"/>
      <c r="M2418" s="174"/>
      <c r="N2418" s="174"/>
      <c r="O2418" s="174"/>
      <c r="P2418" s="174"/>
      <c r="Q2418" s="174"/>
      <c r="R2418" s="174"/>
      <c r="S2418" s="174"/>
      <c r="T2418" s="174"/>
      <c r="U2418" s="174"/>
      <c r="V2418" s="174"/>
      <c r="W2418" s="174"/>
      <c r="X2418" s="174"/>
      <c r="Y2418" s="174"/>
      <c r="Z2418" s="174"/>
    </row>
    <row r="2419">
      <c r="A2419" s="194"/>
      <c r="B2419" s="194"/>
      <c r="C2419" s="194"/>
      <c r="D2419" s="194"/>
      <c r="E2419" s="194"/>
      <c r="F2419" s="194"/>
      <c r="G2419" s="194"/>
      <c r="H2419" s="195"/>
      <c r="I2419" s="195"/>
      <c r="J2419" s="194"/>
      <c r="K2419" s="174"/>
      <c r="L2419" s="174"/>
      <c r="M2419" s="174"/>
      <c r="N2419" s="174"/>
      <c r="O2419" s="174"/>
      <c r="P2419" s="174"/>
      <c r="Q2419" s="174"/>
      <c r="R2419" s="174"/>
      <c r="S2419" s="174"/>
      <c r="T2419" s="174"/>
      <c r="U2419" s="174"/>
      <c r="V2419" s="174"/>
      <c r="W2419" s="174"/>
      <c r="X2419" s="174"/>
      <c r="Y2419" s="174"/>
      <c r="Z2419" s="174"/>
    </row>
    <row r="2420">
      <c r="A2420" s="194"/>
      <c r="B2420" s="194"/>
      <c r="C2420" s="194"/>
      <c r="D2420" s="194"/>
      <c r="E2420" s="194"/>
      <c r="F2420" s="194"/>
      <c r="G2420" s="194"/>
      <c r="H2420" s="195"/>
      <c r="I2420" s="195"/>
      <c r="J2420" s="194"/>
      <c r="K2420" s="174"/>
      <c r="L2420" s="174"/>
      <c r="M2420" s="174"/>
      <c r="N2420" s="174"/>
      <c r="O2420" s="174"/>
      <c r="P2420" s="174"/>
      <c r="Q2420" s="174"/>
      <c r="R2420" s="174"/>
      <c r="S2420" s="174"/>
      <c r="T2420" s="174"/>
      <c r="U2420" s="174"/>
      <c r="V2420" s="174"/>
      <c r="W2420" s="174"/>
      <c r="X2420" s="174"/>
      <c r="Y2420" s="174"/>
      <c r="Z2420" s="174"/>
    </row>
    <row r="2421">
      <c r="A2421" s="194"/>
      <c r="B2421" s="194"/>
      <c r="C2421" s="194"/>
      <c r="D2421" s="194"/>
      <c r="E2421" s="194"/>
      <c r="F2421" s="194"/>
      <c r="G2421" s="194"/>
      <c r="H2421" s="195"/>
      <c r="I2421" s="195"/>
      <c r="J2421" s="194"/>
      <c r="K2421" s="174"/>
      <c r="L2421" s="174"/>
      <c r="M2421" s="174"/>
      <c r="N2421" s="174"/>
      <c r="O2421" s="174"/>
      <c r="P2421" s="174"/>
      <c r="Q2421" s="174"/>
      <c r="R2421" s="174"/>
      <c r="S2421" s="174"/>
      <c r="T2421" s="174"/>
      <c r="U2421" s="174"/>
      <c r="V2421" s="174"/>
      <c r="W2421" s="174"/>
      <c r="X2421" s="174"/>
      <c r="Y2421" s="174"/>
      <c r="Z2421" s="174"/>
    </row>
    <row r="2422">
      <c r="A2422" s="194"/>
      <c r="B2422" s="194"/>
      <c r="C2422" s="194"/>
      <c r="D2422" s="194"/>
      <c r="E2422" s="194"/>
      <c r="F2422" s="194"/>
      <c r="G2422" s="194"/>
      <c r="H2422" s="195"/>
      <c r="I2422" s="195"/>
      <c r="J2422" s="194"/>
      <c r="K2422" s="174"/>
      <c r="L2422" s="174"/>
      <c r="M2422" s="174"/>
      <c r="N2422" s="174"/>
      <c r="O2422" s="174"/>
      <c r="P2422" s="174"/>
      <c r="Q2422" s="174"/>
      <c r="R2422" s="174"/>
      <c r="S2422" s="174"/>
      <c r="T2422" s="174"/>
      <c r="U2422" s="174"/>
      <c r="V2422" s="174"/>
      <c r="W2422" s="174"/>
      <c r="X2422" s="174"/>
      <c r="Y2422" s="174"/>
      <c r="Z2422" s="174"/>
    </row>
    <row r="2423">
      <c r="A2423" s="194"/>
      <c r="B2423" s="194"/>
      <c r="C2423" s="194"/>
      <c r="D2423" s="194"/>
      <c r="E2423" s="194"/>
      <c r="F2423" s="194"/>
      <c r="G2423" s="194"/>
      <c r="H2423" s="195"/>
      <c r="I2423" s="195"/>
      <c r="J2423" s="194"/>
      <c r="K2423" s="174"/>
      <c r="L2423" s="174"/>
      <c r="M2423" s="174"/>
      <c r="N2423" s="174"/>
      <c r="O2423" s="174"/>
      <c r="P2423" s="174"/>
      <c r="Q2423" s="174"/>
      <c r="R2423" s="174"/>
      <c r="S2423" s="174"/>
      <c r="T2423" s="174"/>
      <c r="U2423" s="174"/>
      <c r="V2423" s="174"/>
      <c r="W2423" s="174"/>
      <c r="X2423" s="174"/>
      <c r="Y2423" s="174"/>
      <c r="Z2423" s="174"/>
    </row>
    <row r="2424">
      <c r="A2424" s="194"/>
      <c r="B2424" s="194"/>
      <c r="C2424" s="194"/>
      <c r="D2424" s="194"/>
      <c r="E2424" s="194"/>
      <c r="F2424" s="194"/>
      <c r="G2424" s="194"/>
      <c r="H2424" s="195"/>
      <c r="I2424" s="195"/>
      <c r="J2424" s="194"/>
      <c r="K2424" s="174"/>
      <c r="L2424" s="174"/>
      <c r="M2424" s="174"/>
      <c r="N2424" s="174"/>
      <c r="O2424" s="174"/>
      <c r="P2424" s="174"/>
      <c r="Q2424" s="174"/>
      <c r="R2424" s="174"/>
      <c r="S2424" s="174"/>
      <c r="T2424" s="174"/>
      <c r="U2424" s="174"/>
      <c r="V2424" s="174"/>
      <c r="W2424" s="174"/>
      <c r="X2424" s="174"/>
      <c r="Y2424" s="174"/>
      <c r="Z2424" s="174"/>
    </row>
    <row r="2425">
      <c r="A2425" s="194"/>
      <c r="B2425" s="194"/>
      <c r="C2425" s="194"/>
      <c r="D2425" s="194"/>
      <c r="E2425" s="194"/>
      <c r="F2425" s="194"/>
      <c r="G2425" s="194"/>
      <c r="H2425" s="195"/>
      <c r="I2425" s="195"/>
      <c r="J2425" s="194"/>
      <c r="K2425" s="174"/>
      <c r="L2425" s="174"/>
      <c r="M2425" s="174"/>
      <c r="N2425" s="174"/>
      <c r="O2425" s="174"/>
      <c r="P2425" s="174"/>
      <c r="Q2425" s="174"/>
      <c r="R2425" s="174"/>
      <c r="S2425" s="174"/>
      <c r="T2425" s="174"/>
      <c r="U2425" s="174"/>
      <c r="V2425" s="174"/>
      <c r="W2425" s="174"/>
      <c r="X2425" s="174"/>
      <c r="Y2425" s="174"/>
      <c r="Z2425" s="174"/>
    </row>
    <row r="2426">
      <c r="A2426" s="194"/>
      <c r="B2426" s="194"/>
      <c r="C2426" s="194"/>
      <c r="D2426" s="194"/>
      <c r="E2426" s="194"/>
      <c r="F2426" s="194"/>
      <c r="G2426" s="194"/>
      <c r="H2426" s="195"/>
      <c r="I2426" s="195"/>
      <c r="J2426" s="194"/>
      <c r="K2426" s="174"/>
      <c r="L2426" s="174"/>
      <c r="M2426" s="174"/>
      <c r="N2426" s="174"/>
      <c r="O2426" s="174"/>
      <c r="P2426" s="174"/>
      <c r="Q2426" s="174"/>
      <c r="R2426" s="174"/>
      <c r="S2426" s="174"/>
      <c r="T2426" s="174"/>
      <c r="U2426" s="174"/>
      <c r="V2426" s="174"/>
      <c r="W2426" s="174"/>
      <c r="X2426" s="174"/>
      <c r="Y2426" s="174"/>
      <c r="Z2426" s="174"/>
    </row>
    <row r="2427">
      <c r="A2427" s="194"/>
      <c r="B2427" s="194"/>
      <c r="C2427" s="194"/>
      <c r="D2427" s="194"/>
      <c r="E2427" s="194"/>
      <c r="F2427" s="194"/>
      <c r="G2427" s="194"/>
      <c r="H2427" s="195"/>
      <c r="I2427" s="195"/>
      <c r="J2427" s="194"/>
      <c r="K2427" s="174"/>
      <c r="L2427" s="174"/>
      <c r="M2427" s="174"/>
      <c r="N2427" s="174"/>
      <c r="O2427" s="174"/>
      <c r="P2427" s="174"/>
      <c r="Q2427" s="174"/>
      <c r="R2427" s="174"/>
      <c r="S2427" s="174"/>
      <c r="T2427" s="174"/>
      <c r="U2427" s="174"/>
      <c r="V2427" s="174"/>
      <c r="W2427" s="174"/>
      <c r="X2427" s="174"/>
      <c r="Y2427" s="174"/>
      <c r="Z2427" s="174"/>
    </row>
    <row r="2428">
      <c r="A2428" s="194"/>
      <c r="B2428" s="194"/>
      <c r="C2428" s="194"/>
      <c r="D2428" s="194"/>
      <c r="E2428" s="194"/>
      <c r="F2428" s="194"/>
      <c r="G2428" s="194"/>
      <c r="H2428" s="195"/>
      <c r="I2428" s="195"/>
      <c r="J2428" s="194"/>
      <c r="K2428" s="174"/>
      <c r="L2428" s="174"/>
      <c r="M2428" s="174"/>
      <c r="N2428" s="174"/>
      <c r="O2428" s="174"/>
      <c r="P2428" s="174"/>
      <c r="Q2428" s="174"/>
      <c r="R2428" s="174"/>
      <c r="S2428" s="174"/>
      <c r="T2428" s="174"/>
      <c r="U2428" s="174"/>
      <c r="V2428" s="174"/>
      <c r="W2428" s="174"/>
      <c r="X2428" s="174"/>
      <c r="Y2428" s="174"/>
      <c r="Z2428" s="174"/>
    </row>
    <row r="2429">
      <c r="A2429" s="194"/>
      <c r="B2429" s="194"/>
      <c r="C2429" s="194"/>
      <c r="D2429" s="194"/>
      <c r="E2429" s="194"/>
      <c r="F2429" s="194"/>
      <c r="G2429" s="194"/>
      <c r="H2429" s="195"/>
      <c r="I2429" s="195"/>
      <c r="J2429" s="194"/>
      <c r="K2429" s="174"/>
      <c r="L2429" s="174"/>
      <c r="M2429" s="174"/>
      <c r="N2429" s="174"/>
      <c r="O2429" s="174"/>
      <c r="P2429" s="174"/>
      <c r="Q2429" s="174"/>
      <c r="R2429" s="174"/>
      <c r="S2429" s="174"/>
      <c r="T2429" s="174"/>
      <c r="U2429" s="174"/>
      <c r="V2429" s="174"/>
      <c r="W2429" s="174"/>
      <c r="X2429" s="174"/>
      <c r="Y2429" s="174"/>
      <c r="Z2429" s="174"/>
    </row>
    <row r="2430">
      <c r="A2430" s="194"/>
      <c r="B2430" s="194"/>
      <c r="C2430" s="194"/>
      <c r="D2430" s="194"/>
      <c r="E2430" s="194"/>
      <c r="F2430" s="194"/>
      <c r="G2430" s="194"/>
      <c r="H2430" s="195"/>
      <c r="I2430" s="195"/>
      <c r="J2430" s="194"/>
      <c r="K2430" s="174"/>
      <c r="L2430" s="174"/>
      <c r="M2430" s="174"/>
      <c r="N2430" s="174"/>
      <c r="O2430" s="174"/>
      <c r="P2430" s="174"/>
      <c r="Q2430" s="174"/>
      <c r="R2430" s="174"/>
      <c r="S2430" s="174"/>
      <c r="T2430" s="174"/>
      <c r="U2430" s="174"/>
      <c r="V2430" s="174"/>
      <c r="W2430" s="174"/>
      <c r="X2430" s="174"/>
      <c r="Y2430" s="174"/>
      <c r="Z2430" s="174"/>
    </row>
    <row r="2431">
      <c r="A2431" s="194"/>
      <c r="B2431" s="194"/>
      <c r="C2431" s="194"/>
      <c r="D2431" s="194"/>
      <c r="E2431" s="194"/>
      <c r="F2431" s="194"/>
      <c r="G2431" s="194"/>
      <c r="H2431" s="195"/>
      <c r="I2431" s="195"/>
      <c r="J2431" s="194"/>
      <c r="K2431" s="174"/>
      <c r="L2431" s="174"/>
      <c r="M2431" s="174"/>
      <c r="N2431" s="174"/>
      <c r="O2431" s="174"/>
      <c r="P2431" s="174"/>
      <c r="Q2431" s="174"/>
      <c r="R2431" s="174"/>
      <c r="S2431" s="174"/>
      <c r="T2431" s="174"/>
      <c r="U2431" s="174"/>
      <c r="V2431" s="174"/>
      <c r="W2431" s="174"/>
      <c r="X2431" s="174"/>
      <c r="Y2431" s="174"/>
      <c r="Z2431" s="174"/>
    </row>
    <row r="2432">
      <c r="A2432" s="194"/>
      <c r="B2432" s="194"/>
      <c r="C2432" s="194"/>
      <c r="D2432" s="194"/>
      <c r="E2432" s="194"/>
      <c r="F2432" s="194"/>
      <c r="G2432" s="194"/>
      <c r="H2432" s="195"/>
      <c r="I2432" s="195"/>
      <c r="J2432" s="194"/>
      <c r="K2432" s="174"/>
      <c r="L2432" s="174"/>
      <c r="M2432" s="174"/>
      <c r="N2432" s="174"/>
      <c r="O2432" s="174"/>
      <c r="P2432" s="174"/>
      <c r="Q2432" s="174"/>
      <c r="R2432" s="174"/>
      <c r="S2432" s="174"/>
      <c r="T2432" s="174"/>
      <c r="U2432" s="174"/>
      <c r="V2432" s="174"/>
      <c r="W2432" s="174"/>
      <c r="X2432" s="174"/>
      <c r="Y2432" s="174"/>
      <c r="Z2432" s="174"/>
    </row>
    <row r="2433">
      <c r="A2433" s="194"/>
      <c r="B2433" s="194"/>
      <c r="C2433" s="194"/>
      <c r="D2433" s="194"/>
      <c r="E2433" s="194"/>
      <c r="F2433" s="194"/>
      <c r="G2433" s="194"/>
      <c r="H2433" s="195"/>
      <c r="I2433" s="195"/>
      <c r="J2433" s="194"/>
      <c r="K2433" s="174"/>
      <c r="L2433" s="174"/>
      <c r="M2433" s="174"/>
      <c r="N2433" s="174"/>
      <c r="O2433" s="174"/>
      <c r="P2433" s="174"/>
      <c r="Q2433" s="174"/>
      <c r="R2433" s="174"/>
      <c r="S2433" s="174"/>
      <c r="T2433" s="174"/>
      <c r="U2433" s="174"/>
      <c r="V2433" s="174"/>
      <c r="W2433" s="174"/>
      <c r="X2433" s="174"/>
      <c r="Y2433" s="174"/>
      <c r="Z2433" s="174"/>
    </row>
    <row r="2434">
      <c r="A2434" s="194"/>
      <c r="B2434" s="194"/>
      <c r="C2434" s="194"/>
      <c r="D2434" s="194"/>
      <c r="E2434" s="194"/>
      <c r="F2434" s="194"/>
      <c r="G2434" s="194"/>
      <c r="H2434" s="195"/>
      <c r="I2434" s="195"/>
      <c r="J2434" s="194"/>
      <c r="K2434" s="174"/>
      <c r="L2434" s="174"/>
      <c r="M2434" s="174"/>
      <c r="N2434" s="174"/>
      <c r="O2434" s="174"/>
      <c r="P2434" s="174"/>
      <c r="Q2434" s="174"/>
      <c r="R2434" s="174"/>
      <c r="S2434" s="174"/>
      <c r="T2434" s="174"/>
      <c r="U2434" s="174"/>
      <c r="V2434" s="174"/>
      <c r="W2434" s="174"/>
      <c r="X2434" s="174"/>
      <c r="Y2434" s="174"/>
      <c r="Z2434" s="174"/>
    </row>
    <row r="2435">
      <c r="A2435" s="194"/>
      <c r="B2435" s="194"/>
      <c r="C2435" s="194"/>
      <c r="D2435" s="194"/>
      <c r="E2435" s="194"/>
      <c r="F2435" s="194"/>
      <c r="G2435" s="194"/>
      <c r="H2435" s="195"/>
      <c r="I2435" s="195"/>
      <c r="J2435" s="194"/>
      <c r="K2435" s="174"/>
      <c r="L2435" s="174"/>
      <c r="M2435" s="174"/>
      <c r="N2435" s="174"/>
      <c r="O2435" s="174"/>
      <c r="P2435" s="174"/>
      <c r="Q2435" s="174"/>
      <c r="R2435" s="174"/>
      <c r="S2435" s="174"/>
      <c r="T2435" s="174"/>
      <c r="U2435" s="174"/>
      <c r="V2435" s="174"/>
      <c r="W2435" s="174"/>
      <c r="X2435" s="174"/>
      <c r="Y2435" s="174"/>
      <c r="Z2435" s="174"/>
    </row>
    <row r="2436">
      <c r="A2436" s="194"/>
      <c r="B2436" s="194"/>
      <c r="C2436" s="194"/>
      <c r="D2436" s="194"/>
      <c r="E2436" s="194"/>
      <c r="F2436" s="194"/>
      <c r="G2436" s="194"/>
      <c r="H2436" s="195"/>
      <c r="I2436" s="195"/>
      <c r="J2436" s="194"/>
      <c r="K2436" s="174"/>
      <c r="L2436" s="174"/>
      <c r="M2436" s="174"/>
      <c r="N2436" s="174"/>
      <c r="O2436" s="174"/>
      <c r="P2436" s="174"/>
      <c r="Q2436" s="174"/>
      <c r="R2436" s="174"/>
      <c r="S2436" s="174"/>
      <c r="T2436" s="174"/>
      <c r="U2436" s="174"/>
      <c r="V2436" s="174"/>
      <c r="W2436" s="174"/>
      <c r="X2436" s="174"/>
      <c r="Y2436" s="174"/>
      <c r="Z2436" s="174"/>
    </row>
    <row r="2437">
      <c r="A2437" s="194"/>
      <c r="B2437" s="194"/>
      <c r="C2437" s="194"/>
      <c r="D2437" s="194"/>
      <c r="E2437" s="194"/>
      <c r="F2437" s="194"/>
      <c r="G2437" s="194"/>
      <c r="H2437" s="195"/>
      <c r="I2437" s="195"/>
      <c r="J2437" s="194"/>
      <c r="K2437" s="174"/>
      <c r="L2437" s="174"/>
      <c r="M2437" s="174"/>
      <c r="N2437" s="174"/>
      <c r="O2437" s="174"/>
      <c r="P2437" s="174"/>
      <c r="Q2437" s="174"/>
      <c r="R2437" s="174"/>
      <c r="S2437" s="174"/>
      <c r="T2437" s="174"/>
      <c r="U2437" s="174"/>
      <c r="V2437" s="174"/>
      <c r="W2437" s="174"/>
      <c r="X2437" s="174"/>
      <c r="Y2437" s="174"/>
      <c r="Z2437" s="174"/>
    </row>
    <row r="2438">
      <c r="A2438" s="194"/>
      <c r="B2438" s="194"/>
      <c r="C2438" s="194"/>
      <c r="D2438" s="194"/>
      <c r="E2438" s="194"/>
      <c r="F2438" s="194"/>
      <c r="G2438" s="194"/>
      <c r="H2438" s="195"/>
      <c r="I2438" s="195"/>
      <c r="J2438" s="194"/>
      <c r="K2438" s="174"/>
      <c r="L2438" s="174"/>
      <c r="M2438" s="174"/>
      <c r="N2438" s="174"/>
      <c r="O2438" s="174"/>
      <c r="P2438" s="174"/>
      <c r="Q2438" s="174"/>
      <c r="R2438" s="174"/>
      <c r="S2438" s="174"/>
      <c r="T2438" s="174"/>
      <c r="U2438" s="174"/>
      <c r="V2438" s="174"/>
      <c r="W2438" s="174"/>
      <c r="X2438" s="174"/>
      <c r="Y2438" s="174"/>
      <c r="Z2438" s="174"/>
    </row>
    <row r="2439">
      <c r="A2439" s="194"/>
      <c r="B2439" s="194"/>
      <c r="C2439" s="194"/>
      <c r="D2439" s="194"/>
      <c r="E2439" s="194"/>
      <c r="F2439" s="194"/>
      <c r="G2439" s="194"/>
      <c r="H2439" s="195"/>
      <c r="I2439" s="195"/>
      <c r="J2439" s="194"/>
      <c r="K2439" s="174"/>
      <c r="L2439" s="174"/>
      <c r="M2439" s="174"/>
      <c r="N2439" s="174"/>
      <c r="O2439" s="174"/>
      <c r="P2439" s="174"/>
      <c r="Q2439" s="174"/>
      <c r="R2439" s="174"/>
      <c r="S2439" s="174"/>
      <c r="T2439" s="174"/>
      <c r="U2439" s="174"/>
      <c r="V2439" s="174"/>
      <c r="W2439" s="174"/>
      <c r="X2439" s="174"/>
      <c r="Y2439" s="174"/>
      <c r="Z2439" s="174"/>
    </row>
    <row r="2440">
      <c r="A2440" s="194"/>
      <c r="B2440" s="194"/>
      <c r="C2440" s="194"/>
      <c r="D2440" s="194"/>
      <c r="E2440" s="194"/>
      <c r="F2440" s="194"/>
      <c r="G2440" s="194"/>
      <c r="H2440" s="195"/>
      <c r="I2440" s="195"/>
      <c r="J2440" s="194"/>
      <c r="K2440" s="174"/>
      <c r="L2440" s="174"/>
      <c r="M2440" s="174"/>
      <c r="N2440" s="174"/>
      <c r="O2440" s="174"/>
      <c r="P2440" s="174"/>
      <c r="Q2440" s="174"/>
      <c r="R2440" s="174"/>
      <c r="S2440" s="174"/>
      <c r="T2440" s="174"/>
      <c r="U2440" s="174"/>
      <c r="V2440" s="174"/>
      <c r="W2440" s="174"/>
      <c r="X2440" s="174"/>
      <c r="Y2440" s="174"/>
      <c r="Z2440" s="174"/>
    </row>
    <row r="2441">
      <c r="A2441" s="194"/>
      <c r="B2441" s="194"/>
      <c r="C2441" s="194"/>
      <c r="D2441" s="194"/>
      <c r="E2441" s="194"/>
      <c r="F2441" s="194"/>
      <c r="G2441" s="194"/>
      <c r="H2441" s="195"/>
      <c r="I2441" s="195"/>
      <c r="J2441" s="194"/>
      <c r="K2441" s="174"/>
      <c r="L2441" s="174"/>
      <c r="M2441" s="174"/>
      <c r="N2441" s="174"/>
      <c r="O2441" s="174"/>
      <c r="P2441" s="174"/>
      <c r="Q2441" s="174"/>
      <c r="R2441" s="174"/>
      <c r="S2441" s="174"/>
      <c r="T2441" s="174"/>
      <c r="U2441" s="174"/>
      <c r="V2441" s="174"/>
      <c r="W2441" s="174"/>
      <c r="X2441" s="174"/>
      <c r="Y2441" s="174"/>
      <c r="Z2441" s="174"/>
    </row>
    <row r="2442">
      <c r="A2442" s="194"/>
      <c r="B2442" s="194"/>
      <c r="C2442" s="194"/>
      <c r="D2442" s="194"/>
      <c r="E2442" s="194"/>
      <c r="F2442" s="194"/>
      <c r="G2442" s="194"/>
      <c r="H2442" s="195"/>
      <c r="I2442" s="195"/>
      <c r="J2442" s="194"/>
      <c r="K2442" s="174"/>
      <c r="L2442" s="174"/>
      <c r="M2442" s="174"/>
      <c r="N2442" s="174"/>
      <c r="O2442" s="174"/>
      <c r="P2442" s="174"/>
      <c r="Q2442" s="174"/>
      <c r="R2442" s="174"/>
      <c r="S2442" s="174"/>
      <c r="T2442" s="174"/>
      <c r="U2442" s="174"/>
      <c r="V2442" s="174"/>
      <c r="W2442" s="174"/>
      <c r="X2442" s="174"/>
      <c r="Y2442" s="174"/>
      <c r="Z2442" s="174"/>
    </row>
    <row r="2443">
      <c r="A2443" s="194"/>
      <c r="B2443" s="194"/>
      <c r="C2443" s="194"/>
      <c r="D2443" s="194"/>
      <c r="E2443" s="194"/>
      <c r="F2443" s="194"/>
      <c r="G2443" s="194"/>
      <c r="H2443" s="195"/>
      <c r="I2443" s="195"/>
      <c r="J2443" s="194"/>
      <c r="K2443" s="174"/>
      <c r="L2443" s="174"/>
      <c r="M2443" s="174"/>
      <c r="N2443" s="174"/>
      <c r="O2443" s="174"/>
      <c r="P2443" s="174"/>
      <c r="Q2443" s="174"/>
      <c r="R2443" s="174"/>
      <c r="S2443" s="174"/>
      <c r="T2443" s="174"/>
      <c r="U2443" s="174"/>
      <c r="V2443" s="174"/>
      <c r="W2443" s="174"/>
      <c r="X2443" s="174"/>
      <c r="Y2443" s="174"/>
      <c r="Z2443" s="174"/>
    </row>
    <row r="2444">
      <c r="A2444" s="194"/>
      <c r="B2444" s="194"/>
      <c r="C2444" s="194"/>
      <c r="D2444" s="194"/>
      <c r="E2444" s="194"/>
      <c r="F2444" s="194"/>
      <c r="G2444" s="194"/>
      <c r="H2444" s="195"/>
      <c r="I2444" s="195"/>
      <c r="J2444" s="194"/>
      <c r="K2444" s="174"/>
      <c r="L2444" s="174"/>
      <c r="M2444" s="174"/>
      <c r="N2444" s="174"/>
      <c r="O2444" s="174"/>
      <c r="P2444" s="174"/>
      <c r="Q2444" s="174"/>
      <c r="R2444" s="174"/>
      <c r="S2444" s="174"/>
      <c r="T2444" s="174"/>
      <c r="U2444" s="174"/>
      <c r="V2444" s="174"/>
      <c r="W2444" s="174"/>
      <c r="X2444" s="174"/>
      <c r="Y2444" s="174"/>
      <c r="Z2444" s="174"/>
    </row>
    <row r="2445">
      <c r="A2445" s="194"/>
      <c r="B2445" s="194"/>
      <c r="C2445" s="194"/>
      <c r="D2445" s="194"/>
      <c r="E2445" s="194"/>
      <c r="F2445" s="194"/>
      <c r="G2445" s="194"/>
      <c r="H2445" s="195"/>
      <c r="I2445" s="195"/>
      <c r="J2445" s="194"/>
      <c r="K2445" s="174"/>
      <c r="L2445" s="174"/>
      <c r="M2445" s="174"/>
      <c r="N2445" s="174"/>
      <c r="O2445" s="174"/>
      <c r="P2445" s="174"/>
      <c r="Q2445" s="174"/>
      <c r="R2445" s="174"/>
      <c r="S2445" s="174"/>
      <c r="T2445" s="174"/>
      <c r="U2445" s="174"/>
      <c r="V2445" s="174"/>
      <c r="W2445" s="174"/>
      <c r="X2445" s="174"/>
      <c r="Y2445" s="174"/>
      <c r="Z2445" s="174"/>
    </row>
    <row r="2446">
      <c r="A2446" s="194"/>
      <c r="B2446" s="194"/>
      <c r="C2446" s="194"/>
      <c r="D2446" s="194"/>
      <c r="E2446" s="194"/>
      <c r="F2446" s="194"/>
      <c r="G2446" s="194"/>
      <c r="H2446" s="195"/>
      <c r="I2446" s="195"/>
      <c r="J2446" s="194"/>
      <c r="K2446" s="174"/>
      <c r="L2446" s="174"/>
      <c r="M2446" s="174"/>
      <c r="N2446" s="174"/>
      <c r="O2446" s="174"/>
      <c r="P2446" s="174"/>
      <c r="Q2446" s="174"/>
      <c r="R2446" s="174"/>
      <c r="S2446" s="174"/>
      <c r="T2446" s="174"/>
      <c r="U2446" s="174"/>
      <c r="V2446" s="174"/>
      <c r="W2446" s="174"/>
      <c r="X2446" s="174"/>
      <c r="Y2446" s="174"/>
      <c r="Z2446" s="174"/>
    </row>
    <row r="2447">
      <c r="A2447" s="194"/>
      <c r="B2447" s="194"/>
      <c r="C2447" s="194"/>
      <c r="D2447" s="194"/>
      <c r="E2447" s="194"/>
      <c r="F2447" s="194"/>
      <c r="G2447" s="194"/>
      <c r="H2447" s="195"/>
      <c r="I2447" s="195"/>
      <c r="J2447" s="194"/>
      <c r="K2447" s="174"/>
      <c r="L2447" s="174"/>
      <c r="M2447" s="174"/>
      <c r="N2447" s="174"/>
      <c r="O2447" s="174"/>
      <c r="P2447" s="174"/>
      <c r="Q2447" s="174"/>
      <c r="R2447" s="174"/>
      <c r="S2447" s="174"/>
      <c r="T2447" s="174"/>
      <c r="U2447" s="174"/>
      <c r="V2447" s="174"/>
      <c r="W2447" s="174"/>
      <c r="X2447" s="174"/>
      <c r="Y2447" s="174"/>
      <c r="Z2447" s="174"/>
    </row>
    <row r="2448">
      <c r="A2448" s="194"/>
      <c r="B2448" s="194"/>
      <c r="C2448" s="194"/>
      <c r="D2448" s="194"/>
      <c r="E2448" s="194"/>
      <c r="F2448" s="194"/>
      <c r="G2448" s="194"/>
      <c r="H2448" s="195"/>
      <c r="I2448" s="195"/>
      <c r="J2448" s="194"/>
      <c r="K2448" s="174"/>
      <c r="L2448" s="174"/>
      <c r="M2448" s="174"/>
      <c r="N2448" s="174"/>
      <c r="O2448" s="174"/>
      <c r="P2448" s="174"/>
      <c r="Q2448" s="174"/>
      <c r="R2448" s="174"/>
      <c r="S2448" s="174"/>
      <c r="T2448" s="174"/>
      <c r="U2448" s="174"/>
      <c r="V2448" s="174"/>
      <c r="W2448" s="174"/>
      <c r="X2448" s="174"/>
      <c r="Y2448" s="174"/>
      <c r="Z2448" s="174"/>
    </row>
    <row r="2449">
      <c r="A2449" s="194"/>
      <c r="B2449" s="194"/>
      <c r="C2449" s="194"/>
      <c r="D2449" s="194"/>
      <c r="E2449" s="194"/>
      <c r="F2449" s="194"/>
      <c r="G2449" s="194"/>
      <c r="H2449" s="195"/>
      <c r="I2449" s="195"/>
      <c r="J2449" s="194"/>
      <c r="K2449" s="174"/>
      <c r="L2449" s="174"/>
      <c r="M2449" s="174"/>
      <c r="N2449" s="174"/>
      <c r="O2449" s="174"/>
      <c r="P2449" s="174"/>
      <c r="Q2449" s="174"/>
      <c r="R2449" s="174"/>
      <c r="S2449" s="174"/>
      <c r="T2449" s="174"/>
      <c r="U2449" s="174"/>
      <c r="V2449" s="174"/>
      <c r="W2449" s="174"/>
      <c r="X2449" s="174"/>
      <c r="Y2449" s="174"/>
      <c r="Z2449" s="174"/>
    </row>
    <row r="2450">
      <c r="A2450" s="194"/>
      <c r="B2450" s="194"/>
      <c r="C2450" s="194"/>
      <c r="D2450" s="194"/>
      <c r="E2450" s="194"/>
      <c r="F2450" s="194"/>
      <c r="G2450" s="194"/>
      <c r="H2450" s="195"/>
      <c r="I2450" s="195"/>
      <c r="J2450" s="194"/>
      <c r="K2450" s="174"/>
      <c r="L2450" s="174"/>
      <c r="M2450" s="174"/>
      <c r="N2450" s="174"/>
      <c r="O2450" s="174"/>
      <c r="P2450" s="174"/>
      <c r="Q2450" s="174"/>
      <c r="R2450" s="174"/>
      <c r="S2450" s="174"/>
      <c r="T2450" s="174"/>
      <c r="U2450" s="174"/>
      <c r="V2450" s="174"/>
      <c r="W2450" s="174"/>
      <c r="X2450" s="174"/>
      <c r="Y2450" s="174"/>
      <c r="Z2450" s="174"/>
    </row>
    <row r="2451">
      <c r="A2451" s="194"/>
      <c r="B2451" s="194"/>
      <c r="C2451" s="194"/>
      <c r="D2451" s="194"/>
      <c r="E2451" s="194"/>
      <c r="F2451" s="194"/>
      <c r="G2451" s="194"/>
      <c r="H2451" s="195"/>
      <c r="I2451" s="195"/>
      <c r="J2451" s="194"/>
      <c r="K2451" s="174"/>
      <c r="L2451" s="174"/>
      <c r="M2451" s="174"/>
      <c r="N2451" s="174"/>
      <c r="O2451" s="174"/>
      <c r="P2451" s="174"/>
      <c r="Q2451" s="174"/>
      <c r="R2451" s="174"/>
      <c r="S2451" s="174"/>
      <c r="T2451" s="174"/>
      <c r="U2451" s="174"/>
      <c r="V2451" s="174"/>
      <c r="W2451" s="174"/>
      <c r="X2451" s="174"/>
      <c r="Y2451" s="174"/>
      <c r="Z2451" s="174"/>
    </row>
    <row r="2452">
      <c r="A2452" s="194"/>
      <c r="B2452" s="194"/>
      <c r="C2452" s="194"/>
      <c r="D2452" s="194"/>
      <c r="E2452" s="194"/>
      <c r="F2452" s="194"/>
      <c r="G2452" s="194"/>
      <c r="H2452" s="195"/>
      <c r="I2452" s="195"/>
      <c r="J2452" s="194"/>
      <c r="K2452" s="174"/>
      <c r="L2452" s="174"/>
      <c r="M2452" s="174"/>
      <c r="N2452" s="174"/>
      <c r="O2452" s="174"/>
      <c r="P2452" s="174"/>
      <c r="Q2452" s="174"/>
      <c r="R2452" s="174"/>
      <c r="S2452" s="174"/>
      <c r="T2452" s="174"/>
      <c r="U2452" s="174"/>
      <c r="V2452" s="174"/>
      <c r="W2452" s="174"/>
      <c r="X2452" s="174"/>
      <c r="Y2452" s="174"/>
      <c r="Z2452" s="174"/>
    </row>
    <row r="2453">
      <c r="A2453" s="194"/>
      <c r="B2453" s="194"/>
      <c r="C2453" s="194"/>
      <c r="D2453" s="194"/>
      <c r="E2453" s="194"/>
      <c r="F2453" s="194"/>
      <c r="G2453" s="194"/>
      <c r="H2453" s="195"/>
      <c r="I2453" s="195"/>
      <c r="J2453" s="194"/>
      <c r="K2453" s="174"/>
      <c r="L2453" s="174"/>
      <c r="M2453" s="174"/>
      <c r="N2453" s="174"/>
      <c r="O2453" s="174"/>
      <c r="P2453" s="174"/>
      <c r="Q2453" s="174"/>
      <c r="R2453" s="174"/>
      <c r="S2453" s="174"/>
      <c r="T2453" s="174"/>
      <c r="U2453" s="174"/>
      <c r="V2453" s="174"/>
      <c r="W2453" s="174"/>
      <c r="X2453" s="174"/>
      <c r="Y2453" s="174"/>
      <c r="Z2453" s="174"/>
    </row>
    <row r="2454">
      <c r="A2454" s="194"/>
      <c r="B2454" s="194"/>
      <c r="C2454" s="194"/>
      <c r="D2454" s="194"/>
      <c r="E2454" s="194"/>
      <c r="F2454" s="194"/>
      <c r="G2454" s="194"/>
      <c r="H2454" s="195"/>
      <c r="I2454" s="195"/>
      <c r="J2454" s="194"/>
      <c r="K2454" s="174"/>
      <c r="L2454" s="174"/>
      <c r="M2454" s="174"/>
      <c r="N2454" s="174"/>
      <c r="O2454" s="174"/>
      <c r="P2454" s="174"/>
      <c r="Q2454" s="174"/>
      <c r="R2454" s="174"/>
      <c r="S2454" s="174"/>
      <c r="T2454" s="174"/>
      <c r="U2454" s="174"/>
      <c r="V2454" s="174"/>
      <c r="W2454" s="174"/>
      <c r="X2454" s="174"/>
      <c r="Y2454" s="174"/>
      <c r="Z2454" s="174"/>
    </row>
    <row r="2455">
      <c r="A2455" s="194"/>
      <c r="B2455" s="194"/>
      <c r="C2455" s="194"/>
      <c r="D2455" s="194"/>
      <c r="E2455" s="194"/>
      <c r="F2455" s="194"/>
      <c r="G2455" s="194"/>
      <c r="H2455" s="195"/>
      <c r="I2455" s="195"/>
      <c r="J2455" s="194"/>
      <c r="K2455" s="174"/>
      <c r="L2455" s="174"/>
      <c r="M2455" s="174"/>
      <c r="N2455" s="174"/>
      <c r="O2455" s="174"/>
      <c r="P2455" s="174"/>
      <c r="Q2455" s="174"/>
      <c r="R2455" s="174"/>
      <c r="S2455" s="174"/>
      <c r="T2455" s="174"/>
      <c r="U2455" s="174"/>
      <c r="V2455" s="174"/>
      <c r="W2455" s="174"/>
      <c r="X2455" s="174"/>
      <c r="Y2455" s="174"/>
      <c r="Z2455" s="174"/>
    </row>
    <row r="2456">
      <c r="A2456" s="194"/>
      <c r="B2456" s="194"/>
      <c r="C2456" s="194"/>
      <c r="D2456" s="194"/>
      <c r="E2456" s="194"/>
      <c r="F2456" s="194"/>
      <c r="G2456" s="194"/>
      <c r="H2456" s="195"/>
      <c r="I2456" s="195"/>
      <c r="J2456" s="194"/>
      <c r="K2456" s="174"/>
      <c r="L2456" s="174"/>
      <c r="M2456" s="174"/>
      <c r="N2456" s="174"/>
      <c r="O2456" s="174"/>
      <c r="P2456" s="174"/>
      <c r="Q2456" s="174"/>
      <c r="R2456" s="174"/>
      <c r="S2456" s="174"/>
      <c r="T2456" s="174"/>
      <c r="U2456" s="174"/>
      <c r="V2456" s="174"/>
      <c r="W2456" s="174"/>
      <c r="X2456" s="174"/>
      <c r="Y2456" s="174"/>
      <c r="Z2456" s="174"/>
    </row>
    <row r="2457">
      <c r="A2457" s="194"/>
      <c r="B2457" s="194"/>
      <c r="C2457" s="194"/>
      <c r="D2457" s="194"/>
      <c r="E2457" s="194"/>
      <c r="F2457" s="194"/>
      <c r="G2457" s="194"/>
      <c r="H2457" s="195"/>
      <c r="I2457" s="195"/>
      <c r="J2457" s="194"/>
      <c r="K2457" s="174"/>
      <c r="L2457" s="174"/>
      <c r="M2457" s="174"/>
      <c r="N2457" s="174"/>
      <c r="O2457" s="174"/>
      <c r="P2457" s="174"/>
      <c r="Q2457" s="174"/>
      <c r="R2457" s="174"/>
      <c r="S2457" s="174"/>
      <c r="T2457" s="174"/>
      <c r="U2457" s="174"/>
      <c r="V2457" s="174"/>
      <c r="W2457" s="174"/>
      <c r="X2457" s="174"/>
      <c r="Y2457" s="174"/>
      <c r="Z2457" s="174"/>
    </row>
    <row r="2458">
      <c r="A2458" s="194"/>
      <c r="B2458" s="194"/>
      <c r="C2458" s="194"/>
      <c r="D2458" s="194"/>
      <c r="E2458" s="194"/>
      <c r="F2458" s="194"/>
      <c r="G2458" s="194"/>
      <c r="H2458" s="195"/>
      <c r="I2458" s="195"/>
      <c r="J2458" s="194"/>
      <c r="K2458" s="174"/>
      <c r="L2458" s="174"/>
      <c r="M2458" s="174"/>
      <c r="N2458" s="174"/>
      <c r="O2458" s="174"/>
      <c r="P2458" s="174"/>
      <c r="Q2458" s="174"/>
      <c r="R2458" s="174"/>
      <c r="S2458" s="174"/>
      <c r="T2458" s="174"/>
      <c r="U2458" s="174"/>
      <c r="V2458" s="174"/>
      <c r="W2458" s="174"/>
      <c r="X2458" s="174"/>
      <c r="Y2458" s="174"/>
      <c r="Z2458" s="174"/>
    </row>
    <row r="2459">
      <c r="A2459" s="194"/>
      <c r="B2459" s="194"/>
      <c r="C2459" s="194"/>
      <c r="D2459" s="194"/>
      <c r="E2459" s="194"/>
      <c r="F2459" s="194"/>
      <c r="G2459" s="194"/>
      <c r="H2459" s="195"/>
      <c r="I2459" s="195"/>
      <c r="J2459" s="194"/>
      <c r="K2459" s="174"/>
      <c r="L2459" s="174"/>
      <c r="M2459" s="174"/>
      <c r="N2459" s="174"/>
      <c r="O2459" s="174"/>
      <c r="P2459" s="174"/>
      <c r="Q2459" s="174"/>
      <c r="R2459" s="174"/>
      <c r="S2459" s="174"/>
      <c r="T2459" s="174"/>
      <c r="U2459" s="174"/>
      <c r="V2459" s="174"/>
      <c r="W2459" s="174"/>
      <c r="X2459" s="174"/>
      <c r="Y2459" s="174"/>
      <c r="Z2459" s="174"/>
    </row>
    <row r="2460">
      <c r="A2460" s="194"/>
      <c r="B2460" s="194"/>
      <c r="C2460" s="194"/>
      <c r="D2460" s="194"/>
      <c r="E2460" s="194"/>
      <c r="F2460" s="194"/>
      <c r="G2460" s="194"/>
      <c r="H2460" s="195"/>
      <c r="I2460" s="195"/>
      <c r="J2460" s="194"/>
      <c r="K2460" s="174"/>
      <c r="L2460" s="174"/>
      <c r="M2460" s="174"/>
      <c r="N2460" s="174"/>
      <c r="O2460" s="174"/>
      <c r="P2460" s="174"/>
      <c r="Q2460" s="174"/>
      <c r="R2460" s="174"/>
      <c r="S2460" s="174"/>
      <c r="T2460" s="174"/>
      <c r="U2460" s="174"/>
      <c r="V2460" s="174"/>
      <c r="W2460" s="174"/>
      <c r="X2460" s="174"/>
      <c r="Y2460" s="174"/>
      <c r="Z2460" s="174"/>
    </row>
    <row r="2461">
      <c r="A2461" s="194"/>
      <c r="B2461" s="194"/>
      <c r="C2461" s="194"/>
      <c r="D2461" s="194"/>
      <c r="E2461" s="194"/>
      <c r="F2461" s="194"/>
      <c r="G2461" s="194"/>
      <c r="H2461" s="195"/>
      <c r="I2461" s="195"/>
      <c r="J2461" s="194"/>
      <c r="K2461" s="174"/>
      <c r="L2461" s="174"/>
      <c r="M2461" s="174"/>
      <c r="N2461" s="174"/>
      <c r="O2461" s="174"/>
      <c r="P2461" s="174"/>
      <c r="Q2461" s="174"/>
      <c r="R2461" s="174"/>
      <c r="S2461" s="174"/>
      <c r="T2461" s="174"/>
      <c r="U2461" s="174"/>
      <c r="V2461" s="174"/>
      <c r="W2461" s="174"/>
      <c r="X2461" s="174"/>
      <c r="Y2461" s="174"/>
      <c r="Z2461" s="174"/>
    </row>
    <row r="2462">
      <c r="A2462" s="194"/>
      <c r="B2462" s="194"/>
      <c r="C2462" s="194"/>
      <c r="D2462" s="194"/>
      <c r="E2462" s="194"/>
      <c r="F2462" s="194"/>
      <c r="G2462" s="194"/>
      <c r="H2462" s="195"/>
      <c r="I2462" s="195"/>
      <c r="J2462" s="194"/>
      <c r="K2462" s="174"/>
      <c r="L2462" s="174"/>
      <c r="M2462" s="174"/>
      <c r="N2462" s="174"/>
      <c r="O2462" s="174"/>
      <c r="P2462" s="174"/>
      <c r="Q2462" s="174"/>
      <c r="R2462" s="174"/>
      <c r="S2462" s="174"/>
      <c r="T2462" s="174"/>
      <c r="U2462" s="174"/>
      <c r="V2462" s="174"/>
      <c r="W2462" s="174"/>
      <c r="X2462" s="174"/>
      <c r="Y2462" s="174"/>
      <c r="Z2462" s="174"/>
    </row>
    <row r="2463">
      <c r="A2463" s="194"/>
      <c r="B2463" s="194"/>
      <c r="C2463" s="194"/>
      <c r="D2463" s="194"/>
      <c r="E2463" s="194"/>
      <c r="F2463" s="194"/>
      <c r="G2463" s="194"/>
      <c r="H2463" s="195"/>
      <c r="I2463" s="195"/>
      <c r="J2463" s="194"/>
      <c r="K2463" s="174"/>
      <c r="L2463" s="174"/>
      <c r="M2463" s="174"/>
      <c r="N2463" s="174"/>
      <c r="O2463" s="174"/>
      <c r="P2463" s="174"/>
      <c r="Q2463" s="174"/>
      <c r="R2463" s="174"/>
      <c r="S2463" s="174"/>
      <c r="T2463" s="174"/>
      <c r="U2463" s="174"/>
      <c r="V2463" s="174"/>
      <c r="W2463" s="174"/>
      <c r="X2463" s="174"/>
      <c r="Y2463" s="174"/>
      <c r="Z2463" s="174"/>
    </row>
    <row r="2464">
      <c r="A2464" s="194"/>
      <c r="B2464" s="194"/>
      <c r="C2464" s="194"/>
      <c r="D2464" s="194"/>
      <c r="E2464" s="194"/>
      <c r="F2464" s="194"/>
      <c r="G2464" s="194"/>
      <c r="H2464" s="195"/>
      <c r="I2464" s="195"/>
      <c r="J2464" s="194"/>
      <c r="K2464" s="174"/>
      <c r="L2464" s="174"/>
      <c r="M2464" s="174"/>
      <c r="N2464" s="174"/>
      <c r="O2464" s="174"/>
      <c r="P2464" s="174"/>
      <c r="Q2464" s="174"/>
      <c r="R2464" s="174"/>
      <c r="S2464" s="174"/>
      <c r="T2464" s="174"/>
      <c r="U2464" s="174"/>
      <c r="V2464" s="174"/>
      <c r="W2464" s="174"/>
      <c r="X2464" s="174"/>
      <c r="Y2464" s="174"/>
      <c r="Z2464" s="174"/>
    </row>
    <row r="2465">
      <c r="A2465" s="194"/>
      <c r="B2465" s="194"/>
      <c r="C2465" s="194"/>
      <c r="D2465" s="194"/>
      <c r="E2465" s="194"/>
      <c r="F2465" s="194"/>
      <c r="G2465" s="194"/>
      <c r="H2465" s="195"/>
      <c r="I2465" s="195"/>
      <c r="J2465" s="194"/>
      <c r="K2465" s="174"/>
      <c r="L2465" s="174"/>
      <c r="M2465" s="174"/>
      <c r="N2465" s="174"/>
      <c r="O2465" s="174"/>
      <c r="P2465" s="174"/>
      <c r="Q2465" s="174"/>
      <c r="R2465" s="174"/>
      <c r="S2465" s="174"/>
      <c r="T2465" s="174"/>
      <c r="U2465" s="174"/>
      <c r="V2465" s="174"/>
      <c r="W2465" s="174"/>
      <c r="X2465" s="174"/>
      <c r="Y2465" s="174"/>
      <c r="Z2465" s="174"/>
    </row>
    <row r="2466">
      <c r="A2466" s="194"/>
      <c r="B2466" s="194"/>
      <c r="C2466" s="194"/>
      <c r="D2466" s="194"/>
      <c r="E2466" s="194"/>
      <c r="F2466" s="194"/>
      <c r="G2466" s="194"/>
      <c r="H2466" s="195"/>
      <c r="I2466" s="195"/>
      <c r="J2466" s="194"/>
      <c r="K2466" s="174"/>
      <c r="L2466" s="174"/>
      <c r="M2466" s="174"/>
      <c r="N2466" s="174"/>
      <c r="O2466" s="174"/>
      <c r="P2466" s="174"/>
      <c r="Q2466" s="174"/>
      <c r="R2466" s="174"/>
      <c r="S2466" s="174"/>
      <c r="T2466" s="174"/>
      <c r="U2466" s="174"/>
      <c r="V2466" s="174"/>
      <c r="W2466" s="174"/>
      <c r="X2466" s="174"/>
      <c r="Y2466" s="174"/>
      <c r="Z2466" s="174"/>
    </row>
    <row r="2467">
      <c r="A2467" s="194"/>
      <c r="B2467" s="194"/>
      <c r="C2467" s="194"/>
      <c r="D2467" s="194"/>
      <c r="E2467" s="194"/>
      <c r="F2467" s="194"/>
      <c r="G2467" s="194"/>
      <c r="H2467" s="195"/>
      <c r="I2467" s="195"/>
      <c r="J2467" s="194"/>
      <c r="K2467" s="174"/>
      <c r="L2467" s="174"/>
      <c r="M2467" s="174"/>
      <c r="N2467" s="174"/>
      <c r="O2467" s="174"/>
      <c r="P2467" s="174"/>
      <c r="Q2467" s="174"/>
      <c r="R2467" s="174"/>
      <c r="S2467" s="174"/>
      <c r="T2467" s="174"/>
      <c r="U2467" s="174"/>
      <c r="V2467" s="174"/>
      <c r="W2467" s="174"/>
      <c r="X2467" s="174"/>
      <c r="Y2467" s="174"/>
      <c r="Z2467" s="174"/>
    </row>
    <row r="2468">
      <c r="A2468" s="194"/>
      <c r="B2468" s="194"/>
      <c r="C2468" s="194"/>
      <c r="D2468" s="194"/>
      <c r="E2468" s="194"/>
      <c r="F2468" s="194"/>
      <c r="G2468" s="194"/>
      <c r="H2468" s="195"/>
      <c r="I2468" s="195"/>
      <c r="J2468" s="194"/>
      <c r="K2468" s="174"/>
      <c r="L2468" s="174"/>
      <c r="M2468" s="174"/>
      <c r="N2468" s="174"/>
      <c r="O2468" s="174"/>
      <c r="P2468" s="174"/>
      <c r="Q2468" s="174"/>
      <c r="R2468" s="174"/>
      <c r="S2468" s="174"/>
      <c r="T2468" s="174"/>
      <c r="U2468" s="174"/>
      <c r="V2468" s="174"/>
      <c r="W2468" s="174"/>
      <c r="X2468" s="174"/>
      <c r="Y2468" s="174"/>
      <c r="Z2468" s="174"/>
    </row>
    <row r="2469">
      <c r="A2469" s="194"/>
      <c r="B2469" s="194"/>
      <c r="C2469" s="194"/>
      <c r="D2469" s="194"/>
      <c r="E2469" s="194"/>
      <c r="F2469" s="194"/>
      <c r="G2469" s="194"/>
      <c r="H2469" s="195"/>
      <c r="I2469" s="195"/>
      <c r="J2469" s="194"/>
      <c r="K2469" s="174"/>
      <c r="L2469" s="174"/>
      <c r="M2469" s="174"/>
      <c r="N2469" s="174"/>
      <c r="O2469" s="174"/>
      <c r="P2469" s="174"/>
      <c r="Q2469" s="174"/>
      <c r="R2469" s="174"/>
      <c r="S2469" s="174"/>
      <c r="T2469" s="174"/>
      <c r="U2469" s="174"/>
      <c r="V2469" s="174"/>
      <c r="W2469" s="174"/>
      <c r="X2469" s="174"/>
      <c r="Y2469" s="174"/>
      <c r="Z2469" s="174"/>
    </row>
    <row r="2470">
      <c r="A2470" s="194"/>
      <c r="B2470" s="194"/>
      <c r="C2470" s="194"/>
      <c r="D2470" s="194"/>
      <c r="E2470" s="194"/>
      <c r="F2470" s="194"/>
      <c r="G2470" s="194"/>
      <c r="H2470" s="195"/>
      <c r="I2470" s="195"/>
      <c r="J2470" s="194"/>
      <c r="K2470" s="174"/>
      <c r="L2470" s="174"/>
      <c r="M2470" s="174"/>
      <c r="N2470" s="174"/>
      <c r="O2470" s="174"/>
      <c r="P2470" s="174"/>
      <c r="Q2470" s="174"/>
      <c r="R2470" s="174"/>
      <c r="S2470" s="174"/>
      <c r="T2470" s="174"/>
      <c r="U2470" s="174"/>
      <c r="V2470" s="174"/>
      <c r="W2470" s="174"/>
      <c r="X2470" s="174"/>
      <c r="Y2470" s="174"/>
      <c r="Z2470" s="174"/>
    </row>
    <row r="2471">
      <c r="A2471" s="194"/>
      <c r="B2471" s="194"/>
      <c r="C2471" s="194"/>
      <c r="D2471" s="194"/>
      <c r="E2471" s="194"/>
      <c r="F2471" s="194"/>
      <c r="G2471" s="194"/>
      <c r="H2471" s="195"/>
      <c r="I2471" s="195"/>
      <c r="J2471" s="194"/>
      <c r="K2471" s="174"/>
      <c r="L2471" s="174"/>
      <c r="M2471" s="174"/>
      <c r="N2471" s="174"/>
      <c r="O2471" s="174"/>
      <c r="P2471" s="174"/>
      <c r="Q2471" s="174"/>
      <c r="R2471" s="174"/>
      <c r="S2471" s="174"/>
      <c r="T2471" s="174"/>
      <c r="U2471" s="174"/>
      <c r="V2471" s="174"/>
      <c r="W2471" s="174"/>
      <c r="X2471" s="174"/>
      <c r="Y2471" s="174"/>
      <c r="Z2471" s="174"/>
    </row>
    <row r="2472">
      <c r="A2472" s="194"/>
      <c r="B2472" s="194"/>
      <c r="C2472" s="194"/>
      <c r="D2472" s="194"/>
      <c r="E2472" s="194"/>
      <c r="F2472" s="194"/>
      <c r="G2472" s="194"/>
      <c r="H2472" s="195"/>
      <c r="I2472" s="195"/>
      <c r="J2472" s="194"/>
      <c r="K2472" s="174"/>
      <c r="L2472" s="174"/>
      <c r="M2472" s="174"/>
      <c r="N2472" s="174"/>
      <c r="O2472" s="174"/>
      <c r="P2472" s="174"/>
      <c r="Q2472" s="174"/>
      <c r="R2472" s="174"/>
      <c r="S2472" s="174"/>
      <c r="T2472" s="174"/>
      <c r="U2472" s="174"/>
      <c r="V2472" s="174"/>
      <c r="W2472" s="174"/>
      <c r="X2472" s="174"/>
      <c r="Y2472" s="174"/>
      <c r="Z2472" s="174"/>
    </row>
    <row r="2473">
      <c r="A2473" s="194"/>
      <c r="B2473" s="194"/>
      <c r="C2473" s="194"/>
      <c r="D2473" s="194"/>
      <c r="E2473" s="194"/>
      <c r="F2473" s="194"/>
      <c r="G2473" s="194"/>
      <c r="H2473" s="195"/>
      <c r="I2473" s="195"/>
      <c r="J2473" s="194"/>
      <c r="K2473" s="174"/>
      <c r="L2473" s="174"/>
      <c r="M2473" s="174"/>
      <c r="N2473" s="174"/>
      <c r="O2473" s="174"/>
      <c r="P2473" s="174"/>
      <c r="Q2473" s="174"/>
      <c r="R2473" s="174"/>
      <c r="S2473" s="174"/>
      <c r="T2473" s="174"/>
      <c r="U2473" s="174"/>
      <c r="V2473" s="174"/>
      <c r="W2473" s="174"/>
      <c r="X2473" s="174"/>
      <c r="Y2473" s="174"/>
      <c r="Z2473" s="174"/>
    </row>
    <row r="2474">
      <c r="A2474" s="194"/>
      <c r="B2474" s="194"/>
      <c r="C2474" s="194"/>
      <c r="D2474" s="194"/>
      <c r="E2474" s="194"/>
      <c r="F2474" s="194"/>
      <c r="G2474" s="194"/>
      <c r="H2474" s="195"/>
      <c r="I2474" s="195"/>
      <c r="J2474" s="194"/>
      <c r="K2474" s="174"/>
      <c r="L2474" s="174"/>
      <c r="M2474" s="174"/>
      <c r="N2474" s="174"/>
      <c r="O2474" s="174"/>
      <c r="P2474" s="174"/>
      <c r="Q2474" s="174"/>
      <c r="R2474" s="174"/>
      <c r="S2474" s="174"/>
      <c r="T2474" s="174"/>
      <c r="U2474" s="174"/>
      <c r="V2474" s="174"/>
      <c r="W2474" s="174"/>
      <c r="X2474" s="174"/>
      <c r="Y2474" s="174"/>
      <c r="Z2474" s="174"/>
    </row>
    <row r="2475">
      <c r="A2475" s="194"/>
      <c r="B2475" s="194"/>
      <c r="C2475" s="194"/>
      <c r="D2475" s="194"/>
      <c r="E2475" s="194"/>
      <c r="F2475" s="194"/>
      <c r="G2475" s="194"/>
      <c r="H2475" s="195"/>
      <c r="I2475" s="195"/>
      <c r="J2475" s="194"/>
      <c r="K2475" s="174"/>
      <c r="L2475" s="174"/>
      <c r="M2475" s="174"/>
      <c r="N2475" s="174"/>
      <c r="O2475" s="174"/>
      <c r="P2475" s="174"/>
      <c r="Q2475" s="174"/>
      <c r="R2475" s="174"/>
      <c r="S2475" s="174"/>
      <c r="T2475" s="174"/>
      <c r="U2475" s="174"/>
      <c r="V2475" s="174"/>
      <c r="W2475" s="174"/>
      <c r="X2475" s="174"/>
      <c r="Y2475" s="174"/>
      <c r="Z2475" s="174"/>
    </row>
    <row r="2476">
      <c r="A2476" s="194"/>
      <c r="B2476" s="194"/>
      <c r="C2476" s="194"/>
      <c r="D2476" s="194"/>
      <c r="E2476" s="194"/>
      <c r="F2476" s="194"/>
      <c r="G2476" s="194"/>
      <c r="H2476" s="195"/>
      <c r="I2476" s="195"/>
      <c r="J2476" s="194"/>
      <c r="K2476" s="174"/>
      <c r="L2476" s="174"/>
      <c r="M2476" s="174"/>
      <c r="N2476" s="174"/>
      <c r="O2476" s="174"/>
      <c r="P2476" s="174"/>
      <c r="Q2476" s="174"/>
      <c r="R2476" s="174"/>
      <c r="S2476" s="174"/>
      <c r="T2476" s="174"/>
      <c r="U2476" s="174"/>
      <c r="V2476" s="174"/>
      <c r="W2476" s="174"/>
      <c r="X2476" s="174"/>
      <c r="Y2476" s="174"/>
      <c r="Z2476" s="174"/>
    </row>
    <row r="2477">
      <c r="A2477" s="194"/>
      <c r="B2477" s="194"/>
      <c r="C2477" s="194"/>
      <c r="D2477" s="194"/>
      <c r="E2477" s="194"/>
      <c r="F2477" s="194"/>
      <c r="G2477" s="194"/>
      <c r="H2477" s="195"/>
      <c r="I2477" s="195"/>
      <c r="J2477" s="194"/>
      <c r="K2477" s="174"/>
      <c r="L2477" s="174"/>
      <c r="M2477" s="174"/>
      <c r="N2477" s="174"/>
      <c r="O2477" s="174"/>
      <c r="P2477" s="174"/>
      <c r="Q2477" s="174"/>
      <c r="R2477" s="174"/>
      <c r="S2477" s="174"/>
      <c r="T2477" s="174"/>
      <c r="U2477" s="174"/>
      <c r="V2477" s="174"/>
      <c r="W2477" s="174"/>
      <c r="X2477" s="174"/>
      <c r="Y2477" s="174"/>
      <c r="Z2477" s="174"/>
    </row>
    <row r="2478">
      <c r="A2478" s="194"/>
      <c r="B2478" s="194"/>
      <c r="C2478" s="194"/>
      <c r="D2478" s="194"/>
      <c r="E2478" s="194"/>
      <c r="F2478" s="194"/>
      <c r="G2478" s="194"/>
      <c r="H2478" s="195"/>
      <c r="I2478" s="195"/>
      <c r="J2478" s="194"/>
      <c r="K2478" s="174"/>
      <c r="L2478" s="174"/>
      <c r="M2478" s="174"/>
      <c r="N2478" s="174"/>
      <c r="O2478" s="174"/>
      <c r="P2478" s="174"/>
      <c r="Q2478" s="174"/>
      <c r="R2478" s="174"/>
      <c r="S2478" s="174"/>
      <c r="T2478" s="174"/>
      <c r="U2478" s="174"/>
      <c r="V2478" s="174"/>
      <c r="W2478" s="174"/>
      <c r="X2478" s="174"/>
      <c r="Y2478" s="174"/>
      <c r="Z2478" s="174"/>
    </row>
    <row r="2479">
      <c r="A2479" s="194"/>
      <c r="B2479" s="194"/>
      <c r="C2479" s="194"/>
      <c r="D2479" s="194"/>
      <c r="E2479" s="194"/>
      <c r="F2479" s="194"/>
      <c r="G2479" s="194"/>
      <c r="H2479" s="195"/>
      <c r="I2479" s="195"/>
      <c r="J2479" s="194"/>
      <c r="K2479" s="174"/>
      <c r="L2479" s="174"/>
      <c r="M2479" s="174"/>
      <c r="N2479" s="174"/>
      <c r="O2479" s="174"/>
      <c r="P2479" s="174"/>
      <c r="Q2479" s="174"/>
      <c r="R2479" s="174"/>
      <c r="S2479" s="174"/>
      <c r="T2479" s="174"/>
      <c r="U2479" s="174"/>
      <c r="V2479" s="174"/>
      <c r="W2479" s="174"/>
      <c r="X2479" s="174"/>
      <c r="Y2479" s="174"/>
      <c r="Z2479" s="174"/>
    </row>
    <row r="2480">
      <c r="A2480" s="194"/>
      <c r="B2480" s="194"/>
      <c r="C2480" s="194"/>
      <c r="D2480" s="194"/>
      <c r="E2480" s="194"/>
      <c r="F2480" s="194"/>
      <c r="G2480" s="194"/>
      <c r="H2480" s="195"/>
      <c r="I2480" s="195"/>
      <c r="J2480" s="194"/>
      <c r="K2480" s="174"/>
      <c r="L2480" s="174"/>
      <c r="M2480" s="174"/>
      <c r="N2480" s="174"/>
      <c r="O2480" s="174"/>
      <c r="P2480" s="174"/>
      <c r="Q2480" s="174"/>
      <c r="R2480" s="174"/>
      <c r="S2480" s="174"/>
      <c r="T2480" s="174"/>
      <c r="U2480" s="174"/>
      <c r="V2480" s="174"/>
      <c r="W2480" s="174"/>
      <c r="X2480" s="174"/>
      <c r="Y2480" s="174"/>
      <c r="Z2480" s="174"/>
    </row>
    <row r="2481">
      <c r="A2481" s="194"/>
      <c r="B2481" s="194"/>
      <c r="C2481" s="194"/>
      <c r="D2481" s="194"/>
      <c r="E2481" s="194"/>
      <c r="F2481" s="194"/>
      <c r="G2481" s="194"/>
      <c r="H2481" s="195"/>
      <c r="I2481" s="195"/>
      <c r="J2481" s="194"/>
      <c r="K2481" s="174"/>
      <c r="L2481" s="174"/>
      <c r="M2481" s="174"/>
      <c r="N2481" s="174"/>
      <c r="O2481" s="174"/>
      <c r="P2481" s="174"/>
      <c r="Q2481" s="174"/>
      <c r="R2481" s="174"/>
      <c r="S2481" s="174"/>
      <c r="T2481" s="174"/>
      <c r="U2481" s="174"/>
      <c r="V2481" s="174"/>
      <c r="W2481" s="174"/>
      <c r="X2481" s="174"/>
      <c r="Y2481" s="174"/>
      <c r="Z2481" s="174"/>
    </row>
    <row r="2482">
      <c r="A2482" s="194"/>
      <c r="B2482" s="194"/>
      <c r="C2482" s="194"/>
      <c r="D2482" s="194"/>
      <c r="E2482" s="194"/>
      <c r="F2482" s="194"/>
      <c r="G2482" s="194"/>
      <c r="H2482" s="195"/>
      <c r="I2482" s="195"/>
      <c r="J2482" s="194"/>
      <c r="K2482" s="174"/>
      <c r="L2482" s="174"/>
      <c r="M2482" s="174"/>
      <c r="N2482" s="174"/>
      <c r="O2482" s="174"/>
      <c r="P2482" s="174"/>
      <c r="Q2482" s="174"/>
      <c r="R2482" s="174"/>
      <c r="S2482" s="174"/>
      <c r="T2482" s="174"/>
      <c r="U2482" s="174"/>
      <c r="V2482" s="174"/>
      <c r="W2482" s="174"/>
      <c r="X2482" s="174"/>
      <c r="Y2482" s="174"/>
      <c r="Z2482" s="174"/>
    </row>
    <row r="2483">
      <c r="A2483" s="194"/>
      <c r="B2483" s="194"/>
      <c r="C2483" s="194"/>
      <c r="D2483" s="194"/>
      <c r="E2483" s="194"/>
      <c r="F2483" s="194"/>
      <c r="G2483" s="194"/>
      <c r="H2483" s="195"/>
      <c r="I2483" s="195"/>
      <c r="J2483" s="194"/>
      <c r="K2483" s="174"/>
      <c r="L2483" s="174"/>
      <c r="M2483" s="174"/>
      <c r="N2483" s="174"/>
      <c r="O2483" s="174"/>
      <c r="P2483" s="174"/>
      <c r="Q2483" s="174"/>
      <c r="R2483" s="174"/>
      <c r="S2483" s="174"/>
      <c r="T2483" s="174"/>
      <c r="U2483" s="174"/>
      <c r="V2483" s="174"/>
      <c r="W2483" s="174"/>
      <c r="X2483" s="174"/>
      <c r="Y2483" s="174"/>
      <c r="Z2483" s="174"/>
    </row>
    <row r="2484">
      <c r="A2484" s="194"/>
      <c r="B2484" s="194"/>
      <c r="C2484" s="194"/>
      <c r="D2484" s="194"/>
      <c r="E2484" s="194"/>
      <c r="F2484" s="194"/>
      <c r="G2484" s="194"/>
      <c r="H2484" s="195"/>
      <c r="I2484" s="195"/>
      <c r="J2484" s="194"/>
      <c r="K2484" s="174"/>
      <c r="L2484" s="174"/>
      <c r="M2484" s="174"/>
      <c r="N2484" s="174"/>
      <c r="O2484" s="174"/>
      <c r="P2484" s="174"/>
      <c r="Q2484" s="174"/>
      <c r="R2484" s="174"/>
      <c r="S2484" s="174"/>
      <c r="T2484" s="174"/>
      <c r="U2484" s="174"/>
      <c r="V2484" s="174"/>
      <c r="W2484" s="174"/>
      <c r="X2484" s="174"/>
      <c r="Y2484" s="174"/>
      <c r="Z2484" s="174"/>
    </row>
    <row r="2485">
      <c r="A2485" s="194"/>
      <c r="B2485" s="194"/>
      <c r="C2485" s="194"/>
      <c r="D2485" s="194"/>
      <c r="E2485" s="194"/>
      <c r="F2485" s="194"/>
      <c r="G2485" s="194"/>
      <c r="H2485" s="195"/>
      <c r="I2485" s="195"/>
      <c r="J2485" s="194"/>
      <c r="K2485" s="174"/>
      <c r="L2485" s="174"/>
      <c r="M2485" s="174"/>
      <c r="N2485" s="174"/>
      <c r="O2485" s="174"/>
      <c r="P2485" s="174"/>
      <c r="Q2485" s="174"/>
      <c r="R2485" s="174"/>
      <c r="S2485" s="174"/>
      <c r="T2485" s="174"/>
      <c r="U2485" s="174"/>
      <c r="V2485" s="174"/>
      <c r="W2485" s="174"/>
      <c r="X2485" s="174"/>
      <c r="Y2485" s="174"/>
      <c r="Z2485" s="174"/>
    </row>
    <row r="2486">
      <c r="A2486" s="194"/>
      <c r="B2486" s="194"/>
      <c r="C2486" s="194"/>
      <c r="D2486" s="194"/>
      <c r="E2486" s="194"/>
      <c r="F2486" s="194"/>
      <c r="G2486" s="194"/>
      <c r="H2486" s="195"/>
      <c r="I2486" s="195"/>
      <c r="J2486" s="194"/>
      <c r="K2486" s="174"/>
      <c r="L2486" s="174"/>
      <c r="M2486" s="174"/>
      <c r="N2486" s="174"/>
      <c r="O2486" s="174"/>
      <c r="P2486" s="174"/>
      <c r="Q2486" s="174"/>
      <c r="R2486" s="174"/>
      <c r="S2486" s="174"/>
      <c r="T2486" s="174"/>
      <c r="U2486" s="174"/>
      <c r="V2486" s="174"/>
      <c r="W2486" s="174"/>
      <c r="X2486" s="174"/>
      <c r="Y2486" s="174"/>
      <c r="Z2486" s="174"/>
    </row>
    <row r="2487">
      <c r="A2487" s="194"/>
      <c r="B2487" s="194"/>
      <c r="C2487" s="194"/>
      <c r="D2487" s="194"/>
      <c r="E2487" s="194"/>
      <c r="F2487" s="194"/>
      <c r="G2487" s="194"/>
      <c r="H2487" s="195"/>
      <c r="I2487" s="195"/>
      <c r="J2487" s="194"/>
      <c r="K2487" s="174"/>
      <c r="L2487" s="174"/>
      <c r="M2487" s="174"/>
      <c r="N2487" s="174"/>
      <c r="O2487" s="174"/>
      <c r="P2487" s="174"/>
      <c r="Q2487" s="174"/>
      <c r="R2487" s="174"/>
      <c r="S2487" s="174"/>
      <c r="T2487" s="174"/>
      <c r="U2487" s="174"/>
      <c r="V2487" s="174"/>
      <c r="W2487" s="174"/>
      <c r="X2487" s="174"/>
      <c r="Y2487" s="174"/>
      <c r="Z2487" s="174"/>
    </row>
    <row r="2488">
      <c r="A2488" s="194"/>
      <c r="B2488" s="194"/>
      <c r="C2488" s="194"/>
      <c r="D2488" s="194"/>
      <c r="E2488" s="194"/>
      <c r="F2488" s="194"/>
      <c r="G2488" s="194"/>
      <c r="H2488" s="195"/>
      <c r="I2488" s="195"/>
      <c r="J2488" s="194"/>
      <c r="K2488" s="174"/>
      <c r="L2488" s="174"/>
      <c r="M2488" s="174"/>
      <c r="N2488" s="174"/>
      <c r="O2488" s="174"/>
      <c r="P2488" s="174"/>
      <c r="Q2488" s="174"/>
      <c r="R2488" s="174"/>
      <c r="S2488" s="174"/>
      <c r="T2488" s="174"/>
      <c r="U2488" s="174"/>
      <c r="V2488" s="174"/>
      <c r="W2488" s="174"/>
      <c r="X2488" s="174"/>
      <c r="Y2488" s="174"/>
      <c r="Z2488" s="174"/>
    </row>
    <row r="2489">
      <c r="A2489" s="194"/>
      <c r="B2489" s="194"/>
      <c r="C2489" s="194"/>
      <c r="D2489" s="194"/>
      <c r="E2489" s="194"/>
      <c r="F2489" s="194"/>
      <c r="G2489" s="194"/>
      <c r="H2489" s="195"/>
      <c r="I2489" s="195"/>
      <c r="J2489" s="194"/>
      <c r="K2489" s="174"/>
      <c r="L2489" s="174"/>
      <c r="M2489" s="174"/>
      <c r="N2489" s="174"/>
      <c r="O2489" s="174"/>
      <c r="P2489" s="174"/>
      <c r="Q2489" s="174"/>
      <c r="R2489" s="174"/>
      <c r="S2489" s="174"/>
      <c r="T2489" s="174"/>
      <c r="U2489" s="174"/>
      <c r="V2489" s="174"/>
      <c r="W2489" s="174"/>
      <c r="X2489" s="174"/>
      <c r="Y2489" s="174"/>
      <c r="Z2489" s="174"/>
    </row>
    <row r="2490">
      <c r="A2490" s="194"/>
      <c r="B2490" s="194"/>
      <c r="C2490" s="194"/>
      <c r="D2490" s="194"/>
      <c r="E2490" s="194"/>
      <c r="F2490" s="194"/>
      <c r="G2490" s="194"/>
      <c r="H2490" s="195"/>
      <c r="I2490" s="195"/>
      <c r="J2490" s="194"/>
      <c r="K2490" s="174"/>
      <c r="L2490" s="174"/>
      <c r="M2490" s="174"/>
      <c r="N2490" s="174"/>
      <c r="O2490" s="174"/>
      <c r="P2490" s="174"/>
      <c r="Q2490" s="174"/>
      <c r="R2490" s="174"/>
      <c r="S2490" s="174"/>
      <c r="T2490" s="174"/>
      <c r="U2490" s="174"/>
      <c r="V2490" s="174"/>
      <c r="W2490" s="174"/>
      <c r="X2490" s="174"/>
      <c r="Y2490" s="174"/>
      <c r="Z2490" s="174"/>
    </row>
    <row r="2491">
      <c r="A2491" s="194"/>
      <c r="B2491" s="194"/>
      <c r="C2491" s="194"/>
      <c r="D2491" s="194"/>
      <c r="E2491" s="194"/>
      <c r="F2491" s="194"/>
      <c r="G2491" s="194"/>
      <c r="H2491" s="195"/>
      <c r="I2491" s="195"/>
      <c r="J2491" s="194"/>
      <c r="K2491" s="174"/>
      <c r="L2491" s="174"/>
      <c r="M2491" s="174"/>
      <c r="N2491" s="174"/>
      <c r="O2491" s="174"/>
      <c r="P2491" s="174"/>
      <c r="Q2491" s="174"/>
      <c r="R2491" s="174"/>
      <c r="S2491" s="174"/>
      <c r="T2491" s="174"/>
      <c r="U2491" s="174"/>
      <c r="V2491" s="174"/>
      <c r="W2491" s="174"/>
      <c r="X2491" s="174"/>
      <c r="Y2491" s="174"/>
      <c r="Z2491" s="174"/>
    </row>
    <row r="2492">
      <c r="A2492" s="194"/>
      <c r="B2492" s="194"/>
      <c r="C2492" s="194"/>
      <c r="D2492" s="194"/>
      <c r="E2492" s="194"/>
      <c r="F2492" s="194"/>
      <c r="G2492" s="194"/>
      <c r="H2492" s="195"/>
      <c r="I2492" s="195"/>
      <c r="J2492" s="194"/>
      <c r="K2492" s="174"/>
      <c r="L2492" s="174"/>
      <c r="M2492" s="174"/>
      <c r="N2492" s="174"/>
      <c r="O2492" s="174"/>
      <c r="P2492" s="174"/>
      <c r="Q2492" s="174"/>
      <c r="R2492" s="174"/>
      <c r="S2492" s="174"/>
      <c r="T2492" s="174"/>
      <c r="U2492" s="174"/>
      <c r="V2492" s="174"/>
      <c r="W2492" s="174"/>
      <c r="X2492" s="174"/>
      <c r="Y2492" s="174"/>
      <c r="Z2492" s="174"/>
    </row>
    <row r="2493">
      <c r="A2493" s="194"/>
      <c r="B2493" s="194"/>
      <c r="C2493" s="194"/>
      <c r="D2493" s="194"/>
      <c r="E2493" s="194"/>
      <c r="F2493" s="194"/>
      <c r="G2493" s="194"/>
      <c r="H2493" s="195"/>
      <c r="I2493" s="195"/>
      <c r="J2493" s="194"/>
      <c r="K2493" s="174"/>
      <c r="L2493" s="174"/>
      <c r="M2493" s="174"/>
      <c r="N2493" s="174"/>
      <c r="O2493" s="174"/>
      <c r="P2493" s="174"/>
      <c r="Q2493" s="174"/>
      <c r="R2493" s="174"/>
      <c r="S2493" s="174"/>
      <c r="T2493" s="174"/>
      <c r="U2493" s="174"/>
      <c r="V2493" s="174"/>
      <c r="W2493" s="174"/>
      <c r="X2493" s="174"/>
      <c r="Y2493" s="174"/>
      <c r="Z2493" s="174"/>
    </row>
    <row r="2494">
      <c r="A2494" s="194"/>
      <c r="B2494" s="194"/>
      <c r="C2494" s="194"/>
      <c r="D2494" s="194"/>
      <c r="E2494" s="194"/>
      <c r="F2494" s="194"/>
      <c r="G2494" s="194"/>
      <c r="H2494" s="195"/>
      <c r="I2494" s="195"/>
      <c r="J2494" s="194"/>
      <c r="K2494" s="174"/>
      <c r="L2494" s="174"/>
      <c r="M2494" s="174"/>
      <c r="N2494" s="174"/>
      <c r="O2494" s="174"/>
      <c r="P2494" s="174"/>
      <c r="Q2494" s="174"/>
      <c r="R2494" s="174"/>
      <c r="S2494" s="174"/>
      <c r="T2494" s="174"/>
      <c r="U2494" s="174"/>
      <c r="V2494" s="174"/>
      <c r="W2494" s="174"/>
      <c r="X2494" s="174"/>
      <c r="Y2494" s="174"/>
      <c r="Z2494" s="174"/>
    </row>
    <row r="2495">
      <c r="A2495" s="194"/>
      <c r="B2495" s="194"/>
      <c r="C2495" s="194"/>
      <c r="D2495" s="194"/>
      <c r="E2495" s="194"/>
      <c r="F2495" s="194"/>
      <c r="G2495" s="194"/>
      <c r="H2495" s="195"/>
      <c r="I2495" s="195"/>
      <c r="J2495" s="194"/>
      <c r="K2495" s="174"/>
      <c r="L2495" s="174"/>
      <c r="M2495" s="174"/>
      <c r="N2495" s="174"/>
      <c r="O2495" s="174"/>
      <c r="P2495" s="174"/>
      <c r="Q2495" s="174"/>
      <c r="R2495" s="174"/>
      <c r="S2495" s="174"/>
      <c r="T2495" s="174"/>
      <c r="U2495" s="174"/>
      <c r="V2495" s="174"/>
      <c r="W2495" s="174"/>
      <c r="X2495" s="174"/>
      <c r="Y2495" s="174"/>
      <c r="Z2495" s="174"/>
    </row>
    <row r="2496">
      <c r="A2496" s="194"/>
      <c r="B2496" s="194"/>
      <c r="C2496" s="194"/>
      <c r="D2496" s="194"/>
      <c r="E2496" s="194"/>
      <c r="F2496" s="194"/>
      <c r="G2496" s="194"/>
      <c r="H2496" s="195"/>
      <c r="I2496" s="195"/>
      <c r="J2496" s="194"/>
      <c r="K2496" s="174"/>
      <c r="L2496" s="174"/>
      <c r="M2496" s="174"/>
      <c r="N2496" s="174"/>
      <c r="O2496" s="174"/>
      <c r="P2496" s="174"/>
      <c r="Q2496" s="174"/>
      <c r="R2496" s="174"/>
      <c r="S2496" s="174"/>
      <c r="T2496" s="174"/>
      <c r="U2496" s="174"/>
      <c r="V2496" s="174"/>
      <c r="W2496" s="174"/>
      <c r="X2496" s="174"/>
      <c r="Y2496" s="174"/>
      <c r="Z2496" s="174"/>
    </row>
    <row r="2497">
      <c r="A2497" s="194"/>
      <c r="B2497" s="194"/>
      <c r="C2497" s="194"/>
      <c r="D2497" s="194"/>
      <c r="E2497" s="194"/>
      <c r="F2497" s="194"/>
      <c r="G2497" s="194"/>
      <c r="H2497" s="195"/>
      <c r="I2497" s="195"/>
      <c r="J2497" s="194"/>
      <c r="K2497" s="174"/>
      <c r="L2497" s="174"/>
      <c r="M2497" s="174"/>
      <c r="N2497" s="174"/>
      <c r="O2497" s="174"/>
      <c r="P2497" s="174"/>
      <c r="Q2497" s="174"/>
      <c r="R2497" s="174"/>
      <c r="S2497" s="174"/>
      <c r="T2497" s="174"/>
      <c r="U2497" s="174"/>
      <c r="V2497" s="174"/>
      <c r="W2497" s="174"/>
      <c r="X2497" s="174"/>
      <c r="Y2497" s="174"/>
      <c r="Z2497" s="174"/>
    </row>
    <row r="2498">
      <c r="A2498" s="194"/>
      <c r="B2498" s="194"/>
      <c r="C2498" s="194"/>
      <c r="D2498" s="194"/>
      <c r="E2498" s="194"/>
      <c r="F2498" s="194"/>
      <c r="G2498" s="194"/>
      <c r="H2498" s="195"/>
      <c r="I2498" s="195"/>
      <c r="J2498" s="194"/>
      <c r="K2498" s="174"/>
      <c r="L2498" s="174"/>
      <c r="M2498" s="174"/>
      <c r="N2498" s="174"/>
      <c r="O2498" s="174"/>
      <c r="P2498" s="174"/>
      <c r="Q2498" s="174"/>
      <c r="R2498" s="174"/>
      <c r="S2498" s="174"/>
      <c r="T2498" s="174"/>
      <c r="U2498" s="174"/>
      <c r="V2498" s="174"/>
      <c r="W2498" s="174"/>
      <c r="X2498" s="174"/>
      <c r="Y2498" s="174"/>
      <c r="Z2498" s="174"/>
    </row>
    <row r="2499">
      <c r="A2499" s="194"/>
      <c r="B2499" s="194"/>
      <c r="C2499" s="194"/>
      <c r="D2499" s="194"/>
      <c r="E2499" s="194"/>
      <c r="F2499" s="194"/>
      <c r="G2499" s="194"/>
      <c r="H2499" s="195"/>
      <c r="I2499" s="195"/>
      <c r="J2499" s="194"/>
      <c r="K2499" s="174"/>
      <c r="L2499" s="174"/>
      <c r="M2499" s="174"/>
      <c r="N2499" s="174"/>
      <c r="O2499" s="174"/>
      <c r="P2499" s="174"/>
      <c r="Q2499" s="174"/>
      <c r="R2499" s="174"/>
      <c r="S2499" s="174"/>
      <c r="T2499" s="174"/>
      <c r="U2499" s="174"/>
      <c r="V2499" s="174"/>
      <c r="W2499" s="174"/>
      <c r="X2499" s="174"/>
      <c r="Y2499" s="174"/>
      <c r="Z2499" s="174"/>
    </row>
    <row r="2500">
      <c r="A2500" s="194"/>
      <c r="B2500" s="194"/>
      <c r="C2500" s="194"/>
      <c r="D2500" s="194"/>
      <c r="E2500" s="194"/>
      <c r="F2500" s="194"/>
      <c r="G2500" s="194"/>
      <c r="H2500" s="195"/>
      <c r="I2500" s="195"/>
      <c r="J2500" s="194"/>
      <c r="K2500" s="174"/>
      <c r="L2500" s="174"/>
      <c r="M2500" s="174"/>
      <c r="N2500" s="174"/>
      <c r="O2500" s="174"/>
      <c r="P2500" s="174"/>
      <c r="Q2500" s="174"/>
      <c r="R2500" s="174"/>
      <c r="S2500" s="174"/>
      <c r="T2500" s="174"/>
      <c r="U2500" s="174"/>
      <c r="V2500" s="174"/>
      <c r="W2500" s="174"/>
      <c r="X2500" s="174"/>
      <c r="Y2500" s="174"/>
      <c r="Z2500" s="174"/>
    </row>
    <row r="2501">
      <c r="A2501" s="194"/>
      <c r="B2501" s="194"/>
      <c r="C2501" s="194"/>
      <c r="D2501" s="194"/>
      <c r="E2501" s="194"/>
      <c r="F2501" s="194"/>
      <c r="G2501" s="194"/>
      <c r="H2501" s="195"/>
      <c r="I2501" s="195"/>
      <c r="J2501" s="194"/>
      <c r="K2501" s="174"/>
      <c r="L2501" s="174"/>
      <c r="M2501" s="174"/>
      <c r="N2501" s="174"/>
      <c r="O2501" s="174"/>
      <c r="P2501" s="174"/>
      <c r="Q2501" s="174"/>
      <c r="R2501" s="174"/>
      <c r="S2501" s="174"/>
      <c r="T2501" s="174"/>
      <c r="U2501" s="174"/>
      <c r="V2501" s="174"/>
      <c r="W2501" s="174"/>
      <c r="X2501" s="174"/>
      <c r="Y2501" s="174"/>
      <c r="Z2501" s="174"/>
    </row>
    <row r="2502">
      <c r="A2502" s="194"/>
      <c r="B2502" s="194"/>
      <c r="C2502" s="194"/>
      <c r="D2502" s="194"/>
      <c r="E2502" s="194"/>
      <c r="F2502" s="194"/>
      <c r="G2502" s="194"/>
      <c r="H2502" s="195"/>
      <c r="I2502" s="195"/>
      <c r="J2502" s="194"/>
      <c r="K2502" s="174"/>
      <c r="L2502" s="174"/>
      <c r="M2502" s="174"/>
      <c r="N2502" s="174"/>
      <c r="O2502" s="174"/>
      <c r="P2502" s="174"/>
      <c r="Q2502" s="174"/>
      <c r="R2502" s="174"/>
      <c r="S2502" s="174"/>
      <c r="T2502" s="174"/>
      <c r="U2502" s="174"/>
      <c r="V2502" s="174"/>
      <c r="W2502" s="174"/>
      <c r="X2502" s="174"/>
      <c r="Y2502" s="174"/>
      <c r="Z2502" s="174"/>
    </row>
    <row r="2503">
      <c r="A2503" s="194"/>
      <c r="B2503" s="194"/>
      <c r="C2503" s="194"/>
      <c r="D2503" s="194"/>
      <c r="E2503" s="194"/>
      <c r="F2503" s="194"/>
      <c r="G2503" s="194"/>
      <c r="H2503" s="195"/>
      <c r="I2503" s="195"/>
      <c r="J2503" s="194"/>
      <c r="K2503" s="174"/>
      <c r="L2503" s="174"/>
      <c r="M2503" s="174"/>
      <c r="N2503" s="174"/>
      <c r="O2503" s="174"/>
      <c r="P2503" s="174"/>
      <c r="Q2503" s="174"/>
      <c r="R2503" s="174"/>
      <c r="S2503" s="174"/>
      <c r="T2503" s="174"/>
      <c r="U2503" s="174"/>
      <c r="V2503" s="174"/>
      <c r="W2503" s="174"/>
      <c r="X2503" s="174"/>
      <c r="Y2503" s="174"/>
      <c r="Z2503" s="174"/>
    </row>
    <row r="2504">
      <c r="A2504" s="194"/>
      <c r="B2504" s="194"/>
      <c r="C2504" s="194"/>
      <c r="D2504" s="194"/>
      <c r="E2504" s="194"/>
      <c r="F2504" s="194"/>
      <c r="G2504" s="194"/>
      <c r="H2504" s="195"/>
      <c r="I2504" s="195"/>
      <c r="J2504" s="194"/>
      <c r="K2504" s="174"/>
      <c r="L2504" s="174"/>
      <c r="M2504" s="174"/>
      <c r="N2504" s="174"/>
      <c r="O2504" s="174"/>
      <c r="P2504" s="174"/>
      <c r="Q2504" s="174"/>
      <c r="R2504" s="174"/>
      <c r="S2504" s="174"/>
      <c r="T2504" s="174"/>
      <c r="U2504" s="174"/>
      <c r="V2504" s="174"/>
      <c r="W2504" s="174"/>
      <c r="X2504" s="174"/>
      <c r="Y2504" s="174"/>
      <c r="Z2504" s="174"/>
    </row>
    <row r="2505">
      <c r="A2505" s="194"/>
      <c r="B2505" s="194"/>
      <c r="C2505" s="194"/>
      <c r="D2505" s="194"/>
      <c r="E2505" s="194"/>
      <c r="F2505" s="194"/>
      <c r="G2505" s="194"/>
      <c r="H2505" s="195"/>
      <c r="I2505" s="195"/>
      <c r="J2505" s="194"/>
      <c r="K2505" s="174"/>
      <c r="L2505" s="174"/>
      <c r="M2505" s="174"/>
      <c r="N2505" s="174"/>
      <c r="O2505" s="174"/>
      <c r="P2505" s="174"/>
      <c r="Q2505" s="174"/>
      <c r="R2505" s="174"/>
      <c r="S2505" s="174"/>
      <c r="T2505" s="174"/>
      <c r="U2505" s="174"/>
      <c r="V2505" s="174"/>
      <c r="W2505" s="174"/>
      <c r="X2505" s="174"/>
      <c r="Y2505" s="174"/>
      <c r="Z2505" s="174"/>
    </row>
    <row r="2506">
      <c r="A2506" s="194"/>
      <c r="B2506" s="194"/>
      <c r="C2506" s="194"/>
      <c r="D2506" s="194"/>
      <c r="E2506" s="194"/>
      <c r="F2506" s="194"/>
      <c r="G2506" s="194"/>
      <c r="H2506" s="195"/>
      <c r="I2506" s="195"/>
      <c r="J2506" s="194"/>
      <c r="K2506" s="174"/>
      <c r="L2506" s="174"/>
      <c r="M2506" s="174"/>
      <c r="N2506" s="174"/>
      <c r="O2506" s="174"/>
      <c r="P2506" s="174"/>
      <c r="Q2506" s="174"/>
      <c r="R2506" s="174"/>
      <c r="S2506" s="174"/>
      <c r="T2506" s="174"/>
      <c r="U2506" s="174"/>
      <c r="V2506" s="174"/>
      <c r="W2506" s="174"/>
      <c r="X2506" s="174"/>
      <c r="Y2506" s="174"/>
      <c r="Z2506" s="174"/>
    </row>
    <row r="2507">
      <c r="A2507" s="194"/>
      <c r="B2507" s="194"/>
      <c r="C2507" s="194"/>
      <c r="D2507" s="194"/>
      <c r="E2507" s="194"/>
      <c r="F2507" s="194"/>
      <c r="G2507" s="194"/>
      <c r="H2507" s="195"/>
      <c r="I2507" s="195"/>
      <c r="J2507" s="194"/>
      <c r="K2507" s="174"/>
      <c r="L2507" s="174"/>
      <c r="M2507" s="174"/>
      <c r="N2507" s="174"/>
      <c r="O2507" s="174"/>
      <c r="P2507" s="174"/>
      <c r="Q2507" s="174"/>
      <c r="R2507" s="174"/>
      <c r="S2507" s="174"/>
      <c r="T2507" s="174"/>
      <c r="U2507" s="174"/>
      <c r="V2507" s="174"/>
      <c r="W2507" s="174"/>
      <c r="X2507" s="174"/>
      <c r="Y2507" s="174"/>
      <c r="Z2507" s="174"/>
    </row>
    <row r="2508">
      <c r="A2508" s="194"/>
      <c r="B2508" s="194"/>
      <c r="C2508" s="194"/>
      <c r="D2508" s="194"/>
      <c r="E2508" s="194"/>
      <c r="F2508" s="194"/>
      <c r="G2508" s="194"/>
      <c r="H2508" s="195"/>
      <c r="I2508" s="195"/>
      <c r="J2508" s="194"/>
      <c r="K2508" s="174"/>
      <c r="L2508" s="174"/>
      <c r="M2508" s="174"/>
      <c r="N2508" s="174"/>
      <c r="O2508" s="174"/>
      <c r="P2508" s="174"/>
      <c r="Q2508" s="174"/>
      <c r="R2508" s="174"/>
      <c r="S2508" s="174"/>
      <c r="T2508" s="174"/>
      <c r="U2508" s="174"/>
      <c r="V2508" s="174"/>
      <c r="W2508" s="174"/>
      <c r="X2508" s="174"/>
      <c r="Y2508" s="174"/>
      <c r="Z2508" s="174"/>
    </row>
    <row r="2509">
      <c r="A2509" s="194"/>
      <c r="B2509" s="194"/>
      <c r="C2509" s="194"/>
      <c r="D2509" s="194"/>
      <c r="E2509" s="194"/>
      <c r="F2509" s="194"/>
      <c r="G2509" s="194"/>
      <c r="H2509" s="195"/>
      <c r="I2509" s="195"/>
      <c r="J2509" s="194"/>
      <c r="K2509" s="174"/>
      <c r="L2509" s="174"/>
      <c r="M2509" s="174"/>
      <c r="N2509" s="174"/>
      <c r="O2509" s="174"/>
      <c r="P2509" s="174"/>
      <c r="Q2509" s="174"/>
      <c r="R2509" s="174"/>
      <c r="S2509" s="174"/>
      <c r="T2509" s="174"/>
      <c r="U2509" s="174"/>
      <c r="V2509" s="174"/>
      <c r="W2509" s="174"/>
      <c r="X2509" s="174"/>
      <c r="Y2509" s="174"/>
      <c r="Z2509" s="174"/>
    </row>
    <row r="2510">
      <c r="A2510" s="194"/>
      <c r="B2510" s="194"/>
      <c r="C2510" s="194"/>
      <c r="D2510" s="194"/>
      <c r="E2510" s="194"/>
      <c r="F2510" s="194"/>
      <c r="G2510" s="194"/>
      <c r="H2510" s="195"/>
      <c r="I2510" s="195"/>
      <c r="J2510" s="194"/>
      <c r="K2510" s="174"/>
      <c r="L2510" s="174"/>
      <c r="M2510" s="174"/>
      <c r="N2510" s="174"/>
      <c r="O2510" s="174"/>
      <c r="P2510" s="174"/>
      <c r="Q2510" s="174"/>
      <c r="R2510" s="174"/>
      <c r="S2510" s="174"/>
      <c r="T2510" s="174"/>
      <c r="U2510" s="174"/>
      <c r="V2510" s="174"/>
      <c r="W2510" s="174"/>
      <c r="X2510" s="174"/>
      <c r="Y2510" s="174"/>
      <c r="Z2510" s="174"/>
    </row>
    <row r="2511">
      <c r="A2511" s="194"/>
      <c r="B2511" s="194"/>
      <c r="C2511" s="194"/>
      <c r="D2511" s="194"/>
      <c r="E2511" s="194"/>
      <c r="F2511" s="194"/>
      <c r="G2511" s="194"/>
      <c r="H2511" s="195"/>
      <c r="I2511" s="195"/>
      <c r="J2511" s="194"/>
      <c r="K2511" s="174"/>
      <c r="L2511" s="174"/>
      <c r="M2511" s="174"/>
      <c r="N2511" s="174"/>
      <c r="O2511" s="174"/>
      <c r="P2511" s="174"/>
      <c r="Q2511" s="174"/>
      <c r="R2511" s="174"/>
      <c r="S2511" s="174"/>
      <c r="T2511" s="174"/>
      <c r="U2511" s="174"/>
      <c r="V2511" s="174"/>
      <c r="W2511" s="174"/>
      <c r="X2511" s="174"/>
      <c r="Y2511" s="174"/>
      <c r="Z2511" s="174"/>
    </row>
    <row r="2512">
      <c r="A2512" s="194"/>
      <c r="B2512" s="194"/>
      <c r="C2512" s="194"/>
      <c r="D2512" s="194"/>
      <c r="E2512" s="194"/>
      <c r="F2512" s="194"/>
      <c r="G2512" s="194"/>
      <c r="H2512" s="195"/>
      <c r="I2512" s="195"/>
      <c r="J2512" s="194"/>
      <c r="K2512" s="174"/>
      <c r="L2512" s="174"/>
      <c r="M2512" s="174"/>
      <c r="N2512" s="174"/>
      <c r="O2512" s="174"/>
      <c r="P2512" s="174"/>
      <c r="Q2512" s="174"/>
      <c r="R2512" s="174"/>
      <c r="S2512" s="174"/>
      <c r="T2512" s="174"/>
      <c r="U2512" s="174"/>
      <c r="V2512" s="174"/>
      <c r="W2512" s="174"/>
      <c r="X2512" s="174"/>
      <c r="Y2512" s="174"/>
      <c r="Z2512" s="174"/>
    </row>
    <row r="2513">
      <c r="A2513" s="194"/>
      <c r="B2513" s="194"/>
      <c r="C2513" s="194"/>
      <c r="D2513" s="194"/>
      <c r="E2513" s="194"/>
      <c r="F2513" s="194"/>
      <c r="G2513" s="194"/>
      <c r="H2513" s="195"/>
      <c r="I2513" s="195"/>
      <c r="J2513" s="194"/>
      <c r="K2513" s="174"/>
      <c r="L2513" s="174"/>
      <c r="M2513" s="174"/>
      <c r="N2513" s="174"/>
      <c r="O2513" s="174"/>
      <c r="P2513" s="174"/>
      <c r="Q2513" s="174"/>
      <c r="R2513" s="174"/>
      <c r="S2513" s="174"/>
      <c r="T2513" s="174"/>
      <c r="U2513" s="174"/>
      <c r="V2513" s="174"/>
      <c r="W2513" s="174"/>
      <c r="X2513" s="174"/>
      <c r="Y2513" s="174"/>
      <c r="Z2513" s="174"/>
    </row>
    <row r="2514">
      <c r="A2514" s="194"/>
      <c r="B2514" s="194"/>
      <c r="C2514" s="194"/>
      <c r="D2514" s="194"/>
      <c r="E2514" s="194"/>
      <c r="F2514" s="194"/>
      <c r="G2514" s="194"/>
      <c r="H2514" s="195"/>
      <c r="I2514" s="195"/>
      <c r="J2514" s="194"/>
      <c r="K2514" s="174"/>
      <c r="L2514" s="174"/>
      <c r="M2514" s="174"/>
      <c r="N2514" s="174"/>
      <c r="O2514" s="174"/>
      <c r="P2514" s="174"/>
      <c r="Q2514" s="174"/>
      <c r="R2514" s="174"/>
      <c r="S2514" s="174"/>
      <c r="T2514" s="174"/>
      <c r="U2514" s="174"/>
      <c r="V2514" s="174"/>
      <c r="W2514" s="174"/>
      <c r="X2514" s="174"/>
      <c r="Y2514" s="174"/>
      <c r="Z2514" s="174"/>
    </row>
    <row r="2515">
      <c r="A2515" s="194"/>
      <c r="B2515" s="194"/>
      <c r="C2515" s="194"/>
      <c r="D2515" s="194"/>
      <c r="E2515" s="194"/>
      <c r="F2515" s="194"/>
      <c r="G2515" s="194"/>
      <c r="H2515" s="195"/>
      <c r="I2515" s="195"/>
      <c r="J2515" s="194"/>
      <c r="K2515" s="174"/>
      <c r="L2515" s="174"/>
      <c r="M2515" s="174"/>
      <c r="N2515" s="174"/>
      <c r="O2515" s="174"/>
      <c r="P2515" s="174"/>
      <c r="Q2515" s="174"/>
      <c r="R2515" s="174"/>
      <c r="S2515" s="174"/>
      <c r="T2515" s="174"/>
      <c r="U2515" s="174"/>
      <c r="V2515" s="174"/>
      <c r="W2515" s="174"/>
      <c r="X2515" s="174"/>
      <c r="Y2515" s="174"/>
      <c r="Z2515" s="174"/>
    </row>
    <row r="2516">
      <c r="A2516" s="194"/>
      <c r="B2516" s="194"/>
      <c r="C2516" s="194"/>
      <c r="D2516" s="194"/>
      <c r="E2516" s="194"/>
      <c r="F2516" s="194"/>
      <c r="G2516" s="194"/>
      <c r="H2516" s="195"/>
      <c r="I2516" s="195"/>
      <c r="J2516" s="194"/>
      <c r="K2516" s="174"/>
      <c r="L2516" s="174"/>
      <c r="M2516" s="174"/>
      <c r="N2516" s="174"/>
      <c r="O2516" s="174"/>
      <c r="P2516" s="174"/>
      <c r="Q2516" s="174"/>
      <c r="R2516" s="174"/>
      <c r="S2516" s="174"/>
      <c r="T2516" s="174"/>
      <c r="U2516" s="174"/>
      <c r="V2516" s="174"/>
      <c r="W2516" s="174"/>
      <c r="X2516" s="174"/>
      <c r="Y2516" s="174"/>
      <c r="Z2516" s="174"/>
    </row>
    <row r="2517">
      <c r="A2517" s="194"/>
      <c r="B2517" s="194"/>
      <c r="C2517" s="194"/>
      <c r="D2517" s="194"/>
      <c r="E2517" s="194"/>
      <c r="F2517" s="194"/>
      <c r="G2517" s="194"/>
      <c r="H2517" s="195"/>
      <c r="I2517" s="195"/>
      <c r="J2517" s="194"/>
      <c r="K2517" s="174"/>
      <c r="L2517" s="174"/>
      <c r="M2517" s="174"/>
      <c r="N2517" s="174"/>
      <c r="O2517" s="174"/>
      <c r="P2517" s="174"/>
      <c r="Q2517" s="174"/>
      <c r="R2517" s="174"/>
      <c r="S2517" s="174"/>
      <c r="T2517" s="174"/>
      <c r="U2517" s="174"/>
      <c r="V2517" s="174"/>
      <c r="W2517" s="174"/>
      <c r="X2517" s="174"/>
      <c r="Y2517" s="174"/>
      <c r="Z2517" s="174"/>
    </row>
    <row r="2518">
      <c r="A2518" s="194"/>
      <c r="B2518" s="194"/>
      <c r="C2518" s="194"/>
      <c r="D2518" s="194"/>
      <c r="E2518" s="194"/>
      <c r="F2518" s="194"/>
      <c r="G2518" s="194"/>
      <c r="H2518" s="195"/>
      <c r="I2518" s="195"/>
      <c r="J2518" s="194"/>
      <c r="K2518" s="174"/>
      <c r="L2518" s="174"/>
      <c r="M2518" s="174"/>
      <c r="N2518" s="174"/>
      <c r="O2518" s="174"/>
      <c r="P2518" s="174"/>
      <c r="Q2518" s="174"/>
      <c r="R2518" s="174"/>
      <c r="S2518" s="174"/>
      <c r="T2518" s="174"/>
      <c r="U2518" s="174"/>
      <c r="V2518" s="174"/>
      <c r="W2518" s="174"/>
      <c r="X2518" s="174"/>
      <c r="Y2518" s="174"/>
      <c r="Z2518" s="174"/>
    </row>
    <row r="2519">
      <c r="A2519" s="194"/>
      <c r="B2519" s="194"/>
      <c r="C2519" s="194"/>
      <c r="D2519" s="194"/>
      <c r="E2519" s="194"/>
      <c r="F2519" s="194"/>
      <c r="G2519" s="194"/>
      <c r="H2519" s="195"/>
      <c r="I2519" s="195"/>
      <c r="J2519" s="194"/>
      <c r="K2519" s="174"/>
      <c r="L2519" s="174"/>
      <c r="M2519" s="174"/>
      <c r="N2519" s="174"/>
      <c r="O2519" s="174"/>
      <c r="P2519" s="174"/>
      <c r="Q2519" s="174"/>
      <c r="R2519" s="174"/>
      <c r="S2519" s="174"/>
      <c r="T2519" s="174"/>
      <c r="U2519" s="174"/>
      <c r="V2519" s="174"/>
      <c r="W2519" s="174"/>
      <c r="X2519" s="174"/>
      <c r="Y2519" s="174"/>
      <c r="Z2519" s="174"/>
    </row>
    <row r="2520">
      <c r="A2520" s="194"/>
      <c r="B2520" s="194"/>
      <c r="C2520" s="194"/>
      <c r="D2520" s="194"/>
      <c r="E2520" s="194"/>
      <c r="F2520" s="194"/>
      <c r="G2520" s="194"/>
      <c r="H2520" s="195"/>
      <c r="I2520" s="195"/>
      <c r="J2520" s="194"/>
      <c r="K2520" s="174"/>
      <c r="L2520" s="174"/>
      <c r="M2520" s="174"/>
      <c r="N2520" s="174"/>
      <c r="O2520" s="174"/>
      <c r="P2520" s="174"/>
      <c r="Q2520" s="174"/>
      <c r="R2520" s="174"/>
      <c r="S2520" s="174"/>
      <c r="T2520" s="174"/>
      <c r="U2520" s="174"/>
      <c r="V2520" s="174"/>
      <c r="W2520" s="174"/>
      <c r="X2520" s="174"/>
      <c r="Y2520" s="174"/>
      <c r="Z2520" s="174"/>
    </row>
    <row r="2521">
      <c r="A2521" s="194"/>
      <c r="B2521" s="194"/>
      <c r="C2521" s="194"/>
      <c r="D2521" s="194"/>
      <c r="E2521" s="194"/>
      <c r="F2521" s="194"/>
      <c r="G2521" s="194"/>
      <c r="H2521" s="195"/>
      <c r="I2521" s="195"/>
      <c r="J2521" s="194"/>
      <c r="K2521" s="174"/>
      <c r="L2521" s="174"/>
      <c r="M2521" s="174"/>
      <c r="N2521" s="174"/>
      <c r="O2521" s="174"/>
      <c r="P2521" s="174"/>
      <c r="Q2521" s="174"/>
      <c r="R2521" s="174"/>
      <c r="S2521" s="174"/>
      <c r="T2521" s="174"/>
      <c r="U2521" s="174"/>
      <c r="V2521" s="174"/>
      <c r="W2521" s="174"/>
      <c r="X2521" s="174"/>
      <c r="Y2521" s="174"/>
      <c r="Z2521" s="174"/>
    </row>
    <row r="2522">
      <c r="A2522" s="194"/>
      <c r="B2522" s="194"/>
      <c r="C2522" s="194"/>
      <c r="D2522" s="194"/>
      <c r="E2522" s="194"/>
      <c r="F2522" s="194"/>
      <c r="G2522" s="194"/>
      <c r="H2522" s="195"/>
      <c r="I2522" s="195"/>
      <c r="J2522" s="194"/>
      <c r="K2522" s="174"/>
      <c r="L2522" s="174"/>
      <c r="M2522" s="174"/>
      <c r="N2522" s="174"/>
      <c r="O2522" s="174"/>
      <c r="P2522" s="174"/>
      <c r="Q2522" s="174"/>
      <c r="R2522" s="174"/>
      <c r="S2522" s="174"/>
      <c r="T2522" s="174"/>
      <c r="U2522" s="174"/>
      <c r="V2522" s="174"/>
      <c r="W2522" s="174"/>
      <c r="X2522" s="174"/>
      <c r="Y2522" s="174"/>
      <c r="Z2522" s="174"/>
    </row>
    <row r="2523">
      <c r="A2523" s="194"/>
      <c r="B2523" s="194"/>
      <c r="C2523" s="194"/>
      <c r="D2523" s="194"/>
      <c r="E2523" s="194"/>
      <c r="F2523" s="194"/>
      <c r="G2523" s="194"/>
      <c r="H2523" s="195"/>
      <c r="I2523" s="195"/>
      <c r="J2523" s="194"/>
      <c r="K2523" s="174"/>
      <c r="L2523" s="174"/>
      <c r="M2523" s="174"/>
      <c r="N2523" s="174"/>
      <c r="O2523" s="174"/>
      <c r="P2523" s="174"/>
      <c r="Q2523" s="174"/>
      <c r="R2523" s="174"/>
      <c r="S2523" s="174"/>
      <c r="T2523" s="174"/>
      <c r="U2523" s="174"/>
      <c r="V2523" s="174"/>
      <c r="W2523" s="174"/>
      <c r="X2523" s="174"/>
      <c r="Y2523" s="174"/>
      <c r="Z2523" s="174"/>
    </row>
    <row r="2524">
      <c r="A2524" s="194"/>
      <c r="B2524" s="194"/>
      <c r="C2524" s="194"/>
      <c r="D2524" s="194"/>
      <c r="E2524" s="194"/>
      <c r="F2524" s="194"/>
      <c r="G2524" s="194"/>
      <c r="H2524" s="195"/>
      <c r="I2524" s="195"/>
      <c r="J2524" s="194"/>
      <c r="K2524" s="174"/>
      <c r="L2524" s="174"/>
      <c r="M2524" s="174"/>
      <c r="N2524" s="174"/>
      <c r="O2524" s="174"/>
      <c r="P2524" s="174"/>
      <c r="Q2524" s="174"/>
      <c r="R2524" s="174"/>
      <c r="S2524" s="174"/>
      <c r="T2524" s="174"/>
      <c r="U2524" s="174"/>
      <c r="V2524" s="174"/>
      <c r="W2524" s="174"/>
      <c r="X2524" s="174"/>
      <c r="Y2524" s="174"/>
      <c r="Z2524" s="174"/>
    </row>
    <row r="2525">
      <c r="A2525" s="194"/>
      <c r="B2525" s="194"/>
      <c r="C2525" s="194"/>
      <c r="D2525" s="194"/>
      <c r="E2525" s="194"/>
      <c r="F2525" s="194"/>
      <c r="G2525" s="194"/>
      <c r="H2525" s="195"/>
      <c r="I2525" s="195"/>
      <c r="J2525" s="194"/>
      <c r="K2525" s="174"/>
      <c r="L2525" s="174"/>
      <c r="M2525" s="174"/>
      <c r="N2525" s="174"/>
      <c r="O2525" s="174"/>
      <c r="P2525" s="174"/>
      <c r="Q2525" s="174"/>
      <c r="R2525" s="174"/>
      <c r="S2525" s="174"/>
      <c r="T2525" s="174"/>
      <c r="U2525" s="174"/>
      <c r="V2525" s="174"/>
      <c r="W2525" s="174"/>
      <c r="X2525" s="174"/>
      <c r="Y2525" s="174"/>
      <c r="Z2525" s="174"/>
    </row>
    <row r="2526">
      <c r="A2526" s="194"/>
      <c r="B2526" s="194"/>
      <c r="C2526" s="194"/>
      <c r="D2526" s="194"/>
      <c r="E2526" s="194"/>
      <c r="F2526" s="194"/>
      <c r="G2526" s="194"/>
      <c r="H2526" s="195"/>
      <c r="I2526" s="195"/>
      <c r="J2526" s="194"/>
      <c r="K2526" s="174"/>
      <c r="L2526" s="174"/>
      <c r="M2526" s="174"/>
      <c r="N2526" s="174"/>
      <c r="O2526" s="174"/>
      <c r="P2526" s="174"/>
      <c r="Q2526" s="174"/>
      <c r="R2526" s="174"/>
      <c r="S2526" s="174"/>
      <c r="T2526" s="174"/>
      <c r="U2526" s="174"/>
      <c r="V2526" s="174"/>
      <c r="W2526" s="174"/>
      <c r="X2526" s="174"/>
      <c r="Y2526" s="174"/>
      <c r="Z2526" s="174"/>
    </row>
    <row r="2527">
      <c r="A2527" s="194"/>
      <c r="B2527" s="194"/>
      <c r="C2527" s="194"/>
      <c r="D2527" s="194"/>
      <c r="E2527" s="194"/>
      <c r="F2527" s="194"/>
      <c r="G2527" s="194"/>
      <c r="H2527" s="195"/>
      <c r="I2527" s="195"/>
      <c r="J2527" s="194"/>
      <c r="K2527" s="174"/>
      <c r="L2527" s="174"/>
      <c r="M2527" s="174"/>
      <c r="N2527" s="174"/>
      <c r="O2527" s="174"/>
      <c r="P2527" s="174"/>
      <c r="Q2527" s="174"/>
      <c r="R2527" s="174"/>
      <c r="S2527" s="174"/>
      <c r="T2527" s="174"/>
      <c r="U2527" s="174"/>
      <c r="V2527" s="174"/>
      <c r="W2527" s="174"/>
      <c r="X2527" s="174"/>
      <c r="Y2527" s="174"/>
      <c r="Z2527" s="174"/>
    </row>
    <row r="2528">
      <c r="A2528" s="194"/>
      <c r="B2528" s="194"/>
      <c r="C2528" s="194"/>
      <c r="D2528" s="194"/>
      <c r="E2528" s="194"/>
      <c r="F2528" s="194"/>
      <c r="G2528" s="194"/>
      <c r="H2528" s="195"/>
      <c r="I2528" s="195"/>
      <c r="J2528" s="194"/>
      <c r="K2528" s="174"/>
      <c r="L2528" s="174"/>
      <c r="M2528" s="174"/>
      <c r="N2528" s="174"/>
      <c r="O2528" s="174"/>
      <c r="P2528" s="174"/>
      <c r="Q2528" s="174"/>
      <c r="R2528" s="174"/>
      <c r="S2528" s="174"/>
      <c r="T2528" s="174"/>
      <c r="U2528" s="174"/>
      <c r="V2528" s="174"/>
      <c r="W2528" s="174"/>
      <c r="X2528" s="174"/>
      <c r="Y2528" s="174"/>
      <c r="Z2528" s="174"/>
    </row>
    <row r="2529">
      <c r="A2529" s="194"/>
      <c r="B2529" s="194"/>
      <c r="C2529" s="194"/>
      <c r="D2529" s="194"/>
      <c r="E2529" s="194"/>
      <c r="F2529" s="194"/>
      <c r="G2529" s="194"/>
      <c r="H2529" s="195"/>
      <c r="I2529" s="195"/>
      <c r="J2529" s="194"/>
      <c r="K2529" s="174"/>
      <c r="L2529" s="174"/>
      <c r="M2529" s="174"/>
      <c r="N2529" s="174"/>
      <c r="O2529" s="174"/>
      <c r="P2529" s="174"/>
      <c r="Q2529" s="174"/>
      <c r="R2529" s="174"/>
      <c r="S2529" s="174"/>
      <c r="T2529" s="174"/>
      <c r="U2529" s="174"/>
      <c r="V2529" s="174"/>
      <c r="W2529" s="174"/>
      <c r="X2529" s="174"/>
      <c r="Y2529" s="174"/>
      <c r="Z2529" s="174"/>
    </row>
    <row r="2530">
      <c r="A2530" s="194"/>
      <c r="B2530" s="194"/>
      <c r="C2530" s="194"/>
      <c r="D2530" s="194"/>
      <c r="E2530" s="194"/>
      <c r="F2530" s="194"/>
      <c r="G2530" s="194"/>
      <c r="H2530" s="195"/>
      <c r="I2530" s="195"/>
      <c r="J2530" s="194"/>
      <c r="K2530" s="174"/>
      <c r="L2530" s="174"/>
      <c r="M2530" s="174"/>
      <c r="N2530" s="174"/>
      <c r="O2530" s="174"/>
      <c r="P2530" s="174"/>
      <c r="Q2530" s="174"/>
      <c r="R2530" s="174"/>
      <c r="S2530" s="174"/>
      <c r="T2530" s="174"/>
      <c r="U2530" s="174"/>
      <c r="V2530" s="174"/>
      <c r="W2530" s="174"/>
      <c r="X2530" s="174"/>
      <c r="Y2530" s="174"/>
      <c r="Z2530" s="174"/>
    </row>
    <row r="2531">
      <c r="A2531" s="194"/>
      <c r="B2531" s="194"/>
      <c r="C2531" s="194"/>
      <c r="D2531" s="194"/>
      <c r="E2531" s="194"/>
      <c r="F2531" s="194"/>
      <c r="G2531" s="194"/>
      <c r="H2531" s="195"/>
      <c r="I2531" s="195"/>
      <c r="J2531" s="194"/>
      <c r="K2531" s="174"/>
      <c r="L2531" s="174"/>
      <c r="M2531" s="174"/>
      <c r="N2531" s="174"/>
      <c r="O2531" s="174"/>
      <c r="P2531" s="174"/>
      <c r="Q2531" s="174"/>
      <c r="R2531" s="174"/>
      <c r="S2531" s="174"/>
      <c r="T2531" s="174"/>
      <c r="U2531" s="174"/>
      <c r="V2531" s="174"/>
      <c r="W2531" s="174"/>
      <c r="X2531" s="174"/>
      <c r="Y2531" s="174"/>
      <c r="Z2531" s="174"/>
    </row>
    <row r="2532">
      <c r="A2532" s="194"/>
      <c r="B2532" s="194"/>
      <c r="C2532" s="194"/>
      <c r="D2532" s="194"/>
      <c r="E2532" s="194"/>
      <c r="F2532" s="194"/>
      <c r="G2532" s="194"/>
      <c r="H2532" s="195"/>
      <c r="I2532" s="195"/>
      <c r="J2532" s="194"/>
      <c r="K2532" s="174"/>
      <c r="L2532" s="174"/>
      <c r="M2532" s="174"/>
      <c r="N2532" s="174"/>
      <c r="O2532" s="174"/>
      <c r="P2532" s="174"/>
      <c r="Q2532" s="174"/>
      <c r="R2532" s="174"/>
      <c r="S2532" s="174"/>
      <c r="T2532" s="174"/>
      <c r="U2532" s="174"/>
      <c r="V2532" s="174"/>
      <c r="W2532" s="174"/>
      <c r="X2532" s="174"/>
      <c r="Y2532" s="174"/>
      <c r="Z2532" s="174"/>
    </row>
    <row r="2533">
      <c r="A2533" s="194"/>
      <c r="B2533" s="194"/>
      <c r="C2533" s="194"/>
      <c r="D2533" s="194"/>
      <c r="E2533" s="194"/>
      <c r="F2533" s="194"/>
      <c r="G2533" s="194"/>
      <c r="H2533" s="195"/>
      <c r="I2533" s="195"/>
      <c r="J2533" s="194"/>
      <c r="K2533" s="174"/>
      <c r="L2533" s="174"/>
      <c r="M2533" s="174"/>
      <c r="N2533" s="174"/>
      <c r="O2533" s="174"/>
      <c r="P2533" s="174"/>
      <c r="Q2533" s="174"/>
      <c r="R2533" s="174"/>
      <c r="S2533" s="174"/>
      <c r="T2533" s="174"/>
      <c r="U2533" s="174"/>
      <c r="V2533" s="174"/>
      <c r="W2533" s="174"/>
      <c r="X2533" s="174"/>
      <c r="Y2533" s="174"/>
      <c r="Z2533" s="174"/>
    </row>
    <row r="2534">
      <c r="A2534" s="194"/>
      <c r="B2534" s="194"/>
      <c r="C2534" s="194"/>
      <c r="D2534" s="194"/>
      <c r="E2534" s="194"/>
      <c r="F2534" s="194"/>
      <c r="G2534" s="194"/>
      <c r="H2534" s="195"/>
      <c r="I2534" s="195"/>
      <c r="J2534" s="194"/>
      <c r="K2534" s="174"/>
      <c r="L2534" s="174"/>
      <c r="M2534" s="174"/>
      <c r="N2534" s="174"/>
      <c r="O2534" s="174"/>
      <c r="P2534" s="174"/>
      <c r="Q2534" s="174"/>
      <c r="R2534" s="174"/>
      <c r="S2534" s="174"/>
      <c r="T2534" s="174"/>
      <c r="U2534" s="174"/>
      <c r="V2534" s="174"/>
      <c r="W2534" s="174"/>
      <c r="X2534" s="174"/>
      <c r="Y2534" s="174"/>
      <c r="Z2534" s="174"/>
    </row>
    <row r="2535">
      <c r="A2535" s="194"/>
      <c r="B2535" s="194"/>
      <c r="C2535" s="194"/>
      <c r="D2535" s="194"/>
      <c r="E2535" s="194"/>
      <c r="F2535" s="194"/>
      <c r="G2535" s="194"/>
      <c r="H2535" s="195"/>
      <c r="I2535" s="195"/>
      <c r="J2535" s="194"/>
      <c r="K2535" s="174"/>
      <c r="L2535" s="174"/>
      <c r="M2535" s="174"/>
      <c r="N2535" s="174"/>
      <c r="O2535" s="174"/>
      <c r="P2535" s="174"/>
      <c r="Q2535" s="174"/>
      <c r="R2535" s="174"/>
      <c r="S2535" s="174"/>
      <c r="T2535" s="174"/>
      <c r="U2535" s="174"/>
      <c r="V2535" s="174"/>
      <c r="W2535" s="174"/>
      <c r="X2535" s="174"/>
      <c r="Y2535" s="174"/>
      <c r="Z2535" s="174"/>
    </row>
    <row r="2536">
      <c r="A2536" s="194"/>
      <c r="B2536" s="194"/>
      <c r="C2536" s="194"/>
      <c r="D2536" s="194"/>
      <c r="E2536" s="194"/>
      <c r="F2536" s="194"/>
      <c r="G2536" s="194"/>
      <c r="H2536" s="195"/>
      <c r="I2536" s="195"/>
      <c r="J2536" s="194"/>
      <c r="K2536" s="174"/>
      <c r="L2536" s="174"/>
      <c r="M2536" s="174"/>
      <c r="N2536" s="174"/>
      <c r="O2536" s="174"/>
      <c r="P2536" s="174"/>
      <c r="Q2536" s="174"/>
      <c r="R2536" s="174"/>
      <c r="S2536" s="174"/>
      <c r="T2536" s="174"/>
      <c r="U2536" s="174"/>
      <c r="V2536" s="174"/>
      <c r="W2536" s="174"/>
      <c r="X2536" s="174"/>
      <c r="Y2536" s="174"/>
      <c r="Z2536" s="174"/>
    </row>
    <row r="2537">
      <c r="A2537" s="194"/>
      <c r="B2537" s="194"/>
      <c r="C2537" s="194"/>
      <c r="D2537" s="194"/>
      <c r="E2537" s="194"/>
      <c r="F2537" s="194"/>
      <c r="G2537" s="194"/>
      <c r="H2537" s="195"/>
      <c r="I2537" s="195"/>
      <c r="J2537" s="194"/>
      <c r="K2537" s="174"/>
      <c r="L2537" s="174"/>
      <c r="M2537" s="174"/>
      <c r="N2537" s="174"/>
      <c r="O2537" s="174"/>
      <c r="P2537" s="174"/>
      <c r="Q2537" s="174"/>
      <c r="R2537" s="174"/>
      <c r="S2537" s="174"/>
      <c r="T2537" s="174"/>
      <c r="U2537" s="174"/>
      <c r="V2537" s="174"/>
      <c r="W2537" s="174"/>
      <c r="X2537" s="174"/>
      <c r="Y2537" s="174"/>
      <c r="Z2537" s="174"/>
    </row>
    <row r="2538">
      <c r="A2538" s="194"/>
      <c r="B2538" s="194"/>
      <c r="C2538" s="194"/>
      <c r="D2538" s="194"/>
      <c r="E2538" s="194"/>
      <c r="F2538" s="194"/>
      <c r="G2538" s="194"/>
      <c r="H2538" s="195"/>
      <c r="I2538" s="195"/>
      <c r="J2538" s="194"/>
      <c r="K2538" s="174"/>
      <c r="L2538" s="174"/>
      <c r="M2538" s="174"/>
      <c r="N2538" s="174"/>
      <c r="O2538" s="174"/>
      <c r="P2538" s="174"/>
      <c r="Q2538" s="174"/>
      <c r="R2538" s="174"/>
      <c r="S2538" s="174"/>
      <c r="T2538" s="174"/>
      <c r="U2538" s="174"/>
      <c r="V2538" s="174"/>
      <c r="W2538" s="174"/>
      <c r="X2538" s="174"/>
      <c r="Y2538" s="174"/>
      <c r="Z2538" s="174"/>
    </row>
    <row r="2539">
      <c r="A2539" s="194"/>
      <c r="B2539" s="194"/>
      <c r="C2539" s="194"/>
      <c r="D2539" s="194"/>
      <c r="E2539" s="194"/>
      <c r="F2539" s="194"/>
      <c r="G2539" s="194"/>
      <c r="H2539" s="195"/>
      <c r="I2539" s="195"/>
      <c r="J2539" s="194"/>
      <c r="K2539" s="174"/>
      <c r="L2539" s="174"/>
      <c r="M2539" s="174"/>
      <c r="N2539" s="174"/>
      <c r="O2539" s="174"/>
      <c r="P2539" s="174"/>
      <c r="Q2539" s="174"/>
      <c r="R2539" s="174"/>
      <c r="S2539" s="174"/>
      <c r="T2539" s="174"/>
      <c r="U2539" s="174"/>
      <c r="V2539" s="174"/>
      <c r="W2539" s="174"/>
      <c r="X2539" s="174"/>
      <c r="Y2539" s="174"/>
      <c r="Z2539" s="174"/>
    </row>
    <row r="2540">
      <c r="A2540" s="194"/>
      <c r="B2540" s="194"/>
      <c r="C2540" s="194"/>
      <c r="D2540" s="194"/>
      <c r="E2540" s="194"/>
      <c r="F2540" s="194"/>
      <c r="G2540" s="194"/>
      <c r="H2540" s="195"/>
      <c r="I2540" s="195"/>
      <c r="J2540" s="194"/>
      <c r="K2540" s="174"/>
      <c r="L2540" s="174"/>
      <c r="M2540" s="174"/>
      <c r="N2540" s="174"/>
      <c r="O2540" s="174"/>
      <c r="P2540" s="174"/>
      <c r="Q2540" s="174"/>
      <c r="R2540" s="174"/>
      <c r="S2540" s="174"/>
      <c r="T2540" s="174"/>
      <c r="U2540" s="174"/>
      <c r="V2540" s="174"/>
      <c r="W2540" s="174"/>
      <c r="X2540" s="174"/>
      <c r="Y2540" s="174"/>
      <c r="Z2540" s="174"/>
    </row>
    <row r="2541">
      <c r="A2541" s="194"/>
      <c r="B2541" s="194"/>
      <c r="C2541" s="194"/>
      <c r="D2541" s="194"/>
      <c r="E2541" s="194"/>
      <c r="F2541" s="194"/>
      <c r="G2541" s="194"/>
      <c r="H2541" s="195"/>
      <c r="I2541" s="195"/>
      <c r="J2541" s="194"/>
      <c r="K2541" s="174"/>
      <c r="L2541" s="174"/>
      <c r="M2541" s="174"/>
      <c r="N2541" s="174"/>
      <c r="O2541" s="174"/>
      <c r="P2541" s="174"/>
      <c r="Q2541" s="174"/>
      <c r="R2541" s="174"/>
      <c r="S2541" s="174"/>
      <c r="T2541" s="174"/>
      <c r="U2541" s="174"/>
      <c r="V2541" s="174"/>
      <c r="W2541" s="174"/>
      <c r="X2541" s="174"/>
      <c r="Y2541" s="174"/>
      <c r="Z2541" s="174"/>
    </row>
    <row r="2542">
      <c r="A2542" s="194"/>
      <c r="B2542" s="194"/>
      <c r="C2542" s="194"/>
      <c r="D2542" s="194"/>
      <c r="E2542" s="194"/>
      <c r="F2542" s="194"/>
      <c r="G2542" s="194"/>
      <c r="H2542" s="195"/>
      <c r="I2542" s="195"/>
      <c r="J2542" s="194"/>
      <c r="K2542" s="174"/>
      <c r="L2542" s="174"/>
      <c r="M2542" s="174"/>
      <c r="N2542" s="174"/>
      <c r="O2542" s="174"/>
      <c r="P2542" s="174"/>
      <c r="Q2542" s="174"/>
      <c r="R2542" s="174"/>
      <c r="S2542" s="174"/>
      <c r="T2542" s="174"/>
      <c r="U2542" s="174"/>
      <c r="V2542" s="174"/>
      <c r="W2542" s="174"/>
      <c r="X2542" s="174"/>
      <c r="Y2542" s="174"/>
      <c r="Z2542" s="174"/>
    </row>
    <row r="2543">
      <c r="A2543" s="194"/>
      <c r="B2543" s="194"/>
      <c r="C2543" s="194"/>
      <c r="D2543" s="194"/>
      <c r="E2543" s="194"/>
      <c r="F2543" s="194"/>
      <c r="G2543" s="194"/>
      <c r="H2543" s="195"/>
      <c r="I2543" s="195"/>
      <c r="J2543" s="194"/>
      <c r="K2543" s="174"/>
      <c r="L2543" s="174"/>
      <c r="M2543" s="174"/>
      <c r="N2543" s="174"/>
      <c r="O2543" s="174"/>
      <c r="P2543" s="174"/>
      <c r="Q2543" s="174"/>
      <c r="R2543" s="174"/>
      <c r="S2543" s="174"/>
      <c r="T2543" s="174"/>
      <c r="U2543" s="174"/>
      <c r="V2543" s="174"/>
      <c r="W2543" s="174"/>
      <c r="X2543" s="174"/>
      <c r="Y2543" s="174"/>
      <c r="Z2543" s="174"/>
    </row>
    <row r="2544">
      <c r="A2544" s="194"/>
      <c r="B2544" s="194"/>
      <c r="C2544" s="194"/>
      <c r="D2544" s="194"/>
      <c r="E2544" s="194"/>
      <c r="F2544" s="194"/>
      <c r="G2544" s="194"/>
      <c r="H2544" s="195"/>
      <c r="I2544" s="195"/>
      <c r="J2544" s="194"/>
      <c r="K2544" s="174"/>
      <c r="L2544" s="174"/>
      <c r="M2544" s="174"/>
      <c r="N2544" s="174"/>
      <c r="O2544" s="174"/>
      <c r="P2544" s="174"/>
      <c r="Q2544" s="174"/>
      <c r="R2544" s="174"/>
      <c r="S2544" s="174"/>
      <c r="T2544" s="174"/>
      <c r="U2544" s="174"/>
      <c r="V2544" s="174"/>
      <c r="W2544" s="174"/>
      <c r="X2544" s="174"/>
      <c r="Y2544" s="174"/>
      <c r="Z2544" s="174"/>
    </row>
    <row r="2545">
      <c r="A2545" s="194"/>
      <c r="B2545" s="194"/>
      <c r="C2545" s="194"/>
      <c r="D2545" s="194"/>
      <c r="E2545" s="194"/>
      <c r="F2545" s="194"/>
      <c r="G2545" s="194"/>
      <c r="H2545" s="195"/>
      <c r="I2545" s="195"/>
      <c r="J2545" s="194"/>
      <c r="K2545" s="174"/>
      <c r="L2545" s="174"/>
      <c r="M2545" s="174"/>
      <c r="N2545" s="174"/>
      <c r="O2545" s="174"/>
      <c r="P2545" s="174"/>
      <c r="Q2545" s="174"/>
      <c r="R2545" s="174"/>
      <c r="S2545" s="174"/>
      <c r="T2545" s="174"/>
      <c r="U2545" s="174"/>
      <c r="V2545" s="174"/>
      <c r="W2545" s="174"/>
      <c r="X2545" s="174"/>
      <c r="Y2545" s="174"/>
      <c r="Z2545" s="174"/>
    </row>
    <row r="2546">
      <c r="A2546" s="194"/>
      <c r="B2546" s="194"/>
      <c r="C2546" s="194"/>
      <c r="D2546" s="194"/>
      <c r="E2546" s="194"/>
      <c r="F2546" s="194"/>
      <c r="G2546" s="194"/>
      <c r="H2546" s="195"/>
      <c r="I2546" s="195"/>
      <c r="J2546" s="194"/>
      <c r="K2546" s="174"/>
      <c r="L2546" s="174"/>
      <c r="M2546" s="174"/>
      <c r="N2546" s="174"/>
      <c r="O2546" s="174"/>
      <c r="P2546" s="174"/>
      <c r="Q2546" s="174"/>
      <c r="R2546" s="174"/>
      <c r="S2546" s="174"/>
      <c r="T2546" s="174"/>
      <c r="U2546" s="174"/>
      <c r="V2546" s="174"/>
      <c r="W2546" s="174"/>
      <c r="X2546" s="174"/>
      <c r="Y2546" s="174"/>
      <c r="Z2546" s="174"/>
    </row>
    <row r="2547">
      <c r="A2547" s="194"/>
      <c r="B2547" s="194"/>
      <c r="C2547" s="194"/>
      <c r="D2547" s="194"/>
      <c r="E2547" s="194"/>
      <c r="F2547" s="194"/>
      <c r="G2547" s="194"/>
      <c r="H2547" s="195"/>
      <c r="I2547" s="195"/>
      <c r="J2547" s="194"/>
      <c r="K2547" s="174"/>
      <c r="L2547" s="174"/>
      <c r="M2547" s="174"/>
      <c r="N2547" s="174"/>
      <c r="O2547" s="174"/>
      <c r="P2547" s="174"/>
      <c r="Q2547" s="174"/>
      <c r="R2547" s="174"/>
      <c r="S2547" s="174"/>
      <c r="T2547" s="174"/>
      <c r="U2547" s="174"/>
      <c r="V2547" s="174"/>
      <c r="W2547" s="174"/>
      <c r="X2547" s="174"/>
      <c r="Y2547" s="174"/>
      <c r="Z2547" s="174"/>
    </row>
    <row r="2548">
      <c r="A2548" s="194"/>
      <c r="B2548" s="194"/>
      <c r="C2548" s="194"/>
      <c r="D2548" s="194"/>
      <c r="E2548" s="194"/>
      <c r="F2548" s="194"/>
      <c r="G2548" s="194"/>
      <c r="H2548" s="195"/>
      <c r="I2548" s="195"/>
      <c r="J2548" s="194"/>
      <c r="K2548" s="174"/>
      <c r="L2548" s="174"/>
      <c r="M2548" s="174"/>
      <c r="N2548" s="174"/>
      <c r="O2548" s="174"/>
      <c r="P2548" s="174"/>
      <c r="Q2548" s="174"/>
      <c r="R2548" s="174"/>
      <c r="S2548" s="174"/>
      <c r="T2548" s="174"/>
      <c r="U2548" s="174"/>
      <c r="V2548" s="174"/>
      <c r="W2548" s="174"/>
      <c r="X2548" s="174"/>
      <c r="Y2548" s="174"/>
      <c r="Z2548" s="174"/>
    </row>
    <row r="2549">
      <c r="A2549" s="194"/>
      <c r="B2549" s="194"/>
      <c r="C2549" s="194"/>
      <c r="D2549" s="194"/>
      <c r="E2549" s="194"/>
      <c r="F2549" s="194"/>
      <c r="G2549" s="194"/>
      <c r="H2549" s="195"/>
      <c r="I2549" s="195"/>
      <c r="J2549" s="194"/>
      <c r="K2549" s="174"/>
      <c r="L2549" s="174"/>
      <c r="M2549" s="174"/>
      <c r="N2549" s="174"/>
      <c r="O2549" s="174"/>
      <c r="P2549" s="174"/>
      <c r="Q2549" s="174"/>
      <c r="R2549" s="174"/>
      <c r="S2549" s="174"/>
      <c r="T2549" s="174"/>
      <c r="U2549" s="174"/>
      <c r="V2549" s="174"/>
      <c r="W2549" s="174"/>
      <c r="X2549" s="174"/>
      <c r="Y2549" s="174"/>
      <c r="Z2549" s="174"/>
    </row>
    <row r="2550">
      <c r="A2550" s="194"/>
      <c r="B2550" s="194"/>
      <c r="C2550" s="194"/>
      <c r="D2550" s="194"/>
      <c r="E2550" s="194"/>
      <c r="F2550" s="194"/>
      <c r="G2550" s="194"/>
      <c r="H2550" s="195"/>
      <c r="I2550" s="195"/>
      <c r="J2550" s="194"/>
      <c r="K2550" s="174"/>
      <c r="L2550" s="174"/>
      <c r="M2550" s="174"/>
      <c r="N2550" s="174"/>
      <c r="O2550" s="174"/>
      <c r="P2550" s="174"/>
      <c r="Q2550" s="174"/>
      <c r="R2550" s="174"/>
      <c r="S2550" s="174"/>
      <c r="T2550" s="174"/>
      <c r="U2550" s="174"/>
      <c r="V2550" s="174"/>
      <c r="W2550" s="174"/>
      <c r="X2550" s="174"/>
      <c r="Y2550" s="174"/>
      <c r="Z2550" s="174"/>
    </row>
    <row r="2551">
      <c r="A2551" s="194"/>
      <c r="B2551" s="194"/>
      <c r="C2551" s="194"/>
      <c r="D2551" s="194"/>
      <c r="E2551" s="194"/>
      <c r="F2551" s="194"/>
      <c r="G2551" s="194"/>
      <c r="H2551" s="195"/>
      <c r="I2551" s="195"/>
      <c r="J2551" s="194"/>
      <c r="K2551" s="174"/>
      <c r="L2551" s="174"/>
      <c r="M2551" s="174"/>
      <c r="N2551" s="174"/>
      <c r="O2551" s="174"/>
      <c r="P2551" s="174"/>
      <c r="Q2551" s="174"/>
      <c r="R2551" s="174"/>
      <c r="S2551" s="174"/>
      <c r="T2551" s="174"/>
      <c r="U2551" s="174"/>
      <c r="V2551" s="174"/>
      <c r="W2551" s="174"/>
      <c r="X2551" s="174"/>
      <c r="Y2551" s="174"/>
      <c r="Z2551" s="174"/>
    </row>
    <row r="2552">
      <c r="A2552" s="194"/>
      <c r="B2552" s="194"/>
      <c r="C2552" s="194"/>
      <c r="D2552" s="194"/>
      <c r="E2552" s="194"/>
      <c r="F2552" s="194"/>
      <c r="G2552" s="194"/>
      <c r="H2552" s="195"/>
      <c r="I2552" s="195"/>
      <c r="J2552" s="194"/>
      <c r="K2552" s="174"/>
      <c r="L2552" s="174"/>
      <c r="M2552" s="174"/>
      <c r="N2552" s="174"/>
      <c r="O2552" s="174"/>
      <c r="P2552" s="174"/>
      <c r="Q2552" s="174"/>
      <c r="R2552" s="174"/>
      <c r="S2552" s="174"/>
      <c r="T2552" s="174"/>
      <c r="U2552" s="174"/>
      <c r="V2552" s="174"/>
      <c r="W2552" s="174"/>
      <c r="X2552" s="174"/>
      <c r="Y2552" s="174"/>
      <c r="Z2552" s="174"/>
    </row>
    <row r="2553">
      <c r="A2553" s="194"/>
      <c r="B2553" s="194"/>
      <c r="C2553" s="194"/>
      <c r="D2553" s="194"/>
      <c r="E2553" s="194"/>
      <c r="F2553" s="194"/>
      <c r="G2553" s="194"/>
      <c r="H2553" s="195"/>
      <c r="I2553" s="195"/>
      <c r="J2553" s="194"/>
      <c r="K2553" s="174"/>
      <c r="L2553" s="174"/>
      <c r="M2553" s="174"/>
      <c r="N2553" s="174"/>
      <c r="O2553" s="174"/>
      <c r="P2553" s="174"/>
      <c r="Q2553" s="174"/>
      <c r="R2553" s="174"/>
      <c r="S2553" s="174"/>
      <c r="T2553" s="174"/>
      <c r="U2553" s="174"/>
      <c r="V2553" s="174"/>
      <c r="W2553" s="174"/>
      <c r="X2553" s="174"/>
      <c r="Y2553" s="174"/>
      <c r="Z2553" s="174"/>
    </row>
    <row r="2554">
      <c r="A2554" s="194"/>
      <c r="B2554" s="194"/>
      <c r="C2554" s="194"/>
      <c r="D2554" s="194"/>
      <c r="E2554" s="194"/>
      <c r="F2554" s="194"/>
      <c r="G2554" s="194"/>
      <c r="H2554" s="195"/>
      <c r="I2554" s="195"/>
      <c r="J2554" s="194"/>
      <c r="K2554" s="174"/>
      <c r="L2554" s="174"/>
      <c r="M2554" s="174"/>
      <c r="N2554" s="174"/>
      <c r="O2554" s="174"/>
      <c r="P2554" s="174"/>
      <c r="Q2554" s="174"/>
      <c r="R2554" s="174"/>
      <c r="S2554" s="174"/>
      <c r="T2554" s="174"/>
      <c r="U2554" s="174"/>
      <c r="V2554" s="174"/>
      <c r="W2554" s="174"/>
      <c r="X2554" s="174"/>
      <c r="Y2554" s="174"/>
      <c r="Z2554" s="174"/>
    </row>
    <row r="2555">
      <c r="A2555" s="194"/>
      <c r="B2555" s="194"/>
      <c r="C2555" s="194"/>
      <c r="D2555" s="194"/>
      <c r="E2555" s="194"/>
      <c r="F2555" s="194"/>
      <c r="G2555" s="194"/>
      <c r="H2555" s="195"/>
      <c r="I2555" s="195"/>
      <c r="J2555" s="194"/>
      <c r="K2555" s="174"/>
      <c r="L2555" s="174"/>
      <c r="M2555" s="174"/>
      <c r="N2555" s="174"/>
      <c r="O2555" s="174"/>
      <c r="P2555" s="174"/>
      <c r="Q2555" s="174"/>
      <c r="R2555" s="174"/>
      <c r="S2555" s="174"/>
      <c r="T2555" s="174"/>
      <c r="U2555" s="174"/>
      <c r="V2555" s="174"/>
      <c r="W2555" s="174"/>
      <c r="X2555" s="174"/>
      <c r="Y2555" s="174"/>
      <c r="Z2555" s="174"/>
    </row>
    <row r="2556">
      <c r="A2556" s="194"/>
      <c r="B2556" s="194"/>
      <c r="C2556" s="194"/>
      <c r="D2556" s="194"/>
      <c r="E2556" s="194"/>
      <c r="F2556" s="194"/>
      <c r="G2556" s="194"/>
      <c r="H2556" s="195"/>
      <c r="I2556" s="195"/>
      <c r="J2556" s="194"/>
      <c r="K2556" s="174"/>
      <c r="L2556" s="174"/>
      <c r="M2556" s="174"/>
      <c r="N2556" s="174"/>
      <c r="O2556" s="174"/>
      <c r="P2556" s="174"/>
      <c r="Q2556" s="174"/>
      <c r="R2556" s="174"/>
      <c r="S2556" s="174"/>
      <c r="T2556" s="174"/>
      <c r="U2556" s="174"/>
      <c r="V2556" s="174"/>
      <c r="W2556" s="174"/>
      <c r="X2556" s="174"/>
      <c r="Y2556" s="174"/>
      <c r="Z2556" s="174"/>
    </row>
    <row r="2557">
      <c r="A2557" s="194"/>
      <c r="B2557" s="194"/>
      <c r="C2557" s="194"/>
      <c r="D2557" s="194"/>
      <c r="E2557" s="194"/>
      <c r="F2557" s="194"/>
      <c r="G2557" s="194"/>
      <c r="H2557" s="195"/>
      <c r="I2557" s="195"/>
      <c r="J2557" s="194"/>
      <c r="K2557" s="174"/>
      <c r="L2557" s="174"/>
      <c r="M2557" s="174"/>
      <c r="N2557" s="174"/>
      <c r="O2557" s="174"/>
      <c r="P2557" s="174"/>
      <c r="Q2557" s="174"/>
      <c r="R2557" s="174"/>
      <c r="S2557" s="174"/>
      <c r="T2557" s="174"/>
      <c r="U2557" s="174"/>
      <c r="V2557" s="174"/>
      <c r="W2557" s="174"/>
      <c r="X2557" s="174"/>
      <c r="Y2557" s="174"/>
      <c r="Z2557" s="174"/>
    </row>
    <row r="2558">
      <c r="A2558" s="194"/>
      <c r="B2558" s="194"/>
      <c r="C2558" s="194"/>
      <c r="D2558" s="194"/>
      <c r="E2558" s="194"/>
      <c r="F2558" s="194"/>
      <c r="G2558" s="194"/>
      <c r="H2558" s="195"/>
      <c r="I2558" s="195"/>
      <c r="J2558" s="194"/>
      <c r="K2558" s="174"/>
      <c r="L2558" s="174"/>
      <c r="M2558" s="174"/>
      <c r="N2558" s="174"/>
      <c r="O2558" s="174"/>
      <c r="P2558" s="174"/>
      <c r="Q2558" s="174"/>
      <c r="R2558" s="174"/>
      <c r="S2558" s="174"/>
      <c r="T2558" s="174"/>
      <c r="U2558" s="174"/>
      <c r="V2558" s="174"/>
      <c r="W2558" s="174"/>
      <c r="X2558" s="174"/>
      <c r="Y2558" s="174"/>
      <c r="Z2558" s="174"/>
    </row>
    <row r="2559">
      <c r="A2559" s="194"/>
      <c r="B2559" s="194"/>
      <c r="C2559" s="194"/>
      <c r="D2559" s="194"/>
      <c r="E2559" s="194"/>
      <c r="F2559" s="194"/>
      <c r="G2559" s="194"/>
      <c r="H2559" s="195"/>
      <c r="I2559" s="195"/>
      <c r="J2559" s="194"/>
      <c r="K2559" s="174"/>
      <c r="L2559" s="174"/>
      <c r="M2559" s="174"/>
      <c r="N2559" s="174"/>
      <c r="O2559" s="174"/>
      <c r="P2559" s="174"/>
      <c r="Q2559" s="174"/>
      <c r="R2559" s="174"/>
      <c r="S2559" s="174"/>
      <c r="T2559" s="174"/>
      <c r="U2559" s="174"/>
      <c r="V2559" s="174"/>
      <c r="W2559" s="174"/>
      <c r="X2559" s="174"/>
      <c r="Y2559" s="174"/>
      <c r="Z2559" s="174"/>
    </row>
    <row r="2560">
      <c r="A2560" s="194"/>
      <c r="B2560" s="194"/>
      <c r="C2560" s="194"/>
      <c r="D2560" s="194"/>
      <c r="E2560" s="194"/>
      <c r="F2560" s="194"/>
      <c r="G2560" s="194"/>
      <c r="H2560" s="195"/>
      <c r="I2560" s="195"/>
      <c r="J2560" s="194"/>
      <c r="K2560" s="174"/>
      <c r="L2560" s="174"/>
      <c r="M2560" s="174"/>
      <c r="N2560" s="174"/>
      <c r="O2560" s="174"/>
      <c r="P2560" s="174"/>
      <c r="Q2560" s="174"/>
      <c r="R2560" s="174"/>
      <c r="S2560" s="174"/>
      <c r="T2560" s="174"/>
      <c r="U2560" s="174"/>
      <c r="V2560" s="174"/>
      <c r="W2560" s="174"/>
      <c r="X2560" s="174"/>
      <c r="Y2560" s="174"/>
      <c r="Z2560" s="174"/>
    </row>
    <row r="2561">
      <c r="A2561" s="194"/>
      <c r="B2561" s="194"/>
      <c r="C2561" s="194"/>
      <c r="D2561" s="194"/>
      <c r="E2561" s="194"/>
      <c r="F2561" s="194"/>
      <c r="G2561" s="194"/>
      <c r="H2561" s="195"/>
      <c r="I2561" s="195"/>
      <c r="J2561" s="194"/>
      <c r="K2561" s="174"/>
      <c r="L2561" s="174"/>
      <c r="M2561" s="174"/>
      <c r="N2561" s="174"/>
      <c r="O2561" s="174"/>
      <c r="P2561" s="174"/>
      <c r="Q2561" s="174"/>
      <c r="R2561" s="174"/>
      <c r="S2561" s="174"/>
      <c r="T2561" s="174"/>
      <c r="U2561" s="174"/>
      <c r="V2561" s="174"/>
      <c r="W2561" s="174"/>
      <c r="X2561" s="174"/>
      <c r="Y2561" s="174"/>
      <c r="Z2561" s="174"/>
    </row>
    <row r="2562">
      <c r="A2562" s="194"/>
      <c r="B2562" s="194"/>
      <c r="C2562" s="194"/>
      <c r="D2562" s="194"/>
      <c r="E2562" s="194"/>
      <c r="F2562" s="194"/>
      <c r="G2562" s="194"/>
      <c r="H2562" s="195"/>
      <c r="I2562" s="195"/>
      <c r="J2562" s="194"/>
      <c r="K2562" s="174"/>
      <c r="L2562" s="174"/>
      <c r="M2562" s="174"/>
      <c r="N2562" s="174"/>
      <c r="O2562" s="174"/>
      <c r="P2562" s="174"/>
      <c r="Q2562" s="174"/>
      <c r="R2562" s="174"/>
      <c r="S2562" s="174"/>
      <c r="T2562" s="174"/>
      <c r="U2562" s="174"/>
      <c r="V2562" s="174"/>
      <c r="W2562" s="174"/>
      <c r="X2562" s="174"/>
      <c r="Y2562" s="174"/>
      <c r="Z2562" s="174"/>
    </row>
    <row r="2563">
      <c r="A2563" s="194"/>
      <c r="B2563" s="194"/>
      <c r="C2563" s="194"/>
      <c r="D2563" s="194"/>
      <c r="E2563" s="194"/>
      <c r="F2563" s="194"/>
      <c r="G2563" s="194"/>
      <c r="H2563" s="195"/>
      <c r="I2563" s="195"/>
      <c r="J2563" s="194"/>
      <c r="K2563" s="174"/>
      <c r="L2563" s="174"/>
      <c r="M2563" s="174"/>
      <c r="N2563" s="174"/>
      <c r="O2563" s="174"/>
      <c r="P2563" s="174"/>
      <c r="Q2563" s="174"/>
      <c r="R2563" s="174"/>
      <c r="S2563" s="174"/>
      <c r="T2563" s="174"/>
      <c r="U2563" s="174"/>
      <c r="V2563" s="174"/>
      <c r="W2563" s="174"/>
      <c r="X2563" s="174"/>
      <c r="Y2563" s="174"/>
      <c r="Z2563" s="174"/>
    </row>
    <row r="2564">
      <c r="A2564" s="194"/>
      <c r="B2564" s="194"/>
      <c r="C2564" s="194"/>
      <c r="D2564" s="194"/>
      <c r="E2564" s="194"/>
      <c r="F2564" s="194"/>
      <c r="G2564" s="194"/>
      <c r="H2564" s="195"/>
      <c r="I2564" s="195"/>
      <c r="J2564" s="194"/>
      <c r="K2564" s="174"/>
      <c r="L2564" s="174"/>
      <c r="M2564" s="174"/>
      <c r="N2564" s="174"/>
      <c r="O2564" s="174"/>
      <c r="P2564" s="174"/>
      <c r="Q2564" s="174"/>
      <c r="R2564" s="174"/>
      <c r="S2564" s="174"/>
      <c r="T2564" s="174"/>
      <c r="U2564" s="174"/>
      <c r="V2564" s="174"/>
      <c r="W2564" s="174"/>
      <c r="X2564" s="174"/>
      <c r="Y2564" s="174"/>
      <c r="Z2564" s="174"/>
    </row>
    <row r="2565">
      <c r="A2565" s="194"/>
      <c r="B2565" s="194"/>
      <c r="C2565" s="194"/>
      <c r="D2565" s="194"/>
      <c r="E2565" s="194"/>
      <c r="F2565" s="194"/>
      <c r="G2565" s="194"/>
      <c r="H2565" s="195"/>
      <c r="I2565" s="195"/>
      <c r="J2565" s="194"/>
      <c r="K2565" s="174"/>
      <c r="L2565" s="174"/>
      <c r="M2565" s="174"/>
      <c r="N2565" s="174"/>
      <c r="O2565" s="174"/>
      <c r="P2565" s="174"/>
      <c r="Q2565" s="174"/>
      <c r="R2565" s="174"/>
      <c r="S2565" s="174"/>
      <c r="T2565" s="174"/>
      <c r="U2565" s="174"/>
      <c r="V2565" s="174"/>
      <c r="W2565" s="174"/>
      <c r="X2565" s="174"/>
      <c r="Y2565" s="174"/>
      <c r="Z2565" s="174"/>
    </row>
    <row r="2566">
      <c r="A2566" s="194"/>
      <c r="B2566" s="194"/>
      <c r="C2566" s="194"/>
      <c r="D2566" s="194"/>
      <c r="E2566" s="194"/>
      <c r="F2566" s="194"/>
      <c r="G2566" s="194"/>
      <c r="H2566" s="195"/>
      <c r="I2566" s="195"/>
      <c r="J2566" s="194"/>
      <c r="K2566" s="174"/>
      <c r="L2566" s="174"/>
      <c r="M2566" s="174"/>
      <c r="N2566" s="174"/>
      <c r="O2566" s="174"/>
      <c r="P2566" s="174"/>
      <c r="Q2566" s="174"/>
      <c r="R2566" s="174"/>
      <c r="S2566" s="174"/>
      <c r="T2566" s="174"/>
      <c r="U2566" s="174"/>
      <c r="V2566" s="174"/>
      <c r="W2566" s="174"/>
      <c r="X2566" s="174"/>
      <c r="Y2566" s="174"/>
      <c r="Z2566" s="174"/>
    </row>
    <row r="2567">
      <c r="A2567" s="194"/>
      <c r="B2567" s="194"/>
      <c r="C2567" s="194"/>
      <c r="D2567" s="194"/>
      <c r="E2567" s="194"/>
      <c r="F2567" s="194"/>
      <c r="G2567" s="194"/>
      <c r="H2567" s="195"/>
      <c r="I2567" s="195"/>
      <c r="J2567" s="194"/>
      <c r="K2567" s="174"/>
      <c r="L2567" s="174"/>
      <c r="M2567" s="174"/>
      <c r="N2567" s="174"/>
      <c r="O2567" s="174"/>
      <c r="P2567" s="174"/>
      <c r="Q2567" s="174"/>
      <c r="R2567" s="174"/>
      <c r="S2567" s="174"/>
      <c r="T2567" s="174"/>
      <c r="U2567" s="174"/>
      <c r="V2567" s="174"/>
      <c r="W2567" s="174"/>
      <c r="X2567" s="174"/>
      <c r="Y2567" s="174"/>
      <c r="Z2567" s="174"/>
    </row>
    <row r="2568">
      <c r="A2568" s="194"/>
      <c r="B2568" s="194"/>
      <c r="C2568" s="194"/>
      <c r="D2568" s="194"/>
      <c r="E2568" s="194"/>
      <c r="F2568" s="194"/>
      <c r="G2568" s="194"/>
      <c r="H2568" s="195"/>
      <c r="I2568" s="195"/>
      <c r="J2568" s="194"/>
      <c r="K2568" s="174"/>
      <c r="L2568" s="174"/>
      <c r="M2568" s="174"/>
      <c r="N2568" s="174"/>
      <c r="O2568" s="174"/>
      <c r="P2568" s="174"/>
      <c r="Q2568" s="174"/>
      <c r="R2568" s="174"/>
      <c r="S2568" s="174"/>
      <c r="T2568" s="174"/>
      <c r="U2568" s="174"/>
      <c r="V2568" s="174"/>
      <c r="W2568" s="174"/>
      <c r="X2568" s="174"/>
      <c r="Y2568" s="174"/>
      <c r="Z2568" s="174"/>
    </row>
    <row r="2569">
      <c r="A2569" s="194"/>
      <c r="B2569" s="194"/>
      <c r="C2569" s="194"/>
      <c r="D2569" s="194"/>
      <c r="E2569" s="194"/>
      <c r="F2569" s="194"/>
      <c r="G2569" s="194"/>
      <c r="H2569" s="195"/>
      <c r="I2569" s="195"/>
      <c r="J2569" s="194"/>
      <c r="K2569" s="174"/>
      <c r="L2569" s="174"/>
      <c r="M2569" s="174"/>
      <c r="N2569" s="174"/>
      <c r="O2569" s="174"/>
      <c r="P2569" s="174"/>
      <c r="Q2569" s="174"/>
      <c r="R2569" s="174"/>
      <c r="S2569" s="174"/>
      <c r="T2569" s="174"/>
      <c r="U2569" s="174"/>
      <c r="V2569" s="174"/>
      <c r="W2569" s="174"/>
      <c r="X2569" s="174"/>
      <c r="Y2569" s="174"/>
      <c r="Z2569" s="174"/>
    </row>
    <row r="2570">
      <c r="A2570" s="194"/>
      <c r="B2570" s="194"/>
      <c r="C2570" s="194"/>
      <c r="D2570" s="194"/>
      <c r="E2570" s="194"/>
      <c r="F2570" s="194"/>
      <c r="G2570" s="194"/>
      <c r="H2570" s="195"/>
      <c r="I2570" s="195"/>
      <c r="J2570" s="194"/>
      <c r="K2570" s="174"/>
      <c r="L2570" s="174"/>
      <c r="M2570" s="174"/>
      <c r="N2570" s="174"/>
      <c r="O2570" s="174"/>
      <c r="P2570" s="174"/>
      <c r="Q2570" s="174"/>
      <c r="R2570" s="174"/>
      <c r="S2570" s="174"/>
      <c r="T2570" s="174"/>
      <c r="U2570" s="174"/>
      <c r="V2570" s="174"/>
      <c r="W2570" s="174"/>
      <c r="X2570" s="174"/>
      <c r="Y2570" s="174"/>
      <c r="Z2570" s="174"/>
    </row>
    <row r="2571">
      <c r="A2571" s="194"/>
      <c r="B2571" s="194"/>
      <c r="C2571" s="194"/>
      <c r="D2571" s="194"/>
      <c r="E2571" s="194"/>
      <c r="F2571" s="194"/>
      <c r="G2571" s="194"/>
      <c r="H2571" s="195"/>
      <c r="I2571" s="195"/>
      <c r="J2571" s="194"/>
      <c r="K2571" s="174"/>
      <c r="L2571" s="174"/>
      <c r="M2571" s="174"/>
      <c r="N2571" s="174"/>
      <c r="O2571" s="174"/>
      <c r="P2571" s="174"/>
      <c r="Q2571" s="174"/>
      <c r="R2571" s="174"/>
      <c r="S2571" s="174"/>
      <c r="T2571" s="174"/>
      <c r="U2571" s="174"/>
      <c r="V2571" s="174"/>
      <c r="W2571" s="174"/>
      <c r="X2571" s="174"/>
      <c r="Y2571" s="174"/>
      <c r="Z2571" s="174"/>
    </row>
    <row r="2572">
      <c r="A2572" s="194"/>
      <c r="B2572" s="194"/>
      <c r="C2572" s="194"/>
      <c r="D2572" s="194"/>
      <c r="E2572" s="194"/>
      <c r="F2572" s="194"/>
      <c r="G2572" s="194"/>
      <c r="H2572" s="195"/>
      <c r="I2572" s="195"/>
      <c r="J2572" s="194"/>
      <c r="K2572" s="174"/>
      <c r="L2572" s="174"/>
      <c r="M2572" s="174"/>
      <c r="N2572" s="174"/>
      <c r="O2572" s="174"/>
      <c r="P2572" s="174"/>
      <c r="Q2572" s="174"/>
      <c r="R2572" s="174"/>
      <c r="S2572" s="174"/>
      <c r="T2572" s="174"/>
      <c r="U2572" s="174"/>
      <c r="V2572" s="174"/>
      <c r="W2572" s="174"/>
      <c r="X2572" s="174"/>
      <c r="Y2572" s="174"/>
      <c r="Z2572" s="174"/>
    </row>
    <row r="2573">
      <c r="A2573" s="194"/>
      <c r="B2573" s="194"/>
      <c r="C2573" s="194"/>
      <c r="D2573" s="194"/>
      <c r="E2573" s="194"/>
      <c r="F2573" s="194"/>
      <c r="G2573" s="194"/>
      <c r="H2573" s="195"/>
      <c r="I2573" s="195"/>
      <c r="J2573" s="194"/>
      <c r="K2573" s="174"/>
      <c r="L2573" s="174"/>
      <c r="M2573" s="174"/>
      <c r="N2573" s="174"/>
      <c r="O2573" s="174"/>
      <c r="P2573" s="174"/>
      <c r="Q2573" s="174"/>
      <c r="R2573" s="174"/>
      <c r="S2573" s="174"/>
      <c r="T2573" s="174"/>
      <c r="U2573" s="174"/>
      <c r="V2573" s="174"/>
      <c r="W2573" s="174"/>
      <c r="X2573" s="174"/>
      <c r="Y2573" s="174"/>
      <c r="Z2573" s="174"/>
    </row>
    <row r="2574">
      <c r="A2574" s="194"/>
      <c r="B2574" s="194"/>
      <c r="C2574" s="194"/>
      <c r="D2574" s="194"/>
      <c r="E2574" s="194"/>
      <c r="F2574" s="194"/>
      <c r="G2574" s="194"/>
      <c r="H2574" s="195"/>
      <c r="I2574" s="195"/>
      <c r="J2574" s="194"/>
      <c r="K2574" s="174"/>
      <c r="L2574" s="174"/>
      <c r="M2574" s="174"/>
      <c r="N2574" s="174"/>
      <c r="O2574" s="174"/>
      <c r="P2574" s="174"/>
      <c r="Q2574" s="174"/>
      <c r="R2574" s="174"/>
      <c r="S2574" s="174"/>
      <c r="T2574" s="174"/>
      <c r="U2574" s="174"/>
      <c r="V2574" s="174"/>
      <c r="W2574" s="174"/>
      <c r="X2574" s="174"/>
      <c r="Y2574" s="174"/>
      <c r="Z2574" s="174"/>
    </row>
    <row r="2575">
      <c r="A2575" s="194"/>
      <c r="B2575" s="194"/>
      <c r="C2575" s="194"/>
      <c r="D2575" s="194"/>
      <c r="E2575" s="194"/>
      <c r="F2575" s="194"/>
      <c r="G2575" s="194"/>
      <c r="H2575" s="195"/>
      <c r="I2575" s="195"/>
      <c r="J2575" s="194"/>
      <c r="K2575" s="174"/>
      <c r="L2575" s="174"/>
      <c r="M2575" s="174"/>
      <c r="N2575" s="174"/>
      <c r="O2575" s="174"/>
      <c r="P2575" s="174"/>
      <c r="Q2575" s="174"/>
      <c r="R2575" s="174"/>
      <c r="S2575" s="174"/>
      <c r="T2575" s="174"/>
      <c r="U2575" s="174"/>
      <c r="V2575" s="174"/>
      <c r="W2575" s="174"/>
      <c r="X2575" s="174"/>
      <c r="Y2575" s="174"/>
      <c r="Z2575" s="174"/>
    </row>
    <row r="2576">
      <c r="A2576" s="194"/>
      <c r="B2576" s="194"/>
      <c r="C2576" s="194"/>
      <c r="D2576" s="194"/>
      <c r="E2576" s="194"/>
      <c r="F2576" s="194"/>
      <c r="G2576" s="194"/>
      <c r="H2576" s="195"/>
      <c r="I2576" s="195"/>
      <c r="J2576" s="194"/>
      <c r="K2576" s="174"/>
      <c r="L2576" s="174"/>
      <c r="M2576" s="174"/>
      <c r="N2576" s="174"/>
      <c r="O2576" s="174"/>
      <c r="P2576" s="174"/>
      <c r="Q2576" s="174"/>
      <c r="R2576" s="174"/>
      <c r="S2576" s="174"/>
      <c r="T2576" s="174"/>
      <c r="U2576" s="174"/>
      <c r="V2576" s="174"/>
      <c r="W2576" s="174"/>
      <c r="X2576" s="174"/>
      <c r="Y2576" s="174"/>
      <c r="Z2576" s="174"/>
    </row>
    <row r="2577">
      <c r="A2577" s="194"/>
      <c r="B2577" s="194"/>
      <c r="C2577" s="194"/>
      <c r="D2577" s="194"/>
      <c r="E2577" s="194"/>
      <c r="F2577" s="194"/>
      <c r="G2577" s="194"/>
      <c r="H2577" s="195"/>
      <c r="I2577" s="195"/>
      <c r="J2577" s="194"/>
      <c r="K2577" s="174"/>
      <c r="L2577" s="174"/>
      <c r="M2577" s="174"/>
      <c r="N2577" s="174"/>
      <c r="O2577" s="174"/>
      <c r="P2577" s="174"/>
      <c r="Q2577" s="174"/>
      <c r="R2577" s="174"/>
      <c r="S2577" s="174"/>
      <c r="T2577" s="174"/>
      <c r="U2577" s="174"/>
      <c r="V2577" s="174"/>
      <c r="W2577" s="174"/>
      <c r="X2577" s="174"/>
      <c r="Y2577" s="174"/>
      <c r="Z2577" s="174"/>
    </row>
    <row r="2578">
      <c r="A2578" s="194"/>
      <c r="B2578" s="194"/>
      <c r="C2578" s="194"/>
      <c r="D2578" s="194"/>
      <c r="E2578" s="194"/>
      <c r="F2578" s="194"/>
      <c r="G2578" s="194"/>
      <c r="H2578" s="195"/>
      <c r="I2578" s="195"/>
      <c r="J2578" s="194"/>
      <c r="K2578" s="174"/>
      <c r="L2578" s="174"/>
      <c r="M2578" s="174"/>
      <c r="N2578" s="174"/>
      <c r="O2578" s="174"/>
      <c r="P2578" s="174"/>
      <c r="Q2578" s="174"/>
      <c r="R2578" s="174"/>
      <c r="S2578" s="174"/>
      <c r="T2578" s="174"/>
      <c r="U2578" s="174"/>
      <c r="V2578" s="174"/>
      <c r="W2578" s="174"/>
      <c r="X2578" s="174"/>
      <c r="Y2578" s="174"/>
      <c r="Z2578" s="174"/>
    </row>
    <row r="2579">
      <c r="A2579" s="194"/>
      <c r="B2579" s="194"/>
      <c r="C2579" s="194"/>
      <c r="D2579" s="194"/>
      <c r="E2579" s="194"/>
      <c r="F2579" s="194"/>
      <c r="G2579" s="194"/>
      <c r="H2579" s="195"/>
      <c r="I2579" s="195"/>
      <c r="J2579" s="194"/>
      <c r="K2579" s="174"/>
      <c r="L2579" s="174"/>
      <c r="M2579" s="174"/>
      <c r="N2579" s="174"/>
      <c r="O2579" s="174"/>
      <c r="P2579" s="174"/>
      <c r="Q2579" s="174"/>
      <c r="R2579" s="174"/>
      <c r="S2579" s="174"/>
      <c r="T2579" s="174"/>
      <c r="U2579" s="174"/>
      <c r="V2579" s="174"/>
      <c r="W2579" s="174"/>
      <c r="X2579" s="174"/>
      <c r="Y2579" s="174"/>
      <c r="Z2579" s="174"/>
    </row>
    <row r="2580">
      <c r="A2580" s="194"/>
      <c r="B2580" s="194"/>
      <c r="C2580" s="194"/>
      <c r="D2580" s="194"/>
      <c r="E2580" s="194"/>
      <c r="F2580" s="194"/>
      <c r="G2580" s="194"/>
      <c r="H2580" s="195"/>
      <c r="I2580" s="195"/>
      <c r="J2580" s="194"/>
      <c r="K2580" s="174"/>
      <c r="L2580" s="174"/>
      <c r="M2580" s="174"/>
      <c r="N2580" s="174"/>
      <c r="O2580" s="174"/>
      <c r="P2580" s="174"/>
      <c r="Q2580" s="174"/>
      <c r="R2580" s="174"/>
      <c r="S2580" s="174"/>
      <c r="T2580" s="174"/>
      <c r="U2580" s="174"/>
      <c r="V2580" s="174"/>
      <c r="W2580" s="174"/>
      <c r="X2580" s="174"/>
      <c r="Y2580" s="174"/>
      <c r="Z2580" s="174"/>
    </row>
    <row r="2581">
      <c r="A2581" s="194"/>
      <c r="B2581" s="194"/>
      <c r="C2581" s="194"/>
      <c r="D2581" s="194"/>
      <c r="E2581" s="194"/>
      <c r="F2581" s="194"/>
      <c r="G2581" s="194"/>
      <c r="H2581" s="195"/>
      <c r="I2581" s="195"/>
      <c r="J2581" s="194"/>
      <c r="K2581" s="174"/>
      <c r="L2581" s="174"/>
      <c r="M2581" s="174"/>
      <c r="N2581" s="174"/>
      <c r="O2581" s="174"/>
      <c r="P2581" s="174"/>
      <c r="Q2581" s="174"/>
      <c r="R2581" s="174"/>
      <c r="S2581" s="174"/>
      <c r="T2581" s="174"/>
      <c r="U2581" s="174"/>
      <c r="V2581" s="174"/>
      <c r="W2581" s="174"/>
      <c r="X2581" s="174"/>
      <c r="Y2581" s="174"/>
      <c r="Z2581" s="174"/>
    </row>
    <row r="2582">
      <c r="A2582" s="194"/>
      <c r="B2582" s="194"/>
      <c r="C2582" s="194"/>
      <c r="D2582" s="194"/>
      <c r="E2582" s="194"/>
      <c r="F2582" s="194"/>
      <c r="G2582" s="194"/>
      <c r="H2582" s="195"/>
      <c r="I2582" s="195"/>
      <c r="J2582" s="194"/>
      <c r="K2582" s="174"/>
      <c r="L2582" s="174"/>
      <c r="M2582" s="174"/>
      <c r="N2582" s="174"/>
      <c r="O2582" s="174"/>
      <c r="P2582" s="174"/>
      <c r="Q2582" s="174"/>
      <c r="R2582" s="174"/>
      <c r="S2582" s="174"/>
      <c r="T2582" s="174"/>
      <c r="U2582" s="174"/>
      <c r="V2582" s="174"/>
      <c r="W2582" s="174"/>
      <c r="X2582" s="174"/>
      <c r="Y2582" s="174"/>
      <c r="Z2582" s="174"/>
    </row>
    <row r="2583">
      <c r="A2583" s="194"/>
      <c r="B2583" s="194"/>
      <c r="C2583" s="194"/>
      <c r="D2583" s="194"/>
      <c r="E2583" s="194"/>
      <c r="F2583" s="194"/>
      <c r="G2583" s="194"/>
      <c r="H2583" s="195"/>
      <c r="I2583" s="195"/>
      <c r="J2583" s="194"/>
      <c r="K2583" s="174"/>
      <c r="L2583" s="174"/>
      <c r="M2583" s="174"/>
      <c r="N2583" s="174"/>
      <c r="O2583" s="174"/>
      <c r="P2583" s="174"/>
      <c r="Q2583" s="174"/>
      <c r="R2583" s="174"/>
      <c r="S2583" s="174"/>
      <c r="T2583" s="174"/>
      <c r="U2583" s="174"/>
      <c r="V2583" s="174"/>
      <c r="W2583" s="174"/>
      <c r="X2583" s="174"/>
      <c r="Y2583" s="174"/>
      <c r="Z2583" s="174"/>
    </row>
    <row r="2584">
      <c r="A2584" s="194"/>
      <c r="B2584" s="194"/>
      <c r="C2584" s="194"/>
      <c r="D2584" s="194"/>
      <c r="E2584" s="194"/>
      <c r="F2584" s="194"/>
      <c r="G2584" s="194"/>
      <c r="H2584" s="195"/>
      <c r="I2584" s="195"/>
      <c r="J2584" s="194"/>
      <c r="K2584" s="174"/>
      <c r="L2584" s="174"/>
      <c r="M2584" s="174"/>
      <c r="N2584" s="174"/>
      <c r="O2584" s="174"/>
      <c r="P2584" s="174"/>
      <c r="Q2584" s="174"/>
      <c r="R2584" s="174"/>
      <c r="S2584" s="174"/>
      <c r="T2584" s="174"/>
      <c r="U2584" s="174"/>
      <c r="V2584" s="174"/>
      <c r="W2584" s="174"/>
      <c r="X2584" s="174"/>
      <c r="Y2584" s="174"/>
      <c r="Z2584" s="174"/>
    </row>
    <row r="2585">
      <c r="A2585" s="194"/>
      <c r="B2585" s="194"/>
      <c r="C2585" s="194"/>
      <c r="D2585" s="194"/>
      <c r="E2585" s="194"/>
      <c r="F2585" s="194"/>
      <c r="G2585" s="194"/>
      <c r="H2585" s="195"/>
      <c r="I2585" s="195"/>
      <c r="J2585" s="194"/>
      <c r="K2585" s="174"/>
      <c r="L2585" s="174"/>
      <c r="M2585" s="174"/>
      <c r="N2585" s="174"/>
      <c r="O2585" s="174"/>
      <c r="P2585" s="174"/>
      <c r="Q2585" s="174"/>
      <c r="R2585" s="174"/>
      <c r="S2585" s="174"/>
      <c r="T2585" s="174"/>
      <c r="U2585" s="174"/>
      <c r="V2585" s="174"/>
      <c r="W2585" s="174"/>
      <c r="X2585" s="174"/>
      <c r="Y2585" s="174"/>
      <c r="Z2585" s="174"/>
    </row>
    <row r="2586">
      <c r="A2586" s="194"/>
      <c r="B2586" s="194"/>
      <c r="C2586" s="194"/>
      <c r="D2586" s="194"/>
      <c r="E2586" s="194"/>
      <c r="F2586" s="194"/>
      <c r="G2586" s="194"/>
      <c r="H2586" s="195"/>
      <c r="I2586" s="195"/>
      <c r="J2586" s="194"/>
      <c r="K2586" s="174"/>
      <c r="L2586" s="174"/>
      <c r="M2586" s="174"/>
      <c r="N2586" s="174"/>
      <c r="O2586" s="174"/>
      <c r="P2586" s="174"/>
      <c r="Q2586" s="174"/>
      <c r="R2586" s="174"/>
      <c r="S2586" s="174"/>
      <c r="T2586" s="174"/>
      <c r="U2586" s="174"/>
      <c r="V2586" s="174"/>
      <c r="W2586" s="174"/>
      <c r="X2586" s="174"/>
      <c r="Y2586" s="174"/>
      <c r="Z2586" s="174"/>
    </row>
    <row r="2587">
      <c r="A2587" s="194"/>
      <c r="B2587" s="194"/>
      <c r="C2587" s="194"/>
      <c r="D2587" s="194"/>
      <c r="E2587" s="194"/>
      <c r="F2587" s="194"/>
      <c r="G2587" s="194"/>
      <c r="H2587" s="195"/>
      <c r="I2587" s="195"/>
      <c r="J2587" s="194"/>
      <c r="K2587" s="174"/>
      <c r="L2587" s="174"/>
      <c r="M2587" s="174"/>
      <c r="N2587" s="174"/>
      <c r="O2587" s="174"/>
      <c r="P2587" s="174"/>
      <c r="Q2587" s="174"/>
      <c r="R2587" s="174"/>
      <c r="S2587" s="174"/>
      <c r="T2587" s="174"/>
      <c r="U2587" s="174"/>
      <c r="V2587" s="174"/>
      <c r="W2587" s="174"/>
      <c r="X2587" s="174"/>
      <c r="Y2587" s="174"/>
      <c r="Z2587" s="174"/>
    </row>
    <row r="2588">
      <c r="A2588" s="194"/>
      <c r="B2588" s="194"/>
      <c r="C2588" s="194"/>
      <c r="D2588" s="194"/>
      <c r="E2588" s="194"/>
      <c r="F2588" s="194"/>
      <c r="G2588" s="194"/>
      <c r="H2588" s="195"/>
      <c r="I2588" s="195"/>
      <c r="J2588" s="194"/>
      <c r="K2588" s="174"/>
      <c r="L2588" s="174"/>
      <c r="M2588" s="174"/>
      <c r="N2588" s="174"/>
      <c r="O2588" s="174"/>
      <c r="P2588" s="174"/>
      <c r="Q2588" s="174"/>
      <c r="R2588" s="174"/>
      <c r="S2588" s="174"/>
      <c r="T2588" s="174"/>
      <c r="U2588" s="174"/>
      <c r="V2588" s="174"/>
      <c r="W2588" s="174"/>
      <c r="X2588" s="174"/>
      <c r="Y2588" s="174"/>
      <c r="Z2588" s="174"/>
    </row>
    <row r="2589">
      <c r="A2589" s="194"/>
      <c r="B2589" s="194"/>
      <c r="C2589" s="194"/>
      <c r="D2589" s="194"/>
      <c r="E2589" s="194"/>
      <c r="F2589" s="194"/>
      <c r="G2589" s="194"/>
      <c r="H2589" s="195"/>
      <c r="I2589" s="195"/>
      <c r="J2589" s="194"/>
      <c r="K2589" s="174"/>
      <c r="L2589" s="174"/>
      <c r="M2589" s="174"/>
      <c r="N2589" s="174"/>
      <c r="O2589" s="174"/>
      <c r="P2589" s="174"/>
      <c r="Q2589" s="174"/>
      <c r="R2589" s="174"/>
      <c r="S2589" s="174"/>
      <c r="T2589" s="174"/>
      <c r="U2589" s="174"/>
      <c r="V2589" s="174"/>
      <c r="W2589" s="174"/>
      <c r="X2589" s="174"/>
      <c r="Y2589" s="174"/>
      <c r="Z2589" s="174"/>
    </row>
    <row r="2590">
      <c r="A2590" s="194"/>
      <c r="B2590" s="194"/>
      <c r="C2590" s="194"/>
      <c r="D2590" s="194"/>
      <c r="E2590" s="194"/>
      <c r="F2590" s="194"/>
      <c r="G2590" s="194"/>
      <c r="H2590" s="195"/>
      <c r="I2590" s="195"/>
      <c r="J2590" s="194"/>
      <c r="K2590" s="174"/>
      <c r="L2590" s="174"/>
      <c r="M2590" s="174"/>
      <c r="N2590" s="174"/>
      <c r="O2590" s="174"/>
      <c r="P2590" s="174"/>
      <c r="Q2590" s="174"/>
      <c r="R2590" s="174"/>
      <c r="S2590" s="174"/>
      <c r="T2590" s="174"/>
      <c r="U2590" s="174"/>
      <c r="V2590" s="174"/>
      <c r="W2590" s="174"/>
      <c r="X2590" s="174"/>
      <c r="Y2590" s="174"/>
      <c r="Z2590" s="174"/>
    </row>
    <row r="2591">
      <c r="A2591" s="194"/>
      <c r="B2591" s="194"/>
      <c r="C2591" s="194"/>
      <c r="D2591" s="194"/>
      <c r="E2591" s="194"/>
      <c r="F2591" s="194"/>
      <c r="G2591" s="194"/>
      <c r="H2591" s="195"/>
      <c r="I2591" s="195"/>
      <c r="J2591" s="194"/>
      <c r="K2591" s="174"/>
      <c r="L2591" s="174"/>
      <c r="M2591" s="174"/>
      <c r="N2591" s="174"/>
      <c r="O2591" s="174"/>
      <c r="P2591" s="174"/>
      <c r="Q2591" s="174"/>
      <c r="R2591" s="174"/>
      <c r="S2591" s="174"/>
      <c r="T2591" s="174"/>
      <c r="U2591" s="174"/>
      <c r="V2591" s="174"/>
      <c r="W2591" s="174"/>
      <c r="X2591" s="174"/>
      <c r="Y2591" s="174"/>
      <c r="Z2591" s="174"/>
    </row>
    <row r="2592">
      <c r="A2592" s="194"/>
      <c r="B2592" s="194"/>
      <c r="C2592" s="194"/>
      <c r="D2592" s="194"/>
      <c r="E2592" s="194"/>
      <c r="F2592" s="194"/>
      <c r="G2592" s="194"/>
      <c r="H2592" s="195"/>
      <c r="I2592" s="195"/>
      <c r="J2592" s="194"/>
      <c r="K2592" s="174"/>
      <c r="L2592" s="174"/>
      <c r="M2592" s="174"/>
      <c r="N2592" s="174"/>
      <c r="O2592" s="174"/>
      <c r="P2592" s="174"/>
      <c r="Q2592" s="174"/>
      <c r="R2592" s="174"/>
      <c r="S2592" s="174"/>
      <c r="T2592" s="174"/>
      <c r="U2592" s="174"/>
      <c r="V2592" s="174"/>
      <c r="W2592" s="174"/>
      <c r="X2592" s="174"/>
      <c r="Y2592" s="174"/>
      <c r="Z2592" s="174"/>
    </row>
    <row r="2593">
      <c r="A2593" s="194"/>
      <c r="B2593" s="194"/>
      <c r="C2593" s="194"/>
      <c r="D2593" s="194"/>
      <c r="E2593" s="194"/>
      <c r="F2593" s="194"/>
      <c r="G2593" s="194"/>
      <c r="H2593" s="195"/>
      <c r="I2593" s="195"/>
      <c r="J2593" s="194"/>
      <c r="K2593" s="174"/>
      <c r="L2593" s="174"/>
      <c r="M2593" s="174"/>
      <c r="N2593" s="174"/>
      <c r="O2593" s="174"/>
      <c r="P2593" s="174"/>
      <c r="Q2593" s="174"/>
      <c r="R2593" s="174"/>
      <c r="S2593" s="174"/>
      <c r="T2593" s="174"/>
      <c r="U2593" s="174"/>
      <c r="V2593" s="174"/>
      <c r="W2593" s="174"/>
      <c r="X2593" s="174"/>
      <c r="Y2593" s="174"/>
      <c r="Z2593" s="174"/>
    </row>
    <row r="2594">
      <c r="A2594" s="194"/>
      <c r="B2594" s="194"/>
      <c r="C2594" s="194"/>
      <c r="D2594" s="194"/>
      <c r="E2594" s="194"/>
      <c r="F2594" s="194"/>
      <c r="G2594" s="194"/>
      <c r="H2594" s="195"/>
      <c r="I2594" s="195"/>
      <c r="J2594" s="194"/>
      <c r="K2594" s="174"/>
      <c r="L2594" s="174"/>
      <c r="M2594" s="174"/>
      <c r="N2594" s="174"/>
      <c r="O2594" s="174"/>
      <c r="P2594" s="174"/>
      <c r="Q2594" s="174"/>
      <c r="R2594" s="174"/>
      <c r="S2594" s="174"/>
      <c r="T2594" s="174"/>
      <c r="U2594" s="174"/>
      <c r="V2594" s="174"/>
      <c r="W2594" s="174"/>
      <c r="X2594" s="174"/>
      <c r="Y2594" s="174"/>
      <c r="Z2594" s="174"/>
    </row>
    <row r="2595">
      <c r="A2595" s="194"/>
      <c r="B2595" s="194"/>
      <c r="C2595" s="194"/>
      <c r="D2595" s="194"/>
      <c r="E2595" s="194"/>
      <c r="F2595" s="194"/>
      <c r="G2595" s="194"/>
      <c r="H2595" s="195"/>
      <c r="I2595" s="195"/>
      <c r="J2595" s="194"/>
      <c r="K2595" s="174"/>
      <c r="L2595" s="174"/>
      <c r="M2595" s="174"/>
      <c r="N2595" s="174"/>
      <c r="O2595" s="174"/>
      <c r="P2595" s="174"/>
      <c r="Q2595" s="174"/>
      <c r="R2595" s="174"/>
      <c r="S2595" s="174"/>
      <c r="T2595" s="174"/>
      <c r="U2595" s="174"/>
      <c r="V2595" s="174"/>
      <c r="W2595" s="174"/>
      <c r="X2595" s="174"/>
      <c r="Y2595" s="174"/>
      <c r="Z2595" s="174"/>
    </row>
    <row r="2596">
      <c r="A2596" s="194"/>
      <c r="B2596" s="194"/>
      <c r="C2596" s="194"/>
      <c r="D2596" s="194"/>
      <c r="E2596" s="194"/>
      <c r="F2596" s="194"/>
      <c r="G2596" s="194"/>
      <c r="H2596" s="195"/>
      <c r="I2596" s="195"/>
      <c r="J2596" s="194"/>
      <c r="K2596" s="174"/>
      <c r="L2596" s="174"/>
      <c r="M2596" s="174"/>
      <c r="N2596" s="174"/>
      <c r="O2596" s="174"/>
      <c r="P2596" s="174"/>
      <c r="Q2596" s="174"/>
      <c r="R2596" s="174"/>
      <c r="S2596" s="174"/>
      <c r="T2596" s="174"/>
      <c r="U2596" s="174"/>
      <c r="V2596" s="174"/>
      <c r="W2596" s="174"/>
      <c r="X2596" s="174"/>
      <c r="Y2596" s="174"/>
      <c r="Z2596" s="174"/>
    </row>
    <row r="2597">
      <c r="A2597" s="194"/>
      <c r="B2597" s="194"/>
      <c r="C2597" s="194"/>
      <c r="D2597" s="194"/>
      <c r="E2597" s="194"/>
      <c r="F2597" s="194"/>
      <c r="G2597" s="194"/>
      <c r="H2597" s="195"/>
      <c r="I2597" s="195"/>
      <c r="J2597" s="194"/>
      <c r="K2597" s="174"/>
      <c r="L2597" s="174"/>
      <c r="M2597" s="174"/>
      <c r="N2597" s="174"/>
      <c r="O2597" s="174"/>
      <c r="P2597" s="174"/>
      <c r="Q2597" s="174"/>
      <c r="R2597" s="174"/>
      <c r="S2597" s="174"/>
      <c r="T2597" s="174"/>
      <c r="U2597" s="174"/>
      <c r="V2597" s="174"/>
      <c r="W2597" s="174"/>
      <c r="X2597" s="174"/>
      <c r="Y2597" s="174"/>
      <c r="Z2597" s="174"/>
    </row>
    <row r="2598">
      <c r="A2598" s="194"/>
      <c r="B2598" s="194"/>
      <c r="C2598" s="194"/>
      <c r="D2598" s="194"/>
      <c r="E2598" s="194"/>
      <c r="F2598" s="194"/>
      <c r="G2598" s="194"/>
      <c r="H2598" s="195"/>
      <c r="I2598" s="195"/>
      <c r="J2598" s="194"/>
      <c r="K2598" s="174"/>
      <c r="L2598" s="174"/>
      <c r="M2598" s="174"/>
      <c r="N2598" s="174"/>
      <c r="O2598" s="174"/>
      <c r="P2598" s="174"/>
      <c r="Q2598" s="174"/>
      <c r="R2598" s="174"/>
      <c r="S2598" s="174"/>
      <c r="T2598" s="174"/>
      <c r="U2598" s="174"/>
      <c r="V2598" s="174"/>
      <c r="W2598" s="174"/>
      <c r="X2598" s="174"/>
      <c r="Y2598" s="174"/>
      <c r="Z2598" s="174"/>
    </row>
    <row r="2599">
      <c r="A2599" s="194"/>
      <c r="B2599" s="194"/>
      <c r="C2599" s="194"/>
      <c r="D2599" s="194"/>
      <c r="E2599" s="194"/>
      <c r="F2599" s="194"/>
      <c r="G2599" s="194"/>
      <c r="H2599" s="195"/>
      <c r="I2599" s="195"/>
      <c r="J2599" s="194"/>
      <c r="K2599" s="174"/>
      <c r="L2599" s="174"/>
      <c r="M2599" s="174"/>
      <c r="N2599" s="174"/>
      <c r="O2599" s="174"/>
      <c r="P2599" s="174"/>
      <c r="Q2599" s="174"/>
      <c r="R2599" s="174"/>
      <c r="S2599" s="174"/>
      <c r="T2599" s="174"/>
      <c r="U2599" s="174"/>
      <c r="V2599" s="174"/>
      <c r="W2599" s="174"/>
      <c r="X2599" s="174"/>
      <c r="Y2599" s="174"/>
      <c r="Z2599" s="174"/>
    </row>
    <row r="2600">
      <c r="A2600" s="194"/>
      <c r="B2600" s="194"/>
      <c r="C2600" s="194"/>
      <c r="D2600" s="194"/>
      <c r="E2600" s="194"/>
      <c r="F2600" s="194"/>
      <c r="G2600" s="194"/>
      <c r="H2600" s="195"/>
      <c r="I2600" s="195"/>
      <c r="J2600" s="194"/>
      <c r="K2600" s="174"/>
      <c r="L2600" s="174"/>
      <c r="M2600" s="174"/>
      <c r="N2600" s="174"/>
      <c r="O2600" s="174"/>
      <c r="P2600" s="174"/>
      <c r="Q2600" s="174"/>
      <c r="R2600" s="174"/>
      <c r="S2600" s="174"/>
      <c r="T2600" s="174"/>
      <c r="U2600" s="174"/>
      <c r="V2600" s="174"/>
      <c r="W2600" s="174"/>
      <c r="X2600" s="174"/>
      <c r="Y2600" s="174"/>
      <c r="Z2600" s="174"/>
    </row>
    <row r="2601">
      <c r="A2601" s="194"/>
      <c r="B2601" s="194"/>
      <c r="C2601" s="194"/>
      <c r="D2601" s="194"/>
      <c r="E2601" s="194"/>
      <c r="F2601" s="194"/>
      <c r="G2601" s="194"/>
      <c r="H2601" s="195"/>
      <c r="I2601" s="195"/>
      <c r="J2601" s="194"/>
      <c r="K2601" s="174"/>
      <c r="L2601" s="174"/>
      <c r="M2601" s="174"/>
      <c r="N2601" s="174"/>
      <c r="O2601" s="174"/>
      <c r="P2601" s="174"/>
      <c r="Q2601" s="174"/>
      <c r="R2601" s="174"/>
      <c r="S2601" s="174"/>
      <c r="T2601" s="174"/>
      <c r="U2601" s="174"/>
      <c r="V2601" s="174"/>
      <c r="W2601" s="174"/>
      <c r="X2601" s="174"/>
      <c r="Y2601" s="174"/>
      <c r="Z2601" s="174"/>
    </row>
    <row r="2602">
      <c r="A2602" s="194"/>
      <c r="B2602" s="194"/>
      <c r="C2602" s="194"/>
      <c r="D2602" s="194"/>
      <c r="E2602" s="194"/>
      <c r="F2602" s="194"/>
      <c r="G2602" s="194"/>
      <c r="H2602" s="195"/>
      <c r="I2602" s="195"/>
      <c r="J2602" s="194"/>
      <c r="K2602" s="174"/>
      <c r="L2602" s="174"/>
      <c r="M2602" s="174"/>
      <c r="N2602" s="174"/>
      <c r="O2602" s="174"/>
      <c r="P2602" s="174"/>
      <c r="Q2602" s="174"/>
      <c r="R2602" s="174"/>
      <c r="S2602" s="174"/>
      <c r="T2602" s="174"/>
      <c r="U2602" s="174"/>
      <c r="V2602" s="174"/>
      <c r="W2602" s="174"/>
      <c r="X2602" s="174"/>
      <c r="Y2602" s="174"/>
      <c r="Z2602" s="174"/>
    </row>
    <row r="2603">
      <c r="A2603" s="194"/>
      <c r="B2603" s="194"/>
      <c r="C2603" s="194"/>
      <c r="D2603" s="194"/>
      <c r="E2603" s="194"/>
      <c r="F2603" s="194"/>
      <c r="G2603" s="194"/>
      <c r="H2603" s="195"/>
      <c r="I2603" s="195"/>
      <c r="J2603" s="194"/>
      <c r="K2603" s="174"/>
      <c r="L2603" s="174"/>
      <c r="M2603" s="174"/>
      <c r="N2603" s="174"/>
      <c r="O2603" s="174"/>
      <c r="P2603" s="174"/>
      <c r="Q2603" s="174"/>
      <c r="R2603" s="174"/>
      <c r="S2603" s="174"/>
      <c r="T2603" s="174"/>
      <c r="U2603" s="174"/>
      <c r="V2603" s="174"/>
      <c r="W2603" s="174"/>
      <c r="X2603" s="174"/>
      <c r="Y2603" s="174"/>
      <c r="Z2603" s="174"/>
    </row>
    <row r="2604">
      <c r="A2604" s="194"/>
      <c r="B2604" s="194"/>
      <c r="C2604" s="194"/>
      <c r="D2604" s="194"/>
      <c r="E2604" s="194"/>
      <c r="F2604" s="194"/>
      <c r="G2604" s="194"/>
      <c r="H2604" s="195"/>
      <c r="I2604" s="195"/>
      <c r="J2604" s="194"/>
      <c r="K2604" s="174"/>
      <c r="L2604" s="174"/>
      <c r="M2604" s="174"/>
      <c r="N2604" s="174"/>
      <c r="O2604" s="174"/>
      <c r="P2604" s="174"/>
      <c r="Q2604" s="174"/>
      <c r="R2604" s="174"/>
      <c r="S2604" s="174"/>
      <c r="T2604" s="174"/>
      <c r="U2604" s="174"/>
      <c r="V2604" s="174"/>
      <c r="W2604" s="174"/>
      <c r="X2604" s="174"/>
      <c r="Y2604" s="174"/>
      <c r="Z2604" s="174"/>
    </row>
    <row r="2605">
      <c r="A2605" s="194"/>
      <c r="B2605" s="194"/>
      <c r="C2605" s="194"/>
      <c r="D2605" s="194"/>
      <c r="E2605" s="194"/>
      <c r="F2605" s="194"/>
      <c r="G2605" s="194"/>
      <c r="H2605" s="195"/>
      <c r="I2605" s="195"/>
      <c r="J2605" s="194"/>
      <c r="K2605" s="174"/>
      <c r="L2605" s="174"/>
      <c r="M2605" s="174"/>
      <c r="N2605" s="174"/>
      <c r="O2605" s="174"/>
      <c r="P2605" s="174"/>
      <c r="Q2605" s="174"/>
      <c r="R2605" s="174"/>
      <c r="S2605" s="174"/>
      <c r="T2605" s="174"/>
      <c r="U2605" s="174"/>
      <c r="V2605" s="174"/>
      <c r="W2605" s="174"/>
      <c r="X2605" s="174"/>
      <c r="Y2605" s="174"/>
      <c r="Z2605" s="174"/>
    </row>
    <row r="2606">
      <c r="A2606" s="194"/>
      <c r="B2606" s="194"/>
      <c r="C2606" s="194"/>
      <c r="D2606" s="194"/>
      <c r="E2606" s="194"/>
      <c r="F2606" s="194"/>
      <c r="G2606" s="194"/>
      <c r="H2606" s="195"/>
      <c r="I2606" s="195"/>
      <c r="J2606" s="194"/>
      <c r="K2606" s="174"/>
      <c r="L2606" s="174"/>
      <c r="M2606" s="174"/>
      <c r="N2606" s="174"/>
      <c r="O2606" s="174"/>
      <c r="P2606" s="174"/>
      <c r="Q2606" s="174"/>
      <c r="R2606" s="174"/>
      <c r="S2606" s="174"/>
      <c r="T2606" s="174"/>
      <c r="U2606" s="174"/>
      <c r="V2606" s="174"/>
      <c r="W2606" s="174"/>
      <c r="X2606" s="174"/>
      <c r="Y2606" s="174"/>
      <c r="Z2606" s="174"/>
    </row>
    <row r="2607">
      <c r="A2607" s="194"/>
      <c r="B2607" s="194"/>
      <c r="C2607" s="194"/>
      <c r="D2607" s="194"/>
      <c r="E2607" s="194"/>
      <c r="F2607" s="194"/>
      <c r="G2607" s="194"/>
      <c r="H2607" s="195"/>
      <c r="I2607" s="195"/>
      <c r="J2607" s="194"/>
      <c r="K2607" s="174"/>
      <c r="L2607" s="174"/>
      <c r="M2607" s="174"/>
      <c r="N2607" s="174"/>
      <c r="O2607" s="174"/>
      <c r="P2607" s="174"/>
      <c r="Q2607" s="174"/>
      <c r="R2607" s="174"/>
      <c r="S2607" s="174"/>
      <c r="T2607" s="174"/>
      <c r="U2607" s="174"/>
      <c r="V2607" s="174"/>
      <c r="W2607" s="174"/>
      <c r="X2607" s="174"/>
      <c r="Y2607" s="174"/>
      <c r="Z2607" s="174"/>
    </row>
    <row r="2608">
      <c r="A2608" s="194"/>
      <c r="B2608" s="194"/>
      <c r="C2608" s="194"/>
      <c r="D2608" s="194"/>
      <c r="E2608" s="194"/>
      <c r="F2608" s="194"/>
      <c r="G2608" s="194"/>
      <c r="H2608" s="195"/>
      <c r="I2608" s="195"/>
      <c r="J2608" s="194"/>
      <c r="K2608" s="174"/>
      <c r="L2608" s="174"/>
      <c r="M2608" s="174"/>
      <c r="N2608" s="174"/>
      <c r="O2608" s="174"/>
      <c r="P2608" s="174"/>
      <c r="Q2608" s="174"/>
      <c r="R2608" s="174"/>
      <c r="S2608" s="174"/>
      <c r="T2608" s="174"/>
      <c r="U2608" s="174"/>
      <c r="V2608" s="174"/>
      <c r="W2608" s="174"/>
      <c r="X2608" s="174"/>
      <c r="Y2608" s="174"/>
      <c r="Z2608" s="174"/>
    </row>
    <row r="2609">
      <c r="A2609" s="194"/>
      <c r="B2609" s="194"/>
      <c r="C2609" s="194"/>
      <c r="D2609" s="194"/>
      <c r="E2609" s="194"/>
      <c r="F2609" s="194"/>
      <c r="G2609" s="194"/>
      <c r="H2609" s="195"/>
      <c r="I2609" s="195"/>
      <c r="J2609" s="194"/>
      <c r="K2609" s="174"/>
      <c r="L2609" s="174"/>
      <c r="M2609" s="174"/>
      <c r="N2609" s="174"/>
      <c r="O2609" s="174"/>
      <c r="P2609" s="174"/>
      <c r="Q2609" s="174"/>
      <c r="R2609" s="174"/>
      <c r="S2609" s="174"/>
      <c r="T2609" s="174"/>
      <c r="U2609" s="174"/>
      <c r="V2609" s="174"/>
      <c r="W2609" s="174"/>
      <c r="X2609" s="174"/>
      <c r="Y2609" s="174"/>
      <c r="Z2609" s="174"/>
    </row>
    <row r="2610">
      <c r="A2610" s="194"/>
      <c r="B2610" s="194"/>
      <c r="C2610" s="194"/>
      <c r="D2610" s="194"/>
      <c r="E2610" s="194"/>
      <c r="F2610" s="194"/>
      <c r="G2610" s="194"/>
      <c r="H2610" s="195"/>
      <c r="I2610" s="195"/>
      <c r="J2610" s="194"/>
      <c r="K2610" s="174"/>
      <c r="L2610" s="174"/>
      <c r="M2610" s="174"/>
      <c r="N2610" s="174"/>
      <c r="O2610" s="174"/>
      <c r="P2610" s="174"/>
      <c r="Q2610" s="174"/>
      <c r="R2610" s="174"/>
      <c r="S2610" s="174"/>
      <c r="T2610" s="174"/>
      <c r="U2610" s="174"/>
      <c r="V2610" s="174"/>
      <c r="W2610" s="174"/>
      <c r="X2610" s="174"/>
      <c r="Y2610" s="174"/>
      <c r="Z2610" s="174"/>
    </row>
    <row r="2611">
      <c r="A2611" s="194"/>
      <c r="B2611" s="194"/>
      <c r="C2611" s="194"/>
      <c r="D2611" s="194"/>
      <c r="E2611" s="194"/>
      <c r="F2611" s="194"/>
      <c r="G2611" s="194"/>
      <c r="H2611" s="195"/>
      <c r="I2611" s="195"/>
      <c r="J2611" s="194"/>
      <c r="K2611" s="174"/>
      <c r="L2611" s="174"/>
      <c r="M2611" s="174"/>
      <c r="N2611" s="174"/>
      <c r="O2611" s="174"/>
      <c r="P2611" s="174"/>
      <c r="Q2611" s="174"/>
      <c r="R2611" s="174"/>
      <c r="S2611" s="174"/>
      <c r="T2611" s="174"/>
      <c r="U2611" s="174"/>
      <c r="V2611" s="174"/>
      <c r="W2611" s="174"/>
      <c r="X2611" s="174"/>
      <c r="Y2611" s="174"/>
      <c r="Z2611" s="174"/>
    </row>
    <row r="2612">
      <c r="A2612" s="194"/>
      <c r="B2612" s="194"/>
      <c r="C2612" s="194"/>
      <c r="D2612" s="194"/>
      <c r="E2612" s="194"/>
      <c r="F2612" s="194"/>
      <c r="G2612" s="194"/>
      <c r="H2612" s="195"/>
      <c r="I2612" s="195"/>
      <c r="J2612" s="194"/>
      <c r="K2612" s="174"/>
      <c r="L2612" s="174"/>
      <c r="M2612" s="174"/>
      <c r="N2612" s="174"/>
      <c r="O2612" s="174"/>
      <c r="P2612" s="174"/>
      <c r="Q2612" s="174"/>
      <c r="R2612" s="174"/>
      <c r="S2612" s="174"/>
      <c r="T2612" s="174"/>
      <c r="U2612" s="174"/>
      <c r="V2612" s="174"/>
      <c r="W2612" s="174"/>
      <c r="X2612" s="174"/>
      <c r="Y2612" s="174"/>
      <c r="Z2612" s="174"/>
    </row>
    <row r="2613">
      <c r="A2613" s="194"/>
      <c r="B2613" s="194"/>
      <c r="C2613" s="194"/>
      <c r="D2613" s="194"/>
      <c r="E2613" s="194"/>
      <c r="F2613" s="194"/>
      <c r="G2613" s="194"/>
      <c r="H2613" s="195"/>
      <c r="I2613" s="195"/>
      <c r="J2613" s="194"/>
      <c r="K2613" s="174"/>
      <c r="L2613" s="174"/>
      <c r="M2613" s="174"/>
      <c r="N2613" s="174"/>
      <c r="O2613" s="174"/>
      <c r="P2613" s="174"/>
      <c r="Q2613" s="174"/>
      <c r="R2613" s="174"/>
      <c r="S2613" s="174"/>
      <c r="T2613" s="174"/>
      <c r="U2613" s="174"/>
      <c r="V2613" s="174"/>
      <c r="W2613" s="174"/>
      <c r="X2613" s="174"/>
      <c r="Y2613" s="174"/>
      <c r="Z2613" s="174"/>
    </row>
    <row r="2614">
      <c r="A2614" s="194"/>
      <c r="B2614" s="194"/>
      <c r="C2614" s="194"/>
      <c r="D2614" s="194"/>
      <c r="E2614" s="194"/>
      <c r="F2614" s="194"/>
      <c r="G2614" s="194"/>
      <c r="H2614" s="195"/>
      <c r="I2614" s="195"/>
      <c r="J2614" s="194"/>
      <c r="K2614" s="174"/>
      <c r="L2614" s="174"/>
      <c r="M2614" s="174"/>
      <c r="N2614" s="174"/>
      <c r="O2614" s="174"/>
      <c r="P2614" s="174"/>
      <c r="Q2614" s="174"/>
      <c r="R2614" s="174"/>
      <c r="S2614" s="174"/>
      <c r="T2614" s="174"/>
      <c r="U2614" s="174"/>
      <c r="V2614" s="174"/>
      <c r="W2614" s="174"/>
      <c r="X2614" s="174"/>
      <c r="Y2614" s="174"/>
      <c r="Z2614" s="174"/>
    </row>
    <row r="2615">
      <c r="A2615" s="194"/>
      <c r="B2615" s="194"/>
      <c r="C2615" s="194"/>
      <c r="D2615" s="194"/>
      <c r="E2615" s="194"/>
      <c r="F2615" s="194"/>
      <c r="G2615" s="194"/>
      <c r="H2615" s="195"/>
      <c r="I2615" s="195"/>
      <c r="J2615" s="194"/>
      <c r="K2615" s="174"/>
      <c r="L2615" s="174"/>
      <c r="M2615" s="174"/>
      <c r="N2615" s="174"/>
      <c r="O2615" s="174"/>
      <c r="P2615" s="174"/>
      <c r="Q2615" s="174"/>
      <c r="R2615" s="174"/>
      <c r="S2615" s="174"/>
      <c r="T2615" s="174"/>
      <c r="U2615" s="174"/>
      <c r="V2615" s="174"/>
      <c r="W2615" s="174"/>
      <c r="X2615" s="174"/>
      <c r="Y2615" s="174"/>
      <c r="Z2615" s="174"/>
    </row>
    <row r="2616">
      <c r="A2616" s="194"/>
      <c r="B2616" s="194"/>
      <c r="C2616" s="194"/>
      <c r="D2616" s="194"/>
      <c r="E2616" s="194"/>
      <c r="F2616" s="194"/>
      <c r="G2616" s="194"/>
      <c r="H2616" s="195"/>
      <c r="I2616" s="195"/>
      <c r="J2616" s="194"/>
      <c r="K2616" s="174"/>
      <c r="L2616" s="174"/>
      <c r="M2616" s="174"/>
      <c r="N2616" s="174"/>
      <c r="O2616" s="174"/>
      <c r="P2616" s="174"/>
      <c r="Q2616" s="174"/>
      <c r="R2616" s="174"/>
      <c r="S2616" s="174"/>
      <c r="T2616" s="174"/>
      <c r="U2616" s="174"/>
      <c r="V2616" s="174"/>
      <c r="W2616" s="174"/>
      <c r="X2616" s="174"/>
      <c r="Y2616" s="174"/>
      <c r="Z2616" s="174"/>
    </row>
    <row r="2617">
      <c r="A2617" s="194"/>
      <c r="B2617" s="194"/>
      <c r="C2617" s="194"/>
      <c r="D2617" s="194"/>
      <c r="E2617" s="194"/>
      <c r="F2617" s="194"/>
      <c r="G2617" s="194"/>
      <c r="H2617" s="195"/>
      <c r="I2617" s="195"/>
      <c r="J2617" s="194"/>
      <c r="K2617" s="174"/>
      <c r="L2617" s="174"/>
      <c r="M2617" s="174"/>
      <c r="N2617" s="174"/>
      <c r="O2617" s="174"/>
      <c r="P2617" s="174"/>
      <c r="Q2617" s="174"/>
      <c r="R2617" s="174"/>
      <c r="S2617" s="174"/>
      <c r="T2617" s="174"/>
      <c r="U2617" s="174"/>
      <c r="V2617" s="174"/>
      <c r="W2617" s="174"/>
      <c r="X2617" s="174"/>
      <c r="Y2617" s="174"/>
      <c r="Z2617" s="174"/>
    </row>
    <row r="2618">
      <c r="A2618" s="194"/>
      <c r="B2618" s="194"/>
      <c r="C2618" s="194"/>
      <c r="D2618" s="194"/>
      <c r="E2618" s="194"/>
      <c r="F2618" s="194"/>
      <c r="G2618" s="194"/>
      <c r="H2618" s="195"/>
      <c r="I2618" s="195"/>
      <c r="J2618" s="194"/>
      <c r="K2618" s="174"/>
      <c r="L2618" s="174"/>
      <c r="M2618" s="174"/>
      <c r="N2618" s="174"/>
      <c r="O2618" s="174"/>
      <c r="P2618" s="174"/>
      <c r="Q2618" s="174"/>
      <c r="R2618" s="174"/>
      <c r="S2618" s="174"/>
      <c r="T2618" s="174"/>
      <c r="U2618" s="174"/>
      <c r="V2618" s="174"/>
      <c r="W2618" s="174"/>
      <c r="X2618" s="174"/>
      <c r="Y2618" s="174"/>
      <c r="Z2618" s="174"/>
    </row>
    <row r="2619">
      <c r="A2619" s="194"/>
      <c r="B2619" s="194"/>
      <c r="C2619" s="194"/>
      <c r="D2619" s="194"/>
      <c r="E2619" s="194"/>
      <c r="F2619" s="194"/>
      <c r="G2619" s="194"/>
      <c r="H2619" s="195"/>
      <c r="I2619" s="195"/>
      <c r="J2619" s="194"/>
      <c r="K2619" s="174"/>
      <c r="L2619" s="174"/>
      <c r="M2619" s="174"/>
      <c r="N2619" s="174"/>
      <c r="O2619" s="174"/>
      <c r="P2619" s="174"/>
      <c r="Q2619" s="174"/>
      <c r="R2619" s="174"/>
      <c r="S2619" s="174"/>
      <c r="T2619" s="174"/>
      <c r="U2619" s="174"/>
      <c r="V2619" s="174"/>
      <c r="W2619" s="174"/>
      <c r="X2619" s="174"/>
      <c r="Y2619" s="174"/>
      <c r="Z2619" s="174"/>
    </row>
    <row r="2620">
      <c r="A2620" s="194"/>
      <c r="B2620" s="194"/>
      <c r="C2620" s="194"/>
      <c r="D2620" s="194"/>
      <c r="E2620" s="194"/>
      <c r="F2620" s="194"/>
      <c r="G2620" s="194"/>
      <c r="H2620" s="195"/>
      <c r="I2620" s="195"/>
      <c r="J2620" s="194"/>
      <c r="K2620" s="174"/>
      <c r="L2620" s="174"/>
      <c r="M2620" s="174"/>
      <c r="N2620" s="174"/>
      <c r="O2620" s="174"/>
      <c r="P2620" s="174"/>
      <c r="Q2620" s="174"/>
      <c r="R2620" s="174"/>
      <c r="S2620" s="174"/>
      <c r="T2620" s="174"/>
      <c r="U2620" s="174"/>
      <c r="V2620" s="174"/>
      <c r="W2620" s="174"/>
      <c r="X2620" s="174"/>
      <c r="Y2620" s="174"/>
      <c r="Z2620" s="174"/>
    </row>
    <row r="2621">
      <c r="A2621" s="194"/>
      <c r="B2621" s="194"/>
      <c r="C2621" s="194"/>
      <c r="D2621" s="194"/>
      <c r="E2621" s="194"/>
      <c r="F2621" s="194"/>
      <c r="G2621" s="194"/>
      <c r="H2621" s="195"/>
      <c r="I2621" s="195"/>
      <c r="J2621" s="194"/>
      <c r="K2621" s="174"/>
      <c r="L2621" s="174"/>
      <c r="M2621" s="174"/>
      <c r="N2621" s="174"/>
      <c r="O2621" s="174"/>
      <c r="P2621" s="174"/>
      <c r="Q2621" s="174"/>
      <c r="R2621" s="174"/>
      <c r="S2621" s="174"/>
      <c r="T2621" s="174"/>
      <c r="U2621" s="174"/>
      <c r="V2621" s="174"/>
      <c r="W2621" s="174"/>
      <c r="X2621" s="174"/>
      <c r="Y2621" s="174"/>
      <c r="Z2621" s="174"/>
    </row>
    <row r="2622">
      <c r="A2622" s="194"/>
      <c r="B2622" s="194"/>
      <c r="C2622" s="194"/>
      <c r="D2622" s="194"/>
      <c r="E2622" s="194"/>
      <c r="F2622" s="194"/>
      <c r="G2622" s="194"/>
      <c r="H2622" s="195"/>
      <c r="I2622" s="195"/>
      <c r="J2622" s="194"/>
      <c r="K2622" s="174"/>
      <c r="L2622" s="174"/>
      <c r="M2622" s="174"/>
      <c r="N2622" s="174"/>
      <c r="O2622" s="174"/>
      <c r="P2622" s="174"/>
      <c r="Q2622" s="174"/>
      <c r="R2622" s="174"/>
      <c r="S2622" s="174"/>
      <c r="T2622" s="174"/>
      <c r="U2622" s="174"/>
      <c r="V2622" s="174"/>
      <c r="W2622" s="174"/>
      <c r="X2622" s="174"/>
      <c r="Y2622" s="174"/>
      <c r="Z2622" s="174"/>
    </row>
    <row r="2623">
      <c r="A2623" s="194"/>
      <c r="B2623" s="194"/>
      <c r="C2623" s="194"/>
      <c r="D2623" s="194"/>
      <c r="E2623" s="194"/>
      <c r="F2623" s="194"/>
      <c r="G2623" s="194"/>
      <c r="H2623" s="195"/>
      <c r="I2623" s="195"/>
      <c r="J2623" s="194"/>
      <c r="K2623" s="174"/>
      <c r="L2623" s="174"/>
      <c r="M2623" s="174"/>
      <c r="N2623" s="174"/>
      <c r="O2623" s="174"/>
      <c r="P2623" s="174"/>
      <c r="Q2623" s="174"/>
      <c r="R2623" s="174"/>
      <c r="S2623" s="174"/>
      <c r="T2623" s="174"/>
      <c r="U2623" s="174"/>
      <c r="V2623" s="174"/>
      <c r="W2623" s="174"/>
      <c r="X2623" s="174"/>
      <c r="Y2623" s="174"/>
      <c r="Z2623" s="174"/>
    </row>
    <row r="2624">
      <c r="A2624" s="194"/>
      <c r="B2624" s="194"/>
      <c r="C2624" s="194"/>
      <c r="D2624" s="194"/>
      <c r="E2624" s="194"/>
      <c r="F2624" s="194"/>
      <c r="G2624" s="194"/>
      <c r="H2624" s="195"/>
      <c r="I2624" s="195"/>
      <c r="J2624" s="194"/>
      <c r="K2624" s="174"/>
      <c r="L2624" s="174"/>
      <c r="M2624" s="174"/>
      <c r="N2624" s="174"/>
      <c r="O2624" s="174"/>
      <c r="P2624" s="174"/>
      <c r="Q2624" s="174"/>
      <c r="R2624" s="174"/>
      <c r="S2624" s="174"/>
      <c r="T2624" s="174"/>
      <c r="U2624" s="174"/>
      <c r="V2624" s="174"/>
      <c r="W2624" s="174"/>
      <c r="X2624" s="174"/>
      <c r="Y2624" s="174"/>
      <c r="Z2624" s="174"/>
    </row>
    <row r="2625">
      <c r="A2625" s="194"/>
      <c r="B2625" s="194"/>
      <c r="C2625" s="194"/>
      <c r="D2625" s="194"/>
      <c r="E2625" s="194"/>
      <c r="F2625" s="194"/>
      <c r="G2625" s="194"/>
      <c r="H2625" s="195"/>
      <c r="I2625" s="195"/>
      <c r="J2625" s="194"/>
      <c r="K2625" s="174"/>
      <c r="L2625" s="174"/>
      <c r="M2625" s="174"/>
      <c r="N2625" s="174"/>
      <c r="O2625" s="174"/>
      <c r="P2625" s="174"/>
      <c r="Q2625" s="174"/>
      <c r="R2625" s="174"/>
      <c r="S2625" s="174"/>
      <c r="T2625" s="174"/>
      <c r="U2625" s="174"/>
      <c r="V2625" s="174"/>
      <c r="W2625" s="174"/>
      <c r="X2625" s="174"/>
      <c r="Y2625" s="174"/>
      <c r="Z2625" s="174"/>
    </row>
    <row r="2626">
      <c r="A2626" s="194"/>
      <c r="B2626" s="194"/>
      <c r="C2626" s="194"/>
      <c r="D2626" s="194"/>
      <c r="E2626" s="194"/>
      <c r="F2626" s="194"/>
      <c r="G2626" s="194"/>
      <c r="H2626" s="195"/>
      <c r="I2626" s="195"/>
      <c r="J2626" s="194"/>
      <c r="K2626" s="174"/>
      <c r="L2626" s="174"/>
      <c r="M2626" s="174"/>
      <c r="N2626" s="174"/>
      <c r="O2626" s="174"/>
      <c r="P2626" s="174"/>
      <c r="Q2626" s="174"/>
      <c r="R2626" s="174"/>
      <c r="S2626" s="174"/>
      <c r="T2626" s="174"/>
      <c r="U2626" s="174"/>
      <c r="V2626" s="174"/>
      <c r="W2626" s="174"/>
      <c r="X2626" s="174"/>
      <c r="Y2626" s="174"/>
      <c r="Z2626" s="174"/>
    </row>
    <row r="2627">
      <c r="A2627" s="194"/>
      <c r="B2627" s="194"/>
      <c r="C2627" s="194"/>
      <c r="D2627" s="194"/>
      <c r="E2627" s="194"/>
      <c r="F2627" s="194"/>
      <c r="G2627" s="194"/>
      <c r="H2627" s="195"/>
      <c r="I2627" s="195"/>
      <c r="J2627" s="194"/>
      <c r="K2627" s="174"/>
      <c r="L2627" s="174"/>
      <c r="M2627" s="174"/>
      <c r="N2627" s="174"/>
      <c r="O2627" s="174"/>
      <c r="P2627" s="174"/>
      <c r="Q2627" s="174"/>
      <c r="R2627" s="174"/>
      <c r="S2627" s="174"/>
      <c r="T2627" s="174"/>
      <c r="U2627" s="174"/>
      <c r="V2627" s="174"/>
      <c r="W2627" s="174"/>
      <c r="X2627" s="174"/>
      <c r="Y2627" s="174"/>
      <c r="Z2627" s="174"/>
    </row>
    <row r="2628">
      <c r="A2628" s="194"/>
      <c r="B2628" s="194"/>
      <c r="C2628" s="194"/>
      <c r="D2628" s="194"/>
      <c r="E2628" s="194"/>
      <c r="F2628" s="194"/>
      <c r="G2628" s="194"/>
      <c r="H2628" s="195"/>
      <c r="I2628" s="195"/>
      <c r="J2628" s="194"/>
      <c r="K2628" s="174"/>
      <c r="L2628" s="174"/>
      <c r="M2628" s="174"/>
      <c r="N2628" s="174"/>
      <c r="O2628" s="174"/>
      <c r="P2628" s="174"/>
      <c r="Q2628" s="174"/>
      <c r="R2628" s="174"/>
      <c r="S2628" s="174"/>
      <c r="T2628" s="174"/>
      <c r="U2628" s="174"/>
      <c r="V2628" s="174"/>
      <c r="W2628" s="174"/>
      <c r="X2628" s="174"/>
      <c r="Y2628" s="174"/>
      <c r="Z2628" s="174"/>
    </row>
    <row r="2629">
      <c r="A2629" s="194"/>
      <c r="B2629" s="194"/>
      <c r="C2629" s="194"/>
      <c r="D2629" s="194"/>
      <c r="E2629" s="194"/>
      <c r="F2629" s="194"/>
      <c r="G2629" s="194"/>
      <c r="H2629" s="195"/>
      <c r="I2629" s="195"/>
      <c r="J2629" s="194"/>
      <c r="K2629" s="174"/>
      <c r="L2629" s="174"/>
      <c r="M2629" s="174"/>
      <c r="N2629" s="174"/>
      <c r="O2629" s="174"/>
      <c r="P2629" s="174"/>
      <c r="Q2629" s="174"/>
      <c r="R2629" s="174"/>
      <c r="S2629" s="174"/>
      <c r="T2629" s="174"/>
      <c r="U2629" s="174"/>
      <c r="V2629" s="174"/>
      <c r="W2629" s="174"/>
      <c r="X2629" s="174"/>
      <c r="Y2629" s="174"/>
      <c r="Z2629" s="174"/>
    </row>
    <row r="2630">
      <c r="A2630" s="194"/>
      <c r="B2630" s="194"/>
      <c r="C2630" s="194"/>
      <c r="D2630" s="194"/>
      <c r="E2630" s="194"/>
      <c r="F2630" s="194"/>
      <c r="G2630" s="194"/>
      <c r="H2630" s="195"/>
      <c r="I2630" s="195"/>
      <c r="J2630" s="194"/>
      <c r="K2630" s="174"/>
      <c r="L2630" s="174"/>
      <c r="M2630" s="174"/>
      <c r="N2630" s="174"/>
      <c r="O2630" s="174"/>
      <c r="P2630" s="174"/>
      <c r="Q2630" s="174"/>
      <c r="R2630" s="174"/>
      <c r="S2630" s="174"/>
      <c r="T2630" s="174"/>
      <c r="U2630" s="174"/>
      <c r="V2630" s="174"/>
      <c r="W2630" s="174"/>
      <c r="X2630" s="174"/>
      <c r="Y2630" s="174"/>
      <c r="Z2630" s="174"/>
    </row>
    <row r="2631">
      <c r="A2631" s="194"/>
      <c r="B2631" s="194"/>
      <c r="C2631" s="194"/>
      <c r="D2631" s="194"/>
      <c r="E2631" s="194"/>
      <c r="F2631" s="194"/>
      <c r="G2631" s="194"/>
      <c r="H2631" s="195"/>
      <c r="I2631" s="195"/>
      <c r="J2631" s="194"/>
      <c r="K2631" s="174"/>
      <c r="L2631" s="174"/>
      <c r="M2631" s="174"/>
      <c r="N2631" s="174"/>
      <c r="O2631" s="174"/>
      <c r="P2631" s="174"/>
      <c r="Q2631" s="174"/>
      <c r="R2631" s="174"/>
      <c r="S2631" s="174"/>
      <c r="T2631" s="174"/>
      <c r="U2631" s="174"/>
      <c r="V2631" s="174"/>
      <c r="W2631" s="174"/>
      <c r="X2631" s="174"/>
      <c r="Y2631" s="174"/>
      <c r="Z2631" s="174"/>
    </row>
    <row r="2632">
      <c r="A2632" s="194"/>
      <c r="B2632" s="194"/>
      <c r="C2632" s="194"/>
      <c r="D2632" s="194"/>
      <c r="E2632" s="194"/>
      <c r="F2632" s="194"/>
      <c r="G2632" s="194"/>
      <c r="H2632" s="195"/>
      <c r="I2632" s="195"/>
      <c r="J2632" s="194"/>
      <c r="K2632" s="174"/>
      <c r="L2632" s="174"/>
      <c r="M2632" s="174"/>
      <c r="N2632" s="174"/>
      <c r="O2632" s="174"/>
      <c r="P2632" s="174"/>
      <c r="Q2632" s="174"/>
      <c r="R2632" s="174"/>
      <c r="S2632" s="174"/>
      <c r="T2632" s="174"/>
      <c r="U2632" s="174"/>
      <c r="V2632" s="174"/>
      <c r="W2632" s="174"/>
      <c r="X2632" s="174"/>
      <c r="Y2632" s="174"/>
      <c r="Z2632" s="174"/>
    </row>
    <row r="2633">
      <c r="A2633" s="194"/>
      <c r="B2633" s="194"/>
      <c r="C2633" s="194"/>
      <c r="D2633" s="194"/>
      <c r="E2633" s="194"/>
      <c r="F2633" s="194"/>
      <c r="G2633" s="194"/>
      <c r="H2633" s="195"/>
      <c r="I2633" s="195"/>
      <c r="J2633" s="194"/>
      <c r="K2633" s="174"/>
      <c r="L2633" s="174"/>
      <c r="M2633" s="174"/>
      <c r="N2633" s="174"/>
      <c r="O2633" s="174"/>
      <c r="P2633" s="174"/>
      <c r="Q2633" s="174"/>
      <c r="R2633" s="174"/>
      <c r="S2633" s="174"/>
      <c r="T2633" s="174"/>
      <c r="U2633" s="174"/>
      <c r="V2633" s="174"/>
      <c r="W2633" s="174"/>
      <c r="X2633" s="174"/>
      <c r="Y2633" s="174"/>
      <c r="Z2633" s="174"/>
    </row>
    <row r="2634">
      <c r="A2634" s="194"/>
      <c r="B2634" s="194"/>
      <c r="C2634" s="194"/>
      <c r="D2634" s="194"/>
      <c r="E2634" s="194"/>
      <c r="F2634" s="194"/>
      <c r="G2634" s="194"/>
      <c r="H2634" s="195"/>
      <c r="I2634" s="195"/>
      <c r="J2634" s="194"/>
      <c r="K2634" s="174"/>
      <c r="L2634" s="174"/>
      <c r="M2634" s="174"/>
      <c r="N2634" s="174"/>
      <c r="O2634" s="174"/>
      <c r="P2634" s="174"/>
      <c r="Q2634" s="174"/>
      <c r="R2634" s="174"/>
      <c r="S2634" s="174"/>
      <c r="T2634" s="174"/>
      <c r="U2634" s="174"/>
      <c r="V2634" s="174"/>
      <c r="W2634" s="174"/>
      <c r="X2634" s="174"/>
      <c r="Y2634" s="174"/>
      <c r="Z2634" s="174"/>
    </row>
    <row r="2635">
      <c r="A2635" s="194"/>
      <c r="B2635" s="194"/>
      <c r="C2635" s="194"/>
      <c r="D2635" s="194"/>
      <c r="E2635" s="194"/>
      <c r="F2635" s="194"/>
      <c r="G2635" s="194"/>
      <c r="H2635" s="195"/>
      <c r="I2635" s="195"/>
      <c r="J2635" s="194"/>
      <c r="K2635" s="174"/>
      <c r="L2635" s="174"/>
      <c r="M2635" s="174"/>
      <c r="N2635" s="174"/>
      <c r="O2635" s="174"/>
      <c r="P2635" s="174"/>
      <c r="Q2635" s="174"/>
      <c r="R2635" s="174"/>
      <c r="S2635" s="174"/>
      <c r="T2635" s="174"/>
      <c r="U2635" s="174"/>
      <c r="V2635" s="174"/>
      <c r="W2635" s="174"/>
      <c r="X2635" s="174"/>
      <c r="Y2635" s="174"/>
      <c r="Z2635" s="174"/>
    </row>
    <row r="2636">
      <c r="A2636" s="194"/>
      <c r="B2636" s="194"/>
      <c r="C2636" s="194"/>
      <c r="D2636" s="194"/>
      <c r="E2636" s="194"/>
      <c r="F2636" s="194"/>
      <c r="G2636" s="194"/>
      <c r="H2636" s="195"/>
      <c r="I2636" s="195"/>
      <c r="J2636" s="194"/>
      <c r="K2636" s="174"/>
      <c r="L2636" s="174"/>
      <c r="M2636" s="174"/>
      <c r="N2636" s="174"/>
      <c r="O2636" s="174"/>
      <c r="P2636" s="174"/>
      <c r="Q2636" s="174"/>
      <c r="R2636" s="174"/>
      <c r="S2636" s="174"/>
      <c r="T2636" s="174"/>
      <c r="U2636" s="174"/>
      <c r="V2636" s="174"/>
      <c r="W2636" s="174"/>
      <c r="X2636" s="174"/>
      <c r="Y2636" s="174"/>
      <c r="Z2636" s="174"/>
    </row>
    <row r="2637">
      <c r="A2637" s="194"/>
      <c r="B2637" s="194"/>
      <c r="C2637" s="194"/>
      <c r="D2637" s="194"/>
      <c r="E2637" s="194"/>
      <c r="F2637" s="194"/>
      <c r="G2637" s="194"/>
      <c r="H2637" s="195"/>
      <c r="I2637" s="195"/>
      <c r="J2637" s="194"/>
      <c r="K2637" s="174"/>
      <c r="L2637" s="174"/>
      <c r="M2637" s="174"/>
      <c r="N2637" s="174"/>
      <c r="O2637" s="174"/>
      <c r="P2637" s="174"/>
      <c r="Q2637" s="174"/>
      <c r="R2637" s="174"/>
      <c r="S2637" s="174"/>
      <c r="T2637" s="174"/>
      <c r="U2637" s="174"/>
      <c r="V2637" s="174"/>
      <c r="W2637" s="174"/>
      <c r="X2637" s="174"/>
      <c r="Y2637" s="174"/>
      <c r="Z2637" s="174"/>
    </row>
    <row r="2638">
      <c r="A2638" s="194"/>
      <c r="B2638" s="194"/>
      <c r="C2638" s="194"/>
      <c r="D2638" s="194"/>
      <c r="E2638" s="194"/>
      <c r="F2638" s="194"/>
      <c r="G2638" s="194"/>
      <c r="H2638" s="195"/>
      <c r="I2638" s="195"/>
      <c r="J2638" s="194"/>
      <c r="K2638" s="174"/>
      <c r="L2638" s="174"/>
      <c r="M2638" s="174"/>
      <c r="N2638" s="174"/>
      <c r="O2638" s="174"/>
      <c r="P2638" s="174"/>
      <c r="Q2638" s="174"/>
      <c r="R2638" s="174"/>
      <c r="S2638" s="174"/>
      <c r="T2638" s="174"/>
      <c r="U2638" s="174"/>
      <c r="V2638" s="174"/>
      <c r="W2638" s="174"/>
      <c r="X2638" s="174"/>
      <c r="Y2638" s="174"/>
      <c r="Z2638" s="174"/>
    </row>
    <row r="2639">
      <c r="A2639" s="194"/>
      <c r="B2639" s="194"/>
      <c r="C2639" s="194"/>
      <c r="D2639" s="194"/>
      <c r="E2639" s="194"/>
      <c r="F2639" s="194"/>
      <c r="G2639" s="194"/>
      <c r="H2639" s="195"/>
      <c r="I2639" s="195"/>
      <c r="J2639" s="194"/>
      <c r="K2639" s="174"/>
      <c r="L2639" s="174"/>
      <c r="M2639" s="174"/>
      <c r="N2639" s="174"/>
      <c r="O2639" s="174"/>
      <c r="P2639" s="174"/>
      <c r="Q2639" s="174"/>
      <c r="R2639" s="174"/>
      <c r="S2639" s="174"/>
      <c r="T2639" s="174"/>
      <c r="U2639" s="174"/>
      <c r="V2639" s="174"/>
      <c r="W2639" s="174"/>
      <c r="X2639" s="174"/>
      <c r="Y2639" s="174"/>
      <c r="Z2639" s="174"/>
    </row>
    <row r="2640">
      <c r="A2640" s="194"/>
      <c r="B2640" s="194"/>
      <c r="C2640" s="194"/>
      <c r="D2640" s="194"/>
      <c r="E2640" s="194"/>
      <c r="F2640" s="194"/>
      <c r="G2640" s="194"/>
      <c r="H2640" s="195"/>
      <c r="I2640" s="195"/>
      <c r="J2640" s="194"/>
      <c r="K2640" s="174"/>
      <c r="L2640" s="174"/>
      <c r="M2640" s="174"/>
      <c r="N2640" s="174"/>
      <c r="O2640" s="174"/>
      <c r="P2640" s="174"/>
      <c r="Q2640" s="174"/>
      <c r="R2640" s="174"/>
      <c r="S2640" s="174"/>
      <c r="T2640" s="174"/>
      <c r="U2640" s="174"/>
      <c r="V2640" s="174"/>
      <c r="W2640" s="174"/>
      <c r="X2640" s="174"/>
      <c r="Y2640" s="174"/>
      <c r="Z2640" s="174"/>
    </row>
    <row r="2641">
      <c r="A2641" s="194"/>
      <c r="B2641" s="194"/>
      <c r="C2641" s="194"/>
      <c r="D2641" s="194"/>
      <c r="E2641" s="194"/>
      <c r="F2641" s="194"/>
      <c r="G2641" s="194"/>
      <c r="H2641" s="195"/>
      <c r="I2641" s="195"/>
      <c r="J2641" s="194"/>
      <c r="K2641" s="174"/>
      <c r="L2641" s="174"/>
      <c r="M2641" s="174"/>
      <c r="N2641" s="174"/>
      <c r="O2641" s="174"/>
      <c r="P2641" s="174"/>
      <c r="Q2641" s="174"/>
      <c r="R2641" s="174"/>
      <c r="S2641" s="174"/>
      <c r="T2641" s="174"/>
      <c r="U2641" s="174"/>
      <c r="V2641" s="174"/>
      <c r="W2641" s="174"/>
      <c r="X2641" s="174"/>
      <c r="Y2641" s="174"/>
      <c r="Z2641" s="174"/>
    </row>
    <row r="2642">
      <c r="A2642" s="194"/>
      <c r="B2642" s="194"/>
      <c r="C2642" s="194"/>
      <c r="D2642" s="194"/>
      <c r="E2642" s="194"/>
      <c r="F2642" s="194"/>
      <c r="G2642" s="194"/>
      <c r="H2642" s="195"/>
      <c r="I2642" s="195"/>
      <c r="J2642" s="194"/>
      <c r="K2642" s="174"/>
      <c r="L2642" s="174"/>
      <c r="M2642" s="174"/>
      <c r="N2642" s="174"/>
      <c r="O2642" s="174"/>
      <c r="P2642" s="174"/>
      <c r="Q2642" s="174"/>
      <c r="R2642" s="174"/>
      <c r="S2642" s="174"/>
      <c r="T2642" s="174"/>
      <c r="U2642" s="174"/>
      <c r="V2642" s="174"/>
      <c r="W2642" s="174"/>
      <c r="X2642" s="174"/>
      <c r="Y2642" s="174"/>
      <c r="Z2642" s="174"/>
    </row>
    <row r="2643">
      <c r="A2643" s="194"/>
      <c r="B2643" s="194"/>
      <c r="C2643" s="194"/>
      <c r="D2643" s="194"/>
      <c r="E2643" s="194"/>
      <c r="F2643" s="194"/>
      <c r="G2643" s="194"/>
      <c r="H2643" s="195"/>
      <c r="I2643" s="195"/>
      <c r="J2643" s="194"/>
      <c r="K2643" s="174"/>
      <c r="L2643" s="174"/>
      <c r="M2643" s="174"/>
      <c r="N2643" s="174"/>
      <c r="O2643" s="174"/>
      <c r="P2643" s="174"/>
      <c r="Q2643" s="174"/>
      <c r="R2643" s="174"/>
      <c r="S2643" s="174"/>
      <c r="T2643" s="174"/>
      <c r="U2643" s="174"/>
      <c r="V2643" s="174"/>
      <c r="W2643" s="174"/>
      <c r="X2643" s="174"/>
      <c r="Y2643" s="174"/>
      <c r="Z2643" s="174"/>
    </row>
    <row r="2644">
      <c r="A2644" s="194"/>
      <c r="B2644" s="194"/>
      <c r="C2644" s="194"/>
      <c r="D2644" s="194"/>
      <c r="E2644" s="194"/>
      <c r="F2644" s="194"/>
      <c r="G2644" s="194"/>
      <c r="H2644" s="195"/>
      <c r="I2644" s="195"/>
      <c r="J2644" s="194"/>
      <c r="K2644" s="174"/>
      <c r="L2644" s="174"/>
      <c r="M2644" s="174"/>
      <c r="N2644" s="174"/>
      <c r="O2644" s="174"/>
      <c r="P2644" s="174"/>
      <c r="Q2644" s="174"/>
      <c r="R2644" s="174"/>
      <c r="S2644" s="174"/>
      <c r="T2644" s="174"/>
      <c r="U2644" s="174"/>
      <c r="V2644" s="174"/>
      <c r="W2644" s="174"/>
      <c r="X2644" s="174"/>
      <c r="Y2644" s="174"/>
      <c r="Z2644" s="174"/>
    </row>
    <row r="2645">
      <c r="A2645" s="194"/>
      <c r="B2645" s="194"/>
      <c r="C2645" s="194"/>
      <c r="D2645" s="194"/>
      <c r="E2645" s="194"/>
      <c r="F2645" s="194"/>
      <c r="G2645" s="194"/>
      <c r="H2645" s="195"/>
      <c r="I2645" s="195"/>
      <c r="J2645" s="194"/>
      <c r="K2645" s="174"/>
      <c r="L2645" s="174"/>
      <c r="M2645" s="174"/>
      <c r="N2645" s="174"/>
      <c r="O2645" s="174"/>
      <c r="P2645" s="174"/>
      <c r="Q2645" s="174"/>
      <c r="R2645" s="174"/>
      <c r="S2645" s="174"/>
      <c r="T2645" s="174"/>
      <c r="U2645" s="174"/>
      <c r="V2645" s="174"/>
      <c r="W2645" s="174"/>
      <c r="X2645" s="174"/>
      <c r="Y2645" s="174"/>
      <c r="Z2645" s="174"/>
    </row>
    <row r="2646">
      <c r="A2646" s="194"/>
      <c r="B2646" s="194"/>
      <c r="C2646" s="194"/>
      <c r="D2646" s="194"/>
      <c r="E2646" s="194"/>
      <c r="F2646" s="194"/>
      <c r="G2646" s="194"/>
      <c r="H2646" s="195"/>
      <c r="I2646" s="195"/>
      <c r="J2646" s="194"/>
      <c r="K2646" s="174"/>
      <c r="L2646" s="174"/>
      <c r="M2646" s="174"/>
      <c r="N2646" s="174"/>
      <c r="O2646" s="174"/>
      <c r="P2646" s="174"/>
      <c r="Q2646" s="174"/>
      <c r="R2646" s="174"/>
      <c r="S2646" s="174"/>
      <c r="T2646" s="174"/>
      <c r="U2646" s="174"/>
      <c r="V2646" s="174"/>
      <c r="W2646" s="174"/>
      <c r="X2646" s="174"/>
      <c r="Y2646" s="174"/>
      <c r="Z2646" s="174"/>
    </row>
    <row r="2647">
      <c r="A2647" s="194"/>
      <c r="B2647" s="194"/>
      <c r="C2647" s="194"/>
      <c r="D2647" s="194"/>
      <c r="E2647" s="194"/>
      <c r="F2647" s="194"/>
      <c r="G2647" s="194"/>
      <c r="H2647" s="195"/>
      <c r="I2647" s="195"/>
      <c r="J2647" s="194"/>
      <c r="K2647" s="174"/>
      <c r="L2647" s="174"/>
      <c r="M2647" s="174"/>
      <c r="N2647" s="174"/>
      <c r="O2647" s="174"/>
      <c r="P2647" s="174"/>
      <c r="Q2647" s="174"/>
      <c r="R2647" s="174"/>
      <c r="S2647" s="174"/>
      <c r="T2647" s="174"/>
      <c r="U2647" s="174"/>
      <c r="V2647" s="174"/>
      <c r="W2647" s="174"/>
      <c r="X2647" s="174"/>
      <c r="Y2647" s="174"/>
      <c r="Z2647" s="174"/>
    </row>
    <row r="2648">
      <c r="A2648" s="194"/>
      <c r="B2648" s="194"/>
      <c r="C2648" s="194"/>
      <c r="D2648" s="194"/>
      <c r="E2648" s="194"/>
      <c r="F2648" s="194"/>
      <c r="G2648" s="194"/>
      <c r="H2648" s="195"/>
      <c r="I2648" s="195"/>
      <c r="J2648" s="194"/>
      <c r="K2648" s="174"/>
      <c r="L2648" s="174"/>
      <c r="M2648" s="174"/>
      <c r="N2648" s="174"/>
      <c r="O2648" s="174"/>
      <c r="P2648" s="174"/>
      <c r="Q2648" s="174"/>
      <c r="R2648" s="174"/>
      <c r="S2648" s="174"/>
      <c r="T2648" s="174"/>
      <c r="U2648" s="174"/>
      <c r="V2648" s="174"/>
      <c r="W2648" s="174"/>
      <c r="X2648" s="174"/>
      <c r="Y2648" s="174"/>
      <c r="Z2648" s="174"/>
    </row>
    <row r="2649">
      <c r="A2649" s="194"/>
      <c r="B2649" s="194"/>
      <c r="C2649" s="194"/>
      <c r="D2649" s="194"/>
      <c r="E2649" s="194"/>
      <c r="F2649" s="194"/>
      <c r="G2649" s="194"/>
      <c r="H2649" s="195"/>
      <c r="I2649" s="195"/>
      <c r="J2649" s="194"/>
      <c r="K2649" s="174"/>
      <c r="L2649" s="174"/>
      <c r="M2649" s="174"/>
      <c r="N2649" s="174"/>
      <c r="O2649" s="174"/>
      <c r="P2649" s="174"/>
      <c r="Q2649" s="174"/>
      <c r="R2649" s="174"/>
      <c r="S2649" s="174"/>
      <c r="T2649" s="174"/>
      <c r="U2649" s="174"/>
      <c r="V2649" s="174"/>
      <c r="W2649" s="174"/>
      <c r="X2649" s="174"/>
      <c r="Y2649" s="174"/>
      <c r="Z2649" s="174"/>
    </row>
    <row r="2650">
      <c r="A2650" s="194"/>
      <c r="B2650" s="194"/>
      <c r="C2650" s="194"/>
      <c r="D2650" s="194"/>
      <c r="E2650" s="194"/>
      <c r="F2650" s="194"/>
      <c r="G2650" s="194"/>
      <c r="H2650" s="195"/>
      <c r="I2650" s="195"/>
      <c r="J2650" s="194"/>
      <c r="K2650" s="174"/>
      <c r="L2650" s="174"/>
      <c r="M2650" s="174"/>
      <c r="N2650" s="174"/>
      <c r="O2650" s="174"/>
      <c r="P2650" s="174"/>
      <c r="Q2650" s="174"/>
      <c r="R2650" s="174"/>
      <c r="S2650" s="174"/>
      <c r="T2650" s="174"/>
      <c r="U2650" s="174"/>
      <c r="V2650" s="174"/>
      <c r="W2650" s="174"/>
      <c r="X2650" s="174"/>
      <c r="Y2650" s="174"/>
      <c r="Z2650" s="174"/>
    </row>
    <row r="2651">
      <c r="A2651" s="194"/>
      <c r="B2651" s="194"/>
      <c r="C2651" s="194"/>
      <c r="D2651" s="194"/>
      <c r="E2651" s="194"/>
      <c r="F2651" s="194"/>
      <c r="G2651" s="194"/>
      <c r="H2651" s="195"/>
      <c r="I2651" s="195"/>
      <c r="J2651" s="194"/>
      <c r="K2651" s="174"/>
      <c r="L2651" s="174"/>
      <c r="M2651" s="174"/>
      <c r="N2651" s="174"/>
      <c r="O2651" s="174"/>
      <c r="P2651" s="174"/>
      <c r="Q2651" s="174"/>
      <c r="R2651" s="174"/>
      <c r="S2651" s="174"/>
      <c r="T2651" s="174"/>
      <c r="U2651" s="174"/>
      <c r="V2651" s="174"/>
      <c r="W2651" s="174"/>
      <c r="X2651" s="174"/>
      <c r="Y2651" s="174"/>
      <c r="Z2651" s="174"/>
    </row>
    <row r="2652">
      <c r="A2652" s="194"/>
      <c r="B2652" s="194"/>
      <c r="C2652" s="194"/>
      <c r="D2652" s="194"/>
      <c r="E2652" s="194"/>
      <c r="F2652" s="194"/>
      <c r="G2652" s="194"/>
      <c r="H2652" s="195"/>
      <c r="I2652" s="195"/>
      <c r="J2652" s="194"/>
      <c r="K2652" s="174"/>
      <c r="L2652" s="174"/>
      <c r="M2652" s="174"/>
      <c r="N2652" s="174"/>
      <c r="O2652" s="174"/>
      <c r="P2652" s="174"/>
      <c r="Q2652" s="174"/>
      <c r="R2652" s="174"/>
      <c r="S2652" s="174"/>
      <c r="T2652" s="174"/>
      <c r="U2652" s="174"/>
      <c r="V2652" s="174"/>
      <c r="W2652" s="174"/>
      <c r="X2652" s="174"/>
      <c r="Y2652" s="174"/>
      <c r="Z2652" s="174"/>
    </row>
    <row r="2653">
      <c r="A2653" s="194"/>
      <c r="B2653" s="194"/>
      <c r="C2653" s="194"/>
      <c r="D2653" s="194"/>
      <c r="E2653" s="194"/>
      <c r="F2653" s="194"/>
      <c r="G2653" s="194"/>
      <c r="H2653" s="195"/>
      <c r="I2653" s="195"/>
      <c r="J2653" s="194"/>
      <c r="K2653" s="174"/>
      <c r="L2653" s="174"/>
      <c r="M2653" s="174"/>
      <c r="N2653" s="174"/>
      <c r="O2653" s="174"/>
      <c r="P2653" s="174"/>
      <c r="Q2653" s="174"/>
      <c r="R2653" s="174"/>
      <c r="S2653" s="174"/>
      <c r="T2653" s="174"/>
      <c r="U2653" s="174"/>
      <c r="V2653" s="174"/>
      <c r="W2653" s="174"/>
      <c r="X2653" s="174"/>
      <c r="Y2653" s="174"/>
      <c r="Z2653" s="174"/>
    </row>
    <row r="2654">
      <c r="A2654" s="194"/>
      <c r="B2654" s="194"/>
      <c r="C2654" s="194"/>
      <c r="D2654" s="194"/>
      <c r="E2654" s="194"/>
      <c r="F2654" s="194"/>
      <c r="G2654" s="194"/>
      <c r="H2654" s="195"/>
      <c r="I2654" s="195"/>
      <c r="J2654" s="194"/>
      <c r="K2654" s="174"/>
      <c r="L2654" s="174"/>
      <c r="M2654" s="174"/>
      <c r="N2654" s="174"/>
      <c r="O2654" s="174"/>
      <c r="P2654" s="174"/>
      <c r="Q2654" s="174"/>
      <c r="R2654" s="174"/>
      <c r="S2654" s="174"/>
      <c r="T2654" s="174"/>
      <c r="U2654" s="174"/>
      <c r="V2654" s="174"/>
      <c r="W2654" s="174"/>
      <c r="X2654" s="174"/>
      <c r="Y2654" s="174"/>
      <c r="Z2654" s="174"/>
    </row>
    <row r="2655">
      <c r="A2655" s="194"/>
      <c r="B2655" s="194"/>
      <c r="C2655" s="194"/>
      <c r="D2655" s="194"/>
      <c r="E2655" s="194"/>
      <c r="F2655" s="194"/>
      <c r="G2655" s="194"/>
      <c r="H2655" s="195"/>
      <c r="I2655" s="195"/>
      <c r="J2655" s="194"/>
      <c r="K2655" s="174"/>
      <c r="L2655" s="174"/>
      <c r="M2655" s="174"/>
      <c r="N2655" s="174"/>
      <c r="O2655" s="174"/>
      <c r="P2655" s="174"/>
      <c r="Q2655" s="174"/>
      <c r="R2655" s="174"/>
      <c r="S2655" s="174"/>
      <c r="T2655" s="174"/>
      <c r="U2655" s="174"/>
      <c r="V2655" s="174"/>
      <c r="W2655" s="174"/>
      <c r="X2655" s="174"/>
      <c r="Y2655" s="174"/>
      <c r="Z2655" s="174"/>
    </row>
    <row r="2656">
      <c r="A2656" s="194"/>
      <c r="B2656" s="194"/>
      <c r="C2656" s="194"/>
      <c r="D2656" s="194"/>
      <c r="E2656" s="194"/>
      <c r="F2656" s="194"/>
      <c r="G2656" s="194"/>
      <c r="H2656" s="195"/>
      <c r="I2656" s="195"/>
      <c r="J2656" s="194"/>
      <c r="K2656" s="174"/>
      <c r="L2656" s="174"/>
      <c r="M2656" s="174"/>
      <c r="N2656" s="174"/>
      <c r="O2656" s="174"/>
      <c r="P2656" s="174"/>
      <c r="Q2656" s="174"/>
      <c r="R2656" s="174"/>
      <c r="S2656" s="174"/>
      <c r="T2656" s="174"/>
      <c r="U2656" s="174"/>
      <c r="V2656" s="174"/>
      <c r="W2656" s="174"/>
      <c r="X2656" s="174"/>
      <c r="Y2656" s="174"/>
      <c r="Z2656" s="174"/>
    </row>
    <row r="2657">
      <c r="A2657" s="194"/>
      <c r="B2657" s="194"/>
      <c r="C2657" s="194"/>
      <c r="D2657" s="194"/>
      <c r="E2657" s="194"/>
      <c r="F2657" s="194"/>
      <c r="G2657" s="194"/>
      <c r="H2657" s="195"/>
      <c r="I2657" s="195"/>
      <c r="J2657" s="194"/>
      <c r="K2657" s="174"/>
      <c r="L2657" s="174"/>
      <c r="M2657" s="174"/>
      <c r="N2657" s="174"/>
      <c r="O2657" s="174"/>
      <c r="P2657" s="174"/>
      <c r="Q2657" s="174"/>
      <c r="R2657" s="174"/>
      <c r="S2657" s="174"/>
      <c r="T2657" s="174"/>
      <c r="U2657" s="174"/>
      <c r="V2657" s="174"/>
      <c r="W2657" s="174"/>
      <c r="X2657" s="174"/>
      <c r="Y2657" s="174"/>
      <c r="Z2657" s="174"/>
    </row>
    <row r="2658">
      <c r="A2658" s="194"/>
      <c r="B2658" s="194"/>
      <c r="C2658" s="194"/>
      <c r="D2658" s="194"/>
      <c r="E2658" s="194"/>
      <c r="F2658" s="194"/>
      <c r="G2658" s="194"/>
      <c r="H2658" s="195"/>
      <c r="I2658" s="195"/>
      <c r="J2658" s="194"/>
      <c r="K2658" s="174"/>
      <c r="L2658" s="174"/>
      <c r="M2658" s="174"/>
      <c r="N2658" s="174"/>
      <c r="O2658" s="174"/>
      <c r="P2658" s="174"/>
      <c r="Q2658" s="174"/>
      <c r="R2658" s="174"/>
      <c r="S2658" s="174"/>
      <c r="T2658" s="174"/>
      <c r="U2658" s="174"/>
      <c r="V2658" s="174"/>
      <c r="W2658" s="174"/>
      <c r="X2658" s="174"/>
      <c r="Y2658" s="174"/>
      <c r="Z2658" s="174"/>
    </row>
    <row r="2659">
      <c r="A2659" s="194"/>
      <c r="B2659" s="194"/>
      <c r="C2659" s="194"/>
      <c r="D2659" s="194"/>
      <c r="E2659" s="194"/>
      <c r="F2659" s="194"/>
      <c r="G2659" s="194"/>
      <c r="H2659" s="195"/>
      <c r="I2659" s="195"/>
      <c r="J2659" s="194"/>
      <c r="K2659" s="174"/>
      <c r="L2659" s="174"/>
      <c r="M2659" s="174"/>
      <c r="N2659" s="174"/>
      <c r="O2659" s="174"/>
      <c r="P2659" s="174"/>
      <c r="Q2659" s="174"/>
      <c r="R2659" s="174"/>
      <c r="S2659" s="174"/>
      <c r="T2659" s="174"/>
      <c r="U2659" s="174"/>
      <c r="V2659" s="174"/>
      <c r="W2659" s="174"/>
      <c r="X2659" s="174"/>
      <c r="Y2659" s="174"/>
      <c r="Z2659" s="174"/>
    </row>
    <row r="2660">
      <c r="A2660" s="194"/>
      <c r="B2660" s="194"/>
      <c r="C2660" s="194"/>
      <c r="D2660" s="194"/>
      <c r="E2660" s="194"/>
      <c r="F2660" s="194"/>
      <c r="G2660" s="194"/>
      <c r="H2660" s="195"/>
      <c r="I2660" s="195"/>
      <c r="J2660" s="194"/>
      <c r="K2660" s="174"/>
      <c r="L2660" s="174"/>
      <c r="M2660" s="174"/>
      <c r="N2660" s="174"/>
      <c r="O2660" s="174"/>
      <c r="P2660" s="174"/>
      <c r="Q2660" s="174"/>
      <c r="R2660" s="174"/>
      <c r="S2660" s="174"/>
      <c r="T2660" s="174"/>
      <c r="U2660" s="174"/>
      <c r="V2660" s="174"/>
      <c r="W2660" s="174"/>
      <c r="X2660" s="174"/>
      <c r="Y2660" s="174"/>
      <c r="Z2660" s="174"/>
    </row>
    <row r="2661">
      <c r="A2661" s="194"/>
      <c r="B2661" s="194"/>
      <c r="C2661" s="194"/>
      <c r="D2661" s="194"/>
      <c r="E2661" s="194"/>
      <c r="F2661" s="194"/>
      <c r="G2661" s="194"/>
      <c r="H2661" s="195"/>
      <c r="I2661" s="195"/>
      <c r="J2661" s="194"/>
      <c r="K2661" s="174"/>
      <c r="L2661" s="174"/>
      <c r="M2661" s="174"/>
      <c r="N2661" s="174"/>
      <c r="O2661" s="174"/>
      <c r="P2661" s="174"/>
      <c r="Q2661" s="174"/>
      <c r="R2661" s="174"/>
      <c r="S2661" s="174"/>
      <c r="T2661" s="174"/>
      <c r="U2661" s="174"/>
      <c r="V2661" s="174"/>
      <c r="W2661" s="174"/>
      <c r="X2661" s="174"/>
      <c r="Y2661" s="174"/>
      <c r="Z2661" s="174"/>
    </row>
    <row r="2662">
      <c r="A2662" s="194"/>
      <c r="B2662" s="194"/>
      <c r="C2662" s="194"/>
      <c r="D2662" s="194"/>
      <c r="E2662" s="194"/>
      <c r="F2662" s="194"/>
      <c r="G2662" s="194"/>
      <c r="H2662" s="195"/>
      <c r="I2662" s="195"/>
      <c r="J2662" s="194"/>
      <c r="K2662" s="174"/>
      <c r="L2662" s="174"/>
      <c r="M2662" s="174"/>
      <c r="N2662" s="174"/>
      <c r="O2662" s="174"/>
      <c r="P2662" s="174"/>
      <c r="Q2662" s="174"/>
      <c r="R2662" s="174"/>
      <c r="S2662" s="174"/>
      <c r="T2662" s="174"/>
      <c r="U2662" s="174"/>
      <c r="V2662" s="174"/>
      <c r="W2662" s="174"/>
      <c r="X2662" s="174"/>
      <c r="Y2662" s="174"/>
      <c r="Z2662" s="174"/>
    </row>
    <row r="2663">
      <c r="A2663" s="194"/>
      <c r="B2663" s="194"/>
      <c r="C2663" s="194"/>
      <c r="D2663" s="194"/>
      <c r="E2663" s="194"/>
      <c r="F2663" s="194"/>
      <c r="G2663" s="194"/>
      <c r="H2663" s="195"/>
      <c r="I2663" s="195"/>
      <c r="J2663" s="194"/>
      <c r="K2663" s="174"/>
      <c r="L2663" s="174"/>
      <c r="M2663" s="174"/>
      <c r="N2663" s="174"/>
      <c r="O2663" s="174"/>
      <c r="P2663" s="174"/>
      <c r="Q2663" s="174"/>
      <c r="R2663" s="174"/>
      <c r="S2663" s="174"/>
      <c r="T2663" s="174"/>
      <c r="U2663" s="174"/>
      <c r="V2663" s="174"/>
      <c r="W2663" s="174"/>
      <c r="X2663" s="174"/>
      <c r="Y2663" s="174"/>
      <c r="Z2663" s="174"/>
    </row>
    <row r="2664">
      <c r="A2664" s="194"/>
      <c r="B2664" s="194"/>
      <c r="C2664" s="194"/>
      <c r="D2664" s="194"/>
      <c r="E2664" s="194"/>
      <c r="F2664" s="194"/>
      <c r="G2664" s="194"/>
      <c r="H2664" s="195"/>
      <c r="I2664" s="195"/>
      <c r="J2664" s="194"/>
      <c r="K2664" s="174"/>
      <c r="L2664" s="174"/>
      <c r="M2664" s="174"/>
      <c r="N2664" s="174"/>
      <c r="O2664" s="174"/>
      <c r="P2664" s="174"/>
      <c r="Q2664" s="174"/>
      <c r="R2664" s="174"/>
      <c r="S2664" s="174"/>
      <c r="T2664" s="174"/>
      <c r="U2664" s="174"/>
      <c r="V2664" s="174"/>
      <c r="W2664" s="174"/>
      <c r="X2664" s="174"/>
      <c r="Y2664" s="174"/>
      <c r="Z2664" s="174"/>
    </row>
    <row r="2665">
      <c r="A2665" s="194"/>
      <c r="B2665" s="194"/>
      <c r="C2665" s="194"/>
      <c r="D2665" s="194"/>
      <c r="E2665" s="194"/>
      <c r="F2665" s="194"/>
      <c r="G2665" s="194"/>
      <c r="H2665" s="195"/>
      <c r="I2665" s="195"/>
      <c r="J2665" s="194"/>
      <c r="K2665" s="174"/>
      <c r="L2665" s="174"/>
      <c r="M2665" s="174"/>
      <c r="N2665" s="174"/>
      <c r="O2665" s="174"/>
      <c r="P2665" s="174"/>
      <c r="Q2665" s="174"/>
      <c r="R2665" s="174"/>
      <c r="S2665" s="174"/>
      <c r="T2665" s="174"/>
      <c r="U2665" s="174"/>
      <c r="V2665" s="174"/>
      <c r="W2665" s="174"/>
      <c r="X2665" s="174"/>
      <c r="Y2665" s="174"/>
      <c r="Z2665" s="174"/>
    </row>
    <row r="2666">
      <c r="A2666" s="194"/>
      <c r="B2666" s="194"/>
      <c r="C2666" s="194"/>
      <c r="D2666" s="194"/>
      <c r="E2666" s="194"/>
      <c r="F2666" s="194"/>
      <c r="G2666" s="194"/>
      <c r="H2666" s="195"/>
      <c r="I2666" s="195"/>
      <c r="J2666" s="194"/>
      <c r="K2666" s="174"/>
      <c r="L2666" s="174"/>
      <c r="M2666" s="174"/>
      <c r="N2666" s="174"/>
      <c r="O2666" s="174"/>
      <c r="P2666" s="174"/>
      <c r="Q2666" s="174"/>
      <c r="R2666" s="174"/>
      <c r="S2666" s="174"/>
      <c r="T2666" s="174"/>
      <c r="U2666" s="174"/>
      <c r="V2666" s="174"/>
      <c r="W2666" s="174"/>
      <c r="X2666" s="174"/>
      <c r="Y2666" s="174"/>
      <c r="Z2666" s="174"/>
    </row>
    <row r="2667">
      <c r="A2667" s="194"/>
      <c r="B2667" s="194"/>
      <c r="C2667" s="194"/>
      <c r="D2667" s="194"/>
      <c r="E2667" s="194"/>
      <c r="F2667" s="194"/>
      <c r="G2667" s="194"/>
      <c r="H2667" s="195"/>
      <c r="I2667" s="195"/>
      <c r="J2667" s="194"/>
      <c r="K2667" s="174"/>
      <c r="L2667" s="174"/>
      <c r="M2667" s="174"/>
      <c r="N2667" s="174"/>
      <c r="O2667" s="174"/>
      <c r="P2667" s="174"/>
      <c r="Q2667" s="174"/>
      <c r="R2667" s="174"/>
      <c r="S2667" s="174"/>
      <c r="T2667" s="174"/>
      <c r="U2667" s="174"/>
      <c r="V2667" s="174"/>
      <c r="W2667" s="174"/>
      <c r="X2667" s="174"/>
      <c r="Y2667" s="174"/>
      <c r="Z2667" s="174"/>
    </row>
    <row r="2668">
      <c r="A2668" s="194"/>
      <c r="B2668" s="194"/>
      <c r="C2668" s="194"/>
      <c r="D2668" s="194"/>
      <c r="E2668" s="194"/>
      <c r="F2668" s="194"/>
      <c r="G2668" s="194"/>
      <c r="H2668" s="195"/>
      <c r="I2668" s="195"/>
      <c r="J2668" s="194"/>
      <c r="K2668" s="174"/>
      <c r="L2668" s="174"/>
      <c r="M2668" s="174"/>
      <c r="N2668" s="174"/>
      <c r="O2668" s="174"/>
      <c r="P2668" s="174"/>
      <c r="Q2668" s="174"/>
      <c r="R2668" s="174"/>
      <c r="S2668" s="174"/>
      <c r="T2668" s="174"/>
      <c r="U2668" s="174"/>
      <c r="V2668" s="174"/>
      <c r="W2668" s="174"/>
      <c r="X2668" s="174"/>
      <c r="Y2668" s="174"/>
      <c r="Z2668" s="174"/>
    </row>
    <row r="2669">
      <c r="A2669" s="194"/>
      <c r="B2669" s="194"/>
      <c r="C2669" s="194"/>
      <c r="D2669" s="194"/>
      <c r="E2669" s="194"/>
      <c r="F2669" s="194"/>
      <c r="G2669" s="194"/>
      <c r="H2669" s="195"/>
      <c r="I2669" s="195"/>
      <c r="J2669" s="194"/>
      <c r="K2669" s="174"/>
      <c r="L2669" s="174"/>
      <c r="M2669" s="174"/>
      <c r="N2669" s="174"/>
      <c r="O2669" s="174"/>
      <c r="P2669" s="174"/>
      <c r="Q2669" s="174"/>
      <c r="R2669" s="174"/>
      <c r="S2669" s="174"/>
      <c r="T2669" s="174"/>
      <c r="U2669" s="174"/>
      <c r="V2669" s="174"/>
      <c r="W2669" s="174"/>
      <c r="X2669" s="174"/>
      <c r="Y2669" s="174"/>
      <c r="Z2669" s="174"/>
    </row>
    <row r="2670">
      <c r="A2670" s="194"/>
      <c r="B2670" s="194"/>
      <c r="C2670" s="194"/>
      <c r="D2670" s="194"/>
      <c r="E2670" s="194"/>
      <c r="F2670" s="194"/>
      <c r="G2670" s="194"/>
      <c r="H2670" s="195"/>
      <c r="I2670" s="195"/>
      <c r="J2670" s="194"/>
      <c r="K2670" s="174"/>
      <c r="L2670" s="174"/>
      <c r="M2670" s="174"/>
      <c r="N2670" s="174"/>
      <c r="O2670" s="174"/>
      <c r="P2670" s="174"/>
      <c r="Q2670" s="174"/>
      <c r="R2670" s="174"/>
      <c r="S2670" s="174"/>
      <c r="T2670" s="174"/>
      <c r="U2670" s="174"/>
      <c r="V2670" s="174"/>
      <c r="W2670" s="174"/>
      <c r="X2670" s="174"/>
      <c r="Y2670" s="174"/>
      <c r="Z2670" s="174"/>
    </row>
    <row r="2671">
      <c r="A2671" s="194"/>
      <c r="B2671" s="194"/>
      <c r="C2671" s="194"/>
      <c r="D2671" s="194"/>
      <c r="E2671" s="194"/>
      <c r="F2671" s="194"/>
      <c r="G2671" s="194"/>
      <c r="H2671" s="195"/>
      <c r="I2671" s="195"/>
      <c r="J2671" s="194"/>
      <c r="K2671" s="174"/>
      <c r="L2671" s="174"/>
      <c r="M2671" s="174"/>
      <c r="N2671" s="174"/>
      <c r="O2671" s="174"/>
      <c r="P2671" s="174"/>
      <c r="Q2671" s="174"/>
      <c r="R2671" s="174"/>
      <c r="S2671" s="174"/>
      <c r="T2671" s="174"/>
      <c r="U2671" s="174"/>
      <c r="V2671" s="174"/>
      <c r="W2671" s="174"/>
      <c r="X2671" s="174"/>
      <c r="Y2671" s="174"/>
      <c r="Z2671" s="174"/>
    </row>
    <row r="2672">
      <c r="A2672" s="194"/>
      <c r="B2672" s="194"/>
      <c r="C2672" s="194"/>
      <c r="D2672" s="194"/>
      <c r="E2672" s="194"/>
      <c r="F2672" s="194"/>
      <c r="G2672" s="194"/>
      <c r="H2672" s="195"/>
      <c r="I2672" s="195"/>
      <c r="J2672" s="194"/>
      <c r="K2672" s="174"/>
      <c r="L2672" s="174"/>
      <c r="M2672" s="174"/>
      <c r="N2672" s="174"/>
      <c r="O2672" s="174"/>
      <c r="P2672" s="174"/>
      <c r="Q2672" s="174"/>
      <c r="R2672" s="174"/>
      <c r="S2672" s="174"/>
      <c r="T2672" s="174"/>
      <c r="U2672" s="174"/>
      <c r="V2672" s="174"/>
      <c r="W2672" s="174"/>
      <c r="X2672" s="174"/>
      <c r="Y2672" s="174"/>
      <c r="Z2672" s="174"/>
    </row>
    <row r="2673">
      <c r="A2673" s="194"/>
      <c r="B2673" s="194"/>
      <c r="C2673" s="194"/>
      <c r="D2673" s="194"/>
      <c r="E2673" s="194"/>
      <c r="F2673" s="194"/>
      <c r="G2673" s="194"/>
      <c r="H2673" s="195"/>
      <c r="I2673" s="195"/>
      <c r="J2673" s="194"/>
      <c r="K2673" s="174"/>
      <c r="L2673" s="174"/>
      <c r="M2673" s="174"/>
      <c r="N2673" s="174"/>
      <c r="O2673" s="174"/>
      <c r="P2673" s="174"/>
      <c r="Q2673" s="174"/>
      <c r="R2673" s="174"/>
      <c r="S2673" s="174"/>
      <c r="T2673" s="174"/>
      <c r="U2673" s="174"/>
      <c r="V2673" s="174"/>
      <c r="W2673" s="174"/>
      <c r="X2673" s="174"/>
      <c r="Y2673" s="174"/>
      <c r="Z2673" s="174"/>
    </row>
    <row r="2674">
      <c r="A2674" s="194"/>
      <c r="B2674" s="194"/>
      <c r="C2674" s="194"/>
      <c r="D2674" s="194"/>
      <c r="E2674" s="194"/>
      <c r="F2674" s="194"/>
      <c r="G2674" s="194"/>
      <c r="H2674" s="195"/>
      <c r="I2674" s="195"/>
      <c r="J2674" s="194"/>
      <c r="K2674" s="174"/>
      <c r="L2674" s="174"/>
      <c r="M2674" s="174"/>
      <c r="N2674" s="174"/>
      <c r="O2674" s="174"/>
      <c r="P2674" s="174"/>
      <c r="Q2674" s="174"/>
      <c r="R2674" s="174"/>
      <c r="S2674" s="174"/>
      <c r="T2674" s="174"/>
      <c r="U2674" s="174"/>
      <c r="V2674" s="174"/>
      <c r="W2674" s="174"/>
      <c r="X2674" s="174"/>
      <c r="Y2674" s="174"/>
      <c r="Z2674" s="174"/>
    </row>
    <row r="2675">
      <c r="A2675" s="194"/>
      <c r="B2675" s="194"/>
      <c r="C2675" s="194"/>
      <c r="D2675" s="194"/>
      <c r="E2675" s="194"/>
      <c r="F2675" s="194"/>
      <c r="G2675" s="194"/>
      <c r="H2675" s="195"/>
      <c r="I2675" s="195"/>
      <c r="J2675" s="194"/>
      <c r="K2675" s="174"/>
      <c r="L2675" s="174"/>
      <c r="M2675" s="174"/>
      <c r="N2675" s="174"/>
      <c r="O2675" s="174"/>
      <c r="P2675" s="174"/>
      <c r="Q2675" s="174"/>
      <c r="R2675" s="174"/>
      <c r="S2675" s="174"/>
      <c r="T2675" s="174"/>
      <c r="U2675" s="174"/>
      <c r="V2675" s="174"/>
      <c r="W2675" s="174"/>
      <c r="X2675" s="174"/>
      <c r="Y2675" s="174"/>
      <c r="Z2675" s="174"/>
    </row>
    <row r="2676">
      <c r="A2676" s="194"/>
      <c r="B2676" s="194"/>
      <c r="C2676" s="194"/>
      <c r="D2676" s="194"/>
      <c r="E2676" s="194"/>
      <c r="F2676" s="194"/>
      <c r="G2676" s="194"/>
      <c r="H2676" s="195"/>
      <c r="I2676" s="195"/>
      <c r="J2676" s="194"/>
      <c r="K2676" s="174"/>
      <c r="L2676" s="174"/>
      <c r="M2676" s="174"/>
      <c r="N2676" s="174"/>
      <c r="O2676" s="174"/>
      <c r="P2676" s="174"/>
      <c r="Q2676" s="174"/>
      <c r="R2676" s="174"/>
      <c r="S2676" s="174"/>
      <c r="T2676" s="174"/>
      <c r="U2676" s="174"/>
      <c r="V2676" s="174"/>
      <c r="W2676" s="174"/>
      <c r="X2676" s="174"/>
      <c r="Y2676" s="174"/>
      <c r="Z2676" s="174"/>
    </row>
    <row r="2677">
      <c r="A2677" s="194"/>
      <c r="B2677" s="194"/>
      <c r="C2677" s="194"/>
      <c r="D2677" s="194"/>
      <c r="E2677" s="194"/>
      <c r="F2677" s="194"/>
      <c r="G2677" s="194"/>
      <c r="H2677" s="195"/>
      <c r="I2677" s="195"/>
      <c r="J2677" s="194"/>
      <c r="K2677" s="174"/>
      <c r="L2677" s="174"/>
      <c r="M2677" s="174"/>
      <c r="N2677" s="174"/>
      <c r="O2677" s="174"/>
      <c r="P2677" s="174"/>
      <c r="Q2677" s="174"/>
      <c r="R2677" s="174"/>
      <c r="S2677" s="174"/>
      <c r="T2677" s="174"/>
      <c r="U2677" s="174"/>
      <c r="V2677" s="174"/>
      <c r="W2677" s="174"/>
      <c r="X2677" s="174"/>
      <c r="Y2677" s="174"/>
      <c r="Z2677" s="174"/>
    </row>
    <row r="2678">
      <c r="A2678" s="194"/>
      <c r="B2678" s="194"/>
      <c r="C2678" s="194"/>
      <c r="D2678" s="194"/>
      <c r="E2678" s="194"/>
      <c r="F2678" s="194"/>
      <c r="G2678" s="194"/>
      <c r="H2678" s="195"/>
      <c r="I2678" s="195"/>
      <c r="J2678" s="194"/>
      <c r="K2678" s="174"/>
      <c r="L2678" s="174"/>
      <c r="M2678" s="174"/>
      <c r="N2678" s="174"/>
      <c r="O2678" s="174"/>
      <c r="P2678" s="174"/>
      <c r="Q2678" s="174"/>
      <c r="R2678" s="174"/>
      <c r="S2678" s="174"/>
      <c r="T2678" s="174"/>
      <c r="U2678" s="174"/>
      <c r="V2678" s="174"/>
      <c r="W2678" s="174"/>
      <c r="X2678" s="174"/>
      <c r="Y2678" s="174"/>
      <c r="Z2678" s="174"/>
    </row>
    <row r="2679">
      <c r="A2679" s="194"/>
      <c r="B2679" s="194"/>
      <c r="C2679" s="194"/>
      <c r="D2679" s="194"/>
      <c r="E2679" s="194"/>
      <c r="F2679" s="194"/>
      <c r="G2679" s="194"/>
      <c r="H2679" s="195"/>
      <c r="I2679" s="195"/>
      <c r="J2679" s="194"/>
      <c r="K2679" s="174"/>
      <c r="L2679" s="174"/>
      <c r="M2679" s="174"/>
      <c r="N2679" s="174"/>
      <c r="O2679" s="174"/>
      <c r="P2679" s="174"/>
      <c r="Q2679" s="174"/>
      <c r="R2679" s="174"/>
      <c r="S2679" s="174"/>
      <c r="T2679" s="174"/>
      <c r="U2679" s="174"/>
      <c r="V2679" s="174"/>
      <c r="W2679" s="174"/>
      <c r="X2679" s="174"/>
      <c r="Y2679" s="174"/>
      <c r="Z2679" s="174"/>
    </row>
    <row r="2680">
      <c r="A2680" s="194"/>
      <c r="B2680" s="194"/>
      <c r="C2680" s="194"/>
      <c r="D2680" s="194"/>
      <c r="E2680" s="194"/>
      <c r="F2680" s="194"/>
      <c r="G2680" s="194"/>
      <c r="H2680" s="195"/>
      <c r="I2680" s="195"/>
      <c r="J2680" s="194"/>
      <c r="K2680" s="174"/>
      <c r="L2680" s="174"/>
      <c r="M2680" s="174"/>
      <c r="N2680" s="174"/>
      <c r="O2680" s="174"/>
      <c r="P2680" s="174"/>
      <c r="Q2680" s="174"/>
      <c r="R2680" s="174"/>
      <c r="S2680" s="174"/>
      <c r="T2680" s="174"/>
      <c r="U2680" s="174"/>
      <c r="V2680" s="174"/>
      <c r="W2680" s="174"/>
      <c r="X2680" s="174"/>
      <c r="Y2680" s="174"/>
      <c r="Z2680" s="174"/>
    </row>
    <row r="2681">
      <c r="A2681" s="194"/>
      <c r="B2681" s="194"/>
      <c r="C2681" s="194"/>
      <c r="D2681" s="194"/>
      <c r="E2681" s="194"/>
      <c r="F2681" s="194"/>
      <c r="G2681" s="194"/>
      <c r="H2681" s="195"/>
      <c r="I2681" s="195"/>
      <c r="J2681" s="194"/>
      <c r="K2681" s="174"/>
      <c r="L2681" s="174"/>
      <c r="M2681" s="174"/>
      <c r="N2681" s="174"/>
      <c r="O2681" s="174"/>
      <c r="P2681" s="174"/>
      <c r="Q2681" s="174"/>
      <c r="R2681" s="174"/>
      <c r="S2681" s="174"/>
      <c r="T2681" s="174"/>
      <c r="U2681" s="174"/>
      <c r="V2681" s="174"/>
      <c r="W2681" s="174"/>
      <c r="X2681" s="174"/>
      <c r="Y2681" s="174"/>
      <c r="Z2681" s="174"/>
    </row>
    <row r="2682">
      <c r="A2682" s="194"/>
      <c r="B2682" s="194"/>
      <c r="C2682" s="194"/>
      <c r="D2682" s="194"/>
      <c r="E2682" s="194"/>
      <c r="F2682" s="194"/>
      <c r="G2682" s="194"/>
      <c r="H2682" s="195"/>
      <c r="I2682" s="195"/>
      <c r="J2682" s="194"/>
      <c r="K2682" s="174"/>
      <c r="L2682" s="174"/>
      <c r="M2682" s="174"/>
      <c r="N2682" s="174"/>
      <c r="O2682" s="174"/>
      <c r="P2682" s="174"/>
      <c r="Q2682" s="174"/>
      <c r="R2682" s="174"/>
      <c r="S2682" s="174"/>
      <c r="T2682" s="174"/>
      <c r="U2682" s="174"/>
      <c r="V2682" s="174"/>
      <c r="W2682" s="174"/>
      <c r="X2682" s="174"/>
      <c r="Y2682" s="174"/>
      <c r="Z2682" s="174"/>
    </row>
    <row r="2683">
      <c r="A2683" s="194"/>
      <c r="B2683" s="194"/>
      <c r="C2683" s="194"/>
      <c r="D2683" s="194"/>
      <c r="E2683" s="194"/>
      <c r="F2683" s="194"/>
      <c r="G2683" s="194"/>
      <c r="H2683" s="195"/>
      <c r="I2683" s="195"/>
      <c r="J2683" s="194"/>
      <c r="K2683" s="174"/>
      <c r="L2683" s="174"/>
      <c r="M2683" s="174"/>
      <c r="N2683" s="174"/>
      <c r="O2683" s="174"/>
      <c r="P2683" s="174"/>
      <c r="Q2683" s="174"/>
      <c r="R2683" s="174"/>
      <c r="S2683" s="174"/>
      <c r="T2683" s="174"/>
      <c r="U2683" s="174"/>
      <c r="V2683" s="174"/>
      <c r="W2683" s="174"/>
      <c r="X2683" s="174"/>
      <c r="Y2683" s="174"/>
      <c r="Z2683" s="174"/>
    </row>
    <row r="2684">
      <c r="A2684" s="194"/>
      <c r="B2684" s="194"/>
      <c r="C2684" s="194"/>
      <c r="D2684" s="194"/>
      <c r="E2684" s="194"/>
      <c r="F2684" s="194"/>
      <c r="G2684" s="194"/>
      <c r="H2684" s="195"/>
      <c r="I2684" s="195"/>
      <c r="J2684" s="194"/>
      <c r="K2684" s="174"/>
      <c r="L2684" s="174"/>
      <c r="M2684" s="174"/>
      <c r="N2684" s="174"/>
      <c r="O2684" s="174"/>
      <c r="P2684" s="174"/>
      <c r="Q2684" s="174"/>
      <c r="R2684" s="174"/>
      <c r="S2684" s="174"/>
      <c r="T2684" s="174"/>
      <c r="U2684" s="174"/>
      <c r="V2684" s="174"/>
      <c r="W2684" s="174"/>
      <c r="X2684" s="174"/>
      <c r="Y2684" s="174"/>
      <c r="Z2684" s="174"/>
    </row>
    <row r="2685">
      <c r="A2685" s="194"/>
      <c r="B2685" s="194"/>
      <c r="C2685" s="194"/>
      <c r="D2685" s="194"/>
      <c r="E2685" s="194"/>
      <c r="F2685" s="194"/>
      <c r="G2685" s="194"/>
      <c r="H2685" s="195"/>
      <c r="I2685" s="195"/>
      <c r="J2685" s="194"/>
      <c r="K2685" s="174"/>
      <c r="L2685" s="174"/>
      <c r="M2685" s="174"/>
      <c r="N2685" s="174"/>
      <c r="O2685" s="174"/>
      <c r="P2685" s="174"/>
      <c r="Q2685" s="174"/>
      <c r="R2685" s="174"/>
      <c r="S2685" s="174"/>
      <c r="T2685" s="174"/>
      <c r="U2685" s="174"/>
      <c r="V2685" s="174"/>
      <c r="W2685" s="174"/>
      <c r="X2685" s="174"/>
      <c r="Y2685" s="174"/>
      <c r="Z2685" s="174"/>
    </row>
    <row r="2686">
      <c r="A2686" s="194"/>
      <c r="B2686" s="194"/>
      <c r="C2686" s="194"/>
      <c r="D2686" s="194"/>
      <c r="E2686" s="194"/>
      <c r="F2686" s="194"/>
      <c r="G2686" s="194"/>
      <c r="H2686" s="195"/>
      <c r="I2686" s="195"/>
      <c r="J2686" s="194"/>
      <c r="K2686" s="174"/>
      <c r="L2686" s="174"/>
      <c r="M2686" s="174"/>
      <c r="N2686" s="174"/>
      <c r="O2686" s="174"/>
      <c r="P2686" s="174"/>
      <c r="Q2686" s="174"/>
      <c r="R2686" s="174"/>
      <c r="S2686" s="174"/>
      <c r="T2686" s="174"/>
      <c r="U2686" s="174"/>
      <c r="V2686" s="174"/>
      <c r="W2686" s="174"/>
      <c r="X2686" s="174"/>
      <c r="Y2686" s="174"/>
      <c r="Z2686" s="174"/>
    </row>
    <row r="2687">
      <c r="A2687" s="194"/>
      <c r="B2687" s="194"/>
      <c r="C2687" s="194"/>
      <c r="D2687" s="194"/>
      <c r="E2687" s="194"/>
      <c r="F2687" s="194"/>
      <c r="G2687" s="194"/>
      <c r="H2687" s="195"/>
      <c r="I2687" s="195"/>
      <c r="J2687" s="194"/>
      <c r="K2687" s="174"/>
      <c r="L2687" s="174"/>
      <c r="M2687" s="174"/>
      <c r="N2687" s="174"/>
      <c r="O2687" s="174"/>
      <c r="P2687" s="174"/>
      <c r="Q2687" s="174"/>
      <c r="R2687" s="174"/>
      <c r="S2687" s="174"/>
      <c r="T2687" s="174"/>
      <c r="U2687" s="174"/>
      <c r="V2687" s="174"/>
      <c r="W2687" s="174"/>
      <c r="X2687" s="174"/>
      <c r="Y2687" s="174"/>
      <c r="Z2687" s="174"/>
    </row>
    <row r="2688">
      <c r="A2688" s="194"/>
      <c r="B2688" s="194"/>
      <c r="C2688" s="194"/>
      <c r="D2688" s="194"/>
      <c r="E2688" s="194"/>
      <c r="F2688" s="194"/>
      <c r="G2688" s="194"/>
      <c r="H2688" s="195"/>
      <c r="I2688" s="195"/>
      <c r="J2688" s="194"/>
      <c r="K2688" s="174"/>
      <c r="L2688" s="174"/>
      <c r="M2688" s="174"/>
      <c r="N2688" s="174"/>
      <c r="O2688" s="174"/>
      <c r="P2688" s="174"/>
      <c r="Q2688" s="174"/>
      <c r="R2688" s="174"/>
      <c r="S2688" s="174"/>
      <c r="T2688" s="174"/>
      <c r="U2688" s="174"/>
      <c r="V2688" s="174"/>
      <c r="W2688" s="174"/>
      <c r="X2688" s="174"/>
      <c r="Y2688" s="174"/>
      <c r="Z2688" s="174"/>
    </row>
    <row r="2689">
      <c r="A2689" s="194"/>
      <c r="B2689" s="194"/>
      <c r="C2689" s="194"/>
      <c r="D2689" s="194"/>
      <c r="E2689" s="194"/>
      <c r="F2689" s="194"/>
      <c r="G2689" s="194"/>
      <c r="H2689" s="195"/>
      <c r="I2689" s="195"/>
      <c r="J2689" s="194"/>
      <c r="K2689" s="174"/>
      <c r="L2689" s="174"/>
      <c r="M2689" s="174"/>
      <c r="N2689" s="174"/>
      <c r="O2689" s="174"/>
      <c r="P2689" s="174"/>
      <c r="Q2689" s="174"/>
      <c r="R2689" s="174"/>
      <c r="S2689" s="174"/>
      <c r="T2689" s="174"/>
      <c r="U2689" s="174"/>
      <c r="V2689" s="174"/>
      <c r="W2689" s="174"/>
      <c r="X2689" s="174"/>
      <c r="Y2689" s="174"/>
      <c r="Z2689" s="174"/>
    </row>
    <row r="2690">
      <c r="A2690" s="194"/>
      <c r="B2690" s="194"/>
      <c r="C2690" s="194"/>
      <c r="D2690" s="194"/>
      <c r="E2690" s="194"/>
      <c r="F2690" s="194"/>
      <c r="G2690" s="194"/>
      <c r="H2690" s="195"/>
      <c r="I2690" s="195"/>
      <c r="J2690" s="194"/>
      <c r="K2690" s="174"/>
      <c r="L2690" s="174"/>
      <c r="M2690" s="174"/>
      <c r="N2690" s="174"/>
      <c r="O2690" s="174"/>
      <c r="P2690" s="174"/>
      <c r="Q2690" s="174"/>
      <c r="R2690" s="174"/>
      <c r="S2690" s="174"/>
      <c r="T2690" s="174"/>
      <c r="U2690" s="174"/>
      <c r="V2690" s="174"/>
      <c r="W2690" s="174"/>
      <c r="X2690" s="174"/>
      <c r="Y2690" s="174"/>
      <c r="Z2690" s="174"/>
    </row>
    <row r="2691">
      <c r="A2691" s="194"/>
      <c r="B2691" s="194"/>
      <c r="C2691" s="194"/>
      <c r="D2691" s="194"/>
      <c r="E2691" s="194"/>
      <c r="F2691" s="194"/>
      <c r="G2691" s="194"/>
      <c r="H2691" s="195"/>
      <c r="I2691" s="195"/>
      <c r="J2691" s="194"/>
      <c r="K2691" s="174"/>
      <c r="L2691" s="174"/>
      <c r="M2691" s="174"/>
      <c r="N2691" s="174"/>
      <c r="O2691" s="174"/>
      <c r="P2691" s="174"/>
      <c r="Q2691" s="174"/>
      <c r="R2691" s="174"/>
      <c r="S2691" s="174"/>
      <c r="T2691" s="174"/>
      <c r="U2691" s="174"/>
      <c r="V2691" s="174"/>
      <c r="W2691" s="174"/>
      <c r="X2691" s="174"/>
      <c r="Y2691" s="174"/>
      <c r="Z2691" s="174"/>
    </row>
    <row r="2692">
      <c r="A2692" s="194"/>
      <c r="B2692" s="194"/>
      <c r="C2692" s="194"/>
      <c r="D2692" s="194"/>
      <c r="E2692" s="194"/>
      <c r="F2692" s="194"/>
      <c r="G2692" s="194"/>
      <c r="H2692" s="195"/>
      <c r="I2692" s="195"/>
      <c r="J2692" s="194"/>
      <c r="K2692" s="174"/>
      <c r="L2692" s="174"/>
      <c r="M2692" s="174"/>
      <c r="N2692" s="174"/>
      <c r="O2692" s="174"/>
      <c r="P2692" s="174"/>
      <c r="Q2692" s="174"/>
      <c r="R2692" s="174"/>
      <c r="S2692" s="174"/>
      <c r="T2692" s="174"/>
      <c r="U2692" s="174"/>
      <c r="V2692" s="174"/>
      <c r="W2692" s="174"/>
      <c r="X2692" s="174"/>
      <c r="Y2692" s="174"/>
      <c r="Z2692" s="174"/>
    </row>
    <row r="2693">
      <c r="A2693" s="194"/>
      <c r="B2693" s="194"/>
      <c r="C2693" s="194"/>
      <c r="D2693" s="194"/>
      <c r="E2693" s="194"/>
      <c r="F2693" s="194"/>
      <c r="G2693" s="194"/>
      <c r="H2693" s="195"/>
      <c r="I2693" s="195"/>
      <c r="J2693" s="194"/>
      <c r="K2693" s="174"/>
      <c r="L2693" s="174"/>
      <c r="M2693" s="174"/>
      <c r="N2693" s="174"/>
      <c r="O2693" s="174"/>
      <c r="P2693" s="174"/>
      <c r="Q2693" s="174"/>
      <c r="R2693" s="174"/>
      <c r="S2693" s="174"/>
      <c r="T2693" s="174"/>
      <c r="U2693" s="174"/>
      <c r="V2693" s="174"/>
      <c r="W2693" s="174"/>
      <c r="X2693" s="174"/>
      <c r="Y2693" s="174"/>
      <c r="Z2693" s="174"/>
    </row>
    <row r="2694">
      <c r="A2694" s="194"/>
      <c r="B2694" s="194"/>
      <c r="C2694" s="194"/>
      <c r="D2694" s="194"/>
      <c r="E2694" s="194"/>
      <c r="F2694" s="194"/>
      <c r="G2694" s="194"/>
      <c r="H2694" s="195"/>
      <c r="I2694" s="195"/>
      <c r="J2694" s="194"/>
      <c r="K2694" s="174"/>
      <c r="L2694" s="174"/>
      <c r="M2694" s="174"/>
      <c r="N2694" s="174"/>
      <c r="O2694" s="174"/>
      <c r="P2694" s="174"/>
      <c r="Q2694" s="174"/>
      <c r="R2694" s="174"/>
      <c r="S2694" s="174"/>
      <c r="T2694" s="174"/>
      <c r="U2694" s="174"/>
      <c r="V2694" s="174"/>
      <c r="W2694" s="174"/>
      <c r="X2694" s="174"/>
      <c r="Y2694" s="174"/>
      <c r="Z2694" s="174"/>
    </row>
    <row r="2695">
      <c r="A2695" s="194"/>
      <c r="B2695" s="194"/>
      <c r="C2695" s="194"/>
      <c r="D2695" s="194"/>
      <c r="E2695" s="194"/>
      <c r="F2695" s="194"/>
      <c r="G2695" s="194"/>
      <c r="H2695" s="195"/>
      <c r="I2695" s="195"/>
      <c r="J2695" s="194"/>
      <c r="K2695" s="174"/>
      <c r="L2695" s="174"/>
      <c r="M2695" s="174"/>
      <c r="N2695" s="174"/>
      <c r="O2695" s="174"/>
      <c r="P2695" s="174"/>
      <c r="Q2695" s="174"/>
      <c r="R2695" s="174"/>
      <c r="S2695" s="174"/>
      <c r="T2695" s="174"/>
      <c r="U2695" s="174"/>
      <c r="V2695" s="174"/>
      <c r="W2695" s="174"/>
      <c r="X2695" s="174"/>
      <c r="Y2695" s="174"/>
      <c r="Z2695" s="174"/>
    </row>
    <row r="2696">
      <c r="A2696" s="194"/>
      <c r="B2696" s="194"/>
      <c r="C2696" s="194"/>
      <c r="D2696" s="194"/>
      <c r="E2696" s="194"/>
      <c r="F2696" s="194"/>
      <c r="G2696" s="194"/>
      <c r="H2696" s="195"/>
      <c r="I2696" s="195"/>
      <c r="J2696" s="194"/>
      <c r="K2696" s="174"/>
      <c r="L2696" s="174"/>
      <c r="M2696" s="174"/>
      <c r="N2696" s="174"/>
      <c r="O2696" s="174"/>
      <c r="P2696" s="174"/>
      <c r="Q2696" s="174"/>
      <c r="R2696" s="174"/>
      <c r="S2696" s="174"/>
      <c r="T2696" s="174"/>
      <c r="U2696" s="174"/>
      <c r="V2696" s="174"/>
      <c r="W2696" s="174"/>
      <c r="X2696" s="174"/>
      <c r="Y2696" s="174"/>
      <c r="Z2696" s="174"/>
    </row>
    <row r="2697">
      <c r="A2697" s="194"/>
      <c r="B2697" s="194"/>
      <c r="C2697" s="194"/>
      <c r="D2697" s="194"/>
      <c r="E2697" s="194"/>
      <c r="F2697" s="194"/>
      <c r="G2697" s="194"/>
      <c r="H2697" s="195"/>
      <c r="I2697" s="195"/>
      <c r="J2697" s="194"/>
      <c r="K2697" s="174"/>
      <c r="L2697" s="174"/>
      <c r="M2697" s="174"/>
      <c r="N2697" s="174"/>
      <c r="O2697" s="174"/>
      <c r="P2697" s="174"/>
      <c r="Q2697" s="174"/>
      <c r="R2697" s="174"/>
      <c r="S2697" s="174"/>
      <c r="T2697" s="174"/>
      <c r="U2697" s="174"/>
      <c r="V2697" s="174"/>
      <c r="W2697" s="174"/>
      <c r="X2697" s="174"/>
      <c r="Y2697" s="174"/>
      <c r="Z2697" s="174"/>
    </row>
    <row r="2698">
      <c r="A2698" s="194"/>
      <c r="B2698" s="194"/>
      <c r="C2698" s="194"/>
      <c r="D2698" s="194"/>
      <c r="E2698" s="194"/>
      <c r="F2698" s="194"/>
      <c r="G2698" s="194"/>
      <c r="H2698" s="195"/>
      <c r="I2698" s="195"/>
      <c r="J2698" s="194"/>
      <c r="K2698" s="174"/>
      <c r="L2698" s="174"/>
      <c r="M2698" s="174"/>
      <c r="N2698" s="174"/>
      <c r="O2698" s="174"/>
      <c r="P2698" s="174"/>
      <c r="Q2698" s="174"/>
      <c r="R2698" s="174"/>
      <c r="S2698" s="174"/>
      <c r="T2698" s="174"/>
      <c r="U2698" s="174"/>
      <c r="V2698" s="174"/>
      <c r="W2698" s="174"/>
      <c r="X2698" s="174"/>
      <c r="Y2698" s="174"/>
      <c r="Z2698" s="174"/>
    </row>
    <row r="2699">
      <c r="A2699" s="194"/>
      <c r="B2699" s="194"/>
      <c r="C2699" s="194"/>
      <c r="D2699" s="194"/>
      <c r="E2699" s="194"/>
      <c r="F2699" s="194"/>
      <c r="G2699" s="194"/>
      <c r="H2699" s="195"/>
      <c r="I2699" s="195"/>
      <c r="J2699" s="194"/>
      <c r="K2699" s="174"/>
      <c r="L2699" s="174"/>
      <c r="M2699" s="174"/>
      <c r="N2699" s="174"/>
      <c r="O2699" s="174"/>
      <c r="P2699" s="174"/>
      <c r="Q2699" s="174"/>
      <c r="R2699" s="174"/>
      <c r="S2699" s="174"/>
      <c r="T2699" s="174"/>
      <c r="U2699" s="174"/>
      <c r="V2699" s="174"/>
      <c r="W2699" s="174"/>
      <c r="X2699" s="174"/>
      <c r="Y2699" s="174"/>
      <c r="Z2699" s="174"/>
    </row>
    <row r="2700">
      <c r="A2700" s="194"/>
      <c r="B2700" s="194"/>
      <c r="C2700" s="194"/>
      <c r="D2700" s="194"/>
      <c r="E2700" s="194"/>
      <c r="F2700" s="194"/>
      <c r="G2700" s="194"/>
      <c r="H2700" s="195"/>
      <c r="I2700" s="195"/>
      <c r="J2700" s="194"/>
      <c r="K2700" s="174"/>
      <c r="L2700" s="174"/>
      <c r="M2700" s="174"/>
      <c r="N2700" s="174"/>
      <c r="O2700" s="174"/>
      <c r="P2700" s="174"/>
      <c r="Q2700" s="174"/>
      <c r="R2700" s="174"/>
      <c r="S2700" s="174"/>
      <c r="T2700" s="174"/>
      <c r="U2700" s="174"/>
      <c r="V2700" s="174"/>
      <c r="W2700" s="174"/>
      <c r="X2700" s="174"/>
      <c r="Y2700" s="174"/>
      <c r="Z2700" s="174"/>
    </row>
    <row r="2701">
      <c r="A2701" s="194"/>
      <c r="B2701" s="194"/>
      <c r="C2701" s="194"/>
      <c r="D2701" s="194"/>
      <c r="E2701" s="194"/>
      <c r="F2701" s="194"/>
      <c r="G2701" s="194"/>
      <c r="H2701" s="195"/>
      <c r="I2701" s="195"/>
      <c r="J2701" s="194"/>
      <c r="K2701" s="174"/>
      <c r="L2701" s="174"/>
      <c r="M2701" s="174"/>
      <c r="N2701" s="174"/>
      <c r="O2701" s="174"/>
      <c r="P2701" s="174"/>
      <c r="Q2701" s="174"/>
      <c r="R2701" s="174"/>
      <c r="S2701" s="174"/>
      <c r="T2701" s="174"/>
      <c r="U2701" s="174"/>
      <c r="V2701" s="174"/>
      <c r="W2701" s="174"/>
      <c r="X2701" s="174"/>
      <c r="Y2701" s="174"/>
      <c r="Z2701" s="174"/>
    </row>
    <row r="2702">
      <c r="A2702" s="194"/>
      <c r="B2702" s="194"/>
      <c r="C2702" s="194"/>
      <c r="D2702" s="194"/>
      <c r="E2702" s="194"/>
      <c r="F2702" s="194"/>
      <c r="G2702" s="194"/>
      <c r="H2702" s="195"/>
      <c r="I2702" s="195"/>
      <c r="J2702" s="194"/>
      <c r="K2702" s="174"/>
      <c r="L2702" s="174"/>
      <c r="M2702" s="174"/>
      <c r="N2702" s="174"/>
      <c r="O2702" s="174"/>
      <c r="P2702" s="174"/>
      <c r="Q2702" s="174"/>
      <c r="R2702" s="174"/>
      <c r="S2702" s="174"/>
      <c r="T2702" s="174"/>
      <c r="U2702" s="174"/>
      <c r="V2702" s="174"/>
      <c r="W2702" s="174"/>
      <c r="X2702" s="174"/>
      <c r="Y2702" s="174"/>
      <c r="Z2702" s="174"/>
    </row>
    <row r="2703">
      <c r="A2703" s="194"/>
      <c r="B2703" s="194"/>
      <c r="C2703" s="194"/>
      <c r="D2703" s="194"/>
      <c r="E2703" s="194"/>
      <c r="F2703" s="194"/>
      <c r="G2703" s="194"/>
      <c r="H2703" s="195"/>
      <c r="I2703" s="195"/>
      <c r="J2703" s="194"/>
      <c r="K2703" s="174"/>
      <c r="L2703" s="174"/>
      <c r="M2703" s="174"/>
      <c r="N2703" s="174"/>
      <c r="O2703" s="174"/>
      <c r="P2703" s="174"/>
      <c r="Q2703" s="174"/>
      <c r="R2703" s="174"/>
      <c r="S2703" s="174"/>
      <c r="T2703" s="174"/>
      <c r="U2703" s="174"/>
      <c r="V2703" s="174"/>
      <c r="W2703" s="174"/>
      <c r="X2703" s="174"/>
      <c r="Y2703" s="174"/>
      <c r="Z2703" s="174"/>
    </row>
    <row r="2704">
      <c r="A2704" s="194"/>
      <c r="B2704" s="194"/>
      <c r="C2704" s="194"/>
      <c r="D2704" s="194"/>
      <c r="E2704" s="194"/>
      <c r="F2704" s="194"/>
      <c r="G2704" s="194"/>
      <c r="H2704" s="195"/>
      <c r="I2704" s="195"/>
      <c r="J2704" s="194"/>
      <c r="K2704" s="174"/>
      <c r="L2704" s="174"/>
      <c r="M2704" s="174"/>
      <c r="N2704" s="174"/>
      <c r="O2704" s="174"/>
      <c r="P2704" s="174"/>
      <c r="Q2704" s="174"/>
      <c r="R2704" s="174"/>
      <c r="S2704" s="174"/>
      <c r="T2704" s="174"/>
      <c r="U2704" s="174"/>
      <c r="V2704" s="174"/>
      <c r="W2704" s="174"/>
      <c r="X2704" s="174"/>
      <c r="Y2704" s="174"/>
      <c r="Z2704" s="174"/>
    </row>
    <row r="2705">
      <c r="A2705" s="194"/>
      <c r="B2705" s="194"/>
      <c r="C2705" s="194"/>
      <c r="D2705" s="194"/>
      <c r="E2705" s="194"/>
      <c r="F2705" s="194"/>
      <c r="G2705" s="194"/>
      <c r="H2705" s="195"/>
      <c r="I2705" s="195"/>
      <c r="J2705" s="194"/>
      <c r="K2705" s="174"/>
      <c r="L2705" s="174"/>
      <c r="M2705" s="174"/>
      <c r="N2705" s="174"/>
      <c r="O2705" s="174"/>
      <c r="P2705" s="174"/>
      <c r="Q2705" s="174"/>
      <c r="R2705" s="174"/>
      <c r="S2705" s="174"/>
      <c r="T2705" s="174"/>
      <c r="U2705" s="174"/>
      <c r="V2705" s="174"/>
      <c r="W2705" s="174"/>
      <c r="X2705" s="174"/>
      <c r="Y2705" s="174"/>
      <c r="Z2705" s="174"/>
    </row>
    <row r="2706">
      <c r="A2706" s="194"/>
      <c r="B2706" s="194"/>
      <c r="C2706" s="194"/>
      <c r="D2706" s="194"/>
      <c r="E2706" s="194"/>
      <c r="F2706" s="194"/>
      <c r="G2706" s="194"/>
      <c r="H2706" s="195"/>
      <c r="I2706" s="195"/>
      <c r="J2706" s="194"/>
      <c r="K2706" s="174"/>
      <c r="L2706" s="174"/>
      <c r="M2706" s="174"/>
      <c r="N2706" s="174"/>
      <c r="O2706" s="174"/>
      <c r="P2706" s="174"/>
      <c r="Q2706" s="174"/>
      <c r="R2706" s="174"/>
      <c r="S2706" s="174"/>
      <c r="T2706" s="174"/>
      <c r="U2706" s="174"/>
      <c r="V2706" s="174"/>
      <c r="W2706" s="174"/>
      <c r="X2706" s="174"/>
      <c r="Y2706" s="174"/>
      <c r="Z2706" s="174"/>
    </row>
    <row r="2707">
      <c r="A2707" s="194"/>
      <c r="B2707" s="194"/>
      <c r="C2707" s="194"/>
      <c r="D2707" s="194"/>
      <c r="E2707" s="194"/>
      <c r="F2707" s="194"/>
      <c r="G2707" s="194"/>
      <c r="H2707" s="195"/>
      <c r="I2707" s="195"/>
      <c r="J2707" s="194"/>
      <c r="K2707" s="174"/>
      <c r="L2707" s="174"/>
      <c r="M2707" s="174"/>
      <c r="N2707" s="174"/>
      <c r="O2707" s="174"/>
      <c r="P2707" s="174"/>
      <c r="Q2707" s="174"/>
      <c r="R2707" s="174"/>
      <c r="S2707" s="174"/>
      <c r="T2707" s="174"/>
      <c r="U2707" s="174"/>
      <c r="V2707" s="174"/>
      <c r="W2707" s="174"/>
      <c r="X2707" s="174"/>
      <c r="Y2707" s="174"/>
      <c r="Z2707" s="174"/>
    </row>
    <row r="2708">
      <c r="A2708" s="194"/>
      <c r="B2708" s="194"/>
      <c r="C2708" s="194"/>
      <c r="D2708" s="194"/>
      <c r="E2708" s="194"/>
      <c r="F2708" s="194"/>
      <c r="G2708" s="194"/>
      <c r="H2708" s="195"/>
      <c r="I2708" s="195"/>
      <c r="J2708" s="194"/>
      <c r="K2708" s="174"/>
      <c r="L2708" s="174"/>
      <c r="M2708" s="174"/>
      <c r="N2708" s="174"/>
      <c r="O2708" s="174"/>
      <c r="P2708" s="174"/>
      <c r="Q2708" s="174"/>
      <c r="R2708" s="174"/>
      <c r="S2708" s="174"/>
      <c r="T2708" s="174"/>
      <c r="U2708" s="174"/>
      <c r="V2708" s="174"/>
      <c r="W2708" s="174"/>
      <c r="X2708" s="174"/>
      <c r="Y2708" s="174"/>
      <c r="Z2708" s="174"/>
    </row>
    <row r="2709">
      <c r="A2709" s="194"/>
      <c r="B2709" s="194"/>
      <c r="C2709" s="194"/>
      <c r="D2709" s="194"/>
      <c r="E2709" s="194"/>
      <c r="F2709" s="194"/>
      <c r="G2709" s="194"/>
      <c r="H2709" s="195"/>
      <c r="I2709" s="195"/>
      <c r="J2709" s="194"/>
      <c r="K2709" s="174"/>
      <c r="L2709" s="174"/>
      <c r="M2709" s="174"/>
      <c r="N2709" s="174"/>
      <c r="O2709" s="174"/>
      <c r="P2709" s="174"/>
      <c r="Q2709" s="174"/>
      <c r="R2709" s="174"/>
      <c r="S2709" s="174"/>
      <c r="T2709" s="174"/>
      <c r="U2709" s="174"/>
      <c r="V2709" s="174"/>
      <c r="W2709" s="174"/>
      <c r="X2709" s="174"/>
      <c r="Y2709" s="174"/>
      <c r="Z2709" s="174"/>
    </row>
    <row r="2710">
      <c r="A2710" s="194"/>
      <c r="B2710" s="194"/>
      <c r="C2710" s="194"/>
      <c r="D2710" s="194"/>
      <c r="E2710" s="194"/>
      <c r="F2710" s="194"/>
      <c r="G2710" s="194"/>
      <c r="H2710" s="195"/>
      <c r="I2710" s="195"/>
      <c r="J2710" s="194"/>
      <c r="K2710" s="174"/>
      <c r="L2710" s="174"/>
      <c r="M2710" s="174"/>
      <c r="N2710" s="174"/>
      <c r="O2710" s="174"/>
      <c r="P2710" s="174"/>
      <c r="Q2710" s="174"/>
      <c r="R2710" s="174"/>
      <c r="S2710" s="174"/>
      <c r="T2710" s="174"/>
      <c r="U2710" s="174"/>
      <c r="V2710" s="174"/>
      <c r="W2710" s="174"/>
      <c r="X2710" s="174"/>
      <c r="Y2710" s="174"/>
      <c r="Z2710" s="174"/>
    </row>
    <row r="2711">
      <c r="A2711" s="194"/>
      <c r="B2711" s="194"/>
      <c r="C2711" s="194"/>
      <c r="D2711" s="194"/>
      <c r="E2711" s="194"/>
      <c r="F2711" s="194"/>
      <c r="G2711" s="194"/>
      <c r="H2711" s="195"/>
      <c r="I2711" s="195"/>
      <c r="J2711" s="194"/>
      <c r="K2711" s="174"/>
      <c r="L2711" s="174"/>
      <c r="M2711" s="174"/>
      <c r="N2711" s="174"/>
      <c r="O2711" s="174"/>
      <c r="P2711" s="174"/>
      <c r="Q2711" s="174"/>
      <c r="R2711" s="174"/>
      <c r="S2711" s="174"/>
      <c r="T2711" s="174"/>
      <c r="U2711" s="174"/>
      <c r="V2711" s="174"/>
      <c r="W2711" s="174"/>
      <c r="X2711" s="174"/>
      <c r="Y2711" s="174"/>
      <c r="Z2711" s="174"/>
    </row>
    <row r="2712">
      <c r="A2712" s="194"/>
      <c r="B2712" s="194"/>
      <c r="C2712" s="194"/>
      <c r="D2712" s="194"/>
      <c r="E2712" s="194"/>
      <c r="F2712" s="194"/>
      <c r="G2712" s="194"/>
      <c r="H2712" s="195"/>
      <c r="I2712" s="195"/>
      <c r="J2712" s="194"/>
      <c r="K2712" s="174"/>
      <c r="L2712" s="174"/>
      <c r="M2712" s="174"/>
      <c r="N2712" s="174"/>
      <c r="O2712" s="174"/>
      <c r="P2712" s="174"/>
      <c r="Q2712" s="174"/>
      <c r="R2712" s="174"/>
      <c r="S2712" s="174"/>
      <c r="T2712" s="174"/>
      <c r="U2712" s="174"/>
      <c r="V2712" s="174"/>
      <c r="W2712" s="174"/>
      <c r="X2712" s="174"/>
      <c r="Y2712" s="174"/>
      <c r="Z2712" s="174"/>
    </row>
    <row r="2713">
      <c r="A2713" s="194"/>
      <c r="B2713" s="194"/>
      <c r="C2713" s="194"/>
      <c r="D2713" s="194"/>
      <c r="E2713" s="194"/>
      <c r="F2713" s="194"/>
      <c r="G2713" s="194"/>
      <c r="H2713" s="195"/>
      <c r="I2713" s="195"/>
      <c r="J2713" s="194"/>
      <c r="K2713" s="174"/>
      <c r="L2713" s="174"/>
      <c r="M2713" s="174"/>
      <c r="N2713" s="174"/>
      <c r="O2713" s="174"/>
      <c r="P2713" s="174"/>
      <c r="Q2713" s="174"/>
      <c r="R2713" s="174"/>
      <c r="S2713" s="174"/>
      <c r="T2713" s="174"/>
      <c r="U2713" s="174"/>
      <c r="V2713" s="174"/>
      <c r="W2713" s="174"/>
      <c r="X2713" s="174"/>
      <c r="Y2713" s="174"/>
      <c r="Z2713" s="174"/>
    </row>
    <row r="2714">
      <c r="A2714" s="194"/>
      <c r="B2714" s="194"/>
      <c r="C2714" s="194"/>
      <c r="D2714" s="194"/>
      <c r="E2714" s="194"/>
      <c r="F2714" s="194"/>
      <c r="G2714" s="194"/>
      <c r="H2714" s="195"/>
      <c r="I2714" s="195"/>
      <c r="J2714" s="194"/>
      <c r="K2714" s="174"/>
      <c r="L2714" s="174"/>
      <c r="M2714" s="174"/>
      <c r="N2714" s="174"/>
      <c r="O2714" s="174"/>
      <c r="P2714" s="174"/>
      <c r="Q2714" s="174"/>
      <c r="R2714" s="174"/>
      <c r="S2714" s="174"/>
      <c r="T2714" s="174"/>
      <c r="U2714" s="174"/>
      <c r="V2714" s="174"/>
      <c r="W2714" s="174"/>
      <c r="X2714" s="174"/>
      <c r="Y2714" s="174"/>
      <c r="Z2714" s="174"/>
    </row>
    <row r="2715">
      <c r="A2715" s="194"/>
      <c r="B2715" s="194"/>
      <c r="C2715" s="194"/>
      <c r="D2715" s="194"/>
      <c r="E2715" s="194"/>
      <c r="F2715" s="194"/>
      <c r="G2715" s="194"/>
      <c r="H2715" s="195"/>
      <c r="I2715" s="195"/>
      <c r="J2715" s="194"/>
      <c r="K2715" s="174"/>
      <c r="L2715" s="174"/>
      <c r="M2715" s="174"/>
      <c r="N2715" s="174"/>
      <c r="O2715" s="174"/>
      <c r="P2715" s="174"/>
      <c r="Q2715" s="174"/>
      <c r="R2715" s="174"/>
      <c r="S2715" s="174"/>
      <c r="T2715" s="174"/>
      <c r="U2715" s="174"/>
      <c r="V2715" s="174"/>
      <c r="W2715" s="174"/>
      <c r="X2715" s="174"/>
      <c r="Y2715" s="174"/>
      <c r="Z2715" s="174"/>
    </row>
    <row r="2716">
      <c r="A2716" s="194"/>
      <c r="B2716" s="194"/>
      <c r="C2716" s="194"/>
      <c r="D2716" s="194"/>
      <c r="E2716" s="194"/>
      <c r="F2716" s="194"/>
      <c r="G2716" s="194"/>
      <c r="H2716" s="195"/>
      <c r="I2716" s="195"/>
      <c r="J2716" s="194"/>
      <c r="K2716" s="174"/>
      <c r="L2716" s="174"/>
      <c r="M2716" s="174"/>
      <c r="N2716" s="174"/>
      <c r="O2716" s="174"/>
      <c r="P2716" s="174"/>
      <c r="Q2716" s="174"/>
      <c r="R2716" s="174"/>
      <c r="S2716" s="174"/>
      <c r="T2716" s="174"/>
      <c r="U2716" s="174"/>
      <c r="V2716" s="174"/>
      <c r="W2716" s="174"/>
      <c r="X2716" s="174"/>
      <c r="Y2716" s="174"/>
      <c r="Z2716" s="174"/>
    </row>
    <row r="2717">
      <c r="A2717" s="194"/>
      <c r="B2717" s="194"/>
      <c r="C2717" s="194"/>
      <c r="D2717" s="194"/>
      <c r="E2717" s="194"/>
      <c r="F2717" s="194"/>
      <c r="G2717" s="194"/>
      <c r="H2717" s="195"/>
      <c r="I2717" s="195"/>
      <c r="J2717" s="194"/>
      <c r="K2717" s="174"/>
      <c r="L2717" s="174"/>
      <c r="M2717" s="174"/>
      <c r="N2717" s="174"/>
      <c r="O2717" s="174"/>
      <c r="P2717" s="174"/>
      <c r="Q2717" s="174"/>
      <c r="R2717" s="174"/>
      <c r="S2717" s="174"/>
      <c r="T2717" s="174"/>
      <c r="U2717" s="174"/>
      <c r="V2717" s="174"/>
      <c r="W2717" s="174"/>
      <c r="X2717" s="174"/>
      <c r="Y2717" s="174"/>
      <c r="Z2717" s="174"/>
    </row>
    <row r="2718">
      <c r="A2718" s="194"/>
      <c r="B2718" s="194"/>
      <c r="C2718" s="194"/>
      <c r="D2718" s="194"/>
      <c r="E2718" s="194"/>
      <c r="F2718" s="194"/>
      <c r="G2718" s="194"/>
      <c r="H2718" s="195"/>
      <c r="I2718" s="195"/>
      <c r="J2718" s="194"/>
      <c r="K2718" s="174"/>
      <c r="L2718" s="174"/>
      <c r="M2718" s="174"/>
      <c r="N2718" s="174"/>
      <c r="O2718" s="174"/>
      <c r="P2718" s="174"/>
      <c r="Q2718" s="174"/>
      <c r="R2718" s="174"/>
      <c r="S2718" s="174"/>
      <c r="T2718" s="174"/>
      <c r="U2718" s="174"/>
      <c r="V2718" s="174"/>
      <c r="W2718" s="174"/>
      <c r="X2718" s="174"/>
      <c r="Y2718" s="174"/>
      <c r="Z2718" s="174"/>
    </row>
    <row r="2719">
      <c r="A2719" s="194"/>
      <c r="B2719" s="194"/>
      <c r="C2719" s="194"/>
      <c r="D2719" s="194"/>
      <c r="E2719" s="194"/>
      <c r="F2719" s="194"/>
      <c r="G2719" s="194"/>
      <c r="H2719" s="195"/>
      <c r="I2719" s="195"/>
      <c r="J2719" s="194"/>
      <c r="K2719" s="174"/>
      <c r="L2719" s="174"/>
      <c r="M2719" s="174"/>
      <c r="N2719" s="174"/>
      <c r="O2719" s="174"/>
      <c r="P2719" s="174"/>
      <c r="Q2719" s="174"/>
      <c r="R2719" s="174"/>
      <c r="S2719" s="174"/>
      <c r="T2719" s="174"/>
      <c r="U2719" s="174"/>
      <c r="V2719" s="174"/>
      <c r="W2719" s="174"/>
      <c r="X2719" s="174"/>
      <c r="Y2719" s="174"/>
      <c r="Z2719" s="174"/>
    </row>
    <row r="2720">
      <c r="A2720" s="194"/>
      <c r="B2720" s="194"/>
      <c r="C2720" s="194"/>
      <c r="D2720" s="194"/>
      <c r="E2720" s="194"/>
      <c r="F2720" s="194"/>
      <c r="G2720" s="194"/>
      <c r="H2720" s="195"/>
      <c r="I2720" s="195"/>
      <c r="J2720" s="194"/>
      <c r="K2720" s="174"/>
      <c r="L2720" s="174"/>
      <c r="M2720" s="174"/>
      <c r="N2720" s="174"/>
      <c r="O2720" s="174"/>
      <c r="P2720" s="174"/>
      <c r="Q2720" s="174"/>
      <c r="R2720" s="174"/>
      <c r="S2720" s="174"/>
      <c r="T2720" s="174"/>
      <c r="U2720" s="174"/>
      <c r="V2720" s="174"/>
      <c r="W2720" s="174"/>
      <c r="X2720" s="174"/>
      <c r="Y2720" s="174"/>
      <c r="Z2720" s="174"/>
    </row>
    <row r="2721">
      <c r="A2721" s="194"/>
      <c r="B2721" s="194"/>
      <c r="C2721" s="194"/>
      <c r="D2721" s="194"/>
      <c r="E2721" s="194"/>
      <c r="F2721" s="194"/>
      <c r="G2721" s="194"/>
      <c r="H2721" s="195"/>
      <c r="I2721" s="195"/>
      <c r="J2721" s="194"/>
      <c r="K2721" s="174"/>
      <c r="L2721" s="174"/>
      <c r="M2721" s="174"/>
      <c r="N2721" s="174"/>
      <c r="O2721" s="174"/>
      <c r="P2721" s="174"/>
      <c r="Q2721" s="174"/>
      <c r="R2721" s="174"/>
      <c r="S2721" s="174"/>
      <c r="T2721" s="174"/>
      <c r="U2721" s="174"/>
      <c r="V2721" s="174"/>
      <c r="W2721" s="174"/>
      <c r="X2721" s="174"/>
      <c r="Y2721" s="174"/>
      <c r="Z2721" s="174"/>
    </row>
    <row r="2722">
      <c r="A2722" s="194"/>
      <c r="B2722" s="194"/>
      <c r="C2722" s="194"/>
      <c r="D2722" s="194"/>
      <c r="E2722" s="194"/>
      <c r="F2722" s="194"/>
      <c r="G2722" s="194"/>
      <c r="H2722" s="195"/>
      <c r="I2722" s="195"/>
      <c r="J2722" s="194"/>
      <c r="K2722" s="174"/>
      <c r="L2722" s="174"/>
      <c r="M2722" s="174"/>
      <c r="N2722" s="174"/>
      <c r="O2722" s="174"/>
      <c r="P2722" s="174"/>
      <c r="Q2722" s="174"/>
      <c r="R2722" s="174"/>
      <c r="S2722" s="174"/>
      <c r="T2722" s="174"/>
      <c r="U2722" s="174"/>
      <c r="V2722" s="174"/>
      <c r="W2722" s="174"/>
      <c r="X2722" s="174"/>
      <c r="Y2722" s="174"/>
      <c r="Z2722" s="174"/>
    </row>
    <row r="2723">
      <c r="A2723" s="194"/>
      <c r="B2723" s="194"/>
      <c r="C2723" s="194"/>
      <c r="D2723" s="194"/>
      <c r="E2723" s="194"/>
      <c r="F2723" s="194"/>
      <c r="G2723" s="194"/>
      <c r="H2723" s="195"/>
      <c r="I2723" s="195"/>
      <c r="J2723" s="194"/>
      <c r="K2723" s="174"/>
      <c r="L2723" s="174"/>
      <c r="M2723" s="174"/>
      <c r="N2723" s="174"/>
      <c r="O2723" s="174"/>
      <c r="P2723" s="174"/>
      <c r="Q2723" s="174"/>
      <c r="R2723" s="174"/>
      <c r="S2723" s="174"/>
      <c r="T2723" s="174"/>
      <c r="U2723" s="174"/>
      <c r="V2723" s="174"/>
      <c r="W2723" s="174"/>
      <c r="X2723" s="174"/>
      <c r="Y2723" s="174"/>
      <c r="Z2723" s="174"/>
    </row>
    <row r="2724">
      <c r="A2724" s="194"/>
      <c r="B2724" s="194"/>
      <c r="C2724" s="194"/>
      <c r="D2724" s="194"/>
      <c r="E2724" s="194"/>
      <c r="F2724" s="194"/>
      <c r="G2724" s="194"/>
      <c r="H2724" s="195"/>
      <c r="I2724" s="195"/>
      <c r="J2724" s="194"/>
      <c r="K2724" s="174"/>
      <c r="L2724" s="174"/>
      <c r="M2724" s="174"/>
      <c r="N2724" s="174"/>
      <c r="O2724" s="174"/>
      <c r="P2724" s="174"/>
      <c r="Q2724" s="174"/>
      <c r="R2724" s="174"/>
      <c r="S2724" s="174"/>
      <c r="T2724" s="174"/>
      <c r="U2724" s="174"/>
      <c r="V2724" s="174"/>
      <c r="W2724" s="174"/>
      <c r="X2724" s="174"/>
      <c r="Y2724" s="174"/>
      <c r="Z2724" s="174"/>
    </row>
    <row r="2725">
      <c r="A2725" s="194"/>
      <c r="B2725" s="194"/>
      <c r="C2725" s="194"/>
      <c r="D2725" s="194"/>
      <c r="E2725" s="194"/>
      <c r="F2725" s="194"/>
      <c r="G2725" s="194"/>
      <c r="H2725" s="195"/>
      <c r="I2725" s="195"/>
      <c r="J2725" s="194"/>
      <c r="K2725" s="174"/>
      <c r="L2725" s="174"/>
      <c r="M2725" s="174"/>
      <c r="N2725" s="174"/>
      <c r="O2725" s="174"/>
      <c r="P2725" s="174"/>
      <c r="Q2725" s="174"/>
      <c r="R2725" s="174"/>
      <c r="S2725" s="174"/>
      <c r="T2725" s="174"/>
      <c r="U2725" s="174"/>
      <c r="V2725" s="174"/>
      <c r="W2725" s="174"/>
      <c r="X2725" s="174"/>
      <c r="Y2725" s="174"/>
      <c r="Z2725" s="174"/>
    </row>
    <row r="2726">
      <c r="A2726" s="194"/>
      <c r="B2726" s="194"/>
      <c r="C2726" s="194"/>
      <c r="D2726" s="194"/>
      <c r="E2726" s="194"/>
      <c r="F2726" s="194"/>
      <c r="G2726" s="194"/>
      <c r="H2726" s="195"/>
      <c r="I2726" s="195"/>
      <c r="J2726" s="194"/>
      <c r="K2726" s="174"/>
      <c r="L2726" s="174"/>
      <c r="M2726" s="174"/>
      <c r="N2726" s="174"/>
      <c r="O2726" s="174"/>
      <c r="P2726" s="174"/>
      <c r="Q2726" s="174"/>
      <c r="R2726" s="174"/>
      <c r="S2726" s="174"/>
      <c r="T2726" s="174"/>
      <c r="U2726" s="174"/>
      <c r="V2726" s="174"/>
      <c r="W2726" s="174"/>
      <c r="X2726" s="174"/>
      <c r="Y2726" s="174"/>
      <c r="Z2726" s="174"/>
    </row>
    <row r="2727">
      <c r="A2727" s="194"/>
      <c r="B2727" s="194"/>
      <c r="C2727" s="194"/>
      <c r="D2727" s="194"/>
      <c r="E2727" s="194"/>
      <c r="F2727" s="194"/>
      <c r="G2727" s="194"/>
      <c r="H2727" s="195"/>
      <c r="I2727" s="195"/>
      <c r="J2727" s="194"/>
      <c r="K2727" s="174"/>
      <c r="L2727" s="174"/>
      <c r="M2727" s="174"/>
      <c r="N2727" s="174"/>
      <c r="O2727" s="174"/>
      <c r="P2727" s="174"/>
      <c r="Q2727" s="174"/>
      <c r="R2727" s="174"/>
      <c r="S2727" s="174"/>
      <c r="T2727" s="174"/>
      <c r="U2727" s="174"/>
      <c r="V2727" s="174"/>
      <c r="W2727" s="174"/>
      <c r="X2727" s="174"/>
      <c r="Y2727" s="174"/>
      <c r="Z2727" s="174"/>
    </row>
    <row r="2728">
      <c r="A2728" s="194"/>
      <c r="B2728" s="194"/>
      <c r="C2728" s="194"/>
      <c r="D2728" s="194"/>
      <c r="E2728" s="194"/>
      <c r="F2728" s="194"/>
      <c r="G2728" s="194"/>
      <c r="H2728" s="195"/>
      <c r="I2728" s="195"/>
      <c r="J2728" s="194"/>
      <c r="K2728" s="174"/>
      <c r="L2728" s="174"/>
      <c r="M2728" s="174"/>
      <c r="N2728" s="174"/>
      <c r="O2728" s="174"/>
      <c r="P2728" s="174"/>
      <c r="Q2728" s="174"/>
      <c r="R2728" s="174"/>
      <c r="S2728" s="174"/>
      <c r="T2728" s="174"/>
      <c r="U2728" s="174"/>
      <c r="V2728" s="174"/>
      <c r="W2728" s="174"/>
      <c r="X2728" s="174"/>
      <c r="Y2728" s="174"/>
      <c r="Z2728" s="174"/>
    </row>
    <row r="2729">
      <c r="A2729" s="194"/>
      <c r="B2729" s="194"/>
      <c r="C2729" s="194"/>
      <c r="D2729" s="194"/>
      <c r="E2729" s="194"/>
      <c r="F2729" s="194"/>
      <c r="G2729" s="194"/>
      <c r="H2729" s="195"/>
      <c r="I2729" s="195"/>
      <c r="J2729" s="194"/>
      <c r="K2729" s="174"/>
      <c r="L2729" s="174"/>
      <c r="M2729" s="174"/>
      <c r="N2729" s="174"/>
      <c r="O2729" s="174"/>
      <c r="P2729" s="174"/>
      <c r="Q2729" s="174"/>
      <c r="R2729" s="174"/>
      <c r="S2729" s="174"/>
      <c r="T2729" s="174"/>
      <c r="U2729" s="174"/>
      <c r="V2729" s="174"/>
      <c r="W2729" s="174"/>
      <c r="X2729" s="174"/>
      <c r="Y2729" s="174"/>
      <c r="Z2729" s="174"/>
    </row>
    <row r="2730">
      <c r="A2730" s="194"/>
      <c r="B2730" s="194"/>
      <c r="C2730" s="194"/>
      <c r="D2730" s="194"/>
      <c r="E2730" s="194"/>
      <c r="F2730" s="194"/>
      <c r="G2730" s="194"/>
      <c r="H2730" s="195"/>
      <c r="I2730" s="195"/>
      <c r="J2730" s="194"/>
      <c r="K2730" s="174"/>
      <c r="L2730" s="174"/>
      <c r="M2730" s="174"/>
      <c r="N2730" s="174"/>
      <c r="O2730" s="174"/>
      <c r="P2730" s="174"/>
      <c r="Q2730" s="174"/>
      <c r="R2730" s="174"/>
      <c r="S2730" s="174"/>
      <c r="T2730" s="174"/>
      <c r="U2730" s="174"/>
      <c r="V2730" s="174"/>
      <c r="W2730" s="174"/>
      <c r="X2730" s="174"/>
      <c r="Y2730" s="174"/>
      <c r="Z2730" s="174"/>
    </row>
    <row r="2731">
      <c r="A2731" s="194"/>
      <c r="B2731" s="194"/>
      <c r="C2731" s="194"/>
      <c r="D2731" s="194"/>
      <c r="E2731" s="194"/>
      <c r="F2731" s="194"/>
      <c r="G2731" s="194"/>
      <c r="H2731" s="195"/>
      <c r="I2731" s="195"/>
      <c r="J2731" s="194"/>
      <c r="K2731" s="174"/>
      <c r="L2731" s="174"/>
      <c r="M2731" s="174"/>
      <c r="N2731" s="174"/>
      <c r="O2731" s="174"/>
      <c r="P2731" s="174"/>
      <c r="Q2731" s="174"/>
      <c r="R2731" s="174"/>
      <c r="S2731" s="174"/>
      <c r="T2731" s="174"/>
      <c r="U2731" s="174"/>
      <c r="V2731" s="174"/>
      <c r="W2731" s="174"/>
      <c r="X2731" s="174"/>
      <c r="Y2731" s="174"/>
      <c r="Z2731" s="174"/>
    </row>
    <row r="2732">
      <c r="A2732" s="194"/>
      <c r="B2732" s="194"/>
      <c r="C2732" s="194"/>
      <c r="D2732" s="194"/>
      <c r="E2732" s="194"/>
      <c r="F2732" s="194"/>
      <c r="G2732" s="194"/>
      <c r="H2732" s="195"/>
      <c r="I2732" s="195"/>
      <c r="J2732" s="194"/>
      <c r="K2732" s="174"/>
      <c r="L2732" s="174"/>
      <c r="M2732" s="174"/>
      <c r="N2732" s="174"/>
      <c r="O2732" s="174"/>
      <c r="P2732" s="174"/>
      <c r="Q2732" s="174"/>
      <c r="R2732" s="174"/>
      <c r="S2732" s="174"/>
      <c r="T2732" s="174"/>
      <c r="U2732" s="174"/>
      <c r="V2732" s="174"/>
      <c r="W2732" s="174"/>
      <c r="X2732" s="174"/>
      <c r="Y2732" s="174"/>
      <c r="Z2732" s="174"/>
    </row>
    <row r="2733">
      <c r="A2733" s="194"/>
      <c r="B2733" s="194"/>
      <c r="C2733" s="194"/>
      <c r="D2733" s="194"/>
      <c r="E2733" s="194"/>
      <c r="F2733" s="194"/>
      <c r="G2733" s="194"/>
      <c r="H2733" s="195"/>
      <c r="I2733" s="195"/>
      <c r="J2733" s="194"/>
      <c r="K2733" s="174"/>
      <c r="L2733" s="174"/>
      <c r="M2733" s="174"/>
      <c r="N2733" s="174"/>
      <c r="O2733" s="174"/>
      <c r="P2733" s="174"/>
      <c r="Q2733" s="174"/>
      <c r="R2733" s="174"/>
      <c r="S2733" s="174"/>
      <c r="T2733" s="174"/>
      <c r="U2733" s="174"/>
      <c r="V2733" s="174"/>
      <c r="W2733" s="174"/>
      <c r="X2733" s="174"/>
      <c r="Y2733" s="174"/>
      <c r="Z2733" s="174"/>
    </row>
    <row r="2734">
      <c r="A2734" s="194"/>
      <c r="B2734" s="194"/>
      <c r="C2734" s="194"/>
      <c r="D2734" s="194"/>
      <c r="E2734" s="194"/>
      <c r="F2734" s="194"/>
      <c r="G2734" s="194"/>
      <c r="H2734" s="195"/>
      <c r="I2734" s="195"/>
      <c r="J2734" s="194"/>
      <c r="K2734" s="174"/>
      <c r="L2734" s="174"/>
      <c r="M2734" s="174"/>
      <c r="N2734" s="174"/>
      <c r="O2734" s="174"/>
      <c r="P2734" s="174"/>
      <c r="Q2734" s="174"/>
      <c r="R2734" s="174"/>
      <c r="S2734" s="174"/>
      <c r="T2734" s="174"/>
      <c r="U2734" s="174"/>
      <c r="V2734" s="174"/>
      <c r="W2734" s="174"/>
      <c r="X2734" s="174"/>
      <c r="Y2734" s="174"/>
      <c r="Z2734" s="174"/>
    </row>
    <row r="2735">
      <c r="A2735" s="194"/>
      <c r="B2735" s="194"/>
      <c r="C2735" s="194"/>
      <c r="D2735" s="194"/>
      <c r="E2735" s="194"/>
      <c r="F2735" s="194"/>
      <c r="G2735" s="194"/>
      <c r="H2735" s="195"/>
      <c r="I2735" s="195"/>
      <c r="J2735" s="194"/>
      <c r="K2735" s="174"/>
      <c r="L2735" s="174"/>
      <c r="M2735" s="174"/>
      <c r="N2735" s="174"/>
      <c r="O2735" s="174"/>
      <c r="P2735" s="174"/>
      <c r="Q2735" s="174"/>
      <c r="R2735" s="174"/>
      <c r="S2735" s="174"/>
      <c r="T2735" s="174"/>
      <c r="U2735" s="174"/>
      <c r="V2735" s="174"/>
      <c r="W2735" s="174"/>
      <c r="X2735" s="174"/>
      <c r="Y2735" s="174"/>
      <c r="Z2735" s="174"/>
    </row>
    <row r="2736">
      <c r="A2736" s="194"/>
      <c r="B2736" s="194"/>
      <c r="C2736" s="194"/>
      <c r="D2736" s="194"/>
      <c r="E2736" s="194"/>
      <c r="F2736" s="194"/>
      <c r="G2736" s="194"/>
      <c r="H2736" s="195"/>
      <c r="I2736" s="195"/>
      <c r="J2736" s="194"/>
      <c r="K2736" s="174"/>
      <c r="L2736" s="174"/>
      <c r="M2736" s="174"/>
      <c r="N2736" s="174"/>
      <c r="O2736" s="174"/>
      <c r="P2736" s="174"/>
      <c r="Q2736" s="174"/>
      <c r="R2736" s="174"/>
      <c r="S2736" s="174"/>
      <c r="T2736" s="174"/>
      <c r="U2736" s="174"/>
      <c r="V2736" s="174"/>
      <c r="W2736" s="174"/>
      <c r="X2736" s="174"/>
      <c r="Y2736" s="174"/>
      <c r="Z2736" s="174"/>
    </row>
    <row r="2737">
      <c r="A2737" s="194"/>
      <c r="B2737" s="194"/>
      <c r="C2737" s="194"/>
      <c r="D2737" s="194"/>
      <c r="E2737" s="194"/>
      <c r="F2737" s="194"/>
      <c r="G2737" s="194"/>
      <c r="H2737" s="195"/>
      <c r="I2737" s="195"/>
      <c r="J2737" s="194"/>
      <c r="K2737" s="174"/>
      <c r="L2737" s="174"/>
      <c r="M2737" s="174"/>
      <c r="N2737" s="174"/>
      <c r="O2737" s="174"/>
      <c r="P2737" s="174"/>
      <c r="Q2737" s="174"/>
      <c r="R2737" s="174"/>
      <c r="S2737" s="174"/>
      <c r="T2737" s="174"/>
      <c r="U2737" s="174"/>
      <c r="V2737" s="174"/>
      <c r="W2737" s="174"/>
      <c r="X2737" s="174"/>
      <c r="Y2737" s="174"/>
      <c r="Z2737" s="174"/>
    </row>
    <row r="2738">
      <c r="A2738" s="194"/>
      <c r="B2738" s="194"/>
      <c r="C2738" s="194"/>
      <c r="D2738" s="194"/>
      <c r="E2738" s="194"/>
      <c r="F2738" s="194"/>
      <c r="G2738" s="194"/>
      <c r="H2738" s="195"/>
      <c r="I2738" s="195"/>
      <c r="J2738" s="194"/>
      <c r="K2738" s="174"/>
      <c r="L2738" s="174"/>
      <c r="M2738" s="174"/>
      <c r="N2738" s="174"/>
      <c r="O2738" s="174"/>
      <c r="P2738" s="174"/>
      <c r="Q2738" s="174"/>
      <c r="R2738" s="174"/>
      <c r="S2738" s="174"/>
      <c r="T2738" s="174"/>
      <c r="U2738" s="174"/>
      <c r="V2738" s="174"/>
      <c r="W2738" s="174"/>
      <c r="X2738" s="174"/>
      <c r="Y2738" s="174"/>
      <c r="Z2738" s="174"/>
    </row>
    <row r="2739">
      <c r="A2739" s="194"/>
      <c r="B2739" s="194"/>
      <c r="C2739" s="194"/>
      <c r="D2739" s="194"/>
      <c r="E2739" s="194"/>
      <c r="F2739" s="194"/>
      <c r="G2739" s="194"/>
      <c r="H2739" s="195"/>
      <c r="I2739" s="195"/>
      <c r="J2739" s="194"/>
      <c r="K2739" s="174"/>
      <c r="L2739" s="174"/>
      <c r="M2739" s="174"/>
      <c r="N2739" s="174"/>
      <c r="O2739" s="174"/>
      <c r="P2739" s="174"/>
      <c r="Q2739" s="174"/>
      <c r="R2739" s="174"/>
      <c r="S2739" s="174"/>
      <c r="T2739" s="174"/>
      <c r="U2739" s="174"/>
      <c r="V2739" s="174"/>
      <c r="W2739" s="174"/>
      <c r="X2739" s="174"/>
      <c r="Y2739" s="174"/>
      <c r="Z2739" s="174"/>
    </row>
    <row r="2740">
      <c r="A2740" s="194"/>
      <c r="B2740" s="194"/>
      <c r="C2740" s="194"/>
      <c r="D2740" s="194"/>
      <c r="E2740" s="194"/>
      <c r="F2740" s="194"/>
      <c r="G2740" s="194"/>
      <c r="H2740" s="195"/>
      <c r="I2740" s="195"/>
      <c r="J2740" s="194"/>
      <c r="K2740" s="174"/>
      <c r="L2740" s="174"/>
      <c r="M2740" s="174"/>
      <c r="N2740" s="174"/>
      <c r="O2740" s="174"/>
      <c r="P2740" s="174"/>
      <c r="Q2740" s="174"/>
      <c r="R2740" s="174"/>
      <c r="S2740" s="174"/>
      <c r="T2740" s="174"/>
      <c r="U2740" s="174"/>
      <c r="V2740" s="174"/>
      <c r="W2740" s="174"/>
      <c r="X2740" s="174"/>
      <c r="Y2740" s="174"/>
      <c r="Z2740" s="174"/>
    </row>
    <row r="2741">
      <c r="A2741" s="194"/>
      <c r="B2741" s="194"/>
      <c r="C2741" s="194"/>
      <c r="D2741" s="194"/>
      <c r="E2741" s="194"/>
      <c r="F2741" s="194"/>
      <c r="G2741" s="194"/>
      <c r="H2741" s="195"/>
      <c r="I2741" s="195"/>
      <c r="J2741" s="194"/>
      <c r="K2741" s="174"/>
      <c r="L2741" s="174"/>
      <c r="M2741" s="174"/>
      <c r="N2741" s="174"/>
      <c r="O2741" s="174"/>
      <c r="P2741" s="174"/>
      <c r="Q2741" s="174"/>
      <c r="R2741" s="174"/>
      <c r="S2741" s="174"/>
      <c r="T2741" s="174"/>
      <c r="U2741" s="174"/>
      <c r="V2741" s="174"/>
      <c r="W2741" s="174"/>
      <c r="X2741" s="174"/>
      <c r="Y2741" s="174"/>
      <c r="Z2741" s="174"/>
    </row>
    <row r="2742">
      <c r="A2742" s="194"/>
      <c r="B2742" s="194"/>
      <c r="C2742" s="194"/>
      <c r="D2742" s="194"/>
      <c r="E2742" s="194"/>
      <c r="F2742" s="194"/>
      <c r="G2742" s="194"/>
      <c r="H2742" s="195"/>
      <c r="I2742" s="195"/>
      <c r="J2742" s="194"/>
      <c r="K2742" s="174"/>
      <c r="L2742" s="174"/>
      <c r="M2742" s="174"/>
      <c r="N2742" s="174"/>
      <c r="O2742" s="174"/>
      <c r="P2742" s="174"/>
      <c r="Q2742" s="174"/>
      <c r="R2742" s="174"/>
      <c r="S2742" s="174"/>
      <c r="T2742" s="174"/>
      <c r="U2742" s="174"/>
      <c r="V2742" s="174"/>
      <c r="W2742" s="174"/>
      <c r="X2742" s="174"/>
      <c r="Y2742" s="174"/>
      <c r="Z2742" s="174"/>
    </row>
    <row r="2743">
      <c r="A2743" s="194"/>
      <c r="B2743" s="194"/>
      <c r="C2743" s="194"/>
      <c r="D2743" s="194"/>
      <c r="E2743" s="194"/>
      <c r="F2743" s="194"/>
      <c r="G2743" s="194"/>
      <c r="H2743" s="195"/>
      <c r="I2743" s="195"/>
      <c r="J2743" s="194"/>
      <c r="K2743" s="174"/>
      <c r="L2743" s="174"/>
      <c r="M2743" s="174"/>
      <c r="N2743" s="174"/>
      <c r="O2743" s="174"/>
      <c r="P2743" s="174"/>
      <c r="Q2743" s="174"/>
      <c r="R2743" s="174"/>
      <c r="S2743" s="174"/>
      <c r="T2743" s="174"/>
      <c r="U2743" s="174"/>
      <c r="V2743" s="174"/>
      <c r="W2743" s="174"/>
      <c r="X2743" s="174"/>
      <c r="Y2743" s="174"/>
      <c r="Z2743" s="174"/>
    </row>
    <row r="2744">
      <c r="A2744" s="194"/>
      <c r="B2744" s="194"/>
      <c r="C2744" s="194"/>
      <c r="D2744" s="194"/>
      <c r="E2744" s="194"/>
      <c r="F2744" s="194"/>
      <c r="G2744" s="194"/>
      <c r="H2744" s="195"/>
      <c r="I2744" s="195"/>
      <c r="J2744" s="194"/>
      <c r="K2744" s="174"/>
      <c r="L2744" s="174"/>
      <c r="M2744" s="174"/>
      <c r="N2744" s="174"/>
      <c r="O2744" s="174"/>
      <c r="P2744" s="174"/>
      <c r="Q2744" s="174"/>
      <c r="R2744" s="174"/>
      <c r="S2744" s="174"/>
      <c r="T2744" s="174"/>
      <c r="U2744" s="174"/>
      <c r="V2744" s="174"/>
      <c r="W2744" s="174"/>
      <c r="X2744" s="174"/>
      <c r="Y2744" s="174"/>
      <c r="Z2744" s="174"/>
    </row>
    <row r="2745">
      <c r="A2745" s="194"/>
      <c r="B2745" s="194"/>
      <c r="C2745" s="194"/>
      <c r="D2745" s="194"/>
      <c r="E2745" s="194"/>
      <c r="F2745" s="194"/>
      <c r="G2745" s="194"/>
      <c r="H2745" s="195"/>
      <c r="I2745" s="195"/>
      <c r="J2745" s="194"/>
      <c r="K2745" s="174"/>
      <c r="L2745" s="174"/>
      <c r="M2745" s="174"/>
      <c r="N2745" s="174"/>
      <c r="O2745" s="174"/>
      <c r="P2745" s="174"/>
      <c r="Q2745" s="174"/>
      <c r="R2745" s="174"/>
      <c r="S2745" s="174"/>
      <c r="T2745" s="174"/>
      <c r="U2745" s="174"/>
      <c r="V2745" s="174"/>
      <c r="W2745" s="174"/>
      <c r="X2745" s="174"/>
      <c r="Y2745" s="174"/>
      <c r="Z2745" s="174"/>
    </row>
    <row r="2746">
      <c r="A2746" s="194"/>
      <c r="B2746" s="194"/>
      <c r="C2746" s="194"/>
      <c r="D2746" s="194"/>
      <c r="E2746" s="194"/>
      <c r="F2746" s="194"/>
      <c r="G2746" s="194"/>
      <c r="H2746" s="195"/>
      <c r="I2746" s="195"/>
      <c r="J2746" s="194"/>
      <c r="K2746" s="174"/>
      <c r="L2746" s="174"/>
      <c r="M2746" s="174"/>
      <c r="N2746" s="174"/>
      <c r="O2746" s="174"/>
      <c r="P2746" s="174"/>
      <c r="Q2746" s="174"/>
      <c r="R2746" s="174"/>
      <c r="S2746" s="174"/>
      <c r="T2746" s="174"/>
      <c r="U2746" s="174"/>
      <c r="V2746" s="174"/>
      <c r="W2746" s="174"/>
      <c r="X2746" s="174"/>
      <c r="Y2746" s="174"/>
      <c r="Z2746" s="174"/>
    </row>
    <row r="2747">
      <c r="A2747" s="194"/>
      <c r="B2747" s="194"/>
      <c r="C2747" s="194"/>
      <c r="D2747" s="194"/>
      <c r="E2747" s="194"/>
      <c r="F2747" s="194"/>
      <c r="G2747" s="194"/>
      <c r="H2747" s="195"/>
      <c r="I2747" s="195"/>
      <c r="J2747" s="194"/>
      <c r="K2747" s="174"/>
      <c r="L2747" s="174"/>
      <c r="M2747" s="174"/>
      <c r="N2747" s="174"/>
      <c r="O2747" s="174"/>
      <c r="P2747" s="174"/>
      <c r="Q2747" s="174"/>
      <c r="R2747" s="174"/>
      <c r="S2747" s="174"/>
      <c r="T2747" s="174"/>
      <c r="U2747" s="174"/>
      <c r="V2747" s="174"/>
      <c r="W2747" s="174"/>
      <c r="X2747" s="174"/>
      <c r="Y2747" s="174"/>
      <c r="Z2747" s="174"/>
    </row>
    <row r="2748">
      <c r="A2748" s="194"/>
      <c r="B2748" s="194"/>
      <c r="C2748" s="194"/>
      <c r="D2748" s="194"/>
      <c r="E2748" s="194"/>
      <c r="F2748" s="194"/>
      <c r="G2748" s="194"/>
      <c r="H2748" s="195"/>
      <c r="I2748" s="195"/>
      <c r="J2748" s="194"/>
      <c r="K2748" s="174"/>
      <c r="L2748" s="174"/>
      <c r="M2748" s="174"/>
      <c r="N2748" s="174"/>
      <c r="O2748" s="174"/>
      <c r="P2748" s="174"/>
      <c r="Q2748" s="174"/>
      <c r="R2748" s="174"/>
      <c r="S2748" s="174"/>
      <c r="T2748" s="174"/>
      <c r="U2748" s="174"/>
      <c r="V2748" s="174"/>
      <c r="W2748" s="174"/>
      <c r="X2748" s="174"/>
      <c r="Y2748" s="174"/>
      <c r="Z2748" s="174"/>
    </row>
    <row r="2749">
      <c r="A2749" s="194"/>
      <c r="B2749" s="194"/>
      <c r="C2749" s="194"/>
      <c r="D2749" s="194"/>
      <c r="E2749" s="194"/>
      <c r="F2749" s="194"/>
      <c r="G2749" s="194"/>
      <c r="H2749" s="195"/>
      <c r="I2749" s="195"/>
      <c r="J2749" s="194"/>
      <c r="K2749" s="174"/>
      <c r="L2749" s="174"/>
      <c r="M2749" s="174"/>
      <c r="N2749" s="174"/>
      <c r="O2749" s="174"/>
      <c r="P2749" s="174"/>
      <c r="Q2749" s="174"/>
      <c r="R2749" s="174"/>
      <c r="S2749" s="174"/>
      <c r="T2749" s="174"/>
      <c r="U2749" s="174"/>
      <c r="V2749" s="174"/>
      <c r="W2749" s="174"/>
      <c r="X2749" s="174"/>
      <c r="Y2749" s="174"/>
      <c r="Z2749" s="174"/>
    </row>
    <row r="2750">
      <c r="A2750" s="194"/>
      <c r="B2750" s="194"/>
      <c r="C2750" s="194"/>
      <c r="D2750" s="194"/>
      <c r="E2750" s="194"/>
      <c r="F2750" s="194"/>
      <c r="G2750" s="194"/>
      <c r="H2750" s="195"/>
      <c r="I2750" s="195"/>
      <c r="J2750" s="194"/>
      <c r="K2750" s="174"/>
      <c r="L2750" s="174"/>
      <c r="M2750" s="174"/>
      <c r="N2750" s="174"/>
      <c r="O2750" s="174"/>
      <c r="P2750" s="174"/>
      <c r="Q2750" s="174"/>
      <c r="R2750" s="174"/>
      <c r="S2750" s="174"/>
      <c r="T2750" s="174"/>
      <c r="U2750" s="174"/>
      <c r="V2750" s="174"/>
      <c r="W2750" s="174"/>
      <c r="X2750" s="174"/>
      <c r="Y2750" s="174"/>
      <c r="Z2750" s="174"/>
    </row>
    <row r="2751">
      <c r="A2751" s="194"/>
      <c r="B2751" s="194"/>
      <c r="C2751" s="194"/>
      <c r="D2751" s="194"/>
      <c r="E2751" s="194"/>
      <c r="F2751" s="194"/>
      <c r="G2751" s="194"/>
      <c r="H2751" s="195"/>
      <c r="I2751" s="195"/>
      <c r="J2751" s="194"/>
      <c r="K2751" s="174"/>
      <c r="L2751" s="174"/>
      <c r="M2751" s="174"/>
      <c r="N2751" s="174"/>
      <c r="O2751" s="174"/>
      <c r="P2751" s="174"/>
      <c r="Q2751" s="174"/>
      <c r="R2751" s="174"/>
      <c r="S2751" s="174"/>
      <c r="T2751" s="174"/>
      <c r="U2751" s="174"/>
      <c r="V2751" s="174"/>
      <c r="W2751" s="174"/>
      <c r="X2751" s="174"/>
      <c r="Y2751" s="174"/>
      <c r="Z2751" s="174"/>
    </row>
    <row r="2752">
      <c r="A2752" s="194"/>
      <c r="B2752" s="194"/>
      <c r="C2752" s="194"/>
      <c r="D2752" s="194"/>
      <c r="E2752" s="194"/>
      <c r="F2752" s="194"/>
      <c r="G2752" s="194"/>
      <c r="H2752" s="195"/>
      <c r="I2752" s="195"/>
      <c r="J2752" s="194"/>
      <c r="K2752" s="174"/>
      <c r="L2752" s="174"/>
      <c r="M2752" s="174"/>
      <c r="N2752" s="174"/>
      <c r="O2752" s="174"/>
      <c r="P2752" s="174"/>
      <c r="Q2752" s="174"/>
      <c r="R2752" s="174"/>
      <c r="S2752" s="174"/>
      <c r="T2752" s="174"/>
      <c r="U2752" s="174"/>
      <c r="V2752" s="174"/>
      <c r="W2752" s="174"/>
      <c r="X2752" s="174"/>
      <c r="Y2752" s="174"/>
      <c r="Z2752" s="174"/>
    </row>
    <row r="2753">
      <c r="A2753" s="194"/>
      <c r="B2753" s="194"/>
      <c r="C2753" s="194"/>
      <c r="D2753" s="194"/>
      <c r="E2753" s="194"/>
      <c r="F2753" s="194"/>
      <c r="G2753" s="194"/>
      <c r="H2753" s="195"/>
      <c r="I2753" s="195"/>
      <c r="J2753" s="194"/>
      <c r="K2753" s="174"/>
      <c r="L2753" s="174"/>
      <c r="M2753" s="174"/>
      <c r="N2753" s="174"/>
      <c r="O2753" s="174"/>
      <c r="P2753" s="174"/>
      <c r="Q2753" s="174"/>
      <c r="R2753" s="174"/>
      <c r="S2753" s="174"/>
      <c r="T2753" s="174"/>
      <c r="U2753" s="174"/>
      <c r="V2753" s="174"/>
      <c r="W2753" s="174"/>
      <c r="X2753" s="174"/>
      <c r="Y2753" s="174"/>
      <c r="Z2753" s="174"/>
    </row>
    <row r="2754">
      <c r="A2754" s="194"/>
      <c r="B2754" s="194"/>
      <c r="C2754" s="194"/>
      <c r="D2754" s="194"/>
      <c r="E2754" s="194"/>
      <c r="F2754" s="194"/>
      <c r="G2754" s="194"/>
      <c r="H2754" s="195"/>
      <c r="I2754" s="195"/>
      <c r="J2754" s="194"/>
      <c r="K2754" s="174"/>
      <c r="L2754" s="174"/>
      <c r="M2754" s="174"/>
      <c r="N2754" s="174"/>
      <c r="O2754" s="174"/>
      <c r="P2754" s="174"/>
      <c r="Q2754" s="174"/>
      <c r="R2754" s="174"/>
      <c r="S2754" s="174"/>
      <c r="T2754" s="174"/>
      <c r="U2754" s="174"/>
      <c r="V2754" s="174"/>
      <c r="W2754" s="174"/>
      <c r="X2754" s="174"/>
      <c r="Y2754" s="174"/>
      <c r="Z2754" s="174"/>
    </row>
    <row r="2755">
      <c r="A2755" s="194"/>
      <c r="B2755" s="194"/>
      <c r="C2755" s="194"/>
      <c r="D2755" s="194"/>
      <c r="E2755" s="194"/>
      <c r="F2755" s="194"/>
      <c r="G2755" s="194"/>
      <c r="H2755" s="195"/>
      <c r="I2755" s="195"/>
      <c r="J2755" s="194"/>
      <c r="K2755" s="174"/>
      <c r="L2755" s="174"/>
      <c r="M2755" s="174"/>
      <c r="N2755" s="174"/>
      <c r="O2755" s="174"/>
      <c r="P2755" s="174"/>
      <c r="Q2755" s="174"/>
      <c r="R2755" s="174"/>
      <c r="S2755" s="174"/>
      <c r="T2755" s="174"/>
      <c r="U2755" s="174"/>
      <c r="V2755" s="174"/>
      <c r="W2755" s="174"/>
      <c r="X2755" s="174"/>
      <c r="Y2755" s="174"/>
      <c r="Z2755" s="174"/>
    </row>
    <row r="2756">
      <c r="A2756" s="194"/>
      <c r="B2756" s="194"/>
      <c r="C2756" s="194"/>
      <c r="D2756" s="194"/>
      <c r="E2756" s="194"/>
      <c r="F2756" s="194"/>
      <c r="G2756" s="194"/>
      <c r="H2756" s="195"/>
      <c r="I2756" s="195"/>
      <c r="J2756" s="194"/>
      <c r="K2756" s="174"/>
      <c r="L2756" s="174"/>
      <c r="M2756" s="174"/>
      <c r="N2756" s="174"/>
      <c r="O2756" s="174"/>
      <c r="P2756" s="174"/>
      <c r="Q2756" s="174"/>
      <c r="R2756" s="174"/>
      <c r="S2756" s="174"/>
      <c r="T2756" s="174"/>
      <c r="U2756" s="174"/>
      <c r="V2756" s="174"/>
      <c r="W2756" s="174"/>
      <c r="X2756" s="174"/>
      <c r="Y2756" s="174"/>
      <c r="Z2756" s="174"/>
    </row>
    <row r="2757">
      <c r="A2757" s="194"/>
      <c r="B2757" s="194"/>
      <c r="C2757" s="194"/>
      <c r="D2757" s="194"/>
      <c r="E2757" s="194"/>
      <c r="F2757" s="194"/>
      <c r="G2757" s="194"/>
      <c r="H2757" s="195"/>
      <c r="I2757" s="195"/>
      <c r="J2757" s="194"/>
      <c r="K2757" s="174"/>
      <c r="L2757" s="174"/>
      <c r="M2757" s="174"/>
      <c r="N2757" s="174"/>
      <c r="O2757" s="174"/>
      <c r="P2757" s="174"/>
      <c r="Q2757" s="174"/>
      <c r="R2757" s="174"/>
      <c r="S2757" s="174"/>
      <c r="T2757" s="174"/>
      <c r="U2757" s="174"/>
      <c r="V2757" s="174"/>
      <c r="W2757" s="174"/>
      <c r="X2757" s="174"/>
      <c r="Y2757" s="174"/>
      <c r="Z2757" s="174"/>
    </row>
    <row r="2758">
      <c r="A2758" s="194"/>
      <c r="B2758" s="194"/>
      <c r="C2758" s="194"/>
      <c r="D2758" s="194"/>
      <c r="E2758" s="194"/>
      <c r="F2758" s="194"/>
      <c r="G2758" s="194"/>
      <c r="H2758" s="195"/>
      <c r="I2758" s="195"/>
      <c r="J2758" s="194"/>
      <c r="K2758" s="174"/>
      <c r="L2758" s="174"/>
      <c r="M2758" s="174"/>
      <c r="N2758" s="174"/>
      <c r="O2758" s="174"/>
      <c r="P2758" s="174"/>
      <c r="Q2758" s="174"/>
      <c r="R2758" s="174"/>
      <c r="S2758" s="174"/>
      <c r="T2758" s="174"/>
      <c r="U2758" s="174"/>
      <c r="V2758" s="174"/>
      <c r="W2758" s="174"/>
      <c r="X2758" s="174"/>
      <c r="Y2758" s="174"/>
      <c r="Z2758" s="174"/>
    </row>
    <row r="2759">
      <c r="A2759" s="194"/>
      <c r="B2759" s="194"/>
      <c r="C2759" s="194"/>
      <c r="D2759" s="194"/>
      <c r="E2759" s="194"/>
      <c r="F2759" s="194"/>
      <c r="G2759" s="194"/>
      <c r="H2759" s="195"/>
      <c r="I2759" s="195"/>
      <c r="J2759" s="194"/>
      <c r="K2759" s="174"/>
      <c r="L2759" s="174"/>
      <c r="M2759" s="174"/>
      <c r="N2759" s="174"/>
      <c r="O2759" s="174"/>
      <c r="P2759" s="174"/>
      <c r="Q2759" s="174"/>
      <c r="R2759" s="174"/>
      <c r="S2759" s="174"/>
      <c r="T2759" s="174"/>
      <c r="U2759" s="174"/>
      <c r="V2759" s="174"/>
      <c r="W2759" s="174"/>
      <c r="X2759" s="174"/>
      <c r="Y2759" s="174"/>
      <c r="Z2759" s="174"/>
    </row>
    <row r="2760">
      <c r="A2760" s="194"/>
      <c r="B2760" s="194"/>
      <c r="C2760" s="194"/>
      <c r="D2760" s="194"/>
      <c r="E2760" s="194"/>
      <c r="F2760" s="194"/>
      <c r="G2760" s="194"/>
      <c r="H2760" s="195"/>
      <c r="I2760" s="195"/>
      <c r="J2760" s="194"/>
      <c r="K2760" s="174"/>
      <c r="L2760" s="174"/>
      <c r="M2760" s="174"/>
      <c r="N2760" s="174"/>
      <c r="O2760" s="174"/>
      <c r="P2760" s="174"/>
      <c r="Q2760" s="174"/>
      <c r="R2760" s="174"/>
      <c r="S2760" s="174"/>
      <c r="T2760" s="174"/>
      <c r="U2760" s="174"/>
      <c r="V2760" s="174"/>
      <c r="W2760" s="174"/>
      <c r="X2760" s="174"/>
      <c r="Y2760" s="174"/>
      <c r="Z2760" s="174"/>
    </row>
    <row r="2761">
      <c r="A2761" s="194"/>
      <c r="B2761" s="194"/>
      <c r="C2761" s="194"/>
      <c r="D2761" s="194"/>
      <c r="E2761" s="194"/>
      <c r="F2761" s="194"/>
      <c r="G2761" s="194"/>
      <c r="H2761" s="195"/>
      <c r="I2761" s="195"/>
      <c r="J2761" s="194"/>
      <c r="K2761" s="174"/>
      <c r="L2761" s="174"/>
      <c r="M2761" s="174"/>
      <c r="N2761" s="174"/>
      <c r="O2761" s="174"/>
      <c r="P2761" s="174"/>
      <c r="Q2761" s="174"/>
      <c r="R2761" s="174"/>
      <c r="S2761" s="174"/>
      <c r="T2761" s="174"/>
      <c r="U2761" s="174"/>
      <c r="V2761" s="174"/>
      <c r="W2761" s="174"/>
      <c r="X2761" s="174"/>
      <c r="Y2761" s="174"/>
      <c r="Z2761" s="174"/>
    </row>
    <row r="2762">
      <c r="A2762" s="194"/>
      <c r="B2762" s="194"/>
      <c r="C2762" s="194"/>
      <c r="D2762" s="194"/>
      <c r="E2762" s="194"/>
      <c r="F2762" s="194"/>
      <c r="G2762" s="194"/>
      <c r="H2762" s="195"/>
      <c r="I2762" s="195"/>
      <c r="J2762" s="194"/>
      <c r="K2762" s="174"/>
      <c r="L2762" s="174"/>
      <c r="M2762" s="174"/>
      <c r="N2762" s="174"/>
      <c r="O2762" s="174"/>
      <c r="P2762" s="174"/>
      <c r="Q2762" s="174"/>
      <c r="R2762" s="174"/>
      <c r="S2762" s="174"/>
      <c r="T2762" s="174"/>
      <c r="U2762" s="174"/>
      <c r="V2762" s="174"/>
      <c r="W2762" s="174"/>
      <c r="X2762" s="174"/>
      <c r="Y2762" s="174"/>
      <c r="Z2762" s="174"/>
    </row>
    <row r="2763">
      <c r="A2763" s="194"/>
      <c r="B2763" s="194"/>
      <c r="C2763" s="194"/>
      <c r="D2763" s="194"/>
      <c r="E2763" s="194"/>
      <c r="F2763" s="194"/>
      <c r="G2763" s="194"/>
      <c r="H2763" s="195"/>
      <c r="I2763" s="195"/>
      <c r="J2763" s="194"/>
      <c r="K2763" s="174"/>
      <c r="L2763" s="174"/>
      <c r="M2763" s="174"/>
      <c r="N2763" s="174"/>
      <c r="O2763" s="174"/>
      <c r="P2763" s="174"/>
      <c r="Q2763" s="174"/>
      <c r="R2763" s="174"/>
      <c r="S2763" s="174"/>
      <c r="T2763" s="174"/>
      <c r="U2763" s="174"/>
      <c r="V2763" s="174"/>
      <c r="W2763" s="174"/>
      <c r="X2763" s="174"/>
      <c r="Y2763" s="174"/>
      <c r="Z2763" s="174"/>
    </row>
    <row r="2764">
      <c r="A2764" s="194"/>
      <c r="B2764" s="194"/>
      <c r="C2764" s="194"/>
      <c r="D2764" s="194"/>
      <c r="E2764" s="194"/>
      <c r="F2764" s="194"/>
      <c r="G2764" s="194"/>
      <c r="H2764" s="195"/>
      <c r="I2764" s="195"/>
      <c r="J2764" s="194"/>
      <c r="K2764" s="174"/>
      <c r="L2764" s="174"/>
      <c r="M2764" s="174"/>
      <c r="N2764" s="174"/>
      <c r="O2764" s="174"/>
      <c r="P2764" s="174"/>
      <c r="Q2764" s="174"/>
      <c r="R2764" s="174"/>
      <c r="S2764" s="174"/>
      <c r="T2764" s="174"/>
      <c r="U2764" s="174"/>
      <c r="V2764" s="174"/>
      <c r="W2764" s="174"/>
      <c r="X2764" s="174"/>
      <c r="Y2764" s="174"/>
      <c r="Z2764" s="174"/>
    </row>
    <row r="2765">
      <c r="A2765" s="194"/>
      <c r="B2765" s="194"/>
      <c r="C2765" s="194"/>
      <c r="D2765" s="194"/>
      <c r="E2765" s="194"/>
      <c r="F2765" s="194"/>
      <c r="G2765" s="194"/>
      <c r="H2765" s="195"/>
      <c r="I2765" s="195"/>
      <c r="J2765" s="194"/>
      <c r="K2765" s="174"/>
      <c r="L2765" s="174"/>
      <c r="M2765" s="174"/>
      <c r="N2765" s="174"/>
      <c r="O2765" s="174"/>
      <c r="P2765" s="174"/>
      <c r="Q2765" s="174"/>
      <c r="R2765" s="174"/>
      <c r="S2765" s="174"/>
      <c r="T2765" s="174"/>
      <c r="U2765" s="174"/>
      <c r="V2765" s="174"/>
      <c r="W2765" s="174"/>
      <c r="X2765" s="174"/>
      <c r="Y2765" s="174"/>
      <c r="Z2765" s="174"/>
    </row>
    <row r="2766">
      <c r="A2766" s="194"/>
      <c r="B2766" s="194"/>
      <c r="C2766" s="194"/>
      <c r="D2766" s="194"/>
      <c r="E2766" s="194"/>
      <c r="F2766" s="194"/>
      <c r="G2766" s="194"/>
      <c r="H2766" s="195"/>
      <c r="I2766" s="195"/>
      <c r="J2766" s="194"/>
      <c r="K2766" s="174"/>
      <c r="L2766" s="174"/>
      <c r="M2766" s="174"/>
      <c r="N2766" s="174"/>
      <c r="O2766" s="174"/>
      <c r="P2766" s="174"/>
      <c r="Q2766" s="174"/>
      <c r="R2766" s="174"/>
      <c r="S2766" s="174"/>
      <c r="T2766" s="174"/>
      <c r="U2766" s="174"/>
      <c r="V2766" s="174"/>
      <c r="W2766" s="174"/>
      <c r="X2766" s="174"/>
      <c r="Y2766" s="174"/>
      <c r="Z2766" s="174"/>
    </row>
    <row r="2767">
      <c r="A2767" s="194"/>
      <c r="B2767" s="194"/>
      <c r="C2767" s="194"/>
      <c r="D2767" s="194"/>
      <c r="E2767" s="194"/>
      <c r="F2767" s="194"/>
      <c r="G2767" s="194"/>
      <c r="H2767" s="195"/>
      <c r="I2767" s="195"/>
      <c r="J2767" s="194"/>
      <c r="K2767" s="174"/>
      <c r="L2767" s="174"/>
      <c r="M2767" s="174"/>
      <c r="N2767" s="174"/>
      <c r="O2767" s="174"/>
      <c r="P2767" s="174"/>
      <c r="Q2767" s="174"/>
      <c r="R2767" s="174"/>
      <c r="S2767" s="174"/>
      <c r="T2767" s="174"/>
      <c r="U2767" s="174"/>
      <c r="V2767" s="174"/>
      <c r="W2767" s="174"/>
      <c r="X2767" s="174"/>
      <c r="Y2767" s="174"/>
      <c r="Z2767" s="174"/>
    </row>
    <row r="2768">
      <c r="A2768" s="194"/>
      <c r="B2768" s="194"/>
      <c r="C2768" s="194"/>
      <c r="D2768" s="194"/>
      <c r="E2768" s="194"/>
      <c r="F2768" s="194"/>
      <c r="G2768" s="194"/>
      <c r="H2768" s="195"/>
      <c r="I2768" s="195"/>
      <c r="J2768" s="194"/>
      <c r="K2768" s="174"/>
      <c r="L2768" s="174"/>
      <c r="M2768" s="174"/>
      <c r="N2768" s="174"/>
      <c r="O2768" s="174"/>
      <c r="P2768" s="174"/>
      <c r="Q2768" s="174"/>
      <c r="R2768" s="174"/>
      <c r="S2768" s="174"/>
      <c r="T2768" s="174"/>
      <c r="U2768" s="174"/>
      <c r="V2768" s="174"/>
      <c r="W2768" s="174"/>
      <c r="X2768" s="174"/>
      <c r="Y2768" s="174"/>
      <c r="Z2768" s="174"/>
    </row>
    <row r="2769">
      <c r="A2769" s="194"/>
      <c r="B2769" s="194"/>
      <c r="C2769" s="194"/>
      <c r="D2769" s="194"/>
      <c r="E2769" s="194"/>
      <c r="F2769" s="194"/>
      <c r="G2769" s="194"/>
      <c r="H2769" s="195"/>
      <c r="I2769" s="195"/>
      <c r="J2769" s="194"/>
      <c r="K2769" s="174"/>
      <c r="L2769" s="174"/>
      <c r="M2769" s="174"/>
      <c r="N2769" s="174"/>
      <c r="O2769" s="174"/>
      <c r="P2769" s="174"/>
      <c r="Q2769" s="174"/>
      <c r="R2769" s="174"/>
      <c r="S2769" s="174"/>
      <c r="T2769" s="174"/>
      <c r="U2769" s="174"/>
      <c r="V2769" s="174"/>
      <c r="W2769" s="174"/>
      <c r="X2769" s="174"/>
      <c r="Y2769" s="174"/>
      <c r="Z2769" s="174"/>
    </row>
    <row r="2770">
      <c r="A2770" s="196"/>
      <c r="B2770" s="194"/>
      <c r="C2770" s="194"/>
      <c r="D2770" s="194"/>
      <c r="E2770" s="194"/>
      <c r="F2770" s="194"/>
      <c r="G2770" s="194"/>
      <c r="H2770" s="195"/>
      <c r="I2770" s="195"/>
      <c r="J2770" s="194"/>
      <c r="K2770" s="148"/>
      <c r="L2770" s="174"/>
      <c r="M2770" s="174"/>
      <c r="N2770" s="174"/>
      <c r="O2770" s="174"/>
      <c r="P2770" s="174"/>
      <c r="Q2770" s="174"/>
      <c r="R2770" s="174"/>
      <c r="S2770" s="174"/>
      <c r="T2770" s="174"/>
      <c r="U2770" s="174"/>
      <c r="V2770" s="174"/>
      <c r="W2770" s="174"/>
      <c r="X2770" s="174"/>
      <c r="Y2770" s="174"/>
      <c r="Z2770" s="174"/>
    </row>
    <row r="2771">
      <c r="A2771" s="196"/>
      <c r="B2771" s="194"/>
      <c r="C2771" s="194"/>
      <c r="D2771" s="194"/>
      <c r="E2771" s="194"/>
      <c r="F2771" s="194"/>
      <c r="G2771" s="194"/>
      <c r="H2771" s="195"/>
      <c r="I2771" s="195"/>
      <c r="J2771" s="194"/>
      <c r="K2771" s="148"/>
      <c r="L2771" s="174"/>
      <c r="M2771" s="174"/>
      <c r="N2771" s="174"/>
      <c r="O2771" s="174"/>
      <c r="P2771" s="174"/>
      <c r="Q2771" s="174"/>
      <c r="R2771" s="174"/>
      <c r="S2771" s="174"/>
      <c r="T2771" s="174"/>
      <c r="U2771" s="174"/>
      <c r="V2771" s="174"/>
      <c r="W2771" s="174"/>
      <c r="X2771" s="174"/>
      <c r="Y2771" s="174"/>
      <c r="Z2771" s="174"/>
    </row>
    <row r="2772">
      <c r="A2772" s="196"/>
      <c r="B2772" s="194"/>
      <c r="C2772" s="194"/>
      <c r="D2772" s="194"/>
      <c r="E2772" s="194"/>
      <c r="F2772" s="194"/>
      <c r="G2772" s="194"/>
      <c r="H2772" s="195"/>
      <c r="I2772" s="195"/>
      <c r="J2772" s="194"/>
      <c r="K2772" s="148"/>
      <c r="L2772" s="174"/>
      <c r="M2772" s="174"/>
      <c r="N2772" s="174"/>
      <c r="O2772" s="174"/>
      <c r="P2772" s="174"/>
      <c r="Q2772" s="174"/>
      <c r="R2772" s="174"/>
      <c r="S2772" s="174"/>
      <c r="T2772" s="174"/>
      <c r="U2772" s="174"/>
      <c r="V2772" s="174"/>
      <c r="W2772" s="174"/>
      <c r="X2772" s="174"/>
      <c r="Y2772" s="174"/>
      <c r="Z2772" s="174"/>
    </row>
    <row r="2773">
      <c r="A2773" s="194"/>
      <c r="B2773" s="194"/>
      <c r="C2773" s="194"/>
      <c r="D2773" s="194"/>
      <c r="E2773" s="194"/>
      <c r="F2773" s="194"/>
      <c r="G2773" s="194"/>
      <c r="H2773" s="195"/>
      <c r="I2773" s="195"/>
      <c r="J2773" s="194"/>
      <c r="K2773" s="174"/>
      <c r="L2773" s="174"/>
      <c r="M2773" s="174"/>
      <c r="N2773" s="174"/>
      <c r="O2773" s="174"/>
      <c r="P2773" s="174"/>
      <c r="Q2773" s="174"/>
      <c r="R2773" s="174"/>
      <c r="S2773" s="174"/>
      <c r="T2773" s="174"/>
      <c r="U2773" s="174"/>
      <c r="V2773" s="174"/>
      <c r="W2773" s="174"/>
      <c r="X2773" s="174"/>
      <c r="Y2773" s="174"/>
      <c r="Z2773" s="174"/>
    </row>
    <row r="2774">
      <c r="A2774" s="194"/>
      <c r="B2774" s="194"/>
      <c r="C2774" s="194"/>
      <c r="D2774" s="194"/>
      <c r="E2774" s="194"/>
      <c r="F2774" s="194"/>
      <c r="G2774" s="194"/>
      <c r="H2774" s="195"/>
      <c r="I2774" s="195"/>
      <c r="J2774" s="194"/>
      <c r="K2774" s="174"/>
      <c r="L2774" s="174"/>
      <c r="M2774" s="174"/>
      <c r="N2774" s="174"/>
      <c r="O2774" s="174"/>
      <c r="P2774" s="174"/>
      <c r="Q2774" s="174"/>
      <c r="R2774" s="174"/>
      <c r="S2774" s="174"/>
      <c r="T2774" s="174"/>
      <c r="U2774" s="174"/>
      <c r="V2774" s="174"/>
      <c r="W2774" s="174"/>
      <c r="X2774" s="174"/>
      <c r="Y2774" s="174"/>
      <c r="Z2774" s="174"/>
    </row>
    <row r="2775">
      <c r="A2775" s="194"/>
      <c r="B2775" s="194"/>
      <c r="C2775" s="194"/>
      <c r="D2775" s="194"/>
      <c r="E2775" s="194"/>
      <c r="F2775" s="194"/>
      <c r="G2775" s="194"/>
      <c r="H2775" s="195"/>
      <c r="I2775" s="195"/>
      <c r="J2775" s="194"/>
      <c r="K2775" s="174"/>
      <c r="L2775" s="174"/>
      <c r="M2775" s="174"/>
      <c r="N2775" s="174"/>
      <c r="O2775" s="174"/>
      <c r="P2775" s="174"/>
      <c r="Q2775" s="174"/>
      <c r="R2775" s="174"/>
      <c r="S2775" s="174"/>
      <c r="T2775" s="174"/>
      <c r="U2775" s="174"/>
      <c r="V2775" s="174"/>
      <c r="W2775" s="174"/>
      <c r="X2775" s="174"/>
      <c r="Y2775" s="174"/>
      <c r="Z2775" s="174"/>
    </row>
    <row r="2776">
      <c r="A2776" s="194"/>
      <c r="B2776" s="194"/>
      <c r="C2776" s="194"/>
      <c r="D2776" s="194"/>
      <c r="E2776" s="194"/>
      <c r="F2776" s="194"/>
      <c r="G2776" s="194"/>
      <c r="H2776" s="195"/>
      <c r="I2776" s="195"/>
      <c r="J2776" s="194"/>
      <c r="K2776" s="174"/>
      <c r="L2776" s="174"/>
      <c r="M2776" s="174"/>
      <c r="N2776" s="174"/>
      <c r="O2776" s="174"/>
      <c r="P2776" s="174"/>
      <c r="Q2776" s="174"/>
      <c r="R2776" s="174"/>
      <c r="S2776" s="174"/>
      <c r="T2776" s="174"/>
      <c r="U2776" s="174"/>
      <c r="V2776" s="174"/>
      <c r="W2776" s="174"/>
      <c r="X2776" s="174"/>
      <c r="Y2776" s="174"/>
      <c r="Z2776" s="174"/>
    </row>
    <row r="2777">
      <c r="A2777" s="194"/>
      <c r="B2777" s="194"/>
      <c r="C2777" s="194"/>
      <c r="D2777" s="194"/>
      <c r="E2777" s="194"/>
      <c r="F2777" s="194"/>
      <c r="G2777" s="194"/>
      <c r="H2777" s="195"/>
      <c r="I2777" s="195"/>
      <c r="J2777" s="194"/>
      <c r="K2777" s="174"/>
      <c r="L2777" s="174"/>
      <c r="M2777" s="174"/>
      <c r="N2777" s="174"/>
      <c r="O2777" s="174"/>
      <c r="P2777" s="174"/>
      <c r="Q2777" s="174"/>
      <c r="R2777" s="174"/>
      <c r="S2777" s="174"/>
      <c r="T2777" s="174"/>
      <c r="U2777" s="174"/>
      <c r="V2777" s="174"/>
      <c r="W2777" s="174"/>
      <c r="X2777" s="174"/>
      <c r="Y2777" s="174"/>
      <c r="Z2777" s="174"/>
    </row>
    <row r="2778">
      <c r="A2778" s="194"/>
      <c r="B2778" s="194"/>
      <c r="C2778" s="194"/>
      <c r="D2778" s="194"/>
      <c r="E2778" s="194"/>
      <c r="F2778" s="194"/>
      <c r="G2778" s="194"/>
      <c r="H2778" s="195"/>
      <c r="I2778" s="195"/>
      <c r="J2778" s="194"/>
      <c r="K2778" s="174"/>
      <c r="L2778" s="174"/>
      <c r="M2778" s="174"/>
      <c r="N2778" s="174"/>
      <c r="O2778" s="174"/>
      <c r="P2778" s="174"/>
      <c r="Q2778" s="174"/>
      <c r="R2778" s="174"/>
      <c r="S2778" s="174"/>
      <c r="T2778" s="174"/>
      <c r="U2778" s="174"/>
      <c r="V2778" s="174"/>
      <c r="W2778" s="174"/>
      <c r="X2778" s="174"/>
      <c r="Y2778" s="174"/>
      <c r="Z2778" s="174"/>
    </row>
    <row r="2779">
      <c r="A2779" s="194"/>
      <c r="B2779" s="194"/>
      <c r="C2779" s="194"/>
      <c r="D2779" s="194"/>
      <c r="E2779" s="194"/>
      <c r="F2779" s="194"/>
      <c r="G2779" s="194"/>
      <c r="H2779" s="195"/>
      <c r="I2779" s="195"/>
      <c r="J2779" s="194"/>
      <c r="K2779" s="174"/>
      <c r="L2779" s="174"/>
      <c r="M2779" s="174"/>
      <c r="N2779" s="174"/>
      <c r="O2779" s="174"/>
      <c r="P2779" s="174"/>
      <c r="Q2779" s="174"/>
      <c r="R2779" s="174"/>
      <c r="S2779" s="174"/>
      <c r="T2779" s="174"/>
      <c r="U2779" s="174"/>
      <c r="V2779" s="174"/>
      <c r="W2779" s="174"/>
      <c r="X2779" s="174"/>
      <c r="Y2779" s="174"/>
      <c r="Z2779" s="174"/>
    </row>
    <row r="2780">
      <c r="A2780" s="194"/>
      <c r="B2780" s="194"/>
      <c r="C2780" s="194"/>
      <c r="D2780" s="194"/>
      <c r="E2780" s="194"/>
      <c r="F2780" s="194"/>
      <c r="G2780" s="194"/>
      <c r="H2780" s="195"/>
      <c r="I2780" s="195"/>
      <c r="J2780" s="194"/>
      <c r="K2780" s="174"/>
      <c r="L2780" s="174"/>
      <c r="M2780" s="174"/>
      <c r="N2780" s="174"/>
      <c r="O2780" s="174"/>
      <c r="P2780" s="174"/>
      <c r="Q2780" s="174"/>
      <c r="R2780" s="174"/>
      <c r="S2780" s="174"/>
      <c r="T2780" s="174"/>
      <c r="U2780" s="174"/>
      <c r="V2780" s="174"/>
      <c r="W2780" s="174"/>
      <c r="X2780" s="174"/>
      <c r="Y2780" s="174"/>
      <c r="Z2780" s="174"/>
    </row>
    <row r="2781">
      <c r="A2781" s="194"/>
      <c r="B2781" s="194"/>
      <c r="C2781" s="194"/>
      <c r="D2781" s="194"/>
      <c r="E2781" s="194"/>
      <c r="F2781" s="194"/>
      <c r="G2781" s="194"/>
      <c r="H2781" s="195"/>
      <c r="I2781" s="195"/>
      <c r="J2781" s="194"/>
      <c r="K2781" s="174"/>
      <c r="L2781" s="174"/>
      <c r="M2781" s="174"/>
      <c r="N2781" s="174"/>
      <c r="O2781" s="174"/>
      <c r="P2781" s="174"/>
      <c r="Q2781" s="174"/>
      <c r="R2781" s="174"/>
      <c r="S2781" s="174"/>
      <c r="T2781" s="174"/>
      <c r="U2781" s="174"/>
      <c r="V2781" s="174"/>
      <c r="W2781" s="174"/>
      <c r="X2781" s="174"/>
      <c r="Y2781" s="174"/>
      <c r="Z2781" s="174"/>
    </row>
    <row r="2782">
      <c r="A2782" s="194"/>
      <c r="B2782" s="194"/>
      <c r="C2782" s="194"/>
      <c r="D2782" s="194"/>
      <c r="E2782" s="194"/>
      <c r="F2782" s="194"/>
      <c r="G2782" s="194"/>
      <c r="H2782" s="195"/>
      <c r="I2782" s="195"/>
      <c r="J2782" s="194"/>
      <c r="K2782" s="174"/>
      <c r="L2782" s="174"/>
      <c r="M2782" s="174"/>
      <c r="N2782" s="174"/>
      <c r="O2782" s="174"/>
      <c r="P2782" s="174"/>
      <c r="Q2782" s="174"/>
      <c r="R2782" s="174"/>
      <c r="S2782" s="174"/>
      <c r="T2782" s="174"/>
      <c r="U2782" s="174"/>
      <c r="V2782" s="174"/>
      <c r="W2782" s="174"/>
      <c r="X2782" s="174"/>
      <c r="Y2782" s="174"/>
      <c r="Z2782" s="174"/>
    </row>
    <row r="2783">
      <c r="A2783" s="194"/>
      <c r="B2783" s="194"/>
      <c r="C2783" s="194"/>
      <c r="D2783" s="194"/>
      <c r="E2783" s="194"/>
      <c r="F2783" s="194"/>
      <c r="G2783" s="194"/>
      <c r="H2783" s="195"/>
      <c r="I2783" s="195"/>
      <c r="J2783" s="194"/>
      <c r="K2783" s="174"/>
      <c r="L2783" s="174"/>
      <c r="M2783" s="174"/>
      <c r="N2783" s="174"/>
      <c r="O2783" s="174"/>
      <c r="P2783" s="174"/>
      <c r="Q2783" s="174"/>
      <c r="R2783" s="174"/>
      <c r="S2783" s="174"/>
      <c r="T2783" s="174"/>
      <c r="U2783" s="174"/>
      <c r="V2783" s="174"/>
      <c r="W2783" s="174"/>
      <c r="X2783" s="174"/>
      <c r="Y2783" s="174"/>
      <c r="Z2783" s="174"/>
    </row>
  </sheetData>
  <conditionalFormatting sqref="A1:Z2783">
    <cfRule type="cellIs" dxfId="35" priority="1" operator="equal">
      <formula>"Bug"</formula>
    </cfRule>
  </conditionalFormatting>
  <conditionalFormatting sqref="A1:Z2783">
    <cfRule type="cellIs" dxfId="15" priority="2" operator="equal">
      <formula>"Dark"</formula>
    </cfRule>
  </conditionalFormatting>
  <conditionalFormatting sqref="A1:Z2783">
    <cfRule type="cellIs" dxfId="16" priority="3" operator="equal">
      <formula>"Dragon"</formula>
    </cfRule>
  </conditionalFormatting>
  <conditionalFormatting sqref="A1:Z2783">
    <cfRule type="cellIs" dxfId="36" priority="4" operator="equal">
      <formula>"Electric"</formula>
    </cfRule>
  </conditionalFormatting>
  <conditionalFormatting sqref="A1:Z2783">
    <cfRule type="cellIs" dxfId="37" priority="5" operator="equal">
      <formula>"Fairy"</formula>
    </cfRule>
  </conditionalFormatting>
  <conditionalFormatting sqref="A1:Z2783">
    <cfRule type="cellIs" dxfId="38" priority="6" operator="equal">
      <formula>"Fighting"</formula>
    </cfRule>
  </conditionalFormatting>
  <conditionalFormatting sqref="A1:Z2783">
    <cfRule type="cellIs" dxfId="20" priority="7" operator="equal">
      <formula>"Fire"</formula>
    </cfRule>
  </conditionalFormatting>
  <conditionalFormatting sqref="A1:Z2783">
    <cfRule type="cellIs" dxfId="39" priority="8" operator="equal">
      <formula>"Flying"</formula>
    </cfRule>
  </conditionalFormatting>
  <conditionalFormatting sqref="A1:Z2783">
    <cfRule type="cellIs" dxfId="40" priority="9" operator="equal">
      <formula>"Ghost"</formula>
    </cfRule>
  </conditionalFormatting>
  <conditionalFormatting sqref="A1:Z2783">
    <cfRule type="cellIs" dxfId="23" priority="10" operator="equal">
      <formula>"Grass"</formula>
    </cfRule>
  </conditionalFormatting>
  <conditionalFormatting sqref="A1:Z2783">
    <cfRule type="cellIs" dxfId="24" priority="11" operator="equal">
      <formula>"Ground"</formula>
    </cfRule>
  </conditionalFormatting>
  <conditionalFormatting sqref="A1:Z2783">
    <cfRule type="cellIs" dxfId="41" priority="12" operator="equal">
      <formula>"Ice"</formula>
    </cfRule>
  </conditionalFormatting>
  <conditionalFormatting sqref="A1:Z2783">
    <cfRule type="cellIs" dxfId="42" priority="13" operator="equal">
      <formula>"Normal"</formula>
    </cfRule>
  </conditionalFormatting>
  <conditionalFormatting sqref="A1:Z2783">
    <cfRule type="cellIs" dxfId="27" priority="14" operator="equal">
      <formula>"Poison"</formula>
    </cfRule>
  </conditionalFormatting>
  <conditionalFormatting sqref="A1:Z2783">
    <cfRule type="cellIs" dxfId="28" priority="15" operator="equal">
      <formula>"Psychic"</formula>
    </cfRule>
  </conditionalFormatting>
  <conditionalFormatting sqref="A1:Z2783">
    <cfRule type="cellIs" dxfId="29" priority="16" operator="equal">
      <formula>"Rock"</formula>
    </cfRule>
  </conditionalFormatting>
  <conditionalFormatting sqref="A1:Z2783">
    <cfRule type="cellIs" dxfId="43" priority="17" operator="equal">
      <formula>"Steel"</formula>
    </cfRule>
  </conditionalFormatting>
  <conditionalFormatting sqref="A1:Z2783">
    <cfRule type="cellIs" dxfId="31" priority="18" operator="equal">
      <formula>"Water"</formula>
    </cfRule>
  </conditionalFormatting>
  <conditionalFormatting sqref="A1:Z2783">
    <cfRule type="cellIs" dxfId="44" priority="19" operator="equal">
      <formula>"Physical"</formula>
    </cfRule>
  </conditionalFormatting>
  <conditionalFormatting sqref="A1:Z2783">
    <cfRule type="cellIs" dxfId="45" priority="20" operator="equal">
      <formula>"Special"</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2.25"/>
    <col customWidth="1" min="5" max="5" width="2.5"/>
    <col customWidth="1" min="9" max="9" width="42.25"/>
    <col customWidth="1" min="10" max="10" width="2.5"/>
    <col customWidth="1" min="13" max="13" width="42.25"/>
  </cols>
  <sheetData>
    <row r="1">
      <c r="A1" s="197" t="s">
        <v>186</v>
      </c>
      <c r="B1" s="198" t="s">
        <v>187</v>
      </c>
      <c r="C1" s="198" t="s">
        <v>78</v>
      </c>
      <c r="D1" s="198" t="s">
        <v>86</v>
      </c>
      <c r="E1" s="199"/>
      <c r="F1" s="200" t="s">
        <v>188</v>
      </c>
      <c r="G1" s="200" t="s">
        <v>189</v>
      </c>
      <c r="H1" s="200" t="s">
        <v>190</v>
      </c>
      <c r="I1" s="200" t="s">
        <v>81</v>
      </c>
      <c r="J1" s="199"/>
      <c r="K1" s="201" t="s">
        <v>191</v>
      </c>
      <c r="L1" s="201" t="s">
        <v>192</v>
      </c>
      <c r="M1" s="201" t="s">
        <v>193</v>
      </c>
    </row>
    <row r="2">
      <c r="A2" s="202" t="str">
        <f>IFERROR(__xludf.DUMMYFUNCTION("IMPORTRANGE('Homebrew Sheet'!$A$6,""'Features/Talents/Mechanics'!$A$2:$M$101"")"),"")</f>
        <v/>
      </c>
      <c r="B2" s="202"/>
      <c r="C2" s="202"/>
      <c r="D2" s="202"/>
      <c r="E2" s="203"/>
      <c r="F2" s="204"/>
      <c r="G2" s="204"/>
      <c r="H2" s="204"/>
      <c r="I2" s="204"/>
      <c r="J2" s="203"/>
      <c r="K2" s="205"/>
      <c r="L2" s="205"/>
      <c r="M2" s="205"/>
    </row>
    <row r="3">
      <c r="A3" s="202"/>
      <c r="B3" s="202"/>
      <c r="C3" s="202"/>
      <c r="D3" s="202"/>
      <c r="E3" s="203"/>
      <c r="F3" s="204"/>
      <c r="G3" s="204"/>
      <c r="H3" s="204"/>
      <c r="I3" s="204"/>
      <c r="J3" s="203"/>
      <c r="K3" s="205"/>
      <c r="L3" s="205"/>
      <c r="M3" s="205"/>
    </row>
    <row r="4">
      <c r="A4" s="202"/>
      <c r="B4" s="202"/>
      <c r="C4" s="202"/>
      <c r="D4" s="202"/>
      <c r="E4" s="203"/>
      <c r="F4" s="204"/>
      <c r="G4" s="204"/>
      <c r="H4" s="204"/>
      <c r="I4" s="204"/>
      <c r="J4" s="203"/>
      <c r="K4" s="205"/>
      <c r="L4" s="205"/>
      <c r="M4" s="205"/>
    </row>
    <row r="5">
      <c r="A5" s="202"/>
      <c r="B5" s="202"/>
      <c r="C5" s="202"/>
      <c r="D5" s="202"/>
      <c r="E5" s="203"/>
      <c r="F5" s="204"/>
      <c r="G5" s="204"/>
      <c r="H5" s="204"/>
      <c r="I5" s="204"/>
      <c r="J5" s="203"/>
      <c r="K5" s="205"/>
      <c r="L5" s="205"/>
      <c r="M5" s="205"/>
    </row>
    <row r="6">
      <c r="A6" s="202"/>
      <c r="B6" s="202"/>
      <c r="C6" s="202"/>
      <c r="D6" s="202"/>
      <c r="E6" s="203"/>
      <c r="F6" s="204"/>
      <c r="G6" s="204"/>
      <c r="H6" s="204"/>
      <c r="I6" s="204"/>
      <c r="J6" s="203"/>
      <c r="K6" s="205"/>
      <c r="L6" s="205"/>
      <c r="M6" s="205"/>
    </row>
    <row r="7">
      <c r="A7" s="202"/>
      <c r="B7" s="202"/>
      <c r="C7" s="202"/>
      <c r="D7" s="202"/>
      <c r="E7" s="203"/>
      <c r="F7" s="204"/>
      <c r="G7" s="204"/>
      <c r="H7" s="204"/>
      <c r="I7" s="204"/>
      <c r="J7" s="203"/>
      <c r="K7" s="205"/>
      <c r="L7" s="205"/>
      <c r="M7" s="205"/>
    </row>
    <row r="8">
      <c r="A8" s="202"/>
      <c r="B8" s="202"/>
      <c r="C8" s="202"/>
      <c r="D8" s="202"/>
      <c r="E8" s="203"/>
      <c r="F8" s="204"/>
      <c r="G8" s="204"/>
      <c r="H8" s="204"/>
      <c r="I8" s="204"/>
      <c r="J8" s="203"/>
      <c r="K8" s="205"/>
      <c r="L8" s="205"/>
      <c r="M8" s="205"/>
    </row>
    <row r="9">
      <c r="A9" s="202"/>
      <c r="B9" s="202"/>
      <c r="C9" s="202"/>
      <c r="D9" s="202"/>
      <c r="E9" s="203"/>
      <c r="F9" s="204"/>
      <c r="G9" s="204"/>
      <c r="H9" s="204"/>
      <c r="I9" s="204"/>
      <c r="J9" s="203"/>
      <c r="K9" s="205"/>
      <c r="L9" s="205"/>
      <c r="M9" s="205"/>
    </row>
    <row r="10">
      <c r="A10" s="202"/>
      <c r="B10" s="202"/>
      <c r="C10" s="202"/>
      <c r="D10" s="202"/>
      <c r="E10" s="203"/>
      <c r="F10" s="204"/>
      <c r="G10" s="204"/>
      <c r="H10" s="204"/>
      <c r="I10" s="204"/>
      <c r="J10" s="203"/>
      <c r="K10" s="205"/>
      <c r="L10" s="205"/>
      <c r="M10" s="205"/>
    </row>
    <row r="11">
      <c r="A11" s="202"/>
      <c r="B11" s="202"/>
      <c r="C11" s="202"/>
      <c r="D11" s="202"/>
      <c r="E11" s="203"/>
      <c r="F11" s="204"/>
      <c r="G11" s="204"/>
      <c r="H11" s="204"/>
      <c r="I11" s="204"/>
      <c r="J11" s="203"/>
      <c r="K11" s="205"/>
      <c r="L11" s="205"/>
      <c r="M11" s="205"/>
    </row>
    <row r="12">
      <c r="A12" s="202"/>
      <c r="B12" s="202"/>
      <c r="C12" s="202"/>
      <c r="D12" s="202"/>
      <c r="E12" s="203"/>
      <c r="F12" s="204"/>
      <c r="G12" s="204"/>
      <c r="H12" s="204"/>
      <c r="I12" s="204"/>
      <c r="J12" s="203"/>
      <c r="K12" s="205"/>
      <c r="L12" s="205"/>
      <c r="M12" s="205"/>
    </row>
    <row r="13">
      <c r="A13" s="202"/>
      <c r="B13" s="202"/>
      <c r="C13" s="202"/>
      <c r="D13" s="202"/>
      <c r="E13" s="203"/>
      <c r="F13" s="204"/>
      <c r="G13" s="204"/>
      <c r="H13" s="204"/>
      <c r="I13" s="204"/>
      <c r="J13" s="203"/>
      <c r="K13" s="205"/>
      <c r="L13" s="205"/>
      <c r="M13" s="205"/>
    </row>
    <row r="14">
      <c r="A14" s="202"/>
      <c r="B14" s="202"/>
      <c r="C14" s="202"/>
      <c r="D14" s="202"/>
      <c r="E14" s="203"/>
      <c r="F14" s="204"/>
      <c r="G14" s="204"/>
      <c r="H14" s="204"/>
      <c r="I14" s="204"/>
      <c r="J14" s="203"/>
      <c r="K14" s="205"/>
      <c r="L14" s="205"/>
      <c r="M14" s="205"/>
    </row>
    <row r="15">
      <c r="A15" s="202"/>
      <c r="B15" s="202"/>
      <c r="C15" s="202"/>
      <c r="D15" s="202"/>
      <c r="E15" s="203"/>
      <c r="F15" s="204"/>
      <c r="G15" s="204"/>
      <c r="H15" s="204"/>
      <c r="I15" s="204"/>
      <c r="J15" s="203"/>
      <c r="K15" s="205"/>
      <c r="L15" s="205"/>
      <c r="M15" s="205"/>
    </row>
    <row r="16">
      <c r="A16" s="202"/>
      <c r="B16" s="202"/>
      <c r="C16" s="202"/>
      <c r="D16" s="202"/>
      <c r="E16" s="203"/>
      <c r="F16" s="204"/>
      <c r="G16" s="204"/>
      <c r="H16" s="204"/>
      <c r="I16" s="204"/>
      <c r="J16" s="203"/>
      <c r="K16" s="205"/>
      <c r="L16" s="205"/>
      <c r="M16" s="205"/>
    </row>
    <row r="17">
      <c r="A17" s="202"/>
      <c r="B17" s="202"/>
      <c r="C17" s="202"/>
      <c r="D17" s="202"/>
      <c r="E17" s="203"/>
      <c r="F17" s="204"/>
      <c r="G17" s="204"/>
      <c r="H17" s="204"/>
      <c r="I17" s="204"/>
      <c r="J17" s="203"/>
      <c r="K17" s="205"/>
      <c r="L17" s="205"/>
      <c r="M17" s="205"/>
    </row>
    <row r="18">
      <c r="A18" s="202"/>
      <c r="B18" s="202"/>
      <c r="C18" s="202"/>
      <c r="D18" s="202"/>
      <c r="E18" s="203"/>
      <c r="F18" s="204"/>
      <c r="G18" s="204"/>
      <c r="H18" s="204"/>
      <c r="I18" s="204"/>
      <c r="J18" s="203"/>
      <c r="K18" s="205"/>
      <c r="L18" s="205"/>
      <c r="M18" s="205"/>
    </row>
    <row r="19">
      <c r="A19" s="202"/>
      <c r="B19" s="202"/>
      <c r="C19" s="202"/>
      <c r="D19" s="202"/>
      <c r="E19" s="203"/>
      <c r="F19" s="204"/>
      <c r="G19" s="204"/>
      <c r="H19" s="204"/>
      <c r="I19" s="204"/>
      <c r="J19" s="203"/>
      <c r="K19" s="205"/>
      <c r="L19" s="205"/>
      <c r="M19" s="205"/>
    </row>
    <row r="20">
      <c r="A20" s="202"/>
      <c r="B20" s="202"/>
      <c r="C20" s="202"/>
      <c r="D20" s="202"/>
      <c r="E20" s="203"/>
      <c r="F20" s="204"/>
      <c r="G20" s="204"/>
      <c r="H20" s="204"/>
      <c r="I20" s="204"/>
      <c r="J20" s="203"/>
      <c r="K20" s="205"/>
      <c r="L20" s="205"/>
      <c r="M20" s="205"/>
    </row>
    <row r="21">
      <c r="A21" s="202"/>
      <c r="B21" s="202"/>
      <c r="C21" s="202"/>
      <c r="D21" s="202"/>
      <c r="E21" s="203"/>
      <c r="F21" s="204"/>
      <c r="G21" s="204"/>
      <c r="H21" s="204"/>
      <c r="I21" s="204"/>
      <c r="J21" s="203"/>
      <c r="K21" s="205"/>
      <c r="L21" s="205"/>
      <c r="M21" s="205"/>
    </row>
    <row r="22">
      <c r="A22" s="202"/>
      <c r="B22" s="202"/>
      <c r="C22" s="202"/>
      <c r="D22" s="202"/>
      <c r="E22" s="203"/>
      <c r="F22" s="204"/>
      <c r="G22" s="204"/>
      <c r="H22" s="204"/>
      <c r="I22" s="204"/>
      <c r="J22" s="203"/>
      <c r="K22" s="205"/>
      <c r="L22" s="205"/>
      <c r="M22" s="205"/>
    </row>
    <row r="23">
      <c r="A23" s="202"/>
      <c r="B23" s="202"/>
      <c r="C23" s="202"/>
      <c r="D23" s="202"/>
      <c r="E23" s="203"/>
      <c r="F23" s="204"/>
      <c r="G23" s="204"/>
      <c r="H23" s="204"/>
      <c r="I23" s="204"/>
      <c r="J23" s="203"/>
      <c r="K23" s="205"/>
      <c r="L23" s="205"/>
      <c r="M23" s="205"/>
    </row>
    <row r="24">
      <c r="A24" s="202"/>
      <c r="B24" s="202"/>
      <c r="C24" s="202"/>
      <c r="D24" s="202"/>
      <c r="E24" s="203"/>
      <c r="F24" s="204"/>
      <c r="G24" s="204"/>
      <c r="H24" s="204"/>
      <c r="I24" s="204"/>
      <c r="J24" s="203"/>
      <c r="K24" s="205"/>
      <c r="L24" s="205"/>
      <c r="M24" s="205"/>
    </row>
    <row r="25">
      <c r="A25" s="202"/>
      <c r="B25" s="202"/>
      <c r="C25" s="202"/>
      <c r="D25" s="202"/>
      <c r="E25" s="203"/>
      <c r="F25" s="204"/>
      <c r="G25" s="204"/>
      <c r="H25" s="204"/>
      <c r="I25" s="204"/>
      <c r="J25" s="203"/>
      <c r="K25" s="205"/>
      <c r="L25" s="205"/>
      <c r="M25" s="205"/>
    </row>
    <row r="26">
      <c r="A26" s="202"/>
      <c r="B26" s="202"/>
      <c r="C26" s="202"/>
      <c r="D26" s="202"/>
      <c r="E26" s="203"/>
      <c r="F26" s="204"/>
      <c r="G26" s="204"/>
      <c r="H26" s="204"/>
      <c r="I26" s="204"/>
      <c r="J26" s="203"/>
      <c r="K26" s="205"/>
      <c r="L26" s="205"/>
      <c r="M26" s="205"/>
    </row>
    <row r="27">
      <c r="A27" s="202"/>
      <c r="B27" s="202"/>
      <c r="C27" s="202"/>
      <c r="D27" s="202"/>
      <c r="E27" s="203"/>
      <c r="F27" s="204"/>
      <c r="G27" s="204"/>
      <c r="H27" s="204"/>
      <c r="I27" s="204"/>
      <c r="J27" s="203"/>
      <c r="K27" s="205"/>
      <c r="L27" s="205"/>
      <c r="M27" s="205"/>
    </row>
    <row r="28">
      <c r="A28" s="202"/>
      <c r="B28" s="202"/>
      <c r="C28" s="202"/>
      <c r="D28" s="202"/>
      <c r="E28" s="203"/>
      <c r="F28" s="204"/>
      <c r="G28" s="204"/>
      <c r="H28" s="204"/>
      <c r="I28" s="204"/>
      <c r="J28" s="203"/>
      <c r="K28" s="205"/>
      <c r="L28" s="205"/>
      <c r="M28" s="205"/>
    </row>
    <row r="29">
      <c r="A29" s="202"/>
      <c r="B29" s="202"/>
      <c r="C29" s="202"/>
      <c r="D29" s="202"/>
      <c r="E29" s="203"/>
      <c r="F29" s="204"/>
      <c r="G29" s="204"/>
      <c r="H29" s="204"/>
      <c r="I29" s="204"/>
      <c r="J29" s="203"/>
      <c r="K29" s="205"/>
      <c r="L29" s="205"/>
      <c r="M29" s="205"/>
    </row>
    <row r="30">
      <c r="A30" s="202"/>
      <c r="B30" s="202"/>
      <c r="C30" s="202"/>
      <c r="D30" s="202"/>
      <c r="E30" s="203"/>
      <c r="F30" s="204"/>
      <c r="G30" s="204"/>
      <c r="H30" s="204"/>
      <c r="I30" s="204"/>
      <c r="J30" s="203"/>
      <c r="K30" s="205"/>
      <c r="L30" s="205"/>
      <c r="M30" s="205"/>
    </row>
    <row r="31">
      <c r="A31" s="202"/>
      <c r="B31" s="202"/>
      <c r="C31" s="202"/>
      <c r="D31" s="202"/>
      <c r="E31" s="203"/>
      <c r="F31" s="204"/>
      <c r="G31" s="204"/>
      <c r="H31" s="204"/>
      <c r="I31" s="204"/>
      <c r="J31" s="203"/>
      <c r="K31" s="205"/>
      <c r="L31" s="205"/>
      <c r="M31" s="205"/>
    </row>
    <row r="32">
      <c r="A32" s="202"/>
      <c r="B32" s="202"/>
      <c r="C32" s="202"/>
      <c r="D32" s="202"/>
      <c r="E32" s="203"/>
      <c r="F32" s="204"/>
      <c r="G32" s="204"/>
      <c r="H32" s="204"/>
      <c r="I32" s="204"/>
      <c r="J32" s="203"/>
      <c r="K32" s="205"/>
      <c r="L32" s="205"/>
      <c r="M32" s="205"/>
    </row>
    <row r="33">
      <c r="A33" s="202"/>
      <c r="B33" s="202"/>
      <c r="C33" s="202"/>
      <c r="D33" s="202"/>
      <c r="E33" s="203"/>
      <c r="F33" s="204"/>
      <c r="G33" s="204"/>
      <c r="H33" s="204"/>
      <c r="I33" s="204"/>
      <c r="J33" s="203"/>
      <c r="K33" s="205"/>
      <c r="L33" s="205"/>
      <c r="M33" s="205"/>
    </row>
    <row r="34">
      <c r="A34" s="202"/>
      <c r="B34" s="202"/>
      <c r="C34" s="202"/>
      <c r="D34" s="202"/>
      <c r="E34" s="203"/>
      <c r="F34" s="204"/>
      <c r="G34" s="204"/>
      <c r="H34" s="204"/>
      <c r="I34" s="204"/>
      <c r="J34" s="203"/>
      <c r="K34" s="205"/>
      <c r="L34" s="205"/>
      <c r="M34" s="205"/>
    </row>
    <row r="35">
      <c r="A35" s="202"/>
      <c r="B35" s="202"/>
      <c r="C35" s="202"/>
      <c r="D35" s="202"/>
      <c r="E35" s="203"/>
      <c r="F35" s="204"/>
      <c r="G35" s="204"/>
      <c r="H35" s="204"/>
      <c r="I35" s="204"/>
      <c r="J35" s="203"/>
      <c r="K35" s="205"/>
      <c r="L35" s="205"/>
      <c r="M35" s="205"/>
    </row>
    <row r="36">
      <c r="A36" s="202"/>
      <c r="B36" s="202"/>
      <c r="C36" s="202"/>
      <c r="D36" s="202"/>
      <c r="E36" s="203"/>
      <c r="F36" s="204"/>
      <c r="G36" s="204"/>
      <c r="H36" s="204"/>
      <c r="I36" s="204"/>
      <c r="J36" s="203"/>
      <c r="K36" s="205"/>
      <c r="L36" s="205"/>
      <c r="M36" s="205"/>
    </row>
    <row r="37">
      <c r="A37" s="202"/>
      <c r="B37" s="202"/>
      <c r="C37" s="202"/>
      <c r="D37" s="202"/>
      <c r="E37" s="203"/>
      <c r="F37" s="204"/>
      <c r="G37" s="204"/>
      <c r="H37" s="204"/>
      <c r="I37" s="204"/>
      <c r="J37" s="203"/>
      <c r="K37" s="205"/>
      <c r="L37" s="205"/>
      <c r="M37" s="205"/>
    </row>
    <row r="38">
      <c r="A38" s="202"/>
      <c r="B38" s="202"/>
      <c r="C38" s="202"/>
      <c r="D38" s="202"/>
      <c r="E38" s="203"/>
      <c r="F38" s="204"/>
      <c r="G38" s="204"/>
      <c r="H38" s="204"/>
      <c r="I38" s="204"/>
      <c r="J38" s="203"/>
      <c r="K38" s="205"/>
      <c r="L38" s="205"/>
      <c r="M38" s="205"/>
    </row>
    <row r="39">
      <c r="A39" s="202"/>
      <c r="B39" s="202"/>
      <c r="C39" s="202"/>
      <c r="D39" s="202"/>
      <c r="E39" s="203"/>
      <c r="F39" s="204"/>
      <c r="G39" s="204"/>
      <c r="H39" s="204"/>
      <c r="I39" s="204"/>
      <c r="J39" s="203"/>
      <c r="K39" s="205"/>
      <c r="L39" s="205"/>
      <c r="M39" s="205"/>
    </row>
    <row r="40">
      <c r="A40" s="202"/>
      <c r="B40" s="202"/>
      <c r="C40" s="202"/>
      <c r="D40" s="202"/>
      <c r="E40" s="203"/>
      <c r="F40" s="204"/>
      <c r="G40" s="204"/>
      <c r="H40" s="204"/>
      <c r="I40" s="204"/>
      <c r="J40" s="203"/>
      <c r="K40" s="205"/>
      <c r="L40" s="205"/>
      <c r="M40" s="205"/>
    </row>
    <row r="41">
      <c r="A41" s="202"/>
      <c r="B41" s="202"/>
      <c r="C41" s="202"/>
      <c r="D41" s="202"/>
      <c r="E41" s="203"/>
      <c r="F41" s="204"/>
      <c r="G41" s="204"/>
      <c r="H41" s="204"/>
      <c r="I41" s="204"/>
      <c r="J41" s="203"/>
      <c r="K41" s="205"/>
      <c r="L41" s="205"/>
      <c r="M41" s="205"/>
    </row>
    <row r="42">
      <c r="A42" s="202"/>
      <c r="B42" s="202"/>
      <c r="C42" s="202"/>
      <c r="D42" s="202"/>
      <c r="E42" s="203"/>
      <c r="F42" s="204"/>
      <c r="G42" s="204"/>
      <c r="H42" s="204"/>
      <c r="I42" s="204"/>
      <c r="J42" s="203"/>
      <c r="K42" s="205"/>
      <c r="L42" s="205"/>
      <c r="M42" s="205"/>
    </row>
    <row r="43">
      <c r="A43" s="202"/>
      <c r="B43" s="202"/>
      <c r="C43" s="202"/>
      <c r="D43" s="202"/>
      <c r="E43" s="203"/>
      <c r="F43" s="204"/>
      <c r="G43" s="204"/>
      <c r="H43" s="204"/>
      <c r="I43" s="204"/>
      <c r="J43" s="203"/>
      <c r="K43" s="205"/>
      <c r="L43" s="205"/>
      <c r="M43" s="205"/>
    </row>
    <row r="44">
      <c r="A44" s="202"/>
      <c r="B44" s="202"/>
      <c r="C44" s="202"/>
      <c r="D44" s="202"/>
      <c r="E44" s="203"/>
      <c r="F44" s="204"/>
      <c r="G44" s="204"/>
      <c r="H44" s="204"/>
      <c r="I44" s="204"/>
      <c r="J44" s="203"/>
      <c r="K44" s="205"/>
      <c r="L44" s="205"/>
      <c r="M44" s="205"/>
    </row>
    <row r="45">
      <c r="A45" s="202"/>
      <c r="B45" s="202"/>
      <c r="C45" s="202"/>
      <c r="D45" s="202"/>
      <c r="E45" s="203"/>
      <c r="F45" s="204"/>
      <c r="G45" s="204"/>
      <c r="H45" s="204"/>
      <c r="I45" s="204"/>
      <c r="J45" s="203"/>
      <c r="K45" s="205"/>
      <c r="L45" s="205"/>
      <c r="M45" s="205"/>
    </row>
    <row r="46">
      <c r="A46" s="202"/>
      <c r="B46" s="202"/>
      <c r="C46" s="202"/>
      <c r="D46" s="202"/>
      <c r="E46" s="203"/>
      <c r="F46" s="204"/>
      <c r="G46" s="204"/>
      <c r="H46" s="204"/>
      <c r="I46" s="204"/>
      <c r="J46" s="203"/>
      <c r="K46" s="205"/>
      <c r="L46" s="205"/>
      <c r="M46" s="205"/>
    </row>
    <row r="47">
      <c r="A47" s="202"/>
      <c r="B47" s="202"/>
      <c r="C47" s="202"/>
      <c r="D47" s="202"/>
      <c r="E47" s="203"/>
      <c r="F47" s="204"/>
      <c r="G47" s="204"/>
      <c r="H47" s="204"/>
      <c r="I47" s="204"/>
      <c r="J47" s="203"/>
      <c r="K47" s="205"/>
      <c r="L47" s="205"/>
      <c r="M47" s="205"/>
    </row>
    <row r="48">
      <c r="A48" s="202"/>
      <c r="B48" s="202"/>
      <c r="C48" s="202"/>
      <c r="D48" s="202"/>
      <c r="E48" s="203"/>
      <c r="F48" s="204"/>
      <c r="G48" s="204"/>
      <c r="H48" s="204"/>
      <c r="I48" s="204"/>
      <c r="J48" s="203"/>
      <c r="K48" s="205"/>
      <c r="L48" s="205"/>
      <c r="M48" s="205"/>
    </row>
    <row r="49">
      <c r="A49" s="202"/>
      <c r="B49" s="202"/>
      <c r="C49" s="202"/>
      <c r="D49" s="202"/>
      <c r="E49" s="203"/>
      <c r="F49" s="204"/>
      <c r="G49" s="204"/>
      <c r="H49" s="204"/>
      <c r="I49" s="204"/>
      <c r="J49" s="203"/>
      <c r="K49" s="205"/>
      <c r="L49" s="205"/>
      <c r="M49" s="205"/>
    </row>
    <row r="50">
      <c r="A50" s="202"/>
      <c r="B50" s="202"/>
      <c r="C50" s="202"/>
      <c r="D50" s="202"/>
      <c r="E50" s="203"/>
      <c r="F50" s="204"/>
      <c r="G50" s="204"/>
      <c r="H50" s="204"/>
      <c r="I50" s="204"/>
      <c r="J50" s="203"/>
      <c r="K50" s="205"/>
      <c r="L50" s="205"/>
      <c r="M50" s="205"/>
    </row>
    <row r="51">
      <c r="A51" s="202"/>
      <c r="B51" s="202"/>
      <c r="C51" s="202"/>
      <c r="D51" s="202"/>
      <c r="E51" s="203"/>
      <c r="F51" s="204"/>
      <c r="G51" s="204"/>
      <c r="H51" s="204"/>
      <c r="I51" s="204"/>
      <c r="J51" s="203"/>
      <c r="K51" s="205"/>
      <c r="L51" s="205"/>
      <c r="M51" s="205"/>
    </row>
    <row r="52">
      <c r="A52" s="202"/>
      <c r="B52" s="202"/>
      <c r="C52" s="202"/>
      <c r="D52" s="202"/>
      <c r="E52" s="203"/>
      <c r="F52" s="204"/>
      <c r="G52" s="204"/>
      <c r="H52" s="204"/>
      <c r="I52" s="204"/>
      <c r="J52" s="203"/>
      <c r="K52" s="205"/>
      <c r="L52" s="205"/>
      <c r="M52" s="205"/>
    </row>
    <row r="53">
      <c r="A53" s="202"/>
      <c r="B53" s="202"/>
      <c r="C53" s="202"/>
      <c r="D53" s="202"/>
      <c r="E53" s="203"/>
      <c r="F53" s="204"/>
      <c r="G53" s="204"/>
      <c r="H53" s="204"/>
      <c r="I53" s="204"/>
      <c r="J53" s="203"/>
      <c r="K53" s="205"/>
      <c r="L53" s="205"/>
      <c r="M53" s="205"/>
    </row>
    <row r="54">
      <c r="A54" s="202"/>
      <c r="B54" s="202"/>
      <c r="C54" s="202"/>
      <c r="D54" s="202"/>
      <c r="E54" s="203"/>
      <c r="F54" s="204"/>
      <c r="G54" s="204"/>
      <c r="H54" s="204"/>
      <c r="I54" s="204"/>
      <c r="J54" s="203"/>
      <c r="K54" s="205"/>
      <c r="L54" s="205"/>
      <c r="M54" s="205"/>
    </row>
    <row r="55">
      <c r="A55" s="202"/>
      <c r="B55" s="202"/>
      <c r="C55" s="202"/>
      <c r="D55" s="202"/>
      <c r="E55" s="203"/>
      <c r="F55" s="204"/>
      <c r="G55" s="204"/>
      <c r="H55" s="204"/>
      <c r="I55" s="204"/>
      <c r="J55" s="203"/>
      <c r="K55" s="205"/>
      <c r="L55" s="205"/>
      <c r="M55" s="205"/>
    </row>
    <row r="56">
      <c r="A56" s="202"/>
      <c r="B56" s="202"/>
      <c r="C56" s="202"/>
      <c r="D56" s="202"/>
      <c r="E56" s="203"/>
      <c r="F56" s="204"/>
      <c r="G56" s="204"/>
      <c r="H56" s="204"/>
      <c r="I56" s="204"/>
      <c r="J56" s="203"/>
      <c r="K56" s="205"/>
      <c r="L56" s="205"/>
      <c r="M56" s="205"/>
    </row>
    <row r="57">
      <c r="A57" s="202"/>
      <c r="B57" s="202"/>
      <c r="C57" s="202"/>
      <c r="D57" s="202"/>
      <c r="E57" s="203"/>
      <c r="F57" s="204"/>
      <c r="G57" s="204"/>
      <c r="H57" s="204"/>
      <c r="I57" s="204"/>
      <c r="J57" s="203"/>
      <c r="K57" s="205"/>
      <c r="L57" s="205"/>
      <c r="M57" s="205"/>
    </row>
    <row r="58">
      <c r="A58" s="202"/>
      <c r="B58" s="202"/>
      <c r="C58" s="202"/>
      <c r="D58" s="202"/>
      <c r="E58" s="203"/>
      <c r="F58" s="204"/>
      <c r="G58" s="204"/>
      <c r="H58" s="204"/>
      <c r="I58" s="204"/>
      <c r="J58" s="203"/>
      <c r="K58" s="205"/>
      <c r="L58" s="205"/>
      <c r="M58" s="205"/>
    </row>
    <row r="59">
      <c r="A59" s="202"/>
      <c r="B59" s="202"/>
      <c r="C59" s="202"/>
      <c r="D59" s="202"/>
      <c r="E59" s="203"/>
      <c r="F59" s="204"/>
      <c r="G59" s="204"/>
      <c r="H59" s="204"/>
      <c r="I59" s="204"/>
      <c r="J59" s="203"/>
      <c r="K59" s="205"/>
      <c r="L59" s="205"/>
      <c r="M59" s="205"/>
    </row>
    <row r="60">
      <c r="A60" s="202"/>
      <c r="B60" s="202"/>
      <c r="C60" s="202"/>
      <c r="D60" s="202"/>
      <c r="E60" s="203"/>
      <c r="F60" s="204"/>
      <c r="G60" s="204"/>
      <c r="H60" s="204"/>
      <c r="I60" s="204"/>
      <c r="J60" s="203"/>
      <c r="K60" s="205"/>
      <c r="L60" s="205"/>
      <c r="M60" s="205"/>
    </row>
    <row r="61">
      <c r="A61" s="202"/>
      <c r="B61" s="202"/>
      <c r="C61" s="202"/>
      <c r="D61" s="202"/>
      <c r="E61" s="203"/>
      <c r="F61" s="204"/>
      <c r="G61" s="204"/>
      <c r="H61" s="204"/>
      <c r="I61" s="204"/>
      <c r="J61" s="203"/>
      <c r="K61" s="205"/>
      <c r="L61" s="205"/>
      <c r="M61" s="205"/>
    </row>
    <row r="62">
      <c r="A62" s="202"/>
      <c r="B62" s="202"/>
      <c r="C62" s="202"/>
      <c r="D62" s="202"/>
      <c r="E62" s="203"/>
      <c r="F62" s="204"/>
      <c r="G62" s="204"/>
      <c r="H62" s="204"/>
      <c r="I62" s="204"/>
      <c r="J62" s="203"/>
      <c r="K62" s="205"/>
      <c r="L62" s="205"/>
      <c r="M62" s="205"/>
    </row>
    <row r="63">
      <c r="A63" s="202"/>
      <c r="B63" s="202"/>
      <c r="C63" s="202"/>
      <c r="D63" s="202"/>
      <c r="E63" s="203"/>
      <c r="F63" s="204"/>
      <c r="G63" s="204"/>
      <c r="H63" s="204"/>
      <c r="I63" s="204"/>
      <c r="J63" s="203"/>
      <c r="K63" s="205"/>
      <c r="L63" s="205"/>
      <c r="M63" s="205"/>
    </row>
    <row r="64">
      <c r="A64" s="202"/>
      <c r="B64" s="202"/>
      <c r="C64" s="202"/>
      <c r="D64" s="202"/>
      <c r="E64" s="203"/>
      <c r="F64" s="204"/>
      <c r="G64" s="204"/>
      <c r="H64" s="204"/>
      <c r="I64" s="204"/>
      <c r="J64" s="203"/>
      <c r="K64" s="205"/>
      <c r="L64" s="205"/>
      <c r="M64" s="205"/>
    </row>
    <row r="65">
      <c r="A65" s="202"/>
      <c r="B65" s="202"/>
      <c r="C65" s="202"/>
      <c r="D65" s="202"/>
      <c r="E65" s="203"/>
      <c r="F65" s="204"/>
      <c r="G65" s="204"/>
      <c r="H65" s="204"/>
      <c r="I65" s="204"/>
      <c r="J65" s="203"/>
      <c r="K65" s="205"/>
      <c r="L65" s="205"/>
      <c r="M65" s="205"/>
    </row>
    <row r="66">
      <c r="A66" s="202"/>
      <c r="B66" s="202"/>
      <c r="C66" s="202"/>
      <c r="D66" s="202"/>
      <c r="E66" s="203"/>
      <c r="F66" s="204"/>
      <c r="G66" s="204"/>
      <c r="H66" s="204"/>
      <c r="I66" s="204"/>
      <c r="J66" s="203"/>
      <c r="K66" s="205"/>
      <c r="L66" s="205"/>
      <c r="M66" s="205"/>
    </row>
    <row r="67">
      <c r="A67" s="202"/>
      <c r="B67" s="202"/>
      <c r="C67" s="202"/>
      <c r="D67" s="202"/>
      <c r="E67" s="203"/>
      <c r="F67" s="204"/>
      <c r="G67" s="204"/>
      <c r="H67" s="204"/>
      <c r="I67" s="204"/>
      <c r="J67" s="203"/>
      <c r="K67" s="205"/>
      <c r="L67" s="205"/>
      <c r="M67" s="205"/>
    </row>
    <row r="68">
      <c r="A68" s="202"/>
      <c r="B68" s="202"/>
      <c r="C68" s="202"/>
      <c r="D68" s="202"/>
      <c r="E68" s="203"/>
      <c r="F68" s="204"/>
      <c r="G68" s="204"/>
      <c r="H68" s="204"/>
      <c r="I68" s="204"/>
      <c r="J68" s="203"/>
      <c r="K68" s="205"/>
      <c r="L68" s="205"/>
      <c r="M68" s="205"/>
    </row>
    <row r="69">
      <c r="A69" s="202"/>
      <c r="B69" s="202"/>
      <c r="C69" s="202"/>
      <c r="D69" s="202"/>
      <c r="E69" s="203"/>
      <c r="F69" s="204"/>
      <c r="G69" s="204"/>
      <c r="H69" s="204"/>
      <c r="I69" s="204"/>
      <c r="J69" s="203"/>
      <c r="K69" s="205"/>
      <c r="L69" s="205"/>
      <c r="M69" s="205"/>
    </row>
    <row r="70">
      <c r="A70" s="202"/>
      <c r="B70" s="202"/>
      <c r="C70" s="202"/>
      <c r="D70" s="202"/>
      <c r="E70" s="203"/>
      <c r="F70" s="204"/>
      <c r="G70" s="204"/>
      <c r="H70" s="204"/>
      <c r="I70" s="204"/>
      <c r="J70" s="203"/>
      <c r="K70" s="205"/>
      <c r="L70" s="205"/>
      <c r="M70" s="205"/>
    </row>
    <row r="71">
      <c r="A71" s="202"/>
      <c r="B71" s="202"/>
      <c r="C71" s="202"/>
      <c r="D71" s="202"/>
      <c r="E71" s="203"/>
      <c r="F71" s="204"/>
      <c r="G71" s="204"/>
      <c r="H71" s="204"/>
      <c r="I71" s="204"/>
      <c r="J71" s="203"/>
      <c r="K71" s="205"/>
      <c r="L71" s="205"/>
      <c r="M71" s="205"/>
    </row>
    <row r="72">
      <c r="A72" s="202"/>
      <c r="B72" s="202"/>
      <c r="C72" s="202"/>
      <c r="D72" s="202"/>
      <c r="E72" s="203"/>
      <c r="F72" s="204"/>
      <c r="G72" s="204"/>
      <c r="H72" s="204"/>
      <c r="I72" s="204"/>
      <c r="J72" s="203"/>
      <c r="K72" s="205"/>
      <c r="L72" s="205"/>
      <c r="M72" s="205"/>
    </row>
    <row r="73">
      <c r="A73" s="202"/>
      <c r="B73" s="202"/>
      <c r="C73" s="202"/>
      <c r="D73" s="202"/>
      <c r="E73" s="203"/>
      <c r="F73" s="204"/>
      <c r="G73" s="204"/>
      <c r="H73" s="204"/>
      <c r="I73" s="204"/>
      <c r="J73" s="203"/>
      <c r="K73" s="205"/>
      <c r="L73" s="205"/>
      <c r="M73" s="205"/>
    </row>
    <row r="74">
      <c r="A74" s="202"/>
      <c r="B74" s="202"/>
      <c r="C74" s="202"/>
      <c r="D74" s="202"/>
      <c r="E74" s="203"/>
      <c r="F74" s="204"/>
      <c r="G74" s="204"/>
      <c r="H74" s="204"/>
      <c r="I74" s="204"/>
      <c r="J74" s="203"/>
      <c r="K74" s="205"/>
      <c r="L74" s="205"/>
      <c r="M74" s="205"/>
    </row>
    <row r="75">
      <c r="A75" s="202"/>
      <c r="B75" s="202"/>
      <c r="C75" s="202"/>
      <c r="D75" s="202"/>
      <c r="E75" s="203"/>
      <c r="F75" s="204"/>
      <c r="G75" s="204"/>
      <c r="H75" s="204"/>
      <c r="I75" s="204"/>
      <c r="J75" s="203"/>
      <c r="K75" s="205"/>
      <c r="L75" s="205"/>
      <c r="M75" s="205"/>
    </row>
    <row r="76">
      <c r="A76" s="202"/>
      <c r="B76" s="202"/>
      <c r="C76" s="202"/>
      <c r="D76" s="202"/>
      <c r="E76" s="203"/>
      <c r="F76" s="204"/>
      <c r="G76" s="204"/>
      <c r="H76" s="204"/>
      <c r="I76" s="204"/>
      <c r="J76" s="203"/>
      <c r="K76" s="205"/>
      <c r="L76" s="205"/>
      <c r="M76" s="205"/>
    </row>
    <row r="77">
      <c r="A77" s="202"/>
      <c r="B77" s="202"/>
      <c r="C77" s="202"/>
      <c r="D77" s="202"/>
      <c r="E77" s="203"/>
      <c r="F77" s="204"/>
      <c r="G77" s="204"/>
      <c r="H77" s="204"/>
      <c r="I77" s="204"/>
      <c r="J77" s="203"/>
      <c r="K77" s="205"/>
      <c r="L77" s="205"/>
      <c r="M77" s="205"/>
    </row>
    <row r="78">
      <c r="A78" s="202"/>
      <c r="B78" s="202"/>
      <c r="C78" s="202"/>
      <c r="D78" s="202"/>
      <c r="E78" s="203"/>
      <c r="F78" s="204"/>
      <c r="G78" s="204"/>
      <c r="H78" s="204"/>
      <c r="I78" s="204"/>
      <c r="J78" s="203"/>
      <c r="K78" s="205"/>
      <c r="L78" s="205"/>
      <c r="M78" s="205"/>
    </row>
    <row r="79">
      <c r="A79" s="202"/>
      <c r="B79" s="202"/>
      <c r="C79" s="202"/>
      <c r="D79" s="202"/>
      <c r="E79" s="203"/>
      <c r="F79" s="204"/>
      <c r="G79" s="204"/>
      <c r="H79" s="204"/>
      <c r="I79" s="204"/>
      <c r="J79" s="203"/>
      <c r="K79" s="205"/>
      <c r="L79" s="205"/>
      <c r="M79" s="205"/>
    </row>
    <row r="80">
      <c r="A80" s="202"/>
      <c r="B80" s="202"/>
      <c r="C80" s="202"/>
      <c r="D80" s="202"/>
      <c r="E80" s="203"/>
      <c r="F80" s="204"/>
      <c r="G80" s="204"/>
      <c r="H80" s="204"/>
      <c r="I80" s="204"/>
      <c r="J80" s="203"/>
      <c r="K80" s="205"/>
      <c r="L80" s="205"/>
      <c r="M80" s="205"/>
    </row>
    <row r="81">
      <c r="A81" s="202"/>
      <c r="B81" s="202"/>
      <c r="C81" s="202"/>
      <c r="D81" s="202"/>
      <c r="E81" s="203"/>
      <c r="F81" s="204"/>
      <c r="G81" s="204"/>
      <c r="H81" s="204"/>
      <c r="I81" s="204"/>
      <c r="J81" s="203"/>
      <c r="K81" s="205"/>
      <c r="L81" s="205"/>
      <c r="M81" s="205"/>
    </row>
    <row r="82">
      <c r="A82" s="202"/>
      <c r="B82" s="202"/>
      <c r="C82" s="202"/>
      <c r="D82" s="202"/>
      <c r="E82" s="203"/>
      <c r="F82" s="204"/>
      <c r="G82" s="204"/>
      <c r="H82" s="204"/>
      <c r="I82" s="204"/>
      <c r="J82" s="203"/>
      <c r="K82" s="205"/>
      <c r="L82" s="205"/>
      <c r="M82" s="205"/>
    </row>
    <row r="83">
      <c r="A83" s="202"/>
      <c r="B83" s="202"/>
      <c r="C83" s="202"/>
      <c r="D83" s="202"/>
      <c r="E83" s="203"/>
      <c r="F83" s="204"/>
      <c r="G83" s="204"/>
      <c r="H83" s="204"/>
      <c r="I83" s="204"/>
      <c r="J83" s="203"/>
      <c r="K83" s="205"/>
      <c r="L83" s="205"/>
      <c r="M83" s="205"/>
    </row>
    <row r="84">
      <c r="A84" s="202"/>
      <c r="B84" s="202"/>
      <c r="C84" s="202"/>
      <c r="D84" s="202"/>
      <c r="E84" s="203"/>
      <c r="F84" s="204"/>
      <c r="G84" s="204"/>
      <c r="H84" s="204"/>
      <c r="I84" s="204"/>
      <c r="J84" s="203"/>
      <c r="K84" s="205"/>
      <c r="L84" s="205"/>
      <c r="M84" s="205"/>
    </row>
    <row r="85">
      <c r="A85" s="202"/>
      <c r="B85" s="202"/>
      <c r="C85" s="202"/>
      <c r="D85" s="202"/>
      <c r="E85" s="203"/>
      <c r="F85" s="204"/>
      <c r="G85" s="204"/>
      <c r="H85" s="204"/>
      <c r="I85" s="204"/>
      <c r="J85" s="203"/>
      <c r="K85" s="205"/>
      <c r="L85" s="205"/>
      <c r="M85" s="205"/>
    </row>
    <row r="86">
      <c r="A86" s="202"/>
      <c r="B86" s="202"/>
      <c r="C86" s="202"/>
      <c r="D86" s="202"/>
      <c r="E86" s="203"/>
      <c r="F86" s="204"/>
      <c r="G86" s="204"/>
      <c r="H86" s="204"/>
      <c r="I86" s="204"/>
      <c r="J86" s="203"/>
      <c r="K86" s="205"/>
      <c r="L86" s="205"/>
      <c r="M86" s="205"/>
    </row>
    <row r="87">
      <c r="A87" s="202"/>
      <c r="B87" s="202"/>
      <c r="C87" s="202"/>
      <c r="D87" s="202"/>
      <c r="E87" s="203"/>
      <c r="F87" s="204"/>
      <c r="G87" s="204"/>
      <c r="H87" s="204"/>
      <c r="I87" s="204"/>
      <c r="J87" s="203"/>
      <c r="K87" s="205"/>
      <c r="L87" s="205"/>
      <c r="M87" s="205"/>
    </row>
    <row r="88">
      <c r="A88" s="202"/>
      <c r="B88" s="202"/>
      <c r="C88" s="202"/>
      <c r="D88" s="202"/>
      <c r="E88" s="203"/>
      <c r="F88" s="204"/>
      <c r="G88" s="204"/>
      <c r="H88" s="204"/>
      <c r="I88" s="204"/>
      <c r="J88" s="203"/>
      <c r="K88" s="205"/>
      <c r="L88" s="205"/>
      <c r="M88" s="205"/>
    </row>
    <row r="89">
      <c r="A89" s="202"/>
      <c r="B89" s="202"/>
      <c r="C89" s="202"/>
      <c r="D89" s="202"/>
      <c r="E89" s="203"/>
      <c r="F89" s="204"/>
      <c r="G89" s="204"/>
      <c r="H89" s="204"/>
      <c r="I89" s="204"/>
      <c r="J89" s="203"/>
      <c r="K89" s="205"/>
      <c r="L89" s="205"/>
      <c r="M89" s="205"/>
    </row>
    <row r="90">
      <c r="A90" s="202"/>
      <c r="B90" s="202"/>
      <c r="C90" s="202"/>
      <c r="D90" s="202"/>
      <c r="E90" s="203"/>
      <c r="F90" s="204"/>
      <c r="G90" s="204"/>
      <c r="H90" s="204"/>
      <c r="I90" s="204"/>
      <c r="J90" s="203"/>
      <c r="K90" s="205"/>
      <c r="L90" s="205"/>
      <c r="M90" s="205"/>
    </row>
    <row r="91">
      <c r="A91" s="202"/>
      <c r="B91" s="202"/>
      <c r="C91" s="202"/>
      <c r="D91" s="202"/>
      <c r="E91" s="203"/>
      <c r="F91" s="204"/>
      <c r="G91" s="204"/>
      <c r="H91" s="204"/>
      <c r="I91" s="204"/>
      <c r="J91" s="203"/>
      <c r="K91" s="205"/>
      <c r="L91" s="205"/>
      <c r="M91" s="205"/>
    </row>
    <row r="92">
      <c r="A92" s="202"/>
      <c r="B92" s="202"/>
      <c r="C92" s="202"/>
      <c r="D92" s="202"/>
      <c r="E92" s="203"/>
      <c r="F92" s="204"/>
      <c r="G92" s="204"/>
      <c r="H92" s="204"/>
      <c r="I92" s="204"/>
      <c r="J92" s="203"/>
      <c r="K92" s="205"/>
      <c r="L92" s="205"/>
      <c r="M92" s="205"/>
    </row>
    <row r="93">
      <c r="A93" s="202"/>
      <c r="B93" s="202"/>
      <c r="C93" s="202"/>
      <c r="D93" s="202"/>
      <c r="E93" s="203"/>
      <c r="F93" s="204"/>
      <c r="G93" s="204"/>
      <c r="H93" s="204"/>
      <c r="I93" s="204"/>
      <c r="J93" s="203"/>
      <c r="K93" s="205"/>
      <c r="L93" s="205"/>
      <c r="M93" s="205"/>
    </row>
    <row r="94">
      <c r="A94" s="202"/>
      <c r="B94" s="202"/>
      <c r="C94" s="202"/>
      <c r="D94" s="202"/>
      <c r="E94" s="203"/>
      <c r="F94" s="204"/>
      <c r="G94" s="204"/>
      <c r="H94" s="204"/>
      <c r="I94" s="204"/>
      <c r="J94" s="203"/>
      <c r="K94" s="205"/>
      <c r="L94" s="205"/>
      <c r="M94" s="205"/>
    </row>
    <row r="95">
      <c r="A95" s="202"/>
      <c r="B95" s="202"/>
      <c r="C95" s="202"/>
      <c r="D95" s="202"/>
      <c r="E95" s="203"/>
      <c r="F95" s="204"/>
      <c r="G95" s="204"/>
      <c r="H95" s="204"/>
      <c r="I95" s="204"/>
      <c r="J95" s="203"/>
      <c r="K95" s="205"/>
      <c r="L95" s="205"/>
      <c r="M95" s="205"/>
    </row>
    <row r="96">
      <c r="A96" s="202"/>
      <c r="B96" s="202"/>
      <c r="C96" s="202"/>
      <c r="D96" s="202"/>
      <c r="E96" s="203"/>
      <c r="F96" s="204"/>
      <c r="G96" s="204"/>
      <c r="H96" s="204"/>
      <c r="I96" s="204"/>
      <c r="J96" s="203"/>
      <c r="K96" s="205"/>
      <c r="L96" s="205"/>
      <c r="M96" s="205"/>
    </row>
    <row r="97">
      <c r="A97" s="202"/>
      <c r="B97" s="202"/>
      <c r="C97" s="202"/>
      <c r="D97" s="202"/>
      <c r="E97" s="203"/>
      <c r="F97" s="204"/>
      <c r="G97" s="204"/>
      <c r="H97" s="204"/>
      <c r="I97" s="204"/>
      <c r="J97" s="203"/>
      <c r="K97" s="205"/>
      <c r="L97" s="205"/>
      <c r="M97" s="205"/>
    </row>
    <row r="98">
      <c r="A98" s="202"/>
      <c r="B98" s="202"/>
      <c r="C98" s="202"/>
      <c r="D98" s="202"/>
      <c r="E98" s="203"/>
      <c r="F98" s="204"/>
      <c r="G98" s="204"/>
      <c r="H98" s="204"/>
      <c r="I98" s="204"/>
      <c r="J98" s="203"/>
      <c r="K98" s="205"/>
      <c r="L98" s="205"/>
      <c r="M98" s="205"/>
    </row>
    <row r="99">
      <c r="A99" s="202"/>
      <c r="B99" s="202"/>
      <c r="C99" s="202"/>
      <c r="D99" s="202"/>
      <c r="E99" s="203"/>
      <c r="F99" s="204"/>
      <c r="G99" s="204"/>
      <c r="H99" s="204"/>
      <c r="I99" s="204"/>
      <c r="J99" s="203"/>
      <c r="K99" s="205"/>
      <c r="L99" s="205"/>
      <c r="M99" s="205"/>
    </row>
    <row r="100">
      <c r="A100" s="202"/>
      <c r="B100" s="202"/>
      <c r="C100" s="202"/>
      <c r="D100" s="202"/>
      <c r="E100" s="203"/>
      <c r="F100" s="204"/>
      <c r="G100" s="204"/>
      <c r="H100" s="204"/>
      <c r="I100" s="204"/>
      <c r="J100" s="203"/>
      <c r="K100" s="205"/>
      <c r="L100" s="205"/>
      <c r="M100" s="205"/>
    </row>
    <row r="101">
      <c r="A101" s="206"/>
      <c r="B101" s="206"/>
      <c r="C101" s="206"/>
      <c r="D101" s="206"/>
      <c r="E101" s="207"/>
      <c r="F101" s="208"/>
      <c r="G101" s="208"/>
      <c r="H101" s="208"/>
      <c r="I101" s="208"/>
      <c r="J101" s="207"/>
      <c r="K101" s="209"/>
      <c r="L101" s="209"/>
      <c r="M101" s="209"/>
    </row>
    <row r="102">
      <c r="A102" s="202" t="str">
        <f>IFERROR(__xludf.DUMMYFUNCTION("IMPORTRANGE(""https://docs.google.com/spreadsheets/d/1OWqz0Kj63DvuK16jiKGSn_Hv_N2mbyV2QAdHjKdcrpw"", ""'Features/Talents'!$A$2:$M"")"),"Alluring Combat")</f>
        <v>Alluring Combat</v>
      </c>
      <c r="B102" s="202" t="str">
        <f>IFERROR(__xludf.DUMMYFUNCTION("""COMPUTED_VALUE"""),"Provocateur or a [Class] Feature with Provocateur as a possible Prerequisite")</f>
        <v>Provocateur or a [Class] Feature with Provocateur as a possible Prerequisite</v>
      </c>
      <c r="C102" s="202" t="str">
        <f>IFERROR(__xludf.DUMMYFUNCTION("""COMPUTED_VALUE"""),"Static")</f>
        <v>Static</v>
      </c>
      <c r="D102" s="202" t="str">
        <f>IFERROR(__xludf.DUMMYFUNCTION("""COMPUTED_VALUE"""),"Effect: Choose two Attacks from the Basic Attack List below to learn. When you have Expert Charm or Guile, Choose two Attacks from the Basic or Expert Attack List below to learn.
Basic Attack List: Captivate, Charm, Confide, Fake Tears, Flatter
Expert At"&amp;"tack List: Attract, Baby-Doll Eyes, Lovely Kiss, Sweet Kiss, Tearful Look")</f>
        <v>Effect: Choose two Attacks from the Basic Attack List below to learn. When you have Expert Charm or Guile, Choose two Attacks from the Basic or Expert Attack List below to learn.
Basic Attack List: Captivate, Charm, Confide, Fake Tears, Flatter
Expert Attack List: Attract, Baby-Doll Eyes, Lovely Kiss, Sweet Kiss, Tearful Look</v>
      </c>
      <c r="E102" s="203"/>
      <c r="F102" s="204" t="str">
        <f>IFERROR(__xludf.DUMMYFUNCTION("""COMPUTED_VALUE"""),"Acute Vision")</f>
        <v>Acute Vision</v>
      </c>
      <c r="G102" s="204" t="str">
        <f>IFERROR(__xludf.DUMMYFUNCTION("""COMPUTED_VALUE"""),"Expert Perception")</f>
        <v>Expert Perception</v>
      </c>
      <c r="H102" s="204" t="str">
        <f>IFERROR(__xludf.DUMMYFUNCTION("""COMPUTED_VALUE"""),"Static")</f>
        <v>Static</v>
      </c>
      <c r="I102" s="204" t="str">
        <f>IFERROR(__xludf.DUMMYFUNCTION("""COMPUTED_VALUE"""),"Effect: You gain the Darkvision Capability.")</f>
        <v>Effect: You gain the Darkvision Capability.</v>
      </c>
      <c r="J102" s="203"/>
      <c r="K102" s="205" t="str">
        <f>IFERROR(__xludf.DUMMYFUNCTION("""COMPUTED_VALUE"""),"Battle Companion")</f>
        <v>Battle Companion</v>
      </c>
      <c r="L102" s="205" t="str">
        <f>IFERROR(__xludf.DUMMYFUNCTION("""COMPUTED_VALUE"""),"Officer")</f>
        <v>Officer</v>
      </c>
      <c r="M102" s="205" t="str">
        <f>IFERROR(__xludf.DUMMYFUNCTION("""COMPUTED_VALUE"""),"Battle Companions are treated as normal Companions but may be used in Battle and are treated as an Active Pokemon, despite not having a Stat Sheet. Battle Companions can only use your Trainer Actions that you expend through the Officer Feature for Actions"&amp;", unlike normal Pokemon. Other than that, when they gain Initiative they may move up to 3m without expending a Movement Action. A Battle Companion is considered to have access to all Attacks on their Level-Up List at or below your Max Pokemon Level. If a "&amp;"Battle Companion would use a Damaging Attack, its Offensive Stat is equal to Triple your Tier Value. When your Battle Companion is targeted by a Damaging Attack, roll a Luck Check with a TN 5. If they fail, they Faint and lose their Companion Title. Every"&amp;" time a Battle Companion succeeds this Check, increase the TN by +5.
Note: Battle Companions do not need to have a Character Sheet, but you should have the Pokedex handy to know what Attacks they can use")</f>
        <v>Battle Companions are treated as normal Companions but may be used in Battle and are treated as an Active Pokemon, despite not having a Stat Sheet. Battle Companions can only use your Trainer Actions that you expend through the Officer Feature for Actions, unlike normal Pokemon. Other than that, when they gain Initiative they may move up to 3m without expending a Movement Action. A Battle Companion is considered to have access to all Attacks on their Level-Up List at or below your Max Pokemon Level. If a Battle Companion would use a Damaging Attack, its Offensive Stat is equal to Triple your Tier Value. When your Battle Companion is targeted by a Damaging Attack, roll a Luck Check with a TN 5. If they fail, they Faint and lose their Companion Title. Every time a Battle Companion succeeds this Check, increase the TN by +5.
Note: Battle Companions do not need to have a Character Sheet, but you should have the Pokedex handy to know what Attacks they can use</v>
      </c>
    </row>
    <row r="103">
      <c r="A103" s="202" t="str">
        <f>IFERROR(__xludf.DUMMYFUNCTION("""COMPUTED_VALUE"""),"Assistive Combat")</f>
        <v>Assistive Combat</v>
      </c>
      <c r="B103" s="202" t="str">
        <f>IFERROR(__xludf.DUMMYFUNCTION("""COMPUTED_VALUE"""),"Novice Charm or Command")</f>
        <v>Novice Charm or Command</v>
      </c>
      <c r="C103" s="202" t="str">
        <f>IFERROR(__xludf.DUMMYFUNCTION("""COMPUTED_VALUE"""),"Static")</f>
        <v>Static</v>
      </c>
      <c r="D103" s="202" t="str">
        <f>IFERROR(__xludf.DUMMYFUNCTION("""COMPUTED_VALUE"""),"Effect: You learn the Attacks Helping Hand and Coaching. When you reach Master Command or Combat, you learn Assist and Moral Support.")</f>
        <v>Effect: You learn the Attacks Helping Hand and Coaching. When you reach Master Command or Combat, you learn Assist and Moral Support.</v>
      </c>
      <c r="E103" s="203"/>
      <c r="F103" s="204" t="str">
        <f>IFERROR(__xludf.DUMMYFUNCTION("""COMPUTED_VALUE"""),"Armorsmith")</f>
        <v>Armorsmith</v>
      </c>
      <c r="G103" s="204" t="str">
        <f>IFERROR(__xludf.DUMMYFUNCTION("""COMPUTED_VALUE"""),"Novice Athletics or Focus")</f>
        <v>Novice Athletics or Focus</v>
      </c>
      <c r="H103" s="204" t="str">
        <f>IFERROR(__xludf.DUMMYFUNCTION("""COMPUTED_VALUE"""),"Static")</f>
        <v>Static</v>
      </c>
      <c r="I103" s="204" t="str">
        <f>IFERROR(__xludf.DUMMYFUNCTION("""COMPUTED_VALUE"""),"Effect: You may craft Crude Armor. At Expert Rank of your qualifying Skill, you may craft Light Armor. At Master Rank you may craft Heavy Armor and if you have Adept Rank Occult Edu, you may also craft Arcane Armor. At Virtuoso Rank you can craft High Qua"&amp;"lity Light or Heavy Armor.")</f>
        <v>Effect: You may craft Crude Armor. At Expert Rank of your qualifying Skill, you may craft Light Armor. At Master Rank you may craft Heavy Armor and if you have Adept Rank Occult Edu, you may also craft Arcane Armor. At Virtuoso Rank you can craft High Quality Light or Heavy Armor.</v>
      </c>
      <c r="J103" s="203"/>
      <c r="K103" s="205" t="str">
        <f>IFERROR(__xludf.DUMMYFUNCTION("""COMPUTED_VALUE"""),"Cheerleader")</f>
        <v>Cheerleader</v>
      </c>
      <c r="L103" s="205" t="str">
        <f>IFERROR(__xludf.DUMMYFUNCTION("""COMPUTED_VALUE"""),"Motivated Coat")</f>
        <v>Motivated Coat</v>
      </c>
      <c r="M103" s="205" t="str">
        <f>IFERROR(__xludf.DUMMYFUNCTION("""COMPUTED_VALUE"""),"A Motivated Coat can be expended as a Free Action in any of the following ways:
» When the Motivated Ally is hit by an Attack They gain Damage Reduction against it equal to your Tier Value.
» When the Motivated Ally makes a Save Check, they have a bonus t"&amp;"o it equal to Double your Tier Level.
» When the Motivated Ally hits an Attack, after the Attack’s resolution, they gain +1 CS in a Stat of their Choice.")</f>
        <v>A Motivated Coat can be expended as a Free Action in any of the following ways:
» When the Motivated Ally is hit by an Attack They gain Damage Reduction against it equal to your Tier Value.
» When the Motivated Ally makes a Save Check, they have a bonus to it equal to Double your Tier Level.
» When the Motivated Ally hits an Attack, after the Attack’s resolution, they gain +1 CS in a Stat of their Choice.</v>
      </c>
    </row>
    <row r="104">
      <c r="A104" s="202" t="str">
        <f>IFERROR(__xludf.DUMMYFUNCTION("""COMPUTED_VALUE"""),"Basic Combat")</f>
        <v>Basic Combat</v>
      </c>
      <c r="B104" s="202" t="str">
        <f>IFERROR(__xludf.DUMMYFUNCTION("""COMPUTED_VALUE"""),"Novice Athletics or Combat")</f>
        <v>Novice Athletics or Combat</v>
      </c>
      <c r="C104" s="202" t="str">
        <f>IFERROR(__xludf.DUMMYFUNCTION("""COMPUTED_VALUE"""),"Static")</f>
        <v>Static</v>
      </c>
      <c r="D104" s="202" t="str">
        <f>IFERROR(__xludf.DUMMYFUNCTION("""COMPUTED_VALUE"""),"Effect: Choose two Attacks from the Novice Attack List below to learn. When you have Expert Athletics or Combat, choose two Attacks from the Novice or Expert Attack List below to learn.
Novice Attack List: Double Hit, Chip Away, Focus Energy, Headbutt
Ex"&amp;"pert Attack List: Body Slam, Take Down, Mega Punch, Mega Kick")</f>
        <v>Effect: Choose two Attacks from the Novice Attack List below to learn. When you have Expert Athletics or Combat, choose two Attacks from the Novice or Expert Attack List below to learn.
Novice Attack List: Double Hit, Chip Away, Focus Energy, Headbutt
Expert Attack List: Body Slam, Take Down, Mega Punch, Mega Kick</v>
      </c>
      <c r="E104" s="203"/>
      <c r="F104" s="204" t="str">
        <f>IFERROR(__xludf.DUMMYFUNCTION("""COMPUTED_VALUE"""),"Ball Crafter")</f>
        <v>Ball Crafter</v>
      </c>
      <c r="G104" s="204" t="str">
        <f>IFERROR(__xludf.DUMMYFUNCTION("""COMPUTED_VALUE"""),"Adept Tech Edu")</f>
        <v>Adept Tech Edu</v>
      </c>
      <c r="H104" s="204" t="str">
        <f>IFERROR(__xludf.DUMMYFUNCTION("""COMPUTED_VALUE"""),"Static")</f>
        <v>Static</v>
      </c>
      <c r="I104" s="204" t="str">
        <f>IFERROR(__xludf.DUMMYFUNCTION("""COMPUTED_VALUE"""),"Effect: You may craft the Pokeball Item.")</f>
        <v>Effect: You may craft the Pokeball Item.</v>
      </c>
      <c r="J104" s="203"/>
      <c r="K104" s="205" t="str">
        <f>IFERROR(__xludf.DUMMYFUNCTION("""COMPUTED_VALUE"""),"Chronicler")</f>
        <v>Chronicler</v>
      </c>
      <c r="L104" s="205" t="str">
        <f>IFERROR(__xludf.DUMMYFUNCTION("""COMPUTED_VALUE"""),"Studied")</f>
        <v>Studied</v>
      </c>
      <c r="M104" s="205" t="str">
        <f>IFERROR(__xludf.DUMMYFUNCTION("""COMPUTED_VALUE"""),"Your Chronicler Features have a benefit when used against Enemies that are Studied. At the end of the Session, Enemies are no longer considered to be Studied, however if you cause the same Creature to become Studied at least three times over the course of"&amp;" a Campaign, they become permanently Studied in all future Encounters with them. (If you study 3 different Charmander, all Charmander become Studied)
At your GM’s Discretion, Creatures may be Studied as an Extended Action even if Combat hasn’t occurred, "&amp;"however the user must have either passed a Skill Check with the intent to learn more about the Target or spent a Downtime Action with the Target somehow (Such as Socializing or Training or even reading about the Target). This should not be used to start t"&amp;"he Scene with a Creature Studied, but more to count towards the three times to permanent studied bonus without needing to get into a Combat Scene with them in addition to studying allies to interact with them better.")</f>
        <v>Your Chronicler Features have a benefit when used against Enemies that are Studied. At the end of the Session, Enemies are no longer considered to be Studied, however if you cause the same Creature to become Studied at least three times over the course of a Campaign, they become permanently Studied in all future Encounters with them. (If you study 3 different Charmander, all Charmander become Studied)
At your GM’s Discretion, Creatures may be Studied as an Extended Action even if Combat hasn’t occurred, however the user must have either passed a Skill Check with the intent to learn more about the Target or spent a Downtime Action with the Target somehow (Such as Socializing or Training or even reading about the Target). This should not be used to start the Scene with a Creature Studied, but more to count towards the three times to permanent studied bonus without needing to get into a Combat Scene with them in addition to studying allies to interact with them better.</v>
      </c>
    </row>
    <row r="105">
      <c r="A105" s="202" t="str">
        <f>IFERROR(__xludf.DUMMYFUNCTION("""COMPUTED_VALUE"""),"Blur")</f>
        <v>Blur</v>
      </c>
      <c r="B105" s="202" t="str">
        <f>IFERROR(__xludf.DUMMYFUNCTION("""COMPUTED_VALUE"""),"Expert Acrobatics or Stealth")</f>
        <v>Expert Acrobatics or Stealth</v>
      </c>
      <c r="C105" s="202" t="str">
        <f>IFERROR(__xludf.DUMMYFUNCTION("""COMPUTED_VALUE"""),"Scene x2 - Reaction + Movement Action")</f>
        <v>Scene x2 - Reaction + Movement Action</v>
      </c>
      <c r="D105" s="202" t="str">
        <f>IFERROR(__xludf.DUMMYFUNCTION("""COMPUTED_VALUE"""),"Effect: You gain +3 Uncapped Evasion until the start of your next Turn.
Bonus: You gain +3 Evasion. ")</f>
        <v>Effect: You gain +3 Uncapped Evasion until the start of your next Turn.
Bonus: You gain +3 Evasion. </v>
      </c>
      <c r="E105" s="203"/>
      <c r="F105" s="204" t="str">
        <f>IFERROR(__xludf.DUMMYFUNCTION("""COMPUTED_VALUE"""),"Beast Master")</f>
        <v>Beast Master</v>
      </c>
      <c r="G105" s="204" t="str">
        <f>IFERROR(__xludf.DUMMYFUNCTION("""COMPUTED_VALUE"""),"Novice Command or Intimidate")</f>
        <v>Novice Command or Intimidate</v>
      </c>
      <c r="H105" s="204" t="str">
        <f>IFERROR(__xludf.DUMMYFUNCTION("""COMPUTED_VALUE"""),"Static")</f>
        <v>Static</v>
      </c>
      <c r="I105" s="204" t="str">
        <f>IFERROR(__xludf.DUMMYFUNCTION("""COMPUTED_VALUE"""),"Effect: Whenever you Train or Socialize Pokemon that are disobedient or dislike you, you have a Boon to the Skill Check. ")</f>
        <v>Effect: Whenever you Train or Socialize Pokemon that are disobedient or dislike you, you have a Boon to the Skill Check. </v>
      </c>
      <c r="J105" s="203"/>
      <c r="K105" s="205" t="str">
        <f>IFERROR(__xludf.DUMMYFUNCTION("""COMPUTED_VALUE"""),"Companion")</f>
        <v>Companion</v>
      </c>
      <c r="L105" s="205" t="str">
        <f>IFERROR(__xludf.DUMMYFUNCTION("""COMPUTED_VALUE"""),"Ranger Styler")</f>
        <v>Ranger Styler</v>
      </c>
      <c r="M105" s="205" t="str">
        <f>IFERROR(__xludf.DUMMYFUNCTION("""COMPUTED_VALUE"""),"Pokemon that are your Companion are not considered to be captured but follow you and take orders as if they were captured. These Pokemon do not need Stat Sheets and cannot participate in Combat unless otherwise stated. Companion Pokemon are not counted to"&amp;"wards your limit of 3 Pokemon in a Party but you may only have one Companion at a time unless otherwise stated. When a Pokemon loses the Companion Title they cannot assist the Party in any way and are treated as a Wild Pokemon that cannot become a Compani"&amp;"on again, and may either choose to follow the Players to be later captured with a Pokeball or return to their home and leave the Scene. A Pokemon loses the Companion Title whenever they do any of the following: 
» They use a Capability
» They succeed a"&amp;" Skill Check that assists the Party
» They are dismissed by the Trainer
» A Downtime Phase would occur
")</f>
        <v>Pokemon that are your Companion are not considered to be captured but follow you and take orders as if they were captured. These Pokemon do not need Stat Sheets and cannot participate in Combat unless otherwise stated. Companion Pokemon are not counted towards your limit of 3 Pokemon in a Party but you may only have one Companion at a time unless otherwise stated. When a Pokemon loses the Companion Title they cannot assist the Party in any way and are treated as a Wild Pokemon that cannot become a Companion again, and may either choose to follow the Players to be later captured with a Pokeball or return to their home and leave the Scene. A Pokemon loses the Companion Title whenever they do any of the following: 
» They use a Capability
» They succeed a Skill Check that assists the Party
» They are dismissed by the Trainer
» A Downtime Phase would occur
</v>
      </c>
    </row>
    <row r="106">
      <c r="A106" s="202" t="str">
        <f>IFERROR(__xludf.DUMMYFUNCTION("""COMPUTED_VALUE"""),"Brutal Attacker")</f>
        <v>Brutal Attacker</v>
      </c>
      <c r="B106" s="202" t="str">
        <f>IFERROR(__xludf.DUMMYFUNCTION("""COMPUTED_VALUE"""),"Adept Athletics, Combat or Intimidate")</f>
        <v>Adept Athletics, Combat or Intimidate</v>
      </c>
      <c r="C106" s="202" t="str">
        <f>IFERROR(__xludf.DUMMYFUNCTION("""COMPUTED_VALUE"""),"Static")</f>
        <v>Static</v>
      </c>
      <c r="D106" s="202" t="str">
        <f>IFERROR(__xludf.DUMMYFUNCTION("""COMPUTED_VALUE"""),"Effect: When performing a Melee Attack, before the Attack’s declaration as a Free Action, you may have a penalty to Accuracy equal to your Tier Level. If you do, the Attack gains a bonus to Damage Rolls equal to your Tier Value. This cannot be applied to "&amp;"Attacks with the Sureshot Keyword and it cannot be applied if you are Immune to having your Accuracy reduced.")</f>
        <v>Effect: When performing a Melee Attack, before the Attack’s declaration as a Free Action, you may have a penalty to Accuracy equal to your Tier Level. If you do, the Attack gains a bonus to Damage Rolls equal to your Tier Value. This cannot be applied to Attacks with the Sureshot Keyword and it cannot be applied if you are Immune to having your Accuracy reduced.</v>
      </c>
      <c r="E106" s="203"/>
      <c r="F106" s="204" t="str">
        <f>IFERROR(__xludf.DUMMYFUNCTION("""COMPUTED_VALUE"""),"Caravanner")</f>
        <v>Caravanner</v>
      </c>
      <c r="G106" s="204" t="str">
        <f>IFERROR(__xludf.DUMMYFUNCTION("""COMPUTED_VALUE"""),"Novice Athletics")</f>
        <v>Novice Athletics</v>
      </c>
      <c r="H106" s="204" t="str">
        <f>IFERROR(__xludf.DUMMYFUNCTION("""COMPUTED_VALUE"""),"Static")</f>
        <v>Static</v>
      </c>
      <c r="I106" s="204" t="str">
        <f>IFERROR(__xludf.DUMMYFUNCTION("""COMPUTED_VALUE"""),"Effect: While you are on an Average or Long Journey, [Large] Items in your Inventory (Not Equipment) are treated as only taking 1 Slot instead of 2. ")</f>
        <v>Effect: While you are on an Average or Long Journey, [Large] Items in your Inventory (Not Equipment) are treated as only taking 1 Slot instead of 2. </v>
      </c>
      <c r="J106" s="203"/>
      <c r="K106" s="205" t="str">
        <f>IFERROR(__xludf.DUMMYFUNCTION("""COMPUTED_VALUE"""),"Daredevil")</f>
        <v>Daredevil</v>
      </c>
      <c r="L106" s="205" t="str">
        <f>IFERROR(__xludf.DUMMYFUNCTION("""COMPUTED_VALUE"""),"Adrenaline Token")</f>
        <v>Adrenaline Token</v>
      </c>
      <c r="M106" s="205" t="str">
        <f>IFERROR(__xludf.DUMMYFUNCTION("""COMPUTED_VALUE"""),"Adrenaline Tokens are gained whenever you perform an action deemed risky by the GM. After the check is performed you gain 1 Adrenaline Token, or 2 if the result was negative. Actions are not deemed risky unless there is a decent chance of failure, have a "&amp;"penalty attached, or have a degree of uncertainty of its results. Adrenaline Tokens may be expended to add a d6 to any non-Education Skill Check, Accuracy Check, Luck Check or Save Check for each token expended. No more than 2 Tokens may be spent on a sin"&amp;"gular usage. You can only have a Maximum of 6 Adrenaline Tokens at a time.")</f>
        <v>Adrenaline Tokens are gained whenever you perform an action deemed risky by the GM. After the check is performed you gain 1 Adrenaline Token, or 2 if the result was negative. Actions are not deemed risky unless there is a decent chance of failure, have a penalty attached, or have a degree of uncertainty of its results. Adrenaline Tokens may be expended to add a d6 to any non-Education Skill Check, Accuracy Check, Luck Check or Save Check for each token expended. No more than 2 Tokens may be spent on a singular usage. You can only have a Maximum of 6 Adrenaline Tokens at a time.</v>
      </c>
    </row>
    <row r="107">
      <c r="A107" s="202" t="str">
        <f>IFERROR(__xludf.DUMMYFUNCTION("""COMPUTED_VALUE"""),"Battle Commander")</f>
        <v>Battle Commander</v>
      </c>
      <c r="B107" s="202" t="str">
        <f>IFERROR(__xludf.DUMMYFUNCTION("""COMPUTED_VALUE"""),"Expert Command, Novice Focus")</f>
        <v>Expert Command, Novice Focus</v>
      </c>
      <c r="C107" s="202" t="str">
        <f>IFERROR(__xludf.DUMMYFUNCTION("""COMPUTED_VALUE"""),"Static")</f>
        <v>Static</v>
      </c>
      <c r="D107" s="202" t="str">
        <f>IFERROR(__xludf.DUMMYFUNCTION("""COMPUTED_VALUE"""),"Effect: All instances of “Your Pokemon” in the Trigger line for Basic Orders are replaced with “An Ally”.")</f>
        <v>Effect: All instances of “Your Pokemon” in the Trigger line for Basic Orders are replaced with “An Ally”.</v>
      </c>
      <c r="E107" s="203"/>
      <c r="F107" s="204" t="str">
        <f>IFERROR(__xludf.DUMMYFUNCTION("""COMPUTED_VALUE"""),"Confident")</f>
        <v>Confident</v>
      </c>
      <c r="G107" s="204" t="str">
        <f>IFERROR(__xludf.DUMMYFUNCTION("""COMPUTED_VALUE"""),"Novice Command  ")</f>
        <v>Novice Command  </v>
      </c>
      <c r="H107" s="204" t="str">
        <f>IFERROR(__xludf.DUMMYFUNCTION("""COMPUTED_VALUE"""),"Static")</f>
        <v>Static</v>
      </c>
      <c r="I107" s="204" t="str">
        <f>IFERROR(__xludf.DUMMYFUNCTION("""COMPUTED_VALUE"""),"Effect: Whenever you perform a Charm, Guile or Intimidate Skill check, add +1d6 to the roll. If that Skill Rank is equal to or higher than your Command Rank, you instead treat any results of 5 as if you rolled a 6. ")</f>
        <v>Effect: Whenever you perform a Charm, Guile or Intimidate Skill check, add +1d6 to the roll. If that Skill Rank is equal to or higher than your Command Rank, you instead treat any results of 5 as if you rolled a 6. </v>
      </c>
      <c r="J107" s="203"/>
      <c r="K107" s="205" t="str">
        <f>IFERROR(__xludf.DUMMYFUNCTION("""COMPUTED_VALUE"""),"Debonair")</f>
        <v>Debonair</v>
      </c>
      <c r="L107" s="205" t="str">
        <f>IFERROR(__xludf.DUMMYFUNCTION("""COMPUTED_VALUE"""),"Coerced")</f>
        <v>Coerced</v>
      </c>
      <c r="M107" s="205" t="str">
        <f>IFERROR(__xludf.DUMMYFUNCTION("""COMPUTED_VALUE"""),"Coerced is a Mental Affliction that cannot be cured unless the affected Combatant is cured of the Entranced Affliction (By which this is cured as well). At the Start of a Coerced Combatant’s Turn, apply one of the Effects below.
» Choose a Maneuver. The "&amp;"Coerced user cannot use that  Maneuver until the end of the next Round.
» Choose a Type. The Coerced user cannot use Attacks that match that Type this Turn.
» Choose an Enemy. The Coerced user cannot be Targeted by them or Target them until the end of the"&amp;" next Round.
» Choose yourself or an Ally. The Coerced user becomes Provoked by them this Turn.")</f>
        <v>Coerced is a Mental Affliction that cannot be cured unless the affected Combatant is cured of the Entranced Affliction (By which this is cured as well). At the Start of a Coerced Combatant’s Turn, apply one of the Effects below.
» Choose a Maneuver. The Coerced user cannot use that  Maneuver until the end of the next Round.
» Choose a Type. The Coerced user cannot use Attacks that match that Type this Turn.
» Choose an Enemy. The Coerced user cannot be Targeted by them or Target them until the end of the next Round.
» Choose yourself or an Ally. The Coerced user becomes Provoked by them this Turn.</v>
      </c>
    </row>
    <row r="108">
      <c r="A108" s="202" t="str">
        <f>IFERROR(__xludf.DUMMYFUNCTION("""COMPUTED_VALUE"""),"Criminal Combat")</f>
        <v>Criminal Combat</v>
      </c>
      <c r="B108" s="202" t="str">
        <f>IFERROR(__xludf.DUMMYFUNCTION("""COMPUTED_VALUE"""),"Rogue or a [Class] Feature with Rogue as a possible Prerequisite")</f>
        <v>Rogue or a [Class] Feature with Rogue as a possible Prerequisite</v>
      </c>
      <c r="C108" s="202" t="str">
        <f>IFERROR(__xludf.DUMMYFUNCTION("""COMPUTED_VALUE"""),"Static")</f>
        <v>Static</v>
      </c>
      <c r="D108" s="202" t="str">
        <f>IFERROR(__xludf.DUMMYFUNCTION("""COMPUTED_VALUE"""),"Effect: Choose two Attacks from the Novice Attack List below to learn. When you have Expert Combat or Stealth, choose two Attacks from the Novice or Expert Attack List below to learn.
Novice Attack List: Blindside, Feint Attack, Gash, Hone Claws, Sucker "&amp;"Punch, Thief
Expert Attack List: Ambush, Beat Up, Cackle, Lash Out, Night Slash, Punishment")</f>
        <v>Effect: Choose two Attacks from the Novice Attack List below to learn. When you have Expert Combat or Stealth, choose two Attacks from the Novice or Expert Attack List below to learn.
Novice Attack List: Blindside, Feint Attack, Gash, Hone Claws, Sucker Punch, Thief
Expert Attack List: Ambush, Beat Up, Cackle, Lash Out, Night Slash, Punishment</v>
      </c>
      <c r="E108" s="203"/>
      <c r="F108" s="204" t="str">
        <f>IFERROR(__xludf.DUMMYFUNCTION("""COMPUTED_VALUE"""),"Elemental Affinity")</f>
        <v>Elemental Affinity</v>
      </c>
      <c r="G108" s="204" t="str">
        <f>IFERROR(__xludf.DUMMYFUNCTION("""COMPUTED_VALUE"""),"GM Permission")</f>
        <v>GM Permission</v>
      </c>
      <c r="H108" s="204" t="str">
        <f>IFERROR(__xludf.DUMMYFUNCTION("""COMPUTED_VALUE"""),"Static")</f>
        <v>Static</v>
      </c>
      <c r="I108" s="204" t="str">
        <f>IFERROR(__xludf.DUMMYFUNCTION("""COMPUTED_VALUE"""),"Effect: Choose a Type. You are considered to have an Elemental Affinity in the chosen Type. This Talent may be taken up to two times at your GM’s Discretion. When you make a Skill Check against a Pokemon that matches your chosen type, you gain a Boon towa"&amp;"rds it. You may change the type of your Basic Attacks to match your chosen Affinity.")</f>
        <v>Effect: Choose a Type. You are considered to have an Elemental Affinity in the chosen Type. This Talent may be taken up to two times at your GM’s Discretion. When you make a Skill Check against a Pokemon that matches your chosen type, you gain a Boon towards it. You may change the type of your Basic Attacks to match your chosen Affinity.</v>
      </c>
      <c r="J108" s="203"/>
      <c r="K108" s="205" t="str">
        <f>IFERROR(__xludf.DUMMYFUNCTION("""COMPUTED_VALUE"""),"Duelist")</f>
        <v>Duelist</v>
      </c>
      <c r="L108" s="205" t="str">
        <f>IFERROR(__xludf.DUMMYFUNCTION("""COMPUTED_VALUE"""),"Momentum Counters")</f>
        <v>Momentum Counters</v>
      </c>
      <c r="M108" s="205" t="str">
        <f>IFERROR(__xludf.DUMMYFUNCTION("""COMPUTED_VALUE"""),"Your Pokemon can have a Maximum of 6 Momentum Counters. At the end of each Round, your Pokemon gain +1 Momentum Counter. Whenever your Pokemon hit a Tagged Enemy with an Attack or Maneuver, they gain +1 Momentum. Whenever your Pokemon miss a Tagged Enemy,"&amp;" they lose -1 Momentum. Whenever your Pokemon Faint, are Recalled, or end Combat, all Momentum Counters are lost. Your Pokemon have a Bonus to Accuracy and Evasion against Tagged Enemies equal to their Momentum Counters.")</f>
        <v>Your Pokemon can have a Maximum of 6 Momentum Counters. At the end of each Round, your Pokemon gain +1 Momentum Counter. Whenever your Pokemon hit a Tagged Enemy with an Attack or Maneuver, they gain +1 Momentum. Whenever your Pokemon miss a Tagged Enemy, they lose -1 Momentum. Whenever your Pokemon Faint, are Recalled, or end Combat, all Momentum Counters are lost. Your Pokemon have a Bonus to Accuracy and Evasion against Tagged Enemies equal to their Momentum Counters.</v>
      </c>
    </row>
    <row r="109">
      <c r="A109" s="202" t="str">
        <f>IFERROR(__xludf.DUMMYFUNCTION("""COMPUTED_VALUE"""),"Defensive Combat")</f>
        <v>Defensive Combat</v>
      </c>
      <c r="B109" s="202" t="str">
        <f>IFERROR(__xludf.DUMMYFUNCTION("""COMPUTED_VALUE"""),"Defender or a [Class] Feature with Defender as a possible Prerequisite")</f>
        <v>Defender or a [Class] Feature with Defender as a possible Prerequisite</v>
      </c>
      <c r="C109" s="202" t="str">
        <f>IFERROR(__xludf.DUMMYFUNCTION("""COMPUTED_VALUE"""),"Static")</f>
        <v>Static</v>
      </c>
      <c r="D109" s="202" t="str">
        <f>IFERROR(__xludf.DUMMYFUNCTION("""COMPUTED_VALUE"""),"Effect: Choose two Attacks from the Novice Attack List below to learn. When you have Expert Athletics, Combat or Focus, choose two Attacks from the Novice or Expert Attack List below to learn
Novice Attack List: Block, Harden, Quick Guard, Taunt, Withdra"&amp;"w
Expert Attack List: Body Press, Iron Defense, Protect, Wide Guard")</f>
        <v>Effect: Choose two Attacks from the Novice Attack List below to learn. When you have Expert Athletics, Combat or Focus, choose two Attacks from the Novice or Expert Attack List below to learn
Novice Attack List: Block, Harden, Quick Guard, Taunt, Withdraw
Expert Attack List: Body Press, Iron Defense, Protect, Wide Guard</v>
      </c>
      <c r="E109" s="203"/>
      <c r="F109" s="204" t="str">
        <f>IFERROR(__xludf.DUMMYFUNCTION("""COMPUTED_VALUE"""),"Elemental Detection")</f>
        <v>Elemental Detection</v>
      </c>
      <c r="G109" s="204" t="str">
        <f>IFERROR(__xludf.DUMMYFUNCTION("""COMPUTED_VALUE"""),"Elemental Affinity (Any)")</f>
        <v>Elemental Affinity (Any)</v>
      </c>
      <c r="H109" s="204" t="str">
        <f>IFERROR(__xludf.DUMMYFUNCTION("""COMPUTED_VALUE"""),"Static")</f>
        <v>Static</v>
      </c>
      <c r="I109" s="204" t="str">
        <f>IFERROR(__xludf.DUMMYFUNCTION("""COMPUTED_VALUE"""),"Effect: You gain an innate sense to detect when your qualifying Element or a Pokemon matching your qualifying Type is present within 10m. At Level 5, this range is extended to a mile. This is treated as a mental awareness of the shape of their form, their"&amp;" distance from you and the direction they are from your current position. ")</f>
        <v>Effect: You gain an innate sense to detect when your qualifying Element or a Pokemon matching your qualifying Type is present within 10m. At Level 5, this range is extended to a mile. This is treated as a mental awareness of the shape of their form, their distance from you and the direction they are from your current position. </v>
      </c>
      <c r="J109" s="203"/>
      <c r="K109" s="205" t="str">
        <f>IFERROR(__xludf.DUMMYFUNCTION("""COMPUTED_VALUE"""),"Empath")</f>
        <v>Empath</v>
      </c>
      <c r="L109" s="205" t="str">
        <f>IFERROR(__xludf.DUMMYFUNCTION("""COMPUTED_VALUE"""),"Channeling")</f>
        <v>Channeling</v>
      </c>
      <c r="M109" s="205" t="str">
        <f>IFERROR(__xludf.DUMMYFUNCTION("""COMPUTED_VALUE"""),"While Channeling a Creature, it may communicate its intentions, emotions and motivations to you and you may communicate in a similar fashion, neither party being able to be deceitful in this exchange. If you Faint, all Targets bound by the Empath Feature "&amp;"are unbound and no longer Channeled. If a Channeled Target Faints, they are unbound by the Empath Feature and no longer Channeled. As a general note, Channeling allows both individuals to be treated as having the Empath Capability, removes any risk of fal"&amp;"sity and communicates more than just emotions")</f>
        <v>While Channeling a Creature, it may communicate its intentions, emotions and motivations to you and you may communicate in a similar fashion, neither party being able to be deceitful in this exchange. If you Faint, all Targets bound by the Empath Feature are unbound and no longer Channeled. If a Channeled Target Faints, they are unbound by the Empath Feature and no longer Channeled. As a general note, Channeling allows both individuals to be treated as having the Empath Capability, removes any risk of falsity and communicates more than just emotions</v>
      </c>
    </row>
    <row r="110">
      <c r="A110" s="202" t="str">
        <f>IFERROR(__xludf.DUMMYFUNCTION("""COMPUTED_VALUE"""),"Fleet Footed")</f>
        <v>Fleet Footed</v>
      </c>
      <c r="B110" s="202" t="str">
        <f>IFERROR(__xludf.DUMMYFUNCTION("""COMPUTED_VALUE"""),"Adept Acrobatics")</f>
        <v>Adept Acrobatics</v>
      </c>
      <c r="C110" s="202" t="str">
        <f>IFERROR(__xludf.DUMMYFUNCTION("""COMPUTED_VALUE"""),"Static")</f>
        <v>Static</v>
      </c>
      <c r="D110" s="202" t="str">
        <f>IFERROR(__xludf.DUMMYFUNCTION("""COMPUTED_VALUE"""),"Effect: You ignore penalties to Movement from Slow Terrain.")</f>
        <v>Effect: You ignore penalties to Movement from Slow Terrain.</v>
      </c>
      <c r="E110" s="203"/>
      <c r="F110" s="204" t="str">
        <f>IFERROR(__xludf.DUMMYFUNCTION("""COMPUTED_VALUE"""),"Elemental Fabrication")</f>
        <v>Elemental Fabrication</v>
      </c>
      <c r="G110" s="204" t="str">
        <f>IFERROR(__xludf.DUMMYFUNCTION("""COMPUTED_VALUE"""),"Elemental Affinity (Grass, Ground, Poison, Rock or Steel)")</f>
        <v>Elemental Affinity (Grass, Ground, Poison, Rock or Steel)</v>
      </c>
      <c r="H110" s="204" t="str">
        <f>IFERROR(__xludf.DUMMYFUNCTION("""COMPUTED_VALUE"""),"Static")</f>
        <v>Static</v>
      </c>
      <c r="I110" s="204" t="str">
        <f>IFERROR(__xludf.DUMMYFUNCTION("""COMPUTED_VALUE"""),"Effect: You may use a Downtime Action to create around $1,000 worth of the Ingredients Item related to your Affinity. If the affinity is ground or rock, the material is stone or gem based. If the affinity is steel, the material is iron or ore based. If th"&amp;"e affinity is poison, the material is chemical in composition. If the affinity is grass, the material is flora that you’ve studied. At Level 10, you can create around $2,000 worth of raw materials instead, usually being an upgraded form.")</f>
        <v>Effect: You may use a Downtime Action to create around $1,000 worth of the Ingredients Item related to your Affinity. If the affinity is ground or rock, the material is stone or gem based. If the affinity is steel, the material is iron or ore based. If the affinity is poison, the material is chemical in composition. If the affinity is grass, the material is flora that you’ve studied. At Level 10, you can create around $2,000 worth of raw materials instead, usually being an upgraded form.</v>
      </c>
      <c r="J110" s="203"/>
      <c r="K110" s="205" t="str">
        <f>IFERROR(__xludf.DUMMYFUNCTION("""COMPUTED_VALUE"""),"Fairy Specialist")</f>
        <v>Fairy Specialist</v>
      </c>
      <c r="L110" s="205" t="str">
        <f>IFERROR(__xludf.DUMMYFUNCTION("""COMPUTED_VALUE"""),"Fairy Light")</f>
        <v>Fairy Light</v>
      </c>
      <c r="M110" s="205" t="str">
        <f>IFERROR(__xludf.DUMMYFUNCTION("""COMPUTED_VALUE"""),"Fairy Lights float in the space they occupy, have the Glow Capability, have 1 Hit Point and are Immune to Physical Damage. On your Turn, you may have each Fairy Light Slide up to 4m as a Free Action. If they were to enter the space of an occupied Combatan"&amp;"t, you may apply an Effect from the Fairy Specialist Class that a Fairy Light is able to do when expended, then the Fairy Light disappears. Fairy Lights are expended at the start and end of a Scene.")</f>
        <v>Fairy Lights float in the space they occupy, have the Glow Capability, have 1 Hit Point and are Immune to Physical Damage. On your Turn, you may have each Fairy Light Slide up to 4m as a Free Action. If they were to enter the space of an occupied Combatant, you may apply an Effect from the Fairy Specialist Class that a Fairy Light is able to do when expended, then the Fairy Light disappears. Fairy Lights are expended at the start and end of a Scene.</v>
      </c>
    </row>
    <row r="111">
      <c r="A111" s="202" t="str">
        <f>IFERROR(__xludf.DUMMYFUNCTION("""COMPUTED_VALUE"""),"Focused Commander")</f>
        <v>Focused Commander</v>
      </c>
      <c r="B111" s="202" t="str">
        <f>IFERROR(__xludf.DUMMYFUNCTION("""COMPUTED_VALUE"""),"Adept Command or Poke Edu")</f>
        <v>Adept Command or Poke Edu</v>
      </c>
      <c r="C111" s="202" t="str">
        <f>IFERROR(__xludf.DUMMYFUNCTION("""COMPUTED_VALUE"""),"Static")</f>
        <v>Static</v>
      </c>
      <c r="D111" s="202" t="str">
        <f>IFERROR(__xludf.DUMMYFUNCTION("""COMPUTED_VALUE"""),"Effect: Your Active Pokemon may use Actions from your set of Trainer Actions if desired. A specific Pokemon cannot use the same Action Type more than once per Round this way. ")</f>
        <v>Effect: Your Active Pokemon may use Actions from your set of Trainer Actions if desired. A specific Pokemon cannot use the same Action Type more than once per Round this way. </v>
      </c>
      <c r="E111" s="203"/>
      <c r="F111" s="204" t="str">
        <f>IFERROR(__xludf.DUMMYFUNCTION("""COMPUTED_VALUE"""),"Elemental Manipulation")</f>
        <v>Elemental Manipulation</v>
      </c>
      <c r="G111" s="204" t="str">
        <f>IFERROR(__xludf.DUMMYFUNCTION("""COMPUTED_VALUE"""),"Elemental Affinity (Any)")</f>
        <v>Elemental Affinity (Any)</v>
      </c>
      <c r="H111" s="204" t="str">
        <f>IFERROR(__xludf.DUMMYFUNCTION("""COMPUTED_VALUE"""),"Static")</f>
        <v>Static</v>
      </c>
      <c r="I111" s="204" t="str">
        <f>IFERROR(__xludf.DUMMYFUNCTION("""COMPUTED_VALUE"""),"Effect: You can manipulate substances that match your element within 10m to your discretion. The scope of which you can manipulate is entirely dependent on your GM but must be minor in scope. At Level 5, it can be average impactful in scope. At Level 15, "&amp;"it can be within 30m and can be major in scope. If you wish to have this manipulation have a mechanical effect in combat, your GM may associate an appropriate Action to be used alongside this manipulation.")</f>
        <v>Effect: You can manipulate substances that match your element within 10m to your discretion. The scope of which you can manipulate is entirely dependent on your GM but must be minor in scope. At Level 5, it can be average impactful in scope. At Level 15, it can be within 30m and can be major in scope. If you wish to have this manipulation have a mechanical effect in combat, your GM may associate an appropriate Action to be used alongside this manipulation.</v>
      </c>
      <c r="J111" s="203"/>
      <c r="K111" s="205" t="str">
        <f>IFERROR(__xludf.DUMMYFUNCTION("""COMPUTED_VALUE"""),"Musician")</f>
        <v>Musician</v>
      </c>
      <c r="L111" s="205" t="str">
        <f>IFERROR(__xludf.DUMMYFUNCTION("""COMPUTED_VALUE"""),"Musician Songs")</f>
        <v>Musician Songs</v>
      </c>
      <c r="M111" s="205" t="str">
        <f>IFERROR(__xludf.DUMMYFUNCTION("""COMPUTED_VALUE"""),"» Song of Despair- Enemies that start their Turn within your Zone of Song have a Penalty to Critical Hit Ranges, Effect Ranges and Save Checks equal to your Tier Level until the end of their Turn.  
» Song of Inspiration - The user and all Allies within y"&amp;"our Zone of Song have a bonus to Save Checks and Effect Ranges equal to your Tier Level. 
» Song of Vitality- The user and all Allies within your Zone of Song restore Hit Points equal to their Tick Value when they end their Turn within your Zone of Song. "&amp;"If they already have Max Hit Points, they instead get a Tick of Temporary HP
» Song of Valor - The user and all allies have a bonus to Damage Rolls equal to your Tier Value while within the range of this Song.")</f>
        <v>» Song of Despair- Enemies that start their Turn within your Zone of Song have a Penalty to Critical Hit Ranges, Effect Ranges and Save Checks equal to your Tier Level until the end of their Turn.  
» Song of Inspiration - The user and all Allies within your Zone of Song have a bonus to Save Checks and Effect Ranges equal to your Tier Level. 
» Song of Vitality- The user and all Allies within your Zone of Song restore Hit Points equal to their Tick Value when they end their Turn within your Zone of Song. If they already have Max Hit Points, they instead get a Tick of Temporary HP
» Song of Valor - The user and all allies have a bonus to Damage Rolls equal to your Tier Value while within the range of this Song.</v>
      </c>
    </row>
    <row r="112">
      <c r="A112" s="202" t="str">
        <f>IFERROR(__xludf.DUMMYFUNCTION("""COMPUTED_VALUE"""),"Jack of all Trades")</f>
        <v>Jack of all Trades</v>
      </c>
      <c r="B112" s="202" t="str">
        <f>IFERROR(__xludf.DUMMYFUNCTION("""COMPUTED_VALUE"""),"None")</f>
        <v>None</v>
      </c>
      <c r="C112" s="202" t="str">
        <f>IFERROR(__xludf.DUMMYFUNCTION("""COMPUTED_VALUE"""),"Static")</f>
        <v>Static</v>
      </c>
      <c r="D112" s="202" t="str">
        <f>IFERROR(__xludf.DUMMYFUNCTION("""COMPUTED_VALUE"""),"Effect: Choose two Skills that are Novice Rank or Lower to increase to the next Rank. This Feature may be taken multiple times.")</f>
        <v>Effect: Choose two Skills that are Novice Rank or Lower to increase to the next Rank. This Feature may be taken multiple times.</v>
      </c>
      <c r="E112" s="203"/>
      <c r="F112" s="204" t="str">
        <f>IFERROR(__xludf.DUMMYFUNCTION("""COMPUTED_VALUE"""),"Elemental Prowess")</f>
        <v>Elemental Prowess</v>
      </c>
      <c r="G112" s="204" t="str">
        <f>IFERROR(__xludf.DUMMYFUNCTION("""COMPUTED_VALUE"""),"Elemental Affinity (Any)")</f>
        <v>Elemental Affinity (Any)</v>
      </c>
      <c r="H112" s="204" t="str">
        <f>IFERROR(__xludf.DUMMYFUNCTION("""COMPUTED_VALUE"""),"Static")</f>
        <v>Static</v>
      </c>
      <c r="I112" s="204" t="str">
        <f>IFERROR(__xludf.DUMMYFUNCTION("""COMPUTED_VALUE"""),"Effect: You gain up to two Capabilities of your choice that is related to your Elemental Affinity. Your choice must be approved by the GM. This Talent can be taken multiple times but each subsequent time you only get one Capability. The following Capabili"&amp;"ties can not be chosen. Engine, Wielder, Form Change, Underdog, Living Weapon, Shapeshifter, Wired.")</f>
        <v>Effect: You gain up to two Capabilities of your choice that is related to your Elemental Affinity. Your choice must be approved by the GM. This Talent can be taken multiple times but each subsequent time you only get one Capability. The following Capabilities can not be chosen. Engine, Wielder, Form Change, Underdog, Living Weapon, Shapeshifter, Wired.</v>
      </c>
      <c r="J112" s="203"/>
      <c r="K112" s="205" t="str">
        <f>IFERROR(__xludf.DUMMYFUNCTION("""COMPUTED_VALUE"""),"Nature Researcher")</f>
        <v>Nature Researcher</v>
      </c>
      <c r="L112" s="205" t="str">
        <f>IFERROR(__xludf.DUMMYFUNCTION("""COMPUTED_VALUE"""),"Wild Trapper")</f>
        <v>Wild Trapper</v>
      </c>
      <c r="M112" s="205" t="str">
        <f>IFERROR(__xludf.DUMMYFUNCTION("""COMPUTED_VALUE"""),"Dust Trap
Effect: Spaces with Dust Traps are treated as Rough Terrain. An Enemy that moves into a Space affected by this Hazard have a penalty to Accuracy equal to double your Tier Level until the end of their next Turn. This is ignored by Enemies with Bl"&amp;"indsense.
Pitfall Trap
Effect: Spaces with Pitfall Traps are treated as Slow Terrain. A Grounded Enemy that ends their Turn on a Pitfall Trap becomes Tripped and Weakened while Tripped this way.
Slow Trap
Effect: Spaces with Slow Traps are treated as Sl"&amp;"ow Terrain. A Grounded Enemy that moves into a Space affected by this Hazard has their Speed lowered by -3 CS, becomes Slowed and is Vulnerable while Slowed this way.
Spiked Trap
Effect: Spaced with Spiked Traps are treated as Slow Terrain. Any Grounded "&amp;"Enemy that passes through a Spiked Trap loses two Ticks of Hit Points and cannot gain Hit Points or Temporary Hit Points until the end of their next Turn.")</f>
        <v>Dust Trap
Effect: Spaces with Dust Traps are treated as Rough Terrain. An Enemy that moves into a Space affected by this Hazard have a penalty to Accuracy equal to double your Tier Level until the end of their next Turn. This is ignored by Enemies with Blindsense.
Pitfall Trap
Effect: Spaces with Pitfall Traps are treated as Slow Terrain. A Grounded Enemy that ends their Turn on a Pitfall Trap becomes Tripped and Weakened while Tripped this way.
Slow Trap
Effect: Spaces with Slow Traps are treated as Slow Terrain. A Grounded Enemy that moves into a Space affected by this Hazard has their Speed lowered by -3 CS, becomes Slowed and is Vulnerable while Slowed this way.
Spiked Trap
Effect: Spaced with Spiked Traps are treated as Slow Terrain. Any Grounded Enemy that passes through a Spiked Trap loses two Ticks of Hit Points and cannot gain Hit Points or Temporary Hit Points until the end of their next Turn.</v>
      </c>
    </row>
    <row r="113">
      <c r="A113" s="202" t="str">
        <f>IFERROR(__xludf.DUMMYFUNCTION("""COMPUTED_VALUE"""),"Imposing Combat")</f>
        <v>Imposing Combat</v>
      </c>
      <c r="B113" s="202" t="str">
        <f>IFERROR(__xludf.DUMMYFUNCTION("""COMPUTED_VALUE"""),"Provocateur or a Class Feature with Provocateur as a possible Prerequisite")</f>
        <v>Provocateur or a Class Feature with Provocateur as a possible Prerequisite</v>
      </c>
      <c r="C113" s="202" t="str">
        <f>IFERROR(__xludf.DUMMYFUNCTION("""COMPUTED_VALUE"""),"Static")</f>
        <v>Static</v>
      </c>
      <c r="D113" s="202" t="str">
        <f>IFERROR(__xludf.DUMMYFUNCTION("""COMPUTED_VALUE"""),"Effect: Choose two Attacks from the Novice Attack List below to learn. When you have Expert Command
or Intimidate, choose two Attacks from the Novice or Expert Attack List below to learn.
Novice Attack List: Leer, Mean Look, Roar, Swagger, Taunt
Expert A"&amp;"ttack List: Glare, Imposing Stare, Noble Roar, Parting Shot, Torment")</f>
        <v>Effect: Choose two Attacks from the Novice Attack List below to learn. When you have Expert Command
or Intimidate, choose two Attacks from the Novice or Expert Attack List below to learn.
Novice Attack List: Leer, Mean Look, Roar, Swagger, Taunt
Expert Attack List: Glare, Imposing Stare, Noble Roar, Parting Shot, Torment</v>
      </c>
      <c r="E113" s="203"/>
      <c r="F113" s="204" t="str">
        <f>IFERROR(__xludf.DUMMYFUNCTION("""COMPUTED_VALUE"""),"Fashionista")</f>
        <v>Fashionista</v>
      </c>
      <c r="G113" s="204" t="str">
        <f>IFERROR(__xludf.DUMMYFUNCTION("""COMPUTED_VALUE"""),"Novice Focus or Gen Edu")</f>
        <v>Novice Focus or Gen Edu</v>
      </c>
      <c r="H113" s="204" t="str">
        <f>IFERROR(__xludf.DUMMYFUNCTION("""COMPUTED_VALUE"""),"Static")</f>
        <v>Static</v>
      </c>
      <c r="I113" s="204" t="str">
        <f>IFERROR(__xludf.DUMMYFUNCTION("""COMPUTED_VALUE"""),"Effect: You may craft Survival Clothes, Small Disguises and Small Stylish Clothes. At Expert Rank of your qualifying Skill, you may craft Large Disguises and Large Stylish Clothes.")</f>
        <v>Effect: You may craft Survival Clothes, Small Disguises and Small Stylish Clothes. At Expert Rank of your qualifying Skill, you may craft Large Disguises and Large Stylish Clothes.</v>
      </c>
      <c r="J113" s="203"/>
      <c r="K113" s="205" t="str">
        <f>IFERROR(__xludf.DUMMYFUNCTION("""COMPUTED_VALUE"""),"Swashbuckler")</f>
        <v>Swashbuckler</v>
      </c>
      <c r="L113" s="205" t="str">
        <f>IFERROR(__xludf.DUMMYFUNCTION("""COMPUTED_VALUE"""),"Panache Coat")</f>
        <v>Panache Coat</v>
      </c>
      <c r="M113" s="205" t="str">
        <f>IFERROR(__xludf.DUMMYFUNCTION("""COMPUTED_VALUE"""),"This Coat may be expended as a Free Action when performing an Accuracy Roll, Save Check or Skill Check in Combat to roll twice, taking either result. If the user gains a Status Affliction or is Critically Hit by an Attack, any Panache Coat they have is ex"&amp;"pended. Whenever you expend your Panache Coat, you cannot gain another during the same Turn.")</f>
        <v>This Coat may be expended as a Free Action when performing an Accuracy Roll, Save Check or Skill Check in Combat to roll twice, taking either result. If the user gains a Status Affliction or is Critically Hit by an Attack, any Panache Coat they have is expended. Whenever you expend your Panache Coat, you cannot gain another during the same Turn.</v>
      </c>
    </row>
    <row r="114">
      <c r="A114" s="202" t="str">
        <f>IFERROR(__xludf.DUMMYFUNCTION("""COMPUTED_VALUE"""),"Martial Combat")</f>
        <v>Martial Combat</v>
      </c>
      <c r="B114" s="202" t="str">
        <f>IFERROR(__xludf.DUMMYFUNCTION("""COMPUTED_VALUE"""),"Fighter or a Class Feature with Fighter as a possible Prerequisite")</f>
        <v>Fighter or a Class Feature with Fighter as a possible Prerequisite</v>
      </c>
      <c r="C114" s="202" t="str">
        <f>IFERROR(__xludf.DUMMYFUNCTION("""COMPUTED_VALUE"""),"Static")</f>
        <v>Static</v>
      </c>
      <c r="D114" s="202" t="str">
        <f>IFERROR(__xludf.DUMMYFUNCTION("""COMPUTED_VALUE"""),"Effect: Choose two Attacks from the Novice Attack List below to learn. When you have Expert Athletics or Combat, choose two Attacks from the Novice or Expert Attack List below to learn.
Novice Attack List: Bulk Up, Concentration, Double Kick, Low Sweep, "&amp;"Mach Punch, Meditate, Power-Up Punch
Expert Attack List: Body Press, Brick Break, Counter, Drain Punch, Jump Kick, Sky Uppercut")</f>
        <v>Effect: Choose two Attacks from the Novice Attack List below to learn. When you have Expert Athletics or Combat, choose two Attacks from the Novice or Expert Attack List below to learn.
Novice Attack List: Bulk Up, Concentration, Double Kick, Low Sweep, Mach Punch, Meditate, Power-Up Punch
Expert Attack List: Body Press, Brick Break, Counter, Drain Punch, Jump Kick, Sky Uppercut</v>
      </c>
      <c r="E114" s="203"/>
      <c r="F114" s="204" t="str">
        <f>IFERROR(__xludf.DUMMYFUNCTION("""COMPUTED_VALUE"""),"Fearsome Aura")</f>
        <v>Fearsome Aura</v>
      </c>
      <c r="G114" s="204" t="str">
        <f>IFERROR(__xludf.DUMMYFUNCTION("""COMPUTED_VALUE"""),"Novice Intimidate, Novice Intimidate")</f>
        <v>Novice Intimidate, Novice Intimidate</v>
      </c>
      <c r="H114" s="204" t="str">
        <f>IFERROR(__xludf.DUMMYFUNCTION("""COMPUTED_VALUE"""),"Static")</f>
        <v>Static</v>
      </c>
      <c r="I114" s="204" t="str">
        <f>IFERROR(__xludf.DUMMYFUNCTION("""COMPUTED_VALUE"""),"Effect: You may qualify for Command Prerequisites as if they were Intimidate instead and vice versa. When you have Expert Command and Intimidate you ignore Banes on Command and Intimidate Checks. ")</f>
        <v>Effect: You may qualify for Command Prerequisites as if they were Intimidate instead and vice versa. When you have Expert Command and Intimidate you ignore Banes on Command and Intimidate Checks. </v>
      </c>
      <c r="J114" s="203"/>
      <c r="K114" s="205" t="str">
        <f>IFERROR(__xludf.DUMMYFUNCTION("""COMPUTED_VALUE"""),"Illusionist [Occult]")</f>
        <v>Illusionist [Occult]</v>
      </c>
      <c r="L114" s="205" t="str">
        <f>IFERROR(__xludf.DUMMYFUNCTION("""COMPUTED_VALUE"""),"Phantasm Hazards")</f>
        <v>Phantasm Hazards</v>
      </c>
      <c r="M114" s="205" t="str">
        <f>IFERROR(__xludf.DUMMYFUNCTION("""COMPUTED_VALUE"""),"Whenever you create a Phantasm Hazard, assign it an Illusion Technique from the next page. Phantasms you
create follow the same rules as Illusions you create through the Illusionist Capability. Your Phantasm Hazards
have the [Breakable - Fragile] Tag. A"&amp;"s a Movement Action, you can Slide any number of Phantasms up to 4m. As a Free Action, you can destroy any Phantasm Hazard you’ve created. 
Whenever a Phantasm would interact with an Enemy (Listed in their effect), they must perform an Illusion Check. "&amp;"Enemies can also Target a Phantasm with the Analyze Maneuver to perform an Illusion Check against it. This involves an Intuition or Perception Check opposed by your Guile. If they fail, they’re affected by the Phantasm’s effects and fail all future Illusi"&amp;"on Checks against that specific Phantasm until a condition below occurs.. If any of the below are true, that Combatant ignores your Phantasms that have been created within their line of sight within GM Discretion and gains a Boon on any that weren’t creat"&amp;"ed within their line of sight. (If they’re gullible or don’t notice they could still be affected)
The Combatant succeeds an Illusion Check
The Combatant knows you can create Illusions 
The Combatant witnesses a Phantasm Hazard being destroyed 
The C"&amp;"ombatant witnesses the Illusory nature of a Hazard that questions their belief
The Combatant knows for certain that the illusion being real is impossible
")</f>
        <v>Whenever you create a Phantasm Hazard, assign it an Illusion Technique from the next page. Phantasms you
create follow the same rules as Illusions you create through the Illusionist Capability. Your Phantasm Hazards
have the [Breakable - Fragile] Tag. As a Movement Action, you can Slide any number of Phantasms up to 4m. As a Free Action, you can destroy any Phantasm Hazard you’ve created. 
Whenever a Phantasm would interact with an Enemy (Listed in their effect), they must perform an Illusion Check. Enemies can also Target a Phantasm with the Analyze Maneuver to perform an Illusion Check against it. This involves an Intuition or Perception Check opposed by your Guile. If they fail, they’re affected by the Phantasm’s effects and fail all future Illusion Checks against that specific Phantasm until a condition below occurs.. If any of the below are true, that Combatant ignores your Phantasms that have been created within their line of sight within GM Discretion and gains a Boon on any that weren’t created within their line of sight. (If they’re gullible or don’t notice they could still be affected)
The Combatant succeeds an Illusion Check
The Combatant knows you can create Illusions 
The Combatant witnesses a Phantasm Hazard being destroyed 
The Combatant witnesses the Illusory nature of a Hazard that questions their belief
The Combatant knows for certain that the illusion being real is impossible
</v>
      </c>
    </row>
    <row r="115">
      <c r="A115" s="202" t="str">
        <f>IFERROR(__xludf.DUMMYFUNCTION("""COMPUTED_VALUE"""),"Master Martialist")</f>
        <v>Master Martialist</v>
      </c>
      <c r="B115" s="202" t="str">
        <f>IFERROR(__xludf.DUMMYFUNCTION("""COMPUTED_VALUE"""),"Martial Combat, Master Athletics or Combat")</f>
        <v>Martial Combat, Master Athletics or Combat</v>
      </c>
      <c r="C115" s="202" t="str">
        <f>IFERROR(__xludf.DUMMYFUNCTION("""COMPUTED_VALUE"""),"Static")</f>
        <v>Static</v>
      </c>
      <c r="D115" s="202" t="str">
        <f>IFERROR(__xludf.DUMMYFUNCTION("""COMPUTED_VALUE"""),"Effect: Choose two Attacks from the list below to Learn
Attack List: Adrenaline Boost, Close Combat, Dynamic Punch, High Jump Kick, Superpower")</f>
        <v>Effect: Choose two Attacks from the list below to Learn
Attack List: Adrenaline Boost, Close Combat, Dynamic Punch, High Jump Kick, Superpower</v>
      </c>
      <c r="E115" s="203"/>
      <c r="F115" s="204" t="str">
        <f>IFERROR(__xludf.DUMMYFUNCTION("""COMPUTED_VALUE"""),"Gymnast")</f>
        <v>Gymnast</v>
      </c>
      <c r="G115" s="204" t="str">
        <f>IFERROR(__xludf.DUMMYFUNCTION("""COMPUTED_VALUE"""),"Adept Acrobatics")</f>
        <v>Adept Acrobatics</v>
      </c>
      <c r="H115" s="204" t="str">
        <f>IFERROR(__xludf.DUMMYFUNCTION("""COMPUTED_VALUE"""),"Static")</f>
        <v>Static</v>
      </c>
      <c r="I115" s="204" t="str">
        <f>IFERROR(__xludf.DUMMYFUNCTION("""COMPUTED_VALUE"""),"Effect: You gain the Jumper Capability.")</f>
        <v>Effect: You gain the Jumper Capability.</v>
      </c>
      <c r="J115" s="203"/>
      <c r="K115" s="205"/>
      <c r="L115" s="205"/>
      <c r="M115" s="205"/>
    </row>
    <row r="116">
      <c r="A116" s="202" t="str">
        <f>IFERROR(__xludf.DUMMYFUNCTION("""COMPUTED_VALUE"""),"Nimble Combat")</f>
        <v>Nimble Combat</v>
      </c>
      <c r="B116" s="202" t="str">
        <f>IFERROR(__xludf.DUMMYFUNCTION("""COMPUTED_VALUE"""),"Strider or a Class Feature with Strider as a possible Prerequisite")</f>
        <v>Strider or a Class Feature with Strider as a possible Prerequisite</v>
      </c>
      <c r="C116" s="202" t="str">
        <f>IFERROR(__xludf.DUMMYFUNCTION("""COMPUTED_VALUE"""),"Static")</f>
        <v>Static</v>
      </c>
      <c r="D116" s="202" t="str">
        <f>IFERROR(__xludf.DUMMYFUNCTION("""COMPUTED_VALUE"""),"Effect: Choose two Attacks from the Novice Attack List below to learn. When you have Expert Acrobatics or Combat, choose two Attacks from the Novice or Expert Attack List below to learn. 
Novice Attack List: Aerial Ace, Acrobatics, Agility, Quick Attack,"&amp;" Quick Strike, Splash
Expert Attack List: Double Team, Extreme Speed, Mach Speed, Me First")</f>
        <v>Effect: Choose two Attacks from the Novice Attack List below to learn. When you have Expert Acrobatics or Combat, choose two Attacks from the Novice or Expert Attack List below to learn. 
Novice Attack List: Aerial Ace, Acrobatics, Agility, Quick Attack, Quick Strike, Splash
Expert Attack List: Double Team, Extreme Speed, Mach Speed, Me First</v>
      </c>
      <c r="E116" s="203"/>
      <c r="F116" s="204" t="str">
        <f>IFERROR(__xludf.DUMMYFUNCTION("""COMPUTED_VALUE"""),"Herb Crafter")</f>
        <v>Herb Crafter</v>
      </c>
      <c r="G116" s="204" t="str">
        <f>IFERROR(__xludf.DUMMYFUNCTION("""COMPUTED_VALUE"""),"Novice Nature Edu")</f>
        <v>Novice Nature Edu</v>
      </c>
      <c r="H116" s="204" t="str">
        <f>IFERROR(__xludf.DUMMYFUNCTION("""COMPUTED_VALUE"""),"Static")</f>
        <v>Static</v>
      </c>
      <c r="I116" s="204" t="str">
        <f>IFERROR(__xludf.DUMMYFUNCTION("""COMPUTED_VALUE"""),"Effect: You may craft Simple Poultices. At Expert Rank Nature Education, you may craft Greater Poultices. ")</f>
        <v>Effect: You may craft Simple Poultices. At Expert Rank Nature Education, you may craft Greater Poultices. </v>
      </c>
      <c r="J116" s="203"/>
      <c r="K116" s="205"/>
      <c r="L116" s="205"/>
      <c r="M116" s="205"/>
    </row>
    <row r="117">
      <c r="A117" s="202" t="str">
        <f>IFERROR(__xludf.DUMMYFUNCTION("""COMPUTED_VALUE"""),"Psionic Combat")</f>
        <v>Psionic Combat</v>
      </c>
      <c r="B117" s="202" t="str">
        <f>IFERROR(__xludf.DUMMYFUNCTION("""COMPUTED_VALUE"""),"Occult Researcher or Mystic or a Class Feature with either as a possible Prerequisite")</f>
        <v>Occult Researcher or Mystic or a Class Feature with either as a possible Prerequisite</v>
      </c>
      <c r="C117" s="202" t="str">
        <f>IFERROR(__xludf.DUMMYFUNCTION("""COMPUTED_VALUE"""),"Static")</f>
        <v>Static</v>
      </c>
      <c r="D117" s="202" t="str">
        <f>IFERROR(__xludf.DUMMYFUNCTION("""COMPUTED_VALUE"""),"Effect: Choose two Attacks from the Novice Attack List below to learn. When you have Expert Focus or Occult Edu, choose two Attacks from the Novice or Expert Attack List below to learn.
Novice Attack List: Calm Mind, Cosmic Power, Light Screen, Reflect, "&amp;"Safeguard
Expert Attack List: Barrier, Imprison, Heal Pulse, Hypnosis, Kinesis, Mirror Coat")</f>
        <v>Effect: Choose two Attacks from the Novice Attack List below to learn. When you have Expert Focus or Occult Edu, choose two Attacks from the Novice or Expert Attack List below to learn.
Novice Attack List: Calm Mind, Cosmic Power, Light Screen, Reflect, Safeguard
Expert Attack List: Barrier, Imprison, Heal Pulse, Hypnosis, Kinesis, Mirror Coat</v>
      </c>
      <c r="E117" s="203"/>
      <c r="F117" s="204" t="str">
        <f>IFERROR(__xludf.DUMMYFUNCTION("""COMPUTED_VALUE"""),"Home Advantage")</f>
        <v>Home Advantage</v>
      </c>
      <c r="G117" s="204" t="str">
        <f>IFERROR(__xludf.DUMMYFUNCTION("""COMPUTED_VALUE"""),"You have a Naturewalk Capability")</f>
        <v>You have a Naturewalk Capability</v>
      </c>
      <c r="H117" s="204" t="str">
        <f>IFERROR(__xludf.DUMMYFUNCTION("""COMPUTED_VALUE"""),"Static")</f>
        <v>Static</v>
      </c>
      <c r="I117" s="204" t="str">
        <f>IFERROR(__xludf.DUMMYFUNCTION("""COMPUTED_VALUE"""),"Effect: Choose a Naturewalk Capability you have. You gain a Boon to Skill Checks while in the chosen Terrain or involving Pokemon that have that Naturewalk Capability. This Boon only applies to Skill Checks related to the Terrain, not just being there. Th"&amp;"is may be taken multiple times, choosing a different Terrain each time.")</f>
        <v>Effect: Choose a Naturewalk Capability you have. You gain a Boon to Skill Checks while in the chosen Terrain or involving Pokemon that have that Naturewalk Capability. This Boon only applies to Skill Checks related to the Terrain, not just being there. This may be taken multiple times, choosing a different Terrain each time.</v>
      </c>
      <c r="J117" s="203"/>
      <c r="K117" s="205"/>
      <c r="L117" s="205"/>
      <c r="M117" s="205"/>
    </row>
    <row r="118">
      <c r="A118" s="202" t="str">
        <f>IFERROR(__xludf.DUMMYFUNCTION("""COMPUTED_VALUE"""),"Quick Switch")</f>
        <v>Quick Switch</v>
      </c>
      <c r="B118" s="202" t="str">
        <f>IFERROR(__xludf.DUMMYFUNCTION("""COMPUTED_VALUE"""),"Adept Acrobatics or Guile")</f>
        <v>Adept Acrobatics or Guile</v>
      </c>
      <c r="C118" s="202" t="str">
        <f>IFERROR(__xludf.DUMMYFUNCTION("""COMPUTED_VALUE"""),"Static")</f>
        <v>Static</v>
      </c>
      <c r="D118" s="202" t="str">
        <f>IFERROR(__xludf.DUMMYFUNCTION("""COMPUTED_VALUE"""),"Effect: Whenever any Standard Action is resolved, you may use your Reaction to Full Switch a Pokemon. ")</f>
        <v>Effect: Whenever any Standard Action is resolved, you may use your Reaction to Full Switch a Pokemon. </v>
      </c>
      <c r="E118" s="203"/>
      <c r="F118" s="204" t="str">
        <f>IFERROR(__xludf.DUMMYFUNCTION("""COMPUTED_VALUE"""),"Lapidary")</f>
        <v>Lapidary</v>
      </c>
      <c r="G118" s="204" t="str">
        <f>IFERROR(__xludf.DUMMYFUNCTION("""COMPUTED_VALUE"""),"Novice Focus, Occult Edu or Tech Edu")</f>
        <v>Novice Focus, Occult Edu or Tech Edu</v>
      </c>
      <c r="H118" s="204" t="str">
        <f>IFERROR(__xludf.DUMMYFUNCTION("""COMPUTED_VALUE"""),"Static")</f>
        <v>Static</v>
      </c>
      <c r="I118" s="204" t="str">
        <f>IFERROR(__xludf.DUMMYFUNCTION("""COMPUTED_VALUE"""),"Effect: You may craft Type Boosters or Type Braces. If you are an Artificer, at Expert Rank of your qualifying Skill, you may craft Type Augmentors, Stat Boosters and Status Guards.")</f>
        <v>Effect: You may craft Type Boosters or Type Braces. If you are an Artificer, at Expert Rank of your qualifying Skill, you may craft Type Augmentors, Stat Boosters and Status Guards.</v>
      </c>
      <c r="J118" s="203"/>
      <c r="K118" s="205"/>
      <c r="L118" s="205"/>
      <c r="M118" s="205"/>
    </row>
    <row r="119">
      <c r="A119" s="202" t="str">
        <f>IFERROR(__xludf.DUMMYFUNCTION("""COMPUTED_VALUE"""),"Resilient Body")</f>
        <v>Resilient Body</v>
      </c>
      <c r="B119" s="202" t="str">
        <f>IFERROR(__xludf.DUMMYFUNCTION("""COMPUTED_VALUE"""),"Adept Athletics")</f>
        <v>Adept Athletics</v>
      </c>
      <c r="C119" s="202" t="str">
        <f>IFERROR(__xludf.DUMMYFUNCTION("""COMPUTED_VALUE"""),"Static")</f>
        <v>Static</v>
      </c>
      <c r="D119" s="202" t="str">
        <f>IFERROR(__xludf.DUMMYFUNCTION("""COMPUTED_VALUE"""),"Effect: You have a bonus to Save Checks equal to your Tier Level while you’re affected by a Physical Affliction. You may perform the Respite Maneuver as a Standard Action instead of a Full Action.")</f>
        <v>Effect: You have a bonus to Save Checks equal to your Tier Level while you’re affected by a Physical Affliction. You may perform the Respite Maneuver as a Standard Action instead of a Full Action.</v>
      </c>
      <c r="E119" s="203"/>
      <c r="F119" s="204" t="str">
        <f>IFERROR(__xludf.DUMMYFUNCTION("""COMPUTED_VALUE"""),"Leatherworker")</f>
        <v>Leatherworker</v>
      </c>
      <c r="G119" s="204" t="str">
        <f>IFERROR(__xludf.DUMMYFUNCTION("""COMPUTED_VALUE"""),"Novice Focus, Gen Edu or Poke Edu")</f>
        <v>Novice Focus, Gen Edu or Poke Edu</v>
      </c>
      <c r="H119" s="204" t="str">
        <f>IFERROR(__xludf.DUMMYFUNCTION("""COMPUTED_VALUE"""),"Static")</f>
        <v>Static</v>
      </c>
      <c r="I119" s="204" t="str">
        <f>IFERROR(__xludf.DUMMYFUNCTION("""COMPUTED_VALUE"""),"Effect: You may craft Light Backpacks. At Adept Rank of your qualifying Skill, you may craft Cargo Bags, Artisan Bags and Pokemon Saddles. At Expert Rank, you may craft Heavy Backpacks.")</f>
        <v>Effect: You may craft Light Backpacks. At Adept Rank of your qualifying Skill, you may craft Cargo Bags, Artisan Bags and Pokemon Saddles. At Expert Rank, you may craft Heavy Backpacks.</v>
      </c>
      <c r="J119" s="203"/>
      <c r="K119" s="205"/>
      <c r="L119" s="205"/>
      <c r="M119" s="205"/>
    </row>
    <row r="120">
      <c r="A120" s="202" t="str">
        <f>IFERROR(__xludf.DUMMYFUNCTION("""COMPUTED_VALUE"""),"Resilient Mind")</f>
        <v>Resilient Mind</v>
      </c>
      <c r="B120" s="202" t="str">
        <f>IFERROR(__xludf.DUMMYFUNCTION("""COMPUTED_VALUE"""),"Adept Focus")</f>
        <v>Adept Focus</v>
      </c>
      <c r="C120" s="202" t="str">
        <f>IFERROR(__xludf.DUMMYFUNCTION("""COMPUTED_VALUE"""),"Static")</f>
        <v>Static</v>
      </c>
      <c r="D120" s="202" t="str">
        <f>IFERROR(__xludf.DUMMYFUNCTION("""COMPUTED_VALUE"""),"Effect: You have a bonus to Save Checks equal to your Tier Level while you’re affected by a Mental Affliction. As a Swift Action, you may double this bonus for your next Save Check this Turn, but can only cure a Mental Affliction if the Save Check succeed"&amp;"s.")</f>
        <v>Effect: You have a bonus to Save Checks equal to your Tier Level while you’re affected by a Mental Affliction. As a Swift Action, you may double this bonus for your next Save Check this Turn, but can only cure a Mental Affliction if the Save Check succeeds.</v>
      </c>
      <c r="E120" s="203"/>
      <c r="F120" s="204" t="str">
        <f>IFERROR(__xludf.DUMMYFUNCTION("""COMPUTED_VALUE"""),"Lurker")</f>
        <v>Lurker</v>
      </c>
      <c r="G120" s="204" t="str">
        <f>IFERROR(__xludf.DUMMYFUNCTION("""COMPUTED_VALUE"""),"Master Stealth")</f>
        <v>Master Stealth</v>
      </c>
      <c r="H120" s="204" t="str">
        <f>IFERROR(__xludf.DUMMYFUNCTION("""COMPUTED_VALUE"""),"Static")</f>
        <v>Static</v>
      </c>
      <c r="I120" s="204" t="str">
        <f>IFERROR(__xludf.DUMMYFUNCTION("""COMPUTED_VALUE"""),"Effect: You gain the Dead Silent Capability.")</f>
        <v>Effect: You gain the Dead Silent Capability.</v>
      </c>
      <c r="J120" s="203"/>
      <c r="K120" s="205"/>
      <c r="L120" s="205"/>
      <c r="M120" s="205"/>
    </row>
    <row r="121">
      <c r="A121" s="202" t="str">
        <f>IFERROR(__xludf.DUMMYFUNCTION("""COMPUTED_VALUE"""),"Stat Specialist")</f>
        <v>Stat Specialist</v>
      </c>
      <c r="B121" s="202" t="str">
        <f>IFERROR(__xludf.DUMMYFUNCTION("""COMPUTED_VALUE"""),"Expert Combat")</f>
        <v>Expert Combat</v>
      </c>
      <c r="C121" s="202" t="str">
        <f>IFERROR(__xludf.DUMMYFUNCTION("""COMPUTED_VALUE"""),"Static")</f>
        <v>Static</v>
      </c>
      <c r="D121" s="202" t="str">
        <f>IFERROR(__xludf.DUMMYFUNCTION("""COMPUTED_VALUE"""),"Effect: Choose a Stat other than HP. That Stat cannot be reduced below +0 CS by non-Boss Pokemon. The Default CS for that Stat is set to +1 CS.")</f>
        <v>Effect: Choose a Stat other than HP. That Stat cannot be reduced below +0 CS by non-Boss Pokemon. The Default CS for that Stat is set to +1 CS.</v>
      </c>
      <c r="E121" s="203"/>
      <c r="F121" s="204" t="str">
        <f>IFERROR(__xludf.DUMMYFUNCTION("""COMPUTED_VALUE"""),"Makeshift Artisan")</f>
        <v>Makeshift Artisan</v>
      </c>
      <c r="G121" s="204" t="str">
        <f>IFERROR(__xludf.DUMMYFUNCTION("""COMPUTED_VALUE"""),"None")</f>
        <v>None</v>
      </c>
      <c r="H121" s="204" t="str">
        <f>IFERROR(__xludf.DUMMYFUNCTION("""COMPUTED_VALUE"""),"Static")</f>
        <v>Static</v>
      </c>
      <c r="I121" s="204" t="str">
        <f>IFERROR(__xludf.DUMMYFUNCTION("""COMPUTED_VALUE"""),"Effect: Once per Game Day you may perform a Crafting Downtime Action without it taking a Time Phase. Items you create this way are destroyed at the end of the Game Day, however you are refunded all resources used in their creation. ")</f>
        <v>Effect: Once per Game Day you may perform a Crafting Downtime Action without it taking a Time Phase. Items you create this way are destroyed at the end of the Game Day, however you are refunded all resources used in their creation. </v>
      </c>
      <c r="J121" s="203"/>
      <c r="K121" s="205"/>
      <c r="L121" s="205"/>
      <c r="M121" s="205"/>
    </row>
    <row r="122">
      <c r="A122" s="202" t="str">
        <f>IFERROR(__xludf.DUMMYFUNCTION("""COMPUTED_VALUE"""),"Sharpshooter")</f>
        <v>Sharpshooter</v>
      </c>
      <c r="B122" s="202" t="str">
        <f>IFERROR(__xludf.DUMMYFUNCTION("""COMPUTED_VALUE"""),"Expert Focus or Perception")</f>
        <v>Expert Focus or Perception</v>
      </c>
      <c r="C122" s="202" t="str">
        <f>IFERROR(__xludf.DUMMYFUNCTION("""COMPUTED_VALUE"""),"Static")</f>
        <v>Static</v>
      </c>
      <c r="D122" s="202" t="str">
        <f>IFERROR(__xludf.DUMMYFUNCTION("""COMPUTED_VALUE"""),"Effect: You ignore Accuracy Penalties as a result of Rough or Cover Terrain.")</f>
        <v>Effect: You ignore Accuracy Penalties as a result of Rough or Cover Terrain.</v>
      </c>
      <c r="E122" s="203"/>
      <c r="F122" s="204" t="str">
        <f>IFERROR(__xludf.DUMMYFUNCTION("""COMPUTED_VALUE"""),"Manipulator")</f>
        <v>Manipulator</v>
      </c>
      <c r="G122" s="204" t="str">
        <f>IFERROR(__xludf.DUMMYFUNCTION("""COMPUTED_VALUE"""),"Novice Guile")</f>
        <v>Novice Guile</v>
      </c>
      <c r="H122" s="204" t="str">
        <f>IFERROR(__xludf.DUMMYFUNCTION("""COMPUTED_VALUE"""),"Static")</f>
        <v>Static</v>
      </c>
      <c r="I122" s="204" t="str">
        <f>IFERROR(__xludf.DUMMYFUNCTION("""COMPUTED_VALUE"""),"Effect: You may qualify for Charm Prerequisites as if they were Guile instead. Once you have Expert Guile, whenever you perform an Opposed Skill Check where the opposer is using a non-Body Skill, they apply a Bane to it. ")</f>
        <v>Effect: You may qualify for Charm Prerequisites as if they were Guile instead. Once you have Expert Guile, whenever you perform an Opposed Skill Check where the opposer is using a non-Body Skill, they apply a Bane to it. </v>
      </c>
      <c r="J122" s="203"/>
      <c r="K122" s="205"/>
      <c r="L122" s="205"/>
      <c r="M122" s="205"/>
    </row>
    <row r="123">
      <c r="A123" s="202" t="str">
        <f>IFERROR(__xludf.DUMMYFUNCTION("""COMPUTED_VALUE"""),"Signature Attack")</f>
        <v>Signature Attack</v>
      </c>
      <c r="B123" s="202" t="str">
        <f>IFERROR(__xludf.DUMMYFUNCTION("""COMPUTED_VALUE"""),"You’re at least Trainer Level 5")</f>
        <v>You’re at least Trainer Level 5</v>
      </c>
      <c r="C123" s="202" t="str">
        <f>IFERROR(__xludf.DUMMYFUNCTION("""COMPUTED_VALUE"""),"Static")</f>
        <v>Static</v>
      </c>
      <c r="D123" s="202" t="str">
        <f>IFERROR(__xludf.DUMMYFUNCTION("""COMPUTED_VALUE"""),"Effect: Choose an Attack on your Attack List. The Attack’s Frequency is improved by one step (EOT to At- Will, Scene to Scene x2, Scene x2 to Scene x3). If the chosen Attack is granted through a Weapon or Item, it only has this improvement while you’re Eq"&amp;"uipping it.")</f>
        <v>Effect: Choose an Attack on your Attack List. The Attack’s Frequency is improved by one step (EOT to At- Will, Scene to Scene x2, Scene x2 to Scene x3). If the chosen Attack is granted through a Weapon or Item, it only has this improvement while you’re Equipping it.</v>
      </c>
      <c r="E123" s="203"/>
      <c r="F123" s="204" t="str">
        <f>IFERROR(__xludf.DUMMYFUNCTION("""COMPUTED_VALUE"""),"Masked Aura")</f>
        <v>Masked Aura</v>
      </c>
      <c r="G123" s="204" t="str">
        <f>IFERROR(__xludf.DUMMYFUNCTION("""COMPUTED_VALUE"""),"Adept Occult Edu, Adept Focus or Guile")</f>
        <v>Adept Occult Edu, Adept Focus or Guile</v>
      </c>
      <c r="H123" s="204" t="str">
        <f>IFERROR(__xludf.DUMMYFUNCTION("""COMPUTED_VALUE"""),"Static")</f>
        <v>Static</v>
      </c>
      <c r="I123" s="204" t="str">
        <f>IFERROR(__xludf.DUMMYFUNCTION("""COMPUTED_VALUE"""),"Effect: In order for creatures to perform the Aura Reader or Soul Seer Capability against you, they must make an opposed Focus Check against your Focus or Guile. If they fail, you may tell them what information they see and falsify your true Aura or Soul."&amp;" This Talent can be ignored if you consent to the Capability usage, such as from an ally.")</f>
        <v>Effect: In order for creatures to perform the Aura Reader or Soul Seer Capability against you, they must make an opposed Focus Check against your Focus or Guile. If they fail, you may tell them what information they see and falsify your true Aura or Soul. This Talent can be ignored if you consent to the Capability usage, such as from an ally.</v>
      </c>
      <c r="J123" s="203"/>
      <c r="K123" s="205"/>
      <c r="L123" s="205"/>
      <c r="M123" s="205"/>
    </row>
    <row r="124">
      <c r="A124" s="202" t="str">
        <f>IFERROR(__xludf.DUMMYFUNCTION("""COMPUTED_VALUE"""),"Durable Protector")</f>
        <v>Durable Protector</v>
      </c>
      <c r="B124" s="202" t="str">
        <f>IFERROR(__xludf.DUMMYFUNCTION("""COMPUTED_VALUE"""),"Adept Athletics or Combat")</f>
        <v>Adept Athletics or Combat</v>
      </c>
      <c r="C124" s="202" t="str">
        <f>IFERROR(__xludf.DUMMYFUNCTION("""COMPUTED_VALUE"""),"Static")</f>
        <v>Static</v>
      </c>
      <c r="D124" s="202" t="str">
        <f>IFERROR(__xludf.DUMMYFUNCTION("""COMPUTED_VALUE"""),"Effect: Whenever you use the Intercept Maneuver, it isn’t increased by an additional damage step. ")</f>
        <v>Effect: Whenever you use the Intercept Maneuver, it isn’t increased by an additional damage step. </v>
      </c>
      <c r="E124" s="203"/>
      <c r="F124" s="204" t="str">
        <f>IFERROR(__xludf.DUMMYFUNCTION("""COMPUTED_VALUE"""),"Medical Brewer")</f>
        <v>Medical Brewer</v>
      </c>
      <c r="G124" s="204" t="str">
        <f>IFERROR(__xludf.DUMMYFUNCTION("""COMPUTED_VALUE"""),"Novice Med Edu")</f>
        <v>Novice Med Edu</v>
      </c>
      <c r="H124" s="204" t="str">
        <f>IFERROR(__xludf.DUMMYFUNCTION("""COMPUTED_VALUE"""),"Static")</f>
        <v>Static</v>
      </c>
      <c r="I124" s="204" t="str">
        <f>IFERROR(__xludf.DUMMYFUNCTION("""COMPUTED_VALUE"""),"Effect: You may craft Basic Healing Potions, Malady Potions, Strength Potions and Vitality Potions. At Expert Rank, you may craft Greater Healing Potions, Malady Potions, Strength Potions and Vitality Potions.")</f>
        <v>Effect: You may craft Basic Healing Potions, Malady Potions, Strength Potions and Vitality Potions. At Expert Rank, you may craft Greater Healing Potions, Malady Potions, Strength Potions and Vitality Potions.</v>
      </c>
      <c r="J124" s="203"/>
      <c r="K124" s="205"/>
      <c r="L124" s="205"/>
      <c r="M124" s="205"/>
    </row>
    <row r="125">
      <c r="A125" s="202"/>
      <c r="B125" s="202"/>
      <c r="C125" s="202"/>
      <c r="D125" s="202"/>
      <c r="E125" s="203"/>
      <c r="F125" s="204" t="str">
        <f>IFERROR(__xludf.DUMMYFUNCTION("""COMPUTED_VALUE"""),"Mentor")</f>
        <v>Mentor</v>
      </c>
      <c r="G125" s="204" t="str">
        <f>IFERROR(__xludf.DUMMYFUNCTION("""COMPUTED_VALUE"""),"Novice Poke Edu")</f>
        <v>Novice Poke Edu</v>
      </c>
      <c r="H125" s="204" t="str">
        <f>IFERROR(__xludf.DUMMYFUNCTION("""COMPUTED_VALUE"""),"Static")</f>
        <v>Static</v>
      </c>
      <c r="I125" s="204" t="str">
        <f>IFERROR(__xludf.DUMMYFUNCTION("""COMPUTED_VALUE"""),"Effect: Whenever you get at least 2 Successes while Training a Pokemon with the Training Downtime Action, you may teach them each a Tutor Attack for which they qualify for via Tutor Rules. You cannot teach Tier 2 Tutor Attacks without having at least Adep"&amp;"t Poke Edu. You cannot teach Tier 3 Tutor Attacks without having at least Expert Poke Edu")</f>
        <v>Effect: Whenever you get at least 2 Successes while Training a Pokemon with the Training Downtime Action, you may teach them each a Tutor Attack for which they qualify for via Tutor Rules. You cannot teach Tier 2 Tutor Attacks without having at least Adept Poke Edu. You cannot teach Tier 3 Tutor Attacks without having at least Expert Poke Edu</v>
      </c>
      <c r="J125" s="203"/>
      <c r="K125" s="205"/>
      <c r="L125" s="205"/>
      <c r="M125" s="205"/>
    </row>
    <row r="126">
      <c r="A126" s="202" t="str">
        <f>IFERROR(__xludf.DUMMYFUNCTION("""COMPUTED_VALUE"""),"Tactical Mind")</f>
        <v>Tactical Mind</v>
      </c>
      <c r="B126" s="202" t="str">
        <f>IFERROR(__xludf.DUMMYFUNCTION("""COMPUTED_VALUE"""),"Expert Combat or Intuition")</f>
        <v>Expert Combat or Intuition</v>
      </c>
      <c r="C126" s="202" t="str">
        <f>IFERROR(__xludf.DUMMYFUNCTION("""COMPUTED_VALUE"""),"Static")</f>
        <v>Static</v>
      </c>
      <c r="D126" s="202" t="str">
        <f>IFERROR(__xludf.DUMMYFUNCTION("""COMPUTED_VALUE"""),"Effect: Whenever you perform a Manipulate or Tactic Maneuver, its AC becomes 2 if it would otherwise be higher.")</f>
        <v>Effect: Whenever you perform a Manipulate or Tactic Maneuver, its AC becomes 2 if it would otherwise be higher.</v>
      </c>
      <c r="E126" s="203"/>
      <c r="F126" s="204" t="str">
        <f>IFERROR(__xludf.DUMMYFUNCTION("""COMPUTED_VALUE"""),"Natural Beauty")</f>
        <v>Natural Beauty</v>
      </c>
      <c r="G126" s="204" t="str">
        <f>IFERROR(__xludf.DUMMYFUNCTION("""COMPUTED_VALUE"""),"Adept Charm")</f>
        <v>Adept Charm</v>
      </c>
      <c r="H126" s="204" t="str">
        <f>IFERROR(__xludf.DUMMYFUNCTION("""COMPUTED_VALUE"""),"Static")</f>
        <v>Static</v>
      </c>
      <c r="I126" s="204" t="str">
        <f>IFERROR(__xludf.DUMMYFUNCTION("""COMPUTED_VALUE"""),"Effect: You gain the Alluring Capability.")</f>
        <v>Effect: You gain the Alluring Capability.</v>
      </c>
      <c r="J126" s="203"/>
      <c r="K126" s="205"/>
      <c r="L126" s="205"/>
      <c r="M126" s="205"/>
    </row>
    <row r="127">
      <c r="A127" s="202" t="str">
        <f>IFERROR(__xludf.DUMMYFUNCTION("""COMPUTED_VALUE"""),"Vocational Versatility")</f>
        <v>Vocational Versatility</v>
      </c>
      <c r="B127" s="202" t="str">
        <f>IFERROR(__xludf.DUMMYFUNCTION("""COMPUTED_VALUE"""),"None")</f>
        <v>None</v>
      </c>
      <c r="C127" s="202" t="str">
        <f>IFERROR(__xludf.DUMMYFUNCTION("""COMPUTED_VALUE"""),"Static")</f>
        <v>Static</v>
      </c>
      <c r="D127" s="202" t="str">
        <f>IFERROR(__xludf.DUMMYFUNCTION("""COMPUTED_VALUE"""),"Effect: You gain two Talents for which you Qualify. This Feature may be taken multiple times.")</f>
        <v>Effect: You gain two Talents for which you Qualify. This Feature may be taken multiple times.</v>
      </c>
      <c r="E127" s="203"/>
      <c r="F127" s="204" t="str">
        <f>IFERROR(__xludf.DUMMYFUNCTION("""COMPUTED_VALUE"""),"Occult Mastery")</f>
        <v>Occult Mastery</v>
      </c>
      <c r="G127" s="204" t="str">
        <f>IFERROR(__xludf.DUMMYFUNCTION("""COMPUTED_VALUE"""),"Master Occult Edu")</f>
        <v>Master Occult Edu</v>
      </c>
      <c r="H127" s="204" t="str">
        <f>IFERROR(__xludf.DUMMYFUNCTION("""COMPUTED_VALUE"""),"Static")</f>
        <v>Static</v>
      </c>
      <c r="I127" s="204" t="str">
        <f>IFERROR(__xludf.DUMMYFUNCTION("""COMPUTED_VALUE"""),"Effect: You learn a difficult Occult Skill that is possible in your Setting.")</f>
        <v>Effect: You learn a difficult Occult Skill that is possible in your Setting.</v>
      </c>
      <c r="J127" s="203"/>
      <c r="K127" s="205"/>
      <c r="L127" s="205"/>
      <c r="M127" s="205"/>
    </row>
    <row r="128">
      <c r="A128" s="202" t="str">
        <f>IFERROR(__xludf.DUMMYFUNCTION("""COMPUTED_VALUE"""),"Weapon Specialist")</f>
        <v>Weapon Specialist</v>
      </c>
      <c r="B128" s="202" t="str">
        <f>IFERROR(__xludf.DUMMYFUNCTION("""COMPUTED_VALUE"""),"Expert Combat")</f>
        <v>Expert Combat</v>
      </c>
      <c r="C128" s="202" t="str">
        <f>IFERROR(__xludf.DUMMYFUNCTION("""COMPUTED_VALUE"""),"Static")</f>
        <v>Static</v>
      </c>
      <c r="D128" s="202" t="str">
        <f>IFERROR(__xludf.DUMMYFUNCTION("""COMPUTED_VALUE"""),"Effect: You may use Damaging Attacks you learned as if they were Weapon Attacks. When used this way, their Range is replaced with the Weapon’s Range. Any other Range Keywords may still apply. If they’re Damaging, their Category is also shifted based on yo"&amp;"ur Weapon.")</f>
        <v>Effect: You may use Damaging Attacks you learned as if they were Weapon Attacks. When used this way, their Range is replaced with the Weapon’s Range. Any other Range Keywords may still apply. If they’re Damaging, their Category is also shifted based on your Weapon.</v>
      </c>
      <c r="E128" s="203"/>
      <c r="F128" s="204" t="str">
        <f>IFERROR(__xludf.DUMMYFUNCTION("""COMPUTED_VALUE"""),"Occult Training")</f>
        <v>Occult Training</v>
      </c>
      <c r="G128" s="204" t="str">
        <f>IFERROR(__xludf.DUMMYFUNCTION("""COMPUTED_VALUE"""),"Novice Occult Edu")</f>
        <v>Novice Occult Edu</v>
      </c>
      <c r="H128" s="204" t="str">
        <f>IFERROR(__xludf.DUMMYFUNCTION("""COMPUTED_VALUE"""),"Static")</f>
        <v>Static</v>
      </c>
      <c r="I128" s="204" t="str">
        <f>IFERROR(__xludf.DUMMYFUNCTION("""COMPUTED_VALUE"""),"Effect: You learn a basic Occult Skill that is possible in your Setting. You may take this Talent multiple tmes, choosing a different Skill each time.")</f>
        <v>Effect: You learn a basic Occult Skill that is possible in your Setting. You may take this Talent multiple tmes, choosing a different Skill each time.</v>
      </c>
      <c r="J128" s="203"/>
      <c r="K128" s="205"/>
      <c r="L128" s="205"/>
      <c r="M128" s="205"/>
    </row>
    <row r="129">
      <c r="A129" s="202" t="str">
        <f>IFERROR(__xludf.DUMMYFUNCTION("""COMPUTED_VALUE"""),"Commander")</f>
        <v>Commander</v>
      </c>
      <c r="B129" s="202" t="str">
        <f>IFERROR(__xludf.DUMMYFUNCTION("""COMPUTED_VALUE"""),"Novice Command")</f>
        <v>Novice Command</v>
      </c>
      <c r="C129" s="202" t="str">
        <f>IFERROR(__xludf.DUMMYFUNCTION("""COMPUTED_VALUE"""),"At-Will - Free Action")</f>
        <v>At-Will - Free Action</v>
      </c>
      <c r="D129" s="202" t="str">
        <f>IFERROR(__xludf.DUMMYFUNCTION("""COMPUTED_VALUE"""),"Trigger: You use an Order
Effect: One Target of the Triggering Order gains a Rallied Coat. A Rallied Coat can be expended as a Swift Action before the user rolls a d20 to add a d4 Modifier to it. At Tier 3, this upgrades to a d6. Commander can only be use"&amp;"d once per Round. 
Bonus: You gain the Battle Commander General Feature, ignoring Prerequisites")</f>
        <v>Trigger: You use an Order
Effect: One Target of the Triggering Order gains a Rallied Coat. A Rallied Coat can be expended as a Swift Action before the user rolls a d20 to add a d4 Modifier to it. At Tier 3, this upgrades to a d6. Commander can only be used once per Round. 
Bonus: You gain the Battle Commander General Feature, ignoring Prerequisites</v>
      </c>
      <c r="E129" s="203"/>
      <c r="F129" s="204" t="str">
        <f>IFERROR(__xludf.DUMMYFUNCTION("""COMPUTED_VALUE"""),"Pokemon Specialist")</f>
        <v>Pokemon Specialist</v>
      </c>
      <c r="G129" s="204" t="str">
        <f>IFERROR(__xludf.DUMMYFUNCTION("""COMPUTED_VALUE"""),"Novice Poke Edu")</f>
        <v>Novice Poke Edu</v>
      </c>
      <c r="H129" s="204" t="str">
        <f>IFERROR(__xludf.DUMMYFUNCTION("""COMPUTED_VALUE"""),"Static")</f>
        <v>Static</v>
      </c>
      <c r="I129" s="204" t="str">
        <f>IFERROR(__xludf.DUMMYFUNCTION("""COMPUTED_VALUE"""),"Effect: You may craft Basic Pokefood. At Expert Rank Poke Edu, you can craft Typed Pokefood and Pokepuffs. ")</f>
        <v>Effect: You may craft Basic Pokefood. At Expert Rank Poke Edu, you can craft Typed Pokefood and Pokepuffs. </v>
      </c>
      <c r="J129" s="203"/>
      <c r="K129" s="205"/>
      <c r="L129" s="205"/>
      <c r="M129" s="205"/>
    </row>
    <row r="130">
      <c r="A130" s="202" t="str">
        <f>IFERROR(__xludf.DUMMYFUNCTION("""COMPUTED_VALUE"""),"Battlefield Tactics")</f>
        <v>Battlefield Tactics</v>
      </c>
      <c r="B130" s="202" t="str">
        <f>IFERROR(__xludf.DUMMYFUNCTION("""COMPUTED_VALUE"""),"Commander, Novice Command")</f>
        <v>Commander, Novice Command</v>
      </c>
      <c r="C130" s="202" t="str">
        <f>IFERROR(__xludf.DUMMYFUNCTION("""COMPUTED_VALUE"""),"Static")</f>
        <v>Static</v>
      </c>
      <c r="D130" s="202" t="str">
        <f>IFERROR(__xludf.DUMMYFUNCTION("""COMPUTED_VALUE"""),"Effect: Once per Round, you may use a Basic Order as a Free Action instead of a Reaction. When you have 4 Commander Features, at any point you can spend a Swift Action or Movement Action to gain an additional Reaction.")</f>
        <v>Effect: Once per Round, you may use a Basic Order as a Free Action instead of a Reaction. When you have 4 Commander Features, at any point you can spend a Swift Action or Movement Action to gain an additional Reaction.</v>
      </c>
      <c r="E130" s="203"/>
      <c r="F130" s="204" t="str">
        <f>IFERROR(__xludf.DUMMYFUNCTION("""COMPUTED_VALUE"""),"Pokemon Trainer")</f>
        <v>Pokemon Trainer</v>
      </c>
      <c r="G130" s="204" t="str">
        <f>IFERROR(__xludf.DUMMYFUNCTION("""COMPUTED_VALUE"""),"Novice Command or Poke Edu")</f>
        <v>Novice Command or Poke Edu</v>
      </c>
      <c r="H130" s="204" t="str">
        <f>IFERROR(__xludf.DUMMYFUNCTION("""COMPUTED_VALUE"""),"Static")</f>
        <v>Static</v>
      </c>
      <c r="I130" s="204" t="str">
        <f>IFERROR(__xludf.DUMMYFUNCTION("""COMPUTED_VALUE"""),"Effect: When performing the Training Downtime Action, you may choose choose Pokémon equal to your Command or Poke Edu Rank instead of half of your Command Rank. You gain a Boon for any Socializing or Training Downtime Action involving your Pokemon.")</f>
        <v>Effect: When performing the Training Downtime Action, you may choose choose Pokémon equal to your Command or Poke Edu Rank instead of half of your Command Rank. You gain a Boon for any Socializing or Training Downtime Action involving your Pokemon.</v>
      </c>
      <c r="J130" s="203"/>
      <c r="K130" s="205"/>
      <c r="L130" s="205"/>
      <c r="M130" s="205"/>
    </row>
    <row r="131">
      <c r="A131" s="202" t="str">
        <f>IFERROR(__xludf.DUMMYFUNCTION("""COMPUTED_VALUE"""),"Shot Caller")</f>
        <v>Shot Caller</v>
      </c>
      <c r="B131" s="202" t="str">
        <f>IFERROR(__xludf.DUMMYFUNCTION("""COMPUTED_VALUE"""),"Commander, Adept Command")</f>
        <v>Commander, Adept Command</v>
      </c>
      <c r="C131" s="202" t="str">
        <f>IFERROR(__xludf.DUMMYFUNCTION("""COMPUTED_VALUE"""),"Static")</f>
        <v>Static</v>
      </c>
      <c r="D131" s="202" t="str">
        <f>IFERROR(__xludf.DUMMYFUNCTION("""COMPUTED_VALUE"""),"Effect: You gain the Focused Commander Feature. Allied Pokemon may also use Actions from your set of Trainer Actions if desired, with the same restrictions as well as your SP. ")</f>
        <v>Effect: You gain the Focused Commander Feature. Allied Pokemon may also use Actions from your set of Trainer Actions if desired, with the same restrictions as well as your SP. </v>
      </c>
      <c r="E131" s="203"/>
      <c r="F131" s="204" t="str">
        <f>IFERROR(__xludf.DUMMYFUNCTION("""COMPUTED_VALUE"""),"Powerlifter")</f>
        <v>Powerlifter</v>
      </c>
      <c r="G131" s="204" t="str">
        <f>IFERROR(__xludf.DUMMYFUNCTION("""COMPUTED_VALUE"""),"Adept Athletics")</f>
        <v>Adept Athletics</v>
      </c>
      <c r="H131" s="204" t="str">
        <f>IFERROR(__xludf.DUMMYFUNCTION("""COMPUTED_VALUE"""),"Static")</f>
        <v>Static</v>
      </c>
      <c r="I131" s="204" t="str">
        <f>IFERROR(__xludf.DUMMYFUNCTION("""COMPUTED_VALUE"""),"Effect: Your Power is determined by double your Athletics Rank instead of both your Athletics and Combat Rank.")</f>
        <v>Effect: Your Power is determined by double your Athletics Rank instead of both your Athletics and Combat Rank.</v>
      </c>
      <c r="J131" s="203"/>
      <c r="K131" s="205"/>
      <c r="L131" s="205"/>
      <c r="M131" s="205"/>
    </row>
    <row r="132">
      <c r="A132" s="202" t="str">
        <f>IFERROR(__xludf.DUMMYFUNCTION("""COMPUTED_VALUE"""),"Tactical Correction")</f>
        <v>Tactical Correction</v>
      </c>
      <c r="B132" s="202" t="str">
        <f>IFERROR(__xludf.DUMMYFUNCTION("""COMPUTED_VALUE"""),"Commander, Expert Command ")</f>
        <v>Commander, Expert Command </v>
      </c>
      <c r="C132" s="202" t="str">
        <f>IFERROR(__xludf.DUMMYFUNCTION("""COMPUTED_VALUE"""),"Scene x3 - Reaction")</f>
        <v>Scene x3 - Reaction</v>
      </c>
      <c r="D132" s="202" t="str">
        <f>IFERROR(__xludf.DUMMYFUNCTION("""COMPUTED_VALUE"""),"Trigger: An Ally fails a Skill Check, Save Check or Accuracy Check in Combat
Effect: The Triggering Check is rerolled. A Roll can only trigger this Feature once. ")</f>
        <v>Trigger: An Ally fails a Skill Check, Save Check or Accuracy Check in Combat
Effect: The Triggering Check is rerolled. A Roll can only trigger this Feature once. </v>
      </c>
      <c r="E132" s="203"/>
      <c r="F132" s="204" t="str">
        <f>IFERROR(__xludf.DUMMYFUNCTION("""COMPUTED_VALUE"""),"Researcher")</f>
        <v>Researcher</v>
      </c>
      <c r="G132" s="204" t="str">
        <f>IFERROR(__xludf.DUMMYFUNCTION("""COMPUTED_VALUE"""),"Any Novice Edu Skill")</f>
        <v>Any Novice Edu Skill</v>
      </c>
      <c r="H132" s="204" t="str">
        <f>IFERROR(__xludf.DUMMYFUNCTION("""COMPUTED_VALUE"""),"Static")</f>
        <v>Static</v>
      </c>
      <c r="I132" s="204" t="str">
        <f>IFERROR(__xludf.DUMMYFUNCTION("""COMPUTED_VALUE"""),"Effect: Whenever you perform the Innovate or Research Downtime Action, after the Skill Check, add a modifier to the result equal to three times the number of dice that resulted in a 4 or higher. (If you rolled a 3d6 and the result was 3,5,1, the final res"&amp;"ult will be 12, as you are adding +3 from the ‘5’ result) ")</f>
        <v>Effect: Whenever you perform the Innovate or Research Downtime Action, after the Skill Check, add a modifier to the result equal to three times the number of dice that resulted in a 4 or higher. (If you rolled a 3d6 and the result was 3,5,1, the final result will be 12, as you are adding +3 from the ‘5’ result) </v>
      </c>
      <c r="J132" s="203"/>
      <c r="K132" s="205"/>
      <c r="L132" s="205"/>
      <c r="M132" s="205"/>
    </row>
    <row r="133">
      <c r="A133" s="202" t="str">
        <f>IFERROR(__xludf.DUMMYFUNCTION("""COMPUTED_VALUE"""),"Rallying Command")</f>
        <v>Rallying Command</v>
      </c>
      <c r="B133" s="202" t="str">
        <f>IFERROR(__xludf.DUMMYFUNCTION("""COMPUTED_VALUE"""),"Commander, Master Command")</f>
        <v>Commander, Master Command</v>
      </c>
      <c r="C133" s="202" t="str">
        <f>IFERROR(__xludf.DUMMYFUNCTION("""COMPUTED_VALUE"""),"Scene x2 - Swift Action")</f>
        <v>Scene x2 - Swift Action</v>
      </c>
      <c r="D133" s="202" t="str">
        <f>IFERROR(__xludf.DUMMYFUNCTION("""COMPUTED_VALUE"""),"Target: An Ally 
Effect: Choose an Effect below to apply to the Target:
&gt; The Target gains 3 Ticks of Temporary Hit Points 
&gt; The Target is cured of a Mental Affliction
&gt; The Target gains their choice of an extra Swift or Movement Action on their next"&amp;" Turn. This cannot be selected if there are multiple Targets.  
")</f>
        <v>Target: An Ally 
Effect: Choose an Effect below to apply to the Target:
&gt; The Target gains 3 Ticks of Temporary Hit Points 
&gt; The Target is cured of a Mental Affliction
&gt; The Target gains their choice of an extra Swift or Movement Action on their next Turn. This cannot be selected if there are multiple Targets.  
</v>
      </c>
      <c r="E133" s="203"/>
      <c r="F133" s="204" t="str">
        <f>IFERROR(__xludf.DUMMYFUNCTION("""COMPUTED_VALUE"""),"Scavenger")</f>
        <v>Scavenger</v>
      </c>
      <c r="G133" s="204" t="str">
        <f>IFERROR(__xludf.DUMMYFUNCTION("""COMPUTED_VALUE"""),"Novice Nature Edu or Perception")</f>
        <v>Novice Nature Edu or Perception</v>
      </c>
      <c r="H133" s="204" t="str">
        <f>IFERROR(__xludf.DUMMYFUNCTION("""COMPUTED_VALUE"""),"Static")</f>
        <v>Static</v>
      </c>
      <c r="I133" s="204" t="str">
        <f>IFERROR(__xludf.DUMMYFUNCTION("""COMPUTED_VALUE"""),"Effect: Whenever you perform the Exploration Downtime Action, roll a d20 Luck Roll. On a 6 or less you find nothing. On a 7-12 you find something worth $500 or less. On a 13-18 you find something worth  $1,000 or less. On a 19+ you find something worth $2"&amp;",000 or less. As a GM you may determine when this Talent is applicable and what they may find depending on their Environment, such as finding spare cashin a city.")</f>
        <v>Effect: Whenever you perform the Exploration Downtime Action, roll a d20 Luck Roll. On a 6 or less you find nothing. On a 7-12 you find something worth $500 or less. On a 13-18 you find something worth  $1,000 or less. On a 19+ you find something worth $2,000 or less. As a GM you may determine when this Talent is applicable and what they may find depending on their Environment, such as finding spare cashin a city.</v>
      </c>
      <c r="J133" s="203"/>
      <c r="K133" s="205"/>
      <c r="L133" s="205"/>
      <c r="M133" s="205"/>
    </row>
    <row r="134">
      <c r="A134" s="202" t="str">
        <f>IFERROR(__xludf.DUMMYFUNCTION("""COMPUTED_VALUE"""),"Motivator")</f>
        <v>Motivator</v>
      </c>
      <c r="B134" s="202" t="str">
        <f>IFERROR(__xludf.DUMMYFUNCTION("""COMPUTED_VALUE"""),"Prerequisite 1: Commander or Performer [or]
Prerequisite 2: Adept Charm and Novice Command")</f>
        <v>Prerequisite 1: Commander or Performer [or]
Prerequisite 2: Adept Charm and Novice Command</v>
      </c>
      <c r="C134" s="202" t="str">
        <f>IFERROR(__xludf.DUMMYFUNCTION("""COMPUTED_VALUE"""),"At-Will - Swift Action")</f>
        <v>At-Will - Swift Action</v>
      </c>
      <c r="D134" s="202" t="str">
        <f>IFERROR(__xludf.DUMMYFUNCTION("""COMPUTED_VALUE"""),"Target: Up to three Allied Combatants
Effect: The Targets gain a Motivated Coat.
Bonus: You gain the Battle Commander General Feature, ignoring Prerequisites 
*See Mechanics - Cheerleader")</f>
        <v>Target: Up to three Allied Combatants
Effect: The Targets gain a Motivated Coat.
Bonus: You gain the Battle Commander General Feature, ignoring Prerequisites 
*See Mechanics - Cheerleader</v>
      </c>
      <c r="E134" s="203"/>
      <c r="F134" s="204" t="str">
        <f>IFERROR(__xludf.DUMMYFUNCTION("""COMPUTED_VALUE"""),"Scout")</f>
        <v>Scout</v>
      </c>
      <c r="G134" s="204" t="str">
        <f>IFERROR(__xludf.DUMMYFUNCTION("""COMPUTED_VALUE"""),"Expert Perception or Nature Edu")</f>
        <v>Expert Perception or Nature Edu</v>
      </c>
      <c r="H134" s="204" t="str">
        <f>IFERROR(__xludf.DUMMYFUNCTION("""COMPUTED_VALUE"""),"Static")</f>
        <v>Static</v>
      </c>
      <c r="I134" s="204" t="str">
        <f>IFERROR(__xludf.DUMMYFUNCTION("""COMPUTED_VALUE"""),"Effect: Whenever your GM performs a Travel Check during a Journey, they must inform you if a result of 9 or less was rolled. You then gain some information about what the Travel Check will result in before your group encounters it. Instead of Encountering"&amp;" it, your group may decide to avoid it, requiring a Skill Check or penalty of some sort, then the Travel Check will be resolved. The difficulty or penalty will depend on what the Travel Check resulted in.")</f>
        <v>Effect: Whenever your GM performs a Travel Check during a Journey, they must inform you if a result of 9 or less was rolled. You then gain some information about what the Travel Check will result in before your group encounters it. Instead of Encountering it, your group may decide to avoid it, requiring a Skill Check or penalty of some sort, then the Travel Check will be resolved. The difficulty or penalty will depend on what the Travel Check resulted in.</v>
      </c>
      <c r="J134" s="203"/>
      <c r="K134" s="205"/>
      <c r="L134" s="205"/>
      <c r="M134" s="205"/>
    </row>
    <row r="135">
      <c r="A135" s="202" t="str">
        <f>IFERROR(__xludf.DUMMYFUNCTION("""COMPUTED_VALUE"""),"Motivational Cheering")</f>
        <v>Motivational Cheering</v>
      </c>
      <c r="B135" s="202" t="str">
        <f>IFERROR(__xludf.DUMMYFUNCTION("""COMPUTED_VALUE"""),"Motivator, Novice Charm or Command")</f>
        <v>Motivator, Novice Charm or Command</v>
      </c>
      <c r="C135" s="202" t="str">
        <f>IFERROR(__xludf.DUMMYFUNCTION("""COMPUTED_VALUE"""),"Static")</f>
        <v>Static</v>
      </c>
      <c r="D135" s="202" t="str">
        <f>IFERROR(__xludf.DUMMYFUNCTION("""COMPUTED_VALUE"""),"Effect: Whenever you use a Basic Order, one Target of it gains a Motivated Coat. ")</f>
        <v>Effect: Whenever you use a Basic Order, one Target of it gains a Motivated Coat. </v>
      </c>
      <c r="E135" s="203"/>
      <c r="F135" s="204" t="str">
        <f>IFERROR(__xludf.DUMMYFUNCTION("""COMPUTED_VALUE"""),"Skill Specialty")</f>
        <v>Skill Specialty</v>
      </c>
      <c r="G135" s="204" t="str">
        <f>IFERROR(__xludf.DUMMYFUNCTION("""COMPUTED_VALUE"""),"A Novice Skill")</f>
        <v>A Novice Skill</v>
      </c>
      <c r="H135" s="204" t="str">
        <f>IFERROR(__xludf.DUMMYFUNCTION("""COMPUTED_VALUE"""),"Static")</f>
        <v>Static</v>
      </c>
      <c r="I135" s="204" t="str">
        <f>IFERROR(__xludf.DUMMYFUNCTION("""COMPUTED_VALUE"""),"Effect: Choose a Specialty based on one of your qualifying Skills. Whenever you would perform a Skill Check that is related to your Specialty, add 1d6 to the roll (This may exceed 6d6). If your Specialty is deemed to be Niche in application, you may inste"&amp;"ad take two Niche Specialties. You may take this Talent multiple times.
Note: A list of preapproved Specialties is listed in the Rule Book")</f>
        <v>Effect: Choose a Specialty based on one of your qualifying Skills. Whenever you would perform a Skill Check that is related to your Specialty, add 1d6 to the roll (This may exceed 6d6). If your Specialty is deemed to be Niche in application, you may instead take two Niche Specialties. You may take this Talent multiple times.
Note: A list of preapproved Specialties is listed in the Rule Book</v>
      </c>
      <c r="J135" s="203"/>
      <c r="K135" s="205"/>
      <c r="L135" s="205"/>
      <c r="M135" s="205"/>
    </row>
    <row r="136">
      <c r="A136" s="202" t="str">
        <f>IFERROR(__xludf.DUMMYFUNCTION("""COMPUTED_VALUE"""),"Go, Fight, Win!")</f>
        <v>Go, Fight, Win!</v>
      </c>
      <c r="B136" s="202" t="str">
        <f>IFERROR(__xludf.DUMMYFUNCTION("""COMPUTED_VALUE"""),"Motivator, Adept Charm or Command")</f>
        <v>Motivator, Adept Charm or Command</v>
      </c>
      <c r="C136" s="202" t="str">
        <f>IFERROR(__xludf.DUMMYFUNCTION("""COMPUTED_VALUE"""),"Scene x2 - Swift Action")</f>
        <v>Scene x2 - Swift Action</v>
      </c>
      <c r="D136" s="202" t="str">
        <f>IFERROR(__xludf.DUMMYFUNCTION("""COMPUTED_VALUE"""),"[Order] 
Target: An Ally within 5m
Effect: Choose an Effect below to apply to the Target:
» The next time the Target would expend a Motivated Coat, they instead don’t.
» The Target is cured of a Status Affliction.
» The Target’s next Attack gains the Sur"&amp;"eshot Keyword.")</f>
        <v>[Order] 
Target: An Ally within 5m
Effect: Choose an Effect below to apply to the Target:
» The next time the Target would expend a Motivated Coat, they instead don’t.
» The Target is cured of a Status Affliction.
» The Target’s next Attack gains the Sureshot Keyword.</v>
      </c>
      <c r="E136" s="203"/>
      <c r="F136" s="204" t="str">
        <f>IFERROR(__xludf.DUMMYFUNCTION("""COMPUTED_VALUE"""),"Socialite")</f>
        <v>Socialite</v>
      </c>
      <c r="G136" s="204" t="str">
        <f>IFERROR(__xludf.DUMMYFUNCTION("""COMPUTED_VALUE"""),"Adept Charm or Guile")</f>
        <v>Adept Charm or Guile</v>
      </c>
      <c r="H136" s="204" t="str">
        <f>IFERROR(__xludf.DUMMYFUNCTION("""COMPUTED_VALUE"""),"Static")</f>
        <v>Static</v>
      </c>
      <c r="I136" s="204" t="str">
        <f>IFERROR(__xludf.DUMMYFUNCTION("""COMPUTED_VALUE"""),"Effect: You gain a Boon for any Socializing Downtime Check involving non-Pokemon NPCs.")</f>
        <v>Effect: You gain a Boon for any Socializing Downtime Check involving non-Pokemon NPCs.</v>
      </c>
      <c r="J136" s="203"/>
      <c r="K136" s="205"/>
      <c r="L136" s="205"/>
      <c r="M136" s="205"/>
    </row>
    <row r="137">
      <c r="A137" s="202" t="str">
        <f>IFERROR(__xludf.DUMMYFUNCTION("""COMPUTED_VALUE"""),"Inspirational Support")</f>
        <v>Inspirational Support</v>
      </c>
      <c r="B137" s="202" t="str">
        <f>IFERROR(__xludf.DUMMYFUNCTION("""COMPUTED_VALUE"""),"Motivator, 2 Motivator Features, Expert Charm or Command")</f>
        <v>Motivator, 2 Motivator Features, Expert Charm or Command</v>
      </c>
      <c r="C137" s="202" t="str">
        <f>IFERROR(__xludf.DUMMYFUNCTION("""COMPUTED_VALUE"""),"At-Will - Extended Action")</f>
        <v>At-Will - Extended Action</v>
      </c>
      <c r="D137" s="202" t="str">
        <f>IFERROR(__xludf.DUMMYFUNCTION("""COMPUTED_VALUE"""),"Target: Your Trained Pokemon
Trigger: You use a Downtime Action to Train your Pokemon
Effect: The Target gains the Helper or Friend Guard Ability. Your Pokemon can only have one Ability gained this way at a time.
Bonus: You learn the Helper Ability. When "&amp;"you use an [Order] on a Single Ally, it also Triggers the Helper Ability.")</f>
        <v>Target: Your Trained Pokemon
Trigger: You use a Downtime Action to Train your Pokemon
Effect: The Target gains the Helper or Friend Guard Ability. Your Pokemon can only have one Ability gained this way at a time.
Bonus: You learn the Helper Ability. When you use an [Order] on a Single Ally, it also Triggers the Helper Ability.</v>
      </c>
      <c r="E137" s="203"/>
      <c r="F137" s="204" t="str">
        <f>IFERROR(__xludf.DUMMYFUNCTION("""COMPUTED_VALUE"""),"Speedster")</f>
        <v>Speedster</v>
      </c>
      <c r="G137" s="204" t="str">
        <f>IFERROR(__xludf.DUMMYFUNCTION("""COMPUTED_VALUE"""),"Expert Acrobatics")</f>
        <v>Expert Acrobatics</v>
      </c>
      <c r="H137" s="204" t="str">
        <f>IFERROR(__xludf.DUMMYFUNCTION("""COMPUTED_VALUE"""),"Static")</f>
        <v>Static</v>
      </c>
      <c r="I137" s="204" t="str">
        <f>IFERROR(__xludf.DUMMYFUNCTION("""COMPUTED_VALUE"""),"Effect: You gain the Quick Capability.")</f>
        <v>Effect: You gain the Quick Capability.</v>
      </c>
      <c r="J137" s="203"/>
      <c r="K137" s="205"/>
      <c r="L137" s="205"/>
      <c r="M137" s="205"/>
    </row>
    <row r="138">
      <c r="A138" s="202" t="str">
        <f>IFERROR(__xludf.DUMMYFUNCTION("""COMPUTED_VALUE"""),"Don't Give Up!")</f>
        <v>Don't Give Up!</v>
      </c>
      <c r="B138" s="202" t="str">
        <f>IFERROR(__xludf.DUMMYFUNCTION("""COMPUTED_VALUE"""),"Motivator, 3 Motivator Features, Master Charm or Command")</f>
        <v>Motivator, 3 Motivator Features, Master Charm or Command</v>
      </c>
      <c r="C138" s="202" t="str">
        <f>IFERROR(__xludf.DUMMYFUNCTION("""COMPUTED_VALUE"""),"Scene - Reaction")</f>
        <v>Scene - Reaction</v>
      </c>
      <c r="D138" s="202" t="str">
        <f>IFERROR(__xludf.DUMMYFUNCTION("""COMPUTED_VALUE"""),"Trigger: An Ally with a Motivated Coat would Faint
Effect: The Triggering Ally expends the Motivated Coat and is set to 1 Hit Point instead of Fainting. They also gain a number of Ticks of Temporary Hit Points equal to the number of Allies within 2m of th"&amp;"em.")</f>
        <v>Trigger: An Ally with a Motivated Coat would Faint
Effect: The Triggering Ally expends the Motivated Coat and is set to 1 Hit Point instead of Fainting. They also gain a number of Ticks of Temporary Hit Points equal to the number of Allies within 2m of them.</v>
      </c>
      <c r="E138" s="203"/>
      <c r="F138" s="204" t="str">
        <f>IFERROR(__xludf.DUMMYFUNCTION("""COMPUTED_VALUE"""),"Strategic")</f>
        <v>Strategic</v>
      </c>
      <c r="G138" s="204" t="str">
        <f>IFERROR(__xludf.DUMMYFUNCTION("""COMPUTED_VALUE"""),"Novice Intuition or Perception")</f>
        <v>Novice Intuition or Perception</v>
      </c>
      <c r="H138" s="204" t="str">
        <f>IFERROR(__xludf.DUMMYFUNCTION("""COMPUTED_VALUE"""),"Static")</f>
        <v>Static</v>
      </c>
      <c r="I138" s="204" t="str">
        <f>IFERROR(__xludf.DUMMYFUNCTION("""COMPUTED_VALUE"""),"Effect: You have a Boon to any Skill Check resulting from the Analyze Maneuver. Whenever you perform a Skill Check for the Analyze Maneuver that isn’t Intuition or Perception, add a 2d6 to the roll. You cannot exceed 6d6 this way. ")</f>
        <v>Effect: You have a Boon to any Skill Check resulting from the Analyze Maneuver. Whenever you perform a Skill Check for the Analyze Maneuver that isn’t Intuition or Perception, add a 2d6 to the roll. You cannot exceed 6d6 this way. </v>
      </c>
      <c r="J138" s="203"/>
      <c r="K138" s="205"/>
      <c r="L138" s="205"/>
      <c r="M138" s="205"/>
    </row>
    <row r="139">
      <c r="A139" s="202" t="str">
        <f>IFERROR(__xludf.DUMMYFUNCTION("""COMPUTED_VALUE"""),"Hunter")</f>
        <v>Hunter</v>
      </c>
      <c r="B139" s="202" t="str">
        <f>IFERROR(__xludf.DUMMYFUNCTION("""COMPUTED_VALUE"""),"Prerequisite 1: Commander [or]
Prerequisite 2: Adept Command or Nature Edu")</f>
        <v>Prerequisite 1: Commander [or]
Prerequisite 2: Adept Command or Nature Edu</v>
      </c>
      <c r="C139" s="202" t="str">
        <f>IFERROR(__xludf.DUMMYFUNCTION("""COMPUTED_VALUE"""),"Static")</f>
        <v>Static</v>
      </c>
      <c r="D139" s="202" t="str">
        <f>IFERROR(__xludf.DUMMYFUNCTION("""COMPUTED_VALUE"""),"Effect: You and your Pokemon learn the Pack Hunt Ability. You gain the Battle Commander General Feature, ignoring Prerequisites. ")</f>
        <v>Effect: You and your Pokemon learn the Pack Hunt Ability. You gain the Battle Commander General Feature, ignoring Prerequisites. </v>
      </c>
      <c r="E139" s="203"/>
      <c r="F139" s="204" t="str">
        <f>IFERROR(__xludf.DUMMYFUNCTION("""COMPUTED_VALUE"""),"Supply Carrier")</f>
        <v>Supply Carrier</v>
      </c>
      <c r="G139" s="204" t="str">
        <f>IFERROR(__xludf.DUMMYFUNCTION("""COMPUTED_VALUE"""),"Expert Athletics")</f>
        <v>Expert Athletics</v>
      </c>
      <c r="H139" s="204" t="str">
        <f>IFERROR(__xludf.DUMMYFUNCTION("""COMPUTED_VALUE"""),"Static")</f>
        <v>Static</v>
      </c>
      <c r="I139" s="204" t="str">
        <f>IFERROR(__xludf.DUMMYFUNCTION("""COMPUTED_VALUE"""),"Effect: You may put Items without the [Equipment] Keyword in your Equipment Slots.")</f>
        <v>Effect: You may put Items without the [Equipment] Keyword in your Equipment Slots.</v>
      </c>
      <c r="J139" s="203"/>
      <c r="K139" s="205"/>
      <c r="L139" s="205"/>
      <c r="M139" s="205"/>
    </row>
    <row r="140">
      <c r="A140" s="202" t="str">
        <f>IFERROR(__xludf.DUMMYFUNCTION("""COMPUTED_VALUE"""),"Hunter's Mark")</f>
        <v>Hunter's Mark</v>
      </c>
      <c r="B140" s="202" t="str">
        <f>IFERROR(__xludf.DUMMYFUNCTION("""COMPUTED_VALUE"""),"Hunter, Novice Command or Nature Edu ")</f>
        <v>Hunter, Novice Command or Nature Edu </v>
      </c>
      <c r="C140" s="202" t="str">
        <f>IFERROR(__xludf.DUMMYFUNCTION("""COMPUTED_VALUE"""),"At-Will - Swift Action")</f>
        <v>At-Will - Swift Action</v>
      </c>
      <c r="D140" s="202" t="str">
        <f>IFERROR(__xludf.DUMMYFUNCTION("""COMPUTED_VALUE"""),"[Order]
Target: An Enemy within 10m
Effect: The Target becomes Marked with a Prey mark. When you or your Pokemon move and end their movement in a space that is adjacent to an Enemy with your Prey Mark, that movement does not provoke Attacks of Opportunity"&amp;". When Enemies with your Prey Mark move, if you or your Pokemon were Adjacent to them, they may Slide into a space that is adjacent to that Enemy as a Free Action. Enemies with your Prey Mark cannot perform the Disengage Maneuver while they’re Adjacent to"&amp;" you or your Pokemon.")</f>
        <v>[Order]
Target: An Enemy within 10m
Effect: The Target becomes Marked with a Prey mark. When you or your Pokemon move and end their movement in a space that is adjacent to an Enemy with your Prey Mark, that movement does not provoke Attacks of Opportunity. When Enemies with your Prey Mark move, if you or your Pokemon were Adjacent to them, they may Slide into a space that is adjacent to that Enemy as a Free Action. Enemies with your Prey Mark cannot perform the Disengage Maneuver while they’re Adjacent to you or your Pokemon.</v>
      </c>
      <c r="E140" s="203"/>
      <c r="F140" s="204"/>
      <c r="G140" s="204"/>
      <c r="H140" s="204"/>
      <c r="I140" s="204"/>
      <c r="J140" s="203"/>
      <c r="K140" s="205"/>
      <c r="L140" s="205"/>
      <c r="M140" s="205"/>
    </row>
    <row r="141">
      <c r="A141" s="202" t="str">
        <f>IFERROR(__xludf.DUMMYFUNCTION("""COMPUTED_VALUE"""),"Don't Look Away")</f>
        <v>Don't Look Away</v>
      </c>
      <c r="B141" s="202" t="str">
        <f>IFERROR(__xludf.DUMMYFUNCTION("""COMPUTED_VALUE"""),"Hunter, 2 Hunter Features, Expert Command or Nature Edu")</f>
        <v>Hunter, 2 Hunter Features, Expert Command or Nature Edu</v>
      </c>
      <c r="C141" s="202" t="str">
        <f>IFERROR(__xludf.DUMMYFUNCTION("""COMPUTED_VALUE"""),"Scene x2 - Free Action")</f>
        <v>Scene x2 - Free Action</v>
      </c>
      <c r="D141" s="202" t="str">
        <f>IFERROR(__xludf.DUMMYFUNCTION("""COMPUTED_VALUE"""),"Trigger: You or your Pokemon would use an Attack of Opportunity
Effect: Choose one of the following effects to apply:
» Instead of a Basic Attack, they may use a Natural At-Will Damaging Attack against the Triggering Enemy
» Instead of using a Basic Atta"&amp;"ck, they use a Trip Maneuver against the Triggering Enemy, ignoring Range and interrupting Movement should it succeed.
» After the Attack of Opportunity resolves, the Triggering Enemy becomes Slowed until the end of their next Turn.")</f>
        <v>Trigger: You or your Pokemon would use an Attack of Opportunity
Effect: Choose one of the following effects to apply:
» Instead of a Basic Attack, they may use a Natural At-Will Damaging Attack against the Triggering Enemy
» Instead of using a Basic Attack, they use a Trip Maneuver against the Triggering Enemy, ignoring Range and interrupting Movement should it succeed.
» After the Attack of Opportunity resolves, the Triggering Enemy becomes Slowed until the end of their next Turn.</v>
      </c>
      <c r="E141" s="203"/>
      <c r="F141" s="204" t="str">
        <f>IFERROR(__xludf.DUMMYFUNCTION("""COMPUTED_VALUE"""),"Survivalist")</f>
        <v>Survivalist</v>
      </c>
      <c r="G141" s="204" t="str">
        <f>IFERROR(__xludf.DUMMYFUNCTION("""COMPUTED_VALUE"""),"Novice Nature Edu, GM Approval")</f>
        <v>Novice Nature Edu, GM Approval</v>
      </c>
      <c r="H141" s="204" t="str">
        <f>IFERROR(__xludf.DUMMYFUNCTION("""COMPUTED_VALUE"""),"Static")</f>
        <v>Static</v>
      </c>
      <c r="I141" s="204" t="str">
        <f>IFERROR(__xludf.DUMMYFUNCTION("""COMPUTED_VALUE"""),"Effect: You gain the Naturewalk Capability. You must choose which Terrain this applies to upon gaining this Talent. Your Character must have spent a considerable amount of time in the chosen Terrain to gain this Talent. You may take this Talent multiple t"&amp;"imes, choosing a different Terrain each time. You cannot take this Talent if you already have at least 3 Naturewalks already.")</f>
        <v>Effect: You gain the Naturewalk Capability. You must choose which Terrain this applies to upon gaining this Talent. Your Character must have spent a considerable amount of time in the chosen Terrain to gain this Talent. You may take this Talent multiple times, choosing a different Terrain each time. You cannot take this Talent if you already have at least 3 Naturewalks already.</v>
      </c>
      <c r="J141" s="203"/>
      <c r="K141" s="205"/>
      <c r="L141" s="205"/>
      <c r="M141" s="205"/>
    </row>
    <row r="142">
      <c r="A142" s="202" t="str">
        <f>IFERROR(__xludf.DUMMYFUNCTION("""COMPUTED_VALUE"""),"Trained Reflexes")</f>
        <v>Trained Reflexes</v>
      </c>
      <c r="B142" s="202" t="str">
        <f>IFERROR(__xludf.DUMMYFUNCTION("""COMPUTED_VALUE"""),"Hunter, Adept Command or Nature Edu")</f>
        <v>Hunter, Adept Command or Nature Edu</v>
      </c>
      <c r="C142" s="202" t="str">
        <f>IFERROR(__xludf.DUMMYFUNCTION("""COMPUTED_VALUE"""),"Static")</f>
        <v>Static</v>
      </c>
      <c r="D142" s="202" t="str">
        <f>IFERROR(__xludf.DUMMYFUNCTION("""COMPUTED_VALUE"""),"Effect: When you or your Pokemon perform an Attack of Opportunity, the Target cannot apply Evasion against it. The first time your Pokemon would use a Reaction each Round, it is treated as a Free Action instead. ")</f>
        <v>Effect: When you or your Pokemon perform an Attack of Opportunity, the Target cannot apply Evasion against it. The first time your Pokemon would use a Reaction each Round, it is treated as a Free Action instead. </v>
      </c>
      <c r="E142" s="203"/>
      <c r="F142" s="204" t="str">
        <f>IFERROR(__xludf.DUMMYFUNCTION("""COMPUTED_VALUE"""),"Swimmer")</f>
        <v>Swimmer</v>
      </c>
      <c r="G142" s="204" t="str">
        <f>IFERROR(__xludf.DUMMYFUNCTION("""COMPUTED_VALUE"""),"Novice Athletics")</f>
        <v>Novice Athletics</v>
      </c>
      <c r="H142" s="204" t="str">
        <f>IFERROR(__xludf.DUMMYFUNCTION("""COMPUTED_VALUE"""),"Static")</f>
        <v>Static</v>
      </c>
      <c r="I142" s="204" t="str">
        <f>IFERROR(__xludf.DUMMYFUNCTION("""COMPUTED_VALUE"""),"Effect: You gain the Swimmer Capability.")</f>
        <v>Effect: You gain the Swimmer Capability.</v>
      </c>
      <c r="J142" s="203"/>
      <c r="K142" s="205"/>
      <c r="L142" s="205"/>
      <c r="M142" s="205"/>
    </row>
    <row r="143">
      <c r="A143" s="202" t="str">
        <f>IFERROR(__xludf.DUMMYFUNCTION("""COMPUTED_VALUE"""),"Master of the Hunt")</f>
        <v>Master of the Hunt</v>
      </c>
      <c r="B143" s="202" t="str">
        <f>IFERROR(__xludf.DUMMYFUNCTION("""COMPUTED_VALUE"""),"Hunter, 3 Hunter Features, Master Command or Nature Edu")</f>
        <v>Hunter, 3 Hunter Features, Master Command or Nature Edu</v>
      </c>
      <c r="C143" s="202" t="str">
        <f>IFERROR(__xludf.DUMMYFUNCTION("""COMPUTED_VALUE"""),"Static")</f>
        <v>Static</v>
      </c>
      <c r="D143" s="202" t="str">
        <f>IFERROR(__xludf.DUMMYFUNCTION("""COMPUTED_VALUE"""),"Effect: While an Enemy is affected by a Prey Mark, they are Vulnerable against Attacks or Maneuvers derived from your Pokemon while they’re adjacent to the Marked Enemy. While an Enemy with a Prey Mark has a Status Affliction, they cannot Trigger Attacks "&amp;"or Abilities in response to Attacks from your Pokemon.")</f>
        <v>Effect: While an Enemy is affected by a Prey Mark, they are Vulnerable against Attacks or Maneuvers derived from your Pokemon while they’re adjacent to the Marked Enemy. While an Enemy with a Prey Mark has a Status Affliction, they cannot Trigger Attacks or Abilities in response to Attacks from your Pokemon.</v>
      </c>
      <c r="E143" s="203"/>
      <c r="F143" s="204" t="str">
        <f>IFERROR(__xludf.DUMMYFUNCTION("""COMPUTED_VALUE"""),"Toned Physique")</f>
        <v>Toned Physique</v>
      </c>
      <c r="G143" s="204" t="str">
        <f>IFERROR(__xludf.DUMMYFUNCTION("""COMPUTED_VALUE"""),"Novice Athletics  ")</f>
        <v>Novice Athletics  </v>
      </c>
      <c r="H143" s="204" t="str">
        <f>IFERROR(__xludf.DUMMYFUNCTION("""COMPUTED_VALUE"""),"Static")</f>
        <v>Static</v>
      </c>
      <c r="I143" s="204" t="str">
        <f>IFERROR(__xludf.DUMMYFUNCTION("""COMPUTED_VALUE"""),"Effect: You may replace Charm, Command or Intimidate Skill Checks with Athletics if an involved Combatant is a Fighting Type, has Proficient (or Expert+) or above Athletics or Combat or would otherwise respect strength.")</f>
        <v>Effect: You may replace Charm, Command or Intimidate Skill Checks with Athletics if an involved Combatant is a Fighting Type, has Proficient (or Expert+) or above Athletics or Combat or would otherwise respect strength.</v>
      </c>
      <c r="J143" s="203"/>
      <c r="K143" s="205"/>
      <c r="L143" s="205"/>
      <c r="M143" s="205"/>
    </row>
    <row r="144">
      <c r="A144" s="202" t="str">
        <f>IFERROR(__xludf.DUMMYFUNCTION("""COMPUTED_VALUE"""),"Strategist")</f>
        <v>Strategist</v>
      </c>
      <c r="B144" s="202" t="str">
        <f>IFERROR(__xludf.DUMMYFUNCTION("""COMPUTED_VALUE"""),"Prerequisite 1: Commander [or]
Prerequisite 2: Adept Command and Novice Focus")</f>
        <v>Prerequisite 1: Commander [or]
Prerequisite 2: Adept Command and Novice Focus</v>
      </c>
      <c r="C144" s="202" t="str">
        <f>IFERROR(__xludf.DUMMYFUNCTION("""COMPUTED_VALUE"""),"At-Will - Free Action")</f>
        <v>At-Will - Free Action</v>
      </c>
      <c r="D144" s="202" t="str">
        <f>IFERROR(__xludf.DUMMYFUNCTION("""COMPUTED_VALUE"""),"Trigger: A Round Starts
Effect: Create a 3x3 Observation Zone on the Field that lasts until the end of the Round. You may use Basic Orders on Allies within this Zone as a Free Action. A Combatant can only be affected by an Order used this way once per Rou"&amp;"nd. 
Bonus: You gain the Battle Commander General Feature, ignoring Prerequisites")</f>
        <v>Trigger: A Round Starts
Effect: Create a 3x3 Observation Zone on the Field that lasts until the end of the Round. You may use Basic Orders on Allies within this Zone as a Free Action. A Combatant can only be affected by an Order used this way once per Round. 
Bonus: You gain the Battle Commander General Feature, ignoring Prerequisites</v>
      </c>
      <c r="E144" s="203"/>
      <c r="F144" s="204" t="str">
        <f>IFERROR(__xludf.DUMMYFUNCTION("""COMPUTED_VALUE"""),"Trained Mind")</f>
        <v>Trained Mind</v>
      </c>
      <c r="G144" s="204" t="str">
        <f>IFERROR(__xludf.DUMMYFUNCTION("""COMPUTED_VALUE"""),"Adept Focus")</f>
        <v>Adept Focus</v>
      </c>
      <c r="H144" s="204" t="str">
        <f>IFERROR(__xludf.DUMMYFUNCTION("""COMPUTED_VALUE"""),"Static")</f>
        <v>Static</v>
      </c>
      <c r="I144" s="204" t="str">
        <f>IFERROR(__xludf.DUMMYFUNCTION("""COMPUTED_VALUE"""),"Effect: You gain the Mindlock Capability.")</f>
        <v>Effect: You gain the Mindlock Capability.</v>
      </c>
      <c r="J144" s="203"/>
      <c r="K144" s="205"/>
      <c r="L144" s="205"/>
      <c r="M144" s="205"/>
    </row>
    <row r="145">
      <c r="A145" s="202" t="str">
        <f>IFERROR(__xludf.DUMMYFUNCTION("""COMPUTED_VALUE"""),"Initiate Protocol")</f>
        <v>Initiate Protocol</v>
      </c>
      <c r="B145" s="202" t="str">
        <f>IFERROR(__xludf.DUMMYFUNCTION("""COMPUTED_VALUE"""),"Strategist, Novice Command or Focus")</f>
        <v>Strategist, Novice Command or Focus</v>
      </c>
      <c r="C145" s="202" t="str">
        <f>IFERROR(__xludf.DUMMYFUNCTION("""COMPUTED_VALUE"""),"At-Will - Swift Action ")</f>
        <v>At-Will - Swift Action </v>
      </c>
      <c r="D145" s="202" t="str">
        <f>IFERROR(__xludf.DUMMYFUNCTION("""COMPUTED_VALUE"""),"[Order]
Target: An Ally within 5m
Effect: Choose a Protocol listed below to apply to the Target. Modifiers and Bonuses gained this way last until the end of the Round. A Target can only be affected by one Protocol at a time and it does not stack. X is equ"&amp;"al to your Tier Value and Y is equal to your Tier Level.
» Protocol - Offense: The Target has a +X Bonus to Damage Rolls and +Y to Critical Hit Ranges.
» Protocol - Defense: The Target gains +X Damage Reduction and a Tick of Temporary Hit Points
» Protoc"&amp;"ol - Inspire: The Target has a +Y Modifier to Accuracy Rolls and Effect Ranges.
» Protocol - Recover: The Target has +Y Bonus to Save Checks and restores a Tick of Hit Points.")</f>
        <v>[Order]
Target: An Ally within 5m
Effect: Choose a Protocol listed below to apply to the Target. Modifiers and Bonuses gained this way last until the end of the Round. A Target can only be affected by one Protocol at a time and it does not stack. X is equal to your Tier Value and Y is equal to your Tier Level.
» Protocol - Offense: The Target has a +X Bonus to Damage Rolls and +Y to Critical Hit Ranges.
» Protocol - Defense: The Target gains +X Damage Reduction and a Tick of Temporary Hit Points
» Protocol - Inspire: The Target has a +Y Modifier to Accuracy Rolls and Effect Ranges.
» Protocol - Recover: The Target has +Y Bonus to Save Checks and restores a Tick of Hit Points.</v>
      </c>
      <c r="E145" s="203"/>
      <c r="F145" s="204" t="str">
        <f>IFERROR(__xludf.DUMMYFUNCTION("""COMPUTED_VALUE"""),"Traveler")</f>
        <v>Traveler</v>
      </c>
      <c r="G145" s="204" t="str">
        <f>IFERROR(__xludf.DUMMYFUNCTION("""COMPUTED_VALUE"""),"Novice Focus")</f>
        <v>Novice Focus</v>
      </c>
      <c r="H145" s="204" t="str">
        <f>IFERROR(__xludf.DUMMYFUNCTION("""COMPUTED_VALUE"""),"Static")</f>
        <v>Static</v>
      </c>
      <c r="I145" s="204" t="str">
        <f>IFERROR(__xludf.DUMMYFUNCTION("""COMPUTED_VALUE"""),"Effect: Once per Average Journey or Twice per Long Journey, you may perform any of Downtime Action during a Time Phase you otherwise wouldn’t be able to. You must have resources on hand where it would make sense to be able to do this. Any associated Skill"&amp;" Checks has a Bane applied to it.  ")</f>
        <v>Effect: Once per Average Journey or Twice per Long Journey, you may perform any of Downtime Action during a Time Phase you otherwise wouldn’t be able to. You must have resources on hand where it would make sense to be able to do this. Any associated Skill Checks has a Bane applied to it.  </v>
      </c>
      <c r="J145" s="203"/>
      <c r="K145" s="205"/>
      <c r="L145" s="205"/>
      <c r="M145" s="205"/>
    </row>
    <row r="146">
      <c r="A146" s="202" t="str">
        <f>IFERROR(__xludf.DUMMYFUNCTION("""COMPUTED_VALUE"""),"Adaptive Tactics")</f>
        <v>Adaptive Tactics</v>
      </c>
      <c r="B146" s="202" t="str">
        <f>IFERROR(__xludf.DUMMYFUNCTION("""COMPUTED_VALUE"""),"Strategist, Adept Command or Focus")</f>
        <v>Strategist, Adept Command or Focus</v>
      </c>
      <c r="C146" s="202" t="str">
        <f>IFERROR(__xludf.DUMMYFUNCTION("""COMPUTED_VALUE"""),"At-Will - Standard Action")</f>
        <v>At-Will - Standard Action</v>
      </c>
      <c r="D146" s="202" t="str">
        <f>IFERROR(__xludf.DUMMYFUNCTION("""COMPUTED_VALUE"""),"Condition: You’re not affected by a Mental Affliction and there is an Observation Zone on the Field
Effect: Choose one of the following to Apply to all Allied Combatants within your Observation Zone (And yourself if you’re in the Zone)
» Bolstering Tacti"&amp;"cs: All affected Combatants have all negative Combat Stages reset to their Default Value and cannot lose Combat Stages until the end of the next Round.
» Breaching Tactics: All affected Combatants have their next Damaging Attack that hits be unable to be "&amp;"resisted and cannot Trigger Defensive Abilities.
» Fortified Tactics: All affected Combatants resist the next Damaging Attack that hits them by an additional damage step.
» Recovery Tactics: All affected Combatants pass their next Save Check and cannot ga"&amp;"in Status Afflictions until the end of the next Round.")</f>
        <v>Condition: You’re not affected by a Mental Affliction and there is an Observation Zone on the Field
Effect: Choose one of the following to Apply to all Allied Combatants within your Observation Zone (And yourself if you’re in the Zone)
» Bolstering Tactics: All affected Combatants have all negative Combat Stages reset to their Default Value and cannot lose Combat Stages until the end of the next Round.
» Breaching Tactics: All affected Combatants have their next Damaging Attack that hits be unable to be resisted and cannot Trigger Defensive Abilities.
» Fortified Tactics: All affected Combatants resist the next Damaging Attack that hits them by an additional damage step.
» Recovery Tactics: All affected Combatants pass their next Save Check and cannot gain Status Afflictions until the end of the next Round.</v>
      </c>
      <c r="E146" s="203"/>
      <c r="F146" s="204" t="str">
        <f>IFERROR(__xludf.DUMMYFUNCTION("""COMPUTED_VALUE"""),"Wall Runner")</f>
        <v>Wall Runner</v>
      </c>
      <c r="G146" s="204" t="str">
        <f>IFERROR(__xludf.DUMMYFUNCTION("""COMPUTED_VALUE"""),"Novice Acrobatics")</f>
        <v>Novice Acrobatics</v>
      </c>
      <c r="H146" s="204" t="str">
        <f>IFERROR(__xludf.DUMMYFUNCTION("""COMPUTED_VALUE"""),"Static")</f>
        <v>Static</v>
      </c>
      <c r="I146" s="204" t="str">
        <f>IFERROR(__xludf.DUMMYFUNCTION("""COMPUTED_VALUE"""),"Effect: You gain the Climber Capability.")</f>
        <v>Effect: You gain the Climber Capability.</v>
      </c>
      <c r="J146" s="203"/>
      <c r="K146" s="205"/>
      <c r="L146" s="205"/>
      <c r="M146" s="205"/>
    </row>
    <row r="147">
      <c r="A147" s="202" t="str">
        <f>IFERROR(__xludf.DUMMYFUNCTION("""COMPUTED_VALUE"""),"Personal Instruction")</f>
        <v>Personal Instruction</v>
      </c>
      <c r="B147" s="202" t="str">
        <f>IFERROR(__xludf.DUMMYFUNCTION("""COMPUTED_VALUE"""),"Strategist, 2 Strategist Features, Expert Command or Focus")</f>
        <v>Strategist, 2 Strategist Features, Expert Command or Focus</v>
      </c>
      <c r="C147" s="202" t="str">
        <f>IFERROR(__xludf.DUMMYFUNCTION("""COMPUTED_VALUE"""),"Static")</f>
        <v>Static</v>
      </c>
      <c r="D147" s="202" t="str">
        <f>IFERROR(__xludf.DUMMYFUNCTION("""COMPUTED_VALUE"""),"Effect: You learn the Attacks Coaching and Instruct. When using either of these Attacks, their Range is also treated as 6, 1 Target.")</f>
        <v>Effect: You learn the Attacks Coaching and Instruct. When using either of these Attacks, their Range is also treated as 6, 1 Target.</v>
      </c>
      <c r="E147" s="203"/>
      <c r="F147" s="204" t="str">
        <f>IFERROR(__xludf.DUMMYFUNCTION("""COMPUTED_VALUE"""),"Warm Reader")</f>
        <v>Warm Reader</v>
      </c>
      <c r="G147" s="204" t="str">
        <f>IFERROR(__xludf.DUMMYFUNCTION("""COMPUTED_VALUE"""),"Novice Intuition")</f>
        <v>Novice Intuition</v>
      </c>
      <c r="H147" s="204" t="str">
        <f>IFERROR(__xludf.DUMMYFUNCTION("""COMPUTED_VALUE"""),"Static")</f>
        <v>Static</v>
      </c>
      <c r="I147" s="204" t="str">
        <f>IFERROR(__xludf.DUMMYFUNCTION("""COMPUTED_VALUE"""),"Effect: When performing Charm Skill Checks involving interacting with a person or Pokemon, you may instead use your Intuition. You may perform Research Downtime Actions to study a specific person or Pokemon species, with the CR depending on the difficulty"&amp;" of learning about them. When they are fully studied, you may also replace Guile, Command or Intimidate Checks with your Intuition when interacting with them.  ")</f>
        <v>Effect: When performing Charm Skill Checks involving interacting with a person or Pokemon, you may instead use your Intuition. You may perform Research Downtime Actions to study a specific person or Pokemon species, with the CR depending on the difficulty of learning about them. When they are fully studied, you may also replace Guile, Command or Intimidate Checks with your Intuition when interacting with them.  </v>
      </c>
      <c r="J147" s="203"/>
      <c r="K147" s="205"/>
      <c r="L147" s="205"/>
      <c r="M147" s="205"/>
    </row>
    <row r="148">
      <c r="A148" s="202" t="str">
        <f>IFERROR(__xludf.DUMMYFUNCTION("""COMPUTED_VALUE"""),"Field Commander")</f>
        <v>Field Commander</v>
      </c>
      <c r="B148" s="202" t="str">
        <f>IFERROR(__xludf.DUMMYFUNCTION("""COMPUTED_VALUE"""),"Strategist, 3 Strategist Features, Master Command or Focus")</f>
        <v>Strategist, 3 Strategist Features, Master Command or Focus</v>
      </c>
      <c r="C148" s="202" t="str">
        <f>IFERROR(__xludf.DUMMYFUNCTION("""COMPUTED_VALUE"""),"Scene x2 - Reaction")</f>
        <v>Scene x2 - Reaction</v>
      </c>
      <c r="D148" s="202" t="str">
        <f>IFERROR(__xludf.DUMMYFUNCTION("""COMPUTED_VALUE"""),"Trigger: An Ally or Enemy within your Observation Zone is Attacked
Effect: If the Target of the Triggering Attack is an Ally, the Attack misses all Allies within your Observation Zone. If the Target of the Triggering Attack is an Enemy, the Attack gains "&amp;"the Sureshot Keyword. Once per Scene, if the Triggering Attacker is also within your Observation Zone, this Feature’s Frequency is not expended. ")</f>
        <v>Trigger: An Ally or Enemy within your Observation Zone is Attacked
Effect: If the Target of the Triggering Attack is an Ally, the Attack misses all Allies within your Observation Zone. If the Target of the Triggering Attack is an Enemy, the Attack gains the Sureshot Keyword. Once per Scene, if the Triggering Attacker is also within your Observation Zone, this Feature’s Frequency is not expended. </v>
      </c>
      <c r="E148" s="203"/>
      <c r="F148" s="204" t="str">
        <f>IFERROR(__xludf.DUMMYFUNCTION("""COMPUTED_VALUE"""),"Weaponsmith")</f>
        <v>Weaponsmith</v>
      </c>
      <c r="G148" s="204" t="str">
        <f>IFERROR(__xludf.DUMMYFUNCTION("""COMPUTED_VALUE"""),"Novice Athletics or Focus")</f>
        <v>Novice Athletics or Focus</v>
      </c>
      <c r="H148" s="204" t="str">
        <f>IFERROR(__xludf.DUMMYFUNCTION("""COMPUTED_VALUE"""),"Static")</f>
        <v>Static</v>
      </c>
      <c r="I148" s="204" t="str">
        <f>IFERROR(__xludf.DUMMYFUNCTION("""COMPUTED_VALUE"""),"Effect: You may craft Simple Weapons. At Expert Rank of your qualifying Skill, you may craft Fine Weapons and Braced Shields. At Virtuoso Rank you may craft Legendary Weapons and Heavy Shields.")</f>
        <v>Effect: You may craft Simple Weapons. At Expert Rank of your qualifying Skill, you may craft Fine Weapons and Braced Shields. At Virtuoso Rank you may craft Legendary Weapons and Heavy Shields.</v>
      </c>
      <c r="J148" s="203"/>
      <c r="K148" s="205"/>
      <c r="L148" s="205"/>
      <c r="M148" s="205"/>
    </row>
    <row r="149">
      <c r="A149" s="202" t="str">
        <f>IFERROR(__xludf.DUMMYFUNCTION("""COMPUTED_VALUE"""),"Training Specialist")</f>
        <v>Training Specialist</v>
      </c>
      <c r="B149" s="202" t="str">
        <f>IFERROR(__xludf.DUMMYFUNCTION("""COMPUTED_VALUE"""),"Novice Command or Poke Edu")</f>
        <v>Novice Command or Poke Edu</v>
      </c>
      <c r="C149" s="202" t="str">
        <f>IFERROR(__xludf.DUMMYFUNCTION("""COMPUTED_VALUE"""),"Bind X - Extended Action")</f>
        <v>Bind X - Extended Action</v>
      </c>
      <c r="D149" s="202" t="str">
        <f>IFERROR(__xludf.DUMMYFUNCTION("""COMPUTED_VALUE"""),"Target: Your Pokemon
Effect: Choose a Stat to become the Target’s Trained Stat. The Target’s Trained Stat has their Default CS Value set to +1. A Target may only be bound by the Training Specialist Feature once at a time. If you chose HP, they instead sta"&amp;"rt the Scene with 2 Ticks of Temporary Hit Points. You may have this Feature bound a number of times equal to half the higher of your Command or Poke Edu Rank.")</f>
        <v>Target: Your Pokemon
Effect: Choose a Stat to become the Target’s Trained Stat. The Target’s Trained Stat has their Default CS Value set to +1. A Target may only be bound by the Training Specialist Feature once at a time. If you chose HP, they instead start the Scene with 2 Ticks of Temporary Hit Points. You may have this Feature bound a number of times equal to half the higher of your Command or Poke Edu Rank.</v>
      </c>
      <c r="E149" s="203"/>
      <c r="F149" s="204" t="str">
        <f>IFERROR(__xludf.DUMMYFUNCTION("""COMPUTED_VALUE"""),"Wild Companion")</f>
        <v>Wild Companion</v>
      </c>
      <c r="G149" s="204" t="str">
        <f>IFERROR(__xludf.DUMMYFUNCTION("""COMPUTED_VALUE"""),"Novice Nature Edu")</f>
        <v>Novice Nature Edu</v>
      </c>
      <c r="H149" s="204" t="str">
        <f>IFERROR(__xludf.DUMMYFUNCTION("""COMPUTED_VALUE"""),"Static")</f>
        <v>Static</v>
      </c>
      <c r="I149" s="204" t="str">
        <f>IFERROR(__xludf.DUMMYFUNCTION("""COMPUTED_VALUE"""),"Effect: When performing a Social Check to affect disposition with a feral or wild Pokemon,you may instead use Nature Edu instead of the requested Skill. This does not affect any Pokemon who has had frequent contact with humans or is domesticated.")</f>
        <v>Effect: When performing a Social Check to affect disposition with a feral or wild Pokemon,you may instead use Nature Edu instead of the requested Skill. This does not affect any Pokemon who has had frequent contact with humans or is domesticated.</v>
      </c>
      <c r="J149" s="203"/>
      <c r="K149" s="205"/>
      <c r="L149" s="205"/>
      <c r="M149" s="205"/>
    </row>
    <row r="150">
      <c r="A150" s="202" t="str">
        <f>IFERROR(__xludf.DUMMYFUNCTION("""COMPUTED_VALUE"""),"Experienced Trainer")</f>
        <v>Experienced Trainer</v>
      </c>
      <c r="B150" s="202" t="str">
        <f>IFERROR(__xludf.DUMMYFUNCTION("""COMPUTED_VALUE"""),"Training Specialist, Novice Command or Poke Edu")</f>
        <v>Training Specialist, Novice Command or Poke Edu</v>
      </c>
      <c r="C150" s="202" t="str">
        <f>IFERROR(__xludf.DUMMYFUNCTION("""COMPUTED_VALUE"""),"Static")</f>
        <v>Static</v>
      </c>
      <c r="D150" s="202" t="str">
        <f>IFERROR(__xludf.DUMMYFUNCTION("""COMPUTED_VALUE"""),"Effect: You gain the Pokemon Trainer Talent (Or another Talent for which you qualify if you already have it). At the start of each Combat Scene, Pokemon in your Party gain 1 Temporary SP, which is removed at the end of the Scene if not used. (This doesn’t"&amp;" count towards the limit of 3)")</f>
        <v>Effect: You gain the Pokemon Trainer Talent (Or another Talent for which you qualify if you already have it). At the start of each Combat Scene, Pokemon in your Party gain 1 Temporary SP, which is removed at the end of the Scene if not used. (This doesn’t count towards the limit of 3)</v>
      </c>
      <c r="E150" s="203"/>
      <c r="F150" s="204" t="str">
        <f>IFERROR(__xludf.DUMMYFUNCTION("""COMPUTED_VALUE"""),"Wild Instincts")</f>
        <v>Wild Instincts</v>
      </c>
      <c r="G150" s="204" t="str">
        <f>IFERROR(__xludf.DUMMYFUNCTION("""COMPUTED_VALUE"""),"Novice Nature Edu")</f>
        <v>Novice Nature Edu</v>
      </c>
      <c r="H150" s="204" t="str">
        <f>IFERROR(__xludf.DUMMYFUNCTION("""COMPUTED_VALUE"""),"Static")</f>
        <v>Static</v>
      </c>
      <c r="I150" s="204" t="str">
        <f>IFERROR(__xludf.DUMMYFUNCTION("""COMPUTED_VALUE"""),"Effect: When interacting with Wild Pokemon or trying to Perceive something in non-Urban Terrain, you may replace Intuition and Perception checks with the Nature Edu Skill.")</f>
        <v>Effect: When interacting with Wild Pokemon or trying to Perceive something in non-Urban Terrain, you may replace Intuition and Perception checks with the Nature Edu Skill.</v>
      </c>
      <c r="J150" s="203"/>
      <c r="K150" s="205"/>
      <c r="L150" s="205"/>
      <c r="M150" s="205"/>
    </row>
    <row r="151">
      <c r="A151" s="202" t="str">
        <f>IFERROR(__xludf.DUMMYFUNCTION("""COMPUTED_VALUE"""),"Signature Technique")</f>
        <v>Signature Technique</v>
      </c>
      <c r="B151" s="202" t="str">
        <f>IFERROR(__xludf.DUMMYFUNCTION("""COMPUTED_VALUE"""),"Training Specialist, Adept Command or Poke Edu")</f>
        <v>Training Specialist, Adept Command or Poke Edu</v>
      </c>
      <c r="C151" s="202" t="str">
        <f>IFERROR(__xludf.DUMMYFUNCTION("""COMPUTED_VALUE"""),"At-Will - Extended Action")</f>
        <v>At-Will - Extended Action</v>
      </c>
      <c r="D151" s="202" t="str">
        <f>IFERROR(__xludf.DUMMYFUNCTION("""COMPUTED_VALUE"""),"Trigger: You use a Training Downtime Action
Effect: Choose one of your Pokemon being trained and apply a Signature Technique to one of their Attacks or remove a previous Signature Technique and apply a new one. A Pokemon can only have one Attack affected "&amp;"by a Signature Technique at a time. In order for a Signature Technique to be chosen, it must meet any listed Prerequisites of the Technique.
*See Techniques - Training Specialist")</f>
        <v>Trigger: You use a Training Downtime Action
Effect: Choose one of your Pokemon being trained and apply a Signature Technique to one of their Attacks or remove a previous Signature Technique and apply a new one. A Pokemon can only have one Attack affected by a Signature Technique at a time. In order for a Signature Technique to be chosen, it must meet any listed Prerequisites of the Technique.
*See Techniques - Training Specialist</v>
      </c>
      <c r="E151" s="203"/>
      <c r="F151" s="204" t="str">
        <f>IFERROR(__xludf.DUMMYFUNCTION("""COMPUTED_VALUE"""),"Cartographer [Lethality]")</f>
        <v>Cartographer [Lethality]</v>
      </c>
      <c r="G151" s="204" t="str">
        <f>IFERROR(__xludf.DUMMYFUNCTION("""COMPUTED_VALUE"""),"Novice Perception")</f>
        <v>Novice Perception</v>
      </c>
      <c r="H151" s="204" t="str">
        <f>IFERROR(__xludf.DUMMYFUNCTION("""COMPUTED_VALUE"""),"Static")</f>
        <v>Static</v>
      </c>
      <c r="I151" s="204" t="str">
        <f>IFERROR(__xludf.DUMMYFUNCTION("""COMPUTED_VALUE"""),"Effect: You may craft the Map Item. Whenever you’re the Wayfarer in a Journey, you have a Boon to Navigation Checks. ")</f>
        <v>Effect: You may craft the Map Item. Whenever you’re the Wayfarer in a Journey, you have a Boon to Navigation Checks. </v>
      </c>
      <c r="J151" s="203"/>
      <c r="K151" s="205"/>
      <c r="L151" s="205"/>
      <c r="M151" s="205"/>
    </row>
    <row r="152">
      <c r="A152" s="202" t="str">
        <f>IFERROR(__xludf.DUMMYFUNCTION("""COMPUTED_VALUE"""),"Combat Memory")</f>
        <v>Combat Memory</v>
      </c>
      <c r="B152" s="202" t="str">
        <f>IFERROR(__xludf.DUMMYFUNCTION("""COMPUTED_VALUE"""),"Training Specialist, 2 Training Specialist Features, Expert Command or Poke Edu")</f>
        <v>Training Specialist, 2 Training Specialist Features, Expert Command or Poke Edu</v>
      </c>
      <c r="C152" s="202" t="str">
        <f>IFERROR(__xludf.DUMMYFUNCTION("""COMPUTED_VALUE"""),"Scene x2 - Swift Action")</f>
        <v>Scene x2 - Swift Action</v>
      </c>
      <c r="D152" s="202" t="str">
        <f>IFERROR(__xludf.DUMMYFUNCTION("""COMPUTED_VALUE"""),"Target: Your Pokemon within 5m
Effect: Choose an Attack on the Target’s Battle Attack List and Known Attack List. Until the end of the Scene, the Target adds the Attack from the known list onto their Battle Attack List, then removes the chosen Attack that"&amp;" was on their Battle Attack List.")</f>
        <v>Target: Your Pokemon within 5m
Effect: Choose an Attack on the Target’s Battle Attack List and Known Attack List. Until the end of the Scene, the Target adds the Attack from the known list onto their Battle Attack List, then removes the chosen Attack that was on their Battle Attack List.</v>
      </c>
      <c r="E152" s="203"/>
      <c r="F152" s="204" t="str">
        <f>IFERROR(__xludf.DUMMYFUNCTION("""COMPUTED_VALUE"""),"Seasoned Lookout [Lethality]")</f>
        <v>Seasoned Lookout [Lethality]</v>
      </c>
      <c r="G152" s="204" t="str">
        <f>IFERROR(__xludf.DUMMYFUNCTION("""COMPUTED_VALUE"""),"Expert Perception")</f>
        <v>Expert Perception</v>
      </c>
      <c r="H152" s="204" t="str">
        <f>IFERROR(__xludf.DUMMYFUNCTION("""COMPUTED_VALUE"""),"Static")</f>
        <v>Static</v>
      </c>
      <c r="I152" s="204" t="str">
        <f>IFERROR(__xludf.DUMMYFUNCTION("""COMPUTED_VALUE"""),"Effect: When going on a Journey, you are always treated as having the Scout Role. If you still choose to take the Scout Role, you may add your full Perception  as a modifier instead of half.  ")</f>
        <v>Effect: When going on a Journey, you are always treated as having the Scout Role. If you still choose to take the Scout Role, you may add your full Perception  as a modifier instead of half.  </v>
      </c>
      <c r="J152" s="203"/>
      <c r="K152" s="205"/>
      <c r="L152" s="205"/>
      <c r="M152" s="205"/>
    </row>
    <row r="153">
      <c r="A153" s="202" t="str">
        <f>IFERROR(__xludf.DUMMYFUNCTION("""COMPUTED_VALUE"""),"Ace Trainer")</f>
        <v>Ace Trainer</v>
      </c>
      <c r="B153" s="202" t="str">
        <f>IFERROR(__xludf.DUMMYFUNCTION("""COMPUTED_VALUE"""),"Training Specialist, 3 Training Specialist Features, Master Command or Poke Edu")</f>
        <v>Training Specialist, 3 Training Specialist Features, Master Command or Poke Edu</v>
      </c>
      <c r="C153" s="202" t="str">
        <f>IFERROR(__xludf.DUMMYFUNCTION("""COMPUTED_VALUE"""),"Bind 1 - Extended Action")</f>
        <v>Bind 1 - Extended Action</v>
      </c>
      <c r="D153" s="202" t="str">
        <f>IFERROR(__xludf.DUMMYFUNCTION("""COMPUTED_VALUE"""),"Target: Your Pokemon
Effect: While this Feature is Bound, the Target has different limitations applied to them regarding Signature Techniques. They may have an Attack benefit from two Signature Techniques or they may have two different Attacks benefit fro"&amp;"m a Signature Technique.
Bonus: The Trained Stats for your Pokemon have their Default CS Value increased by +1 or they start the scene with 3 Ticks of Temporary Hit Points if it is HP.")</f>
        <v>Target: Your Pokemon
Effect: While this Feature is Bound, the Target has different limitations applied to them regarding Signature Techniques. They may have an Attack benefit from two Signature Techniques or they may have two different Attacks benefit from a Signature Technique.
Bonus: The Trained Stats for your Pokemon have their Default CS Value increased by +1 or they start the scene with 3 Ticks of Temporary Hit Points if it is HP.</v>
      </c>
      <c r="E153" s="203"/>
      <c r="F153" s="204" t="str">
        <f>IFERROR(__xludf.DUMMYFUNCTION("""COMPUTED_VALUE"""),"Always Prepared [Lethality]")</f>
        <v>Always Prepared [Lethality]</v>
      </c>
      <c r="G153" s="204" t="str">
        <f>IFERROR(__xludf.DUMMYFUNCTION("""COMPUTED_VALUE"""),"Adept Gen Edu or Intuition")</f>
        <v>Adept Gen Edu or Intuition</v>
      </c>
      <c r="H153" s="204" t="str">
        <f>IFERROR(__xludf.DUMMYFUNCTION("""COMPUTED_VALUE"""),"Scene - Extended Action
")</f>
        <v>Scene - Extended Action
</v>
      </c>
      <c r="I153" s="204" t="str">
        <f>IFERROR(__xludf.DUMMYFUNCTION("""COMPUTED_VALUE"""),"Effect: Choose an Item that is in your Storage. That Item may be used as if it was in your Inventory")</f>
        <v>Effect: Choose an Item that is in your Storage. That Item may be used as if it was in your Inventory</v>
      </c>
      <c r="J153" s="203"/>
      <c r="K153" s="205"/>
      <c r="L153" s="205"/>
      <c r="M153" s="205"/>
    </row>
    <row r="154">
      <c r="A154" s="202" t="str">
        <f>IFERROR(__xludf.DUMMYFUNCTION("""COMPUTED_VALUE"""),"Duelist")</f>
        <v>Duelist</v>
      </c>
      <c r="B154" s="202" t="str">
        <f>IFERROR(__xludf.DUMMYFUNCTION("""COMPUTED_VALUE"""),"Prerequisite 1: Training Specialist [or]
Prerequisite 2: Adept Focus or Intuition")</f>
        <v>Prerequisite 1: Training Specialist [or]
Prerequisite 2: Adept Focus or Intuition</v>
      </c>
      <c r="C154" s="202" t="str">
        <f>IFERROR(__xludf.DUMMYFUNCTION("""COMPUTED_VALUE"""),"At-Will - Free Action")</f>
        <v>At-Will - Free Action</v>
      </c>
      <c r="D154" s="202" t="str">
        <f>IFERROR(__xludf.DUMMYFUNCTION("""COMPUTED_VALUE"""),"Target: An Enemy within 10m
Effect: The Target becomes Marked with a Tagged Mark. The Tagged Mark has no effect other than applying to the Momentum Counter Mechanic.
*See Mechanics - Duelist")</f>
        <v>Target: An Enemy within 10m
Effect: The Target becomes Marked with a Tagged Mark. The Tagged Mark has no effect other than applying to the Momentum Counter Mechanic.
*See Mechanics - Duelist</v>
      </c>
      <c r="E154" s="203"/>
      <c r="F154" s="204" t="str">
        <f>IFERROR(__xludf.DUMMYFUNCTION("""COMPUTED_VALUE"""),"Chef [Lethality]")</f>
        <v>Chef [Lethality]</v>
      </c>
      <c r="G154" s="204" t="str">
        <f>IFERROR(__xludf.DUMMYFUNCTION("""COMPUTED_VALUE"""),"Novice Intuition")</f>
        <v>Novice Intuition</v>
      </c>
      <c r="H154" s="204" t="str">
        <f>IFERROR(__xludf.DUMMYFUNCTION("""COMPUTED_VALUE"""),"Static")</f>
        <v>Static</v>
      </c>
      <c r="I154" s="204" t="str">
        <f>IFERROR(__xludf.DUMMYFUNCTION("""COMPUTED_VALUE"""),"Effect: You may craft a Supply Pack, Rations, Pokepuff and Basic Pokemon Food.
")</f>
        <v>Effect: You may craft a Supply Pack, Rations, Pokepuff and Basic Pokemon Food.
</v>
      </c>
      <c r="J154" s="203"/>
      <c r="K154" s="205"/>
      <c r="L154" s="205"/>
      <c r="M154" s="205"/>
    </row>
    <row r="155">
      <c r="A155" s="202" t="str">
        <f>IFERROR(__xludf.DUMMYFUNCTION("""COMPUTED_VALUE"""),"Duelist's Gambit")</f>
        <v>Duelist's Gambit</v>
      </c>
      <c r="B155" s="202" t="str">
        <f>IFERROR(__xludf.DUMMYFUNCTION("""COMPUTED_VALUE"""),"Duelist, Novice Focus or Intuition")</f>
        <v>Duelist, Novice Focus or Intuition</v>
      </c>
      <c r="C155" s="202" t="str">
        <f>IFERROR(__xludf.DUMMYFUNCTION("""COMPUTED_VALUE"""),"At-Will - Swift Action ")</f>
        <v>At-Will - Swift Action </v>
      </c>
      <c r="D155" s="202" t="str">
        <f>IFERROR(__xludf.DUMMYFUNCTION("""COMPUTED_VALUE"""),"[Order]
Target: Your Pokemon with Momentum Counters
Effect: Apply one of the following Effects to the Target, then expend the listed amount of Momentum Counters on the Target. This cannot be used if the Target does not have enough Momentum Counters.
» Ex"&amp;"pend 1 Momentum: The Target’s next Attack against your Tagged Enemy has a bonus to Effect Range or Critical Hit Range of your choice equal to their Momentum Counters, instead of Accuracy.
» Expend 2 Momentum: The Target is cured of a Mental Affliction.
» "&amp;"Expend 3 Momentum: The Target has an Attack fully restored of its Frequency. They can only be affected by this Effect once per Scene.")</f>
        <v>[Order]
Target: Your Pokemon with Momentum Counters
Effect: Apply one of the following Effects to the Target, then expend the listed amount of Momentum Counters on the Target. This cannot be used if the Target does not have enough Momentum Counters.
» Expend 1 Momentum: The Target’s next Attack against your Tagged Enemy has a bonus to Effect Range or Critical Hit Range of your choice equal to their Momentum Counters, instead of Accuracy.
» Expend 2 Momentum: The Target is cured of a Mental Affliction.
» Expend 3 Momentum: The Target has an Attack fully restored of its Frequency. They can only be affected by this Effect once per Scene.</v>
      </c>
      <c r="E155" s="203"/>
      <c r="F155" s="204" t="str">
        <f>IFERROR(__xludf.DUMMYFUNCTION("""COMPUTED_VALUE"""),"Nature Adept [Lethality]")</f>
        <v>Nature Adept [Lethality]</v>
      </c>
      <c r="G155" s="204" t="str">
        <f>IFERROR(__xludf.DUMMYFUNCTION("""COMPUTED_VALUE"""),"Any Naturewalk Capability")</f>
        <v>Any Naturewalk Capability</v>
      </c>
      <c r="H155" s="204" t="str">
        <f>IFERROR(__xludf.DUMMYFUNCTION("""COMPUTED_VALUE"""),"Static")</f>
        <v>Static</v>
      </c>
      <c r="I155" s="204" t="str">
        <f>IFERROR(__xludf.DUMMYFUNCTION("""COMPUTED_VALUE"""),"Effect: You do not gain Fatigue as a result of Habitat or Exposure homeostasis aspects while you’re in environments that match your Naturewalk Capabilities. ")</f>
        <v>Effect: You do not gain Fatigue as a result of Habitat or Exposure homeostasis aspects while you’re in environments that match your Naturewalk Capabilities. </v>
      </c>
      <c r="J155" s="203"/>
      <c r="K155" s="205"/>
      <c r="L155" s="205"/>
      <c r="M155" s="205"/>
    </row>
    <row r="156">
      <c r="A156" s="202" t="str">
        <f>IFERROR(__xludf.DUMMYFUNCTION("""COMPUTED_VALUE"""),"Tides of Combat")</f>
        <v>Tides of Combat</v>
      </c>
      <c r="B156" s="202" t="str">
        <f>IFERROR(__xludf.DUMMYFUNCTION("""COMPUTED_VALUE"""),"Duelist, Adept Focus or Intuition")</f>
        <v>Duelist, Adept Focus or Intuition</v>
      </c>
      <c r="C156" s="202" t="str">
        <f>IFERROR(__xludf.DUMMYFUNCTION("""COMPUTED_VALUE"""),"At-Will - Free Action")</f>
        <v>At-Will - Free Action</v>
      </c>
      <c r="D156" s="202" t="str">
        <f>IFERROR(__xludf.DUMMYFUNCTION("""COMPUTED_VALUE"""),"Trigger: Your Pokemon inflict a Status Affliction, avoid an Attack from a Tagged Enemy, or land a Critical Hit against a Tagged Enemy
Effect: After the resolution of the Triggering Attack, all of your Active Pokemon gain +1 Momentum. Tides of Combat can o"&amp;"nly be activated up to twice per Round.")</f>
        <v>Trigger: Your Pokemon inflict a Status Affliction, avoid an Attack from a Tagged Enemy, or land a Critical Hit against a Tagged Enemy
Effect: After the resolution of the Triggering Attack, all of your Active Pokemon gain +1 Momentum. Tides of Combat can only be activated up to twice per Round.</v>
      </c>
      <c r="E156" s="203"/>
      <c r="F156" s="204" t="str">
        <f>IFERROR(__xludf.DUMMYFUNCTION("""COMPUTED_VALUE"""),"Adrenaline Junkie [Lethality]")</f>
        <v>Adrenaline Junkie [Lethality]</v>
      </c>
      <c r="G156" s="204" t="str">
        <f>IFERROR(__xludf.DUMMYFUNCTION("""COMPUTED_VALUE"""),"None")</f>
        <v>None</v>
      </c>
      <c r="H156" s="204" t="str">
        <f>IFERROR(__xludf.DUMMYFUNCTION("""COMPUTED_VALUE"""),"Static")</f>
        <v>Static</v>
      </c>
      <c r="I156" s="204" t="str">
        <f>IFERROR(__xludf.DUMMYFUNCTION("""COMPUTED_VALUE"""),"Effect: Whenever you perform a Skill Check that requires Stress Dice to be rolled, you may choose to become Adrenaline Boosted. While in this state, any Stress Dice that result in 5 is counted as 2 Successes instead of 1. However any results of 2 count as"&amp;" a result of 1. If a Panic Check triggers from this, you do not add a modifier equal to the excess successes over the challenge rating. ")</f>
        <v>Effect: Whenever you perform a Skill Check that requires Stress Dice to be rolled, you may choose to become Adrenaline Boosted. While in this state, any Stress Dice that result in 5 is counted as 2 Successes instead of 1. However any results of 2 count as a result of 1. If a Panic Check triggers from this, you do not add a modifier equal to the excess successes over the challenge rating. </v>
      </c>
      <c r="J156" s="203"/>
      <c r="K156" s="205"/>
      <c r="L156" s="205"/>
      <c r="M156" s="205"/>
    </row>
    <row r="157">
      <c r="A157" s="202" t="str">
        <f>IFERROR(__xludf.DUMMYFUNCTION("""COMPUTED_VALUE"""),"Calculated Strategy")</f>
        <v>Calculated Strategy</v>
      </c>
      <c r="B157" s="202" t="str">
        <f>IFERROR(__xludf.DUMMYFUNCTION("""COMPUTED_VALUE"""),"Duelist, 2 Duelist Features, Expert Focus or Intuition")</f>
        <v>Duelist, 2 Duelist Features, Expert Focus or Intuition</v>
      </c>
      <c r="C157" s="202" t="str">
        <f>IFERROR(__xludf.DUMMYFUNCTION("""COMPUTED_VALUE"""),"Scene x2 - Free Action")</f>
        <v>Scene x2 - Free Action</v>
      </c>
      <c r="D157" s="202" t="str">
        <f>IFERROR(__xludf.DUMMYFUNCTION("""COMPUTED_VALUE"""),"Trigger: See Effect
Effect: You may have a Pokemon expend 2 Momentum Counters to perform either Effect when this Feature is Triggered. If your Pokemon would take Super Effective Damage from a Tagged Enemy, it is treated as Neutral Effectiveness instead. I"&amp;"f your Pokemon would deal Resisted Damage to a Tagged Enemy, it is increased by an additional damage step.")</f>
        <v>Trigger: See Effect
Effect: You may have a Pokemon expend 2 Momentum Counters to perform either Effect when this Feature is Triggered. If your Pokemon would take Super Effective Damage from a Tagged Enemy, it is treated as Neutral Effectiveness instead. If your Pokemon would deal Resisted Damage to a Tagged Enemy, it is increased by an additional damage step.</v>
      </c>
      <c r="E157" s="203"/>
      <c r="F157" s="204" t="str">
        <f>IFERROR(__xludf.DUMMYFUNCTION("""COMPUTED_VALUE"""),"Empathic Confidant [Lethality]")</f>
        <v>Empathic Confidant [Lethality]</v>
      </c>
      <c r="G157" s="204" t="str">
        <f>IFERROR(__xludf.DUMMYFUNCTION("""COMPUTED_VALUE"""),"Novice Charm or Intuition")</f>
        <v>Novice Charm or Intuition</v>
      </c>
      <c r="H157" s="204" t="str">
        <f>IFERROR(__xludf.DUMMYFUNCTION("""COMPUTED_VALUE"""),"Static")</f>
        <v>Static</v>
      </c>
      <c r="I157" s="204" t="str">
        <f>IFERROR(__xludf.DUMMYFUNCTION("""COMPUTED_VALUE"""),"Effect: You may spend a Downtime Action to Target a Trainer and perform a Charm or Intuition Check. They clear Stress equal to half the your number of Successes (Rounded up), or the full amount if they also spend a Downtime Action on this Talent. ")</f>
        <v>Effect: You may spend a Downtime Action to Target a Trainer and perform a Charm or Intuition Check. They clear Stress equal to half the your number of Successes (Rounded up), or the full amount if they also spend a Downtime Action on this Talent. </v>
      </c>
      <c r="J157" s="203"/>
      <c r="K157" s="205"/>
      <c r="L157" s="205"/>
      <c r="M157" s="205"/>
    </row>
    <row r="158">
      <c r="A158" s="202" t="str">
        <f>IFERROR(__xludf.DUMMYFUNCTION("""COMPUTED_VALUE"""),"Clash of Fate")</f>
        <v>Clash of Fate</v>
      </c>
      <c r="B158" s="202" t="str">
        <f>IFERROR(__xludf.DUMMYFUNCTION("""COMPUTED_VALUE"""),"Duelist, 3 Duelist Features, Master Focus or Intuition")</f>
        <v>Duelist, 3 Duelist Features, Master Focus or Intuition</v>
      </c>
      <c r="C158" s="202" t="str">
        <f>IFERROR(__xludf.DUMMYFUNCTION("""COMPUTED_VALUE"""),"Scene - Reaction")</f>
        <v>Scene - Reaction</v>
      </c>
      <c r="D158" s="202" t="str">
        <f>IFERROR(__xludf.DUMMYFUNCTION("""COMPUTED_VALUE"""),"Trigger: A Tagged Enemy would hit your Pokemon with an Attack
Effect: The Targeted Pokemon may immediately use a Damaging Attack as a Standard Action as if it had Priority before the Triggering Attack resolves, but it can only Target the Triggering Enemy."&amp;" You may additionally declare Momentum Counters, which are expended after this Attack’s Resolution, to improve this Attack. If at least 2 would be expended, the Attack has the Sureshot Keyword. If it is at least 5, it automatically is a Critical Hit. If t"&amp;"he Triggering Enemy would faint from this Attack, the Triggering Attack does not resolve. ")</f>
        <v>Trigger: A Tagged Enemy would hit your Pokemon with an Attack
Effect: The Targeted Pokemon may immediately use a Damaging Attack as a Standard Action as if it had Priority before the Triggering Attack resolves, but it can only Target the Triggering Enemy. You may additionally declare Momentum Counters, which are expended after this Attack’s Resolution, to improve this Attack. If at least 2 would be expended, the Attack has the Sureshot Keyword. If it is at least 5, it automatically is a Critical Hit. If the Triggering Enemy would faint from this Attack, the Triggering Attack does not resolve. </v>
      </c>
      <c r="E158" s="203"/>
      <c r="F158" s="204" t="str">
        <f>IFERROR(__xludf.DUMMYFUNCTION("""COMPUTED_VALUE"""),"Steadfast Mind [Lethality]")</f>
        <v>Steadfast Mind [Lethality]</v>
      </c>
      <c r="G158" s="204" t="str">
        <f>IFERROR(__xludf.DUMMYFUNCTION("""COMPUTED_VALUE"""),"Adept Focus")</f>
        <v>Adept Focus</v>
      </c>
      <c r="H158" s="204" t="str">
        <f>IFERROR(__xludf.DUMMYFUNCTION("""COMPUTED_VALUE"""),"Static")</f>
        <v>Static</v>
      </c>
      <c r="I158" s="204" t="str">
        <f>IFERROR(__xludf.DUMMYFUNCTION("""COMPUTED_VALUE"""),"Effect: Whenever you perform a Panic Check, the results happen on these number ranges instead. Snap (3 or less). Falter (4-6), Composed (7-9), Clarity (10+). ")</f>
        <v>Effect: Whenever you perform a Panic Check, the results happen on these number ranges instead. Snap (3 or less). Falter (4-6), Composed (7-9), Clarity (10+). </v>
      </c>
      <c r="J158" s="203"/>
      <c r="K158" s="205"/>
      <c r="L158" s="205"/>
      <c r="M158" s="205"/>
    </row>
    <row r="159">
      <c r="A159" s="202" t="str">
        <f>IFERROR(__xludf.DUMMYFUNCTION("""COMPUTED_VALUE"""),"Mastermind")</f>
        <v>Mastermind</v>
      </c>
      <c r="B159" s="202" t="str">
        <f>IFERROR(__xludf.DUMMYFUNCTION("""COMPUTED_VALUE"""),"Prerequisite 1: Training Specialist [or]
Prerequisite 2: Adept Guile or Intuition")</f>
        <v>Prerequisite 1: Training Specialist [or]
Prerequisite 2: Adept Guile or Intuition</v>
      </c>
      <c r="C159" s="202" t="str">
        <f>IFERROR(__xludf.DUMMYFUNCTION("""COMPUTED_VALUE"""),"Static")</f>
        <v>Static</v>
      </c>
      <c r="D159" s="202" t="str">
        <f>IFERROR(__xludf.DUMMYFUNCTION("""COMPUTED_VALUE"""),"Effect: Your Pokemon may use the Help Maneuver or use Attacks through the Versatile Keyword even if they used a Damaging Attack this Round. Additionally, they are not restricted from using Damaging Attacks if they did perform one of these Actions during t"&amp;"heir Turn.")</f>
        <v>Effect: Your Pokemon may use the Help Maneuver or use Attacks through the Versatile Keyword even if they used a Damaging Attack this Round. Additionally, they are not restricted from using Damaging Attacks if they did perform one of these Actions during their Turn.</v>
      </c>
      <c r="E159" s="203"/>
      <c r="F159" s="204" t="str">
        <f>IFERROR(__xludf.DUMMYFUNCTION("""COMPUTED_VALUE"""),"Medical Practitioner [Lethality]")</f>
        <v>Medical Practitioner [Lethality]</v>
      </c>
      <c r="G159" s="204" t="str">
        <f>IFERROR(__xludf.DUMMYFUNCTION("""COMPUTED_VALUE"""),"Adept Med Edu")</f>
        <v>Adept Med Edu</v>
      </c>
      <c r="H159" s="204" t="str">
        <f>IFERROR(__xludf.DUMMYFUNCTION("""COMPUTED_VALUE"""),"Static")</f>
        <v>Static</v>
      </c>
      <c r="I159" s="204" t="str">
        <f>IFERROR(__xludf.DUMMYFUNCTION("""COMPUTED_VALUE"""),"Effect: Once per Day, you may use the Nursing Downtime Action as an Extended Action if you have 10 minutes of time without needing to use a Downtime Action. If you do so, you have a Bane to this Skill Check. ")</f>
        <v>Effect: Once per Day, you may use the Nursing Downtime Action as an Extended Action if you have 10 minutes of time without needing to use a Downtime Action. If you do so, you have a Bane to this Skill Check. </v>
      </c>
      <c r="J159" s="203"/>
      <c r="K159" s="205"/>
      <c r="L159" s="205"/>
      <c r="M159" s="205"/>
    </row>
    <row r="160">
      <c r="A160" s="202" t="str">
        <f>IFERROR(__xludf.DUMMYFUNCTION("""COMPUTED_VALUE"""),"Exploited Strike")</f>
        <v>Exploited Strike</v>
      </c>
      <c r="B160" s="202" t="str">
        <f>IFERROR(__xludf.DUMMYFUNCTION("""COMPUTED_VALUE"""),"Mastermind, Novice Guile or Intuition")</f>
        <v>Mastermind, Novice Guile or Intuition</v>
      </c>
      <c r="C160" s="202" t="str">
        <f>IFERROR(__xludf.DUMMYFUNCTION("""COMPUTED_VALUE"""),"Scene x2 - Free Action ")</f>
        <v>Scene x2 - Free Action </v>
      </c>
      <c r="D160" s="202" t="str">
        <f>IFERROR(__xludf.DUMMYFUNCTION("""COMPUTED_VALUE"""),"Trigger: Your Pokemon use an Attack against an Enemy(s) with a Status Affliction
Effect: If the Triggering Attack’s Damage Base is 7 or lower or has an EOT or At-Will Frequency, the Triggering Attack has the Sureshot Keyword. Otherwise, all applicable Tar"&amp;"gets cannot apply Stat Evasion against the Triggering Attack.")</f>
        <v>Trigger: Your Pokemon use an Attack against an Enemy(s) with a Status Affliction
Effect: If the Triggering Attack’s Damage Base is 7 or lower or has an EOT or At-Will Frequency, the Triggering Attack has the Sureshot Keyword. Otherwise, all applicable Targets cannot apply Stat Evasion against the Triggering Attack.</v>
      </c>
      <c r="E160" s="203"/>
      <c r="F160" s="204"/>
      <c r="G160" s="204"/>
      <c r="H160" s="204"/>
      <c r="I160" s="204"/>
      <c r="J160" s="203"/>
      <c r="K160" s="205"/>
      <c r="L160" s="205"/>
      <c r="M160" s="205"/>
    </row>
    <row r="161">
      <c r="A161" s="202" t="str">
        <f>IFERROR(__xludf.DUMMYFUNCTION("""COMPUTED_VALUE"""),"Cunning Wit")</f>
        <v>Cunning Wit</v>
      </c>
      <c r="B161" s="202" t="str">
        <f>IFERROR(__xludf.DUMMYFUNCTION("""COMPUTED_VALUE"""),"Mastermind, Adept Guile or Intuition")</f>
        <v>Mastermind, Adept Guile or Intuition</v>
      </c>
      <c r="C161" s="202" t="str">
        <f>IFERROR(__xludf.DUMMYFUNCTION("""COMPUTED_VALUE"""),"Static")</f>
        <v>Static</v>
      </c>
      <c r="D161" s="202" t="str">
        <f>IFERROR(__xludf.DUMMYFUNCTION("""COMPUTED_VALUE"""),"Effect: At the Start of each Round, you gain a Wit Counter (Max 3). You or your Pokemon may expend one of your Wit Counters at any time to gain an additional Swift Action or Reaction, which is removed at the end of the Round. A Combatant can only expend a"&amp;" Wit Counter once per Round. ")</f>
        <v>Effect: At the Start of each Round, you gain a Wit Counter (Max 3). You or your Pokemon may expend one of your Wit Counters at any time to gain an additional Swift Action or Reaction, which is removed at the end of the Round. A Combatant can only expend a Wit Counter once per Round. </v>
      </c>
      <c r="E161" s="203"/>
      <c r="F161" s="204"/>
      <c r="G161" s="204"/>
      <c r="H161" s="204"/>
      <c r="I161" s="204"/>
      <c r="J161" s="203"/>
      <c r="K161" s="205"/>
      <c r="L161" s="205"/>
      <c r="M161" s="205"/>
    </row>
    <row r="162">
      <c r="A162" s="202" t="str">
        <f>IFERROR(__xludf.DUMMYFUNCTION("""COMPUTED_VALUE"""),"Calculated Plan")</f>
        <v>Calculated Plan</v>
      </c>
      <c r="B162" s="202" t="str">
        <f>IFERROR(__xludf.DUMMYFUNCTION("""COMPUTED_VALUE"""),"Mastermind, Expert Guile or Intuition")</f>
        <v>Mastermind, Expert Guile or Intuition</v>
      </c>
      <c r="C162" s="202" t="str">
        <f>IFERROR(__xludf.DUMMYFUNCTION("""COMPUTED_VALUE"""),"At-Will - Reaction")</f>
        <v>At-Will - Reaction</v>
      </c>
      <c r="D162" s="202" t="str">
        <f>IFERROR(__xludf.DUMMYFUNCTION("""COMPUTED_VALUE"""),"Trigger: You or your Pokemon roll a Natural 16+ on a Status Attack
Effect: Choose one of the following Effects to apply:
&gt; You gain a Wit Counter
&gt; The Triggering Combatant gains two Ticks of Temporary Hit Points
&gt; The Triggering Attack’s Frequency is no"&amp;"t expended. ")</f>
        <v>Trigger: You or your Pokemon roll a Natural 16+ on a Status Attack
Effect: Choose one of the following Effects to apply:
&gt; You gain a Wit Counter
&gt; The Triggering Combatant gains two Ticks of Temporary Hit Points
&gt; The Triggering Attack’s Frequency is not expended. </v>
      </c>
      <c r="E162" s="203"/>
      <c r="F162" s="204"/>
      <c r="G162" s="204"/>
      <c r="H162" s="204"/>
      <c r="I162" s="204"/>
      <c r="J162" s="203"/>
      <c r="K162" s="205"/>
      <c r="L162" s="205"/>
      <c r="M162" s="205"/>
    </row>
    <row r="163">
      <c r="A163" s="202" t="str">
        <f>IFERROR(__xludf.DUMMYFUNCTION("""COMPUTED_VALUE"""),"Devious Training")</f>
        <v>Devious Training</v>
      </c>
      <c r="B163" s="202" t="str">
        <f>IFERROR(__xludf.DUMMYFUNCTION("""COMPUTED_VALUE"""),"Mastermind, 3 Mastermind Features, Master Guile or Intuition")</f>
        <v>Mastermind, 3 Mastermind Features, Master Guile or Intuition</v>
      </c>
      <c r="C163" s="202" t="str">
        <f>IFERROR(__xludf.DUMMYFUNCTION("""COMPUTED_VALUE"""),"Scene - Free Action ")</f>
        <v>Scene - Free Action </v>
      </c>
      <c r="D163" s="202" t="str">
        <f>IFERROR(__xludf.DUMMYFUNCTION("""COMPUTED_VALUE"""),"Trigger: Your Pokemon hit an Attack against an Enemy that was used as a Swift Action through the Versatile Keyword 
Effect: The Triggering Attack instead uses the normal Effect of the Attack as if it were used by a Standard Action.")</f>
        <v>Trigger: Your Pokemon hit an Attack against an Enemy that was used as a Swift Action through the Versatile Keyword 
Effect: The Triggering Attack instead uses the normal Effect of the Attack as if it were used by a Standard Action.</v>
      </c>
      <c r="E163" s="203"/>
      <c r="F163" s="204"/>
      <c r="G163" s="204"/>
      <c r="H163" s="204"/>
      <c r="I163" s="204"/>
      <c r="J163" s="203"/>
      <c r="K163" s="205"/>
      <c r="L163" s="205"/>
      <c r="M163" s="205"/>
    </row>
    <row r="164">
      <c r="A164" s="202" t="str">
        <f>IFERROR(__xludf.DUMMYFUNCTION("""COMPUTED_VALUE"""),"Rider")</f>
        <v>Rider</v>
      </c>
      <c r="B164" s="202" t="str">
        <f>IFERROR(__xludf.DUMMYFUNCTION("""COMPUTED_VALUE"""),"Prerequisite 1: Ranger or Training Specialist [or]
Prerequisite 2: Adept Acrobatics or Athletics")</f>
        <v>Prerequisite 1: Ranger or Training Specialist [or]
Prerequisite 2: Adept Acrobatics or Athletics</v>
      </c>
      <c r="C164" s="202" t="str">
        <f>IFERROR(__xludf.DUMMYFUNCTION("""COMPUTED_VALUE"""),"Static")</f>
        <v>Static</v>
      </c>
      <c r="D164" s="202" t="str">
        <f>IFERROR(__xludf.DUMMYFUNCTION("""COMPUTED_VALUE"""),"Effect: Your Pokemon are all treated as having the Mountable Capability. When Mounting a Pokemon, it may be performed as a Free Action instead of a Swift Action. While you are Mounted, you and your Mount each use the highest of each other’s Evasion when e"&amp;"ither are Targeted by an Attack.")</f>
        <v>Effect: Your Pokemon are all treated as having the Mountable Capability. When Mounting a Pokemon, it may be performed as a Free Action instead of a Swift Action. While you are Mounted, you and your Mount each use the highest of each other’s Evasion when either are Targeted by an Attack.</v>
      </c>
      <c r="E164" s="203"/>
      <c r="F164" s="204"/>
      <c r="G164" s="204"/>
      <c r="H164" s="204"/>
      <c r="I164" s="204"/>
      <c r="J164" s="203"/>
      <c r="K164" s="205"/>
      <c r="L164" s="205"/>
      <c r="M164" s="205"/>
    </row>
    <row r="165">
      <c r="A165" s="202" t="str">
        <f>IFERROR(__xludf.DUMMYFUNCTION("""COMPUTED_VALUE"""),"Cavalier's Reprisal")</f>
        <v>Cavalier's Reprisal</v>
      </c>
      <c r="B165" s="202" t="str">
        <f>IFERROR(__xludf.DUMMYFUNCTION("""COMPUTED_VALUE"""),"Rider, Novice Acrobatics or Athletics")</f>
        <v>Rider, Novice Acrobatics or Athletics</v>
      </c>
      <c r="C165" s="202" t="str">
        <f>IFERROR(__xludf.DUMMYFUNCTION("""COMPUTED_VALUE"""),"Static")</f>
        <v>Static</v>
      </c>
      <c r="D165" s="202" t="str">
        <f>IFERROR(__xludf.DUMMYFUNCTION("""COMPUTED_VALUE"""),"Trigger: Whenever you’re hit by an Adjacent Attack, the Pokemon you’re mounting may Trigger their Attack of Opportunity against the Attacker. Whenever the Pokemon you’re mounting is hit by an Adjacent Attack, you may Trigger an Attack of Opportunity again"&amp;"st the Attacker. These occur after the Triggering Attack resolves. If you're both a Target, only one may Trigger an Attack of Opportunity this way.")</f>
        <v>Trigger: Whenever you’re hit by an Adjacent Attack, the Pokemon you’re mounting may Trigger their Attack of Opportunity against the Attacker. Whenever the Pokemon you’re mounting is hit by an Adjacent Attack, you may Trigger an Attack of Opportunity against the Attacker. These occur after the Triggering Attack resolves. If you're both a Target, only one may Trigger an Attack of Opportunity this way.</v>
      </c>
      <c r="E165" s="203"/>
      <c r="F165" s="204"/>
      <c r="G165" s="204"/>
      <c r="H165" s="204"/>
      <c r="I165" s="204"/>
      <c r="J165" s="203"/>
      <c r="K165" s="205"/>
      <c r="L165" s="205"/>
      <c r="M165" s="205"/>
    </row>
    <row r="166">
      <c r="A166" s="202" t="str">
        <f>IFERROR(__xludf.DUMMYFUNCTION("""COMPUTED_VALUE"""),"Ride as One")</f>
        <v>Ride as One</v>
      </c>
      <c r="B166" s="202" t="str">
        <f>IFERROR(__xludf.DUMMYFUNCTION("""COMPUTED_VALUE"""),"Rider, Adept Acrobatics or Athletics")</f>
        <v>Rider, Adept Acrobatics or Athletics</v>
      </c>
      <c r="C166" s="202" t="str">
        <f>IFERROR(__xludf.DUMMYFUNCTION("""COMPUTED_VALUE"""),"Scene - Free Action ")</f>
        <v>Scene - Free Action </v>
      </c>
      <c r="D166" s="202" t="str">
        <f>IFERROR(__xludf.DUMMYFUNCTION("""COMPUTED_VALUE"""),"Trigger: You or your Mounted Pokemon Intercept an Attack directed at one or the other
Effect: The Interceptor resists the Attack by an additional damage step. 
Bonus: You and your Mounted Pokemon may Intercept for one another as a Movement Action if desir"&amp;"ed. When Intercepting for each other, the Attack isn’t increased by one damage step. ")</f>
        <v>Trigger: You or your Mounted Pokemon Intercept an Attack directed at one or the other
Effect: The Interceptor resists the Attack by an additional damage step. 
Bonus: You and your Mounted Pokemon may Intercept for one another as a Movement Action if desired. When Intercepting for each other, the Attack isn’t increased by one damage step. </v>
      </c>
      <c r="E166" s="203"/>
      <c r="F166" s="204"/>
      <c r="G166" s="204"/>
      <c r="H166" s="204"/>
      <c r="I166" s="204"/>
      <c r="J166" s="203"/>
      <c r="K166" s="205"/>
      <c r="L166" s="205"/>
      <c r="M166" s="205"/>
    </row>
    <row r="167">
      <c r="A167" s="202" t="str">
        <f>IFERROR(__xludf.DUMMYFUNCTION("""COMPUTED_VALUE"""),"Strafing Maneuver")</f>
        <v>Strafing Maneuver</v>
      </c>
      <c r="B167" s="202" t="str">
        <f>IFERROR(__xludf.DUMMYFUNCTION("""COMPUTED_VALUE"""),"Rider, 2 Rider Features, Expert Acrobatics or Athletics")</f>
        <v>Rider, 2 Rider Features, Expert Acrobatics or Athletics</v>
      </c>
      <c r="C167" s="202" t="str">
        <f>IFERROR(__xludf.DUMMYFUNCTION("""COMPUTED_VALUE"""),"Scene - Special")</f>
        <v>Scene - Special</v>
      </c>
      <c r="D167" s="202" t="str">
        <f>IFERROR(__xludf.DUMMYFUNCTION("""COMPUTED_VALUE"""),"Trigger: You and your Mounted Pokemon would be hit with a Blast, Line or Burst Attack
Effect: This Feature requires a Reaction to be used by either you or your Mounted Pokemon. You both slide any number of spaces, with the maximum amount being half the Mo"&amp;"vement Value of your Mounted Pokemon. The Triggering Attack then misses you both. ")</f>
        <v>Trigger: You and your Mounted Pokemon would be hit with a Blast, Line or Burst Attack
Effect: This Feature requires a Reaction to be used by either you or your Mounted Pokemon. You both slide any number of spaces, with the maximum amount being half the Movement Value of your Mounted Pokemon. The Triggering Attack then misses you both. </v>
      </c>
      <c r="E167" s="203"/>
      <c r="F167" s="204"/>
      <c r="G167" s="204"/>
      <c r="H167" s="204"/>
      <c r="I167" s="204"/>
      <c r="J167" s="203"/>
      <c r="K167" s="205"/>
      <c r="L167" s="205"/>
      <c r="M167" s="205"/>
    </row>
    <row r="168">
      <c r="A168" s="202" t="str">
        <f>IFERROR(__xludf.DUMMYFUNCTION("""COMPUTED_VALUE"""),"Synchronized Strike")</f>
        <v>Synchronized Strike</v>
      </c>
      <c r="B168" s="202" t="str">
        <f>IFERROR(__xludf.DUMMYFUNCTION("""COMPUTED_VALUE"""),"Rider, 3 Rider Features, Master Acrobatics or Athletics")</f>
        <v>Rider, 3 Rider Features, Master Acrobatics or Athletics</v>
      </c>
      <c r="C168" s="202" t="str">
        <f>IFERROR(__xludf.DUMMYFUNCTION("""COMPUTED_VALUE"""),"At-Will - Full Action")</f>
        <v>At-Will - Full Action</v>
      </c>
      <c r="D168" s="202" t="str">
        <f>IFERROR(__xludf.DUMMYFUNCTION("""COMPUTED_VALUE"""),"Effect: The Pokemon you’re mounting may use a Damaging Attack as a Free Action, however it must target an Enemy they haven’t Targeted this Round yet. They cannot Attack those Targets for the rest of the Round.
Bonus: You and your Mounted Pokemon may expen"&amp;"d SP from each other’s SP Pool, as if it were their own. ")</f>
        <v>Effect: The Pokemon you’re mounting may use a Damaging Attack as a Free Action, however it must target an Enemy they haven’t Targeted this Round yet. They cannot Attack those Targets for the rest of the Round.
Bonus: You and your Mounted Pokemon may expend SP from each other’s SP Pool, as if it were their own. </v>
      </c>
      <c r="E168" s="203"/>
      <c r="F168" s="204"/>
      <c r="G168" s="204"/>
      <c r="H168" s="204"/>
      <c r="I168" s="204"/>
      <c r="J168" s="203"/>
      <c r="K168" s="205"/>
      <c r="L168" s="205"/>
      <c r="M168" s="205"/>
    </row>
    <row r="169">
      <c r="A169" s="202" t="str">
        <f>IFERROR(__xludf.DUMMYFUNCTION("""COMPUTED_VALUE"""),"Stat Ace (HP)")</f>
        <v>Stat Ace (HP)</v>
      </c>
      <c r="B169" s="202" t="str">
        <f>IFERROR(__xludf.DUMMYFUNCTION("""COMPUTED_VALUE"""),"Prerequisite 1: Training Specialist [or]
Prerequisite 2: Adept Poke Edu or an Adept Stat Skill")</f>
        <v>Prerequisite 1: Training Specialist [or]
Prerequisite 2: Adept Poke Edu or an Adept Stat Skill</v>
      </c>
      <c r="C169" s="202" t="str">
        <f>IFERROR(__xludf.DUMMYFUNCTION("""COMPUTED_VALUE"""),"Static")</f>
        <v>Static</v>
      </c>
      <c r="D169" s="202" t="str">
        <f>IFERROR(__xludf.DUMMYFUNCTION("""COMPUTED_VALUE"""),"Effect: HP is your Linked Stat. Your Pokemon gain the Abominable Ability.")</f>
        <v>Effect: HP is your Linked Stat. Your Pokemon gain the Abominable Ability.</v>
      </c>
      <c r="E169" s="203"/>
      <c r="F169" s="204"/>
      <c r="G169" s="204"/>
      <c r="H169" s="204"/>
      <c r="I169" s="204"/>
      <c r="J169" s="203"/>
      <c r="K169" s="205"/>
      <c r="L169" s="205"/>
      <c r="M169" s="205"/>
    </row>
    <row r="170">
      <c r="A170" s="202" t="str">
        <f>IFERROR(__xludf.DUMMYFUNCTION("""COMPUTED_VALUE"""),"Stat Link (HP)")</f>
        <v>Stat Link (HP)</v>
      </c>
      <c r="B170" s="202" t="str">
        <f>IFERROR(__xludf.DUMMYFUNCTION("""COMPUTED_VALUE"""),"Stat Ace, Novice Poke Edu or a Novice Stat Skill")</f>
        <v>Stat Ace, Novice Poke Edu or a Novice Stat Skill</v>
      </c>
      <c r="C170" s="202" t="str">
        <f>IFERROR(__xludf.DUMMYFUNCTION("""COMPUTED_VALUE"""),"Static")</f>
        <v>Static</v>
      </c>
      <c r="D170" s="202" t="str">
        <f>IFERROR(__xludf.DUMMYFUNCTION("""COMPUTED_VALUE"""),"Effect: Your Pokemon start the Scene with 2 Ticks of Temporary hit Points. At the end of your Pokemon’s Turn, if their Hit Points are below 50%, they restore a Tick of Hit Points. ")</f>
        <v>Effect: Your Pokemon start the Scene with 2 Ticks of Temporary hit Points. At the end of your Pokemon’s Turn, if their Hit Points are below 50%, they restore a Tick of Hit Points. </v>
      </c>
      <c r="E170" s="203"/>
      <c r="F170" s="204"/>
      <c r="G170" s="204"/>
      <c r="H170" s="204"/>
      <c r="I170" s="204"/>
      <c r="J170" s="203"/>
      <c r="K170" s="205"/>
      <c r="L170" s="205"/>
      <c r="M170" s="205"/>
    </row>
    <row r="171">
      <c r="A171" s="202" t="str">
        <f>IFERROR(__xludf.DUMMYFUNCTION("""COMPUTED_VALUE"""),"Stat Training (HP)")</f>
        <v>Stat Training (HP)</v>
      </c>
      <c r="B171" s="202" t="str">
        <f>IFERROR(__xludf.DUMMYFUNCTION("""COMPUTED_VALUE"""),"Stat Ace, Adept Poke Edu or an Adept Stat Skill")</f>
        <v>Stat Ace, Adept Poke Edu or an Adept Stat Skill</v>
      </c>
      <c r="C171" s="202" t="str">
        <f>IFERROR(__xludf.DUMMYFUNCTION("""COMPUTED_VALUE"""),"At-Will - Extended Action")</f>
        <v>At-Will - Extended Action</v>
      </c>
      <c r="D171" s="202"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Recover, Refresh")</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Recover, Refresh</v>
      </c>
      <c r="E171" s="203"/>
      <c r="F171" s="204"/>
      <c r="G171" s="204"/>
      <c r="H171" s="204"/>
      <c r="I171" s="204"/>
      <c r="J171" s="203"/>
      <c r="K171" s="205"/>
      <c r="L171" s="205"/>
      <c r="M171" s="205"/>
    </row>
    <row r="172">
      <c r="A172" s="202" t="str">
        <f>IFERROR(__xludf.DUMMYFUNCTION("""COMPUTED_VALUE"""),"Stat Specialty (HP)")</f>
        <v>Stat Specialty (HP)</v>
      </c>
      <c r="B172" s="202" t="str">
        <f>IFERROR(__xludf.DUMMYFUNCTION("""COMPUTED_VALUE"""),"Stat Ace, 3 Stat Ace Features, Master Poke Edu or a Master Stat Skill")</f>
        <v>Stat Ace, 3 Stat Ace Features, Master Poke Edu or a Master Stat Skill</v>
      </c>
      <c r="C172" s="202" t="str">
        <f>IFERROR(__xludf.DUMMYFUNCTION("""COMPUTED_VALUE"""),"Scene x2 - Swift Action")</f>
        <v>Scene x2 - Swift Action</v>
      </c>
      <c r="D172" s="202" t="str">
        <f>IFERROR(__xludf.DUMMYFUNCTION("""COMPUTED_VALUE"""),"Effect: You may Target your Pokemon within 5m to have them restore 3 Ticks of Hit Points or have them be cured of a Status Affliction. A Pokemon can only be Targeted this way once per Scene.")</f>
        <v>Effect: You may Target your Pokemon within 5m to have them restore 3 Ticks of Hit Points or have them be cured of a Status Affliction. A Pokemon can only be Targeted this way once per Scene.</v>
      </c>
      <c r="E172" s="203"/>
      <c r="F172" s="204"/>
      <c r="G172" s="204"/>
      <c r="H172" s="204"/>
      <c r="I172" s="204"/>
      <c r="J172" s="203"/>
      <c r="K172" s="205"/>
      <c r="L172" s="205"/>
      <c r="M172" s="205"/>
    </row>
    <row r="173">
      <c r="A173" s="202" t="str">
        <f>IFERROR(__xludf.DUMMYFUNCTION("""COMPUTED_VALUE"""),"Stat Mastery (HP)")</f>
        <v>Stat Mastery (HP)</v>
      </c>
      <c r="B173" s="202" t="str">
        <f>IFERROR(__xludf.DUMMYFUNCTION("""COMPUTED_VALUE"""),"Stat Ace, 2 Stat Ace Features, Expert Poke Edu or an Expert Stat Skill")</f>
        <v>Stat Ace, 2 Stat Ace Features, Expert Poke Edu or an Expert Stat Skill</v>
      </c>
      <c r="C173" s="202" t="str">
        <f>IFERROR(__xludf.DUMMYFUNCTION("""COMPUTED_VALUE"""),"Static")</f>
        <v>Static</v>
      </c>
      <c r="D173" s="202" t="str">
        <f>IFERROR(__xludf.DUMMYFUNCTION("""COMPUTED_VALUE"""),"Effect: Your Pokemon gain the Vigor Ability.")</f>
        <v>Effect: Your Pokemon gain the Vigor Ability.</v>
      </c>
      <c r="E173" s="203"/>
      <c r="F173" s="204"/>
      <c r="G173" s="204"/>
      <c r="H173" s="204"/>
      <c r="I173" s="204"/>
      <c r="J173" s="203"/>
      <c r="K173" s="205"/>
      <c r="L173" s="205"/>
      <c r="M173" s="205"/>
    </row>
    <row r="174">
      <c r="A174" s="202" t="str">
        <f>IFERROR(__xludf.DUMMYFUNCTION("""COMPUTED_VALUE"""),"Stat Ace (Attack)")</f>
        <v>Stat Ace (Attack)</v>
      </c>
      <c r="B174" s="202" t="str">
        <f>IFERROR(__xludf.DUMMYFUNCTION("""COMPUTED_VALUE"""),"Prerequisite 1: Training Specialist [or]
Prerequisite 2: Adept Poke Edu or an Adept Stat Skill")</f>
        <v>Prerequisite 1: Training Specialist [or]
Prerequisite 2: Adept Poke Edu or an Adept Stat Skill</v>
      </c>
      <c r="C174" s="202" t="str">
        <f>IFERROR(__xludf.DUMMYFUNCTION("""COMPUTED_VALUE"""),"Static")</f>
        <v>Static</v>
      </c>
      <c r="D174" s="202" t="str">
        <f>IFERROR(__xludf.DUMMYFUNCTION("""COMPUTED_VALUE"""),"Effect: Attack is your Linked Stat. Your Pokemon gain the Huge Power Ability.")</f>
        <v>Effect: Attack is your Linked Stat. Your Pokemon gain the Huge Power Ability.</v>
      </c>
      <c r="E174" s="203"/>
      <c r="F174" s="204"/>
      <c r="G174" s="204"/>
      <c r="H174" s="204"/>
      <c r="I174" s="204"/>
      <c r="J174" s="203"/>
      <c r="K174" s="205"/>
      <c r="L174" s="205"/>
      <c r="M174" s="205"/>
    </row>
    <row r="175">
      <c r="A175" s="202" t="str">
        <f>IFERROR(__xludf.DUMMYFUNCTION("""COMPUTED_VALUE"""),"Stat Link (Attack)")</f>
        <v>Stat Link (Attack)</v>
      </c>
      <c r="B175" s="202" t="str">
        <f>IFERROR(__xludf.DUMMYFUNCTION("""COMPUTED_VALUE"""),"Stat Ace, Novice Poke Edu or a Novice Stat Skill")</f>
        <v>Stat Ace, Novice Poke Edu or a Novice Stat Skill</v>
      </c>
      <c r="C175" s="202" t="str">
        <f>IFERROR(__xludf.DUMMYFUNCTION("""COMPUTED_VALUE"""),"Static")</f>
        <v>Static</v>
      </c>
      <c r="D175" s="202" t="str">
        <f>IFERROR(__xludf.DUMMYFUNCTION("""COMPUTED_VALUE"""),"Effect: Your Pokemon have their Default Attack CS set to +1 CS. At the end of your Pokemon’s Turn, if their Attack CS is below their Default CS value, it is set to their Default CS value.")</f>
        <v>Effect: Your Pokemon have their Default Attack CS set to +1 CS. At the end of your Pokemon’s Turn, if their Attack CS is below their Default CS value, it is set to their Default CS value.</v>
      </c>
      <c r="E175" s="203"/>
      <c r="F175" s="204"/>
      <c r="G175" s="204"/>
      <c r="H175" s="204"/>
      <c r="I175" s="204"/>
      <c r="J175" s="203"/>
      <c r="K175" s="205"/>
      <c r="L175" s="205"/>
      <c r="M175" s="205"/>
    </row>
    <row r="176">
      <c r="A176" s="202" t="str">
        <f>IFERROR(__xludf.DUMMYFUNCTION("""COMPUTED_VALUE"""),"Stat Training (Attack)")</f>
        <v>Stat Training (Attack)</v>
      </c>
      <c r="B176" s="202" t="str">
        <f>IFERROR(__xludf.DUMMYFUNCTION("""COMPUTED_VALUE"""),"Stat Ace, Adept Poke Edu or an Adept Stat Skill")</f>
        <v>Stat Ace, Adept Poke Edu or an Adept Stat Skill</v>
      </c>
      <c r="C176" s="202" t="str">
        <f>IFERROR(__xludf.DUMMYFUNCTION("""COMPUTED_VALUE"""),"At-Will - Extended Action")</f>
        <v>At-Will - Extended Action</v>
      </c>
      <c r="D176" s="202"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Swords Dance, Feint")</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Swords Dance, Feint</v>
      </c>
      <c r="E176" s="203"/>
      <c r="F176" s="204"/>
      <c r="G176" s="204"/>
      <c r="H176" s="204"/>
      <c r="I176" s="204"/>
      <c r="J176" s="203"/>
      <c r="K176" s="205"/>
      <c r="L176" s="205"/>
      <c r="M176" s="205"/>
    </row>
    <row r="177">
      <c r="A177" s="202" t="str">
        <f>IFERROR(__xludf.DUMMYFUNCTION("""COMPUTED_VALUE"""),"Stat Specialty (Attack)")</f>
        <v>Stat Specialty (Attack)</v>
      </c>
      <c r="B177" s="202" t="str">
        <f>IFERROR(__xludf.DUMMYFUNCTION("""COMPUTED_VALUE"""),"Stat Ace, 3 Stat Ace Features, Master Poke Edu or a Master Stat Skill")</f>
        <v>Stat Ace, 3 Stat Ace Features, Master Poke Edu or a Master Stat Skill</v>
      </c>
      <c r="C177" s="202" t="str">
        <f>IFERROR(__xludf.DUMMYFUNCTION("""COMPUTED_VALUE"""),"Scene x2 - Swift Action")</f>
        <v>Scene x2 - Swift Action</v>
      </c>
      <c r="D177" s="202" t="str">
        <f>IFERROR(__xludf.DUMMYFUNCTION("""COMPUTED_VALUE"""),"Effect: You may Target your Pokemon within 5m to have their next Physical Attack treat its range as “Melee, Pass” or “Melee, All Adjacent Enemies”. This Attack ignores any positive Combat Stages in Defense.")</f>
        <v>Effect: You may Target your Pokemon within 5m to have their next Physical Attack treat its range as “Melee, Pass” or “Melee, All Adjacent Enemies”. This Attack ignores any positive Combat Stages in Defense.</v>
      </c>
      <c r="E177" s="203"/>
      <c r="F177" s="204"/>
      <c r="G177" s="204"/>
      <c r="H177" s="204"/>
      <c r="I177" s="204"/>
      <c r="J177" s="203"/>
      <c r="K177" s="205"/>
      <c r="L177" s="205"/>
      <c r="M177" s="205"/>
    </row>
    <row r="178">
      <c r="A178" s="202" t="str">
        <f>IFERROR(__xludf.DUMMYFUNCTION("""COMPUTED_VALUE"""),"Stat Mastery (Attack)")</f>
        <v>Stat Mastery (Attack)</v>
      </c>
      <c r="B178" s="202" t="str">
        <f>IFERROR(__xludf.DUMMYFUNCTION("""COMPUTED_VALUE"""),"Stat Ace, 2 Stat Ace Features, Expert Poke Edu or an Expert Stat Skill")</f>
        <v>Stat Ace, 2 Stat Ace Features, Expert Poke Edu or an Expert Stat Skill</v>
      </c>
      <c r="C178" s="202" t="str">
        <f>IFERROR(__xludf.DUMMYFUNCTION("""COMPUTED_VALUE"""),"Static")</f>
        <v>Static</v>
      </c>
      <c r="D178" s="202" t="str">
        <f>IFERROR(__xludf.DUMMYFUNCTION("""COMPUTED_VALUE"""),"Effect: Your Pokemon gain the Defiant Ability.")</f>
        <v>Effect: Your Pokemon gain the Defiant Ability.</v>
      </c>
      <c r="E178" s="203"/>
      <c r="F178" s="204"/>
      <c r="G178" s="204"/>
      <c r="H178" s="204"/>
      <c r="I178" s="204"/>
      <c r="J178" s="203"/>
      <c r="K178" s="205"/>
      <c r="L178" s="205"/>
      <c r="M178" s="205"/>
    </row>
    <row r="179">
      <c r="A179" s="202" t="str">
        <f>IFERROR(__xludf.DUMMYFUNCTION("""COMPUTED_VALUE"""),"Stat Ace (Defense)")</f>
        <v>Stat Ace (Defense)</v>
      </c>
      <c r="B179" s="202" t="str">
        <f>IFERROR(__xludf.DUMMYFUNCTION("""COMPUTED_VALUE"""),"Prerequisite 1: Training Specialist [or]
Prerequisite 2: Adept Poke Edu or an Adept Stat Skill")</f>
        <v>Prerequisite 1: Training Specialist [or]
Prerequisite 2: Adept Poke Edu or an Adept Stat Skill</v>
      </c>
      <c r="C179" s="202" t="str">
        <f>IFERROR(__xludf.DUMMYFUNCTION("""COMPUTED_VALUE"""),"Static")</f>
        <v>Static</v>
      </c>
      <c r="D179" s="202" t="str">
        <f>IFERROR(__xludf.DUMMYFUNCTION("""COMPUTED_VALUE"""),"Effect: Defense is your Linked Stat. Your Pokemon gain the Stoicism Ability.")</f>
        <v>Effect: Defense is your Linked Stat. Your Pokemon gain the Stoicism Ability.</v>
      </c>
      <c r="E179" s="203"/>
      <c r="F179" s="204"/>
      <c r="G179" s="204"/>
      <c r="H179" s="204"/>
      <c r="I179" s="204"/>
      <c r="J179" s="203"/>
      <c r="K179" s="205"/>
      <c r="L179" s="205"/>
      <c r="M179" s="205"/>
    </row>
    <row r="180">
      <c r="A180" s="202" t="str">
        <f>IFERROR(__xludf.DUMMYFUNCTION("""COMPUTED_VALUE"""),"Stat Link (Defense)")</f>
        <v>Stat Link (Defense)</v>
      </c>
      <c r="B180" s="202" t="str">
        <f>IFERROR(__xludf.DUMMYFUNCTION("""COMPUTED_VALUE"""),"Stat Ace, Novice Poke Edu or a Novice Stat Skill")</f>
        <v>Stat Ace, Novice Poke Edu or a Novice Stat Skill</v>
      </c>
      <c r="C180" s="202" t="str">
        <f>IFERROR(__xludf.DUMMYFUNCTION("""COMPUTED_VALUE"""),"Static")</f>
        <v>Static</v>
      </c>
      <c r="D180" s="202" t="str">
        <f>IFERROR(__xludf.DUMMYFUNCTION("""COMPUTED_VALUE"""),"Effect: Your Pokemon have their Default Defense CS set to +1 CS. At the end of your Pokemon’s Turn, if their Defense CS is below their Default CS value, it is set to their Default CS value.")</f>
        <v>Effect: Your Pokemon have their Default Defense CS set to +1 CS. At the end of your Pokemon’s Turn, if their Defense CS is below their Default CS value, it is set to their Default CS value.</v>
      </c>
      <c r="E180" s="203"/>
      <c r="F180" s="204"/>
      <c r="G180" s="204"/>
      <c r="H180" s="204"/>
      <c r="I180" s="204"/>
      <c r="J180" s="203"/>
      <c r="K180" s="205"/>
      <c r="L180" s="205"/>
      <c r="M180" s="205"/>
    </row>
    <row r="181">
      <c r="A181" s="202" t="str">
        <f>IFERROR(__xludf.DUMMYFUNCTION("""COMPUTED_VALUE"""),"Stat Training (Defense)")</f>
        <v>Stat Training (Defense)</v>
      </c>
      <c r="B181" s="202" t="str">
        <f>IFERROR(__xludf.DUMMYFUNCTION("""COMPUTED_VALUE"""),"Stat Ace, Adept Poke Edu or an Adept Stat Skill")</f>
        <v>Stat Ace, Adept Poke Edu or an Adept Stat Skill</v>
      </c>
      <c r="C181" s="202" t="str">
        <f>IFERROR(__xludf.DUMMYFUNCTION("""COMPUTED_VALUE"""),"At-Will - Extended Action")</f>
        <v>At-Will - Extended Action</v>
      </c>
      <c r="D181" s="202"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Iron Defense, Reflect")</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Iron Defense, Reflect</v>
      </c>
      <c r="E181" s="203"/>
      <c r="F181" s="204"/>
      <c r="G181" s="204"/>
      <c r="H181" s="204"/>
      <c r="I181" s="204"/>
      <c r="J181" s="203"/>
      <c r="K181" s="205"/>
      <c r="L181" s="205"/>
      <c r="M181" s="205"/>
    </row>
    <row r="182">
      <c r="A182" s="202" t="str">
        <f>IFERROR(__xludf.DUMMYFUNCTION("""COMPUTED_VALUE"""),"Stat Specialty (Defense)")</f>
        <v>Stat Specialty (Defense)</v>
      </c>
      <c r="B182" s="202" t="str">
        <f>IFERROR(__xludf.DUMMYFUNCTION("""COMPUTED_VALUE"""),"Stat Ace, 3 Stat Ace Features, Master Poke Edu or a Master Stat Skill")</f>
        <v>Stat Ace, 3 Stat Ace Features, Master Poke Edu or a Master Stat Skill</v>
      </c>
      <c r="C182" s="202" t="str">
        <f>IFERROR(__xludf.DUMMYFUNCTION("""COMPUTED_VALUE"""),"Scene x2 - Swift Action")</f>
        <v>Scene x2 - Swift Action</v>
      </c>
      <c r="D182" s="202" t="str">
        <f>IFERROR(__xludf.DUMMYFUNCTION("""COMPUTED_VALUE"""),"Effect: You may Trigger this Feature when your Pokemon are hit by a Special Attack to instead apply Defense towards Damage Calculations.")</f>
        <v>Effect: You may Trigger this Feature when your Pokemon are hit by a Special Attack to instead apply Defense towards Damage Calculations.</v>
      </c>
      <c r="E182" s="203"/>
      <c r="F182" s="204"/>
      <c r="G182" s="204"/>
      <c r="H182" s="204"/>
      <c r="I182" s="204"/>
      <c r="J182" s="203"/>
      <c r="K182" s="205"/>
      <c r="L182" s="205"/>
      <c r="M182" s="205"/>
    </row>
    <row r="183">
      <c r="A183" s="202" t="str">
        <f>IFERROR(__xludf.DUMMYFUNCTION("""COMPUTED_VALUE"""),"Stat Mastery (Defense)")</f>
        <v>Stat Mastery (Defense)</v>
      </c>
      <c r="B183" s="202" t="str">
        <f>IFERROR(__xludf.DUMMYFUNCTION("""COMPUTED_VALUE"""),"Stat Ace, 2 Stat Ace Features, Expert Poke Edu or an Expert Stat Skill")</f>
        <v>Stat Ace, 2 Stat Ace Features, Expert Poke Edu or an Expert Stat Skill</v>
      </c>
      <c r="C183" s="202" t="str">
        <f>IFERROR(__xludf.DUMMYFUNCTION("""COMPUTED_VALUE"""),"Static")</f>
        <v>Static</v>
      </c>
      <c r="D183" s="202" t="str">
        <f>IFERROR(__xludf.DUMMYFUNCTION("""COMPUTED_VALUE"""),"Effect: Your Pokemon gain the Stamina Ability.")</f>
        <v>Effect: Your Pokemon gain the Stamina Ability.</v>
      </c>
      <c r="E183" s="203"/>
      <c r="F183" s="204"/>
      <c r="G183" s="204"/>
      <c r="H183" s="204"/>
      <c r="I183" s="204"/>
      <c r="J183" s="203"/>
      <c r="K183" s="205"/>
      <c r="L183" s="205"/>
      <c r="M183" s="205"/>
    </row>
    <row r="184">
      <c r="A184" s="202" t="str">
        <f>IFERROR(__xludf.DUMMYFUNCTION("""COMPUTED_VALUE"""),"Stat Ace (Special Attack)")</f>
        <v>Stat Ace (Special Attack)</v>
      </c>
      <c r="B184" s="202" t="str">
        <f>IFERROR(__xludf.DUMMYFUNCTION("""COMPUTED_VALUE"""),"Prerequisite 1: Training Specialist [or]
Prerequisite 2: Adept Poke Edu or an Adept Stat Skill")</f>
        <v>Prerequisite 1: Training Specialist [or]
Prerequisite 2: Adept Poke Edu or an Adept Stat Skill</v>
      </c>
      <c r="C184" s="202" t="str">
        <f>IFERROR(__xludf.DUMMYFUNCTION("""COMPUTED_VALUE"""),"Static")</f>
        <v>Static</v>
      </c>
      <c r="D184" s="202" t="str">
        <f>IFERROR(__xludf.DUMMYFUNCTION("""COMPUTED_VALUE"""),"Effect: Special Attack is your Linked Stat. Your Pokemon gain the Sorcery Ability.")</f>
        <v>Effect: Special Attack is your Linked Stat. Your Pokemon gain the Sorcery Ability.</v>
      </c>
      <c r="E184" s="203"/>
      <c r="F184" s="204"/>
      <c r="G184" s="204"/>
      <c r="H184" s="204"/>
      <c r="I184" s="204"/>
      <c r="J184" s="203"/>
      <c r="K184" s="205"/>
      <c r="L184" s="205"/>
      <c r="M184" s="205"/>
    </row>
    <row r="185">
      <c r="A185" s="202" t="str">
        <f>IFERROR(__xludf.DUMMYFUNCTION("""COMPUTED_VALUE"""),"Stat Link (Special Attack)")</f>
        <v>Stat Link (Special Attack)</v>
      </c>
      <c r="B185" s="202" t="str">
        <f>IFERROR(__xludf.DUMMYFUNCTION("""COMPUTED_VALUE"""),"Stat Ace, Novice Poke Edu or a Novice Stat Skill")</f>
        <v>Stat Ace, Novice Poke Edu or a Novice Stat Skill</v>
      </c>
      <c r="C185" s="202" t="str">
        <f>IFERROR(__xludf.DUMMYFUNCTION("""COMPUTED_VALUE"""),"Static")</f>
        <v>Static</v>
      </c>
      <c r="D185" s="202" t="str">
        <f>IFERROR(__xludf.DUMMYFUNCTION("""COMPUTED_VALUE"""),"Effect: Your Pokemon have their Default Special Attack CS set to +1 CS. At the end of your Pokemon’s Turn, if their Special Attack CS is below their Default CS value, it is set to their Default CS value.")</f>
        <v>Effect: Your Pokemon have their Default Special Attack CS set to +1 CS. At the end of your Pokemon’s Turn, if their Special Attack CS is below their Default CS value, it is set to their Default CS value.</v>
      </c>
      <c r="E185" s="203"/>
      <c r="F185" s="204"/>
      <c r="G185" s="204"/>
      <c r="H185" s="204"/>
      <c r="I185" s="204"/>
      <c r="J185" s="203"/>
      <c r="K185" s="205"/>
      <c r="L185" s="205"/>
      <c r="M185" s="205"/>
    </row>
    <row r="186">
      <c r="A186" s="202" t="str">
        <f>IFERROR(__xludf.DUMMYFUNCTION("""COMPUTED_VALUE"""),"Stat Training (Special Attack)")</f>
        <v>Stat Training (Special Attack)</v>
      </c>
      <c r="B186" s="202" t="str">
        <f>IFERROR(__xludf.DUMMYFUNCTION("""COMPUTED_VALUE"""),"Stat Ace, Adept Poke Edu or an Adept Stat Skill")</f>
        <v>Stat Ace, Adept Poke Edu or an Adept Stat Skill</v>
      </c>
      <c r="C186" s="202" t="str">
        <f>IFERROR(__xludf.DUMMYFUNCTION("""COMPUTED_VALUE"""),"At-Will - Extended Action")</f>
        <v>At-Will - Extended Action</v>
      </c>
      <c r="D186" s="202"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Nasty Plot, Hidden Power")</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Nasty Plot, Hidden Power</v>
      </c>
      <c r="E186" s="203"/>
      <c r="F186" s="204"/>
      <c r="G186" s="204"/>
      <c r="H186" s="204"/>
      <c r="I186" s="204"/>
      <c r="J186" s="203"/>
      <c r="K186" s="205"/>
      <c r="L186" s="205"/>
      <c r="M186" s="205"/>
    </row>
    <row r="187">
      <c r="A187" s="202" t="str">
        <f>IFERROR(__xludf.DUMMYFUNCTION("""COMPUTED_VALUE"""),"Stat Specialty (Special Attack)")</f>
        <v>Stat Specialty (Special Attack)</v>
      </c>
      <c r="B187" s="202" t="str">
        <f>IFERROR(__xludf.DUMMYFUNCTION("""COMPUTED_VALUE"""),"Stat Ace, 3 Stat Ace Features, Master Poke Edu or a Master Stat Skill")</f>
        <v>Stat Ace, 3 Stat Ace Features, Master Poke Edu or a Master Stat Skill</v>
      </c>
      <c r="C187" s="202" t="str">
        <f>IFERROR(__xludf.DUMMYFUNCTION("""COMPUTED_VALUE"""),"Scene x2 - Swift Action")</f>
        <v>Scene x2 - Swift Action</v>
      </c>
      <c r="D187" s="202" t="str">
        <f>IFERROR(__xludf.DUMMYFUNCTION("""COMPUTED_VALUE"""),"Effect: You may Target your Pokemon within 5m to have their next Special Attack treat its range as “4, 2 Targets” or “8, Ranged Blast 3”. This Attack ignores any positive Combat Stages in Special Defense.")</f>
        <v>Effect: You may Target your Pokemon within 5m to have their next Special Attack treat its range as “4, 2 Targets” or “8, Ranged Blast 3”. This Attack ignores any positive Combat Stages in Special Defense.</v>
      </c>
      <c r="E187" s="203"/>
      <c r="F187" s="204"/>
      <c r="G187" s="204"/>
      <c r="H187" s="204"/>
      <c r="I187" s="204"/>
      <c r="J187" s="203"/>
      <c r="K187" s="205"/>
      <c r="L187" s="205"/>
      <c r="M187" s="205"/>
    </row>
    <row r="188">
      <c r="A188" s="202" t="str">
        <f>IFERROR(__xludf.DUMMYFUNCTION("""COMPUTED_VALUE"""),"Stat Mastery (Special Attack)")</f>
        <v>Stat Mastery (Special Attack)</v>
      </c>
      <c r="B188" s="202" t="str">
        <f>IFERROR(__xludf.DUMMYFUNCTION("""COMPUTED_VALUE"""),"Stat Ace, 2 Stat Ace Features, Expert Poke Edu or an Expert Stat Skill")</f>
        <v>Stat Ace, 2 Stat Ace Features, Expert Poke Edu or an Expert Stat Skill</v>
      </c>
      <c r="C188" s="202" t="str">
        <f>IFERROR(__xludf.DUMMYFUNCTION("""COMPUTED_VALUE"""),"Static")</f>
        <v>Static</v>
      </c>
      <c r="D188" s="202" t="str">
        <f>IFERROR(__xludf.DUMMYFUNCTION("""COMPUTED_VALUE"""),"Effect: Your Pokemon gain the Mental Force Ability.")</f>
        <v>Effect: Your Pokemon gain the Mental Force Ability.</v>
      </c>
      <c r="E188" s="203"/>
      <c r="F188" s="204"/>
      <c r="G188" s="204"/>
      <c r="H188" s="204"/>
      <c r="I188" s="204"/>
      <c r="J188" s="203"/>
      <c r="K188" s="205"/>
      <c r="L188" s="205"/>
      <c r="M188" s="205"/>
    </row>
    <row r="189">
      <c r="A189" s="202" t="str">
        <f>IFERROR(__xludf.DUMMYFUNCTION("""COMPUTED_VALUE"""),"Stat Ace (Special Defense)")</f>
        <v>Stat Ace (Special Defense)</v>
      </c>
      <c r="B189" s="202" t="str">
        <f>IFERROR(__xludf.DUMMYFUNCTION("""COMPUTED_VALUE"""),"Prerequisite 1: Training Specialist [or]
Prerequisite 2: Adept Poke Edu or an Adept Stat Skill")</f>
        <v>Prerequisite 1: Training Specialist [or]
Prerequisite 2: Adept Poke Edu or an Adept Stat Skill</v>
      </c>
      <c r="C189" s="202" t="str">
        <f>IFERROR(__xludf.DUMMYFUNCTION("""COMPUTED_VALUE"""),"Static")</f>
        <v>Static</v>
      </c>
      <c r="D189" s="202" t="str">
        <f>IFERROR(__xludf.DUMMYFUNCTION("""COMPUTED_VALUE"""),"Effect: Special Defense is your Linked Stat. Your Pokemon gain the Mysticism Ability.")</f>
        <v>Effect: Special Defense is your Linked Stat. Your Pokemon gain the Mysticism Ability.</v>
      </c>
      <c r="E189" s="203"/>
      <c r="F189" s="204"/>
      <c r="G189" s="204"/>
      <c r="H189" s="204"/>
      <c r="I189" s="204"/>
      <c r="J189" s="203"/>
      <c r="K189" s="205"/>
      <c r="L189" s="205"/>
      <c r="M189" s="205"/>
    </row>
    <row r="190">
      <c r="A190" s="202" t="str">
        <f>IFERROR(__xludf.DUMMYFUNCTION("""COMPUTED_VALUE"""),"Stat Link (Special Defense)")</f>
        <v>Stat Link (Special Defense)</v>
      </c>
      <c r="B190" s="202" t="str">
        <f>IFERROR(__xludf.DUMMYFUNCTION("""COMPUTED_VALUE"""),"Stat Ace, Novice Poke Edu or a Novice Stat Skill")</f>
        <v>Stat Ace, Novice Poke Edu or a Novice Stat Skill</v>
      </c>
      <c r="C190" s="202" t="str">
        <f>IFERROR(__xludf.DUMMYFUNCTION("""COMPUTED_VALUE"""),"Static")</f>
        <v>Static</v>
      </c>
      <c r="D190" s="202" t="str">
        <f>IFERROR(__xludf.DUMMYFUNCTION("""COMPUTED_VALUE"""),"Effect: Your Pokemon have their Default Special Defense CS set to +1 CS. At the end of your Pokemon’s Turn, if their Special Defense CS is below their Default CS value, it is set to their Default CS value.")</f>
        <v>Effect: Your Pokemon have their Default Special Defense CS set to +1 CS. At the end of your Pokemon’s Turn, if their Special Defense CS is below their Default CS value, it is set to their Default CS value.</v>
      </c>
      <c r="E190" s="203"/>
      <c r="F190" s="204"/>
      <c r="G190" s="204"/>
      <c r="H190" s="204"/>
      <c r="I190" s="204"/>
      <c r="J190" s="203"/>
      <c r="K190" s="205"/>
      <c r="L190" s="205"/>
      <c r="M190" s="205"/>
    </row>
    <row r="191">
      <c r="A191" s="202" t="str">
        <f>IFERROR(__xludf.DUMMYFUNCTION("""COMPUTED_VALUE"""),"Stat Training (Special Defense)")</f>
        <v>Stat Training (Special Defense)</v>
      </c>
      <c r="B191" s="202" t="str">
        <f>IFERROR(__xludf.DUMMYFUNCTION("""COMPUTED_VALUE"""),"Stat Ace, Adept Poke Edu or an Adept Stat Skill")</f>
        <v>Stat Ace, Adept Poke Edu or an Adept Stat Skill</v>
      </c>
      <c r="C191" s="202" t="str">
        <f>IFERROR(__xludf.DUMMYFUNCTION("""COMPUTED_VALUE"""),"At-Will - Extended Action")</f>
        <v>At-Will - Extended Action</v>
      </c>
      <c r="D191" s="202"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Amnesia, Light Screen")</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Amnesia, Light Screen</v>
      </c>
      <c r="E191" s="203"/>
      <c r="F191" s="204"/>
      <c r="G191" s="204"/>
      <c r="H191" s="204"/>
      <c r="I191" s="204"/>
      <c r="J191" s="203"/>
      <c r="K191" s="205"/>
      <c r="L191" s="205"/>
      <c r="M191" s="205"/>
    </row>
    <row r="192">
      <c r="A192" s="202" t="str">
        <f>IFERROR(__xludf.DUMMYFUNCTION("""COMPUTED_VALUE"""),"Stat Specialty (Special Defense)")</f>
        <v>Stat Specialty (Special Defense)</v>
      </c>
      <c r="B192" s="202" t="str">
        <f>IFERROR(__xludf.DUMMYFUNCTION("""COMPUTED_VALUE"""),"Stat Ace, 3 Stat Ace Features, Master Poke Edu or a Master Stat Skill")</f>
        <v>Stat Ace, 3 Stat Ace Features, Master Poke Edu or a Master Stat Skill</v>
      </c>
      <c r="C192" s="202" t="str">
        <f>IFERROR(__xludf.DUMMYFUNCTION("""COMPUTED_VALUE"""),"Scene x2 - Swift Action")</f>
        <v>Scene x2 - Swift Action</v>
      </c>
      <c r="D192" s="202" t="str">
        <f>IFERROR(__xludf.DUMMYFUNCTION("""COMPUTED_VALUE"""),"Effect: You may Trigger this Feature when your Pokemon are hit by a Physical Attack to instead apply Special Defense towards Damage Calculations.")</f>
        <v>Effect: You may Trigger this Feature when your Pokemon are hit by a Physical Attack to instead apply Special Defense towards Damage Calculations.</v>
      </c>
      <c r="E192" s="203"/>
      <c r="F192" s="204"/>
      <c r="G192" s="204"/>
      <c r="H192" s="204"/>
      <c r="I192" s="204"/>
      <c r="J192" s="203"/>
      <c r="K192" s="205"/>
      <c r="L192" s="205"/>
      <c r="M192" s="205"/>
    </row>
    <row r="193">
      <c r="A193" s="202" t="str">
        <f>IFERROR(__xludf.DUMMYFUNCTION("""COMPUTED_VALUE"""),"Stat Mastery (Special Defense)")</f>
        <v>Stat Mastery (Special Defense)</v>
      </c>
      <c r="B193" s="202" t="str">
        <f>IFERROR(__xludf.DUMMYFUNCTION("""COMPUTED_VALUE"""),"Stat Ace, 2 Stat Ace Features, Expert Poke Edu or an Expert Stat Skill")</f>
        <v>Stat Ace, 2 Stat Ace Features, Expert Poke Edu or an Expert Stat Skill</v>
      </c>
      <c r="C193" s="202" t="str">
        <f>IFERROR(__xludf.DUMMYFUNCTION("""COMPUTED_VALUE"""),"Static")</f>
        <v>Static</v>
      </c>
      <c r="D193" s="202" t="str">
        <f>IFERROR(__xludf.DUMMYFUNCTION("""COMPUTED_VALUE"""),"Effect: Your Pokemon gain the Magic Guard Ability.")</f>
        <v>Effect: Your Pokemon gain the Magic Guard Ability.</v>
      </c>
      <c r="E193" s="203"/>
      <c r="F193" s="204"/>
      <c r="G193" s="204"/>
      <c r="H193" s="204"/>
      <c r="I193" s="204"/>
      <c r="J193" s="203"/>
      <c r="K193" s="205"/>
      <c r="L193" s="205"/>
      <c r="M193" s="205"/>
    </row>
    <row r="194">
      <c r="A194" s="202" t="str">
        <f>IFERROR(__xludf.DUMMYFUNCTION("""COMPUTED_VALUE"""),"Stat Ace (Speed)")</f>
        <v>Stat Ace (Speed)</v>
      </c>
      <c r="B194" s="202" t="str">
        <f>IFERROR(__xludf.DUMMYFUNCTION("""COMPUTED_VALUE"""),"Prerequisite 1: Training Specialist [or]
Prerequisite 2: Adept Poke Edu or an Adept Stat Skill")</f>
        <v>Prerequisite 1: Training Specialist [or]
Prerequisite 2: Adept Poke Edu or an Adept Stat Skill</v>
      </c>
      <c r="C194" s="202" t="str">
        <f>IFERROR(__xludf.DUMMYFUNCTION("""COMPUTED_VALUE"""),"Static")</f>
        <v>Static</v>
      </c>
      <c r="D194" s="202" t="str">
        <f>IFERROR(__xludf.DUMMYFUNCTION("""COMPUTED_VALUE"""),"Effect: Speed is your Linked Stat. Your Pokemon gain the Alacrity Ability.")</f>
        <v>Effect: Speed is your Linked Stat. Your Pokemon gain the Alacrity Ability.</v>
      </c>
      <c r="E194" s="203"/>
      <c r="F194" s="204"/>
      <c r="G194" s="204"/>
      <c r="H194" s="204"/>
      <c r="I194" s="204"/>
      <c r="J194" s="203"/>
      <c r="K194" s="205"/>
      <c r="L194" s="205"/>
      <c r="M194" s="205"/>
    </row>
    <row r="195">
      <c r="A195" s="202" t="str">
        <f>IFERROR(__xludf.DUMMYFUNCTION("""COMPUTED_VALUE"""),"Stat Link (Speed)")</f>
        <v>Stat Link (Speed)</v>
      </c>
      <c r="B195" s="202" t="str">
        <f>IFERROR(__xludf.DUMMYFUNCTION("""COMPUTED_VALUE"""),"Stat Ace, Novice Poke Edu or a Novice Stat Skill")</f>
        <v>Stat Ace, Novice Poke Edu or a Novice Stat Skill</v>
      </c>
      <c r="C195" s="202" t="str">
        <f>IFERROR(__xludf.DUMMYFUNCTION("""COMPUTED_VALUE"""),"Static")</f>
        <v>Static</v>
      </c>
      <c r="D195" s="202" t="str">
        <f>IFERROR(__xludf.DUMMYFUNCTION("""COMPUTED_VALUE"""),"Effect: Your Pokemon have their Default Speed CS set to +1 CS. At the end of your Pokemon’s Turn, if their Speed CS is below their Default CS value, it is set to their Default CS value.")</f>
        <v>Effect: Your Pokemon have their Default Speed CS set to +1 CS. At the end of your Pokemon’s Turn, if their Speed CS is below their Default CS value, it is set to their Default CS value.</v>
      </c>
      <c r="E195" s="203"/>
      <c r="F195" s="204"/>
      <c r="G195" s="204"/>
      <c r="H195" s="204"/>
      <c r="I195" s="204"/>
      <c r="J195" s="203"/>
      <c r="K195" s="205"/>
      <c r="L195" s="205"/>
      <c r="M195" s="205"/>
    </row>
    <row r="196">
      <c r="A196" s="202" t="str">
        <f>IFERROR(__xludf.DUMMYFUNCTION("""COMPUTED_VALUE"""),"Stat Training (Speed)")</f>
        <v>Stat Training (Speed)</v>
      </c>
      <c r="B196" s="202" t="str">
        <f>IFERROR(__xludf.DUMMYFUNCTION("""COMPUTED_VALUE"""),"Stat Ace, Adept Poke Edu or an Adept Stat Skill")</f>
        <v>Stat Ace, Adept Poke Edu or an Adept Stat Skill</v>
      </c>
      <c r="C196" s="202" t="str">
        <f>IFERROR(__xludf.DUMMYFUNCTION("""COMPUTED_VALUE"""),"At-Will - Extended Action")</f>
        <v>At-Will - Extended Action</v>
      </c>
      <c r="D196" s="202"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Agility, After You")</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Agility, After You</v>
      </c>
      <c r="E196" s="203"/>
      <c r="F196" s="204"/>
      <c r="G196" s="204"/>
      <c r="H196" s="204"/>
      <c r="I196" s="204"/>
      <c r="J196" s="203"/>
      <c r="K196" s="205"/>
      <c r="L196" s="205"/>
      <c r="M196" s="205"/>
    </row>
    <row r="197">
      <c r="A197" s="202" t="str">
        <f>IFERROR(__xludf.DUMMYFUNCTION("""COMPUTED_VALUE"""),"Stat Specialty (Speed)")</f>
        <v>Stat Specialty (Speed)</v>
      </c>
      <c r="B197" s="202" t="str">
        <f>IFERROR(__xludf.DUMMYFUNCTION("""COMPUTED_VALUE"""),"Stat Ace, 3 Stat Ace Features, Master Poke Edu or a Master Stat Skill")</f>
        <v>Stat Ace, 3 Stat Ace Features, Master Poke Edu or a Master Stat Skill</v>
      </c>
      <c r="C197" s="202" t="str">
        <f>IFERROR(__xludf.DUMMYFUNCTION("""COMPUTED_VALUE"""),"Scene x2 - Swift Action")</f>
        <v>Scene x2 - Swift Action</v>
      </c>
      <c r="D197" s="202" t="str">
        <f>IFERROR(__xludf.DUMMYFUNCTION("""COMPUTED_VALUE"""),"Effect: You may Trigger this Feature when your Pokemon make an Attack to have them ignore Speed Evasion. If it’s Damaging, Targets must use their Speed Stat instead of the relevant Defense Stat to determine the Damage Calculations.")</f>
        <v>Effect: You may Trigger this Feature when your Pokemon make an Attack to have them ignore Speed Evasion. If it’s Damaging, Targets must use their Speed Stat instead of the relevant Defense Stat to determine the Damage Calculations.</v>
      </c>
      <c r="E197" s="203"/>
      <c r="F197" s="204"/>
      <c r="G197" s="204"/>
      <c r="H197" s="204"/>
      <c r="I197" s="204"/>
      <c r="J197" s="203"/>
      <c r="K197" s="205"/>
      <c r="L197" s="205"/>
      <c r="M197" s="205"/>
    </row>
    <row r="198">
      <c r="A198" s="202" t="str">
        <f>IFERROR(__xludf.DUMMYFUNCTION("""COMPUTED_VALUE"""),"Stat Mastery (Speed)")</f>
        <v>Stat Mastery (Speed)</v>
      </c>
      <c r="B198" s="202" t="str">
        <f>IFERROR(__xludf.DUMMYFUNCTION("""COMPUTED_VALUE"""),"Stat Ace, 2 Stat Ace Features, Expert Poke Edu or an Expert Stat Skill")</f>
        <v>Stat Ace, 2 Stat Ace Features, Expert Poke Edu or an Expert Stat Skill</v>
      </c>
      <c r="C198" s="202" t="str">
        <f>IFERROR(__xludf.DUMMYFUNCTION("""COMPUTED_VALUE"""),"Static")</f>
        <v>Static</v>
      </c>
      <c r="D198" s="202" t="str">
        <f>IFERROR(__xludf.DUMMYFUNCTION("""COMPUTED_VALUE"""),"Effect: Your Pokemon gain the Accelerate Ability.")</f>
        <v>Effect: Your Pokemon gain the Accelerate Ability.</v>
      </c>
      <c r="E198" s="203"/>
      <c r="F198" s="204"/>
      <c r="G198" s="204"/>
      <c r="H198" s="204"/>
      <c r="I198" s="204"/>
      <c r="J198" s="203"/>
      <c r="K198" s="205"/>
      <c r="L198" s="205"/>
      <c r="M198" s="205"/>
    </row>
    <row r="199">
      <c r="A199" s="202" t="str">
        <f>IFERROR(__xludf.DUMMYFUNCTION("""COMPUTED_VALUE"""),"Taskmaster")</f>
        <v>Taskmaster</v>
      </c>
      <c r="B199" s="202" t="str">
        <f>IFERROR(__xludf.DUMMYFUNCTION("""COMPUTED_VALUE"""),"Prerequisite 1: Training Specialist [or]
Prerequisite 2: Adept Command or Intimidate")</f>
        <v>Prerequisite 1: Training Specialist [or]
Prerequisite 2: Adept Command or Intimidate</v>
      </c>
      <c r="C199" s="202" t="str">
        <f>IFERROR(__xludf.DUMMYFUNCTION("""COMPUTED_VALUE"""),"Static")</f>
        <v>Static</v>
      </c>
      <c r="D199" s="202" t="str">
        <f>IFERROR(__xludf.DUMMYFUNCTION("""COMPUTED_VALUE"""),"Effect: Your Pokemon gain the listed benefits if their Current HIt Points are lower than the following HP Thresholds.
75% - +2 Modifier to Accuracy Rolls and Save Checks
50% - +5 to Damage Rolls and +5 Damage Reduction. These
become +10 if you have 5 Tas"&amp;"kmaster Features.
25% - +2 Modifier to Critical Hit Ranges and Effect Ranges.
0% - All the previous values are doubled.")</f>
        <v>Effect: Your Pokemon gain the listed benefits if their Current HIt Points are lower than the following HP Thresholds.
75% - +2 Modifier to Accuracy Rolls and Save Checks
50% - +5 to Damage Rolls and +5 Damage Reduction. These
become +10 if you have 5 Taskmaster Features.
25% - +2 Modifier to Critical Hit Ranges and Effect Ranges.
0% - All the previous values are doubled.</v>
      </c>
      <c r="E199" s="203"/>
      <c r="F199" s="204"/>
      <c r="G199" s="204"/>
      <c r="H199" s="204"/>
      <c r="I199" s="204"/>
      <c r="J199" s="203"/>
      <c r="K199" s="205"/>
      <c r="L199" s="205"/>
      <c r="M199" s="205"/>
    </row>
    <row r="200">
      <c r="A200" s="202" t="str">
        <f>IFERROR(__xludf.DUMMYFUNCTION("""COMPUTED_VALUE"""),"Strict Command")</f>
        <v>Strict Command</v>
      </c>
      <c r="B200" s="202" t="str">
        <f>IFERROR(__xludf.DUMMYFUNCTION("""COMPUTED_VALUE"""),"Taskmaster, Novice Command or Intimidate")</f>
        <v>Taskmaster, Novice Command or Intimidate</v>
      </c>
      <c r="C200" s="202" t="str">
        <f>IFERROR(__xludf.DUMMYFUNCTION("""COMPUTED_VALUE"""),"At-Will - Swift Action")</f>
        <v>At-Will - Swift Action</v>
      </c>
      <c r="D200" s="202" t="str">
        <f>IFERROR(__xludf.DUMMYFUNCTION("""COMPUTED_VALUE"""),"Trigger: You use a Basic Order on your Pokemon
Effect: Double all numerical values on the triggering Order when applying them to targeted Pokemon. All affected Targets have their next Damaging Attack they hit gain the Recoil 1/3 Keyword and they cannot a"&amp;"pply Stat Evasion against the next Attack that Targets them.")</f>
        <v>Trigger: You use a Basic Order on your Pokemon
Effect: Double all numerical values on the triggering Order when applying them to targeted Pokemon. All affected Targets have their next Damaging Attack they hit gain the Recoil 1/3 Keyword and they cannot apply Stat Evasion against the next Attack that Targets them.</v>
      </c>
      <c r="E200" s="203"/>
      <c r="F200" s="204"/>
      <c r="G200" s="204"/>
      <c r="H200" s="204"/>
      <c r="I200" s="204"/>
      <c r="J200" s="203"/>
      <c r="K200" s="205"/>
      <c r="L200" s="205"/>
      <c r="M200" s="205"/>
    </row>
    <row r="201">
      <c r="A201" s="202" t="str">
        <f>IFERROR(__xludf.DUMMYFUNCTION("""COMPUTED_VALUE"""),"Pain Tolerance")</f>
        <v>Pain Tolerance</v>
      </c>
      <c r="B201" s="202" t="str">
        <f>IFERROR(__xludf.DUMMYFUNCTION("""COMPUTED_VALUE"""),"Taskmaster, Adept Command or Intimidate")</f>
        <v>Taskmaster, Adept Command or Intimidate</v>
      </c>
      <c r="C201" s="202" t="str">
        <f>IFERROR(__xludf.DUMMYFUNCTION("""COMPUTED_VALUE"""),"Scene x2 - Free Action")</f>
        <v>Scene x2 - Free Action</v>
      </c>
      <c r="D201" s="202" t="str">
        <f>IFERROR(__xludf.DUMMYFUNCTION("""COMPUTED_VALUE"""),"Trigger: Your Pokemon are hit by a Damaging Attack
Effect: They resist the Attack by an additional Damage Step. A Pokemon can only benefit from this Feature once per Scene unless they have negative Hit Points.")</f>
        <v>Trigger: Your Pokemon are hit by a Damaging Attack
Effect: They resist the Attack by an additional Damage Step. A Pokemon can only benefit from this Feature once per Scene unless they have negative Hit Points.</v>
      </c>
      <c r="E201" s="203"/>
      <c r="F201" s="204"/>
      <c r="G201" s="204"/>
      <c r="H201" s="204"/>
      <c r="I201" s="204"/>
      <c r="J201" s="203"/>
      <c r="K201" s="205"/>
      <c r="L201" s="205"/>
      <c r="M201" s="205"/>
    </row>
    <row r="202">
      <c r="A202" s="202" t="str">
        <f>IFERROR(__xludf.DUMMYFUNCTION("""COMPUTED_VALUE"""),"Endure the Pain")</f>
        <v>Endure the Pain</v>
      </c>
      <c r="B202" s="202" t="str">
        <f>IFERROR(__xludf.DUMMYFUNCTION("""COMPUTED_VALUE"""),"Taskmaster, 2 Taskmaster Features, Expert Command or Intimidate")</f>
        <v>Taskmaster, 2 Taskmaster Features, Expert Command or Intimidate</v>
      </c>
      <c r="C202" s="202" t="str">
        <f>IFERROR(__xludf.DUMMYFUNCTION("""COMPUTED_VALUE"""),"At-Will - Free Action")</f>
        <v>At-Will - Free Action</v>
      </c>
      <c r="D202" s="202" t="str">
        <f>IFERROR(__xludf.DUMMYFUNCTION("""COMPUTED_VALUE"""),"Trigger: You Target your Pokemon with an [Order]
Effect: The Targeted Pokemon gains a Tick of Temporary Hit Points.
Bonus: Your Pokemon Faint when they reach -25% of their Maximum Hit Points instead of when they reach 0 Hit Points.")</f>
        <v>Trigger: You Target your Pokemon with an [Order]
Effect: The Targeted Pokemon gains a Tick of Temporary Hit Points.
Bonus: Your Pokemon Faint when they reach -25% of their Maximum Hit Points instead of when they reach 0 Hit Points.</v>
      </c>
      <c r="E202" s="203"/>
      <c r="F202" s="204"/>
      <c r="G202" s="204"/>
      <c r="H202" s="204"/>
      <c r="I202" s="204"/>
      <c r="J202" s="203"/>
      <c r="K202" s="205"/>
      <c r="L202" s="205"/>
      <c r="M202" s="205"/>
    </row>
    <row r="203">
      <c r="A203" s="202" t="str">
        <f>IFERROR(__xludf.DUMMYFUNCTION("""COMPUTED_VALUE"""),"Hardened Expectations")</f>
        <v>Hardened Expectations</v>
      </c>
      <c r="B203" s="202" t="str">
        <f>IFERROR(__xludf.DUMMYFUNCTION("""COMPUTED_VALUE"""),"Taskmaster, 3 Taskmaster Features, Master Command or Intimidate")</f>
        <v>Taskmaster, 3 Taskmaster Features, Master Command or Intimidate</v>
      </c>
      <c r="C203" s="202" t="str">
        <f>IFERROR(__xludf.DUMMYFUNCTION("""COMPUTED_VALUE"""),"Scene x2 - Special")</f>
        <v>Scene x2 - Special</v>
      </c>
      <c r="D203" s="202" t="str">
        <f>IFERROR(__xludf.DUMMYFUNCTION("""COMPUTED_VALUE"""),"Trigger: Your Pokemon would be hit by an Attack, would fail a Save Check or hit an Attack
Effect: When Triggered, your Pokemon must use a Reaction to activate this Feature. If the Trigger was being hit by an Attack, the Attack instead misses. If the Trigg"&amp;"er was failing a Save Check, the result is treated as a 20 instead. If the Trigger was hitting an Attack, the Attack becomes a Critical Hit.")</f>
        <v>Trigger: Your Pokemon would be hit by an Attack, would fail a Save Check or hit an Attack
Effect: When Triggered, your Pokemon must use a Reaction to activate this Feature. If the Trigger was being hit by an Attack, the Attack instead misses. If the Trigger was failing a Save Check, the result is treated as a 20 instead. If the Trigger was hitting an Attack, the Attack becomes a Critical Hit.</v>
      </c>
      <c r="E203" s="203"/>
      <c r="F203" s="204"/>
      <c r="G203" s="204"/>
      <c r="H203" s="204"/>
      <c r="I203" s="204"/>
      <c r="J203" s="203"/>
      <c r="K203" s="205"/>
      <c r="L203" s="205"/>
      <c r="M203" s="205"/>
    </row>
    <row r="204">
      <c r="A204" s="202" t="str">
        <f>IFERROR(__xludf.DUMMYFUNCTION("""COMPUTED_VALUE"""),"Type Specialist")</f>
        <v>Type Specialist</v>
      </c>
      <c r="B204" s="202" t="str">
        <f>IFERROR(__xludf.DUMMYFUNCTION("""COMPUTED_VALUE"""),"1 Pokemon of your Chosen Type. Type Linked Skill or Poke Edu at Novice")</f>
        <v>1 Pokemon of your Chosen Type. Type Linked Skill or Poke Edu at Novice</v>
      </c>
      <c r="C204" s="202" t="str">
        <f>IFERROR(__xludf.DUMMYFUNCTION("""COMPUTED_VALUE"""),"Static")</f>
        <v>Static</v>
      </c>
      <c r="D204" s="202" t="str">
        <f>IFERROR(__xludf.DUMMYFUNCTION("""COMPUTED_VALUE"""),"Effect: Choose a Type to become your Chosen Type. You gain the Type Aura Ability. “Your Type” for Type Aura is considered to be your chosen Type. Your Pokemon always benefit from your Type Aura Feature regardless of if they’re within 2m of you. 
Note: If "&amp;"you qualify for this Feature through Poke Edu, you may choose any Type, otherwise it must meet the Skill Requirements associated with that Type. Your type must be present in the Notes of the sheet to be counted for calculations")</f>
        <v>Effect: Choose a Type to become your Chosen Type. You gain the Type Aura Ability. “Your Type” for Type Aura is considered to be your chosen Type. Your Pokemon always benefit from your Type Aura Feature regardless of if they’re within 2m of you. 
Note: If you qualify for this Feature through Poke Edu, you may choose any Type, otherwise it must meet the Skill Requirements associated with that Type. Your type must be present in the Notes of the sheet to be counted for calculations</v>
      </c>
      <c r="E204" s="203"/>
      <c r="F204" s="204"/>
      <c r="G204" s="204"/>
      <c r="H204" s="204"/>
      <c r="I204" s="204"/>
      <c r="J204" s="203"/>
      <c r="K204" s="205"/>
      <c r="L204" s="205"/>
      <c r="M204" s="205"/>
    </row>
    <row r="205">
      <c r="A205" s="202" t="str">
        <f>IFERROR(__xludf.DUMMYFUNCTION("""COMPUTED_VALUE"""),"Type Sync")</f>
        <v>Type Sync</v>
      </c>
      <c r="B205" s="202" t="str">
        <f>IFERROR(__xludf.DUMMYFUNCTION("""COMPUTED_VALUE"""),"Type Specialist, Type Linked Skill or Poke Edu at Novice")</f>
        <v>Type Specialist, Type Linked Skill or Poke Edu at Novice</v>
      </c>
      <c r="C205" s="202" t="str">
        <f>IFERROR(__xludf.DUMMYFUNCTION("""COMPUTED_VALUE"""),"At-Will - Free Action")</f>
        <v>At-Will - Free Action</v>
      </c>
      <c r="D205" s="202" t="str">
        <f>IFERROR(__xludf.DUMMYFUNCTION("""COMPUTED_VALUE"""),"Trigger: An Allied Pokemon within 5m uses an Attack
Effect: The Triggering Attack’s is treated as your chosen Type instead. This may cause the Attack to Trigger Features as if your chosen Type was its Natural Type, ignoring normal rules.  ")</f>
        <v>Trigger: An Allied Pokemon within 5m uses an Attack
Effect: The Triggering Attack’s is treated as your chosen Type instead. This may cause the Attack to Trigger Features as if your chosen Type was its Natural Type, ignoring normal rules.  </v>
      </c>
      <c r="E205" s="203"/>
      <c r="F205" s="204"/>
      <c r="G205" s="204"/>
      <c r="H205" s="204"/>
      <c r="I205" s="204"/>
      <c r="J205" s="203"/>
      <c r="K205" s="205"/>
      <c r="L205" s="205"/>
      <c r="M205" s="205"/>
    </row>
    <row r="206">
      <c r="A206" s="202" t="str">
        <f>IFERROR(__xludf.DUMMYFUNCTION("""COMPUTED_VALUE"""),"Type Expertise")</f>
        <v>Type Expertise</v>
      </c>
      <c r="B206" s="202" t="str">
        <f>IFERROR(__xludf.DUMMYFUNCTION("""COMPUTED_VALUE"""),"Type Specialist, Type Linked Skill or Poke Edu at Adept")</f>
        <v>Type Specialist, Type Linked Skill or Poke Edu at Adept</v>
      </c>
      <c r="C206" s="202" t="str">
        <f>IFERROR(__xludf.DUMMYFUNCTION("""COMPUTED_VALUE"""),"Scene - Free Action")</f>
        <v>Scene - Free Action</v>
      </c>
      <c r="D206" s="202" t="str">
        <f>IFERROR(__xludf.DUMMYFUNCTION("""COMPUTED_VALUE"""),"Trigger: You or an Ally within 5m are hit with a Damaging Attack that matches your chosen Type.
Effect: You and all Allies targeted by the Triggering Attack resist it by an additional damage step.
Bonus: You treat your chosen Type as resisted whenever you"&amp;"’re Attacked by a Damaging Attack that matches it.")</f>
        <v>Trigger: You or an Ally within 5m are hit with a Damaging Attack that matches your chosen Type.
Effect: You and all Allies targeted by the Triggering Attack resist it by an additional damage step.
Bonus: You treat your chosen Type as resisted whenever you’re Attacked by a Damaging Attack that matches it.</v>
      </c>
      <c r="E206" s="203"/>
      <c r="F206" s="204"/>
      <c r="G206" s="204"/>
      <c r="H206" s="204"/>
      <c r="I206" s="204"/>
      <c r="J206" s="203"/>
      <c r="K206" s="205"/>
      <c r="L206" s="205"/>
      <c r="M206" s="205"/>
    </row>
    <row r="207">
      <c r="A207" s="202" t="str">
        <f>IFERROR(__xludf.DUMMYFUNCTION("""COMPUTED_VALUE"""),"Type Exploit")</f>
        <v>Type Exploit</v>
      </c>
      <c r="B207" s="202" t="str">
        <f>IFERROR(__xludf.DUMMYFUNCTION("""COMPUTED_VALUE"""),"Type Specialist, Type Linked Skill or Poke Edu at Expert")</f>
        <v>Type Specialist, Type Linked Skill or Poke Edu at Expert</v>
      </c>
      <c r="C207" s="202" t="str">
        <f>IFERROR(__xludf.DUMMYFUNCTION("""COMPUTED_VALUE"""),"Scene x2 - Free Action")</f>
        <v>Scene x2 - Free Action</v>
      </c>
      <c r="D207" s="202" t="str">
        <f>IFERROR(__xludf.DUMMYFUNCTION("""COMPUTED_VALUE"""),"Trigger: Your Pokemon hit with an Attack of your chosen Type
Effect: The Attack is resisted one step less, to a maximum of neutral effectiveness. If the Target(s) were to be Immune to the Triggering Attack, it instead becomes neutral effectiveness.")</f>
        <v>Trigger: Your Pokemon hit with an Attack of your chosen Type
Effect: The Attack is resisted one step less, to a maximum of neutral effectiveness. If the Target(s) were to be Immune to the Triggering Attack, it instead becomes neutral effectiveness.</v>
      </c>
      <c r="E207" s="203"/>
      <c r="F207" s="204"/>
      <c r="G207" s="204"/>
      <c r="H207" s="204"/>
      <c r="I207" s="204"/>
      <c r="J207" s="203"/>
      <c r="K207" s="205"/>
      <c r="L207" s="205"/>
      <c r="M207" s="205"/>
    </row>
    <row r="208">
      <c r="A208" s="202" t="str">
        <f>IFERROR(__xludf.DUMMYFUNCTION("""COMPUTED_VALUE"""),"Type Embodiment")</f>
        <v>Type Embodiment</v>
      </c>
      <c r="B208" s="202" t="str">
        <f>IFERROR(__xludf.DUMMYFUNCTION("""COMPUTED_VALUE"""),"Type Specialist, 3 Type Specialist Features, Type Linked Skill or Poke Edu at Master")</f>
        <v>Type Specialist, 3 Type Specialist Features, Type Linked Skill or Poke Edu at Master</v>
      </c>
      <c r="C208" s="202" t="str">
        <f>IFERROR(__xludf.DUMMYFUNCTION("""COMPUTED_VALUE"""),"Bind 3 - Extended Action")</f>
        <v>Bind 3 - Extended Action</v>
      </c>
      <c r="D208" s="202" t="str">
        <f>IFERROR(__xludf.DUMMYFUNCTION("""COMPUTED_VALUE"""),"Target: Your Pokemon
Effect: While Bound, the Target’s Type is adjusted in order to include your chosen Type. Adjusting this way can either replace a Type for your chosen Type, or add the Type if they only have one Type. If a Type is replaced, all of the "&amp;"Target’s Attacks that are the replaced Type instead become your chosen Type (For example, Thunderbolt becoming Fire Type). Once this Feature is bound, it cannot be unbound outside of GM discretion.")</f>
        <v>Target: Your Pokemon
Effect: While Bound, the Target’s Type is adjusted in order to include your chosen Type. Adjusting this way can either replace a Type for your chosen Type, or add the Type if they only have one Type. If a Type is replaced, all of the Target’s Attacks that are the replaced Type instead become your chosen Type (For example, Thunderbolt becoming Fire Type). Once this Feature is bound, it cannot be unbound outside of GM discretion.</v>
      </c>
      <c r="E208" s="203"/>
      <c r="F208" s="204"/>
      <c r="G208" s="204"/>
      <c r="H208" s="204"/>
      <c r="I208" s="204"/>
      <c r="J208" s="203"/>
      <c r="K208" s="205"/>
      <c r="L208" s="205"/>
      <c r="M208" s="205"/>
    </row>
    <row r="209">
      <c r="A209" s="202" t="str">
        <f>IFERROR(__xludf.DUMMYFUNCTION("""COMPUTED_VALUE"""),"Bug Specialist")</f>
        <v>Bug Specialist</v>
      </c>
      <c r="B209" s="202" t="str">
        <f>IFERROR(__xludf.DUMMYFUNCTION("""COMPUTED_VALUE"""),"Prerequisite 1: Type Specialist (Bug as your chosen Type) [or]
Prerequisite 2: Command, Nature Edu or Poke Edu at Adept")</f>
        <v>Prerequisite 1: Type Specialist (Bug as your chosen Type) [or]
Prerequisite 2: Command, Nature Edu or Poke Edu at Adept</v>
      </c>
      <c r="C209" s="202" t="str">
        <f>IFERROR(__xludf.DUMMYFUNCTION("""COMPUTED_VALUE"""),"Bind 3 - Extended Action")</f>
        <v>Bind 3 - Extended Action</v>
      </c>
      <c r="D209" s="202" t="str">
        <f>IFERROR(__xludf.DUMMYFUNCTION("""COMPUTED_VALUE"""),"Target: Your Pokemon with a Bug Type Attack 
Effect: Choose an Adaptation Technique to apply to the Targeted Pokemon which they benefit from while this Feature is Bound. Your Pokemon can only have one Adaptation at a time. 
See Techniques - Bug Specialis"&amp;"t")</f>
        <v>Target: Your Pokemon with a Bug Type Attack 
Effect: Choose an Adaptation Technique to apply to the Targeted Pokemon which they benefit from while this Feature is Bound. Your Pokemon can only have one Adaptation at a time. 
See Techniques - Bug Specialist</v>
      </c>
      <c r="E209" s="203"/>
      <c r="F209" s="204"/>
      <c r="G209" s="204"/>
      <c r="H209" s="204"/>
      <c r="I209" s="204"/>
      <c r="J209" s="203"/>
      <c r="K209" s="205"/>
      <c r="L209" s="205"/>
      <c r="M209" s="205"/>
    </row>
    <row r="210">
      <c r="A210" s="202" t="str">
        <f>IFERROR(__xludf.DUMMYFUNCTION("""COMPUTED_VALUE"""),"Reactive Adaptation")</f>
        <v>Reactive Adaptation</v>
      </c>
      <c r="B210" s="202" t="str">
        <f>IFERROR(__xludf.DUMMYFUNCTION("""COMPUTED_VALUE"""),"Bug Specialist, Command, Nature Edu or Poke Edu at Novice")</f>
        <v>Bug Specialist, Command, Nature Edu or Poke Edu at Novice</v>
      </c>
      <c r="C210" s="202" t="str">
        <f>IFERROR(__xludf.DUMMYFUNCTION("""COMPUTED_VALUE"""),"Scene x2 - Reaction")</f>
        <v>Scene x2 - Reaction</v>
      </c>
      <c r="D210" s="202" t="str">
        <f>IFERROR(__xludf.DUMMYFUNCTION("""COMPUTED_VALUE"""),"Target: Your Pokemon bound by the Bug Specialist Feature
Trigger: Any Combatant would perform a Roll
Effect: Before the Trigger resolves, the Target switches an Adaptation Technique they’re currently affected by with a different Technique. This change rev"&amp;"erts at the end of the Scene")</f>
        <v>Target: Your Pokemon bound by the Bug Specialist Feature
Trigger: Any Combatant would perform a Roll
Effect: Before the Trigger resolves, the Target switches an Adaptation Technique they’re currently affected by with a different Technique. This change reverts at the end of the Scene</v>
      </c>
      <c r="E210" s="203"/>
      <c r="F210" s="204"/>
      <c r="G210" s="204"/>
      <c r="H210" s="204"/>
      <c r="I210" s="204"/>
      <c r="J210" s="203"/>
      <c r="K210" s="205"/>
      <c r="L210" s="205"/>
      <c r="M210" s="205"/>
    </row>
    <row r="211">
      <c r="A211" s="202" t="str">
        <f>IFERROR(__xludf.DUMMYFUNCTION("""COMPUTED_VALUE"""),"Advanced Evolution")</f>
        <v>Advanced Evolution</v>
      </c>
      <c r="B211" s="202" t="str">
        <f>IFERROR(__xludf.DUMMYFUNCTION("""COMPUTED_VALUE"""),"Bug Specialist, Command, Nature Edu or Poke Edu at Adept")</f>
        <v>Bug Specialist, Command, Nature Edu or Poke Edu at Adept</v>
      </c>
      <c r="C211" s="202" t="str">
        <f>IFERROR(__xludf.DUMMYFUNCTION("""COMPUTED_VALUE"""),"Scene x2 - Free Action")</f>
        <v>Scene x2 - Free Action</v>
      </c>
      <c r="D211" s="202" t="str">
        <f>IFERROR(__xludf.DUMMYFUNCTION("""COMPUTED_VALUE"""),"Trigger: Your Pokemon begins their Turn
Effect: During this Turn, your Pokemon’s Bug Type Damaging Attacks can have their Range altered to any of the following until the end of the Turn.
» If Melee: It can become Pass, Burst 1 or Close Blast 2
» If Ranged"&amp;" 1-Target: It can become Line 4 or Ranged Blast 2")</f>
        <v>Trigger: Your Pokemon begins their Turn
Effect: During this Turn, your Pokemon’s Bug Type Damaging Attacks can have their Range altered to any of the following until the end of the Turn.
» If Melee: It can become Pass, Burst 1 or Close Blast 2
» If Ranged 1-Target: It can become Line 4 or Ranged Blast 2</v>
      </c>
      <c r="E211" s="203"/>
      <c r="F211" s="204"/>
      <c r="G211" s="204"/>
      <c r="H211" s="204"/>
      <c r="I211" s="204"/>
      <c r="J211" s="203"/>
      <c r="K211" s="205"/>
      <c r="L211" s="205"/>
      <c r="M211" s="205"/>
    </row>
    <row r="212">
      <c r="A212" s="202" t="str">
        <f>IFERROR(__xludf.DUMMYFUNCTION("""COMPUTED_VALUE"""),"Transitory Improvement")</f>
        <v>Transitory Improvement</v>
      </c>
      <c r="B212" s="202" t="str">
        <f>IFERROR(__xludf.DUMMYFUNCTION("""COMPUTED_VALUE"""),"Bug Specialist, Command, Nature Edu or Poke Edu at Expert")</f>
        <v>Bug Specialist, Command, Nature Edu or Poke Edu at Expert</v>
      </c>
      <c r="C212" s="202" t="str">
        <f>IFERROR(__xludf.DUMMYFUNCTION("""COMPUTED_VALUE"""),"At-Will - Free Action")</f>
        <v>At-Will - Free Action</v>
      </c>
      <c r="D212" s="202" t="str">
        <f>IFERROR(__xludf.DUMMYFUNCTION("""COMPUTED_VALUE"""),"Trigger: Your Bug Type Pokemon start their Turn
Effect: The Triggering Pokemon gains a +2 Modifier to one of the following Combat Values until the end of the Round.
» Accuracy, Effect Range, Critical Hit, Evasion, Save Checks")</f>
        <v>Trigger: Your Bug Type Pokemon start their Turn
Effect: The Triggering Pokemon gains a +2 Modifier to one of the following Combat Values until the end of the Round.
» Accuracy, Effect Range, Critical Hit, Evasion, Save Checks</v>
      </c>
      <c r="E212" s="203"/>
      <c r="F212" s="204"/>
      <c r="G212" s="204"/>
      <c r="H212" s="204"/>
      <c r="I212" s="204"/>
      <c r="J212" s="203"/>
      <c r="K212" s="205"/>
      <c r="L212" s="205"/>
      <c r="M212" s="205"/>
    </row>
    <row r="213">
      <c r="A213" s="202" t="str">
        <f>IFERROR(__xludf.DUMMYFUNCTION("""COMPUTED_VALUE"""),"Disruptive Pest")</f>
        <v>Disruptive Pest</v>
      </c>
      <c r="B213" s="202" t="str">
        <f>IFERROR(__xludf.DUMMYFUNCTION("""COMPUTED_VALUE"""),"Bug Specialist, 3 Bug  Specialist Features, Command, Nature Edu or Poke Edu at Master")</f>
        <v>Bug Specialist, 3 Bug  Specialist Features, Command, Nature Edu or Poke Edu at Master</v>
      </c>
      <c r="C213" s="202" t="str">
        <f>IFERROR(__xludf.DUMMYFUNCTION("""COMPUTED_VALUE"""),"Scene x2 - Free Action")</f>
        <v>Scene x2 - Free Action</v>
      </c>
      <c r="D213" s="202" t="str">
        <f>IFERROR(__xludf.DUMMYFUNCTION("""COMPUTED_VALUE"""),"Trigger: Your Pokemon hit a Bug Type Attack
Effect: After the Attack’s resolution, choose an Effect to apply to all Targets of the Triggering Attack. An Enemy can only be affected by Disruptive Pest once per Scene.
» They lose -2 CS in all Stats they hav"&amp;"e positive CS in.
» They fail their next Save Check.
» They become Dazed and suffer -3 to their next Accuracy Roll.")</f>
        <v>Trigger: Your Pokemon hit a Bug Type Attack
Effect: After the Attack’s resolution, choose an Effect to apply to all Targets of the Triggering Attack. An Enemy can only be affected by Disruptive Pest once per Scene.
» They lose -2 CS in all Stats they have positive CS in.
» They fail their next Save Check.
» They become Dazed and suffer -3 to their next Accuracy Roll.</v>
      </c>
      <c r="E213" s="203"/>
      <c r="F213" s="204"/>
      <c r="G213" s="204"/>
      <c r="H213" s="204"/>
      <c r="I213" s="204"/>
      <c r="J213" s="203"/>
      <c r="K213" s="205"/>
      <c r="L213" s="205"/>
      <c r="M213" s="205"/>
    </row>
    <row r="214">
      <c r="A214" s="202" t="str">
        <f>IFERROR(__xludf.DUMMYFUNCTION("""COMPUTED_VALUE"""),"Dark Specialist")</f>
        <v>Dark Specialist</v>
      </c>
      <c r="B214" s="202" t="str">
        <f>IFERROR(__xludf.DUMMYFUNCTION("""COMPUTED_VALUE"""),"Prerequisite 1: Type Specialist (Dark as your chosen Type [or]
Prerequisite 2: Guile, Poke Edu or Stealth at Adept")</f>
        <v>Prerequisite 1: Type Specialist (Dark as your chosen Type [or]
Prerequisite 2: Guile, Poke Edu or Stealth at Adept</v>
      </c>
      <c r="C214" s="202" t="str">
        <f>IFERROR(__xludf.DUMMYFUNCTION("""COMPUTED_VALUE"""),"Static")</f>
        <v>Static</v>
      </c>
      <c r="D214" s="202" t="str">
        <f>IFERROR(__xludf.DUMMYFUNCTION("""COMPUTED_VALUE"""),"Effect: Your Pokemon have a bonus to Accuracy equal to your Tier Level if the Target is Flanked, Drowsy, Slowed, Suppressed, Tripped, Weakened or Vulnerable. If the Attack is Dark Type and they gain this bonus, they also have a bonus to Effect Ranges equa"&amp;"l to your Tier Level. ")</f>
        <v>Effect: Your Pokemon have a bonus to Accuracy equal to your Tier Level if the Target is Flanked, Drowsy, Slowed, Suppressed, Tripped, Weakened or Vulnerable. If the Attack is Dark Type and they gain this bonus, they also have a bonus to Effect Ranges equal to your Tier Level. </v>
      </c>
      <c r="E214" s="203"/>
      <c r="F214" s="204"/>
      <c r="G214" s="204"/>
      <c r="H214" s="204"/>
      <c r="I214" s="204"/>
      <c r="J214" s="203"/>
      <c r="K214" s="205"/>
      <c r="L214" s="205"/>
      <c r="M214" s="205"/>
    </row>
    <row r="215">
      <c r="A215" s="202" t="str">
        <f>IFERROR(__xludf.DUMMYFUNCTION("""COMPUTED_VALUE"""),"Clever Ruse")</f>
        <v>Clever Ruse</v>
      </c>
      <c r="B215" s="202" t="str">
        <f>IFERROR(__xludf.DUMMYFUNCTION("""COMPUTED_VALUE"""),"Dark Specialist, Guile, Poke Edu or Stealth at Novice")</f>
        <v>Dark Specialist, Guile, Poke Edu or Stealth at Novice</v>
      </c>
      <c r="C215" s="202" t="str">
        <f>IFERROR(__xludf.DUMMYFUNCTION("""COMPUTED_VALUE"""),"At-Will - Free Action")</f>
        <v>At-Will - Free Action</v>
      </c>
      <c r="D215" s="202" t="str">
        <f>IFERROR(__xludf.DUMMYFUNCTION("""COMPUTED_VALUE"""),"Trigger: Your Pokemon hit a Dark Type Attack against an Enemy
Effect: After the Triggering Attack resolves, choose an Effect below to apply. Clever Ruse can only be activated once per Round:
» Targets of the Triggering Attack lose -1 CS in a Stat of your"&amp;" choice.
» They may use a Manipulate Maneuver against one Target as a Free Action
» Targets of the Triggering Attack have a Penalty to their next Save Check equal to your Tier Level.")</f>
        <v>Trigger: Your Pokemon hit a Dark Type Attack against an Enemy
Effect: After the Triggering Attack resolves, choose an Effect below to apply. Clever Ruse can only be activated once per Round:
» Targets of the Triggering Attack lose -1 CS in a Stat of your choice.
» They may use a Manipulate Maneuver against one Target as a Free Action
» Targets of the Triggering Attack have a Penalty to their next Save Check equal to your Tier Level.</v>
      </c>
      <c r="E215" s="203"/>
      <c r="F215" s="204"/>
      <c r="G215" s="204"/>
      <c r="H215" s="204"/>
      <c r="I215" s="204"/>
      <c r="J215" s="203"/>
      <c r="K215" s="205"/>
      <c r="L215" s="205"/>
      <c r="M215" s="205"/>
    </row>
    <row r="216">
      <c r="A216" s="202" t="str">
        <f>IFERROR(__xludf.DUMMYFUNCTION("""COMPUTED_VALUE"""),"Sly Scheme")</f>
        <v>Sly Scheme</v>
      </c>
      <c r="B216" s="202" t="str">
        <f>IFERROR(__xludf.DUMMYFUNCTION("""COMPUTED_VALUE"""),"Dark Specialist, Guile, Poke Edu or Stealth
at Adept")</f>
        <v>Dark Specialist, Guile, Poke Edu or Stealth
at Adept</v>
      </c>
      <c r="C216" s="202" t="str">
        <f>IFERROR(__xludf.DUMMYFUNCTION("""COMPUTED_VALUE"""),"At-Will - Free Action")</f>
        <v>At-Will - Free Action</v>
      </c>
      <c r="D216" s="202" t="str">
        <f>IFERROR(__xludf.DUMMYFUNCTION("""COMPUTED_VALUE"""),"Trigger: Your Pokemon resolve a Dark Type or Status Attack
Effect: Choose an Effect below to apply to the Triggering Pokemon. Sly Scheme can only be activated once per Round and cannot be used if you used Clever Ruse for the Triggering Attack:
» They may"&amp;" use the Disengage Maneuver as a Free Action
» They gain +1 CS to a Stat of their choice
» Their next Attack or Maneuver ignores Stat Evasion")</f>
        <v>Trigger: Your Pokemon resolve a Dark Type or Status Attack
Effect: Choose an Effect below to apply to the Triggering Pokemon. Sly Scheme can only be activated once per Round and cannot be used if you used Clever Ruse for the Triggering Attack:
» They may use the Disengage Maneuver as a Free Action
» They gain +1 CS to a Stat of their choice
» Their next Attack or Maneuver ignores Stat Evasion</v>
      </c>
      <c r="E216" s="203"/>
      <c r="F216" s="204"/>
      <c r="G216" s="204"/>
      <c r="H216" s="204"/>
      <c r="I216" s="204"/>
      <c r="J216" s="203"/>
      <c r="K216" s="205"/>
      <c r="L216" s="205"/>
      <c r="M216" s="205"/>
    </row>
    <row r="217">
      <c r="A217" s="202" t="str">
        <f>IFERROR(__xludf.DUMMYFUNCTION("""COMPUTED_VALUE"""),"Devious  ")</f>
        <v>Devious  </v>
      </c>
      <c r="B217" s="202" t="str">
        <f>IFERROR(__xludf.DUMMYFUNCTION("""COMPUTED_VALUE"""),"Dark Specialist, Guile, Poke Edu or Stealth at Expert")</f>
        <v>Dark Specialist, Guile, Poke Edu or Stealth at Expert</v>
      </c>
      <c r="C217" s="202" t="str">
        <f>IFERROR(__xludf.DUMMYFUNCTION("""COMPUTED_VALUE"""),"Scene - Free Action")</f>
        <v>Scene - Free Action</v>
      </c>
      <c r="D217" s="202" t="str">
        <f>IFERROR(__xludf.DUMMYFUNCTION("""COMPUTED_VALUE"""),"Trigger: Your Dark Type Pokemon use an Attack with the Social Keyword
Effect: After the Triggering Attack is resolved, they immediately use a Dark Type Status Category Attack or a different Attack with the Social Keyword as a Swift Action. This Attack mus"&amp;"t have a different Target than the Triggering Attack.")</f>
        <v>Trigger: Your Dark Type Pokemon use an Attack with the Social Keyword
Effect: After the Triggering Attack is resolved, they immediately use a Dark Type Status Category Attack or a different Attack with the Social Keyword as a Swift Action. This Attack must have a different Target than the Triggering Attack.</v>
      </c>
      <c r="E217" s="203"/>
      <c r="F217" s="204"/>
      <c r="G217" s="204"/>
      <c r="H217" s="204"/>
      <c r="I217" s="204"/>
      <c r="J217" s="203"/>
      <c r="K217" s="205"/>
      <c r="L217" s="205"/>
      <c r="M217" s="205"/>
    </row>
    <row r="218">
      <c r="A218" s="202" t="str">
        <f>IFERROR(__xludf.DUMMYFUNCTION("""COMPUTED_VALUE"""),"Master Plan")</f>
        <v>Master Plan</v>
      </c>
      <c r="B218" s="202" t="str">
        <f>IFERROR(__xludf.DUMMYFUNCTION("""COMPUTED_VALUE"""),"Dark Specialist, 3 Dark Specialist Features, Guile, Poke Edu or Stealth at Master")</f>
        <v>Dark Specialist, 3 Dark Specialist Features, Guile, Poke Edu or Stealth at Master</v>
      </c>
      <c r="C218" s="202" t="str">
        <f>IFERROR(__xludf.DUMMYFUNCTION("""COMPUTED_VALUE"""),"Scene x2 - Free Action")</f>
        <v>Scene x2 - Free Action</v>
      </c>
      <c r="D218" s="202" t="str">
        <f>IFERROR(__xludf.DUMMYFUNCTION("""COMPUTED_VALUE"""),"Trigger: Your Pokemon hit a Maneuver (With an AC) or Dark Type Status Attack against a single Enemy
Effect: After the Triggering Attack resolves, choose an Effect below to apply to the Enemy. An Enemy can only be affected by Master Plan once per Scene.
»"&amp;" The Target fails their next Save Check
» The Target has a Stat with Positive CS set to -2 CS
» The Target has all Abilities or an Attack you’ve witnessed Disabled until the end of the next Round.")</f>
        <v>Trigger: Your Pokemon hit a Maneuver (With an AC) or Dark Type Status Attack against a single Enemy
Effect: After the Triggering Attack resolves, choose an Effect below to apply to the Enemy. An Enemy can only be affected by Master Plan once per Scene.
» The Target fails their next Save Check
» The Target has a Stat with Positive CS set to -2 CS
» The Target has all Abilities or an Attack you’ve witnessed Disabled until the end of the next Round.</v>
      </c>
      <c r="E218" s="203"/>
      <c r="F218" s="204"/>
      <c r="G218" s="204"/>
      <c r="H218" s="204"/>
      <c r="I218" s="204"/>
      <c r="J218" s="203"/>
      <c r="K218" s="205"/>
      <c r="L218" s="205"/>
      <c r="M218" s="205"/>
    </row>
    <row r="219">
      <c r="A219" s="202" t="str">
        <f>IFERROR(__xludf.DUMMYFUNCTION("""COMPUTED_VALUE"""),"Dragon Specialist")</f>
        <v>Dragon Specialist</v>
      </c>
      <c r="B219" s="202" t="str">
        <f>IFERROR(__xludf.DUMMYFUNCTION("""COMPUTED_VALUE"""),"Prerequisite 1: Type Specialist (Dragon as your chosen Type [or]
Prerequisite 2: Command, Intimidate or Poke Edu at Adept ")</f>
        <v>Prerequisite 1: Type Specialist (Dragon as your chosen Type [or]
Prerequisite 2: Command, Intimidate or Poke Edu at Adept </v>
      </c>
      <c r="C219" s="202" t="str">
        <f>IFERROR(__xludf.DUMMYFUNCTION("""COMPUTED_VALUE"""),"Static")</f>
        <v>Static</v>
      </c>
      <c r="D219" s="202" t="str">
        <f>IFERROR(__xludf.DUMMYFUNCTION("""COMPUTED_VALUE"""),"Effect: Your Pokemon may become Enraged as a Swift Action. Whenever your Pokemon are Enraged, they cannot become Provoked. While your Pokemon are Enraged, their Dragon Type Attacks have their Area of Effects increased by +1. If an Attack would be 1-Target"&amp;", it may become Blast 2 instead of having its Area of Effect increased.")</f>
        <v>Effect: Your Pokemon may become Enraged as a Swift Action. Whenever your Pokemon are Enraged, they cannot become Provoked. While your Pokemon are Enraged, their Dragon Type Attacks have their Area of Effects increased by +1. If an Attack would be 1-Target, it may become Blast 2 instead of having its Area of Effect increased.</v>
      </c>
      <c r="E219" s="203"/>
      <c r="F219" s="204"/>
      <c r="G219" s="204"/>
      <c r="H219" s="204"/>
      <c r="I219" s="204"/>
      <c r="J219" s="203"/>
      <c r="K219" s="205"/>
      <c r="L219" s="205"/>
      <c r="M219" s="205"/>
    </row>
    <row r="220">
      <c r="A220" s="202" t="str">
        <f>IFERROR(__xludf.DUMMYFUNCTION("""COMPUTED_VALUE"""),"Unyielding Spirit")</f>
        <v>Unyielding Spirit</v>
      </c>
      <c r="B220" s="202" t="str">
        <f>IFERROR(__xludf.DUMMYFUNCTION("""COMPUTED_VALUE"""),"Dragon Specialist, Command, Intimidate or Poke Edu at Novice")</f>
        <v>Dragon Specialist, Command, Intimidate or Poke Edu at Novice</v>
      </c>
      <c r="C220" s="202" t="str">
        <f>IFERROR(__xludf.DUMMYFUNCTION("""COMPUTED_VALUE"""),"Scene x2 - Special")</f>
        <v>Scene x2 - Special</v>
      </c>
      <c r="D220" s="202" t="str">
        <f>IFERROR(__xludf.DUMMYFUNCTION("""COMPUTED_VALUE"""),"Trigger: Your Pokemon become Enraged or fall below 50% Hit Points
Effect: This Feature can be activated as a Reaction by your Pokemon when the Trigger would occur. The Triggering Pokemon has a Status Affliction they’re affected by cured or remove a Coat t"&amp;"hat is affecting them. Whenever they Trigger this Feature, their next Damaging Attack gains the Smite Keyword
Bonus: While your Pokemon are below 50% Hit Points, their Dragon Type Damaging Attacks have the Smite Keyword, or Sureshot Keyword if they alread"&amp;"y have the Smite Keyword.")</f>
        <v>Trigger: Your Pokemon become Enraged or fall below 50% Hit Points
Effect: This Feature can be activated as a Reaction by your Pokemon when the Trigger would occur. The Triggering Pokemon has a Status Affliction they’re affected by cured or remove a Coat that is affecting them. Whenever they Trigger this Feature, their next Damaging Attack gains the Smite Keyword
Bonus: While your Pokemon are below 50% Hit Points, their Dragon Type Damaging Attacks have the Smite Keyword, or Sureshot Keyword if they already have the Smite Keyword.</v>
      </c>
      <c r="E220" s="203"/>
      <c r="F220" s="204"/>
      <c r="G220" s="204"/>
      <c r="H220" s="204"/>
      <c r="I220" s="204"/>
      <c r="J220" s="203"/>
      <c r="K220" s="205"/>
      <c r="L220" s="205"/>
      <c r="M220" s="205"/>
    </row>
    <row r="221">
      <c r="A221" s="202" t="str">
        <f>IFERROR(__xludf.DUMMYFUNCTION("""COMPUTED_VALUE"""),"Draconic Sovereignty")</f>
        <v>Draconic Sovereignty</v>
      </c>
      <c r="B221" s="202" t="str">
        <f>IFERROR(__xludf.DUMMYFUNCTION("""COMPUTED_VALUE"""),"Dragon Specialist, Command, Intimidate or Poke Edu at Adept")</f>
        <v>Dragon Specialist, Command, Intimidate or Poke Edu at Adept</v>
      </c>
      <c r="C221" s="202" t="str">
        <f>IFERROR(__xludf.DUMMYFUNCTION("""COMPUTED_VALUE"""),"At-Will - Free Action")</f>
        <v>At-Will - Free Action</v>
      </c>
      <c r="D221" s="202" t="str">
        <f>IFERROR(__xludf.DUMMYFUNCTION("""COMPUTED_VALUE"""),"Trigger: Your Pokemon hits a Dragon Type Damaging Attack against a single Enemy that is Vulnerable, Weakened, or is suffering from a Status Affliction
Effect: The Triggering Attack ignores Type Effectiveness (Including Immunity) and is treated as Super Ef"&amp;"fective. This Attack cannot benefit from any other Feature if this Effect Applies and its Effectiveness cannot be increased beyond 1.5x")</f>
        <v>Trigger: Your Pokemon hits a Dragon Type Damaging Attack against a single Enemy that is Vulnerable, Weakened, or is suffering from a Status Affliction
Effect: The Triggering Attack ignores Type Effectiveness (Including Immunity) and is treated as Super Effective. This Attack cannot benefit from any other Feature if this Effect Applies and its Effectiveness cannot be increased beyond 1.5x</v>
      </c>
      <c r="E221" s="203"/>
      <c r="F221" s="204"/>
      <c r="G221" s="204"/>
      <c r="H221" s="204"/>
      <c r="I221" s="204"/>
      <c r="J221" s="203"/>
      <c r="K221" s="205"/>
      <c r="L221" s="205"/>
      <c r="M221" s="205"/>
    </row>
    <row r="222">
      <c r="A222" s="202" t="str">
        <f>IFERROR(__xludf.DUMMYFUNCTION("""COMPUTED_VALUE"""),"Empowered Tyrant")</f>
        <v>Empowered Tyrant</v>
      </c>
      <c r="B222" s="202" t="str">
        <f>IFERROR(__xludf.DUMMYFUNCTION("""COMPUTED_VALUE"""),"Dragon Specialist, Command, Intimidate or Poke Edu at Expert")</f>
        <v>Dragon Specialist, Command, Intimidate or Poke Edu at Expert</v>
      </c>
      <c r="C222" s="202" t="str">
        <f>IFERROR(__xludf.DUMMYFUNCTION("""COMPUTED_VALUE"""),"Scene x2 - Swift Action")</f>
        <v>Scene x2 - Swift Action</v>
      </c>
      <c r="D222" s="202" t="str">
        <f>IFERROR(__xludf.DUMMYFUNCTION("""COMPUTED_VALUE"""),"Trigger: Your Pokemon use a Dragon Type Damaging Attack
Effect: After the Triggering Attack resolves, the Triggering Pokemon may use an Attack with the “Self’ range as a Swift Action, if able. This Attack must be At-Will or EoT for its Frequency.
Bonus: Y"&amp;"our Dragon Type Pokemon may use Status Category Attacks with the “Self” range even if they’re Enraged.")</f>
        <v>Trigger: Your Pokemon use a Dragon Type Damaging Attack
Effect: After the Triggering Attack resolves, the Triggering Pokemon may use an Attack with the “Self’ range as a Swift Action, if able. This Attack must be At-Will or EoT for its Frequency.
Bonus: Your Dragon Type Pokemon may use Status Category Attacks with the “Self” range even if they’re Enraged.</v>
      </c>
      <c r="E222" s="203"/>
      <c r="F222" s="204"/>
      <c r="G222" s="204"/>
      <c r="H222" s="204"/>
      <c r="I222" s="204"/>
      <c r="J222" s="203"/>
      <c r="K222" s="205"/>
      <c r="L222" s="205"/>
      <c r="M222" s="205"/>
    </row>
    <row r="223">
      <c r="A223" s="202" t="str">
        <f>IFERROR(__xludf.DUMMYFUNCTION("""COMPUTED_VALUE"""),"Dominus Prime")</f>
        <v>Dominus Prime</v>
      </c>
      <c r="B223" s="202" t="str">
        <f>IFERROR(__xludf.DUMMYFUNCTION("""COMPUTED_VALUE"""),"Dragon Specialist, 3 Dragon Specialist Features, Command, Intimidate or Poke Edu at Master")</f>
        <v>Dragon Specialist, 3 Dragon Specialist Features, Command, Intimidate or Poke Edu at Master</v>
      </c>
      <c r="C223" s="202" t="str">
        <f>IFERROR(__xludf.DUMMYFUNCTION("""COMPUTED_VALUE"""),"Scene x2 - Free Action")</f>
        <v>Scene x2 - Free Action</v>
      </c>
      <c r="D223" s="202" t="str">
        <f>IFERROR(__xludf.DUMMYFUNCTION("""COMPUTED_VALUE"""),"Trigger: Your Pokemon use a Dragon Type Attack
Effect: The Triggering Attack cannot miss. If the user has at least +2 CS in Attack, the Triggering Attack is automatically a Critical Hit. If the user has at least +2 CS in Special Attack, the Triggering Att"&amp;"ack automatically triggers its Effect Range. A Pokemon may only be affected by this Feature once per Scene")</f>
        <v>Trigger: Your Pokemon use a Dragon Type Attack
Effect: The Triggering Attack cannot miss. If the user has at least +2 CS in Attack, the Triggering Attack is automatically a Critical Hit. If the user has at least +2 CS in Special Attack, the Triggering Attack automatically triggers its Effect Range. A Pokemon may only be affected by this Feature once per Scene</v>
      </c>
      <c r="E223" s="203"/>
      <c r="F223" s="204"/>
      <c r="G223" s="204"/>
      <c r="H223" s="204"/>
      <c r="I223" s="204"/>
      <c r="J223" s="203"/>
      <c r="K223" s="205"/>
      <c r="L223" s="205"/>
      <c r="M223" s="205"/>
    </row>
    <row r="224">
      <c r="A224" s="202" t="str">
        <f>IFERROR(__xludf.DUMMYFUNCTION("""COMPUTED_VALUE"""),"Electric Specialist")</f>
        <v>Electric Specialist</v>
      </c>
      <c r="B224" s="202" t="str">
        <f>IFERROR(__xludf.DUMMYFUNCTION("""COMPUTED_VALUE"""),"Prerequisite 1: Type Specialist (Electric as your chosen Type) [or]
Prerequisite 2: Focus, Poke Edu or Tech Edu at Adept")</f>
        <v>Prerequisite 1: Type Specialist (Electric as your chosen Type) [or]
Prerequisite 2: Focus, Poke Edu or Tech Edu at Adept</v>
      </c>
      <c r="C224" s="202" t="str">
        <f>IFERROR(__xludf.DUMMYFUNCTION("""COMPUTED_VALUE"""),"Static")</f>
        <v>Static</v>
      </c>
      <c r="D224" s="202" t="str">
        <f>IFERROR(__xludf.DUMMYFUNCTION("""COMPUTED_VALUE"""),"Effect: Your Pokemon’s Damaging Electric Type Attacks gain a 18+ Effect Range to cause their Targets to become Paralyzed if they don’t have one already. If they already have one, it is increased by +1. Whenever your Pokemon use a Damaging Attack against a"&amp;" Paralyzed Enemy, they cannot resist it.")</f>
        <v>Effect: Your Pokemon’s Damaging Electric Type Attacks gain a 18+ Effect Range to cause their Targets to become Paralyzed if they don’t have one already. If they already have one, it is increased by +1. Whenever your Pokemon use a Damaging Attack against a Paralyzed Enemy, they cannot resist it.</v>
      </c>
      <c r="E224" s="203"/>
      <c r="F224" s="204"/>
      <c r="G224" s="204"/>
      <c r="H224" s="204"/>
      <c r="I224" s="204"/>
      <c r="J224" s="203"/>
      <c r="K224" s="205"/>
      <c r="L224" s="205"/>
      <c r="M224" s="205"/>
    </row>
    <row r="225">
      <c r="A225" s="202" t="str">
        <f>IFERROR(__xludf.DUMMYFUNCTION("""COMPUTED_VALUE"""),"Electrical Charge")</f>
        <v>Electrical Charge</v>
      </c>
      <c r="B225" s="202" t="str">
        <f>IFERROR(__xludf.DUMMYFUNCTION("""COMPUTED_VALUE"""),"Electric Specialist, Electric Specialist, Focus, Poke Edu or Tech Edu at Novice")</f>
        <v>Electric Specialist, Electric Specialist, Focus, Poke Edu or Tech Edu at Novice</v>
      </c>
      <c r="C225" s="202" t="str">
        <f>IFERROR(__xludf.DUMMYFUNCTION("""COMPUTED_VALUE"""),"Static")</f>
        <v>Static</v>
      </c>
      <c r="D225" s="202" t="str">
        <f>IFERROR(__xludf.DUMMYFUNCTION("""COMPUTED_VALUE"""),"Effect: Your Pokemon gain Voltage counters (Max 6) whenever any of the conditions below are met. If multiple conditions are met at the same time, they stack. Your Pokemon have a bonus to Paralyze Effect Ranges equal to half the number of Voltage Counters "&amp;"they have (Rounded Up)
» They miss an Electric Attack against all Targets - 2 Counters
» They use an Electric Status Attack - 1 Counter
» They use a Self Attack - 1 Counter
» They gain an Affliction - 2 Counters")</f>
        <v>Effect: Your Pokemon gain Voltage counters (Max 6) whenever any of the conditions below are met. If multiple conditions are met at the same time, they stack. Your Pokemon have a bonus to Paralyze Effect Ranges equal to half the number of Voltage Counters they have (Rounded Up)
» They miss an Electric Attack against all Targets - 2 Counters
» They use an Electric Status Attack - 1 Counter
» They use a Self Attack - 1 Counter
» They gain an Affliction - 2 Counters</v>
      </c>
      <c r="E225" s="203"/>
      <c r="F225" s="204"/>
      <c r="G225" s="204"/>
      <c r="H225" s="204"/>
      <c r="I225" s="204"/>
      <c r="J225" s="203"/>
      <c r="K225" s="205"/>
      <c r="L225" s="205"/>
      <c r="M225" s="205"/>
    </row>
    <row r="226">
      <c r="A226" s="202" t="str">
        <f>IFERROR(__xludf.DUMMYFUNCTION("""COMPUTED_VALUE"""),"System Shock")</f>
        <v>System Shock</v>
      </c>
      <c r="B226" s="202" t="str">
        <f>IFERROR(__xludf.DUMMYFUNCTION("""COMPUTED_VALUE"""),"Electric Specialist, Focus, Poke Edu or Tech Edu at Adept")</f>
        <v>Electric Specialist, Focus, Poke Edu or Tech Edu at Adept</v>
      </c>
      <c r="C226" s="202" t="str">
        <f>IFERROR(__xludf.DUMMYFUNCTION("""COMPUTED_VALUE"""),"Scene x2 - Free Action")</f>
        <v>Scene x2 - Free Action</v>
      </c>
      <c r="D226" s="202" t="str">
        <f>IFERROR(__xludf.DUMMYFUNCTION("""COMPUTED_VALUE"""),"Trigger: Your Pokemon cause an Enemy to become Paralyzed or would Paralyze an Enemy that is already Paralyzed. 
Effect: Choose one of the Effects to apply to the affected Enemy:
» The Target becomes Suppressed.
» The Target cannot use a Movement Action o"&amp;"r Reaction for the rest of the Round.
» The Target’s Abilities are disabled while they’re Paralyzed.")</f>
        <v>Trigger: Your Pokemon cause an Enemy to become Paralyzed or would Paralyze an Enemy that is already Paralyzed. 
Effect: Choose one of the Effects to apply to the affected Enemy:
» The Target becomes Suppressed.
» The Target cannot use a Movement Action or Reaction for the rest of the Round.
» The Target’s Abilities are disabled while they’re Paralyzed.</v>
      </c>
      <c r="E226" s="203"/>
      <c r="F226" s="204"/>
      <c r="G226" s="204"/>
      <c r="H226" s="204"/>
      <c r="I226" s="204"/>
      <c r="J226" s="203"/>
      <c r="K226" s="205"/>
      <c r="L226" s="205"/>
      <c r="M226" s="205"/>
    </row>
    <row r="227">
      <c r="A227" s="202" t="str">
        <f>IFERROR(__xludf.DUMMYFUNCTION("""COMPUTED_VALUE"""),"Electrical Overload")</f>
        <v>Electrical Overload</v>
      </c>
      <c r="B227" s="202" t="str">
        <f>IFERROR(__xludf.DUMMYFUNCTION("""COMPUTED_VALUE"""),"Electrical Charge, Focus, Poke Edu or Tech Edu at Expert")</f>
        <v>Electrical Charge, Focus, Poke Edu or Tech Edu at Expert</v>
      </c>
      <c r="C227" s="202" t="str">
        <f>IFERROR(__xludf.DUMMYFUNCTION("""COMPUTED_VALUE"""),"At-Will - Special")</f>
        <v>At-Will - Special</v>
      </c>
      <c r="D227" s="202" t="str">
        <f>IFERROR(__xludf.DUMMYFUNCTION("""COMPUTED_VALUE"""),"Effect: Your Pokemon must activate this Feature as a Swift Action when they declare the usage of an Electric Type Attack. Apply any number of the Effects below to the Triggering Attack, then continue with the Attack’s resolution (Effects can be chosen mul"&amp;"tiple times). After the resolution, they must expend the Voltage Counters equal to the cost, or half (Rounded Up) if it missed. 
» 1 Counter - Grant the Attack Smite. If it already has Smite, it has a +2 Bonus to Accuracy.
» 2 Counters - Increase the "&amp;"Area of Effect by +1 or change the Range to Blast 2.
» 3 Counters - Ignore Type Effectiveness and treat the Attack as if it were Super Effective or Neutral Effectiveness if they were to be Immune. ")</f>
        <v>Effect: Your Pokemon must activate this Feature as a Swift Action when they declare the usage of an Electric Type Attack. Apply any number of the Effects below to the Triggering Attack, then continue with the Attack’s resolution (Effects can be chosen multiple times). After the resolution, they must expend the Voltage Counters equal to the cost, or half (Rounded Up) if it missed. 
» 1 Counter - Grant the Attack Smite. If it already has Smite, it has a +2 Bonus to Accuracy.
» 2 Counters - Increase the Area of Effect by +1 or change the Range to Blast 2.
» 3 Counters - Ignore Type Effectiveness and treat the Attack as if it were Super Effective or Neutral Effectiveness if they were to be Immune. </v>
      </c>
      <c r="E227" s="203"/>
      <c r="F227" s="204"/>
      <c r="G227" s="204"/>
      <c r="H227" s="204"/>
      <c r="I227" s="204"/>
      <c r="J227" s="203"/>
      <c r="K227" s="205"/>
      <c r="L227" s="205"/>
      <c r="M227" s="205"/>
    </row>
    <row r="228">
      <c r="A228" s="202" t="str">
        <f>IFERROR(__xludf.DUMMYFUNCTION("""COMPUTED_VALUE"""),"Chain Lightning")</f>
        <v>Chain Lightning</v>
      </c>
      <c r="B228" s="202" t="str">
        <f>IFERROR(__xludf.DUMMYFUNCTION("""COMPUTED_VALUE"""),"Electric Specialist, 3 Electric Specialist Features, Focus, Poke Edu or Tech Edu at Master")</f>
        <v>Electric Specialist, 3 Electric Specialist Features, Focus, Poke Edu or Tech Edu at Master</v>
      </c>
      <c r="C228" s="202" t="str">
        <f>IFERROR(__xludf.DUMMYFUNCTION("""COMPUTED_VALUE"""),"Scene x2 - Free Action")</f>
        <v>Scene x2 - Free Action</v>
      </c>
      <c r="D228" s="202" t="str">
        <f>IFERROR(__xludf.DUMMYFUNCTION("""COMPUTED_VALUE"""),"Trigger: Your Pokemon hit with a 1-Target Electric Attack
Effect: Before Damage Calculation, choose another Enemy within 3m of the Target. They also become a Target of the Triggering Attack and perform another Accuracy Roll against them. This Accuracy Rol"&amp;"l has a penalty equal to the number of meters they are away from the original Target. If this Attack hits, you may repeat this effect but based on the position of the 2nd Target. The 3rd Target cannot be the original Target.")</f>
        <v>Trigger: Your Pokemon hit with a 1-Target Electric Attack
Effect: Before Damage Calculation, choose another Enemy within 3m of the Target. They also become a Target of the Triggering Attack and perform another Accuracy Roll against them. This Accuracy Roll has a penalty equal to the number of meters they are away from the original Target. If this Attack hits, you may repeat this effect but based on the position of the 2nd Target. The 3rd Target cannot be the original Target.</v>
      </c>
      <c r="E228" s="203"/>
      <c r="F228" s="204"/>
      <c r="G228" s="204"/>
      <c r="H228" s="204"/>
      <c r="I228" s="204"/>
      <c r="J228" s="203"/>
      <c r="K228" s="205"/>
      <c r="L228" s="205"/>
      <c r="M228" s="205"/>
    </row>
    <row r="229">
      <c r="A229" s="202" t="str">
        <f>IFERROR(__xludf.DUMMYFUNCTION("""COMPUTED_VALUE"""),"Fairy Specialist")</f>
        <v>Fairy Specialist</v>
      </c>
      <c r="B229" s="202" t="str">
        <f>IFERROR(__xludf.DUMMYFUNCTION("""COMPUTED_VALUE"""),"Prerequisite 1: Type Specialist (Fairy as yourchosen Type) [or]
Prerequisite 2: Charm, Guile or Poke Edu at Adept")</f>
        <v>Prerequisite 1: Type Specialist (Fairy as yourchosen Type) [or]
Prerequisite 2: Charm, Guile or Poke Edu at Adept</v>
      </c>
      <c r="C229" s="202" t="str">
        <f>IFERROR(__xludf.DUMMYFUNCTION("""COMPUTED_VALUE"""),"At-Will - Free Action")</f>
        <v>At-Will - Free Action</v>
      </c>
      <c r="D229" s="202" t="str">
        <f>IFERROR(__xludf.DUMMYFUNCTION("""COMPUTED_VALUE"""),"Trigger: Your Pokemon use a Fairy Type Attack or your Fairy Type Pokemon use a Status Category Attack
Effect: A Fairy Light is summoned in an Adjacent, unoccupied space. If the Triggering Attack’s Accuracy Roll was a Natural 15+ and/or if it was a Status "&amp;"Attack used as a Standard Action, one more Fairy Light is Summoned. If the Triggering Attack didn’t have an Accuracy Check, you may perform a Luck Roll instead.
Bonus: Fairy Lights may be expended to grant the Target a Tick of Temporary Hit Points which m"&amp;"ay stack on existing Temp HP.
*See Mechanics - Fairy Specialist")</f>
        <v>Trigger: Your Pokemon use a Fairy Type Attack or your Fairy Type Pokemon use a Status Category Attack
Effect: A Fairy Light is summoned in an Adjacent, unoccupied space. If the Triggering Attack’s Accuracy Roll was a Natural 15+ and/or if it was a Status Attack used as a Standard Action, one more Fairy Light is Summoned. If the Triggering Attack didn’t have an Accuracy Check, you may perform a Luck Roll instead.
Bonus: Fairy Lights may be expended to grant the Target a Tick of Temporary Hit Points which may stack on existing Temp HP.
*See Mechanics - Fairy Specialist</v>
      </c>
      <c r="E229" s="203"/>
      <c r="F229" s="204"/>
      <c r="G229" s="204"/>
      <c r="H229" s="204"/>
      <c r="I229" s="204"/>
      <c r="J229" s="203"/>
      <c r="K229" s="205"/>
      <c r="L229" s="205"/>
      <c r="M229" s="205"/>
    </row>
    <row r="230">
      <c r="A230" s="202" t="str">
        <f>IFERROR(__xludf.DUMMYFUNCTION("""COMPUTED_VALUE"""),"Mystic Blessing")</f>
        <v>Mystic Blessing</v>
      </c>
      <c r="B230" s="202" t="str">
        <f>IFERROR(__xludf.DUMMYFUNCTION("""COMPUTED_VALUE"""),"Fairy Specialist, Charm, Guile or Poke Edu at Novice")</f>
        <v>Fairy Specialist, Charm, Guile or Poke Edu at Novice</v>
      </c>
      <c r="C230" s="202" t="str">
        <f>IFERROR(__xludf.DUMMYFUNCTION("""COMPUTED_VALUE"""),"At-Will - Free Action")</f>
        <v>At-Will - Free Action</v>
      </c>
      <c r="D230" s="202" t="str">
        <f>IFERROR(__xludf.DUMMYFUNCTION("""COMPUTED_VALUE"""),"Trigger: Your Fairy Type Pokemon target an Ally with an Ability or Status Attack or Maneuver
Effect: Choose Accuracy, Save Checks or Effect Ranges for the Target(s) to gain a bonus equal to your Tier Level until the end of their next Turn. This Feature ca"&amp;"n only Target a Combatant once per Round.
Bonus: Fairy Lights may be expended to restore a Tick of Hit Points to the Target, or two Ticks if they’re below 50% HP.")</f>
        <v>Trigger: Your Fairy Type Pokemon target an Ally with an Ability or Status Attack or Maneuver
Effect: Choose Accuracy, Save Checks or Effect Ranges for the Target(s) to gain a bonus equal to your Tier Level until the end of their next Turn. This Feature can only Target a Combatant once per Round.
Bonus: Fairy Lights may be expended to restore a Tick of Hit Points to the Target, or two Ticks if they’re below 50% HP.</v>
      </c>
      <c r="E230" s="203"/>
      <c r="F230" s="204"/>
      <c r="G230" s="204"/>
      <c r="H230" s="204"/>
      <c r="I230" s="204"/>
      <c r="J230" s="203"/>
      <c r="K230" s="205"/>
      <c r="L230" s="205"/>
      <c r="M230" s="205"/>
    </row>
    <row r="231">
      <c r="A231" s="202" t="str">
        <f>IFERROR(__xludf.DUMMYFUNCTION("""COMPUTED_VALUE"""),"Fae Trance")</f>
        <v>Fae Trance</v>
      </c>
      <c r="B231" s="202" t="str">
        <f>IFERROR(__xludf.DUMMYFUNCTION("""COMPUTED_VALUE"""),"Fairy Specialist, Charm, Guile or Poke Edu at Adept")</f>
        <v>Fairy Specialist, Charm, Guile or Poke Edu at Adept</v>
      </c>
      <c r="C231" s="202" t="str">
        <f>IFERROR(__xludf.DUMMYFUNCTION("""COMPUTED_VALUE"""),"Scene x2 - Special")</f>
        <v>Scene x2 - Special</v>
      </c>
      <c r="D231" s="202" t="str">
        <f>IFERROR(__xludf.DUMMYFUNCTION("""COMPUTED_VALUE"""),"Trigger: Your Pokemon hit a Fairy Type Attack or a Social Attack
Effect: Your Pokemon must use a Swift Action to activate this Feature. Choose a Target hit by the Triggering Attack to 
become Dazed, Entranced or Suppressed, Whenever this Target would end "&amp;"their Turn while having an Affliction gained this way (After Save Checks), a Fairy Light is created in a space that is adjacent to them.
Bonus: Fairy Lights may be expended to grant the Target a bonus or penalty to their next Save Check equal to your Tier"&amp;" Level.")</f>
        <v>Trigger: Your Pokemon hit a Fairy Type Attack or a Social Attack
Effect: Your Pokemon must use a Swift Action to activate this Feature. Choose a Target hit by the Triggering Attack to 
become Dazed, Entranced or Suppressed, Whenever this Target would end their Turn while having an Affliction gained this way (After Save Checks), a Fairy Light is created in a space that is adjacent to them.
Bonus: Fairy Lights may be expended to grant the Target a bonus or penalty to their next Save Check equal to your Tier Level.</v>
      </c>
      <c r="E231" s="203"/>
      <c r="F231" s="204"/>
      <c r="G231" s="204"/>
      <c r="H231" s="204"/>
      <c r="I231" s="204"/>
      <c r="J231" s="203"/>
      <c r="K231" s="205"/>
      <c r="L231" s="205"/>
      <c r="M231" s="205"/>
    </row>
    <row r="232">
      <c r="A232" s="202" t="str">
        <f>IFERROR(__xludf.DUMMYFUNCTION("""COMPUTED_VALUE"""),"Phantasmal Folklore")</f>
        <v>Phantasmal Folklore</v>
      </c>
      <c r="B232" s="202" t="str">
        <f>IFERROR(__xludf.DUMMYFUNCTION("""COMPUTED_VALUE"""),"Fairy Specialist, Charm, Guile or Poke Edu at Expert")</f>
        <v>Fairy Specialist, Charm, Guile or Poke Edu at Expert</v>
      </c>
      <c r="C232" s="202" t="str">
        <f>IFERROR(__xludf.DUMMYFUNCTION("""COMPUTED_VALUE"""),"Static")</f>
        <v>Static</v>
      </c>
      <c r="D232" s="202" t="str">
        <f>IFERROR(__xludf.DUMMYFUNCTION("""COMPUTED_VALUE"""),"Effect: Each of your Pokemon gain an Ability based on the type of Fairy you perceive them as or have trained them as. You may change this choice as an Extended Action when Training the Pokemon during Downtime.
» Caretaker (Blessed Touch), Cursed (Cursed "&amp;"Body), Guardian (Gentle Vibe), Malicious (Pressure), Mystical (Starlight), Nature Spirit (Flower Veil), Temptress (Cute Charm), Trickster (Prankster),")</f>
        <v>Effect: Each of your Pokemon gain an Ability based on the type of Fairy you perceive them as or have trained them as. You may change this choice as an Extended Action when Training the Pokemon during Downtime.
» Caretaker (Blessed Touch), Cursed (Cursed Body), Guardian (Gentle Vibe), Malicious (Pressure), Mystical (Starlight), Nature Spirit (Flower Veil), Temptress (Cute Charm), Trickster (Prankster),</v>
      </c>
      <c r="E232" s="203"/>
      <c r="F232" s="204"/>
      <c r="G232" s="204"/>
      <c r="H232" s="204"/>
      <c r="I232" s="204"/>
      <c r="J232" s="203"/>
      <c r="K232" s="205"/>
      <c r="L232" s="205"/>
      <c r="M232" s="205"/>
    </row>
    <row r="233">
      <c r="A233" s="202" t="str">
        <f>IFERROR(__xludf.DUMMYFUNCTION("""COMPUTED_VALUE"""),"Ancient Rite")</f>
        <v>Ancient Rite</v>
      </c>
      <c r="B233" s="202" t="str">
        <f>IFERROR(__xludf.DUMMYFUNCTION("""COMPUTED_VALUE"""),"Fairy Specialist, 3 Fairy Specialist Features, Charm, Guile or Poke Edu at Master")</f>
        <v>Fairy Specialist, 3 Fairy Specialist Features, Charm, Guile or Poke Edu at Master</v>
      </c>
      <c r="C233" s="202" t="str">
        <f>IFERROR(__xludf.DUMMYFUNCTION("""COMPUTED_VALUE"""),"Scene - Standard Action")</f>
        <v>Scene - Standard Action</v>
      </c>
      <c r="D233" s="202" t="str">
        <f>IFERROR(__xludf.DUMMYFUNCTION("""COMPUTED_VALUE"""),"Target: Two Fairy Lights on the Field and your Active Pokemon with a Damaging Fairy Type Attack on their Battle Attack List
Effect: Draw a Zone in the shape of a rectangle that connects both of the Targeted Fairy Lights as corners of the Zone, then the Fa"&amp;"iry Lights are expended. The Targeted Pokemon may use a Fairy Type Damaging Attack as a Free Action with the Range being replaced with all Allies or Enemies (Of your choice) in the Zone, ignoring Frequency. Using an Attack this way does not create Fairy L"&amp;"ights.")</f>
        <v>Target: Two Fairy Lights on the Field and your Active Pokemon with a Damaging Fairy Type Attack on their Battle Attack List
Effect: Draw a Zone in the shape of a rectangle that connects both of the Targeted Fairy Lights as corners of the Zone, then the Fairy Lights are expended. The Targeted Pokemon may use a Fairy Type Damaging Attack as a Free Action with the Range being replaced with all Allies or Enemies (Of your choice) in the Zone, ignoring Frequency. Using an Attack this way does not create Fairy Lights.</v>
      </c>
      <c r="E233" s="203"/>
      <c r="F233" s="204"/>
      <c r="G233" s="204"/>
      <c r="H233" s="204"/>
      <c r="I233" s="204"/>
      <c r="J233" s="203"/>
      <c r="K233" s="205"/>
      <c r="L233" s="205"/>
      <c r="M233" s="205"/>
    </row>
    <row r="234">
      <c r="A234" s="202" t="str">
        <f>IFERROR(__xludf.DUMMYFUNCTION("""COMPUTED_VALUE"""),"Fighting Specialist")</f>
        <v>Fighting Specialist</v>
      </c>
      <c r="B234" s="202" t="str">
        <f>IFERROR(__xludf.DUMMYFUNCTION("""COMPUTED_VALUE"""),"Prerequisite 1: Type Specialist (Fighting as your chosen Type) [or]
Prerequisite 2: Athletics, Combat or Poke Edu at Adept")</f>
        <v>Prerequisite 1: Type Specialist (Fighting as your chosen Type) [or]
Prerequisite 2: Athletics, Combat or Poke Edu at Adept</v>
      </c>
      <c r="C234" s="202" t="str">
        <f>IFERROR(__xludf.DUMMYFUNCTION("""COMPUTED_VALUE"""),"At-Will - Free Action")</f>
        <v>At-Will - Free Action</v>
      </c>
      <c r="D234" s="202" t="str">
        <f>IFERROR(__xludf.DUMMYFUNCTION("""COMPUTED_VALUE"""),"Trigger: Your Pokemon hit with a Melee or Fighting Type Damaging Attack on a single Target
Effect: The Target becomes Marked with an Adversary Mark.
Bonus: Your Pokemon’s Fighting Type Damaging Attacks have a bonus to Damage Rolls equal to your Tier Value"&amp;" and a bonus to their Accuracy Rolls equal to your Tier Level. These bonuses only apply if the only Target is an Enemy with the Adversary Mark.  ")</f>
        <v>Trigger: Your Pokemon hit with a Melee or Fighting Type Damaging Attack on a single Target
Effect: The Target becomes Marked with an Adversary Mark.
Bonus: Your Pokemon’s Fighting Type Damaging Attacks have a bonus to Damage Rolls equal to your Tier Value and a bonus to their Accuracy Rolls equal to your Tier Level. These bonuses only apply if the only Target is an Enemy with the Adversary Mark.  </v>
      </c>
      <c r="E234" s="203"/>
      <c r="F234" s="204"/>
      <c r="G234" s="204"/>
      <c r="H234" s="204"/>
      <c r="I234" s="204"/>
      <c r="J234" s="203"/>
      <c r="K234" s="205"/>
      <c r="L234" s="205"/>
      <c r="M234" s="205"/>
    </row>
    <row r="235">
      <c r="A235" s="202" t="str">
        <f>IFERROR(__xludf.DUMMYFUNCTION("""COMPUTED_VALUE"""),"Retaliating Strike")</f>
        <v>Retaliating Strike</v>
      </c>
      <c r="B235" s="202" t="str">
        <f>IFERROR(__xludf.DUMMYFUNCTION("""COMPUTED_VALUE"""),"Fighting Specialist, Athletics, Combat or Poke Edu at Novice")</f>
        <v>Fighting Specialist, Athletics, Combat or Poke Edu at Novice</v>
      </c>
      <c r="C235" s="202" t="str">
        <f>IFERROR(__xludf.DUMMYFUNCTION("""COMPUTED_VALUE"""),"Scene x2 - Special")</f>
        <v>Scene x2 - Special</v>
      </c>
      <c r="D235" s="202" t="str">
        <f>IFERROR(__xludf.DUMMYFUNCTION("""COMPUTED_VALUE"""),"Trigger: Your Pokemon are hit by an Adjacent Enemy
Effect: Your Pokemon must activate this Feature by using a Reaction when it would Trigger. After the Triggering Attack resolves, the Pokemon hit by the Attack may perform an Attack of Opportunity against "&amp;"the Triggering Enemy. If the Triggering Pokemon had their Adversary Mark, they may instead use a Damaging Fighting-Type Attack with a Frequency of At-Will instead of a Basic Attack.
Bonus: Whenever a Combatant with your Adversary Mark would Disengage out "&amp;"of a space that is Adjacent to your Pokemon, they trigger an Attack of Opportunity, ignoring Disengage.")</f>
        <v>Trigger: Your Pokemon are hit by an Adjacent Enemy
Effect: Your Pokemon must activate this Feature by using a Reaction when it would Trigger. After the Triggering Attack resolves, the Pokemon hit by the Attack may perform an Attack of Opportunity against the Triggering Enemy. If the Triggering Pokemon had their Adversary Mark, they may instead use a Damaging Fighting-Type Attack with a Frequency of At-Will instead of a Basic Attack.
Bonus: Whenever a Combatant with your Adversary Mark would Disengage out of a space that is Adjacent to your Pokemon, they trigger an Attack of Opportunity, ignoring Disengage.</v>
      </c>
      <c r="E235" s="203"/>
      <c r="F235" s="204"/>
      <c r="G235" s="204"/>
      <c r="H235" s="204"/>
      <c r="I235" s="204"/>
      <c r="J235" s="203"/>
      <c r="K235" s="205"/>
      <c r="L235" s="205"/>
      <c r="M235" s="205"/>
    </row>
    <row r="236">
      <c r="A236" s="202" t="str">
        <f>IFERROR(__xludf.DUMMYFUNCTION("""COMPUTED_VALUE"""),"Boastful Challenger")</f>
        <v>Boastful Challenger</v>
      </c>
      <c r="B236" s="202" t="str">
        <f>IFERROR(__xludf.DUMMYFUNCTION("""COMPUTED_VALUE"""),"Fighting Specialist, Athletics, Combat or Poke Edu at Adept")</f>
        <v>Fighting Specialist, Athletics, Combat or Poke Edu at Adept</v>
      </c>
      <c r="C236" s="202" t="str">
        <f>IFERROR(__xludf.DUMMYFUNCTION("""COMPUTED_VALUE"""),"Scene x2 - Free Action")</f>
        <v>Scene x2 - Free Action</v>
      </c>
      <c r="D236" s="202" t="str">
        <f>IFERROR(__xludf.DUMMYFUNCTION("""COMPUTED_VALUE"""),"Trigger: Your Pokemon hit a Fighting or Melee, 1 Target Damaging Attack
Effect: The Target becomes Provoked by the Attacker until the end of their next Turn. If the Target was their Adversary, the attacker resists their next Damaging Attack by an addition"&amp;"al step. An Enemy can only be affected by Boastful Challenger once per Scene.")</f>
        <v>Trigger: Your Pokemon hit a Fighting or Melee, 1 Target Damaging Attack
Effect: The Target becomes Provoked by the Attacker until the end of their next Turn. If the Target was their Adversary, the attacker resists their next Damaging Attack by an additional step. An Enemy can only be affected by Boastful Challenger once per Scene.</v>
      </c>
      <c r="E236" s="203"/>
      <c r="F236" s="204"/>
      <c r="G236" s="204"/>
      <c r="H236" s="204"/>
      <c r="I236" s="204"/>
      <c r="J236" s="203"/>
      <c r="K236" s="205"/>
      <c r="L236" s="205"/>
      <c r="M236" s="205"/>
    </row>
    <row r="237">
      <c r="A237" s="202" t="str">
        <f>IFERROR(__xludf.DUMMYFUNCTION("""COMPUTED_VALUE"""),"Who's Next?")</f>
        <v>Who's Next?</v>
      </c>
      <c r="B237" s="202" t="str">
        <f>IFERROR(__xludf.DUMMYFUNCTION("""COMPUTED_VALUE"""),"Fighting Specialist, Athletics, Combat or Poke Edu at Expert")</f>
        <v>Fighting Specialist, Athletics, Combat or Poke Edu at Expert</v>
      </c>
      <c r="C237" s="202" t="str">
        <f>IFERROR(__xludf.DUMMYFUNCTION("""COMPUTED_VALUE"""),"Scene x2 - Free Action")</f>
        <v>Scene x2 - Free Action</v>
      </c>
      <c r="D237" s="202" t="str">
        <f>IFERROR(__xludf.DUMMYFUNCTION("""COMPUTED_VALUE"""),"Trigger: An Enemy with an Adversary Mark applied by you Faints
Effect: Choose an Enemy to apply the Adversary Mark to. Your Active Pokemon gain a Tick of Temporary Hit Points and +1 CS in a Stat of their Choice.")</f>
        <v>Trigger: An Enemy with an Adversary Mark applied by you Faints
Effect: Choose an Enemy to apply the Adversary Mark to. Your Active Pokemon gain a Tick of Temporary Hit Points and +1 CS in a Stat of their Choice.</v>
      </c>
      <c r="E237" s="203"/>
      <c r="F237" s="204"/>
      <c r="G237" s="204"/>
      <c r="H237" s="204"/>
      <c r="I237" s="204"/>
      <c r="J237" s="203"/>
      <c r="K237" s="205"/>
      <c r="L237" s="205"/>
      <c r="M237" s="205"/>
    </row>
    <row r="238">
      <c r="A238" s="202" t="str">
        <f>IFERROR(__xludf.DUMMYFUNCTION("""COMPUTED_VALUE"""),"Smashing Punishment")</f>
        <v>Smashing Punishment</v>
      </c>
      <c r="B238" s="202" t="str">
        <f>IFERROR(__xludf.DUMMYFUNCTION("""COMPUTED_VALUE"""),"Fighting Specialist, 3 Fighting Specialist Features, Athletics, Combat or Poke Edu at Master")</f>
        <v>Fighting Specialist, 3 Fighting Specialist Features, Athletics, Combat or Poke Edu at Master</v>
      </c>
      <c r="C238" s="202" t="str">
        <f>IFERROR(__xludf.DUMMYFUNCTION("""COMPUTED_VALUE"""),"Scene - Free Action")</f>
        <v>Scene - Free Action</v>
      </c>
      <c r="D238" s="202" t="str">
        <f>IFERROR(__xludf.DUMMYFUNCTION("""COMPUTED_VALUE"""),"Trigger: Your Pokemon hit an Adjacent Enemy with a Fighting-Type Damaging Attack
Effect: The Target becomes Vulnerable until the end of the next Round. In addition apply one of the following Effects to the Target:
» Before Damage Calculations, the Target"&amp;"’s Defense or Special Defense is set to -2 CS.
» The Target gains the Wounded Affliction.
» The Target loses one Coat that they are currently affected  by and it cannot be Activated in response to this Feature’s Activation.  
Bonus: Your Pokemon’s Attack"&amp;"s against their Adversary ignore their Physical Evasion.")</f>
        <v>Trigger: Your Pokemon hit an Adjacent Enemy with a Fighting-Type Damaging Attack
Effect: The Target becomes Vulnerable until the end of the next Round. In addition apply one of the following Effects to the Target:
» Before Damage Calculations, the Target’s Defense or Special Defense is set to -2 CS.
» The Target gains the Wounded Affliction.
» The Target loses one Coat that they are currently affected  by and it cannot be Activated in response to this Feature’s Activation.  
Bonus: Your Pokemon’s Attacks against their Adversary ignore their Physical Evasion.</v>
      </c>
      <c r="E238" s="203"/>
      <c r="F238" s="204"/>
      <c r="G238" s="204"/>
      <c r="H238" s="204"/>
      <c r="I238" s="204"/>
      <c r="J238" s="203"/>
      <c r="K238" s="205"/>
      <c r="L238" s="205"/>
      <c r="M238" s="205"/>
    </row>
    <row r="239">
      <c r="A239" s="202" t="str">
        <f>IFERROR(__xludf.DUMMYFUNCTION("""COMPUTED_VALUE"""),"Fire Specialist")</f>
        <v>Fire Specialist</v>
      </c>
      <c r="B239" s="202" t="str">
        <f>IFERROR(__xludf.DUMMYFUNCTION("""COMPUTED_VALUE"""),"Prerequisite 1: Type Specialist (Fire as your chosen Type) [or]
Prerequisite 2: Focus, Intuition or Poke Edu at Adept ")</f>
        <v>Prerequisite 1: Type Specialist (Fire as your chosen Type) [or]
Prerequisite 2: Focus, Intuition or Poke Edu at Adept </v>
      </c>
      <c r="C239" s="202" t="str">
        <f>IFERROR(__xludf.DUMMYFUNCTION("""COMPUTED_VALUE"""),"Static")</f>
        <v>Static</v>
      </c>
      <c r="D239" s="202" t="str">
        <f>IFERROR(__xludf.DUMMYFUNCTION("""COMPUTED_VALUE"""),"Effect: Your Pokemon’s Damaging Fire Type Attacks gain a 18+ Effect Range to cause their Targets to become Burned. If they already have a Burn Effect Range, it is increased by +2. Whenever a Fire Hazard or your Pokemon Burn a Target that is already Burned"&amp;", they lose a Tick of HIt Points and gain +1 Combustion Counter (Max 3). Whenever a Burned Combat with a Combustion Counter would cure the Burned Affliction, they instead remove a Combustion Counter.")</f>
        <v>Effect: Your Pokemon’s Damaging Fire Type Attacks gain a 18+ Effect Range to cause their Targets to become Burned. If they already have a Burn Effect Range, it is increased by +2. Whenever a Fire Hazard or your Pokemon Burn a Target that is already Burned, they lose a Tick of HIt Points and gain +1 Combustion Counter (Max 3). Whenever a Burned Combat with a Combustion Counter would cure the Burned Affliction, they instead remove a Combustion Counter.</v>
      </c>
      <c r="E239" s="203"/>
      <c r="F239" s="204"/>
      <c r="G239" s="204"/>
      <c r="H239" s="204"/>
      <c r="I239" s="204"/>
      <c r="J239" s="203"/>
      <c r="K239" s="205"/>
      <c r="L239" s="205"/>
      <c r="M239" s="205"/>
    </row>
    <row r="240">
      <c r="A240" s="202" t="str">
        <f>IFERROR(__xludf.DUMMYFUNCTION("""COMPUTED_VALUE"""),"Fan the Flames")</f>
        <v>Fan the Flames</v>
      </c>
      <c r="B240" s="202" t="str">
        <f>IFERROR(__xludf.DUMMYFUNCTION("""COMPUTED_VALUE"""),"Fire Specialist, Focus, Intuition or Poke Edu at Novice")</f>
        <v>Fire Specialist, Focus, Intuition or Poke Edu at Novice</v>
      </c>
      <c r="C240" s="202" t="str">
        <f>IFERROR(__xludf.DUMMYFUNCTION("""COMPUTED_VALUE"""),"Scene x2 - Free Action")</f>
        <v>Scene x2 - Free Action</v>
      </c>
      <c r="D240" s="202" t="str">
        <f>IFERROR(__xludf.DUMMYFUNCTION("""COMPUTED_VALUE"""),"Trigger: Your Pokémon uses a Fire Type Attack
Effect: Instead of its usual range, the attack may be performed as if it had a range of Burst 1 if Melee, or Close Blast 2 if ranged. If the Attack is already a Burst, Blast, or Line, increase the size of the "&amp;"Attack’s area by +1 (Burst 1 becomes Burst 2, etc). Regardless of if the Attack hits, Fire Hazards are created on each space within the Attack’s Range.")</f>
        <v>Trigger: Your Pokémon uses a Fire Type Attack
Effect: Instead of its usual range, the attack may be performed as if it had a range of Burst 1 if Melee, or Close Blast 2 if ranged. If the Attack is already a Burst, Blast, or Line, increase the size of the Attack’s area by +1 (Burst 1 becomes Burst 2, etc). Regardless of if the Attack hits, Fire Hazards are created on each space within the Attack’s Range.</v>
      </c>
      <c r="E240" s="203"/>
      <c r="F240" s="204"/>
      <c r="G240" s="204"/>
      <c r="H240" s="204"/>
      <c r="I240" s="204"/>
      <c r="J240" s="203"/>
      <c r="K240" s="205"/>
      <c r="L240" s="205"/>
      <c r="M240" s="205"/>
    </row>
    <row r="241">
      <c r="A241" s="202" t="str">
        <f>IFERROR(__xludf.DUMMYFUNCTION("""COMPUTED_VALUE"""),"Severe Burns")</f>
        <v>Severe Burns</v>
      </c>
      <c r="B241" s="202" t="str">
        <f>IFERROR(__xludf.DUMMYFUNCTION("""COMPUTED_VALUE"""),"Fire Specialist, Focus, Intuition or Poke Edu 
at Adept")</f>
        <v>Fire Specialist, Focus, Intuition or Poke Edu 
at Adept</v>
      </c>
      <c r="C241" s="202" t="str">
        <f>IFERROR(__xludf.DUMMYFUNCTION("""COMPUTED_VALUE"""),"Static")</f>
        <v>Static</v>
      </c>
      <c r="D241" s="202" t="str">
        <f>IFERROR(__xludf.DUMMYFUNCTION("""COMPUTED_VALUE"""),"Effect: Enemies that are Burned by your Pokemon or Fire Hazards you create cannot restore Hit Points while Burned. In addition, whenever they would lose Hit Points from the Burned Affliction, they lose an Additional Tick per Combustion Counter they have.")</f>
        <v>Effect: Enemies that are Burned by your Pokemon or Fire Hazards you create cannot restore Hit Points while Burned. In addition, whenever they would lose Hit Points from the Burned Affliction, they lose an Additional Tick per Combustion Counter they have.</v>
      </c>
      <c r="E241" s="203"/>
      <c r="F241" s="204"/>
      <c r="G241" s="204"/>
      <c r="H241" s="204"/>
      <c r="I241" s="204"/>
      <c r="J241" s="203"/>
      <c r="K241" s="205"/>
      <c r="L241" s="205"/>
      <c r="M241" s="205"/>
    </row>
    <row r="242">
      <c r="A242" s="202" t="str">
        <f>IFERROR(__xludf.DUMMYFUNCTION("""COMPUTED_VALUE"""),"Blazing Battlefield")</f>
        <v>Blazing Battlefield</v>
      </c>
      <c r="B242" s="202" t="str">
        <f>IFERROR(__xludf.DUMMYFUNCTION("""COMPUTED_VALUE"""),"Fire Specialist, Focus, Intuition or Poke Edu at Expert")</f>
        <v>Fire Specialist, Focus, Intuition or Poke Edu at Expert</v>
      </c>
      <c r="C242" s="202" t="str">
        <f>IFERROR(__xludf.DUMMYFUNCTION("""COMPUTED_VALUE"""),"Scene - Free Action")</f>
        <v>Scene - Free Action</v>
      </c>
      <c r="D242" s="202" t="str">
        <f>IFERROR(__xludf.DUMMYFUNCTION("""COMPUTED_VALUE"""),"Trigger: Your Pokémon would use a Fire Type Attack
Effect: You may ignore the Range of the Triggering Attack. Instead, choose any number of Fire Hazards within 3m of the Triggering Pokemon and create a 3x3 Zone around each chosen Fire Hazard, centered on "&amp;"the Hazard. The Attack’s Range is all spaces within the created Zones. Each Hazard chosen this way is destroyed after Attack Resolution.
Bonus: Your Pokemon may originate any Fire Type Attack from a Fire Hazard within 5m of them, but after Attack Resoluti"&amp;"on, the Hazard is destroyed.")</f>
        <v>Trigger: Your Pokémon would use a Fire Type Attack
Effect: You may ignore the Range of the Triggering Attack. Instead, choose any number of Fire Hazards within 3m of the Triggering Pokemon and create a 3x3 Zone around each chosen Fire Hazard, centered on the Hazard. The Attack’s Range is all spaces within the created Zones. Each Hazard chosen this way is destroyed after Attack Resolution.
Bonus: Your Pokemon may originate any Fire Type Attack from a Fire Hazard within 5m of them, but after Attack Resolution, the Hazard is destroyed.</v>
      </c>
      <c r="E242" s="203"/>
      <c r="F242" s="204"/>
      <c r="G242" s="204"/>
      <c r="H242" s="204"/>
      <c r="I242" s="204"/>
      <c r="J242" s="203"/>
      <c r="K242" s="205"/>
      <c r="L242" s="205"/>
      <c r="M242" s="205"/>
    </row>
    <row r="243">
      <c r="A243" s="202" t="str">
        <f>IFERROR(__xludf.DUMMYFUNCTION("""COMPUTED_VALUE"""),"Spontaneous Combustion")</f>
        <v>Spontaneous Combustion</v>
      </c>
      <c r="B243" s="202" t="str">
        <f>IFERROR(__xludf.DUMMYFUNCTION("""COMPUTED_VALUE"""),"Fire Specialist, 3 Fire Specialist Features, Focus, Intuition or Poke Edu at Master")</f>
        <v>Fire Specialist, 3 Fire Specialist Features, Focus, Intuition or Poke Edu at Master</v>
      </c>
      <c r="C243" s="202" t="str">
        <f>IFERROR(__xludf.DUMMYFUNCTION("""COMPUTED_VALUE"""),"Scene x2 – Free Action")</f>
        <v>Scene x2 – Free Action</v>
      </c>
      <c r="D243" s="202" t="str">
        <f>IFERROR(__xludf.DUMMYFUNCTION("""COMPUTED_VALUE"""),"Trigger: Your Pokemon use a Fire Type Attack against a Burned Enemy
Effect: All Burned Targets of the Triggering Attack become cured of the Burned Affliction and all Combustion Counters they had. The Triggering Attack cannot miss Targets cured this way. I"&amp;"f the Triggering Attack was Damaging and they cured Combustion Counters, the Attack also becomes a Critical HIt automatically and they cannot activate Reactions against it.")</f>
        <v>Trigger: Your Pokemon use a Fire Type Attack against a Burned Enemy
Effect: All Burned Targets of the Triggering Attack become cured of the Burned Affliction and all Combustion Counters they had. The Triggering Attack cannot miss Targets cured this way. If the Triggering Attack was Damaging and they cured Combustion Counters, the Attack also becomes a Critical HIt automatically and they cannot activate Reactions against it.</v>
      </c>
      <c r="E243" s="203"/>
      <c r="F243" s="204"/>
      <c r="G243" s="204"/>
      <c r="H243" s="204"/>
      <c r="I243" s="204"/>
      <c r="J243" s="203"/>
      <c r="K243" s="205"/>
      <c r="L243" s="205"/>
      <c r="M243" s="205"/>
    </row>
    <row r="244">
      <c r="A244" s="202" t="str">
        <f>IFERROR(__xludf.DUMMYFUNCTION("""COMPUTED_VALUE"""),"Flying Specialist")</f>
        <v>Flying Specialist</v>
      </c>
      <c r="B244" s="202" t="str">
        <f>IFERROR(__xludf.DUMMYFUNCTION("""COMPUTED_VALUE"""),"Prerequisite 1: Type Specialist (Flying as your chosen Type) [or]
Prerequisite 2: Acrobatics, Perception or Poke Edu at Adept")</f>
        <v>Prerequisite 1: Type Specialist (Flying as your chosen Type) [or]
Prerequisite 2: Acrobatics, Perception or Poke Edu at Adept</v>
      </c>
      <c r="C244" s="202" t="str">
        <f>IFERROR(__xludf.DUMMYFUNCTION("""COMPUTED_VALUE"""),"Static")</f>
        <v>Static</v>
      </c>
      <c r="D244" s="202" t="str">
        <f>IFERROR(__xludf.DUMMYFUNCTION("""COMPUTED_VALUE"""),"Effect: Your Pokemon gain the Quick Capability. Your Flying Type Pokemon may use the Disengage Maneuver as a Swift Action as well as a Movement Action and when they do, they may move 3m instead of 1.")</f>
        <v>Effect: Your Pokemon gain the Quick Capability. Your Flying Type Pokemon may use the Disengage Maneuver as a Swift Action as well as a Movement Action and when they do, they may move 3m instead of 1.</v>
      </c>
      <c r="E244" s="203"/>
      <c r="F244" s="204"/>
      <c r="G244" s="204"/>
      <c r="H244" s="204"/>
      <c r="I244" s="204"/>
      <c r="J244" s="203"/>
      <c r="K244" s="205"/>
      <c r="L244" s="205"/>
      <c r="M244" s="205"/>
    </row>
    <row r="245">
      <c r="A245" s="202" t="str">
        <f>IFERROR(__xludf.DUMMYFUNCTION("""COMPUTED_VALUE"""),"Skyward Bound")</f>
        <v>Skyward Bound</v>
      </c>
      <c r="B245" s="202" t="str">
        <f>IFERROR(__xludf.DUMMYFUNCTION("""COMPUTED_VALUE"""),"Flying Specialist, Acrobatics, Perception or Poke Edu at Novice")</f>
        <v>Flying Specialist, Acrobatics, Perception or Poke Edu at Novice</v>
      </c>
      <c r="C245" s="202" t="str">
        <f>IFERROR(__xludf.DUMMYFUNCTION("""COMPUTED_VALUE"""),"At-Will - Special")</f>
        <v>At-Will - Special</v>
      </c>
      <c r="D245" s="202" t="str">
        <f>IFERROR(__xludf.DUMMYFUNCTION("""COMPUTED_VALUE"""),"Effect: Your Pokemon with the Flier Capability may activate this Feature as a Movement Action to fly up to 25m into the air and leave the Field, becoming Untargetable for this duration. At the beginning of their next Turn they re-enter the Field as a Move"&amp;"ment Action and descend down to any space within 10m of their previous location, then their next Damaging Attack this Turn gains the Smite Keyword. Each Pokemon may only activate Skyward Bound once per Scene.
Note: This Feature cannot be used if the user"&amp;" is in an area with a height of less than 10m. This Feature allows the user to ignore the Flier Capability, allowing them to exceed 4m in the air.")</f>
        <v>Effect: Your Pokemon with the Flier Capability may activate this Feature as a Movement Action to fly up to 25m into the air and leave the Field, becoming Untargetable for this duration. At the beginning of their next Turn they re-enter the Field as a Movement Action and descend down to any space within 10m of their previous location, then their next Damaging Attack this Turn gains the Smite Keyword. Each Pokemon may only activate Skyward Bound once per Scene.
Note: This Feature cannot be used if the user is in an area with a height of less than 10m. This Feature allows the user to ignore the Flier Capability, allowing them to exceed 4m in the air.</v>
      </c>
      <c r="E245" s="203"/>
      <c r="F245" s="204"/>
      <c r="G245" s="204"/>
      <c r="H245" s="204"/>
      <c r="I245" s="204"/>
      <c r="J245" s="203"/>
      <c r="K245" s="205"/>
      <c r="L245" s="205"/>
      <c r="M245" s="205"/>
    </row>
    <row r="246">
      <c r="A246" s="202" t="str">
        <f>IFERROR(__xludf.DUMMYFUNCTION("""COMPUTED_VALUE"""),"Gale Strike")</f>
        <v>Gale Strike</v>
      </c>
      <c r="B246" s="202" t="str">
        <f>IFERROR(__xludf.DUMMYFUNCTION("""COMPUTED_VALUE"""),"Flying Specialist, Acrobatics, Perception or Poke Edu at Adept")</f>
        <v>Flying Specialist, Acrobatics, Perception or Poke Edu at Adept</v>
      </c>
      <c r="C246" s="202" t="str">
        <f>IFERROR(__xludf.DUMMYFUNCTION("""COMPUTED_VALUE"""),"Scene x2 - Free Action")</f>
        <v>Scene x2 - Free Action</v>
      </c>
      <c r="D246" s="202" t="str">
        <f>IFERROR(__xludf.DUMMYFUNCTION("""COMPUTED_VALUE"""),"Trigger: Your Pokemon miss a Flying Type Attack against all Targets
Effect: The Accuracy Roll is performed once again. If the Attack would result in a Critical Hit, it is instead a normal hit, but Gale Strike’s Frequency is not expended.")</f>
        <v>Trigger: Your Pokemon miss a Flying Type Attack against all Targets
Effect: The Accuracy Roll is performed once again. If the Attack would result in a Critical Hit, it is instead a normal hit, but Gale Strike’s Frequency is not expended.</v>
      </c>
      <c r="E246" s="203"/>
      <c r="F246" s="204"/>
      <c r="G246" s="204"/>
      <c r="H246" s="204"/>
      <c r="I246" s="204"/>
      <c r="J246" s="203"/>
      <c r="K246" s="205"/>
      <c r="L246" s="205"/>
      <c r="M246" s="205"/>
    </row>
    <row r="247">
      <c r="A247" s="202" t="str">
        <f>IFERROR(__xludf.DUMMYFUNCTION("""COMPUTED_VALUE"""),"Aerial Control")</f>
        <v>Aerial Control</v>
      </c>
      <c r="B247" s="202" t="str">
        <f>IFERROR(__xludf.DUMMYFUNCTION("""COMPUTED_VALUE""")," Flying Specialist, Acrobatics, Perception or Poke Edu at Expert")</f>
        <v> Flying Specialist, Acrobatics, Perception or Poke Edu at Expert</v>
      </c>
      <c r="C247" s="202" t="str">
        <f>IFERROR(__xludf.DUMMYFUNCTION("""COMPUTED_VALUE"""),"At-Will - Special")</f>
        <v>At-Will - Special</v>
      </c>
      <c r="D247" s="202" t="str">
        <f>IFERROR(__xludf.DUMMYFUNCTION("""COMPUTED_VALUE"""),"Effect: Your Flying Type Pokemon may activate this Feature as a Swift Action to perform any of the following:
» Choose an Enemy within 5m to Slide 3m in any direction unless they pass a Tough CR (3) Acrobatics Check
» The Weather becomes Windy or the Wea"&amp;"ther is removed, of your choice. The Weather may only become Windy this way once per Scene
» In a Close Blast 3 or Line 6 Range, all Hazardous Terrain that was created by an Attack or Ability is destroyed and reverted to Basic Terrain.")</f>
        <v>Effect: Your Flying Type Pokemon may activate this Feature as a Swift Action to perform any of the following:
» Choose an Enemy within 5m to Slide 3m in any direction unless they pass a Tough CR (3) Acrobatics Check
» The Weather becomes Windy or the Weather is removed, of your choice. The Weather may only become Windy this way once per Scene
» In a Close Blast 3 or Line 6 Range, all Hazardous Terrain that was created by an Attack or Ability is destroyed and reverted to Basic Terrain.</v>
      </c>
      <c r="E247" s="203"/>
      <c r="F247" s="204"/>
      <c r="G247" s="204"/>
      <c r="H247" s="204"/>
      <c r="I247" s="204"/>
      <c r="J247" s="203"/>
      <c r="K247" s="205"/>
      <c r="L247" s="205"/>
      <c r="M247" s="205"/>
    </row>
    <row r="248">
      <c r="A248" s="202" t="str">
        <f>IFERROR(__xludf.DUMMYFUNCTION("""COMPUTED_VALUE"""),"Tornado Surge")</f>
        <v>Tornado Surge</v>
      </c>
      <c r="B248" s="202" t="str">
        <f>IFERROR(__xludf.DUMMYFUNCTION("""COMPUTED_VALUE"""),"Flying Specialist, 3 Flying Specialist Features, Acrobatics, Perception or Poke Edu at Master")</f>
        <v>Flying Specialist, 3 Flying Specialist Features, Acrobatics, Perception or Poke Edu at Master</v>
      </c>
      <c r="C248" s="202" t="str">
        <f>IFERROR(__xludf.DUMMYFUNCTION("""COMPUTED_VALUE"""),"Scene - Free Action")</f>
        <v>Scene - Free Action</v>
      </c>
      <c r="D248" s="202" t="str">
        <f>IFERROR(__xludf.DUMMYFUNCTION("""COMPUTED_VALUE"""),"Trigger: Your Pokemon would take their Turn
Effect: Choose two different options from the following list to grant the Triggering Pokemon for this Turn.
» An Extra Standard Action: This can only be used to use a Flying Type Attack that is At-Will, use a F"&amp;"lying Type Attack that is EOT, or use a Naturally Flying Type Status Attack.
» An Extra Swift Action: This can only be used for Abilities, Maneuvers or Flying Specialist Features.
» An Extra Movement Action: This must be used to Move spaces.
» An Extra Sa"&amp;"ve Check: Taking this allows you to roll your Save Check twice, taking the higher result.")</f>
        <v>Trigger: Your Pokemon would take their Turn
Effect: Choose two different options from the following list to grant the Triggering Pokemon for this Turn.
» An Extra Standard Action: This can only be used to use a Flying Type Attack that is At-Will, use a Flying Type Attack that is EOT, or use a Naturally Flying Type Status Attack.
» An Extra Swift Action: This can only be used for Abilities, Maneuvers or Flying Specialist Features.
» An Extra Movement Action: This must be used to Move spaces.
» An Extra Save Check: Taking this allows you to roll your Save Check twice, taking the higher result.</v>
      </c>
      <c r="E248" s="203"/>
      <c r="F248" s="204"/>
      <c r="G248" s="204"/>
      <c r="H248" s="204"/>
      <c r="I248" s="204"/>
      <c r="J248" s="203"/>
      <c r="K248" s="205"/>
      <c r="L248" s="205"/>
      <c r="M248" s="205"/>
    </row>
    <row r="249">
      <c r="A249" s="202" t="str">
        <f>IFERROR(__xludf.DUMMYFUNCTION("""COMPUTED_VALUE"""),"Ghost Specialist")</f>
        <v>Ghost Specialist</v>
      </c>
      <c r="B249" s="202" t="str">
        <f>IFERROR(__xludf.DUMMYFUNCTION("""COMPUTED_VALUE"""),"Prerequisite 1: Type Specialist (Ghost as your chosen Type [or]
Prerequisite 2: Intimidate, Occult Edu or Poke Edu at Adept ")</f>
        <v>Prerequisite 1: Type Specialist (Ghost as your chosen Type [or]
Prerequisite 2: Intimidate, Occult Edu or Poke Edu at Adept </v>
      </c>
      <c r="C249" s="202" t="str">
        <f>IFERROR(__xludf.DUMMYFUNCTION("""COMPUTED_VALUE"""),"Static")</f>
        <v>Static</v>
      </c>
      <c r="D249" s="202" t="str">
        <f>IFERROR(__xludf.DUMMYFUNCTION("""COMPUTED_VALUE"""),"Effect: Whenever your Pokemon use a Ghost Type Attack, you gain 1 Curse Token (Max 6) after Attack resolution. Your Pokemon may use a Standard Action, or a Free Action upon Fainting, to expend any amount of Curse Tokens to apply conditions to an Enemy wit"&amp;"hin 5m of them listed below at their listed cost:
» 1 Curse Token: The Target becomes Suppressed
» 2 Curse Tokens: The Target becomes Cursed or loses -3 CS in a Stat of your Choice
» 3 Curse Tokens: The Target has one Stat of your choice lowered to -2 CS"&amp;"
» 4 Curse Tokens: The Target becomes Drowsy and cannot be cured through sources other than a Save Check.")</f>
        <v>Effect: Whenever your Pokemon use a Ghost Type Attack, you gain 1 Curse Token (Max 6) after Attack resolution. Your Pokemon may use a Standard Action, or a Free Action upon Fainting, to expend any amount of Curse Tokens to apply conditions to an Enemy within 5m of them listed below at their listed cost:
» 1 Curse Token: The Target becomes Suppressed
» 2 Curse Tokens: The Target becomes Cursed or loses -3 CS in a Stat of your Choice
» 3 Curse Tokens: The Target has one Stat of your choice lowered to -2 CS
» 4 Curse Tokens: The Target becomes Drowsy and cannot be cured through sources other than a Save Check.</v>
      </c>
      <c r="E249" s="203"/>
      <c r="F249" s="204"/>
      <c r="G249" s="204"/>
      <c r="H249" s="204"/>
      <c r="I249" s="204"/>
      <c r="J249" s="203"/>
      <c r="K249" s="205"/>
      <c r="L249" s="205"/>
      <c r="M249" s="205"/>
    </row>
    <row r="250">
      <c r="A250" s="202" t="str">
        <f>IFERROR(__xludf.DUMMYFUNCTION("""COMPUTED_VALUE"""),"Phase Shift")</f>
        <v>Phase Shift</v>
      </c>
      <c r="B250" s="202" t="str">
        <f>IFERROR(__xludf.DUMMYFUNCTION("""COMPUTED_VALUE"""),"Ghost Specialist, Intimidate, Occult Edu or Poke Edu at Novice")</f>
        <v>Ghost Specialist, Intimidate, Occult Edu or Poke Edu at Novice</v>
      </c>
      <c r="C250" s="202" t="str">
        <f>IFERROR(__xludf.DUMMYFUNCTION("""COMPUTED_VALUE"""),"At-Will - Special")</f>
        <v>At-Will - Special</v>
      </c>
      <c r="D250" s="202" t="str">
        <f>IFERROR(__xludf.DUMMYFUNCTION("""COMPUTED_VALUE"""),"Effect: Your Ghost Type Pokemon may activate this Feature as a Movement Action to remove themselves from the field and become Untargetable for this duration. At the beginning of their next Turn they may reappear in any space they could have moved to from "&amp;"their previous location, then their next Attack ignores Speed Evasion. Each Pokemon may only activate Phase Shift once per Scene.
Bonus: Your Pokemon with the Phaser Capability may instead use it as a Free Action.")</f>
        <v>Effect: Your Ghost Type Pokemon may activate this Feature as a Movement Action to remove themselves from the field and become Untargetable for this duration. At the beginning of their next Turn they may reappear in any space they could have moved to from their previous location, then their next Attack ignores Speed Evasion. Each Pokemon may only activate Phase Shift once per Scene.
Bonus: Your Pokemon with the Phaser Capability may instead use it as a Free Action.</v>
      </c>
      <c r="E250" s="203"/>
      <c r="F250" s="204"/>
      <c r="G250" s="204"/>
      <c r="H250" s="204"/>
      <c r="I250" s="204"/>
      <c r="J250" s="203"/>
      <c r="K250" s="205"/>
      <c r="L250" s="205"/>
      <c r="M250" s="205"/>
    </row>
    <row r="251">
      <c r="A251" s="202" t="str">
        <f>IFERROR(__xludf.DUMMYFUNCTION("""COMPUTED_VALUE"""),"Vampirism")</f>
        <v>Vampirism</v>
      </c>
      <c r="B251" s="202" t="str">
        <f>IFERROR(__xludf.DUMMYFUNCTION("""COMPUTED_VALUE"""),"Ghost Specialist, Intimidate, Occult Edu or Poke Edu at Adept")</f>
        <v>Ghost Specialist, Intimidate, Occult Edu or Poke Edu at Adept</v>
      </c>
      <c r="C251" s="202" t="str">
        <f>IFERROR(__xludf.DUMMYFUNCTION("""COMPUTED_VALUE"""),"Scene x2 – Free Action")</f>
        <v>Scene x2 – Free Action</v>
      </c>
      <c r="D251" s="202" t="str">
        <f>IFERROR(__xludf.DUMMYFUNCTION("""COMPUTED_VALUE"""),"Trigger: Your Pokémon hits an adjacent enemy with a Ghost Type Attack
Effect: Choose a Stat. After Damage Calculations (If any), the triggering enemy loses a Tick of Hit Points and a Combat Stage in that Stat. Your Pokémon gains 1 Combat Stage in the chos"&amp;"en Stat, and a Tick of Temporary Hit Points. If the Triggering Attack was a Critical Hit or the Weather is Foggy, this Feature’s Frequency isn’t expended.")</f>
        <v>Trigger: Your Pokémon hits an adjacent enemy with a Ghost Type Attack
Effect: Choose a Stat. After Damage Calculations (If any), the triggering enemy loses a Tick of Hit Points and a Combat Stage in that Stat. Your Pokémon gains 1 Combat Stage in the chosen Stat, and a Tick of Temporary Hit Points. If the Triggering Attack was a Critical Hit or the Weather is Foggy, this Feature’s Frequency isn’t expended.</v>
      </c>
      <c r="E251" s="203"/>
      <c r="F251" s="204"/>
      <c r="G251" s="204"/>
      <c r="H251" s="204"/>
      <c r="I251" s="204"/>
      <c r="J251" s="203"/>
      <c r="K251" s="205"/>
      <c r="L251" s="205"/>
      <c r="M251" s="205"/>
    </row>
    <row r="252">
      <c r="A252" s="202" t="str">
        <f>IFERROR(__xludf.DUMMYFUNCTION("""COMPUTED_VALUE"""),"Cursed Malediction")</f>
        <v>Cursed Malediction</v>
      </c>
      <c r="B252" s="202" t="str">
        <f>IFERROR(__xludf.DUMMYFUNCTION("""COMPUTED_VALUE"""),"Ghost Specialist, Intimidate, Occult Edu or Poke Edu at Expert")</f>
        <v>Ghost Specialist, Intimidate, Occult Edu or Poke Edu at Expert</v>
      </c>
      <c r="C252" s="202" t="str">
        <f>IFERROR(__xludf.DUMMYFUNCTION("""COMPUTED_VALUE"""),"Scene x2 - Free Action")</f>
        <v>Scene x2 - Free Action</v>
      </c>
      <c r="D252" s="202" t="str">
        <f>IFERROR(__xludf.DUMMYFUNCTION("""COMPUTED_VALUE"""),"Trigger: Your Pokemon is hit by an Attack
Effect: After Damage Calculations, you may spend any of your Curse Tokens and apply its conditions to the Triggering Enemy. If the Triggering Enemy has a Status Affliction, they have a -4 Penalty to their next Sav"&amp;"e Check.
Bonus: Whenever an Enemy fails a Save Check, you gain a Curse Token. You can only gain up to two per Round this way.")</f>
        <v>Trigger: Your Pokemon is hit by an Attack
Effect: After Damage Calculations, you may spend any of your Curse Tokens and apply its conditions to the Triggering Enemy. If the Triggering Enemy has a Status Affliction, they have a -4 Penalty to their next Save Check.
Bonus: Whenever an Enemy fails a Save Check, you gain a Curse Token. You can only gain up to two per Round this way.</v>
      </c>
      <c r="E252" s="203"/>
      <c r="F252" s="204"/>
      <c r="G252" s="204"/>
      <c r="H252" s="204"/>
      <c r="I252" s="204"/>
      <c r="J252" s="203"/>
      <c r="K252" s="205"/>
      <c r="L252" s="205"/>
      <c r="M252" s="205"/>
    </row>
    <row r="253">
      <c r="A253" s="202" t="str">
        <f>IFERROR(__xludf.DUMMYFUNCTION("""COMPUTED_VALUE"""),"Spectral Surprise")</f>
        <v>Spectral Surprise</v>
      </c>
      <c r="B253" s="202" t="str">
        <f>IFERROR(__xludf.DUMMYFUNCTION("""COMPUTED_VALUE"""),"Ghost Specialist, 3 Ghost Specialist Features, Intimidate, Occult Edu or Poke Edu at Master")</f>
        <v>Ghost Specialist, 3 Ghost Specialist Features, Intimidate, Occult Edu or Poke Edu at Master</v>
      </c>
      <c r="C253" s="202" t="str">
        <f>IFERROR(__xludf.DUMMYFUNCTION("""COMPUTED_VALUE"""),"Scene x2 - Free Action")</f>
        <v>Scene x2 - Free Action</v>
      </c>
      <c r="D253" s="202" t="str">
        <f>IFERROR(__xludf.DUMMYFUNCTION("""COMPUTED_VALUE"""),"Trigger: Your Pokemon use a Ghost Type Attack
Effect: The Triggering Attack gains the Smite Keyword. After the Triggering Attack is resolved, they may spend any of their Curse Tokens and apply its conditions to any targets of the Triggering Attack as a Fr"&amp;"ee Action.")</f>
        <v>Trigger: Your Pokemon use a Ghost Type Attack
Effect: The Triggering Attack gains the Smite Keyword. After the Triggering Attack is resolved, they may spend any of their Curse Tokens and apply its conditions to any targets of the Triggering Attack as a Free Action.</v>
      </c>
      <c r="E253" s="203"/>
      <c r="F253" s="204"/>
      <c r="G253" s="204"/>
      <c r="H253" s="204"/>
      <c r="I253" s="204"/>
      <c r="J253" s="203"/>
      <c r="K253" s="205"/>
      <c r="L253" s="205"/>
      <c r="M253" s="205"/>
    </row>
    <row r="254">
      <c r="A254" s="202" t="str">
        <f>IFERROR(__xludf.DUMMYFUNCTION("""COMPUTED_VALUE"""),"Grass Specialist")</f>
        <v>Grass Specialist</v>
      </c>
      <c r="B254" s="202" t="str">
        <f>IFERROR(__xludf.DUMMYFUNCTION("""COMPUTED_VALUE"""),"Prerequisite 1: Type Specialist (Grass as your chosen Type) [or]
Prerequisite 2: Gen Edu, Nature Edu or Poke Edu at Adept")</f>
        <v>Prerequisite 1: Type Specialist (Grass as your chosen Type) [or]
Prerequisite 2: Gen Edu, Nature Edu or Poke Edu at Adept</v>
      </c>
      <c r="C254" s="202" t="str">
        <f>IFERROR(__xludf.DUMMYFUNCTION("""COMPUTED_VALUE"""),"At-Will - Extended Action")</f>
        <v>At-Will - Extended Action</v>
      </c>
      <c r="D254" s="202" t="str">
        <f>IFERROR(__xludf.DUMMYFUNCTION("""COMPUTED_VALUE"""),"Target: Your Trained Pokemon and a Grass Type Status Attack on their Battle or Known Attack List
Trigger: You use a Downtime Action to Train your Pokemon
Effect: The Targeted Attack no longer takes an Attack Slot and is always on their Battle Attack List."&amp;" A Pokemon can only have one Attack affected by this Feature at a time; if a new Attack is chosen for the Targeted Pokemon, the previous one loses this Effect.")</f>
        <v>Target: Your Trained Pokemon and a Grass Type Status Attack on their Battle or Known Attack List
Trigger: You use a Downtime Action to Train your Pokemon
Effect: The Targeted Attack no longer takes an Attack Slot and is always on their Battle Attack List. A Pokemon can only have one Attack affected by this Feature at a time; if a new Attack is chosen for the Targeted Pokemon, the previous one loses this Effect.</v>
      </c>
      <c r="E254" s="203"/>
      <c r="F254" s="204"/>
      <c r="G254" s="204"/>
      <c r="H254" s="204"/>
      <c r="I254" s="204"/>
      <c r="J254" s="203"/>
      <c r="K254" s="205"/>
      <c r="L254" s="205"/>
      <c r="M254" s="205"/>
    </row>
    <row r="255">
      <c r="A255" s="202" t="str">
        <f>IFERROR(__xludf.DUMMYFUNCTION("""COMPUTED_VALUE"""),"Floral Embodiment")</f>
        <v>Floral Embodiment</v>
      </c>
      <c r="B255" s="202" t="str">
        <f>IFERROR(__xludf.DUMMYFUNCTION("""COMPUTED_VALUE"""),"Grass Specialist, Gen Edu, Nature Edu or Poke Edu at Novice")</f>
        <v>Grass Specialist, Gen Edu, Nature Edu or Poke Edu at Novice</v>
      </c>
      <c r="C255" s="202" t="str">
        <f>IFERROR(__xludf.DUMMYFUNCTION("""COMPUTED_VALUE"""),"At-Will - Extended Action ")</f>
        <v>At-Will - Extended Action </v>
      </c>
      <c r="D255" s="202" t="str">
        <f>IFERROR(__xludf.DUMMYFUNCTION("""COMPUTED_VALUE"""),"Trigger: You use the Training Downtime Action on your Grass Type Pokémon 
Effect: They gain either the Flower Power or Flower Veil Ability. A Pokemon can only have one Ability gained this way at a time. ")</f>
        <v>Trigger: You use the Training Downtime Action on your Grass Type Pokémon 
Effect: They gain either the Flower Power or Flower Veil Ability. A Pokemon can only have one Ability gained this way at a time. </v>
      </c>
      <c r="E255" s="203"/>
      <c r="F255" s="204"/>
      <c r="G255" s="204"/>
      <c r="H255" s="204"/>
      <c r="I255" s="204"/>
      <c r="J255" s="203"/>
      <c r="K255" s="205"/>
      <c r="L255" s="205"/>
      <c r="M255" s="205"/>
    </row>
    <row r="256">
      <c r="A256" s="202" t="str">
        <f>IFERROR(__xludf.DUMMYFUNCTION("""COMPUTED_VALUE"""),"Photosynthesize")</f>
        <v>Photosynthesize</v>
      </c>
      <c r="B256" s="202" t="str">
        <f>IFERROR(__xludf.DUMMYFUNCTION("""COMPUTED_VALUE"""),"Grass Specialist, Gen Edu, Nature Edu or Poke Edu at Adept")</f>
        <v>Grass Specialist, Gen Edu, Nature Edu or Poke Edu at Adept</v>
      </c>
      <c r="C256" s="202" t="str">
        <f>IFERROR(__xludf.DUMMYFUNCTION("""COMPUTED_VALUE"""),"Scene x2 - Free Action")</f>
        <v>Scene x2 - Free Action</v>
      </c>
      <c r="D256" s="202" t="str">
        <f>IFERROR(__xludf.DUMMYFUNCTION("""COMPUTED_VALUE"""),"Trigger: Your Grass Type Pokemon end their Turn without using a Damaging Attack or in Sunny Weather
Effect: Choose an Effect to apply:
» The user restores two Ticks of Hit Points.
» The user gains a Tick of Temporary Hit Points.
» The user is cured of a "&amp;"Status Affliction.")</f>
        <v>Trigger: Your Grass Type Pokemon end their Turn without using a Damaging Attack or in Sunny Weather
Effect: Choose an Effect to apply:
» The user restores two Ticks of Hit Points.
» The user gains a Tick of Temporary Hit Points.
» The user is cured of a Status Affliction.</v>
      </c>
      <c r="E256" s="203"/>
      <c r="F256" s="204"/>
      <c r="G256" s="204"/>
      <c r="H256" s="204"/>
      <c r="I256" s="204"/>
      <c r="J256" s="203"/>
      <c r="K256" s="205"/>
      <c r="L256" s="205"/>
      <c r="M256" s="205"/>
    </row>
    <row r="257">
      <c r="A257" s="202" t="str">
        <f>IFERROR(__xludf.DUMMYFUNCTION("""COMPUTED_VALUE"""),"Enduring Bloom")</f>
        <v>Enduring Bloom</v>
      </c>
      <c r="B257" s="202" t="str">
        <f>IFERROR(__xludf.DUMMYFUNCTION("""COMPUTED_VALUE"""),"Grass Specialist, Gen Edu, Nature Edu or Poke Edu at Expert")</f>
        <v>Grass Specialist, Gen Edu, Nature Edu or Poke Edu at Expert</v>
      </c>
      <c r="C257" s="202" t="str">
        <f>IFERROR(__xludf.DUMMYFUNCTION("""COMPUTED_VALUE"""),"Scene x2 - Free Action")</f>
        <v>Scene x2 - Free Action</v>
      </c>
      <c r="D257" s="202" t="str">
        <f>IFERROR(__xludf.DUMMYFUNCTION("""COMPUTED_VALUE"""),"Trigger: Your Grass Type Pokemon is dealt Super Effective Damage
Effect: The Grass Type Pokemon gains a Tick of Temporary Hit Points and gains +1 CS in a Stat of your choice. If the Weather is Sunny, they also resist the triggering Attack by an additional"&amp;" damage step. A Pokemon may only be affected by this Feature once per Scene.")</f>
        <v>Trigger: Your Grass Type Pokemon is dealt Super Effective Damage
Effect: The Grass Type Pokemon gains a Tick of Temporary Hit Points and gains +1 CS in a Stat of your choice. If the Weather is Sunny, they also resist the triggering Attack by an additional damage step. A Pokemon may only be affected by this Feature once per Scene.</v>
      </c>
      <c r="E257" s="203"/>
      <c r="F257" s="204"/>
      <c r="G257" s="204"/>
      <c r="H257" s="204"/>
      <c r="I257" s="204"/>
      <c r="J257" s="203"/>
      <c r="K257" s="205"/>
      <c r="L257" s="205"/>
      <c r="M257" s="205"/>
    </row>
    <row r="258">
      <c r="A258" s="202" t="str">
        <f>IFERROR(__xludf.DUMMYFUNCTION("""COMPUTED_VALUE"""),"Cross Pollination")</f>
        <v>Cross Pollination</v>
      </c>
      <c r="B258" s="202" t="str">
        <f>IFERROR(__xludf.DUMMYFUNCTION("""COMPUTED_VALUE"""),"Grass Specialist, 3 Grass Specialist Features, Gen Edu, Nature Edu or Poke Edu at Master")</f>
        <v>Grass Specialist, 3 Grass Specialist Features, Gen Edu, Nature Edu or Poke Edu at Master</v>
      </c>
      <c r="C258" s="202" t="str">
        <f>IFERROR(__xludf.DUMMYFUNCTION("""COMPUTED_VALUE"""),"Scene - Free Action")</f>
        <v>Scene - Free Action</v>
      </c>
      <c r="D258" s="202" t="str">
        <f>IFERROR(__xludf.DUMMYFUNCTION("""COMPUTED_VALUE"""),"Trigger: Your Pokemon hit a Damaging Grass Type Attack as a Standard Action
Effect: The Effect of the Triggering Attack is replaced with the Effect of a Naturally Grass Type Status Attack on the user’s Battle Attack List.")</f>
        <v>Trigger: Your Pokemon hit a Damaging Grass Type Attack as a Standard Action
Effect: The Effect of the Triggering Attack is replaced with the Effect of a Naturally Grass Type Status Attack on the user’s Battle Attack List.</v>
      </c>
      <c r="E258" s="203"/>
      <c r="F258" s="204"/>
      <c r="G258" s="204"/>
      <c r="H258" s="204"/>
      <c r="I258" s="204"/>
      <c r="J258" s="203"/>
      <c r="K258" s="205"/>
      <c r="L258" s="205"/>
      <c r="M258" s="205"/>
    </row>
    <row r="259">
      <c r="A259" s="202" t="str">
        <f>IFERROR(__xludf.DUMMYFUNCTION("""COMPUTED_VALUE"""),"Ground Specialist")</f>
        <v>Ground Specialist</v>
      </c>
      <c r="B259" s="202" t="str">
        <f>IFERROR(__xludf.DUMMYFUNCTION("""COMPUTED_VALUE"""),"Prerequisite 1: Type Specialist (Ground as your chosen Type) [or]
Prerequisite 2: Intuition, Perception or Poke Edu at Adept")</f>
        <v>Prerequisite 1: Type Specialist (Ground as your chosen Type) [or]
Prerequisite 2: Intuition, Perception or Poke Edu at Adept</v>
      </c>
      <c r="C259" s="202" t="str">
        <f>IFERROR(__xludf.DUMMYFUNCTION("""COMPUTED_VALUE"""),"At-Will - Free Action")</f>
        <v>At-Will - Free Action</v>
      </c>
      <c r="D259" s="202" t="str">
        <f>IFERROR(__xludf.DUMMYFUNCTION("""COMPUTED_VALUE"""),"Trigger: Your Pokemon use a Ground Type Attack
Effect: After the Attack’s resolution, create a 3x3 Zone that includes one Target of the Triggering Attack. Spike Hazards are created in Spaces in this Zone. If the Triggering Pokemon has the Groundshaper Cap"&amp;"ability, they may use it on any number of spaces in this zone as a Free Action.")</f>
        <v>Trigger: Your Pokemon use a Ground Type Attack
Effect: After the Attack’s resolution, create a 3x3 Zone that includes one Target of the Triggering Attack. Spike Hazards are created in Spaces in this Zone. If the Triggering Pokemon has the Groundshaper Capability, they may use it on any number of spaces in this zone as a Free Action.</v>
      </c>
      <c r="E259" s="203"/>
      <c r="F259" s="204"/>
      <c r="G259" s="204"/>
      <c r="H259" s="204"/>
      <c r="I259" s="204"/>
      <c r="J259" s="203"/>
      <c r="K259" s="205"/>
      <c r="L259" s="205"/>
      <c r="M259" s="205"/>
    </row>
    <row r="260">
      <c r="A260" s="202" t="str">
        <f>IFERROR(__xludf.DUMMYFUNCTION("""COMPUTED_VALUE"""),"Embedded Thorns")</f>
        <v>Embedded Thorns</v>
      </c>
      <c r="B260" s="202" t="str">
        <f>IFERROR(__xludf.DUMMYFUNCTION("""COMPUTED_VALUE"""),"Ground Specialist, Intuition, Perception or Poke Edu at Novice")</f>
        <v>Ground Specialist, Intuition, Perception or Poke Edu at Novice</v>
      </c>
      <c r="C260" s="202" t="str">
        <f>IFERROR(__xludf.DUMMYFUNCTION("""COMPUTED_VALUE"""),"Static")</f>
        <v>Static</v>
      </c>
      <c r="D260" s="202" t="str">
        <f>IFERROR(__xludf.DUMMYFUNCTION("""COMPUTED_VALUE"""),"Effect: When Enemies Trigger Spike Hazards that are created by you or your Pokemon they gain an Embedded Coat. Whenever an Enemy with an Embedded Coat uses a Movement Action for anything other than removing the Embedded Coat, they lose a Tick of Hit Point"&amp;"s and cannot gain Hit Points or Temporary Hit points until the end of the next Round. The Embedded Coat may be expended as a Movement Action")</f>
        <v>Effect: When Enemies Trigger Spike Hazards that are created by you or your Pokemon they gain an Embedded Coat. Whenever an Enemy with an Embedded Coat uses a Movement Action for anything other than removing the Embedded Coat, they lose a Tick of Hit Points and cannot gain Hit Points or Temporary Hit points until the end of the next Round. The Embedded Coat may be expended as a Movement Action</v>
      </c>
      <c r="E260" s="203"/>
      <c r="F260" s="204"/>
      <c r="G260" s="204"/>
      <c r="H260" s="204"/>
      <c r="I260" s="204"/>
      <c r="J260" s="203"/>
      <c r="K260" s="205"/>
      <c r="L260" s="205"/>
      <c r="M260" s="205"/>
    </row>
    <row r="261">
      <c r="A261" s="202" t="str">
        <f>IFERROR(__xludf.DUMMYFUNCTION("""COMPUTED_VALUE"""),"Upheaval")</f>
        <v>Upheaval</v>
      </c>
      <c r="B261" s="202" t="str">
        <f>IFERROR(__xludf.DUMMYFUNCTION("""COMPUTED_VALUE"""),"Ground Specialist, Intuition, Perception or Poke Eduat Adept")</f>
        <v>Ground Specialist, Intuition, Perception or Poke Eduat Adept</v>
      </c>
      <c r="C261" s="202" t="str">
        <f>IFERROR(__xludf.DUMMYFUNCTION("""COMPUTED_VALUE"""),"Scene x2 - Free Action")</f>
        <v>Scene x2 - Free Action</v>
      </c>
      <c r="D261" s="202" t="str">
        <f>IFERROR(__xludf.DUMMYFUNCTION("""COMPUTED_VALUE"""),"Trigger: Your Pokemon use a Ground Type Attack or an Attack with the Groundsource Keyword
Effect: After the Accuracy Roll and before determining if it hit or not, one Target of the Triggering Attack must make an Acrobatics Check with a Standard CR (2) or "&amp;"else they become Tripped. If the Triggering Attacks’ Natural Accuracy Roll was a 15+, the Skill Check becomes a Tough CR (3) instead. If the Triggering Pokemon is Tier 3, increase the Challenge Rating by +1. ")</f>
        <v>Trigger: Your Pokemon use a Ground Type Attack or an Attack with the Groundsource Keyword
Effect: After the Accuracy Roll and before determining if it hit or not, one Target of the Triggering Attack must make an Acrobatics Check with a Standard CR (2) or else they become Tripped. If the Triggering Attacks’ Natural Accuracy Roll was a 15+, the Skill Check becomes a Tough CR (3) instead. If the Triggering Pokemon is Tier 3, increase the Challenge Rating by +1. </v>
      </c>
      <c r="E261" s="203"/>
      <c r="F261" s="204"/>
      <c r="G261" s="204"/>
      <c r="H261" s="204"/>
      <c r="I261" s="204"/>
      <c r="J261" s="203"/>
      <c r="K261" s="205"/>
      <c r="L261" s="205"/>
      <c r="M261" s="205"/>
    </row>
    <row r="262">
      <c r="A262" s="202" t="str">
        <f>IFERROR(__xludf.DUMMYFUNCTION("""COMPUTED_VALUE"""),"Seismic Warning")</f>
        <v>Seismic Warning</v>
      </c>
      <c r="B262" s="202" t="str">
        <f>IFERROR(__xludf.DUMMYFUNCTION("""COMPUTED_VALUE"""),"Ground Specialist, Intuition, Perception or Poke Edu at Expert")</f>
        <v>Ground Specialist, Intuition, Perception or Poke Edu at Expert</v>
      </c>
      <c r="C262" s="202" t="str">
        <f>IFERROR(__xludf.DUMMYFUNCTION("""COMPUTED_VALUE"""),"At-Will - Special")</f>
        <v>At-Will - Special</v>
      </c>
      <c r="D262" s="202" t="str">
        <f>IFERROR(__xludf.DUMMYFUNCTION("""COMPUTED_VALUE"""),"Effect: Your Pokemon may use a Swift Action to create a 3x3 Zone on the Field within 5m of them, then choose a Naturally Ground Type non-Field Attack on their Battle Attack List. At the end of the next Round, the Attack is used as a Free Action (Following"&amp;" Frequency) with its Range being all spaces within that Zone. If the Attack is Damaging, it is resisted by an additional Damage Step.")</f>
        <v>Effect: Your Pokemon may use a Swift Action to create a 3x3 Zone on the Field within 5m of them, then choose a Naturally Ground Type non-Field Attack on their Battle Attack List. At the end of the next Round, the Attack is used as a Free Action (Following Frequency) with its Range being all spaces within that Zone. If the Attack is Damaging, it is resisted by an additional Damage Step.</v>
      </c>
      <c r="E262" s="203"/>
      <c r="F262" s="204"/>
      <c r="G262" s="204"/>
      <c r="H262" s="204"/>
      <c r="I262" s="204"/>
      <c r="J262" s="203"/>
      <c r="K262" s="205"/>
      <c r="L262" s="205"/>
      <c r="M262" s="205"/>
    </row>
    <row r="263">
      <c r="A263" s="202" t="str">
        <f>IFERROR(__xludf.DUMMYFUNCTION("""COMPUTED_VALUE"""),"Unraveled Earth")</f>
        <v>Unraveled Earth</v>
      </c>
      <c r="B263" s="202" t="str">
        <f>IFERROR(__xludf.DUMMYFUNCTION("""COMPUTED_VALUE"""),"Ground Specialist, 3 Ground Specialist Features, Intuition, Perception or Poke Edu at Master")</f>
        <v>Ground Specialist, 3 Ground Specialist Features, Intuition, Perception or Poke Edu at Master</v>
      </c>
      <c r="C263" s="202" t="str">
        <f>IFERROR(__xludf.DUMMYFUNCTION("""COMPUTED_VALUE"""),"Scene x2 - Free Action")</f>
        <v>Scene x2 - Free Action</v>
      </c>
      <c r="D263" s="202" t="str">
        <f>IFERROR(__xludf.DUMMYFUNCTION("""COMPUTED_VALUE"""),"Trigger: Your Pokemon use a Ground Type Attack or an Attack with the Groundsource Keyword
Effect: The Triggering Attack must be used as a Full Action instead of its former Action cost in order to Trigger this Feature. The Range of the Triggering Attack is"&amp;" changed to Burst 3 and gains the Friendly and Smite Keyword. If any Target would be Immune to Ground Type or Groundsource Attacks, it is instead treated as Neutral Effectiveness. A Pokemon can only Trigger this Feature once per Scene. ")</f>
        <v>Trigger: Your Pokemon use a Ground Type Attack or an Attack with the Groundsource Keyword
Effect: The Triggering Attack must be used as a Full Action instead of its former Action cost in order to Trigger this Feature. The Range of the Triggering Attack is changed to Burst 3 and gains the Friendly and Smite Keyword. If any Target would be Immune to Ground Type or Groundsource Attacks, it is instead treated as Neutral Effectiveness. A Pokemon can only Trigger this Feature once per Scene. </v>
      </c>
      <c r="E263" s="203"/>
      <c r="F263" s="204"/>
      <c r="G263" s="204"/>
      <c r="H263" s="204"/>
      <c r="I263" s="204"/>
      <c r="J263" s="203"/>
      <c r="K263" s="205"/>
      <c r="L263" s="205"/>
      <c r="M263" s="205"/>
    </row>
    <row r="264">
      <c r="A264" s="202" t="str">
        <f>IFERROR(__xludf.DUMMYFUNCTION("""COMPUTED_VALUE"""),"Ice Specialist")</f>
        <v>Ice Specialist</v>
      </c>
      <c r="B264" s="202" t="str">
        <f>IFERROR(__xludf.DUMMYFUNCTION("""COMPUTED_VALUE"""),"Prerequisite 1: Type Specialist (Ice as your chosen Type) [or]
Prerequisite 2: Athletics, Nature Edu or Poke Edu at Adept")</f>
        <v>Prerequisite 1: Type Specialist (Ice as your chosen Type) [or]
Prerequisite 2: Athletics, Nature Edu or Poke Edu at Adept</v>
      </c>
      <c r="C264" s="202" t="str">
        <f>IFERROR(__xludf.DUMMYFUNCTION("""COMPUTED_VALUE"""),"Static")</f>
        <v>Static</v>
      </c>
      <c r="D264" s="202" t="str">
        <f>IFERROR(__xludf.DUMMYFUNCTION("""COMPUTED_VALUE"""),"Effect: Your Pokemon’s Ice Type Attacks inflict the Chilled Affliction on an 18+ or increase existing Chilled Effect Ranges by +2. Whenever your Pokemon would cause a Chilled Pokemon to become Chilled again, they gain a Permafrost Coat. Whenever an Enemy "&amp;"with a Permafrost Coat is hit by a Damaging Attack, it automatically becomes a Critical hit, then the Coat is expended. ")</f>
        <v>Effect: Your Pokemon’s Ice Type Attacks inflict the Chilled Affliction on an 18+ or increase existing Chilled Effect Ranges by +2. Whenever your Pokemon would cause a Chilled Pokemon to become Chilled again, they gain a Permafrost Coat. Whenever an Enemy with a Permafrost Coat is hit by a Damaging Attack, it automatically becomes a Critical hit, then the Coat is expended. </v>
      </c>
      <c r="E264" s="203"/>
      <c r="F264" s="204"/>
      <c r="G264" s="204"/>
      <c r="H264" s="204"/>
      <c r="I264" s="204"/>
      <c r="J264" s="203"/>
      <c r="K264" s="205"/>
      <c r="L264" s="205"/>
      <c r="M264" s="205"/>
    </row>
    <row r="265">
      <c r="A265" s="202" t="str">
        <f>IFERROR(__xludf.DUMMYFUNCTION("""COMPUTED_VALUE"""),"Glacial Body")</f>
        <v>Glacial Body</v>
      </c>
      <c r="B265" s="202" t="str">
        <f>IFERROR(__xludf.DUMMYFUNCTION("""COMPUTED_VALUE"""),"Ice Specialist, Athletics, Nature Edu or Poke Edu at Novice")</f>
        <v>Ice Specialist, Athletics, Nature Edu or Poke Edu at Novice</v>
      </c>
      <c r="C265" s="202" t="str">
        <f>IFERROR(__xludf.DUMMYFUNCTION("""COMPUTED_VALUE"""),"Scene x2 - Free Action")</f>
        <v>Scene x2 - Free Action</v>
      </c>
      <c r="D265" s="202" t="str">
        <f>IFERROR(__xludf.DUMMYFUNCTION("""COMPUTED_VALUE"""),"Trigger: Your Ice Type Pokemon are hit by a Damaging Attack
Effect: The Ice Type Pokemon gains Damage Reduction against the Triggering Attack equal to their Tick Value. If the Weather is Snowy and the Triggering Attack is Super Effective, it is resisted b"&amp;"y an additional damage step as well.")</f>
        <v>Trigger: Your Ice Type Pokemon are hit by a Damaging Attack
Effect: The Ice Type Pokemon gains Damage Reduction against the Triggering Attack equal to their Tick Value. If the Weather is Snowy and the Triggering Attack is Super Effective, it is resisted by an additional damage step as well.</v>
      </c>
      <c r="E265" s="203"/>
      <c r="F265" s="204"/>
      <c r="G265" s="204"/>
      <c r="H265" s="204"/>
      <c r="I265" s="204"/>
      <c r="J265" s="203"/>
      <c r="K265" s="205"/>
      <c r="L265" s="205"/>
      <c r="M265" s="205"/>
    </row>
    <row r="266">
      <c r="A266" s="202" t="str">
        <f>IFERROR(__xludf.DUMMYFUNCTION("""COMPUTED_VALUE"""),"Frozen Solid")</f>
        <v>Frozen Solid</v>
      </c>
      <c r="B266" s="202" t="str">
        <f>IFERROR(__xludf.DUMMYFUNCTION("""COMPUTED_VALUE"""),"Ice Specialist, Athletics, Nature Edu or Poke Edu at Adept")</f>
        <v>Ice Specialist, Athletics, Nature Edu or Poke Edu at Adept</v>
      </c>
      <c r="C266" s="202" t="str">
        <f>IFERROR(__xludf.DUMMYFUNCTION("""COMPUTED_VALUE"""),"Scene x2 - Free Action")</f>
        <v>Scene x2 - Free Action</v>
      </c>
      <c r="D266" s="202" t="str">
        <f>IFERROR(__xludf.DUMMYFUNCTION("""COMPUTED_VALUE"""),"Trigger: Your Pokemon would apply a Permafrost Coat
Effect: Instead of having the Coat apply to them, they lose their next Standard Action and become Slowed. An enemy can only be affected this way once per Scene.
Bonus: Your Pokemon also apply a Permafr"&amp;"ost coat when they cause an Enemy to become Chilled if they are Vulnerable or Weakened. ")</f>
        <v>Trigger: Your Pokemon would apply a Permafrost Coat
Effect: Instead of having the Coat apply to them, they lose their next Standard Action and become Slowed. An enemy can only be affected this way once per Scene.
Bonus: Your Pokemon also apply a Permafrost coat when they cause an Enemy to become Chilled if they are Vulnerable or Weakened. </v>
      </c>
      <c r="E266" s="203"/>
      <c r="F266" s="204"/>
      <c r="G266" s="204"/>
      <c r="H266" s="204"/>
      <c r="I266" s="204"/>
      <c r="J266" s="203"/>
      <c r="K266" s="205"/>
      <c r="L266" s="205"/>
      <c r="M266" s="205"/>
    </row>
    <row r="267">
      <c r="A267" s="202" t="str">
        <f>IFERROR(__xludf.DUMMYFUNCTION("""COMPUTED_VALUE"""),"Arctic Zeal")</f>
        <v>Arctic Zeal</v>
      </c>
      <c r="B267" s="202" t="str">
        <f>IFERROR(__xludf.DUMMYFUNCTION("""COMPUTED_VALUE"""),"Ice Specialist, Athletics, Nature Edu or Poke Edu at Expert")</f>
        <v>Ice Specialist, Athletics, Nature Edu or Poke Edu at Expert</v>
      </c>
      <c r="C267" s="202" t="str">
        <f>IFERROR(__xludf.DUMMYFUNCTION("""COMPUTED_VALUE"""),"Scene x2 - Free Action")</f>
        <v>Scene x2 - Free Action</v>
      </c>
      <c r="D267" s="202" t="str">
        <f>IFERROR(__xludf.DUMMYFUNCTION("""COMPUTED_VALUE"""),"Trigger: Your Pokemon use with an Ice Type Attack as a Standard Action
Effect: Choose one of the Effects to apply:
» All Targets of the Triggering Attack lose -2 CS in a Stat of your Choice (Choose for each)
» You may use an Ice Type Blessing Attack with"&amp;" its Versatile Effect as a Free Action, ignoring Frequency
» If the Weather is Snowy, gain +1 CS in a Stat of your choice")</f>
        <v>Trigger: Your Pokemon use with an Ice Type Attack as a Standard Action
Effect: Choose one of the Effects to apply:
» All Targets of the Triggering Attack lose -2 CS in a Stat of your Choice (Choose for each)
» You may use an Ice Type Blessing Attack with its Versatile Effect as a Free Action, ignoring Frequency
» If the Weather is Snowy, gain +1 CS in a Stat of your choice</v>
      </c>
      <c r="E267" s="203"/>
      <c r="F267" s="204"/>
      <c r="G267" s="204"/>
      <c r="H267" s="204"/>
      <c r="I267" s="204"/>
      <c r="J267" s="203"/>
      <c r="K267" s="205"/>
      <c r="L267" s="205"/>
      <c r="M267" s="205"/>
    </row>
    <row r="268">
      <c r="A268" s="202" t="str">
        <f>IFERROR(__xludf.DUMMYFUNCTION("""COMPUTED_VALUE"""),"Deep Cold")</f>
        <v>Deep Cold</v>
      </c>
      <c r="B268" s="202" t="str">
        <f>IFERROR(__xludf.DUMMYFUNCTION("""COMPUTED_VALUE"""),"Ice Specialist, 3 Ice Specialist Features, Athletics, Nature Edu or Poke Edu at Master")</f>
        <v>Ice Specialist, 3 Ice Specialist Features, Athletics, Nature Edu or Poke Edu at Master</v>
      </c>
      <c r="C268" s="202" t="str">
        <f>IFERROR(__xludf.DUMMYFUNCTION("""COMPUTED_VALUE"""),"Scene - Swift Action")</f>
        <v>Scene - Swift Action</v>
      </c>
      <c r="D268" s="202" t="str">
        <f>IFERROR(__xludf.DUMMYFUNCTION("""COMPUTED_VALUE"""),"Trigger: Your Pokemon hit with an Ice Type Damaging Attack 
Effect: One Target of the Triggering Attack becomes Chilled, then choose a Stat of theirs to be set to -2 CS.")</f>
        <v>Trigger: Your Pokemon hit with an Ice Type Damaging Attack 
Effect: One Target of the Triggering Attack becomes Chilled, then choose a Stat of theirs to be set to -2 CS.</v>
      </c>
      <c r="E268" s="203"/>
      <c r="F268" s="204"/>
      <c r="G268" s="204"/>
      <c r="H268" s="204"/>
      <c r="I268" s="204"/>
      <c r="J268" s="203"/>
      <c r="K268" s="205"/>
      <c r="L268" s="205"/>
      <c r="M268" s="205"/>
    </row>
    <row r="269">
      <c r="A269" s="202" t="str">
        <f>IFERROR(__xludf.DUMMYFUNCTION("""COMPUTED_VALUE"""),"Normal Specialist")</f>
        <v>Normal Specialist</v>
      </c>
      <c r="B269" s="202" t="str">
        <f>IFERROR(__xludf.DUMMYFUNCTION("""COMPUTED_VALUE"""),"Prerequisite 1: Type Specialist (Normal as your chosen Type) [or]
Prerequisite 2: Charm, Intuition or Poke Edu at Adept")</f>
        <v>Prerequisite 1: Type Specialist (Normal as your chosen Type) [or]
Prerequisite 2: Charm, Intuition or Poke Edu at Adept</v>
      </c>
      <c r="C269" s="202" t="str">
        <f>IFERROR(__xludf.DUMMYFUNCTION("""COMPUTED_VALUE"""),"Static")</f>
        <v>Static</v>
      </c>
      <c r="D269" s="202" t="str">
        <f>IFERROR(__xludf.DUMMYFUNCTION("""COMPUTED_VALUE"""),"Effect: Your Pokemon’s Normal Type Attacks have a Damage Bonus equal to your Tier Value. Whenever your Pokemon use a Normal Type Attack as a Standard Action, they gain Damage Reduction equal to your Tier Value until the end of the next Round. Damage Reduc"&amp;"tion gained this way cannot stack with itself. ")</f>
        <v>Effect: Your Pokemon’s Normal Type Attacks have a Damage Bonus equal to your Tier Value. Whenever your Pokemon use a Normal Type Attack as a Standard Action, they gain Damage Reduction equal to your Tier Value until the end of the next Round. Damage Reduction gained this way cannot stack with itself. </v>
      </c>
      <c r="E269" s="203"/>
      <c r="F269" s="204"/>
      <c r="G269" s="204"/>
      <c r="H269" s="204"/>
      <c r="I269" s="204"/>
      <c r="J269" s="203"/>
      <c r="K269" s="205"/>
      <c r="L269" s="205"/>
      <c r="M269" s="205"/>
    </row>
    <row r="270">
      <c r="A270" s="202" t="str">
        <f>IFERROR(__xludf.DUMMYFUNCTION("""COMPUTED_VALUE"""),"Plainly Precise")</f>
        <v>Plainly Precise</v>
      </c>
      <c r="B270" s="202" t="str">
        <f>IFERROR(__xludf.DUMMYFUNCTION("""COMPUTED_VALUE"""),"Normal Specialist, Charm, Intuition or Poke Edu at Novice")</f>
        <v>Normal Specialist, Charm, Intuition or Poke Edu at Novice</v>
      </c>
      <c r="C270" s="202" t="str">
        <f>IFERROR(__xludf.DUMMYFUNCTION("""COMPUTED_VALUE"""),"Static")</f>
        <v>Static</v>
      </c>
      <c r="D270" s="202" t="str">
        <f>IFERROR(__xludf.DUMMYFUNCTION("""COMPUTED_VALUE"""),"Effect: Your Pokemon’s Normal Type Damaging Attacks have their Accuracy Roll performed twice, taking the higher result")</f>
        <v>Effect: Your Pokemon’s Normal Type Damaging Attacks have their Accuracy Roll performed twice, taking the higher result</v>
      </c>
      <c r="E270" s="203"/>
      <c r="F270" s="204"/>
      <c r="G270" s="204"/>
      <c r="H270" s="204"/>
      <c r="I270" s="204"/>
      <c r="J270" s="203"/>
      <c r="K270" s="205"/>
      <c r="L270" s="205"/>
      <c r="M270" s="205"/>
    </row>
    <row r="271">
      <c r="A271" s="202" t="str">
        <f>IFERROR(__xludf.DUMMYFUNCTION("""COMPUTED_VALUE"""),"Extra Ordinary")</f>
        <v>Extra Ordinary</v>
      </c>
      <c r="B271" s="202" t="str">
        <f>IFERROR(__xludf.DUMMYFUNCTION("""COMPUTED_VALUE"""),"Normal Specialist, Charm, Intuition or Poke Edu at Adept")</f>
        <v>Normal Specialist, Charm, Intuition or Poke Edu at Adept</v>
      </c>
      <c r="C271" s="202" t="str">
        <f>IFERROR(__xludf.DUMMYFUNCTION("""COMPUTED_VALUE"""),"At-Will - Special")</f>
        <v>At-Will - Special</v>
      </c>
      <c r="D271" s="202" t="str">
        <f>IFERROR(__xludf.DUMMYFUNCTION("""COMPUTED_VALUE"""),"Trigger: Your Pokemon resolve a Normal Type Attack
Effect: The Triggering Pokemon must use a Swift Action to activate this Feature. The Triggering Pokemon either gains +1 CS in a Stat of their choice or a +2 Modifier to any of the following Combat Values "&amp;"for the rest of the Scene.
» Accuracy, Effect Range, Critical Hit, Evasion, Save Checks")</f>
        <v>Trigger: Your Pokemon resolve a Normal Type Attack
Effect: The Triggering Pokemon must use a Swift Action to activate this Feature. The Triggering Pokemon either gains +1 CS in a Stat of their choice or a +2 Modifier to any of the following Combat Values for the rest of the Scene.
» Accuracy, Effect Range, Critical Hit, Evasion, Save Checks</v>
      </c>
      <c r="E271" s="203"/>
      <c r="F271" s="204"/>
      <c r="G271" s="204"/>
      <c r="H271" s="204"/>
      <c r="I271" s="204"/>
      <c r="J271" s="203"/>
      <c r="K271" s="205"/>
      <c r="L271" s="205"/>
      <c r="M271" s="205"/>
    </row>
    <row r="272">
      <c r="A272" s="202" t="str">
        <f>IFERROR(__xludf.DUMMYFUNCTION("""COMPUTED_VALUE"""),"Simple Minded")</f>
        <v>Simple Minded</v>
      </c>
      <c r="B272" s="202" t="str">
        <f>IFERROR(__xludf.DUMMYFUNCTION("""COMPUTED_VALUE"""),"Normal Specialist, Charm, Intuition or Poke Edu at Expert")</f>
        <v>Normal Specialist, Charm, Intuition or Poke Edu at Expert</v>
      </c>
      <c r="C272" s="202" t="str">
        <f>IFERROR(__xludf.DUMMYFUNCTION("""COMPUTED_VALUE"""),"Static")</f>
        <v>Static</v>
      </c>
      <c r="D272" s="202" t="str">
        <f>IFERROR(__xludf.DUMMYFUNCTION("""COMPUTED_VALUE"""),"Effect: Your Normal Type Pokemon gain the Simple Ability.")</f>
        <v>Effect: Your Normal Type Pokemon gain the Simple Ability.</v>
      </c>
      <c r="E272" s="203"/>
      <c r="F272" s="204"/>
      <c r="G272" s="204"/>
      <c r="H272" s="204"/>
      <c r="I272" s="204"/>
      <c r="J272" s="203"/>
      <c r="K272" s="205"/>
      <c r="L272" s="205"/>
      <c r="M272" s="205"/>
    </row>
    <row r="273">
      <c r="A273" s="202" t="str">
        <f>IFERROR(__xludf.DUMMYFUNCTION("""COMPUTED_VALUE"""),"Contagious Normality")</f>
        <v>Contagious Normality</v>
      </c>
      <c r="B273" s="202" t="str">
        <f>IFERROR(__xludf.DUMMYFUNCTION("""COMPUTED_VALUE"""),"Normal Specialist, 3 Normal Specialist Features, Charm, Intuition or Poke Edu at Master")</f>
        <v>Normal Specialist, 3 Normal Specialist Features, Charm, Intuition or Poke Edu at Master</v>
      </c>
      <c r="C273" s="202" t="str">
        <f>IFERROR(__xludf.DUMMYFUNCTION("""COMPUTED_VALUE"""),"Scene x2 - Free Action")</f>
        <v>Scene x2 - Free Action</v>
      </c>
      <c r="D273" s="202" t="str">
        <f>IFERROR(__xludf.DUMMYFUNCTION("""COMPUTED_VALUE"""),"Trigger: Your Pokemon hit an Enemy with a Normal Type Attack used as a Standard Action
Effect: Choose one of the Effects to apply to the Targets hit by the Triggering Attack. An Enemy can only be affected by Contagious Normality once per Scene: 
» The Ta"&amp;"rget’s next Damaging Attack cannot exceed Neutral Effectiveness
» The Target’s Abilities are disabled until the end of the next Round.
» The Target’s Combat Stages are set to +0 until the end of the next Round. After this duration, they revert to their or"&amp;"iginal value, overwriting any changes that may have occurred since this was inflicted.")</f>
        <v>Trigger: Your Pokemon hit an Enemy with a Normal Type Attack used as a Standard Action
Effect: Choose one of the Effects to apply to the Targets hit by the Triggering Attack. An Enemy can only be affected by Contagious Normality once per Scene: 
» The Target’s next Damaging Attack cannot exceed Neutral Effectiveness
» The Target’s Abilities are disabled until the end of the next Round.
» The Target’s Combat Stages are set to +0 until the end of the next Round. After this duration, they revert to their original value, overwriting any changes that may have occurred since this was inflicted.</v>
      </c>
      <c r="E273" s="203"/>
      <c r="F273" s="204"/>
      <c r="G273" s="204"/>
      <c r="H273" s="204"/>
      <c r="I273" s="204"/>
      <c r="J273" s="203"/>
      <c r="K273" s="205"/>
      <c r="L273" s="205"/>
      <c r="M273" s="205"/>
    </row>
    <row r="274">
      <c r="A274" s="202" t="str">
        <f>IFERROR(__xludf.DUMMYFUNCTION("""COMPUTED_VALUE"""),"Poison Specialist")</f>
        <v>Poison Specialist</v>
      </c>
      <c r="B274" s="202" t="str">
        <f>IFERROR(__xludf.DUMMYFUNCTION("""COMPUTED_VALUE"""),"Prerequisite 1: Type Specialist (Poison as your chosen Type) [or]
Prerequisite 2: Intimidate, Poke Edu or Stealth at Adept ")</f>
        <v>Prerequisite 1: Type Specialist (Poison as your chosen Type) [or]
Prerequisite 2: Intimidate, Poke Edu or Stealth at Adept </v>
      </c>
      <c r="C274" s="202" t="str">
        <f>IFERROR(__xludf.DUMMYFUNCTION("""COMPUTED_VALUE"""),"Static")</f>
        <v>Static</v>
      </c>
      <c r="D274" s="202" t="str">
        <f>IFERROR(__xludf.DUMMYFUNCTION("""COMPUTED_VALUE"""),"Effect: Your Pokemon’s Damaging Poison Type Attacks gain a 18+ Effect Range to cause their Targets to become Poisoned. If they already have a Poisoned Effect Range, it is increased by +2. Whenever a Hazard or your Pokemon Poison a Target that is already P"&amp;"oisoned, they gain +1 Venom Counter (Max 3). Whenever a Poisoned Combat with a Venom Counter would cure the Poisoned Affliction, they instead remove a Venom Counter.")</f>
        <v>Effect: Your Pokemon’s Damaging Poison Type Attacks gain a 18+ Effect Range to cause their Targets to become Poisoned. If they already have a Poisoned Effect Range, it is increased by +2. Whenever a Hazard or your Pokemon Poison a Target that is already Poisoned, they gain +1 Venom Counter (Max 3). Whenever a Poisoned Combat with a Venom Counter would cure the Poisoned Affliction, they instead remove a Venom Counter.</v>
      </c>
      <c r="E274" s="203"/>
      <c r="F274" s="204"/>
      <c r="G274" s="204"/>
      <c r="H274" s="204"/>
      <c r="I274" s="204"/>
      <c r="J274" s="203"/>
      <c r="K274" s="205"/>
      <c r="L274" s="205"/>
      <c r="M274" s="205"/>
    </row>
    <row r="275">
      <c r="A275" s="202" t="str">
        <f>IFERROR(__xludf.DUMMYFUNCTION("""COMPUTED_VALUE"""),"Miasma")</f>
        <v>Miasma</v>
      </c>
      <c r="B275" s="202" t="str">
        <f>IFERROR(__xludf.DUMMYFUNCTION("""COMPUTED_VALUE"""),"Poison Specialist, Intimidate, Poke Edu or Stealth at Novice")</f>
        <v>Poison Specialist, Intimidate, Poke Edu or Stealth at Novice</v>
      </c>
      <c r="C275" s="202" t="str">
        <f>IFERROR(__xludf.DUMMYFUNCTION("""COMPUTED_VALUE"""),"Scene x2 – Free Action")</f>
        <v>Scene x2 – Free Action</v>
      </c>
      <c r="D275" s="202" t="str">
        <f>IFERROR(__xludf.DUMMYFUNCTION("""COMPUTED_VALUE"""),"Trigger: Your Pokémon uses a Poison Type Attack
Effect: Gas Hazards are created in the spaces within the Range of this Attack. If the Triggering Attack had a single Target, it may instead create Gas Hazards in a Ranged Blast 3 centered around that target."&amp;" If the Triggering Attack missed, this Feature does not require a usage of its Frequency to be activated. Enemies that Trigger this Hazard become Poisoned.")</f>
        <v>Trigger: Your Pokémon uses a Poison Type Attack
Effect: Gas Hazards are created in the spaces within the Range of this Attack. If the Triggering Attack had a single Target, it may instead create Gas Hazards in a Ranged Blast 3 centered around that target. If the Triggering Attack missed, this Feature does not require a usage of its Frequency to be activated. Enemies that Trigger this Hazard become Poisoned.</v>
      </c>
      <c r="E275" s="203"/>
      <c r="F275" s="204"/>
      <c r="G275" s="204"/>
      <c r="H275" s="204"/>
      <c r="I275" s="204"/>
      <c r="J275" s="203"/>
      <c r="K275" s="205"/>
      <c r="L275" s="205"/>
      <c r="M275" s="205"/>
    </row>
    <row r="276">
      <c r="A276" s="202" t="str">
        <f>IFERROR(__xludf.DUMMYFUNCTION("""COMPUTED_VALUE"""),"Potent Venom")</f>
        <v>Potent Venom</v>
      </c>
      <c r="B276" s="202" t="str">
        <f>IFERROR(__xludf.DUMMYFUNCTION("""COMPUTED_VALUE"""),"Poison Specialist, Intimidate, Poke Edu or Stealth at Adept")</f>
        <v>Poison Specialist, Intimidate, Poke Edu or Stealth at Adept</v>
      </c>
      <c r="C276" s="202" t="str">
        <f>IFERROR(__xludf.DUMMYFUNCTION("""COMPUTED_VALUE"""),"At-Will - Free Action")</f>
        <v>At-Will - Free Action</v>
      </c>
      <c r="D276" s="202" t="str">
        <f>IFERROR(__xludf.DUMMYFUNCTION("""COMPUTED_VALUE"""),"Trigger: Your Pokemon Poison an Enemy or grant them a Venom Counter
Effect: If they became Poisoned, you may have any Stat become lowered by the effects of the Affliction, not just Special Defense. Additionally, the chosen Stat can’t be raised while they’"&amp;"re Poisoned. If they gained a Venom Counter, they lose -2 CS in a Stat of your Choice.
Bonus: Whenever Poisoned Enemies would lose Hit Points from the Poisoned Affliction, they lose an Additional Tick per Venom Counter they have.")</f>
        <v>Trigger: Your Pokemon Poison an Enemy or grant them a Venom Counter
Effect: If they became Poisoned, you may have any Stat become lowered by the effects of the Affliction, not just Special Defense. Additionally, the chosen Stat can’t be raised while they’re Poisoned. If they gained a Venom Counter, they lose -2 CS in a Stat of your Choice.
Bonus: Whenever Poisoned Enemies would lose Hit Points from the Poisoned Affliction, they lose an Additional Tick per Venom Counter they have.</v>
      </c>
      <c r="E276" s="203"/>
      <c r="F276" s="204"/>
      <c r="G276" s="204"/>
      <c r="H276" s="204"/>
      <c r="I276" s="204"/>
      <c r="J276" s="203"/>
      <c r="K276" s="205"/>
      <c r="L276" s="205"/>
      <c r="M276" s="205"/>
    </row>
    <row r="277">
      <c r="A277" s="202" t="str">
        <f>IFERROR(__xludf.DUMMYFUNCTION("""COMPUTED_VALUE"""),"Debilitate")</f>
        <v>Debilitate</v>
      </c>
      <c r="B277" s="202" t="str">
        <f>IFERROR(__xludf.DUMMYFUNCTION("""COMPUTED_VALUE"""),"Poison Specialist, Intimidate, Poke Edu or Stealth at Expert")</f>
        <v>Poison Specialist, Intimidate, Poke Edu or Stealth at Expert</v>
      </c>
      <c r="C277" s="202" t="str">
        <f>IFERROR(__xludf.DUMMYFUNCTION("""COMPUTED_VALUE"""),"Scene - Free Action")</f>
        <v>Scene - Free Action</v>
      </c>
      <c r="D277" s="202" t="str">
        <f>IFERROR(__xludf.DUMMYFUNCTION("""COMPUTED_VALUE"""),"Trigger: Your Pokemon would Poison an Enemy, Grant them a Venom Counter or land a Critical Hit with a Poison Type Attack.
Effect: They instead become Weakened or Vulnerable (Of your choice) until the end of the next Round. If the Trigger was a Critical Hi"&amp;"t, the Triggering Attack is no longer a Critical Hit but inflicts one of the prior listed Conditions.")</f>
        <v>Trigger: Your Pokemon would Poison an Enemy, Grant them a Venom Counter or land a Critical Hit with a Poison Type Attack.
Effect: They instead become Weakened or Vulnerable (Of your choice) until the end of the next Round. If the Trigger was a Critical Hit, the Triggering Attack is no longer a Critical Hit but inflicts one of the prior listed Conditions.</v>
      </c>
      <c r="E277" s="203"/>
      <c r="F277" s="204"/>
      <c r="G277" s="204"/>
      <c r="H277" s="204"/>
      <c r="I277" s="204"/>
      <c r="J277" s="203"/>
      <c r="K277" s="205"/>
      <c r="L277" s="205"/>
      <c r="M277" s="205"/>
    </row>
    <row r="278">
      <c r="A278" s="202" t="str">
        <f>IFERROR(__xludf.DUMMYFUNCTION("""COMPUTED_VALUE"""),"Corrosive Blight")</f>
        <v>Corrosive Blight</v>
      </c>
      <c r="B278" s="202" t="str">
        <f>IFERROR(__xludf.DUMMYFUNCTION("""COMPUTED_VALUE"""),"Poison Specialist, 3 Poison Specialist Features, Intimidate, Poke Edu or Stealth at Master")</f>
        <v>Poison Specialist, 3 Poison Specialist Features, Intimidate, Poke Edu or Stealth at Master</v>
      </c>
      <c r="C278" s="202" t="str">
        <f>IFERROR(__xludf.DUMMYFUNCTION("""COMPUTED_VALUE"""),"Scene x3 - Free Action")</f>
        <v>Scene x3 - Free Action</v>
      </c>
      <c r="D278" s="202" t="str">
        <f>IFERROR(__xludf.DUMMYFUNCTION("""COMPUTED_VALUE"""),"Trigger: Your Pokémon hits a Poisoned Enemy with a Poison Type Attack
Effect: The Target loses a Tick of Hit Points, then loses another for every Stat they have negative CS in. A Target may only be affected by Corrosive Blight once per Scene.")</f>
        <v>Trigger: Your Pokémon hits a Poisoned Enemy with a Poison Type Attack
Effect: The Target loses a Tick of Hit Points, then loses another for every Stat they have negative CS in. A Target may only be affected by Corrosive Blight once per Scene.</v>
      </c>
      <c r="E278" s="203"/>
      <c r="F278" s="204"/>
      <c r="G278" s="204"/>
      <c r="H278" s="204"/>
      <c r="I278" s="204"/>
      <c r="J278" s="203"/>
      <c r="K278" s="205"/>
      <c r="L278" s="205"/>
      <c r="M278" s="205"/>
    </row>
    <row r="279">
      <c r="A279" s="202" t="str">
        <f>IFERROR(__xludf.DUMMYFUNCTION("""COMPUTED_VALUE"""),"Psychic Specialist")</f>
        <v>Psychic Specialist</v>
      </c>
      <c r="B279" s="202" t="str">
        <f>IFERROR(__xludf.DUMMYFUNCTION("""COMPUTED_VALUE"""),"Prerequisite 1: Type Specialist (Psychic as your chosen Type) [or]
Prerequisite 2: Focus, Occult Edu or Poke Edu at Adept ")</f>
        <v>Prerequisite 1: Type Specialist (Psychic as your chosen Type) [or]
Prerequisite 2: Focus, Occult Edu or Poke Edu at Adept </v>
      </c>
      <c r="C279" s="202" t="str">
        <f>IFERROR(__xludf.DUMMYFUNCTION("""COMPUTED_VALUE"""),"Bind 2 - Extended Action")</f>
        <v>Bind 2 - Extended Action</v>
      </c>
      <c r="D279" s="202" t="str">
        <f>IFERROR(__xludf.DUMMYFUNCTION("""COMPUTED_VALUE"""),"Target: A Pokemon you own and a Psychic Status Attack currently on their Battle Attack List
Effect: While this Feature is bound, you have the chosen Attack added to your Attack List.")</f>
        <v>Target: A Pokemon you own and a Psychic Status Attack currently on their Battle Attack List
Effect: While this Feature is bound, you have the chosen Attack added to your Attack List.</v>
      </c>
      <c r="E279" s="203"/>
      <c r="F279" s="204"/>
      <c r="G279" s="204"/>
      <c r="H279" s="204"/>
      <c r="I279" s="204"/>
      <c r="J279" s="203"/>
      <c r="K279" s="205"/>
      <c r="L279" s="205"/>
      <c r="M279" s="205"/>
    </row>
    <row r="280">
      <c r="A280" s="202" t="str">
        <f>IFERROR(__xludf.DUMMYFUNCTION("""COMPUTED_VALUE"""),"Psychic Sponge")</f>
        <v>Psychic Sponge</v>
      </c>
      <c r="B280" s="202" t="str">
        <f>IFERROR(__xludf.DUMMYFUNCTION("""COMPUTED_VALUE"""),"Psychic Specialist, Focus, Occult Edu or Poke Edu at Novice")</f>
        <v>Psychic Specialist, Focus, Occult Edu or Poke Edu at Novice</v>
      </c>
      <c r="C280" s="202" t="str">
        <f>IFERROR(__xludf.DUMMYFUNCTION("""COMPUTED_VALUE"""),"Static")</f>
        <v>Static</v>
      </c>
      <c r="D280" s="202" t="str">
        <f>IFERROR(__xludf.DUMMYFUNCTION("""COMPUTED_VALUE"""),"Effect: All of your Pokemon gain +1 Attack Slot on their Battle Attack List, however it can only be used for a Psychic Type Status Attack. Whenever your Psychic Type Pokemon see a Psychic Type Attack used by another Combatant, they may add it to their Bat"&amp;"tle Attack List for the rest of the Scene. Attacks added this way do not take an Attack Slot. ")</f>
        <v>Effect: All of your Pokemon gain +1 Attack Slot on their Battle Attack List, however it can only be used for a Psychic Type Status Attack. Whenever your Psychic Type Pokemon see a Psychic Type Attack used by another Combatant, they may add it to their Battle Attack List for the rest of the Scene. Attacks added this way do not take an Attack Slot. </v>
      </c>
      <c r="E280" s="203"/>
      <c r="F280" s="204"/>
      <c r="G280" s="204"/>
      <c r="H280" s="204"/>
      <c r="I280" s="204"/>
      <c r="J280" s="203"/>
      <c r="K280" s="205"/>
      <c r="L280" s="205"/>
      <c r="M280" s="205"/>
    </row>
    <row r="281">
      <c r="A281" s="202" t="str">
        <f>IFERROR(__xludf.DUMMYFUNCTION("""COMPUTED_VALUE"""),"Psychic Resonance")</f>
        <v>Psychic Resonance</v>
      </c>
      <c r="B281" s="202" t="str">
        <f>IFERROR(__xludf.DUMMYFUNCTION("""COMPUTED_VALUE"""),"Psychic Specialist, Focus, Occult Edu or Poke Edu at Adept
")</f>
        <v>Psychic Specialist, Focus, Occult Edu or Poke Edu at Adept
</v>
      </c>
      <c r="C281" s="202" t="str">
        <f>IFERROR(__xludf.DUMMYFUNCTION("""COMPUTED_VALUE"""),"Scene x2 - Free Action")</f>
        <v>Scene x2 - Free Action</v>
      </c>
      <c r="D281" s="202" t="str">
        <f>IFERROR(__xludf.DUMMYFUNCTION("""COMPUTED_VALUE"""),"Trigger: Your Pokemon hit with a Psychic Type Damaging Attack
Effect: After the Attack’s resolution, roll 1d4. All Targets hit with the Triggering Attack become inflicted with the following Status Affliction. On a 1, they become Suppressed. On a 2, they b"&amp;"ecome Dazed. On a 3, they become Enraged. On a 4, they become Drowsy.")</f>
        <v>Trigger: Your Pokemon hit with a Psychic Type Damaging Attack
Effect: After the Attack’s resolution, roll 1d4. All Targets hit with the Triggering Attack become inflicted with the following Status Affliction. On a 1, they become Suppressed. On a 2, they become Dazed. On a 3, they become Enraged. On a 4, they become Drowsy.</v>
      </c>
      <c r="E281" s="203"/>
      <c r="F281" s="204"/>
      <c r="G281" s="204"/>
      <c r="H281" s="204"/>
      <c r="I281" s="204"/>
      <c r="J281" s="203"/>
      <c r="K281" s="205"/>
      <c r="L281" s="205"/>
      <c r="M281" s="205"/>
    </row>
    <row r="282">
      <c r="A282" s="202" t="str">
        <f>IFERROR(__xludf.DUMMYFUNCTION("""COMPUTED_VALUE"""),"Mindbreak")</f>
        <v>Mindbreak</v>
      </c>
      <c r="B282" s="202" t="str">
        <f>IFERROR(__xludf.DUMMYFUNCTION("""COMPUTED_VALUE"""),"Psychic Specialist, Focus, Occult Edu or Poke Edu at Expert
")</f>
        <v>Psychic Specialist, Focus, Occult Edu or Poke Edu at Expert
</v>
      </c>
      <c r="C282" s="202" t="str">
        <f>IFERROR(__xludf.DUMMYFUNCTION("""COMPUTED_VALUE"""),"At-Will - Free Action")</f>
        <v>At-Will - Free Action</v>
      </c>
      <c r="D282" s="202" t="str">
        <f>IFERROR(__xludf.DUMMYFUNCTION("""COMPUTED_VALUE"""),"Trigger: Your Pokemon use a Psychic Damaging Attack
Effect: Choose one of the following to apply. You may choose an additional effect for each Mental Affliction the Target is affected by:
» The Triggering Attack gains a bonus to Damage Rolls equal to yo"&amp;"ur Tier Value
» The Triggering Attack gains a bonus to Effect Ranges equal to your Tier Level
» The Triggering Attack ignores Evasion from Special Defense.")</f>
        <v>Trigger: Your Pokemon use a Psychic Damaging Attack
Effect: Choose one of the following to apply. You may choose an additional effect for each Mental Affliction the Target is affected by:
» The Triggering Attack gains a bonus to Damage Rolls equal to your Tier Value
» The Triggering Attack gains a bonus to Effect Ranges equal to your Tier Level
» The Triggering Attack ignores Evasion from Special Defense.</v>
      </c>
      <c r="E282" s="203"/>
      <c r="F282" s="204"/>
      <c r="G282" s="204"/>
      <c r="H282" s="204"/>
      <c r="I282" s="204"/>
      <c r="J282" s="203"/>
      <c r="K282" s="205"/>
      <c r="L282" s="205"/>
      <c r="M282" s="205"/>
    </row>
    <row r="283">
      <c r="A283" s="202" t="str">
        <f>IFERROR(__xludf.DUMMYFUNCTION("""COMPUTED_VALUE"""),"Psionic Manipulation")</f>
        <v>Psionic Manipulation</v>
      </c>
      <c r="B283" s="202" t="str">
        <f>IFERROR(__xludf.DUMMYFUNCTION("""COMPUTED_VALUE"""),"Psychic Specialist, 3 Psychic Specialist Features, Focus, Occult Edu or Poke Edu at Master
")</f>
        <v>Psychic Specialist, 3 Psychic Specialist Features, Focus, Occult Edu or Poke Edu at Master
</v>
      </c>
      <c r="C283" s="202" t="str">
        <f>IFERROR(__xludf.DUMMYFUNCTION("""COMPUTED_VALUE"""),"Scene x2 - Free Action")</f>
        <v>Scene x2 - Free Action</v>
      </c>
      <c r="D283" s="202" t="str">
        <f>IFERROR(__xludf.DUMMYFUNCTION("""COMPUTED_VALUE"""),"Trigger: Your Pokemon use a Psychic Typed Attack as a Standard Action
Effect: Your Pokémon may immediately use a different Psychic-Type Status Attack from its Attack List with a range of Blessing, Field, Hazard, or Self as a Swift Action. If the Triggerin"&amp;"g Attack was not a Status Attack, they cannot Trigger this Feature for the rest of the Scene.")</f>
        <v>Trigger: Your Pokemon use a Psychic Typed Attack as a Standard Action
Effect: Your Pokémon may immediately use a different Psychic-Type Status Attack from its Attack List with a range of Blessing, Field, Hazard, or Self as a Swift Action. If the Triggering Attack was not a Status Attack, they cannot Trigger this Feature for the rest of the Scene.</v>
      </c>
      <c r="E283" s="203"/>
      <c r="F283" s="204"/>
      <c r="G283" s="204"/>
      <c r="H283" s="204"/>
      <c r="I283" s="204"/>
      <c r="J283" s="203"/>
      <c r="K283" s="205"/>
      <c r="L283" s="205"/>
      <c r="M283" s="205"/>
    </row>
    <row r="284">
      <c r="A284" s="202" t="str">
        <f>IFERROR(__xludf.DUMMYFUNCTION("""COMPUTED_VALUE"""),"Rock Specialist")</f>
        <v>Rock Specialist</v>
      </c>
      <c r="B284" s="202" t="str">
        <f>IFERROR(__xludf.DUMMYFUNCTION("""COMPUTED_VALUE"""),"Prerequisite 1: Type Specialist (Rock as your chosen Type) [or]
Prerequisite 2: Combat, Nature Edu or Poke Edu at Adept")</f>
        <v>Prerequisite 1: Type Specialist (Rock as your chosen Type) [or]
Prerequisite 2: Combat, Nature Edu or Poke Edu at Adept</v>
      </c>
      <c r="C284" s="202" t="str">
        <f>IFERROR(__xludf.DUMMYFUNCTION("""COMPUTED_VALUE"""),"At-Will - Extended Action")</f>
        <v>At-Will - Extended Action</v>
      </c>
      <c r="D284" s="202" t="str">
        <f>IFERROR(__xludf.DUMMYFUNCTION("""COMPUTED_VALUE"""),"Target: Your Trained Pokemon
Trigger: You use a Downtime Action to Train your Pokemon
Effect: The Target learns the Stealth Rock Attack, even if they normally can’t learn it. If the Target is Rock Type, the Attack doesn’t take an Attack Slot on their Batt"&amp;"le Attack List. Your Pokemon may treat the Stealth Rock attack as if it were EOT Frequency instead of Scene x2.")</f>
        <v>Target: Your Trained Pokemon
Trigger: You use a Downtime Action to Train your Pokemon
Effect: The Target learns the Stealth Rock Attack, even if they normally can’t learn it. If the Target is Rock Type, the Attack doesn’t take an Attack Slot on their Battle Attack List. Your Pokemon may treat the Stealth Rock attack as if it were EOT Frequency instead of Scene x2.</v>
      </c>
      <c r="E284" s="203"/>
      <c r="F284" s="204"/>
      <c r="G284" s="204"/>
      <c r="H284" s="204"/>
      <c r="I284" s="204"/>
      <c r="J284" s="203"/>
      <c r="K284" s="205"/>
      <c r="L284" s="205"/>
      <c r="M284" s="205"/>
    </row>
    <row r="285">
      <c r="A285" s="202" t="str">
        <f>IFERROR(__xludf.DUMMYFUNCTION("""COMPUTED_VALUE"""),"Igneous Impact")</f>
        <v>Igneous Impact</v>
      </c>
      <c r="B285" s="202" t="str">
        <f>IFERROR(__xludf.DUMMYFUNCTION("""COMPUTED_VALUE"""),"Rock Specialist, Combat, Nature Edu or Poke Edu at Novice")</f>
        <v>Rock Specialist, Combat, Nature Edu or Poke Edu at Novice</v>
      </c>
      <c r="C285" s="202" t="str">
        <f>IFERROR(__xludf.DUMMYFUNCTION("""COMPUTED_VALUE"""),"Scene x2 - Free Action")</f>
        <v>Scene x2 - Free Action</v>
      </c>
      <c r="D285" s="202" t="str">
        <f>IFERROR(__xludf.DUMMYFUNCTION("""COMPUTED_VALUE"""),"Trigger: Your Pokemon hit a Rock Type Damaging Attack
Effect: After the Attack’s resolution, choose an Effect below to apply to one Target of the Triggering Attack:
» The Target becomes Vulnerable against the next Attack to Target them
» The Target is Sl"&amp;"id up to 3m away from the user
» The Target loses -2 CS in Defense.")</f>
        <v>Trigger: Your Pokemon hit a Rock Type Damaging Attack
Effect: After the Attack’s resolution, choose an Effect below to apply to one Target of the Triggering Attack:
» The Target becomes Vulnerable against the next Attack to Target them
» The Target is Slid up to 3m away from the user
» The Target loses -2 CS in Defense.</v>
      </c>
      <c r="E285" s="203"/>
      <c r="F285" s="204"/>
      <c r="G285" s="204"/>
      <c r="H285" s="204"/>
      <c r="I285" s="204"/>
      <c r="J285" s="203"/>
      <c r="K285" s="205"/>
      <c r="L285" s="205"/>
      <c r="M285" s="205"/>
    </row>
    <row r="286">
      <c r="A286" s="202" t="str">
        <f>IFERROR(__xludf.DUMMYFUNCTION("""COMPUTED_VALUE"""),"Basalt Blockade")</f>
        <v>Basalt Blockade</v>
      </c>
      <c r="B286" s="202" t="str">
        <f>IFERROR(__xludf.DUMMYFUNCTION("""COMPUTED_VALUE"""),"Rock Specialist, Combat, Nature Edu or Poke Edu at Adept")</f>
        <v>Rock Specialist, Combat, Nature Edu or Poke Edu at Adept</v>
      </c>
      <c r="C286" s="202" t="str">
        <f>IFERROR(__xludf.DUMMYFUNCTION("""COMPUTED_VALUE"""),"Scene x2 - Free Action")</f>
        <v>Scene x2 - Free Action</v>
      </c>
      <c r="D286" s="202" t="str">
        <f>IFERROR(__xludf.DUMMYFUNCTION("""COMPUTED_VALUE"""),"Trigger: Your Pokemon use a Rock Type Attack with a Burst or Blast Range
Effect: After the Triggering Attack resolves, choose up to 6 Spaces within the Triggering Attack’s Range that are unoccupied to have Stealth Rock Hazards or Blocking Terrain created "&amp;"in them. Blocking Terrain created this way is treated as Small.")</f>
        <v>Trigger: Your Pokemon use a Rock Type Attack with a Burst or Blast Range
Effect: After the Triggering Attack resolves, choose up to 6 Spaces within the Triggering Attack’s Range that are unoccupied to have Stealth Rock Hazards or Blocking Terrain created in them. Blocking Terrain created this way is treated as Small.</v>
      </c>
      <c r="E286" s="203"/>
      <c r="F286" s="204"/>
      <c r="G286" s="204"/>
      <c r="H286" s="204"/>
      <c r="I286" s="204"/>
      <c r="J286" s="203"/>
      <c r="K286" s="205"/>
      <c r="L286" s="205"/>
      <c r="M286" s="205"/>
    </row>
    <row r="287">
      <c r="A287" s="202" t="str">
        <f>IFERROR(__xludf.DUMMYFUNCTION("""COMPUTED_VALUE"""),"Sedimentary Shield")</f>
        <v>Sedimentary Shield</v>
      </c>
      <c r="B287" s="202" t="str">
        <f>IFERROR(__xludf.DUMMYFUNCTION("""COMPUTED_VALUE"""),"Rock Specialist, Combat, Nature Edu or Poke Edu at Expert")</f>
        <v>Rock Specialist, Combat, Nature Edu or Poke Edu at Expert</v>
      </c>
      <c r="C287" s="202" t="str">
        <f>IFERROR(__xludf.DUMMYFUNCTION("""COMPUTED_VALUE"""),"Scene - Free Action")</f>
        <v>Scene - Free Action</v>
      </c>
      <c r="D287" s="202" t="str">
        <f>IFERROR(__xludf.DUMMYFUNCTION("""COMPUTED_VALUE"""),"Trigger: Your Rock Type Pokemon are hit by a Super Effective Damaging Attack
Effect: They resist the Triggering Attack by an additional Damage Step. After Damage Resolution, you may destroy 5 Stealth Rock Hazards within 3m of the Target to have the Freque"&amp;"ncy of this Feature refreshed.")</f>
        <v>Trigger: Your Rock Type Pokemon are hit by a Super Effective Damaging Attack
Effect: They resist the Triggering Attack by an additional Damage Step. After Damage Resolution, you may destroy 5 Stealth Rock Hazards within 3m of the Target to have the Frequency of this Feature refreshed.</v>
      </c>
      <c r="E287" s="203"/>
      <c r="F287" s="204"/>
      <c r="G287" s="204"/>
      <c r="H287" s="204"/>
      <c r="I287" s="204"/>
      <c r="J287" s="203"/>
      <c r="K287" s="205"/>
      <c r="L287" s="205"/>
      <c r="M287" s="205"/>
    </row>
    <row r="288">
      <c r="A288" s="202" t="str">
        <f>IFERROR(__xludf.DUMMYFUNCTION("""COMPUTED_VALUE"""),"Seismic Storm")</f>
        <v>Seismic Storm</v>
      </c>
      <c r="B288" s="202" t="str">
        <f>IFERROR(__xludf.DUMMYFUNCTION("""COMPUTED_VALUE"""),"Rock Specialist, 3 Rock Specialist Features, Combat, Nature Edu or Poke Edu at Master")</f>
        <v>Rock Specialist, 3 Rock Specialist Features, Combat, Nature Edu or Poke Edu at Master</v>
      </c>
      <c r="C288" s="202" t="str">
        <f>IFERROR(__xludf.DUMMYFUNCTION("""COMPUTED_VALUE"""),"Scene - Special")</f>
        <v>Scene - Special</v>
      </c>
      <c r="D288" s="202" t="str">
        <f>IFERROR(__xludf.DUMMYFUNCTION("""COMPUTED_VALUE"""),"Trigger: Your Pokemon use a Rock Type Damaging Attack
Effect: Your Pokemon must activate this Feature as a Swift Action when Triggered. Apply one Effect below to the Triggering Attack. You may destroy 3 Stealth Rocks within 3m of the Target to repeat the "&amp;"Effect of this Feature any number of times.
» The Attack’s Area of Effect is increased by +1 or becomes a Blast 2
» The Attack gains the Smite Keyword or if it already had it, gains the Sureshot Keyword
» This Feature’s Frequency is refreshed.")</f>
        <v>Trigger: Your Pokemon use a Rock Type Damaging Attack
Effect: Your Pokemon must activate this Feature as a Swift Action when Triggered. Apply one Effect below to the Triggering Attack. You may destroy 3 Stealth Rocks within 3m of the Target to repeat the Effect of this Feature any number of times.
» The Attack’s Area of Effect is increased by +1 or becomes a Blast 2
» The Attack gains the Smite Keyword or if it already had it, gains the Sureshot Keyword
» This Feature’s Frequency is refreshed.</v>
      </c>
      <c r="E288" s="203"/>
      <c r="F288" s="204"/>
      <c r="G288" s="204"/>
      <c r="H288" s="204"/>
      <c r="I288" s="204"/>
      <c r="J288" s="203"/>
      <c r="K288" s="205"/>
      <c r="L288" s="205"/>
      <c r="M288" s="205"/>
    </row>
    <row r="289">
      <c r="A289" s="202" t="str">
        <f>IFERROR(__xludf.DUMMYFUNCTION("""COMPUTED_VALUE"""),"Steel Specialist")</f>
        <v>Steel Specialist</v>
      </c>
      <c r="B289" s="202" t="str">
        <f>IFERROR(__xludf.DUMMYFUNCTION("""COMPUTED_VALUE"""),"Prerequisite 1: Type Specialist (Steel as your chosen Type) [or]
Prerequisite 2: Focus, Poke Edu or Tech Edu at Adept  ")</f>
        <v>Prerequisite 1: Type Specialist (Steel as your chosen Type) [or]
Prerequisite 2: Focus, Poke Edu or Tech Edu at Adept  </v>
      </c>
      <c r="C289" s="202" t="str">
        <f>IFERROR(__xludf.DUMMYFUNCTION("""COMPUTED_VALUE"""),"Static")</f>
        <v>Static</v>
      </c>
      <c r="D289" s="202" t="str">
        <f>IFERROR(__xludf.DUMMYFUNCTION("""COMPUTED_VALUE"""),"Effect: Non-Adjacent Attacks have a penalty to their Critical Hit Range, Effect Range and Accuracy Rolls against your Steel Type Pokemon equal to your Tier Level. Your Pokemon have a bonus to Effect Ranges for their Steel Type Attacks equal to your Tier L"&amp;"evel.  ")</f>
        <v>Effect: Non-Adjacent Attacks have a penalty to their Critical Hit Range, Effect Range and Accuracy Rolls against your Steel Type Pokemon equal to your Tier Level. Your Pokemon have a bonus to Effect Ranges for their Steel Type Attacks equal to your Tier Level.  </v>
      </c>
      <c r="E289" s="203"/>
      <c r="F289" s="204"/>
      <c r="G289" s="204"/>
      <c r="H289" s="204"/>
      <c r="I289" s="204"/>
      <c r="J289" s="203"/>
      <c r="K289" s="205"/>
      <c r="L289" s="205"/>
      <c r="M289" s="205"/>
    </row>
    <row r="290">
      <c r="A290" s="202" t="str">
        <f>IFERROR(__xludf.DUMMYFUNCTION("""COMPUTED_VALUE"""),"Assault Armor")</f>
        <v>Assault Armor</v>
      </c>
      <c r="B290" s="202" t="str">
        <f>IFERROR(__xludf.DUMMYFUNCTION("""COMPUTED_VALUE"""),"Steel Specialist, Focus, Poke Edu or Tech Edu at Novice")</f>
        <v>Steel Specialist, Focus, Poke Edu or Tech Edu at Novice</v>
      </c>
      <c r="C290" s="202" t="str">
        <f>IFERROR(__xludf.DUMMYFUNCTION("""COMPUTED_VALUE"""),"Scene x3 - Free Action")</f>
        <v>Scene x3 - Free Action</v>
      </c>
      <c r="D290" s="202" t="str">
        <f>IFERROR(__xludf.DUMMYFUNCTION("""COMPUTED_VALUE"""),"Trigger: Your Pokemon hit a Steel Type Damaging Attack or Your Steel Type Pokemon hits a Physical Damaging Attack
Effect: The Triggering Pokemon may use their Defense as an Offensive Stat in place of its normal Offensive Stat.")</f>
        <v>Trigger: Your Pokemon hit a Steel Type Damaging Attack or Your Steel Type Pokemon hits a Physical Damaging Attack
Effect: The Triggering Pokemon may use their Defense as an Offensive Stat in place of its normal Offensive Stat.</v>
      </c>
      <c r="E290" s="203"/>
      <c r="F290" s="204"/>
      <c r="G290" s="204"/>
      <c r="H290" s="204"/>
      <c r="I290" s="204"/>
      <c r="J290" s="203"/>
      <c r="K290" s="205"/>
      <c r="L290" s="205"/>
      <c r="M290" s="205"/>
    </row>
    <row r="291">
      <c r="A291" s="202" t="str">
        <f>IFERROR(__xludf.DUMMYFUNCTION("""COMPUTED_VALUE"""),"Ironclad Bond")</f>
        <v>Ironclad Bond</v>
      </c>
      <c r="B291" s="202" t="str">
        <f>IFERROR(__xludf.DUMMYFUNCTION("""COMPUTED_VALUE"""),"Steel Specialist, Focus, Poke Edu or Tech Edu at Adept")</f>
        <v>Steel Specialist, Focus, Poke Edu or Tech Edu at Adept</v>
      </c>
      <c r="C291" s="202" t="str">
        <f>IFERROR(__xludf.DUMMYFUNCTION("""COMPUTED_VALUE"""),"Scene x2 - Free Action")</f>
        <v>Scene x2 - Free Action</v>
      </c>
      <c r="D291" s="202" t="str">
        <f>IFERROR(__xludf.DUMMYFUNCTION("""COMPUTED_VALUE"""),"Trigger: An Ally or Yourself that is adjacent to your Steel Type Pokemon would take Damage from a Physical Attack
Effect: When applying Damage Calculations, they may use the Defense Stat Value of the Steel Pokemon.
Bonus: You and your Allies that are adja"&amp;"cent to your Steel Type Pokemon may have their Physical Evasion treated as the Physical Evasion of that Pokemon.")</f>
        <v>Trigger: An Ally or Yourself that is adjacent to your Steel Type Pokemon would take Damage from a Physical Attack
Effect: When applying Damage Calculations, they may use the Defense Stat Value of the Steel Pokemon.
Bonus: You and your Allies that are adjacent to your Steel Type Pokemon may have their Physical Evasion treated as the Physical Evasion of that Pokemon.</v>
      </c>
      <c r="E291" s="203"/>
      <c r="F291" s="204"/>
      <c r="G291" s="204"/>
      <c r="H291" s="204"/>
      <c r="I291" s="204"/>
      <c r="J291" s="203"/>
      <c r="K291" s="205"/>
      <c r="L291" s="205"/>
      <c r="M291" s="205"/>
    </row>
    <row r="292">
      <c r="A292" s="202" t="str">
        <f>IFERROR(__xludf.DUMMYFUNCTION("""COMPUTED_VALUE"""),"Ironclad Resolve")</f>
        <v>Ironclad Resolve</v>
      </c>
      <c r="B292" s="202" t="str">
        <f>IFERROR(__xludf.DUMMYFUNCTION("""COMPUTED_VALUE"""),"Steel Specialist, Focus, Poke Edu or Tech Edu at Expert")</f>
        <v>Steel Specialist, Focus, Poke Edu or Tech Edu at Expert</v>
      </c>
      <c r="C292" s="202" t="str">
        <f>IFERROR(__xludf.DUMMYFUNCTION("""COMPUTED_VALUE"""),"Scene x2 - Free Action")</f>
        <v>Scene x2 - Free Action</v>
      </c>
      <c r="D292" s="202" t="str">
        <f>IFERROR(__xludf.DUMMYFUNCTION("""COMPUTED_VALUE"""),"Trigger: Your Pokemon uses a Steel Type Attack
Effect: Choose an Effect below to apply to them until the start of their next Turn. If the Triggering Pokemon is a Steel Type, you may either ignore the Frequency of this Feature or apply all Effects below. I"&amp;"ronclad Resolve may only activate once per Round.
» The user gains +3 to Save Checks
» The user gains a Tick of Temporary Hit Points
» The user has +3 Uncapped Evasion against non-Adjacent Attacks")</f>
        <v>Trigger: Your Pokemon uses a Steel Type Attack
Effect: Choose an Effect below to apply to them until the start of their next Turn. If the Triggering Pokemon is a Steel Type, you may either ignore the Frequency of this Feature or apply all Effects below. Ironclad Resolve may only activate once per Round.
» The user gains +3 to Save Checks
» The user gains a Tick of Temporary Hit Points
» The user has +3 Uncapped Evasion against non-Adjacent Attacks</v>
      </c>
      <c r="E292" s="203"/>
      <c r="F292" s="204"/>
      <c r="G292" s="204"/>
      <c r="H292" s="204"/>
      <c r="I292" s="204"/>
      <c r="J292" s="203"/>
      <c r="K292" s="205"/>
      <c r="L292" s="205"/>
      <c r="M292" s="205"/>
    </row>
    <row r="293">
      <c r="A293" s="202" t="str">
        <f>IFERROR(__xludf.DUMMYFUNCTION("""COMPUTED_VALUE"""),"True Steel Body")</f>
        <v>True Steel Body</v>
      </c>
      <c r="B293" s="202" t="str">
        <f>IFERROR(__xludf.DUMMYFUNCTION("""COMPUTED_VALUE"""),"Steel Specialist, 3 Steel Specialist Features, Focus, Poke Edu or Tech Edu at Master")</f>
        <v>Steel Specialist, 3 Steel Specialist Features, Focus, Poke Edu or Tech Edu at Master</v>
      </c>
      <c r="C293" s="202" t="str">
        <f>IFERROR(__xludf.DUMMYFUNCTION("""COMPUTED_VALUE"""),"Scene x2 - Free Action")</f>
        <v>Scene x2 - Free Action</v>
      </c>
      <c r="D293" s="202" t="str">
        <f>IFERROR(__xludf.DUMMYFUNCTION("""COMPUTED_VALUE"""),"Trigger: Your Pokemon is hit by a Damaging Attack
Effect: Your Pokemon gains Damage Reduction against the Attack equal to triple your highest Type Linked Skill Rank. Additionally, you may calculate Type Effectiveness against this Attack as if your Pokemon"&amp;" was only Steel Typed. A Pokemon may only be affected by True Steel Body once per Scene.")</f>
        <v>Trigger: Your Pokemon is hit by a Damaging Attack
Effect: Your Pokemon gains Damage Reduction against the Attack equal to triple your highest Type Linked Skill Rank. Additionally, you may calculate Type Effectiveness against this Attack as if your Pokemon was only Steel Typed. A Pokemon may only be affected by True Steel Body once per Scene.</v>
      </c>
      <c r="E293" s="203"/>
      <c r="F293" s="204"/>
      <c r="G293" s="204"/>
      <c r="H293" s="204"/>
      <c r="I293" s="204"/>
      <c r="J293" s="203"/>
      <c r="K293" s="205"/>
      <c r="L293" s="205"/>
      <c r="M293" s="205"/>
    </row>
    <row r="294">
      <c r="A294" s="202" t="str">
        <f>IFERROR(__xludf.DUMMYFUNCTION("""COMPUTED_VALUE"""),"Water Specialist")</f>
        <v>Water Specialist</v>
      </c>
      <c r="B294" s="202" t="str">
        <f>IFERROR(__xludf.DUMMYFUNCTION("""COMPUTED_VALUE"""),"Prerequisite 1: Type Specialist (Water as your chosen Type) [or]
Prerequisite 2: Athletics, Intuition or Poke Edu at Adept")</f>
        <v>Prerequisite 1: Type Specialist (Water as your chosen Type) [or]
Prerequisite 2: Athletics, Intuition or Poke Edu at Adept</v>
      </c>
      <c r="C294" s="202" t="str">
        <f>IFERROR(__xludf.DUMMYFUNCTION("""COMPUTED_VALUE"""),"Static")</f>
        <v>Static</v>
      </c>
      <c r="D294" s="202" t="str">
        <f>IFERROR(__xludf.DUMMYFUNCTION("""COMPUTED_VALUE"""),"Effect: For each of your Pokemon, choose one of the tactics listed below. The style’s effects apply to all of their Water Type Attacks. Your Water Specialist Features have different effects based on the Pokemon’s chosen tactic.
» Cascade - Whenever you T"&amp;"arget yourself or an Ally with a Water Attack, you both gain a Tick of Temporary Hit Points
» Rapid - All of your Damaging Water Attacks may be used as if their range were Melee, 1 Target,Dash.
» Torrential - While your Pokemon are under 50% Hit Points,"&amp;" their Water Attacks have a Damage Bonus equal to your Tier Value.
")</f>
        <v>Effect: For each of your Pokemon, choose one of the tactics listed below. The style’s effects apply to all of their Water Type Attacks. Your Water Specialist Features have different effects based on the Pokemon’s chosen tactic.
» Cascade - Whenever you Target yourself or an Ally with a Water Attack, you both gain a Tick of Temporary Hit Points
» Rapid - All of your Damaging Water Attacks may be used as if their range were Melee, 1 Target,Dash.
» Torrential - While your Pokemon are under 50% Hit Points, their Water Attacks have a Damage Bonus equal to your Tier Value.
</v>
      </c>
      <c r="E294" s="203"/>
      <c r="F294" s="204"/>
      <c r="G294" s="204"/>
      <c r="H294" s="204"/>
      <c r="I294" s="204"/>
      <c r="J294" s="203"/>
      <c r="K294" s="205"/>
      <c r="L294" s="205"/>
      <c r="M294" s="205"/>
    </row>
    <row r="295">
      <c r="A295" s="202" t="str">
        <f>IFERROR(__xludf.DUMMYFUNCTION("""COMPUTED_VALUE"""),"Hydro Deluge")</f>
        <v>Hydro Deluge</v>
      </c>
      <c r="B295" s="202" t="str">
        <f>IFERROR(__xludf.DUMMYFUNCTION("""COMPUTED_VALUE"""),"Water Specialist; Athletics, Intuition or Poke Edu at Novice ")</f>
        <v>Water Specialist; Athletics, Intuition or Poke Edu at Novice </v>
      </c>
      <c r="C295" s="202" t="str">
        <f>IFERROR(__xludf.DUMMYFUNCTION("""COMPUTED_VALUE"""),"At-Will - Special")</f>
        <v>At-Will - Special</v>
      </c>
      <c r="D295" s="202" t="str">
        <f>IFERROR(__xludf.DUMMYFUNCTION("""COMPUTED_VALUE"""),"Effect: Your Pokemon may activate this Feature as a Swift Action to use their next non-Self or Field Water Type Attack as if its Range were Line 6, Burst 1, or Close Blast 2. Alternatively, if it already has an Area of Effect, increase it by +1. If the We"&amp;"ather is Rainy, this may be used once per Round as a Free Action as well. ")</f>
        <v>Effect: Your Pokemon may activate this Feature as a Swift Action to use their next non-Self or Field Water Type Attack as if its Range were Line 6, Burst 1, or Close Blast 2. Alternatively, if it already has an Area of Effect, increase it by +1. If the Weather is Rainy, this may be used once per Round as a Free Action as well. </v>
      </c>
      <c r="E295" s="203"/>
      <c r="F295" s="204"/>
      <c r="G295" s="204"/>
      <c r="H295" s="204"/>
      <c r="I295" s="204"/>
      <c r="J295" s="203"/>
      <c r="K295" s="205"/>
      <c r="L295" s="205"/>
      <c r="M295" s="205"/>
    </row>
    <row r="296">
      <c r="A296" s="202" t="str">
        <f>IFERROR(__xludf.DUMMYFUNCTION("""COMPUTED_VALUE"""),"Controlled Current")</f>
        <v>Controlled Current</v>
      </c>
      <c r="B296" s="202" t="str">
        <f>IFERROR(__xludf.DUMMYFUNCTION("""COMPUTED_VALUE"""),"Water Specialist; Athletics, Intuition or Poke Edu at Adept ")</f>
        <v>Water Specialist; Athletics, Intuition or Poke Edu at Adept </v>
      </c>
      <c r="C296" s="202" t="str">
        <f>IFERROR(__xludf.DUMMYFUNCTION("""COMPUTED_VALUE"""),"Scene x2 - Special")</f>
        <v>Scene x2 - Special</v>
      </c>
      <c r="D296" s="202" t="str">
        <f>IFERROR(__xludf.DUMMYFUNCTION("""COMPUTED_VALUE"""),"Effect: Your Pokemon may activate this Feature as a Swift Action to apply the following Effect to their next non-Self or Field Water Attack, based on their chosen tactic. 
» Cascade - Any Targeted Allies are cured of a Physical Affliction or have a Coat "&amp;"removed. If it was Damaging, they take no Damage. 
» Rapid - The Attack gains the Pass Keyword. Instead of going in a straight line, you can change direction once during the movement.
» Torrential - The Attack has the Friendly and Smite Keyword.")</f>
        <v>Effect: Your Pokemon may activate this Feature as a Swift Action to apply the following Effect to their next non-Self or Field Water Attack, based on their chosen tactic. 
» Cascade - Any Targeted Allies are cured of a Physical Affliction or have a Coat removed. If it was Damaging, they take no Damage. 
» Rapid - The Attack gains the Pass Keyword. Instead of going in a straight line, you can change direction once during the movement.
» Torrential - The Attack has the Friendly and Smite Keyword.</v>
      </c>
      <c r="E296" s="203"/>
      <c r="F296" s="204"/>
      <c r="G296" s="204"/>
      <c r="H296" s="204"/>
      <c r="I296" s="204"/>
      <c r="J296" s="203"/>
      <c r="K296" s="205"/>
      <c r="L296" s="205"/>
      <c r="M296" s="205"/>
    </row>
    <row r="297">
      <c r="A297" s="202" t="str">
        <f>IFERROR(__xludf.DUMMYFUNCTION("""COMPUTED_VALUE"""),"Tidal Tactics")</f>
        <v>Tidal Tactics</v>
      </c>
      <c r="B297" s="202" t="str">
        <f>IFERROR(__xludf.DUMMYFUNCTION("""COMPUTED_VALUE"""),"Water Specialist; Athletics, Intuition or Poke Edu at Expert ")</f>
        <v>Water Specialist; Athletics, Intuition or Poke Edu at Expert </v>
      </c>
      <c r="C297" s="202" t="str">
        <f>IFERROR(__xludf.DUMMYFUNCTION("""COMPUTED_VALUE"""),"Static")</f>
        <v>Static</v>
      </c>
      <c r="D297" s="202" t="str">
        <f>IFERROR(__xludf.DUMMYFUNCTION("""COMPUTED_VALUE"""),"Effect: The Effect of this Feature varies based on the Pokemon’s chosen tactic. 
» Cascade - Your Water Type Damaging Attacks ignore the restriction on the Versatile Keyword and Help Maneuver, allowing them to still be used. 
» Rapid - Whenever you acti"&amp;"vate the Dash Keyword, Targets cannot apply Speed Evasion against your Water Attacks
» Torrential - Whenever you use a Water Attack against a single Enemy, you gain the Damage Bonus from Water Specialist regardless if you’re under 50% HP. If the Weather "&amp;"is Rainy, this applies to all Water Damaging Attacks you use. ")</f>
        <v>Effect: The Effect of this Feature varies based on the Pokemon’s chosen tactic. 
» Cascade - Your Water Type Damaging Attacks ignore the restriction on the Versatile Keyword and Help Maneuver, allowing them to still be used. 
» Rapid - Whenever you activate the Dash Keyword, Targets cannot apply Speed Evasion against your Water Attacks
» Torrential - Whenever you use a Water Attack against a single Enemy, you gain the Damage Bonus from Water Specialist regardless if you’re under 50% HP. If the Weather is Rainy, this applies to all Water Damaging Attacks you use. </v>
      </c>
      <c r="E297" s="203"/>
      <c r="F297" s="204"/>
      <c r="G297" s="204"/>
      <c r="H297" s="204"/>
      <c r="I297" s="204"/>
      <c r="J297" s="203"/>
      <c r="K297" s="205"/>
      <c r="L297" s="205"/>
      <c r="M297" s="205"/>
    </row>
    <row r="298">
      <c r="A298" s="202" t="str">
        <f>IFERROR(__xludf.DUMMYFUNCTION("""COMPUTED_VALUE"""),"Maelstrom Strike")</f>
        <v>Maelstrom Strike</v>
      </c>
      <c r="B298" s="202" t="str">
        <f>IFERROR(__xludf.DUMMYFUNCTION("""COMPUTED_VALUE"""),"Water Specialist; Athletics, Intuition or Poke Edu at Master ")</f>
        <v>Water Specialist; Athletics, Intuition or Poke Edu at Master </v>
      </c>
      <c r="C298" s="202" t="str">
        <f>IFERROR(__xludf.DUMMYFUNCTION("""COMPUTED_VALUE"""),"Scene x2 - Free Action")</f>
        <v>Scene x2 - Free Action</v>
      </c>
      <c r="D298" s="202" t="str">
        <f>IFERROR(__xludf.DUMMYFUNCTION("""COMPUTED_VALUE"""),"Trigger: Your Pokemon use a non-Self or Field Water Type Attack
Effect: The Attack is altered based on their chosen tactic. Each of your Pokemon can only Trigger this once per Scene.
» Cascade - Any Allies within the Range of this Attack take no Damage "&amp;"from it and restore 5 Ticks of Hit Points
» Rapid - This also Targets all Enemies that are Adjacent to the original Target(s) of this Attack
» Torrential - The Attack has the Sureshot Keyword and cannot Trigger Reactions.")</f>
        <v>Trigger: Your Pokemon use a non-Self or Field Water Type Attack
Effect: The Attack is altered based on their chosen tactic. Each of your Pokemon can only Trigger this once per Scene.
» Cascade - Any Allies within the Range of this Attack take no Damage from it and restore 5 Ticks of Hit Points
» Rapid - This also Targets all Enemies that are Adjacent to the original Target(s) of this Attack
» Torrential - The Attack has the Sureshot Keyword and cannot Trigger Reactions.</v>
      </c>
      <c r="E298" s="203"/>
      <c r="F298" s="204"/>
      <c r="G298" s="204"/>
      <c r="H298" s="204"/>
      <c r="I298" s="204"/>
      <c r="J298" s="203"/>
      <c r="K298" s="205"/>
      <c r="L298" s="205"/>
      <c r="M298" s="205"/>
    </row>
    <row r="299">
      <c r="A299" s="202" t="str">
        <f>IFERROR(__xludf.DUMMYFUNCTION("""COMPUTED_VALUE"""),"General Researcher")</f>
        <v>General Researcher</v>
      </c>
      <c r="B299" s="202" t="str">
        <f>IFERROR(__xludf.DUMMYFUNCTION("""COMPUTED_VALUE"""),"Novice Gen Edu")</f>
        <v>Novice Gen Edu</v>
      </c>
      <c r="C299" s="202" t="str">
        <f>IFERROR(__xludf.DUMMYFUNCTION("""COMPUTED_VALUE"""),"Static")</f>
        <v>Static</v>
      </c>
      <c r="D299" s="202" t="str">
        <f>IFERROR(__xludf.DUMMYFUNCTION("""COMPUTED_VALUE"""),"Effect: You may Rank up two different Skills you’re able to upgrade. Whenever you make a Skill Check for an Education Skill other than General Edu, you may add 1d6 to the roll. When you reach Expert Gen Edu, instead add 2d6. You cannot exceed 6d6 this way"&amp;".")</f>
        <v>Effect: You may Rank up two different Skills you’re able to upgrade. Whenever you make a Skill Check for an Education Skill other than General Edu, you may add 1d6 to the roll. When you reach Expert Gen Edu, instead add 2d6. You cannot exceed 6d6 this way.</v>
      </c>
      <c r="E299" s="203"/>
      <c r="F299" s="204"/>
      <c r="G299" s="204"/>
      <c r="H299" s="204"/>
      <c r="I299" s="204"/>
      <c r="J299" s="203"/>
      <c r="K299" s="205"/>
      <c r="L299" s="205"/>
      <c r="M299" s="205"/>
    </row>
    <row r="300">
      <c r="A300" s="202" t="str">
        <f>IFERROR(__xludf.DUMMYFUNCTION("""COMPUTED_VALUE"""),"Dilettante [Rank 1]")</f>
        <v>Dilettante [Rank 1]</v>
      </c>
      <c r="B300" s="202" t="str">
        <f>IFERROR(__xludf.DUMMYFUNCTION("""COMPUTED_VALUE"""),"General Researcher, Novice Gen Edu")</f>
        <v>General Researcher, Novice Gen Edu</v>
      </c>
      <c r="C300" s="202" t="str">
        <f>IFERROR(__xludf.DUMMYFUNCTION("""COMPUTED_VALUE"""),"Static")</f>
        <v>Static</v>
      </c>
      <c r="D300" s="202" t="str">
        <f>IFERROR(__xludf.DUMMYFUNCTION("""COMPUTED_VALUE"""),"Effect: Perform two different options below. You do not need to meet the Skill prerequisites of chosen Talents or General Features. You must meet any other Prerequisites and have a General Education Skill Rank equal to the highest listed Skill Prerequisit"&amp;"e of the chosen Feature or Talent. Whenever you gain a Feature or Talent this way, change any Skill Ranks or Skill Checks used directly by the Talent or Feature into General Education Skill Checks or Rank applications instead.
» You gain a General Featur"&amp;"e
» You gain a Talent
» You upgrade two different Skills by a Rank")</f>
        <v>Effect: Perform two different options below. You do not need to meet the Skill prerequisites of chosen Talents or General Features. You must meet any other Prerequisites and have a General Education Skill Rank equal to the highest listed Skill Prerequisite of the chosen Feature or Talent. Whenever you gain a Feature or Talent this way, change any Skill Ranks or Skill Checks used directly by the Talent or Feature into General Education Skill Checks or Rank applications instead.
» You gain a General Feature
» You gain a Talent
» You upgrade two different Skills by a Rank</v>
      </c>
      <c r="E300" s="203"/>
      <c r="F300" s="204"/>
      <c r="G300" s="204"/>
      <c r="H300" s="204"/>
      <c r="I300" s="204"/>
      <c r="J300" s="203"/>
      <c r="K300" s="205"/>
      <c r="L300" s="205"/>
      <c r="M300" s="205"/>
    </row>
    <row r="301">
      <c r="A301" s="202" t="str">
        <f>IFERROR(__xludf.DUMMYFUNCTION("""COMPUTED_VALUE"""),"Dilettante [Rank 2]")</f>
        <v>Dilettante [Rank 2]</v>
      </c>
      <c r="B301" s="202" t="str">
        <f>IFERROR(__xludf.DUMMYFUNCTION("""COMPUTED_VALUE"""),"General Researcher, Expert Gen Edu")</f>
        <v>General Researcher, Expert Gen Edu</v>
      </c>
      <c r="C301" s="202" t="str">
        <f>IFERROR(__xludf.DUMMYFUNCTION("""COMPUTED_VALUE"""),"Static")</f>
        <v>Static</v>
      </c>
      <c r="D301" s="202" t="str">
        <f>IFERROR(__xludf.DUMMYFUNCTION("""COMPUTED_VALUE"""),"Effect: Perform two different options below. You do not need to meet the Skill prerequisites of chosen Talents or General Features. You must meet any other Prerequisites and have a General Education Skill Rank equal to the highest listed Skill Prerequisit"&amp;"e of the chosen Feature or Talent. Whenever you gain a Feature or Talent this way, change any Skill Ranks or Skill Checks used directly by the Edge or Feature into General Education Skill Checks or Rank applications instead.
» You gain a General Feature
"&amp;"» You gain a Talent
» You upgrade two different Skills by a Rank")</f>
        <v>Effect: Perform two different options below. You do not need to meet the Skill prerequisites of chosen Talents or General Features. You must meet any other Prerequisites and have a General Education Skill Rank equal to the highest listed Skill Prerequisite of the chosen Feature or Talent. Whenever you gain a Feature or Talent this way, change any Skill Ranks or Skill Checks used directly by the Edge or Feature into General Education Skill Checks or Rank applications instead.
» You gain a General Feature
» You gain a Talent
» You upgrade two different Skills by a Rank</v>
      </c>
      <c r="E301" s="203"/>
      <c r="F301" s="204"/>
      <c r="G301" s="204"/>
      <c r="H301" s="204"/>
      <c r="I301" s="204"/>
      <c r="J301" s="203"/>
      <c r="K301" s="205"/>
      <c r="L301" s="205"/>
      <c r="M301" s="205"/>
    </row>
    <row r="302">
      <c r="A302" s="202" t="str">
        <f>IFERROR(__xludf.DUMMYFUNCTION("""COMPUTED_VALUE"""),"General Studies [Rank 1]")</f>
        <v>General Studies [Rank 1]</v>
      </c>
      <c r="B302" s="202" t="str">
        <f>IFERROR(__xludf.DUMMYFUNCTION("""COMPUTED_VALUE"""),"General Researcher, Adept Gen Edu")</f>
        <v>General Researcher, Adept Gen Edu</v>
      </c>
      <c r="C302" s="202" t="str">
        <f>IFERROR(__xludf.DUMMYFUNCTION("""COMPUTED_VALUE"""),"Static")</f>
        <v>Static</v>
      </c>
      <c r="D302" s="202" t="str">
        <f>IFERROR(__xludf.DUMMYFUNCTION("""COMPUTED_VALUE"""),"Effect: Choose a Skill that is at least Novice Rank to be your Trained Skill. Then choose a Feature in a Class without the [Class] Tag that has at most Adept Rank Prerequisites for its Skills and lists your Trained Skill. You gain that Feature despite not"&amp;" meeting its prerequisites.")</f>
        <v>Effect: Choose a Skill that is at least Novice Rank to be your Trained Skill. Then choose a Feature in a Class without the [Class] Tag that has at most Adept Rank Prerequisites for its Skills and lists your Trained Skill. You gain that Feature despite not meeting its prerequisites.</v>
      </c>
      <c r="E302" s="203"/>
      <c r="F302" s="204"/>
      <c r="G302" s="204"/>
      <c r="H302" s="204"/>
      <c r="I302" s="204"/>
      <c r="J302" s="203"/>
      <c r="K302" s="205"/>
      <c r="L302" s="205"/>
      <c r="M302" s="205"/>
    </row>
    <row r="303">
      <c r="A303" s="202" t="str">
        <f>IFERROR(__xludf.DUMMYFUNCTION("""COMPUTED_VALUE"""),"General Studies [Rank 2]")</f>
        <v>General Studies [Rank 2]</v>
      </c>
      <c r="B303" s="202" t="str">
        <f>IFERROR(__xludf.DUMMYFUNCTION("""COMPUTED_VALUE"""),"General Researcher, Master Gen Edu")</f>
        <v>General Researcher, Master Gen Edu</v>
      </c>
      <c r="C303" s="202" t="str">
        <f>IFERROR(__xludf.DUMMYFUNCTION("""COMPUTED_VALUE"""),"Static")</f>
        <v>Static</v>
      </c>
      <c r="D303" s="202" t="str">
        <f>IFERROR(__xludf.DUMMYFUNCTION("""COMPUTED_VALUE"""),"Effect: Choose a Feature in a Class without the [Class] Tag that has at most Expert Rank Prerequisites for its Skills and lists your Trained Skill. You gain that Feature despite not meeting its prerequisite.")</f>
        <v>Effect: Choose a Feature in a Class without the [Class] Tag that has at most Expert Rank Prerequisites for its Skills and lists your Trained Skill. You gain that Feature despite not meeting its prerequisite.</v>
      </c>
      <c r="E303" s="203"/>
      <c r="F303" s="204"/>
      <c r="G303" s="204"/>
      <c r="H303" s="204"/>
      <c r="I303" s="204"/>
      <c r="J303" s="203"/>
      <c r="K303" s="205"/>
      <c r="L303" s="205"/>
      <c r="M303" s="205"/>
    </row>
    <row r="304">
      <c r="A304" s="202" t="str">
        <f>IFERROR(__xludf.DUMMYFUNCTION("""COMPUTED_VALUE"""),"Chronicler")</f>
        <v>Chronicler</v>
      </c>
      <c r="B304" s="202" t="str">
        <f>IFERROR(__xludf.DUMMYFUNCTION("""COMPUTED_VALUE"""),"Prerequisite 1: General Researche [or]
Prerequisite 2: Adept Chronicler Skill")</f>
        <v>Prerequisite 1: General Researche [or]
Prerequisite 2: Adept Chronicler Skill</v>
      </c>
      <c r="C304" s="202" t="str">
        <f>IFERROR(__xludf.DUMMYFUNCTION("""COMPUTED_VALUE"""),"Static")</f>
        <v>Static</v>
      </c>
      <c r="D304" s="202" t="str">
        <f>IFERROR(__xludf.DUMMYFUNCTION("""COMPUTED_VALUE"""),"Effect: Whenever you use the Analyze Maneuver on a Pokemon or Trainer and pass its associated Skill Check (If any), they become Studied. If you would need to make a Skill Check for an Analyze Maneuver that isn’t a Chronicler Skill, you may add 2d6 to the "&amp;"roll, but it cannot exceed 6d6 this way.
*See Mechanics - Chronicler")</f>
        <v>Effect: Whenever you use the Analyze Maneuver on a Pokemon or Trainer and pass its associated Skill Check (If any), they become Studied. If you would need to make a Skill Check for an Analyze Maneuver that isn’t a Chronicler Skill, you may add 2d6 to the roll, but it cannot exceed 6d6 this way.
*See Mechanics - Chronicler</v>
      </c>
      <c r="E304" s="203"/>
      <c r="F304" s="204"/>
      <c r="G304" s="204"/>
      <c r="H304" s="204"/>
      <c r="I304" s="204"/>
      <c r="J304" s="203"/>
      <c r="K304" s="205"/>
      <c r="L304" s="205"/>
      <c r="M304" s="205"/>
    </row>
    <row r="305">
      <c r="A305" s="202" t="str">
        <f>IFERROR(__xludf.DUMMYFUNCTION("""COMPUTED_VALUE"""),"Character Profile")</f>
        <v>Character Profile</v>
      </c>
      <c r="B305" s="202" t="str">
        <f>IFERROR(__xludf.DUMMYFUNCTION("""COMPUTED_VALUE"""),"Chronicler, two Chronicler Skills at Novice Rank")</f>
        <v>Chronicler, two Chronicler Skills at Novice Rank</v>
      </c>
      <c r="C305" s="202" t="str">
        <f>IFERROR(__xludf.DUMMYFUNCTION("""COMPUTED_VALUE"""),"Scene - Free Action")</f>
        <v>Scene - Free Action</v>
      </c>
      <c r="D305" s="202" t="str">
        <f>IFERROR(__xludf.DUMMYFUNCTION("""COMPUTED_VALUE"""),"Trigger: You or your Pokemon use a Maneuver with an Accuracy Check
Effect: The Maneuver automatically hits but still must make an opposed check if applicable.
Bonus: You have a Boon to all Skill Checks involving Studied Creatures. If they were permanently"&amp;" Studied, you also treat the Skill as one Rank higher than it is. ")</f>
        <v>Trigger: You or your Pokemon use a Maneuver with an Accuracy Check
Effect: The Maneuver automatically hits but still must make an opposed check if applicable.
Bonus: You have a Boon to all Skill Checks involving Studied Creatures. If they were permanently Studied, you also treat the Skill as one Rank higher than it is. </v>
      </c>
      <c r="E305" s="203"/>
      <c r="F305" s="204"/>
      <c r="G305" s="204"/>
      <c r="H305" s="204"/>
      <c r="I305" s="204"/>
      <c r="J305" s="203"/>
      <c r="K305" s="205"/>
      <c r="L305" s="205"/>
      <c r="M305" s="205"/>
    </row>
    <row r="306">
      <c r="A306" s="202" t="str">
        <f>IFERROR(__xludf.DUMMYFUNCTION("""COMPUTED_VALUE"""),"Studied Weakness")</f>
        <v>Studied Weakness</v>
      </c>
      <c r="B306" s="202" t="str">
        <f>IFERROR(__xludf.DUMMYFUNCTION("""COMPUTED_VALUE"""),"Chronicler, an Adept Chronicler Skill")</f>
        <v>Chronicler, an Adept Chronicler Skill</v>
      </c>
      <c r="C306" s="202" t="str">
        <f>IFERROR(__xludf.DUMMYFUNCTION("""COMPUTED_VALUE"""),"Scene x2 - Swift Action")</f>
        <v>Scene x2 - Swift Action</v>
      </c>
      <c r="D306" s="202" t="str">
        <f>IFERROR(__xludf.DUMMYFUNCTION("""COMPUTED_VALUE"""),"Trigger: You or your Pokemon hit a Flanked Enemy or hit an Attack that would be Super Effective against an Enemy
Effect: Targets of the Triggering Attack cannot use Reactions in response to it. If the Target is Studied, they become Vulnerable until the en"&amp;"d of the Round. ")</f>
        <v>Trigger: You or your Pokemon hit a Flanked Enemy or hit an Attack that would be Super Effective against an Enemy
Effect: Targets of the Triggering Attack cannot use Reactions in response to it. If the Target is Studied, they become Vulnerable until the end of the Round. </v>
      </c>
      <c r="E306" s="203"/>
      <c r="F306" s="204"/>
      <c r="G306" s="204"/>
      <c r="H306" s="204"/>
      <c r="I306" s="204"/>
      <c r="J306" s="203"/>
      <c r="K306" s="205"/>
      <c r="L306" s="205"/>
      <c r="M306" s="205"/>
    </row>
    <row r="307">
      <c r="A307" s="202" t="str">
        <f>IFERROR(__xludf.DUMMYFUNCTION("""COMPUTED_VALUE"""),"Analyzed Reflexes")</f>
        <v>Analyzed Reflexes</v>
      </c>
      <c r="B307" s="202" t="str">
        <f>IFERROR(__xludf.DUMMYFUNCTION("""COMPUTED_VALUE"""),"Chronicler, 2 Chronicler Features, an Expert Chronicler Skill")</f>
        <v>Chronicler, 2 Chronicler Features, an Expert Chronicler Skill</v>
      </c>
      <c r="C307" s="202" t="str">
        <f>IFERROR(__xludf.DUMMYFUNCTION("""COMPUTED_VALUE"""),"At-Will - Special")</f>
        <v>At-Will - Special</v>
      </c>
      <c r="D307" s="202" t="str">
        <f>IFERROR(__xludf.DUMMYFUNCTION("""COMPUTED_VALUE"""),"Trigger: You or your Pokemon use an Attack
Effect: The Triggering Combatant must spend a Reaction to use this Feature. Targets of the Triggering Attack cannot use Reactions in response to the Triggering Attack and they cannot apply Stat Evasion against it"&amp;". If the Target is Studied, the Triggering Combatant can use this Feature as a Free Action. ")</f>
        <v>Trigger: You or your Pokemon use an Attack
Effect: The Triggering Combatant must spend a Reaction to use this Feature. Targets of the Triggering Attack cannot use Reactions in response to the Triggering Attack and they cannot apply Stat Evasion against it. If the Target is Studied, the Triggering Combatant can use this Feature as a Free Action. </v>
      </c>
      <c r="E307" s="203"/>
      <c r="F307" s="204"/>
      <c r="G307" s="204"/>
      <c r="H307" s="204"/>
      <c r="I307" s="204"/>
      <c r="J307" s="203"/>
      <c r="K307" s="205"/>
      <c r="L307" s="205"/>
      <c r="M307" s="205"/>
    </row>
    <row r="308">
      <c r="A308" s="202" t="str">
        <f>IFERROR(__xludf.DUMMYFUNCTION("""COMPUTED_VALUE"""),"Predictable")</f>
        <v>Predictable</v>
      </c>
      <c r="B308" s="202" t="str">
        <f>IFERROR(__xludf.DUMMYFUNCTION("""COMPUTED_VALUE"""),"Chronicler, 3 Chronicler Features, a Master Chronicler Skill")</f>
        <v>Chronicler, 3 Chronicler Features, a Master Chronicler Skill</v>
      </c>
      <c r="C308" s="202" t="str">
        <f>IFERROR(__xludf.DUMMYFUNCTION("""COMPUTED_VALUE"""),"Scene - Free Action")</f>
        <v>Scene - Free Action</v>
      </c>
      <c r="D308" s="202" t="str">
        <f>IFERROR(__xludf.DUMMYFUNCTION("""COMPUTED_VALUE"""),"Trigger: You or your Pokemon are hit with an Attack
Effect: They resist the Triggering Attack by an additional Damage Step. Once per Scene, if the Triggering Attacker is Studied, you may choose to either not expend the Frequency of this Feature or instead"&amp;" cause the Attack to miss.")</f>
        <v>Trigger: You or your Pokemon are hit with an Attack
Effect: They resist the Triggering Attack by an additional Damage Step. Once per Scene, if the Triggering Attacker is Studied, you may choose to either not expend the Frequency of this Feature or instead cause the Attack to miss.</v>
      </c>
      <c r="E308" s="203"/>
      <c r="F308" s="204"/>
      <c r="G308" s="204"/>
      <c r="H308" s="204"/>
      <c r="I308" s="204"/>
      <c r="J308" s="203"/>
      <c r="K308" s="205"/>
      <c r="L308" s="205"/>
      <c r="M308" s="205"/>
    </row>
    <row r="309">
      <c r="A309" s="202" t="str">
        <f>IFERROR(__xludf.DUMMYFUNCTION("""COMPUTED_VALUE"""),"Musician")</f>
        <v>Musician</v>
      </c>
      <c r="B309" s="202" t="str">
        <f>IFERROR(__xludf.DUMMYFUNCTION("""COMPUTED_VALUE"""),"Prerequisite 1: General Researcher or Performer [or]
Prerequisite 2: Adept Musician Skill")</f>
        <v>Prerequisite 1: General Researcher or Performer [or]
Prerequisite 2: Adept Musician Skill</v>
      </c>
      <c r="C309" s="202" t="str">
        <f>IFERROR(__xludf.DUMMYFUNCTION("""COMPUTED_VALUE"""),"At-Will - Swift Action")</f>
        <v>At-Will - Swift Action</v>
      </c>
      <c r="D309" s="202" t="str">
        <f>IFERROR(__xludf.DUMMYFUNCTION("""COMPUTED_VALUE"""),"Effect: You create a Zone of Song in a Burst 2 range centered on you. When the Zone is created, choose a song below to apply to all listed Combatants within this Zone. A Combatant cannot benefit from multiple Zones of Song. The chosen song can be changed "&amp;"as a Free Action at the start of your Turn. Whenever you use a Reaction, this Zone is removed. 
*See Mechanics - Musician")</f>
        <v>Effect: You create a Zone of Song in a Burst 2 range centered on you. When the Zone is created, choose a song below to apply to all listed Combatants within this Zone. A Combatant cannot benefit from multiple Zones of Song. The chosen song can be changed as a Free Action at the start of your Turn. Whenever you use a Reaction, this Zone is removed. 
*See Mechanics - Musician</v>
      </c>
      <c r="E309" s="203"/>
      <c r="F309" s="204"/>
      <c r="G309" s="204"/>
      <c r="H309" s="204"/>
      <c r="I309" s="204"/>
      <c r="J309" s="203"/>
      <c r="K309" s="205"/>
      <c r="L309" s="205"/>
      <c r="M309" s="205"/>
    </row>
    <row r="310">
      <c r="A310" s="202" t="str">
        <f>IFERROR(__xludf.DUMMYFUNCTION("""COMPUTED_VALUE"""),"Tools for Tales")</f>
        <v>Tools for Tales</v>
      </c>
      <c r="B310" s="202" t="str">
        <f>IFERROR(__xludf.DUMMYFUNCTION("""COMPUTED_VALUE"""),"Musician, two Novice Musician Skills")</f>
        <v>Musician, two Novice Musician Skills</v>
      </c>
      <c r="C310" s="202" t="str">
        <f>IFERROR(__xludf.DUMMYFUNCTION("""COMPUTED_VALUE"""),"Static")</f>
        <v>Static</v>
      </c>
      <c r="D310" s="202" t="str">
        <f>IFERROR(__xludf.DUMMYFUNCTION("""COMPUTED_VALUE"""),"Effect: You learn the Attack Sing and Moral Support. While you have a Bardic Instrument Equipped, you have the following Attacks added to your Attack list, Echoed Voice and Uproar. When you have at least 4 Musician Features, you also have Hyper Voice adde"&amp;"d. When you have 5 Musician Features, you also add Boomburst.")</f>
        <v>Effect: You learn the Attack Sing and Moral Support. While you have a Bardic Instrument Equipped, you have the following Attacks added to your Attack list, Echoed Voice and Uproar. When you have at least 4 Musician Features, you also have Hyper Voice added. When you have 5 Musician Features, you also add Boomburst.</v>
      </c>
      <c r="E310" s="203"/>
      <c r="F310" s="204"/>
      <c r="G310" s="204"/>
      <c r="H310" s="204"/>
      <c r="I310" s="204"/>
      <c r="J310" s="203"/>
      <c r="K310" s="205"/>
      <c r="L310" s="205"/>
      <c r="M310" s="205"/>
    </row>
    <row r="311">
      <c r="A311" s="202" t="str">
        <f>IFERROR(__xludf.DUMMYFUNCTION("""COMPUTED_VALUE"""),"Bardic Influence")</f>
        <v>Bardic Influence</v>
      </c>
      <c r="B311" s="202" t="str">
        <f>IFERROR(__xludf.DUMMYFUNCTION("""COMPUTED_VALUE"""),"Musician, an Adept Musician Skill")</f>
        <v>Musician, an Adept Musician Skill</v>
      </c>
      <c r="C311" s="202" t="str">
        <f>IFERROR(__xludf.DUMMYFUNCTION("""COMPUTED_VALUE"""),"At-Will - Reaction")</f>
        <v>At-Will - Reaction</v>
      </c>
      <c r="D311" s="202" t="str">
        <f>IFERROR(__xludf.DUMMYFUNCTION("""COMPUTED_VALUE"""),"Trigger: An Ally within 5m performs a Save Check, Skill Check in Combat or an Accuracy roll
Effect: The Triggering Ally adds a 1d6 to their Triggering Roll, or 2d6 if the user is Tier 3. 
Bonus: Once per Round you may use Bardic Influence as a Free Action"&amp;" if the Triggering Ally is within your Zone of Song.")</f>
        <v>Trigger: An Ally within 5m performs a Save Check, Skill Check in Combat or an Accuracy roll
Effect: The Triggering Ally adds a 1d6 to their Triggering Roll, or 2d6 if the user is Tier 3. 
Bonus: Once per Round you may use Bardic Influence as a Free Action if the Triggering Ally is within your Zone of Song.</v>
      </c>
      <c r="E311" s="203"/>
      <c r="F311" s="204"/>
      <c r="G311" s="204"/>
      <c r="H311" s="204"/>
      <c r="I311" s="204"/>
      <c r="J311" s="203"/>
      <c r="K311" s="205"/>
      <c r="L311" s="205"/>
      <c r="M311" s="205"/>
    </row>
    <row r="312">
      <c r="A312" s="202" t="str">
        <f>IFERROR(__xludf.DUMMYFUNCTION("""COMPUTED_VALUE"""),"Inspiring Presence")</f>
        <v>Inspiring Presence</v>
      </c>
      <c r="B312" s="202" t="str">
        <f>IFERROR(__xludf.DUMMYFUNCTION("""COMPUTED_VALUE"""),"Tools for Tales, an Expert Musician Skill, an Adept Musician Skill")</f>
        <v>Tools for Tales, an Expert Musician Skill, an Adept Musician Skill</v>
      </c>
      <c r="C312" s="202" t="str">
        <f>IFERROR(__xludf.DUMMYFUNCTION("""COMPUTED_VALUE"""),"Scene x2 - Swift Action")</f>
        <v>Scene x2 - Swift Action</v>
      </c>
      <c r="D312" s="202" t="str">
        <f>IFERROR(__xludf.DUMMYFUNCTION("""COMPUTED_VALUE"""),"Trigger: You use a Sonic Attack
Effect: Choose an Ally or Enemy within the Range of the Triggering Attack. If you choose an Ally, they’re cured of a Mental Affliction. If you choose an Enemy, until the end of their next Turn they become Entranced or Provo"&amp;"ked. 
Bonus: Your Attacks with the Sonic Keyword gain the Friendly keyword.")</f>
        <v>Trigger: You use a Sonic Attack
Effect: Choose an Ally or Enemy within the Range of the Triggering Attack. If you choose an Ally, they’re cured of a Mental Affliction. If you choose an Enemy, until the end of their next Turn they become Entranced or Provoked. 
Bonus: Your Attacks with the Sonic Keyword gain the Friendly keyword.</v>
      </c>
      <c r="E312" s="203"/>
      <c r="F312" s="204"/>
      <c r="G312" s="204"/>
      <c r="H312" s="204"/>
      <c r="I312" s="204"/>
      <c r="J312" s="203"/>
      <c r="K312" s="205"/>
      <c r="L312" s="205"/>
      <c r="M312" s="205"/>
    </row>
    <row r="313">
      <c r="A313" s="202" t="str">
        <f>IFERROR(__xludf.DUMMYFUNCTION("""COMPUTED_VALUE"""),"Motivating Performance")</f>
        <v>Motivating Performance</v>
      </c>
      <c r="B313" s="202" t="str">
        <f>IFERROR(__xludf.DUMMYFUNCTION("""COMPUTED_VALUE"""),"Musician, 3 Musician Features, a Master Musician Skill, an Adept Musician Skill")</f>
        <v>Musician, 3 Musician Features, a Master Musician Skill, an Adept Musician Skill</v>
      </c>
      <c r="C313" s="202" t="str">
        <f>IFERROR(__xludf.DUMMYFUNCTION("""COMPUTED_VALUE"""),"Scene x3 - Free Action")</f>
        <v>Scene x3 - Free Action</v>
      </c>
      <c r="D313" s="202" t="str">
        <f>IFERROR(__xludf.DUMMYFUNCTION("""COMPUTED_VALUE"""),"Trigger: An Ally starts their Turn within your Zone of Song
Effect: Choose an Effect to apply to the Ally.  
» They gain +1 CS in a Stat of their Choice
» They gain the benefits of a different Song as well
» They gain double the Effects of the Song playe"&amp;"d")</f>
        <v>Trigger: An Ally starts their Turn within your Zone of Song
Effect: Choose an Effect to apply to the Ally.  
» They gain +1 CS in a Stat of their Choice
» They gain the benefits of a different Song as well
» They gain double the Effects of the Song played</v>
      </c>
      <c r="E313" s="203"/>
      <c r="F313" s="204"/>
      <c r="G313" s="204"/>
      <c r="H313" s="204"/>
      <c r="I313" s="204"/>
      <c r="J313" s="203"/>
      <c r="K313" s="205"/>
      <c r="L313" s="205"/>
      <c r="M313" s="205"/>
    </row>
    <row r="314">
      <c r="A314" s="202" t="str">
        <f>IFERROR(__xludf.DUMMYFUNCTION("""COMPUTED_VALUE"""),"Medicine Researcher")</f>
        <v>Medicine Researcher</v>
      </c>
      <c r="B314" s="202" t="str">
        <f>IFERROR(__xludf.DUMMYFUNCTION("""COMPUTED_VALUE"""),"Novice Med Edu")</f>
        <v>Novice Med Edu</v>
      </c>
      <c r="C314" s="202" t="str">
        <f>IFERROR(__xludf.DUMMYFUNCTION("""COMPUTED_VALUE"""),"Static")</f>
        <v>Static</v>
      </c>
      <c r="D314" s="202" t="str">
        <f>IFERROR(__xludf.DUMMYFUNCTION("""COMPUTED_VALUE"""),"Effect: Whenever you Use or Throw a Basic Healing Potion, you ignore the following restriction: “A Combatant cannot be Targeted by a Healing Potion more than once per Scene”. When you have at least 4 Medicine Researcher Features, this also extends to Grea"&amp;"ter Healing Potions.")</f>
        <v>Effect: Whenever you Use or Throw a Basic Healing Potion, you ignore the following restriction: “A Combatant cannot be Targeted by a Healing Potion more than once per Scene”. When you have at least 4 Medicine Researcher Features, this also extends to Greater Healing Potions.</v>
      </c>
      <c r="E314" s="203"/>
      <c r="F314" s="204"/>
      <c r="G314" s="204"/>
      <c r="H314" s="204"/>
      <c r="I314" s="204"/>
      <c r="J314" s="203"/>
      <c r="K314" s="205"/>
      <c r="L314" s="205"/>
      <c r="M314" s="205"/>
    </row>
    <row r="315">
      <c r="A315" s="202" t="str">
        <f>IFERROR(__xludf.DUMMYFUNCTION("""COMPUTED_VALUE"""),"First Aid Training")</f>
        <v>First Aid Training</v>
      </c>
      <c r="B315" s="202" t="str">
        <f>IFERROR(__xludf.DUMMYFUNCTION("""COMPUTED_VALUE"""),"Medicine Researcher, Novice Med Edu")</f>
        <v>Medicine Researcher, Novice Med Edu</v>
      </c>
      <c r="C315" s="202" t="str">
        <f>IFERROR(__xludf.DUMMYFUNCTION("""COMPUTED_VALUE"""),"Scene x2 - Free Action")</f>
        <v>Scene x2 - Free Action</v>
      </c>
      <c r="D315" s="202" t="str">
        <f>IFERROR(__xludf.DUMMYFUNCTION("""COMPUTED_VALUE"""),"Target: An Adjacent Ally
Effect: You may use the Help Maneuver on the Target as a Free Action. You may still use the Maneuver this way even if you used a Damaging Attack this Round and may still use one after the Maneuver resolves. An Ally can only be Tar"&amp;"geted by First Aid Training once per Scene. ")</f>
        <v>Target: An Adjacent Ally
Effect: You may use the Help Maneuver on the Target as a Free Action. You may still use the Maneuver this way even if you used a Damaging Attack this Round and may still use one after the Maneuver resolves. An Ally can only be Targeted by First Aid Training once per Scene. </v>
      </c>
      <c r="E315" s="203"/>
      <c r="F315" s="204"/>
      <c r="G315" s="204"/>
      <c r="H315" s="204"/>
      <c r="I315" s="204"/>
      <c r="J315" s="203"/>
      <c r="K315" s="205"/>
      <c r="L315" s="205"/>
      <c r="M315" s="205"/>
    </row>
    <row r="316">
      <c r="A316" s="202" t="str">
        <f>IFERROR(__xludf.DUMMYFUNCTION("""COMPUTED_VALUE"""),"Medicinal Mastery")</f>
        <v>Medicinal Mastery</v>
      </c>
      <c r="B316" s="202" t="str">
        <f>IFERROR(__xludf.DUMMYFUNCTION("""COMPUTED_VALUE"""),"Medicine Researcher, Adept Med Edu")</f>
        <v>Medicine Researcher, Adept Med Edu</v>
      </c>
      <c r="C316" s="202" t="str">
        <f>IFERROR(__xludf.DUMMYFUNCTION("""COMPUTED_VALUE"""),"Scene x2 - Free Action")</f>
        <v>Scene x2 - Free Action</v>
      </c>
      <c r="D316" s="202" t="str">
        <f>IFERROR(__xludf.DUMMYFUNCTION("""COMPUTED_VALUE"""),"Trigger: You use or Throw a “Potion” Item on yourself or a single Ally
Effect: Choose one of the following Effects to apply. This cannot be Triggered on Potions used through the Quick Fix Feature.
» The Target restores a Tick of Hit Points
» The Target i"&amp;"s cured of a Status Affliction
» The Target gains Damage Reduction against the next Attack they’re hit by equal to your Tier Value. ")</f>
        <v>Trigger: You use or Throw a “Potion” Item on yourself or a single Ally
Effect: Choose one of the following Effects to apply. This cannot be Triggered on Potions used through the Quick Fix Feature.
» The Target restores a Tick of Hit Points
» The Target is cured of a Status Affliction
» The Target gains Damage Reduction against the next Attack they’re hit by equal to your Tier Value. </v>
      </c>
      <c r="E316" s="203"/>
      <c r="F316" s="204"/>
      <c r="G316" s="204"/>
      <c r="H316" s="204"/>
      <c r="I316" s="204"/>
      <c r="J316" s="203"/>
      <c r="K316" s="205"/>
      <c r="L316" s="205"/>
      <c r="M316" s="205"/>
    </row>
    <row r="317">
      <c r="A317" s="202" t="str">
        <f>IFERROR(__xludf.DUMMYFUNCTION("""COMPUTED_VALUE"""),"Quick Fix")</f>
        <v>Quick Fix</v>
      </c>
      <c r="B317" s="202" t="str">
        <f>IFERROR(__xludf.DUMMYFUNCTION("""COMPUTED_VALUE"""),"Medicine Researcher, 2 Medicine Researcher Features, Expert Med Edu")</f>
        <v>Medicine Researcher, 2 Medicine Researcher Features, Expert Med Edu</v>
      </c>
      <c r="C317" s="202" t="str">
        <f>IFERROR(__xludf.DUMMYFUNCTION("""COMPUTED_VALUE"""),"Scene x2 - Swift Action")</f>
        <v>Scene x2 - Swift Action</v>
      </c>
      <c r="D317" s="202" t="str">
        <f>IFERROR(__xludf.DUMMYFUNCTION("""COMPUTED_VALUE"""),"Effect: You may use a “Healing Potion” Item as a Free Action. A Combatant may only be Targeted by Quick Fix once per Scene and this can only Target Allies.")</f>
        <v>Effect: You may use a “Healing Potion” Item as a Free Action. A Combatant may only be Targeted by Quick Fix once per Scene and this can only Target Allies.</v>
      </c>
      <c r="E317" s="203"/>
      <c r="F317" s="204"/>
      <c r="G317" s="204"/>
      <c r="H317" s="204"/>
      <c r="I317" s="204"/>
      <c r="J317" s="203"/>
      <c r="K317" s="205"/>
      <c r="L317" s="205"/>
      <c r="M317" s="205"/>
    </row>
    <row r="318">
      <c r="A318" s="202" t="str">
        <f>IFERROR(__xludf.DUMMYFUNCTION("""COMPUTED_VALUE"""),"Stay With Us!")</f>
        <v>Stay With Us!</v>
      </c>
      <c r="B318" s="202" t="str">
        <f>IFERROR(__xludf.DUMMYFUNCTION("""COMPUTED_VALUE"""),"Medicine Researcher, 3 Medicine Researcher Features, Master Med Edu")</f>
        <v>Medicine Researcher, 3 Medicine Researcher Features, Master Med Edu</v>
      </c>
      <c r="C318" s="202" t="str">
        <f>IFERROR(__xludf.DUMMYFUNCTION("""COMPUTED_VALUE"""),"Scene - Reaction")</f>
        <v>Scene - Reaction</v>
      </c>
      <c r="D318" s="202" t="str">
        <f>IFERROR(__xludf.DUMMYFUNCTION("""COMPUTED_VALUE"""),"Trigger: An Ally within 3m would Faint
Effect: You may immediately Throw or Use a “Potion” Item on the Triggering Ally as a Free Action. If you plan to Use a “Potion”, you may Slide up to 3m as a Free Action towards the intended Target.  After resolving t"&amp;"he condition that caused the Triggering Ally to Faint, they apply the Effects of the Potion, not being treated as Fainted yet. If they would end with an Hit Point value above 0, they are instead not Fainted from the Triggering condition. ")</f>
        <v>Trigger: An Ally within 3m would Faint
Effect: You may immediately Throw or Use a “Potion” Item on the Triggering Ally as a Free Action. If you plan to Use a “Potion”, you may Slide up to 3m as a Free Action towards the intended Target.  After resolving the condition that caused the Triggering Ally to Faint, they apply the Effects of the Potion, not being treated as Fainted yet. If they would end with an Hit Point value above 0, they are instead not Fainted from the Triggering condition. </v>
      </c>
      <c r="E318" s="203"/>
      <c r="F318" s="204"/>
      <c r="G318" s="204"/>
      <c r="H318" s="204"/>
      <c r="I318" s="204"/>
      <c r="J318" s="203"/>
      <c r="K318" s="205"/>
      <c r="L318" s="205"/>
      <c r="M318" s="205"/>
    </row>
    <row r="319">
      <c r="A319" s="202" t="str">
        <f>IFERROR(__xludf.DUMMYFUNCTION("""COMPUTED_VALUE"""),"Alchemist")</f>
        <v>Alchemist</v>
      </c>
      <c r="B319" s="202" t="str">
        <f>IFERROR(__xludf.DUMMYFUNCTION("""COMPUTED_VALUE"""),"Prerequisite 1: Medicine Researcher [or]
Prerequisite 2: Adept Med Edu")</f>
        <v>Prerequisite 1: Medicine Researcher [or]
Prerequisite 2: Adept Med Edu</v>
      </c>
      <c r="C319" s="202" t="str">
        <f>IFERROR(__xludf.DUMMYFUNCTION("""COMPUTED_VALUE"""),"Scene x2 - Swift Action")</f>
        <v>Scene x2 - Swift Action</v>
      </c>
      <c r="D319" s="202" t="str">
        <f>IFERROR(__xludf.DUMMYFUNCTION("""COMPUTED_VALUE"""),"Effect: Choose any “Basic Potion” Item. You may instead choose a “Greater Potion” Item if you have at least 4 Alchemist Features. Then apply any Effect below:
» You create the chosen Item and it is added to your Inventory, however, it is destroyed at the"&amp;" end of the Scene.
» One Item in your Inventory that matches the declared Item cannot miss when next used with a Throw Maneuver.")</f>
        <v>Effect: Choose any “Basic Potion” Item. You may instead choose a “Greater Potion” Item if you have at least 4 Alchemist Features. Then apply any Effect below:
» You create the chosen Item and it is added to your Inventory, however, it is destroyed at the end of the Scene.
» One Item in your Inventory that matches the declared Item cannot miss when next used with a Throw Maneuver.</v>
      </c>
      <c r="E319" s="203"/>
      <c r="F319" s="204"/>
      <c r="G319" s="204"/>
      <c r="H319" s="204"/>
      <c r="I319" s="204"/>
      <c r="J319" s="203"/>
      <c r="K319" s="205"/>
      <c r="L319" s="205"/>
      <c r="M319" s="205"/>
    </row>
    <row r="320">
      <c r="A320" s="202" t="str">
        <f>IFERROR(__xludf.DUMMYFUNCTION("""COMPUTED_VALUE"""),"Caustic Chemistry")</f>
        <v>Caustic Chemistry</v>
      </c>
      <c r="B320" s="202" t="str">
        <f>IFERROR(__xludf.DUMMYFUNCTION("""COMPUTED_VALUE"""),"Alchemist, Novice Med Edu")</f>
        <v>Alchemist, Novice Med Edu</v>
      </c>
      <c r="C320" s="202" t="str">
        <f>IFERROR(__xludf.DUMMYFUNCTION("""COMPUTED_VALUE"""),"Scene x2 - Special")</f>
        <v>Scene x2 - Special</v>
      </c>
      <c r="D320" s="202" t="str">
        <f>IFERROR(__xludf.DUMMYFUNCTION("""COMPUTED_VALUE"""),"Trigger: You use a Throw Maneuver with a “Potion” Item
Effect: As a Swift Action, the Range is changed to either X, Ranged Blast 2, or Close Blast 2. As a Swift+Movement Action, it is changed to either X, Ranged Blast 3, or Close Blast 3. X is equal to yo"&amp;"ur Throwing Range as stated in the Throw Maneuver.
Bonus: The Throw Maneuver’s AC is treated as 2 when Throwing a “Potion” Item.")</f>
        <v>Trigger: You use a Throw Maneuver with a “Potion” Item
Effect: As a Swift Action, the Range is changed to either X, Ranged Blast 2, or Close Blast 2. As a Swift+Movement Action, it is changed to either X, Ranged Blast 3, or Close Blast 3. X is equal to your Throwing Range as stated in the Throw Maneuver.
Bonus: The Throw Maneuver’s AC is treated as 2 when Throwing a “Potion” Item.</v>
      </c>
      <c r="E320" s="203"/>
      <c r="F320" s="204"/>
      <c r="G320" s="204"/>
      <c r="H320" s="204"/>
      <c r="I320" s="204"/>
      <c r="J320" s="203"/>
      <c r="K320" s="205"/>
      <c r="L320" s="205"/>
      <c r="M320" s="205"/>
    </row>
    <row r="321">
      <c r="A321" s="202" t="str">
        <f>IFERROR(__xludf.DUMMYFUNCTION("""COMPUTED_VALUE"""),"Elemental Elixirs")</f>
        <v>Elemental Elixirs</v>
      </c>
      <c r="B321" s="202" t="str">
        <f>IFERROR(__xludf.DUMMYFUNCTION("""COMPUTED_VALUE"""),"Alchemist, Adept Med Edu")</f>
        <v>Alchemist, Adept Med Edu</v>
      </c>
      <c r="C321" s="202" t="str">
        <f>IFERROR(__xludf.DUMMYFUNCTION("""COMPUTED_VALUE"""),"Bind 2 - Extended Action")</f>
        <v>Bind 2 - Extended Action</v>
      </c>
      <c r="D321" s="202" t="str">
        <f>IFERROR(__xludf.DUMMYFUNCTION("""COMPUTED_VALUE"""),"Target: A “Potion” Item in your Inventory Slot that isn’t “Healing” and a Willing Pokemon
Effect: Choose a Type that the Targeted Pokemon has. That Type is applied to the Targeted Item while this Feature is Bound. Whenever the Targeted Item is used in Com"&amp;"bat, all Targets hit by the Item are treated as though they were hit with a Special Category Attack of the chosen Type. The Damage Base is equal to double your Med Edu Rank. Instead of an Offensive Stat, make a Medicine Edu Check and add that as a Damage "&amp;"Modifier. If you are Tier 3, add twice that result as a Damage Modifier. ")</f>
        <v>Target: A “Potion” Item in your Inventory Slot that isn’t “Healing” and a Willing Pokemon
Effect: Choose a Type that the Targeted Pokemon has. That Type is applied to the Targeted Item while this Feature is Bound. Whenever the Targeted Item is used in Combat, all Targets hit by the Item are treated as though they were hit with a Special Category Attack of the chosen Type. The Damage Base is equal to double your Med Edu Rank. Instead of an Offensive Stat, make a Medicine Edu Check and add that as a Damage Modifier. If you are Tier 3, add twice that result as a Damage Modifier. </v>
      </c>
      <c r="E321" s="203"/>
      <c r="F321" s="204"/>
      <c r="G321" s="204"/>
      <c r="H321" s="204"/>
      <c r="I321" s="204"/>
      <c r="J321" s="203"/>
      <c r="K321" s="205"/>
      <c r="L321" s="205"/>
      <c r="M321" s="205"/>
    </row>
    <row r="322">
      <c r="A322" s="202" t="str">
        <f>IFERROR(__xludf.DUMMYFUNCTION("""COMPUTED_VALUE"""),"Mutated Mixture")</f>
        <v>Mutated Mixture</v>
      </c>
      <c r="B322" s="202" t="str">
        <f>IFERROR(__xludf.DUMMYFUNCTION("""COMPUTED_VALUE"""),"Alchemist, 2 Alchemist Features, Expert Med Edu")</f>
        <v>Alchemist, 2 Alchemist Features, Expert Med Edu</v>
      </c>
      <c r="C322" s="202" t="str">
        <f>IFERROR(__xludf.DUMMYFUNCTION("""COMPUTED_VALUE"""),"Static")</f>
        <v>Static</v>
      </c>
      <c r="D322" s="202" t="str">
        <f>IFERROR(__xludf.DUMMYFUNCTION("""COMPUTED_VALUE"""),"Effect: Whenever you use a “Potion” Item listed below, you may instead treat their Effects as the following. An Enemy can only be affected by an Item adjusted this way once per Scene.
» Healing Potion - The Target loses 2d3 Ticks of Hit Points and cannot"&amp;" restore HIt Points until the end of their next Turn.
» Malady Potion - The Target is instead cured of the listed Affliction.
» Strength or Vitality Potion - The Target instead has a negative Modifier or loses Combat Stages in the value specified by the p"&amp;"otion. If the Target has a Negative Modifier this way, it is treated as a Physical Status Affliction that may be cured.")</f>
        <v>Effect: Whenever you use a “Potion” Item listed below, you may instead treat their Effects as the following. An Enemy can only be affected by an Item adjusted this way once per Scene.
» Healing Potion - The Target loses 2d3 Ticks of Hit Points and cannot restore HIt Points until the end of their next Turn.
» Malady Potion - The Target is instead cured of the listed Affliction.
» Strength or Vitality Potion - The Target instead has a negative Modifier or loses Combat Stages in the value specified by the potion. If the Target has a Negative Modifier this way, it is treated as a Physical Status Affliction that may be cured.</v>
      </c>
      <c r="E322" s="203"/>
      <c r="F322" s="204"/>
      <c r="G322" s="204"/>
      <c r="H322" s="204"/>
      <c r="I322" s="204"/>
      <c r="J322" s="203"/>
      <c r="K322" s="205"/>
      <c r="L322" s="205"/>
      <c r="M322" s="205"/>
    </row>
    <row r="323">
      <c r="A323" s="202" t="str">
        <f>IFERROR(__xludf.DUMMYFUNCTION("""COMPUTED_VALUE"""),"Experimental Brew")</f>
        <v>Experimental Brew</v>
      </c>
      <c r="B323" s="202" t="str">
        <f>IFERROR(__xludf.DUMMYFUNCTION("""COMPUTED_VALUE"""),"Alchemist, 3 Alchemist Features, Master Med Edu")</f>
        <v>Alchemist, 3 Alchemist Features, Master Med Edu</v>
      </c>
      <c r="C323" s="202" t="str">
        <f>IFERROR(__xludf.DUMMYFUNCTION("""COMPUTED_VALUE"""),"Scene x2 - Full Action")</f>
        <v>Scene x2 - Full Action</v>
      </c>
      <c r="D323" s="202" t="str">
        <f>IFERROR(__xludf.DUMMYFUNCTION("""COMPUTED_VALUE"""),"Effect: You may use a Throw Maneuver as a Free Action, however you may expend 2 different “Potion” Items when doing so, one being “Basic” and the other being either “Basic or Greater”. Their Effects are combined and both applied to the Target if they hit."&amp;" The chosen Potions cannot have the same Name.")</f>
        <v>Effect: You may use a Throw Maneuver as a Free Action, however you may expend 2 different “Potion” Items when doing so, one being “Basic” and the other being either “Basic or Greater”. Their Effects are combined and both applied to the Target if they hit. The chosen Potions cannot have the same Name.</v>
      </c>
      <c r="E323" s="203"/>
      <c r="F323" s="204"/>
      <c r="G323" s="204"/>
      <c r="H323" s="204"/>
      <c r="I323" s="204"/>
      <c r="J323" s="203"/>
      <c r="K323" s="205"/>
      <c r="L323" s="205"/>
      <c r="M323" s="205"/>
    </row>
    <row r="324">
      <c r="A324" s="202" t="str">
        <f>IFERROR(__xludf.DUMMYFUNCTION("""COMPUTED_VALUE"""),"Apothecary")</f>
        <v>Apothecary</v>
      </c>
      <c r="B324" s="202" t="str">
        <f>IFERROR(__xludf.DUMMYFUNCTION("""COMPUTED_VALUE"""),"Prerequisite 1: Medicine Researcher [or]
Prerequisite 2: Adept Med Edu and Novice Nature Edu")</f>
        <v>Prerequisite 1: Medicine Researcher [or]
Prerequisite 2: Adept Med Edu and Novice Nature Edu</v>
      </c>
      <c r="C324" s="202" t="str">
        <f>IFERROR(__xludf.DUMMYFUNCTION("""COMPUTED_VALUE"""),"Scene x2 - Swift Action")</f>
        <v>Scene x2 - Swift Action</v>
      </c>
      <c r="D324" s="202" t="str">
        <f>IFERROR(__xludf.DUMMYFUNCTION("""COMPUTED_VALUE"""),"Condition: You’re in an area with floral life
Effect: You gain 2 Simple Poultice. If you have Expert Nature Edu, you instead gain 2 Greater Poultice or 3 Simple Poultice.
Bonus: You gain the Herb Crafter Talent, even if you don’t qualify for it. Your “P"&amp;"oultice” Items are treated as “Healing Potions” for the sake of Triggers and Effects from Medicine Researcher.")</f>
        <v>Condition: You’re in an area with floral life
Effect: You gain 2 Simple Poultice. If you have Expert Nature Edu, you instead gain 2 Greater Poultice or 3 Simple Poultice.
Bonus: You gain the Herb Crafter Talent, even if you don’t qualify for it. Your “Poultice” Items are treated as “Healing Potions” for the sake of Triggers and Effects from Medicine Researcher.</v>
      </c>
      <c r="E324" s="203"/>
      <c r="F324" s="204"/>
      <c r="G324" s="204"/>
      <c r="H324" s="204"/>
      <c r="I324" s="204"/>
      <c r="J324" s="203"/>
      <c r="K324" s="205"/>
      <c r="L324" s="205"/>
      <c r="M324" s="205"/>
    </row>
    <row r="325">
      <c r="A325" s="202" t="str">
        <f>IFERROR(__xludf.DUMMYFUNCTION("""COMPUTED_VALUE"""),"Natural Variety")</f>
        <v>Natural Variety</v>
      </c>
      <c r="B325" s="202" t="str">
        <f>IFERROR(__xludf.DUMMYFUNCTION("""COMPUTED_VALUE"""),"Apothecary, Novice Med Edu or Nature Edu")</f>
        <v>Apothecary, Novice Med Edu or Nature Edu</v>
      </c>
      <c r="C325" s="202" t="str">
        <f>IFERROR(__xludf.DUMMYFUNCTION("""COMPUTED_VALUE"""),"At-Will - Swift Action")</f>
        <v>At-Will - Swift Action</v>
      </c>
      <c r="D325" s="202" t="str">
        <f>IFERROR(__xludf.DUMMYFUNCTION("""COMPUTED_VALUE"""),"Effect: When using a Poultice as a Standard Action, you may choose any of the following Effects as well to apply instead of the listed ones.
» The Target gains a +2 Modifier to their choice of Accuracy or Save Checks for the rest of the Scene. If it is a"&amp;" Greater Poultice, they instead gain +3. 
» The Target gains +2 CS in a Stat of your Choice. If it is a Greater Poultice, they choose two Stats.
» The Target gains three Ticks of Temporary Hit Points. If it is a Greater Poultice, they also restore two Tic"&amp;"ks of Hit Points.")</f>
        <v>Effect: When using a Poultice as a Standard Action, you may choose any of the following Effects as well to apply instead of the listed ones.
» The Target gains a +2 Modifier to their choice of Accuracy or Save Checks for the rest of the Scene. If it is a Greater Poultice, they instead gain +3. 
» The Target gains +2 CS in a Stat of your Choice. If it is a Greater Poultice, they choose two Stats.
» The Target gains three Ticks of Temporary Hit Points. If it is a Greater Poultice, they also restore two Ticks of Hit Points.</v>
      </c>
      <c r="E325" s="203"/>
      <c r="F325" s="204"/>
      <c r="G325" s="204"/>
      <c r="H325" s="204"/>
      <c r="I325" s="204"/>
      <c r="J325" s="203"/>
      <c r="K325" s="205"/>
      <c r="L325" s="205"/>
      <c r="M325" s="205"/>
    </row>
    <row r="326">
      <c r="A326" s="202" t="str">
        <f>IFERROR(__xludf.DUMMYFUNCTION("""COMPUTED_VALUE"""),"Botanical Purity")</f>
        <v>Botanical Purity</v>
      </c>
      <c r="B326" s="202" t="str">
        <f>IFERROR(__xludf.DUMMYFUNCTION("""COMPUTED_VALUE"""),"Apothecary, Adept Med Edu or Nature Edu")</f>
        <v>Apothecary, Adept Med Edu or Nature Edu</v>
      </c>
      <c r="C326" s="202" t="str">
        <f>IFERROR(__xludf.DUMMYFUNCTION("""COMPUTED_VALUE"""),"Scene x2 - Free Action")</f>
        <v>Scene x2 - Free Action</v>
      </c>
      <c r="D326" s="202" t="str">
        <f>IFERROR(__xludf.DUMMYFUNCTION("""COMPUTED_VALUE"""),"Target: Yourself or an Adjacent Ally
Effect: Expend a Poultice, then apply one of the following Effects to the Target.
» All Negative CS is reset to their Default CS Value
» One Coat is removed from the Target
» The Target is cured of a Status Affliction")</f>
        <v>Target: Yourself or an Adjacent Ally
Effect: Expend a Poultice, then apply one of the following Effects to the Target.
» All Negative CS is reset to their Default CS Value
» One Coat is removed from the Target
» The Target is cured of a Status Affliction</v>
      </c>
      <c r="E326" s="203"/>
      <c r="F326" s="204"/>
      <c r="G326" s="204"/>
      <c r="H326" s="204"/>
      <c r="I326" s="204"/>
      <c r="J326" s="203"/>
      <c r="K326" s="205"/>
      <c r="L326" s="205"/>
      <c r="M326" s="205"/>
    </row>
    <row r="327">
      <c r="A327" s="202" t="str">
        <f>IFERROR(__xludf.DUMMYFUNCTION("""COMPUTED_VALUE"""),"Protective Salve")</f>
        <v>Protective Salve</v>
      </c>
      <c r="B327" s="202" t="str">
        <f>IFERROR(__xludf.DUMMYFUNCTION("""COMPUTED_VALUE"""),"Apothecary, 2 Apothecary Features, Expert Med Edu or Nature Edu")</f>
        <v>Apothecary, 2 Apothecary Features, Expert Med Edu or Nature Edu</v>
      </c>
      <c r="C327" s="202" t="str">
        <f>IFERROR(__xludf.DUMMYFUNCTION("""COMPUTED_VALUE"""),"Scene x2 - Full Action")</f>
        <v>Scene x2 - Full Action</v>
      </c>
      <c r="D327" s="202" t="str">
        <f>IFERROR(__xludf.DUMMYFUNCTION("""COMPUTED_VALUE"""),"Target: Yourself or an Adjacent Ally
Effect: Expend a Poultice, then the Target gains a Salve Coat. While a Target is affected by a Salve Coat, they have +3 to Save Checks. The Target may expend the Salve Coat to benefit from the Poultice’s Effect or an E"&amp;"ffect from the Natural Variety Feature. A Combatant may only gain a Salve Coat once per Scene. ")</f>
        <v>Target: Yourself or an Adjacent Ally
Effect: Expend a Poultice, then the Target gains a Salve Coat. While a Target is affected by a Salve Coat, they have +3 to Save Checks. The Target may expend the Salve Coat to benefit from the Poultice’s Effect or an Effect from the Natural Variety Feature. A Combatant may only gain a Salve Coat once per Scene. </v>
      </c>
      <c r="E327" s="203"/>
      <c r="F327" s="204"/>
      <c r="G327" s="204"/>
      <c r="H327" s="204"/>
      <c r="I327" s="204"/>
      <c r="J327" s="203"/>
      <c r="K327" s="205"/>
      <c r="L327" s="205"/>
      <c r="M327" s="205"/>
    </row>
    <row r="328">
      <c r="A328" s="202" t="str">
        <f>IFERROR(__xludf.DUMMYFUNCTION("""COMPUTED_VALUE"""),"Natural Remedies")</f>
        <v>Natural Remedies</v>
      </c>
      <c r="B328" s="202" t="str">
        <f>IFERROR(__xludf.DUMMYFUNCTION("""COMPUTED_VALUE"""),"Apothecary, 3 Apothecary Features, Master Med Edu or Nature Edu")</f>
        <v>Apothecary, 3 Apothecary Features, Master Med Edu or Nature Edu</v>
      </c>
      <c r="C328" s="202" t="str">
        <f>IFERROR(__xludf.DUMMYFUNCTION("""COMPUTED_VALUE"""),"Scene - Swift Action")</f>
        <v>Scene - Swift Action</v>
      </c>
      <c r="D328" s="202" t="str">
        <f>IFERROR(__xludf.DUMMYFUNCTION("""COMPUTED_VALUE"""),"Trigger: You use a Poultice
Effect: The Effects of the Triggering Item do not apply immediately. At the start of your next Turn, the Poultice’s Effects apply, however any numerical values are doubled. If the Target is fainted, this Effect may still applie"&amp;"s and revives them.")</f>
        <v>Trigger: You use a Poultice
Effect: The Effects of the Triggering Item do not apply immediately. At the start of your next Turn, the Poultice’s Effects apply, however any numerical values are doubled. If the Target is fainted, this Effect may still applies and revives them.</v>
      </c>
      <c r="E328" s="203"/>
      <c r="F328" s="204"/>
      <c r="G328" s="204"/>
      <c r="H328" s="204"/>
      <c r="I328" s="204"/>
      <c r="J328" s="203"/>
      <c r="K328" s="205"/>
      <c r="L328" s="205"/>
      <c r="M328" s="205"/>
    </row>
    <row r="329">
      <c r="A329" s="202" t="str">
        <f>IFERROR(__xludf.DUMMYFUNCTION("""COMPUTED_VALUE"""),"Nature Researcher")</f>
        <v>Nature Researcher</v>
      </c>
      <c r="B329" s="202" t="str">
        <f>IFERROR(__xludf.DUMMYFUNCTION("""COMPUTED_VALUE"""),"Novice Nature Edu")</f>
        <v>Novice Nature Edu</v>
      </c>
      <c r="C329" s="202" t="str">
        <f>IFERROR(__xludf.DUMMYFUNCTION("""COMPUTED_VALUE"""),"Static")</f>
        <v>Static</v>
      </c>
      <c r="D329" s="202" t="str">
        <f>IFERROR(__xludf.DUMMYFUNCTION("""COMPUTED_VALUE"""),"Effect: When you gain this Feature, you gain the Naturewalk Capability with a Terrain of your choice. While you’re in Terrain that matches one of your Naturewalks, you gain a bonus to Accuracy Rolls equal to your Tier Level. (This bonus does not stack wit"&amp;"h itself)")</f>
        <v>Effect: When you gain this Feature, you gain the Naturewalk Capability with a Terrain of your choice. While you’re in Terrain that matches one of your Naturewalks, you gain a bonus to Accuracy Rolls equal to your Tier Level. (This bonus does not stack with itself)</v>
      </c>
      <c r="E329" s="203"/>
      <c r="F329" s="204"/>
      <c r="G329" s="204"/>
      <c r="H329" s="204"/>
      <c r="I329" s="204"/>
      <c r="J329" s="203"/>
      <c r="K329" s="205"/>
      <c r="L329" s="205"/>
      <c r="M329" s="205"/>
    </row>
    <row r="330">
      <c r="A330" s="202" t="str">
        <f>IFERROR(__xludf.DUMMYFUNCTION("""COMPUTED_VALUE"""),"Wild Trapper")</f>
        <v>Wild Trapper</v>
      </c>
      <c r="B330" s="202" t="str">
        <f>IFERROR(__xludf.DUMMYFUNCTION("""COMPUTED_VALUE"""),"Nature Researcher, Novice Nature Edu")</f>
        <v>Nature Researcher, Novice Nature Edu</v>
      </c>
      <c r="C330" s="202" t="str">
        <f>IFERROR(__xludf.DUMMYFUNCTION("""COMPUTED_VALUE"""),"At-Will - Special")</f>
        <v>At-Will - Special</v>
      </c>
      <c r="D330" s="202" t="str">
        <f>IFERROR(__xludf.DUMMYFUNCTION("""COMPUTED_VALUE"""),"Effect: As a Swift Action, choose up to 3 Unoccupied Spaces that are continuous with each other and start in an Adjacent Space to create one of the following Hazards in it. If you’re in Terrain that matches one of your Naturewalk Capabilities, you instead"&amp;" may choose up to 6 Spaces or use this as a Free Action once per Round. This may be used as an Extended Action to create a Trap that is a 3x3 Zone instead, which takes 10 Minutes to set up.
*See Mechanics - Nature Researcher")</f>
        <v>Effect: As a Swift Action, choose up to 3 Unoccupied Spaces that are continuous with each other and start in an Adjacent Space to create one of the following Hazards in it. If you’re in Terrain that matches one of your Naturewalk Capabilities, you instead may choose up to 6 Spaces or use this as a Free Action once per Round. This may be used as an Extended Action to create a Trap that is a 3x3 Zone instead, which takes 10 Minutes to set up.
*See Mechanics - Nature Researcher</v>
      </c>
      <c r="E330" s="203"/>
      <c r="F330" s="204"/>
      <c r="G330" s="204"/>
      <c r="H330" s="204"/>
      <c r="I330" s="204"/>
      <c r="J330" s="203"/>
      <c r="K330" s="205"/>
      <c r="L330" s="205"/>
      <c r="M330" s="205"/>
    </row>
    <row r="331">
      <c r="A331" s="202" t="str">
        <f>IFERROR(__xludf.DUMMYFUNCTION("""COMPUTED_VALUE"""),"Survival Instincts")</f>
        <v>Survival Instincts</v>
      </c>
      <c r="B331" s="202" t="str">
        <f>IFERROR(__xludf.DUMMYFUNCTION("""COMPUTED_VALUE"""),"Nature Researcher, Adept Nature Edu")</f>
        <v>Nature Researcher, Adept Nature Edu</v>
      </c>
      <c r="C331" s="202" t="str">
        <f>IFERROR(__xludf.DUMMYFUNCTION("""COMPUTED_VALUE"""),"Scene - Reaction")</f>
        <v>Scene - Reaction</v>
      </c>
      <c r="D331" s="202" t="str">
        <f>IFERROR(__xludf.DUMMYFUNCTION("""COMPUTED_VALUE"""),"Effect: You are cured of a Status Affliction. If you’re in Terrain that matches one of your Naturewalk Capabilities, this may also be used as a Swift Action. 
Bonus: While you’re in Terrain that matches one of your Naturewalk Capabilities, you gain a bonu"&amp;"s to Save Checks equal to your Tier Level. (This bonus does not stack with itself)")</f>
        <v>Effect: You are cured of a Status Affliction. If you’re in Terrain that matches one of your Naturewalk Capabilities, this may also be used as a Swift Action. 
Bonus: While you’re in Terrain that matches one of your Naturewalk Capabilities, you gain a bonus to Save Checks equal to your Tier Level. (This bonus does not stack with itself)</v>
      </c>
      <c r="E331" s="203"/>
      <c r="F331" s="204"/>
      <c r="G331" s="204"/>
      <c r="H331" s="204"/>
      <c r="I331" s="204"/>
      <c r="J331" s="203"/>
      <c r="K331" s="205"/>
      <c r="L331" s="205"/>
      <c r="M331" s="205"/>
    </row>
    <row r="332">
      <c r="A332" s="202" t="str">
        <f>IFERROR(__xludf.DUMMYFUNCTION("""COMPUTED_VALUE"""),"Natural Connection")</f>
        <v>Natural Connection</v>
      </c>
      <c r="B332" s="202" t="str">
        <f>IFERROR(__xludf.DUMMYFUNCTION("""COMPUTED_VALUE"""),"Nature Researcher, 2 Nature Researcher Features, Expert Nature Edu")</f>
        <v>Nature Researcher, 2 Nature Researcher Features, Expert Nature Edu</v>
      </c>
      <c r="C332" s="202" t="str">
        <f>IFERROR(__xludf.DUMMYFUNCTION("""COMPUTED_VALUE"""),"Bind 1 - Swift Action")</f>
        <v>Bind 1 - Swift Action</v>
      </c>
      <c r="D332" s="202" t="str">
        <f>IFERROR(__xludf.DUMMYFUNCTION("""COMPUTED_VALUE"""),"Target: An Allied Pokemon within 3m of you
Effect: While you’re within 3m of the Target, you’re treated as being in the Terrain(s) listed under its Naturewalk Capability for the sake of Effects.
Bonus: You gain the Naturewalk Capability with a Terrain of "&amp;"your choice.")</f>
        <v>Target: An Allied Pokemon within 3m of you
Effect: While you’re within 3m of the Target, you’re treated as being in the Terrain(s) listed under its Naturewalk Capability for the sake of Effects.
Bonus: You gain the Naturewalk Capability with a Terrain of your choice.</v>
      </c>
      <c r="E332" s="203"/>
      <c r="F332" s="204"/>
      <c r="G332" s="204"/>
      <c r="H332" s="204"/>
      <c r="I332" s="204"/>
      <c r="J332" s="203"/>
      <c r="K332" s="205"/>
      <c r="L332" s="205"/>
      <c r="M332" s="205"/>
    </row>
    <row r="333">
      <c r="A333" s="202" t="str">
        <f>IFERROR(__xludf.DUMMYFUNCTION("""COMPUTED_VALUE"""),"Wild Adaptation")</f>
        <v>Wild Adaptation</v>
      </c>
      <c r="B333" s="202" t="str">
        <f>IFERROR(__xludf.DUMMYFUNCTION("""COMPUTED_VALUE"""),"Nature Researcher, 3 Nature Researcher Features, Master Nature Edu")</f>
        <v>Nature Researcher, 3 Nature Researcher Features, Master Nature Edu</v>
      </c>
      <c r="C333" s="202" t="str">
        <f>IFERROR(__xludf.DUMMYFUNCTION("""COMPUTED_VALUE"""),"Static")</f>
        <v>Static</v>
      </c>
      <c r="D333" s="202" t="str">
        <f>IFERROR(__xludf.DUMMYFUNCTION("""COMPUTED_VALUE"""),"Effect: Choose a Terrain listed on the next page for which you have the corresponding Naturewalk and gain the listed Ability. For each Naturewalk you have, you gain the listed Static Effect after the corresponding Terrain.
See the Nature Researcher Chart"&amp;" page for the full list.")</f>
        <v>Effect: Choose a Terrain listed on the next page for which you have the corresponding Naturewalk and gain the listed Ability. For each Naturewalk you have, you gain the listed Static Effect after the corresponding Terrain.
See the Nature Researcher Chart page for the full list.</v>
      </c>
      <c r="E333" s="203"/>
      <c r="F333" s="204"/>
      <c r="G333" s="204"/>
      <c r="H333" s="204"/>
      <c r="I333" s="204"/>
      <c r="J333" s="203"/>
      <c r="K333" s="205"/>
      <c r="L333" s="205"/>
      <c r="M333" s="205"/>
    </row>
    <row r="334">
      <c r="A334" s="202" t="str">
        <f>IFERROR(__xludf.DUMMYFUNCTION("""COMPUTED_VALUE"""),"Nomad")</f>
        <v>Nomad</v>
      </c>
      <c r="B334" s="202" t="str">
        <f>IFERROR(__xludf.DUMMYFUNCTION("""COMPUTED_VALUE"""),"Prerequisite 1: Nature Researcher [or]
Prerequisite 2: Adept Gen Edu or Nature Edu")</f>
        <v>Prerequisite 1: Nature Researcher [or]
Prerequisite 2: Adept Gen Edu or Nature Edu</v>
      </c>
      <c r="C334" s="202" t="str">
        <f>IFERROR(__xludf.DUMMYFUNCTION("""COMPUTED_VALUE"""),"Static")</f>
        <v>Static</v>
      </c>
      <c r="D334" s="202" t="str">
        <f>IFERROR(__xludf.DUMMYFUNCTION("""COMPUTED_VALUE"""),"Effect: While you’re in Terrain that matches one of your Naturewalk Capabilities, you cannot become Slowed or Tripped. You gain 2 Inventory Slots and another 2 when you have 3 Nomad Features and another 2 when you have 5 Nomad Features. You cannot have mo"&amp;"re than 12 total Inventory Slots. ")</f>
        <v>Effect: While you’re in Terrain that matches one of your Naturewalk Capabilities, you cannot become Slowed or Tripped. You gain 2 Inventory Slots and another 2 when you have 3 Nomad Features and another 2 when you have 5 Nomad Features. You cannot have more than 12 total Inventory Slots. </v>
      </c>
      <c r="E334" s="203"/>
      <c r="F334" s="204"/>
      <c r="G334" s="204"/>
      <c r="H334" s="204"/>
      <c r="I334" s="204"/>
      <c r="J334" s="203"/>
      <c r="K334" s="205"/>
      <c r="L334" s="205"/>
      <c r="M334" s="205"/>
    </row>
    <row r="335">
      <c r="A335" s="202" t="str">
        <f>IFERROR(__xludf.DUMMYFUNCTION("""COMPUTED_VALUE"""),"Improvised Items")</f>
        <v>Improvised Items</v>
      </c>
      <c r="B335" s="202" t="str">
        <f>IFERROR(__xludf.DUMMYFUNCTION("""COMPUTED_VALUE"""),"Nomad, Novice Gen Edu or Nature Edu")</f>
        <v>Nomad, Novice Gen Edu or Nature Edu</v>
      </c>
      <c r="C335" s="202" t="str">
        <f>IFERROR(__xludf.DUMMYFUNCTION("""COMPUTED_VALUE"""),"Scene x2 - Free Action")</f>
        <v>Scene x2 - Free Action</v>
      </c>
      <c r="D335" s="202" t="str">
        <f>IFERROR(__xludf.DUMMYFUNCTION("""COMPUTED_VALUE"""),"Trigger: You use the Throw Maneuver
Effect: It gains the Sureshot Keyword or the Throw Maneuver’s range becomes Ranged Blast 2.")</f>
        <v>Trigger: You use the Throw Maneuver
Effect: It gains the Sureshot Keyword or the Throw Maneuver’s range becomes Ranged Blast 2.</v>
      </c>
      <c r="E335" s="203"/>
      <c r="F335" s="204"/>
      <c r="G335" s="204"/>
      <c r="H335" s="204"/>
      <c r="I335" s="204"/>
      <c r="J335" s="203"/>
      <c r="K335" s="205"/>
      <c r="L335" s="205"/>
      <c r="M335" s="205"/>
    </row>
    <row r="336">
      <c r="A336" s="202" t="str">
        <f>IFERROR(__xludf.DUMMYFUNCTION("""COMPUTED_VALUE"""),"Traveling Caravan")</f>
        <v>Traveling Caravan</v>
      </c>
      <c r="B336" s="202" t="str">
        <f>IFERROR(__xludf.DUMMYFUNCTION("""COMPUTED_VALUE"""),"Nomad, Adept Gen Edu or Nature Edu")</f>
        <v>Nomad, Adept Gen Edu or Nature Edu</v>
      </c>
      <c r="C336" s="202" t="str">
        <f>IFERROR(__xludf.DUMMYFUNCTION("""COMPUTED_VALUE"""),"Bind 1 - Extended Action")</f>
        <v>Bind 1 - Extended Action</v>
      </c>
      <c r="D336" s="202" t="str">
        <f>IFERROR(__xludf.DUMMYFUNCTION("""COMPUTED_VALUE"""),"Target: A Small or Medium [Equipment] Item in one of your Inventory Slots
Effect: While this Feature is bound, the Targeted Item is treated as being Equipped, despite being in an Inventory Slot.
Bonus: When you have 5 Nomad Features, this Feature becomes "&amp;"Bind 2, instead.")</f>
        <v>Target: A Small or Medium [Equipment] Item in one of your Inventory Slots
Effect: While this Feature is bound, the Targeted Item is treated as being Equipped, despite being in an Inventory Slot.
Bonus: When you have 5 Nomad Features, this Feature becomes Bind 2, instead.</v>
      </c>
      <c r="E336" s="203"/>
      <c r="F336" s="204"/>
      <c r="G336" s="204"/>
      <c r="H336" s="204"/>
      <c r="I336" s="204"/>
      <c r="J336" s="203"/>
      <c r="K336" s="205"/>
      <c r="L336" s="205"/>
      <c r="M336" s="205"/>
    </row>
    <row r="337">
      <c r="A337" s="202" t="str">
        <f>IFERROR(__xludf.DUMMYFUNCTION("""COMPUTED_VALUE"""),"Venerable Vagabond")</f>
        <v>Venerable Vagabond</v>
      </c>
      <c r="B337" s="202" t="str">
        <f>IFERROR(__xludf.DUMMYFUNCTION("""COMPUTED_VALUE"""),"Nomad, Expert Gen Edu or Nature Edu")</f>
        <v>Nomad, Expert Gen Edu or Nature Edu</v>
      </c>
      <c r="C337" s="202" t="str">
        <f>IFERROR(__xludf.DUMMYFUNCTION("""COMPUTED_VALUE"""),"Static")</f>
        <v>Static</v>
      </c>
      <c r="D337" s="202" t="str">
        <f>IFERROR(__xludf.DUMMYFUNCTION("""COMPUTED_VALUE"""),"Effect: Choose two of the Effects below to apply. You may choose the same one twice if desired. 
» You gain the Skill Specialty Talent 
» Choose one [Consumable] Item. Whenever you possess it, it has the [Resource] Keyword. 
» Choose one Item that isn’t "&amp;"[Consumable] or [Equipment]. It gains the [Trinket] Keyword
» Choose two Terrains to gain the Naturewalk Capability for")</f>
        <v>Effect: Choose two of the Effects below to apply. You may choose the same one twice if desired. 
» You gain the Skill Specialty Talent 
» Choose one [Consumable] Item. Whenever you possess it, it has the [Resource] Keyword. 
» Choose one Item that isn’t [Consumable] or [Equipment]. It gains the [Trinket] Keyword
» Choose two Terrains to gain the Naturewalk Capability for</v>
      </c>
      <c r="E337" s="203"/>
      <c r="F337" s="204"/>
      <c r="G337" s="204"/>
      <c r="H337" s="204"/>
      <c r="I337" s="204"/>
      <c r="J337" s="203"/>
      <c r="K337" s="205"/>
      <c r="L337" s="205"/>
      <c r="M337" s="205"/>
    </row>
    <row r="338">
      <c r="A338" s="202" t="str">
        <f>IFERROR(__xludf.DUMMYFUNCTION("""COMPUTED_VALUE"""),"Supply Tactics")</f>
        <v>Supply Tactics</v>
      </c>
      <c r="B338" s="202" t="str">
        <f>IFERROR(__xludf.DUMMYFUNCTION("""COMPUTED_VALUE"""),"Nomad, 3 Nomad Features, Master Gen Edu or Nature Edu")</f>
        <v>Nomad, 3 Nomad Features, Master Gen Edu or Nature Edu</v>
      </c>
      <c r="C338" s="202" t="str">
        <f>IFERROR(__xludf.DUMMYFUNCTION("""COMPUTED_VALUE"""),"Scene x2 - Special")</f>
        <v>Scene x2 - Special</v>
      </c>
      <c r="D338" s="202" t="str">
        <f>IFERROR(__xludf.DUMMYFUNCTION("""COMPUTED_VALUE"""),"Effect: Choose one of the following effects to apply:
» As a Swift Action, you may use an Item that would normally require a Standard Action.
» As a Free Action, you may use an Item that would normally require a Swift Action.
» As a Swift Action, you may"&amp;" use a Throw Maneuver.")</f>
        <v>Effect: Choose one of the following effects to apply:
» As a Swift Action, you may use an Item that would normally require a Standard Action.
» As a Free Action, you may use an Item that would normally require a Swift Action.
» As a Swift Action, you may use a Throw Maneuver.</v>
      </c>
      <c r="E338" s="203"/>
      <c r="F338" s="204"/>
      <c r="G338" s="204"/>
      <c r="H338" s="204"/>
      <c r="I338" s="204"/>
      <c r="J338" s="203"/>
      <c r="K338" s="205"/>
      <c r="L338" s="205"/>
      <c r="M338" s="205"/>
    </row>
    <row r="339">
      <c r="A339" s="202" t="str">
        <f>IFERROR(__xludf.DUMMYFUNCTION("""COMPUTED_VALUE"""),"Herbalist")</f>
        <v>Herbalist</v>
      </c>
      <c r="B339" s="202" t="str">
        <f>IFERROR(__xludf.DUMMYFUNCTION("""COMPUTED_VALUE"""),"Prerequisite 1: Nature Researcher [or]
Prerequisite 2: Adept Nature Edu")</f>
        <v>Prerequisite 1: Nature Researcher [or]
Prerequisite 2: Adept Nature Edu</v>
      </c>
      <c r="C339" s="202" t="str">
        <f>IFERROR(__xludf.DUMMYFUNCTION("""COMPUTED_VALUE"""),"Static")</f>
        <v>Static</v>
      </c>
      <c r="D339" s="202" t="str">
        <f>IFERROR(__xludf.DUMMYFUNCTION("""COMPUTED_VALUE"""),"Effect: You gain the Seed Bag Item and it gains the [Trinket] Keyword and is always treated as Equipped. If it were to occupy an Equipment Slot despite having the [Trinket] keyword, you have a bonus to Accuracy equal to your Tier Level for Attacks provide"&amp;"d by it and the Herbalist Class.")</f>
        <v>Effect: You gain the Seed Bag Item and it gains the [Trinket] Keyword and is always treated as Equipped. If it were to occupy an Equipment Slot despite having the [Trinket] keyword, you have a bonus to Accuracy equal to your Tier Level for Attacks provided by it and the Herbalist Class.</v>
      </c>
      <c r="E339" s="203"/>
      <c r="F339" s="204"/>
      <c r="G339" s="204"/>
      <c r="H339" s="204"/>
      <c r="I339" s="204"/>
      <c r="J339" s="203"/>
      <c r="K339" s="205"/>
      <c r="L339" s="205"/>
      <c r="M339" s="205"/>
    </row>
    <row r="340">
      <c r="A340" s="202" t="str">
        <f>IFERROR(__xludf.DUMMYFUNCTION("""COMPUTED_VALUE"""),"Seed Spray")</f>
        <v>Seed Spray</v>
      </c>
      <c r="B340" s="202" t="str">
        <f>IFERROR(__xludf.DUMMYFUNCTION("""COMPUTED_VALUE"""),"Herbalist, Novice Nature Edu")</f>
        <v>Herbalist, Novice Nature Edu</v>
      </c>
      <c r="C340" s="202" t="str">
        <f>IFERROR(__xludf.DUMMYFUNCTION("""COMPUTED_VALUE"""),"At-Will - Swift Action")</f>
        <v>At-Will - Swift Action</v>
      </c>
      <c r="D340" s="202" t="str">
        <f>IFERROR(__xludf.DUMMYFUNCTION("""COMPUTED_VALUE"""),"Trigger: You use an Attack provided by the Seed Bag Item
Effect: You may use the Triggering Attack as if its range was 6, Ranged Blast 3 or Close Blast 2.
Bonus: You learn the Attack Bullet Seed. At Expert Rank Nature Edu, you learn the Attack Seed Bomb.")</f>
        <v>Trigger: You use an Attack provided by the Seed Bag Item
Effect: You may use the Triggering Attack as if its range was 6, Ranged Blast 3 or Close Blast 2.
Bonus: You learn the Attack Bullet Seed. At Expert Rank Nature Edu, you learn the Attack Seed Bomb.</v>
      </c>
      <c r="E340" s="203"/>
      <c r="F340" s="204"/>
      <c r="G340" s="204"/>
      <c r="H340" s="204"/>
      <c r="I340" s="204"/>
      <c r="J340" s="203"/>
      <c r="K340" s="205"/>
      <c r="L340" s="205"/>
      <c r="M340" s="205"/>
    </row>
    <row r="341">
      <c r="A341" s="202" t="str">
        <f>IFERROR(__xludf.DUMMYFUNCTION("""COMPUTED_VALUE"""),"Floral Diversity")</f>
        <v>Floral Diversity</v>
      </c>
      <c r="B341" s="202" t="str">
        <f>IFERROR(__xludf.DUMMYFUNCTION("""COMPUTED_VALUE"""),"Herbalist, Adept Nature Edu")</f>
        <v>Herbalist, Adept Nature Edu</v>
      </c>
      <c r="C341" s="202" t="str">
        <f>IFERROR(__xludf.DUMMYFUNCTION("""COMPUTED_VALUE"""),"Static")</f>
        <v>Static</v>
      </c>
      <c r="D341" s="202" t="str">
        <f>IFERROR(__xludf.DUMMYFUNCTION("""COMPUTED_VALUE"""),"Effect: When adding Attacks to your Seed Bag, you also may choose from the following Attacks:
» Cotton Spore, Magic Powder, Powder, Rage Powder, Spore, Worry Seed")</f>
        <v>Effect: When adding Attacks to your Seed Bag, you also may choose from the following Attacks:
» Cotton Spore, Magic Powder, Powder, Rage Powder, Spore, Worry Seed</v>
      </c>
      <c r="E341" s="203"/>
      <c r="F341" s="204"/>
      <c r="G341" s="204"/>
      <c r="H341" s="204"/>
      <c r="I341" s="204"/>
      <c r="J341" s="203"/>
      <c r="K341" s="205"/>
      <c r="L341" s="205"/>
      <c r="M341" s="205"/>
    </row>
    <row r="342">
      <c r="A342" s="202" t="str">
        <f>IFERROR(__xludf.DUMMYFUNCTION("""COMPUTED_VALUE"""),"Seed Specialist")</f>
        <v>Seed Specialist</v>
      </c>
      <c r="B342" s="202" t="str">
        <f>IFERROR(__xludf.DUMMYFUNCTION("""COMPUTED_VALUE"""),"Herbalist, 2 Herbalist Features, Expert Nature Edu")</f>
        <v>Herbalist, 2 Herbalist Features, Expert Nature Edu</v>
      </c>
      <c r="C342" s="202" t="str">
        <f>IFERROR(__xludf.DUMMYFUNCTION("""COMPUTED_VALUE"""),"Scene - Free Action")</f>
        <v>Scene - Free Action</v>
      </c>
      <c r="D342" s="202" t="str">
        <f>IFERROR(__xludf.DUMMYFUNCTION("""COMPUTED_VALUE"""),"Target: An Attack on your Attack list that was granted by the Seed Bag Item
Effect: The Targeted Attack has its Frequency fully replenished.
Bonus: The Maximum Attacks your Seed Bag can grant are 6 attacks instead of 3.")</f>
        <v>Target: An Attack on your Attack list that was granted by the Seed Bag Item
Effect: The Targeted Attack has its Frequency fully replenished.
Bonus: The Maximum Attacks your Seed Bag can grant are 6 attacks instead of 3.</v>
      </c>
      <c r="E342" s="203"/>
      <c r="F342" s="204"/>
      <c r="G342" s="204"/>
      <c r="H342" s="204"/>
      <c r="I342" s="204"/>
      <c r="J342" s="203"/>
      <c r="K342" s="205"/>
      <c r="L342" s="205"/>
      <c r="M342" s="205"/>
    </row>
    <row r="343">
      <c r="A343" s="202" t="str">
        <f>IFERROR(__xludf.DUMMYFUNCTION("""COMPUTED_VALUE"""),"Potent Powder")</f>
        <v>Potent Powder</v>
      </c>
      <c r="B343" s="202" t="str">
        <f>IFERROR(__xludf.DUMMYFUNCTION("""COMPUTED_VALUE"""),"Herbalist, 3 Herbalist Features, Master Nature Edu")</f>
        <v>Herbalist, 3 Herbalist Features, Master Nature Edu</v>
      </c>
      <c r="C343" s="202" t="str">
        <f>IFERROR(__xludf.DUMMYFUNCTION("""COMPUTED_VALUE"""),"Scene x2 - Free Action")</f>
        <v>Scene x2 - Free Action</v>
      </c>
      <c r="D343" s="202" t="str">
        <f>IFERROR(__xludf.DUMMYFUNCTION("""COMPUTED_VALUE"""),"Trigger: You miss all Targets with an Attack provided by your Seed Bag or a Herbalist Feature
Effect: Repeat the Triggering Attack as a Free Action with different Targets if desired. If the Triggering Attack was Damaging, it’s resisted by an additional Da"&amp;"mage Step. If the Triggering Attack was a Status Category, it applies the Versatile Effect instead if applicable (Ignoring any changes to AC or Range).")</f>
        <v>Trigger: You miss all Targets with an Attack provided by your Seed Bag or a Herbalist Feature
Effect: Repeat the Triggering Attack as a Free Action with different Targets if desired. If the Triggering Attack was Damaging, it’s resisted by an additional Damage Step. If the Triggering Attack was a Status Category, it applies the Versatile Effect instead if applicable (Ignoring any changes to AC or Range).</v>
      </c>
      <c r="E343" s="203"/>
      <c r="F343" s="204"/>
      <c r="G343" s="204"/>
      <c r="H343" s="204"/>
      <c r="I343" s="204"/>
      <c r="J343" s="203"/>
      <c r="K343" s="205"/>
      <c r="L343" s="205"/>
      <c r="M343" s="205"/>
    </row>
    <row r="344">
      <c r="A344" s="202" t="str">
        <f>IFERROR(__xludf.DUMMYFUNCTION("""COMPUTED_VALUE"""),"Occult Researcher")</f>
        <v>Occult Researcher</v>
      </c>
      <c r="B344" s="202" t="str">
        <f>IFERROR(__xludf.DUMMYFUNCTION("""COMPUTED_VALUE"""),"Novice Occult Edu")</f>
        <v>Novice Occult Edu</v>
      </c>
      <c r="C344" s="202" t="str">
        <f>IFERROR(__xludf.DUMMYFUNCTION("""COMPUTED_VALUE"""),"Static")</f>
        <v>Static</v>
      </c>
      <c r="D344" s="202" t="str">
        <f>IFERROR(__xludf.DUMMYFUNCTION("""COMPUTED_VALUE"""),"Effect: Upon gaining this Feature, choose a [Class] Feature that has Occult Researcher as a Prerequisite and you gain it as a Bonus Feature, becoming your Linked Class. When Features in a Linked Class refer to a Skill, you may replace it with Occult Educa"&amp;"tion.
Example: Empath’s Twisted Emotions can be taken with Novice Occult Edu instead of Intuition. Using the Empath Feature may use Occult Education instead of Intuition vs their Focus. ")</f>
        <v>Effect: Upon gaining this Feature, choose a [Class] Feature that has Occult Researcher as a Prerequisite and you gain it as a Bonus Feature, becoming your Linked Class. When Features in a Linked Class refer to a Skill, you may replace it with Occult Education.
Example: Empath’s Twisted Emotions can be taken with Novice Occult Edu instead of Intuition. Using the Empath Feature may use Occult Education instead of Intuition vs their Focus. </v>
      </c>
      <c r="E344" s="203"/>
      <c r="F344" s="204"/>
      <c r="G344" s="204"/>
      <c r="H344" s="204"/>
      <c r="I344" s="204"/>
      <c r="J344" s="203"/>
      <c r="K344" s="205"/>
      <c r="L344" s="205"/>
      <c r="M344" s="205"/>
    </row>
    <row r="345">
      <c r="A345" s="202" t="str">
        <f>IFERROR(__xludf.DUMMYFUNCTION("""COMPUTED_VALUE"""),"Esoteric Knowledge [Rank 1]")</f>
        <v>Esoteric Knowledge [Rank 1]</v>
      </c>
      <c r="B345" s="202" t="str">
        <f>IFERROR(__xludf.DUMMYFUNCTION("""COMPUTED_VALUE"""),"Occult Researcher, Novice Occult Edu")</f>
        <v>Occult Researcher, Novice Occult Edu</v>
      </c>
      <c r="C345" s="202" t="str">
        <f>IFERROR(__xludf.DUMMYFUNCTION("""COMPUTED_VALUE"""),"Static")</f>
        <v>Static</v>
      </c>
      <c r="D345" s="202" t="str">
        <f>IFERROR(__xludf.DUMMYFUNCTION("""COMPUTED_VALUE"""),"Effect: Choose a Supernatural Topic that your Character is studying to become your Occult Study. Gain two effects listed on the Occult Researcher Page that are related to your Occult Study. Coordinate with your GM for an Effect that is most applicable to "&amp;"what your Character has studied and would benefit from as a result. Examples are listed in the Rule Book under the Occult Researcher Page.")</f>
        <v>Effect: Choose a Supernatural Topic that your Character is studying to become your Occult Study. Gain two effects listed on the Occult Researcher Page that are related to your Occult Study. Coordinate with your GM for an Effect that is most applicable to what your Character has studied and would benefit from as a result. Examples are listed in the Rule Book under the Occult Researcher Page.</v>
      </c>
      <c r="E345" s="203"/>
      <c r="F345" s="204"/>
      <c r="G345" s="204"/>
      <c r="H345" s="204"/>
      <c r="I345" s="204"/>
      <c r="J345" s="203"/>
      <c r="K345" s="205"/>
      <c r="L345" s="205"/>
      <c r="M345" s="205"/>
    </row>
    <row r="346">
      <c r="A346" s="202" t="str">
        <f>IFERROR(__xludf.DUMMYFUNCTION("""COMPUTED_VALUE"""),"Esoteric Knowledge [Rank 2]")</f>
        <v>Esoteric Knowledge [Rank 2]</v>
      </c>
      <c r="B346" s="202" t="str">
        <f>IFERROR(__xludf.DUMMYFUNCTION("""COMPUTED_VALUE"""),"Occult Researcher, Expert Occult Edu")</f>
        <v>Occult Researcher, Expert Occult Edu</v>
      </c>
      <c r="C346" s="202" t="str">
        <f>IFERROR(__xludf.DUMMYFUNCTION("""COMPUTED_VALUE"""),"Static")</f>
        <v>Static</v>
      </c>
      <c r="D346" s="202" t="str">
        <f>IFERROR(__xludf.DUMMYFUNCTION("""COMPUTED_VALUE"""),"Effect: Choose a Supernatural Topic that your Character is studying to become your Occult Study. Gain two effects listed on the Occult Researcher Page that are related to your Occult Study. Coordinate with your GM for an Effect that is most applicable to "&amp;"what your Character has studied and would benefit from as a result. Examples are listed in the Rule Book under the Occult Researcher Page.")</f>
        <v>Effect: Choose a Supernatural Topic that your Character is studying to become your Occult Study. Gain two effects listed on the Occult Researcher Page that are related to your Occult Study. Coordinate with your GM for an Effect that is most applicable to what your Character has studied and would benefit from as a result. Examples are listed in the Rule Book under the Occult Researcher Page.</v>
      </c>
      <c r="E346" s="203"/>
      <c r="F346" s="204"/>
      <c r="G346" s="204"/>
      <c r="H346" s="204"/>
      <c r="I346" s="204"/>
      <c r="J346" s="203"/>
      <c r="K346" s="205"/>
      <c r="L346" s="205"/>
      <c r="M346" s="205"/>
    </row>
    <row r="347">
      <c r="A347" s="202" t="str">
        <f>IFERROR(__xludf.DUMMYFUNCTION("""COMPUTED_VALUE"""),"Arcane Recovery")</f>
        <v>Arcane Recovery</v>
      </c>
      <c r="B347" s="202" t="str">
        <f>IFERROR(__xludf.DUMMYFUNCTION("""COMPUTED_VALUE"""),"Occult Researcher, Adept Occult Edu")</f>
        <v>Occult Researcher, Adept Occult Edu</v>
      </c>
      <c r="C347" s="202" t="str">
        <f>IFERROR(__xludf.DUMMYFUNCTION("""COMPUTED_VALUE"""),"Scene - Swift Action")</f>
        <v>Scene - Swift Action</v>
      </c>
      <c r="D347" s="202" t="str">
        <f>IFERROR(__xludf.DUMMYFUNCTION("""COMPUTED_VALUE"""),"Effect: Choose a Feature on your Linked Class, an Attack granted by your Linked Class or an Ability granted by your LInked Class. Its Frequency is restored by one additional usage.")</f>
        <v>Effect: Choose a Feature on your Linked Class, an Attack granted by your Linked Class or an Ability granted by your LInked Class. Its Frequency is restored by one additional usage.</v>
      </c>
      <c r="E347" s="203"/>
      <c r="F347" s="204"/>
      <c r="G347" s="204"/>
      <c r="H347" s="204"/>
      <c r="I347" s="204"/>
      <c r="J347" s="203"/>
      <c r="K347" s="205"/>
      <c r="L347" s="205"/>
      <c r="M347" s="205"/>
    </row>
    <row r="348">
      <c r="A348" s="202" t="str">
        <f>IFERROR(__xludf.DUMMYFUNCTION("""COMPUTED_VALUE"""),"Occult Efficiency")</f>
        <v>Occult Efficiency</v>
      </c>
      <c r="B348" s="202" t="str">
        <f>IFERROR(__xludf.DUMMYFUNCTION("""COMPUTED_VALUE"""),"Occult Researcher, 3 Occult Researcher Features, Master Occult Edu")</f>
        <v>Occult Researcher, 3 Occult Researcher Features, Master Occult Edu</v>
      </c>
      <c r="C348" s="202" t="str">
        <f>IFERROR(__xludf.DUMMYFUNCTION("""COMPUTED_VALUE"""),"Scene - Free Action")</f>
        <v>Scene - Free Action</v>
      </c>
      <c r="D348" s="202" t="str">
        <f>IFERROR(__xludf.DUMMYFUNCTION("""COMPUTED_VALUE"""),"Effect: Choose a Feature on your Linked Class, an Attack granted by your Linked Class or an Ability granted by your LInked Class. During this Turn, the Feature’s Action Cost is improved by one step. If it uses a Full Action, it becomes a Standard. If it w"&amp;"as a Standard it becomes a Swift. If it was a Swift or Reaction it becomes Free. If it becomes free it can only be used once this Turn.")</f>
        <v>Effect: Choose a Feature on your Linked Class, an Attack granted by your Linked Class or an Ability granted by your LInked Class. During this Turn, the Feature’s Action Cost is improved by one step. If it uses a Full Action, it becomes a Standard. If it was a Standard it becomes a Swift. If it was a Swift or Reaction it becomes Free. If it becomes free it can only be used once this Turn.</v>
      </c>
      <c r="E348" s="203"/>
      <c r="F348" s="204"/>
      <c r="G348" s="204"/>
      <c r="H348" s="204"/>
      <c r="I348" s="204"/>
      <c r="J348" s="203"/>
      <c r="K348" s="205"/>
      <c r="L348" s="205"/>
      <c r="M348" s="205"/>
    </row>
    <row r="349">
      <c r="A349" s="202" t="str">
        <f>IFERROR(__xludf.DUMMYFUNCTION("""COMPUTED_VALUE"""),"Aura Guardian")</f>
        <v>Aura Guardian</v>
      </c>
      <c r="B349" s="202" t="str">
        <f>IFERROR(__xludf.DUMMYFUNCTION("""COMPUTED_VALUE"""),"Prerequisite 1: Occult Researcher or Mystic [or]
Prerequisite 2: Adept Occult Edu or Intuition, Novice Focus")</f>
        <v>Prerequisite 1: Occult Researcher or Mystic [or]
Prerequisite 2: Adept Occult Edu or Intuition, Novice Focus</v>
      </c>
      <c r="C349" s="202" t="str">
        <f>IFERROR(__xludf.DUMMYFUNCTION("""COMPUTED_VALUE"""),"Static")</f>
        <v>Static</v>
      </c>
      <c r="D349" s="202" t="str">
        <f>IFERROR(__xludf.DUMMYFUNCTION("""COMPUTED_VALUE"""),"Effect: Choose two of Aura Blast, Detect, Force Bullet, or Vacuum Wave. You learn the chosen Attacks. When you have 4 Aura Guardian Features, choose two of Aura Burst, Aura Sphere, Focus Blast or Heal Pulse. You learn the chosen Attacks.")</f>
        <v>Effect: Choose two of Aura Blast, Detect, Force Bullet, or Vacuum Wave. You learn the chosen Attacks. When you have 4 Aura Guardian Features, choose two of Aura Burst, Aura Sphere, Focus Blast or Heal Pulse. You learn the chosen Attacks.</v>
      </c>
      <c r="E349" s="203"/>
      <c r="F349" s="204"/>
      <c r="G349" s="204"/>
      <c r="H349" s="204"/>
      <c r="I349" s="204"/>
      <c r="J349" s="203"/>
      <c r="K349" s="205"/>
      <c r="L349" s="205"/>
      <c r="M349" s="205"/>
    </row>
    <row r="350">
      <c r="A350" s="202" t="str">
        <f>IFERROR(__xludf.DUMMYFUNCTION("""COMPUTED_VALUE"""),"Aura Reading")</f>
        <v>Aura Reading</v>
      </c>
      <c r="B350" s="202" t="str">
        <f>IFERROR(__xludf.DUMMYFUNCTION("""COMPUTED_VALUE"""),"Aura Guardian, Novice Occult Edu or Intuition, Novice Focus")</f>
        <v>Aura Guardian, Novice Occult Edu or Intuition, Novice Focus</v>
      </c>
      <c r="C350" s="202" t="str">
        <f>IFERROR(__xludf.DUMMYFUNCTION("""COMPUTED_VALUE"""),"Static")</f>
        <v>Static</v>
      </c>
      <c r="D350" s="202" t="str">
        <f>IFERROR(__xludf.DUMMYFUNCTION("""COMPUTED_VALUE"""),"Effect: You gain the Aura Reader Capability. When you have Expert Occult Edu or Focus, choose either the Blindsense, Empath, Telepath or Tremorsense Capability to gain. Whenever you sense that a Combatant has negative intentions, you have a Boon to Skill "&amp;"Checks against them or opposed by them.")</f>
        <v>Effect: You gain the Aura Reader Capability. When you have Expert Occult Edu or Focus, choose either the Blindsense, Empath, Telepath or Tremorsense Capability to gain. Whenever you sense that a Combatant has negative intentions, you have a Boon to Skill Checks against them or opposed by them.</v>
      </c>
      <c r="E350" s="203"/>
      <c r="F350" s="204"/>
      <c r="G350" s="204"/>
      <c r="H350" s="204"/>
      <c r="I350" s="204"/>
      <c r="J350" s="203"/>
      <c r="K350" s="205"/>
      <c r="L350" s="205"/>
      <c r="M350" s="205"/>
    </row>
    <row r="351">
      <c r="A351" s="202" t="str">
        <f>IFERROR(__xludf.DUMMYFUNCTION("""COMPUTED_VALUE"""),"Ambient Aura")</f>
        <v>Ambient Aura</v>
      </c>
      <c r="B351" s="202" t="str">
        <f>IFERROR(__xludf.DUMMYFUNCTION("""COMPUTED_VALUE"""),"Aura Guardian, Adept Occult Edu or Intuition, Novice Focus")</f>
        <v>Aura Guardian, Adept Occult Edu or Intuition, Novice Focus</v>
      </c>
      <c r="C351" s="202" t="str">
        <f>IFERROR(__xludf.DUMMYFUNCTION("""COMPUTED_VALUE"""),"At-Will - Free Action")</f>
        <v>At-Will - Free Action</v>
      </c>
      <c r="D351" s="202" t="str">
        <f>IFERROR(__xludf.DUMMYFUNCTION("""COMPUTED_VALUE"""),"Trigger: You use an Attack with the Aura Keyword or an Ally within 5m rolls a Natural 15+ on any d20 
Effect: You gain an Aura Counter (Max 6). If the Triggering Attack was a Double Strike or Five Strike, it can only trigger this Feature once.
Bonus: Aura"&amp;" Counters may be expended in any of the following ways:
&gt; When you or an Ally perform an Accuracy or Save Check, as a Reaction, you may expend Aura Counters to grant it a bonus equal to your Tier Level for each Counter expended. If the roll fails, you ga"&amp;"in your Reaction back.
&gt; On your Turn, you may use a Swift Action to Target yourself or an Ally within 3m. The Target restores Ticks of Hit Points equal to the number of Aura Counters expended. This may also be used as a Reaction when an Ally within 3m en"&amp;"ds their Turn, but it must Target them.")</f>
        <v>Trigger: You use an Attack with the Aura Keyword or an Ally within 5m rolls a Natural 15+ on any d20 
Effect: You gain an Aura Counter (Max 6). If the Triggering Attack was a Double Strike or Five Strike, it can only trigger this Feature once.
Bonus: Aura Counters may be expended in any of the following ways:
&gt; When you or an Ally perform an Accuracy or Save Check, as a Reaction, you may expend Aura Counters to grant it a bonus equal to your Tier Level for each Counter expended. If the roll fails, you gain your Reaction back.
&gt; On your Turn, you may use a Swift Action to Target yourself or an Ally within 3m. The Target restores Ticks of Hit Points equal to the number of Aura Counters expended. This may also be used as a Reaction when an Ally within 3m ends their Turn, but it must Target them.</v>
      </c>
      <c r="E351" s="203"/>
      <c r="F351" s="204"/>
      <c r="G351" s="204"/>
      <c r="H351" s="204"/>
      <c r="I351" s="204"/>
      <c r="J351" s="203"/>
      <c r="K351" s="205"/>
      <c r="L351" s="205"/>
      <c r="M351" s="205"/>
    </row>
    <row r="352">
      <c r="A352" s="202" t="str">
        <f>IFERROR(__xludf.DUMMYFUNCTION("""COMPUTED_VALUE"""),"Sacrificial Shield")</f>
        <v>Sacrificial Shield</v>
      </c>
      <c r="B352" s="202" t="str">
        <f>IFERROR(__xludf.DUMMYFUNCTION("""COMPUTED_VALUE"""),"Ambient Aura, Expert Occult Edu or Intuition, Adept Focus")</f>
        <v>Ambient Aura, Expert Occult Edu or Intuition, Adept Focus</v>
      </c>
      <c r="C352" s="202" t="str">
        <f>IFERROR(__xludf.DUMMYFUNCTION("""COMPUTED_VALUE"""),"Scene x2 - Free Action")</f>
        <v>Scene x2 - Free Action</v>
      </c>
      <c r="D352" s="202" t="str">
        <f>IFERROR(__xludf.DUMMYFUNCTION("""COMPUTED_VALUE"""),"Trigger: You or an Ally use the Intercept Maneuver
Effect: You may expend any number of Aura Counters to alter the Attack that the Triggering Combatant is Intercepting in the following ways, which may stack if multiple instances are applied:
» 1 Counter:"&amp;" The Attack is resisted by an additional Damage Step, up to Resisted.
» 1 Counter: The Effect Range no longer Triggers or is no longer a Critical Hit.")</f>
        <v>Trigger: You or an Ally use the Intercept Maneuver
Effect: You may expend any number of Aura Counters to alter the Attack that the Triggering Combatant is Intercepting in the following ways, which may stack if multiple instances are applied:
» 1 Counter: The Attack is resisted by an additional Damage Step, up to Resisted.
» 1 Counter: The Effect Range no longer Triggers or is no longer a Critical Hit.</v>
      </c>
      <c r="E352" s="203"/>
      <c r="F352" s="204"/>
      <c r="G352" s="204"/>
      <c r="H352" s="204"/>
      <c r="I352" s="204"/>
      <c r="J352" s="203"/>
      <c r="K352" s="205"/>
      <c r="L352" s="205"/>
      <c r="M352" s="205"/>
    </row>
    <row r="353">
      <c r="A353" s="202" t="str">
        <f>IFERROR(__xludf.DUMMYFUNCTION("""COMPUTED_VALUE"""),"Unleashed Aura")</f>
        <v>Unleashed Aura</v>
      </c>
      <c r="B353" s="202" t="str">
        <f>IFERROR(__xludf.DUMMYFUNCTION("""COMPUTED_VALUE"""),"Ambient Aura, Master Occult Edu or Intuition, Adept Focus")</f>
        <v>Ambient Aura, Master Occult Edu or Intuition, Adept Focus</v>
      </c>
      <c r="C353" s="202" t="str">
        <f>IFERROR(__xludf.DUMMYFUNCTION("""COMPUTED_VALUE"""),"Scene x2 - Swift Action")</f>
        <v>Scene x2 - Swift Action</v>
      </c>
      <c r="D353" s="202" t="str">
        <f>IFERROR(__xludf.DUMMYFUNCTION("""COMPUTED_VALUE"""),"Trigger: You use a Damaging Aura Attack
Effect: You may expend any number of Aura Counters and it benefits from the following effects based on the number you expended:
» 1+: The Attack’s DB is increased by double the number of Aura Counters expended.
» 2"&amp;"+: Targets cannot apply Physical or Special Evasion against them.
» 3+: Its Critical Hit Range is increased by +2 and it gains the Smite Keyword or Sureshot if it already had Smite.")</f>
        <v>Trigger: You use a Damaging Aura Attack
Effect: You may expend any number of Aura Counters and it benefits from the following effects based on the number you expended:
» 1+: The Attack’s DB is increased by double the number of Aura Counters expended.
» 2+: Targets cannot apply Physical or Special Evasion against them.
» 3+: Its Critical Hit Range is increased by +2 and it gains the Smite Keyword or Sureshot if it already had Smite.</v>
      </c>
      <c r="E353" s="203"/>
      <c r="F353" s="204"/>
      <c r="G353" s="204"/>
      <c r="H353" s="204"/>
      <c r="I353" s="204"/>
      <c r="J353" s="203"/>
      <c r="K353" s="205"/>
      <c r="L353" s="205"/>
      <c r="M353" s="205"/>
    </row>
    <row r="354">
      <c r="A354" s="202" t="str">
        <f>IFERROR(__xludf.DUMMYFUNCTION("""COMPUTED_VALUE"""),"Empath")</f>
        <v>Empath</v>
      </c>
      <c r="B354" s="202" t="str">
        <f>IFERROR(__xludf.DUMMYFUNCTION("""COMPUTED_VALUE"""),"Prerequisite 1: Occult Researcher or Mystic [or]
Prerequisite 2: Adept Intuition")</f>
        <v>Prerequisite 1: Occult Researcher or Mystic [or]
Prerequisite 2: Adept Intuition</v>
      </c>
      <c r="C354" s="202" t="str">
        <f>IFERROR(__xludf.DUMMYFUNCTION("""COMPUTED_VALUE"""),"Bind X - Free Action")</f>
        <v>Bind X - Free Action</v>
      </c>
      <c r="D354" s="202" t="str">
        <f>IFERROR(__xludf.DUMMYFUNCTION("""COMPUTED_VALUE"""),"Target: A Creature within 20m
Effect: While a Target is bound by this Feature they become Channeled by you. If the Target is unwilling you must make an Intuition Checks opposed by their Focus Check to Bind this Feature to them. You may stop Channeling any"&amp;" Target as a Free Action at any time. If a Channeled Combatant would go further than 20m away from you they stop being Channeled. You are always considered a Channeled Combatant. You may only use this Feature on an Enemy once per Round. X is equal to the "&amp;"higher of your Intuition or Occult Edu Rank.
Bonus: You gain the Empath Capability.
*See Mechanics - Empath")</f>
        <v>Target: A Creature within 20m
Effect: While a Target is bound by this Feature they become Channeled by you. If the Target is unwilling you must make an Intuition Checks opposed by their Focus Check to Bind this Feature to them. You may stop Channeling any Target as a Free Action at any time. If a Channeled Combatant would go further than 20m away from you they stop being Channeled. You are always considered a Channeled Combatant. You may only use this Feature on an Enemy once per Round. X is equal to the higher of your Intuition or Occult Edu Rank.
Bonus: You gain the Empath Capability.
*See Mechanics - Empath</v>
      </c>
      <c r="E354" s="203"/>
      <c r="F354" s="204"/>
      <c r="G354" s="204"/>
      <c r="H354" s="204"/>
      <c r="I354" s="204"/>
      <c r="J354" s="203"/>
      <c r="K354" s="205"/>
      <c r="L354" s="205"/>
      <c r="M354" s="205"/>
    </row>
    <row r="355">
      <c r="A355" s="202" t="str">
        <f>IFERROR(__xludf.DUMMYFUNCTION("""COMPUTED_VALUE"""),"Twisted Emotions")</f>
        <v>Twisted Emotions</v>
      </c>
      <c r="B355" s="202" t="str">
        <f>IFERROR(__xludf.DUMMYFUNCTION("""COMPUTED_VALUE"""),"Empath, Novice Intuition")</f>
        <v>Empath, Novice Intuition</v>
      </c>
      <c r="C355" s="202" t="str">
        <f>IFERROR(__xludf.DUMMYFUNCTION("""COMPUTED_VALUE"""),"At-Will - Special")</f>
        <v>At-Will - Special</v>
      </c>
      <c r="D355" s="202" t="str">
        <f>IFERROR(__xludf.DUMMYFUNCTION("""COMPUTED_VALUE"""),"Target: A Channeled Enemy
Effect: As a Full Action, choose a Status Affliction or Condition to grant the Enemy listed below. If Entranced or Provoked are chosen you may choose their Fixation or Provoker respectively. If Provoked is granted this way it las"&amp;"ts until the end of the Target’s next Turn. An Enemy can only have one Status Affliction granted this way at a time. As a Swift Action, if the Target has a listed Affliction or Condition below, you may cure it and inflict a different Affliction or Conditi"&amp;"on listed below.
» Dazed, Enraged, Entranced, Provoked, Suppressed.")</f>
        <v>Target: A Channeled Enemy
Effect: As a Full Action, choose a Status Affliction or Condition to grant the Enemy listed below. If Entranced or Provoked are chosen you may choose their Fixation or Provoker respectively. If Provoked is granted this way it lasts until the end of the Target’s next Turn. An Enemy can only have one Status Affliction granted this way at a time. As a Swift Action, if the Target has a listed Affliction or Condition below, you may cure it and inflict a different Affliction or Condition listed below.
» Dazed, Enraged, Entranced, Provoked, Suppressed.</v>
      </c>
      <c r="E355" s="203"/>
      <c r="F355" s="204"/>
      <c r="G355" s="204"/>
      <c r="H355" s="204"/>
      <c r="I355" s="204"/>
      <c r="J355" s="203"/>
      <c r="K355" s="205"/>
      <c r="L355" s="205"/>
      <c r="M355" s="205"/>
    </row>
    <row r="356">
      <c r="A356" s="202" t="str">
        <f>IFERROR(__xludf.DUMMYFUNCTION("""COMPUTED_VALUE"""),"Soothing Pulse")</f>
        <v>Soothing Pulse</v>
      </c>
      <c r="B356" s="202" t="str">
        <f>IFERROR(__xludf.DUMMYFUNCTION("""COMPUTED_VALUE"""),"Empath, Adept Intuition")</f>
        <v>Empath, Adept Intuition</v>
      </c>
      <c r="C356" s="202" t="str">
        <f>IFERROR(__xludf.DUMMYFUNCTION("""COMPUTED_VALUE"""),"At-Will - Swift Action or Reaction")</f>
        <v>At-Will - Swift Action or Reaction</v>
      </c>
      <c r="D356" s="202" t="str">
        <f>IFERROR(__xludf.DUMMYFUNCTION("""COMPUTED_VALUE"""),"Trigger: A Channeled Combatant gains Initiative
Effect: Choose one of the following Effects to apply to the Triggering Combatant. 
» The Combatant restores two Ticks of Hit Points
» The Combatant has a bonus to their next Save Check equal to your Tier Le"&amp;"vel
» The Combatant has a Damage Penalty to their Damaging Attacks this Turn equal to your Tier Value.")</f>
        <v>Trigger: A Channeled Combatant gains Initiative
Effect: Choose one of the following Effects to apply to the Triggering Combatant. 
» The Combatant restores two Ticks of Hit Points
» The Combatant has a bonus to their next Save Check equal to your Tier Level
» The Combatant has a Damage Penalty to their Damaging Attacks this Turn equal to your Tier Value.</v>
      </c>
      <c r="E356" s="203"/>
      <c r="F356" s="204"/>
      <c r="G356" s="204"/>
      <c r="H356" s="204"/>
      <c r="I356" s="204"/>
      <c r="J356" s="203"/>
      <c r="K356" s="205"/>
      <c r="L356" s="205"/>
      <c r="M356" s="205"/>
    </row>
    <row r="357">
      <c r="A357" s="202" t="str">
        <f>IFERROR(__xludf.DUMMYFUNCTION("""COMPUTED_VALUE"""),"Shared Conduit")</f>
        <v>Shared Conduit</v>
      </c>
      <c r="B357" s="202" t="str">
        <f>IFERROR(__xludf.DUMMYFUNCTION("""COMPUTED_VALUE"""),"Empath, 2 Empath Features, Expert Intuition")</f>
        <v>Empath, 2 Empath Features, Expert Intuition</v>
      </c>
      <c r="C357" s="202" t="str">
        <f>IFERROR(__xludf.DUMMYFUNCTION("""COMPUTED_VALUE"""),"Scene - Free Action")</f>
        <v>Scene - Free Action</v>
      </c>
      <c r="D357" s="202" t="str">
        <f>IFERROR(__xludf.DUMMYFUNCTION("""COMPUTED_VALUE"""),"Target: Two Channeled Combatants within 2m of each other
Effect: Apply one of the following Effects. If both Targets are Allies, this doesn’t expend this Feature’s Frequency. 
» Choose a Stat. Both Targets trade the CS Values for that Stat.
» Choose a Ta"&amp;"rget to remove a Coat from and grant to the other Target.
» Choose a Target to gain all the Mental Afflictions that the other Target is suffering from.")</f>
        <v>Target: Two Channeled Combatants within 2m of each other
Effect: Apply one of the following Effects. If both Targets are Allies, this doesn’t expend this Feature’s Frequency. 
» Choose a Stat. Both Targets trade the CS Values for that Stat.
» Choose a Target to remove a Coat from and grant to the other Target.
» Choose a Target to gain all the Mental Afflictions that the other Target is suffering from.</v>
      </c>
      <c r="E357" s="203"/>
      <c r="F357" s="204"/>
      <c r="G357" s="204"/>
      <c r="H357" s="204"/>
      <c r="I357" s="204"/>
      <c r="J357" s="203"/>
      <c r="K357" s="205"/>
      <c r="L357" s="205"/>
      <c r="M357" s="205"/>
    </row>
    <row r="358">
      <c r="A358" s="202" t="str">
        <f>IFERROR(__xludf.DUMMYFUNCTION("""COMPUTED_VALUE"""),"Battle Bond")</f>
        <v>Battle Bond</v>
      </c>
      <c r="B358" s="202" t="str">
        <f>IFERROR(__xludf.DUMMYFUNCTION("""COMPUTED_VALUE"""),"Empath, 3 Empath Features, Master Intuition")</f>
        <v>Empath, 3 Empath Features, Master Intuition</v>
      </c>
      <c r="C358" s="202" t="str">
        <f>IFERROR(__xludf.DUMMYFUNCTION("""COMPUTED_VALUE"""),"Static")</f>
        <v>Static</v>
      </c>
      <c r="D358" s="202" t="str">
        <f>IFERROR(__xludf.DUMMYFUNCTION("""COMPUTED_VALUE"""),"Effect: Whenever your Pokemon develop a deep bond with you at your GM’s Discretion, they become Battle Bonded. Battle Bonded Pokemon are always treated as Channeled regardless of distance and don’t count towards your limit of Channeled Combatants. At any "&amp;"point, you can use Battle Bond Techniques, but each time you use it, it will cost SP from an Active Battle Bonded Pokemon or yourself. 
*See Techniques - Empath")</f>
        <v>Effect: Whenever your Pokemon develop a deep bond with you at your GM’s Discretion, they become Battle Bonded. Battle Bonded Pokemon are always treated as Channeled regardless of distance and don’t count towards your limit of Channeled Combatants. At any point, you can use Battle Bond Techniques, but each time you use it, it will cost SP from an Active Battle Bonded Pokemon or yourself. 
*See Techniques - Empath</v>
      </c>
      <c r="E358" s="203"/>
      <c r="F358" s="204"/>
      <c r="G358" s="204"/>
      <c r="H358" s="204"/>
      <c r="I358" s="204"/>
      <c r="J358" s="203"/>
      <c r="K358" s="205"/>
      <c r="L358" s="205"/>
      <c r="M358" s="205"/>
    </row>
    <row r="359">
      <c r="A359" s="202" t="str">
        <f>IFERROR(__xludf.DUMMYFUNCTION("""COMPUTED_VALUE"""),"Tech Researcher")</f>
        <v>Tech Researcher</v>
      </c>
      <c r="B359" s="202" t="str">
        <f>IFERROR(__xludf.DUMMYFUNCTION("""COMPUTED_VALUE"""),"Novice Tech Edu")</f>
        <v>Novice Tech Edu</v>
      </c>
      <c r="C359" s="202" t="str">
        <f>IFERROR(__xludf.DUMMYFUNCTION("""COMPUTED_VALUE"""),"Static")</f>
        <v>Static</v>
      </c>
      <c r="D359" s="202" t="str">
        <f>IFERROR(__xludf.DUMMYFUNCTION("""COMPUTED_VALUE"""),"Effect: Choose any Capability listed under the Innovative Gadgets Feature. You gain a custom Item with the [Trinket] Keyword that grants the chosen Capability. Others cannot benefit from this Item.
Example: Colress wears high tech glasses as a fluff item"&amp;" that grants him True Sight. He could also have a detection device that measures seismic activity, gaining the Tremorsense Capability. ")</f>
        <v>Effect: Choose any Capability listed under the Innovative Gadgets Feature. You gain a custom Item with the [Trinket] Keyword that grants the chosen Capability. Others cannot benefit from this Item.
Example: Colress wears high tech glasses as a fluff item that grants him True Sight. He could also have a detection device that measures seismic activity, gaining the Tremorsense Capability. </v>
      </c>
      <c r="E359" s="203"/>
      <c r="F359" s="204"/>
      <c r="G359" s="204"/>
      <c r="H359" s="204"/>
      <c r="I359" s="204"/>
      <c r="J359" s="203"/>
      <c r="K359" s="205"/>
      <c r="L359" s="205"/>
      <c r="M359" s="205"/>
    </row>
    <row r="360">
      <c r="A360" s="202" t="str">
        <f>IFERROR(__xludf.DUMMYFUNCTION("""COMPUTED_VALUE"""),"Innovative Gadgets [Rank 1]")</f>
        <v>Innovative Gadgets [Rank 1]</v>
      </c>
      <c r="B360" s="202" t="str">
        <f>IFERROR(__xludf.DUMMYFUNCTION("""COMPUTED_VALUE"""),"Tech Researcher, Novice Tech Edu")</f>
        <v>Tech Researcher, Novice Tech Edu</v>
      </c>
      <c r="C360" s="202" t="str">
        <f>IFERROR(__xludf.DUMMYFUNCTION("""COMPUTED_VALUE"""),"At-Will - Extended Action")</f>
        <v>At-Will - Extended Action</v>
      </c>
      <c r="D360" s="202" t="str">
        <f>IFERROR(__xludf.DUMMYFUNCTION("""COMPUTED_VALUE"""),"Effect: This Feature may be activated when you perform a Crafting Downtime Action. You may craft Small or Large Gadgets. When created, you may assign them a Capability based on the Rank of Innovative Gadget you have or lower.
Rank 1 Gadgets: Alluring, Ch"&amp;"illed, Climber, Darkvision, Gilled, Glow, Heater, Jumper, Magnetic, Naturewalk, Quick, Repulsive, Swimmer, Tracker")</f>
        <v>Effect: This Feature may be activated when you perform a Crafting Downtime Action. You may craft Small or Large Gadgets. When created, you may assign them a Capability based on the Rank of Innovative Gadget you have or lower.
Rank 1 Gadgets: Alluring, Chilled, Climber, Darkvision, Gilled, Glow, Heater, Jumper, Magnetic, Naturewalk, Quick, Repulsive, Swimmer, Tracker</v>
      </c>
      <c r="E360" s="203"/>
      <c r="F360" s="204"/>
      <c r="G360" s="204"/>
      <c r="H360" s="204"/>
      <c r="I360" s="204"/>
      <c r="J360" s="203"/>
      <c r="K360" s="205"/>
      <c r="L360" s="205"/>
      <c r="M360" s="205"/>
    </row>
    <row r="361">
      <c r="A361" s="202" t="str">
        <f>IFERROR(__xludf.DUMMYFUNCTION("""COMPUTED_VALUE"""),"Innovative Gadgets [Rank 2]")</f>
        <v>Innovative Gadgets [Rank 2]</v>
      </c>
      <c r="B361" s="202" t="str">
        <f>IFERROR(__xludf.DUMMYFUNCTION("""COMPUTED_VALUE"""),"Tech Researcher, Expert Tech Edu")</f>
        <v>Tech Researcher, Expert Tech Edu</v>
      </c>
      <c r="C361" s="202" t="str">
        <f>IFERROR(__xludf.DUMMYFUNCTION("""COMPUTED_VALUE"""),"At-Will - Extended Action")</f>
        <v>At-Will - Extended Action</v>
      </c>
      <c r="D361" s="202" t="str">
        <f>IFERROR(__xludf.DUMMYFUNCTION("""COMPUTED_VALUE"""),"Effect: You may assign the following Capabilities as well
Rank 2 Gadgets: Blender, Dead Silent, Flier, Groundshaper, Illusionist, Mindlock, Reach, Telekinetic, Threaded, Tremorsense")</f>
        <v>Effect: You may assign the following Capabilities as well
Rank 2 Gadgets: Blender, Dead Silent, Flier, Groundshaper, Illusionist, Mindlock, Reach, Telekinetic, Threaded, Tremorsense</v>
      </c>
      <c r="E361" s="203"/>
      <c r="F361" s="204"/>
      <c r="G361" s="204"/>
      <c r="H361" s="204"/>
      <c r="I361" s="204"/>
      <c r="J361" s="203"/>
      <c r="K361" s="205"/>
      <c r="L361" s="205"/>
      <c r="M361" s="205"/>
    </row>
    <row r="362">
      <c r="A362" s="202" t="str">
        <f>IFERROR(__xludf.DUMMYFUNCTION("""COMPUTED_VALUE"""),"Innovative Gadgets [Rank 3]")</f>
        <v>Innovative Gadgets [Rank 3]</v>
      </c>
      <c r="B362" s="202" t="str">
        <f>IFERROR(__xludf.DUMMYFUNCTION("""COMPUTED_VALUE"""),"Tech Researcher, Master Tech Edu")</f>
        <v>Tech Researcher, Master Tech Edu</v>
      </c>
      <c r="C362" s="202" t="str">
        <f>IFERROR(__xludf.DUMMYFUNCTION("""COMPUTED_VALUE"""),"At-Will - Extended Action")</f>
        <v>At-Will - Extended Action</v>
      </c>
      <c r="D362" s="202" t="str">
        <f>IFERROR(__xludf.DUMMYFUNCTION("""COMPUTED_VALUE"""),"Effect: You may assign the following Capabilities as well
Rank 3 Gadgets: Aura Reader, Blindsense, Empath, Invisibility, Phaser, Teleporter, Telepath, Thermal Vision, True Sight, X-Ray Vision")</f>
        <v>Effect: You may assign the following Capabilities as well
Rank 3 Gadgets: Aura Reader, Blindsense, Empath, Invisibility, Phaser, Teleporter, Telepath, Thermal Vision, True Sight, X-Ray Vision</v>
      </c>
      <c r="E362" s="203"/>
      <c r="F362" s="204"/>
      <c r="G362" s="204"/>
      <c r="H362" s="204"/>
      <c r="I362" s="204"/>
      <c r="J362" s="203"/>
      <c r="K362" s="205"/>
      <c r="L362" s="205"/>
      <c r="M362" s="205"/>
    </row>
    <row r="363">
      <c r="A363" s="202" t="str">
        <f>IFERROR(__xludf.DUMMYFUNCTION("""COMPUTED_VALUE"""),"Utility Belt")</f>
        <v>Utility Belt</v>
      </c>
      <c r="B363" s="202" t="str">
        <f>IFERROR(__xludf.DUMMYFUNCTION("""COMPUTED_VALUE"""),"Innovative Gadgets Ranked 1, Adept Tech Edu")</f>
        <v>Innovative Gadgets Ranked 1, Adept Tech Edu</v>
      </c>
      <c r="C363" s="202" t="str">
        <f>IFERROR(__xludf.DUMMYFUNCTION("""COMPUTED_VALUE"""),"Bind 1 - Extended Action")</f>
        <v>Bind 1 - Extended Action</v>
      </c>
      <c r="D363" s="202" t="str">
        <f>IFERROR(__xludf.DUMMYFUNCTION("""COMPUTED_VALUE"""),"Target: A [Large] Gadget Item in your Inventory
Effect: The Targeted Item is treated as being Equipped, despite being in an Inventory Slot. 
Bonus: Large Gadgets only take one Inventory Slot, despite being Large. If you have at least 4 Tech Researcher F"&amp;"eatures, this Feature instead becomes Bind 2. ")</f>
        <v>Target: A [Large] Gadget Item in your Inventory
Effect: The Targeted Item is treated as being Equipped, despite being in an Inventory Slot. 
Bonus: Large Gadgets only take one Inventory Slot, despite being Large. If you have at least 4 Tech Researcher Features, this Feature instead becomes Bind 2. </v>
      </c>
      <c r="E363" s="203"/>
      <c r="F363" s="204"/>
      <c r="G363" s="204"/>
      <c r="H363" s="204"/>
      <c r="I363" s="204"/>
      <c r="J363" s="203"/>
      <c r="K363" s="205"/>
      <c r="L363" s="205"/>
      <c r="M363" s="205"/>
    </row>
    <row r="364">
      <c r="A364" s="202" t="str">
        <f>IFERROR(__xludf.DUMMYFUNCTION("""COMPUTED_VALUE"""),"Artificer")</f>
        <v>Artificer</v>
      </c>
      <c r="B364" s="202" t="str">
        <f>IFERROR(__xludf.DUMMYFUNCTION("""COMPUTED_VALUE"""),"Prerequisite 1: Occult Researcher or Tech Researcher [or]
Prerequisite 2: Adept Occult Edu or Tech Edu")</f>
        <v>Prerequisite 1: Occult Researcher or Tech Researcher [or]
Prerequisite 2: Adept Occult Edu or Tech Edu</v>
      </c>
      <c r="C364" s="202" t="str">
        <f>IFERROR(__xludf.DUMMYFUNCTION("""COMPUTED_VALUE"""),"At-Will - Special")</f>
        <v>At-Will - Special</v>
      </c>
      <c r="D364" s="202" t="str">
        <f>IFERROR(__xludf.DUMMYFUNCTION("""COMPUTED_VALUE"""),"Effect: You create a Shard and add it to an open Inventory Slot. If used as a Swift Action, its color is chosen instead of randomized. If used as a Free Action, it is randomized as normal. Artificer may only be used once per Round. 
Bonus: You gain the Ar"&amp;"tificing Kit and grant it the [Trinket] Keyword. During Crafting Downtime Actions you may create Type Augmentors, Type Boosters and Type Braces. Each Shard you have can be used as if they were 5 “Ingredient” Items for Artificer Recipes, however their asso"&amp;"ciated Type must match the crafted Item.")</f>
        <v>Effect: You create a Shard and add it to an open Inventory Slot. If used as a Swift Action, its color is chosen instead of randomized. If used as a Free Action, it is randomized as normal. Artificer may only be used once per Round. 
Bonus: You gain the Artificing Kit and grant it the [Trinket] Keyword. During Crafting Downtime Actions you may create Type Augmentors, Type Boosters and Type Braces. Each Shard you have can be used as if they were 5 “Ingredient” Items for Artificer Recipes, however their associated Type must match the crafted Item.</v>
      </c>
      <c r="E364" s="203"/>
      <c r="F364" s="204"/>
      <c r="G364" s="204"/>
      <c r="H364" s="204"/>
      <c r="I364" s="204"/>
      <c r="J364" s="203"/>
      <c r="K364" s="205"/>
      <c r="L364" s="205"/>
      <c r="M364" s="205"/>
    </row>
    <row r="365">
      <c r="A365" s="202" t="str">
        <f>IFERROR(__xludf.DUMMYFUNCTION("""COMPUTED_VALUE"""),"Shard Versatility")</f>
        <v>Shard Versatility</v>
      </c>
      <c r="B365" s="202" t="str">
        <f>IFERROR(__xludf.DUMMYFUNCTION("""COMPUTED_VALUE"""),"Artificer, Novice Occult Edu or Tech Edu")</f>
        <v>Artificer, Novice Occult Edu or Tech Edu</v>
      </c>
      <c r="C365" s="202" t="str">
        <f>IFERROR(__xludf.DUMMYFUNCTION("""COMPUTED_VALUE"""),"At-Will - Special")</f>
        <v>At-Will - Special</v>
      </c>
      <c r="D365" s="202" t="str">
        <f>IFERROR(__xludf.DUMMYFUNCTION("""COMPUTED_VALUE"""),"Trigger: An Ally within 3m would meet a Trigger Condition of a Shard
Effect: Expend a Shard of the corresponding Color and apply its Effect to the Triggering Ally. Shard Versatility is a Free Action but can also be used as a Reaction to double numerical v"&amp;"alues in the Shard’s Effect. 
Bonus: Your Shards gain additional Effects listed below:
» If the holder would be hit by an Attack that corresponds to one of the Shard’s Types, they gain Damage Reduction against it equal to your Tier Value.
» If the holder"&amp;" would use an Attack that corresponds to one of the Shards Types, they gain Accuracy for it equal to your Tier Level.")</f>
        <v>Trigger: An Ally within 3m would meet a Trigger Condition of a Shard
Effect: Expend a Shard of the corresponding Color and apply its Effect to the Triggering Ally. Shard Versatility is a Free Action but can also be used as a Reaction to double numerical values in the Shard’s Effect. 
Bonus: Your Shards gain additional Effects listed below:
» If the holder would be hit by an Attack that corresponds to one of the Shard’s Types, they gain Damage Reduction against it equal to your Tier Value.
» If the holder would use an Attack that corresponds to one of the Shards Types, they gain Accuracy for it equal to your Tier Level.</v>
      </c>
      <c r="E365" s="203"/>
      <c r="F365" s="204"/>
      <c r="G365" s="204"/>
      <c r="H365" s="204"/>
      <c r="I365" s="204"/>
      <c r="J365" s="203"/>
      <c r="K365" s="205"/>
      <c r="L365" s="205"/>
      <c r="M365" s="205"/>
    </row>
    <row r="366">
      <c r="A366" s="202" t="str">
        <f>IFERROR(__xludf.DUMMYFUNCTION("""COMPUTED_VALUE"""),"Gem Flux")</f>
        <v>Gem Flux</v>
      </c>
      <c r="B366" s="202" t="str">
        <f>IFERROR(__xludf.DUMMYFUNCTION("""COMPUTED_VALUE"""),"Artificer, Adept Occult Edu or Tech Edu")</f>
        <v>Artificer, Adept Occult Edu or Tech Edu</v>
      </c>
      <c r="C366" s="202" t="str">
        <f>IFERROR(__xludf.DUMMYFUNCTION("""COMPUTED_VALUE"""),"At-Will - Swift Action")</f>
        <v>At-Will - Swift Action</v>
      </c>
      <c r="D366" s="202" t="str">
        <f>IFERROR(__xludf.DUMMYFUNCTION("""COMPUTED_VALUE"""),"Target: You or an Adjacent Ally with an equipped Type Augmentor, Type Booster or Type Brace
Effect: Expend a Shard from your Inventory and choose one of its associated Types. The Targeted Item is treated as if it were that Type instead until the end of th"&amp;"e Scene.
Bonus: You may treat the “Shard” Item as if it had the [Resource] Keyword.")</f>
        <v>Target: You or an Adjacent Ally with an equipped Type Augmentor, Type Booster or Type Brace
Effect: Expend a Shard from your Inventory and choose one of its associated Types. The Targeted Item is treated as if it were that Type instead until the end of the Scene.
Bonus: You may treat the “Shard” Item as if it had the [Resource] Keyword.</v>
      </c>
      <c r="E366" s="203"/>
      <c r="F366" s="204"/>
      <c r="G366" s="204"/>
      <c r="H366" s="204"/>
      <c r="I366" s="204"/>
      <c r="J366" s="203"/>
      <c r="K366" s="205"/>
      <c r="L366" s="205"/>
      <c r="M366" s="205"/>
    </row>
    <row r="367">
      <c r="A367" s="202" t="str">
        <f>IFERROR(__xludf.DUMMYFUNCTION("""COMPUTED_VALUE"""),"Crystal Imbuement")</f>
        <v>Crystal Imbuement</v>
      </c>
      <c r="B367" s="202" t="str">
        <f>IFERROR(__xludf.DUMMYFUNCTION("""COMPUTED_VALUE"""),"Artificer, 2 Artificer Features, Expert Occult Edu or Tech Edu")</f>
        <v>Artificer, 2 Artificer Features, Expert Occult Edu or Tech Edu</v>
      </c>
      <c r="C367" s="202" t="str">
        <f>IFERROR(__xludf.DUMMYFUNCTION("""COMPUTED_VALUE"""),"Scene x3 - Free Action")</f>
        <v>Scene x3 - Free Action</v>
      </c>
      <c r="D367" s="202" t="str">
        <f>IFERROR(__xludf.DUMMYFUNCTION("""COMPUTED_VALUE"""),"Trigger: You or an Ally within 5m uses an Attack
Effect: Expend a Shard from your Inventory to change the Triggering Attack to a Type associated with the expended Shard. If the Triggering Combatant is holding a Type Augmentor, Type Booster or Type Brace, "&amp;"you may have it shift to the associated Item’s Type instead of expending a Shard.")</f>
        <v>Trigger: You or an Ally within 5m uses an Attack
Effect: Expend a Shard from your Inventory to change the Triggering Attack to a Type associated with the expended Shard. If the Triggering Combatant is holding a Type Augmentor, Type Booster or Type Brace, you may have it shift to the associated Item’s Type instead of expending a Shard.</v>
      </c>
      <c r="E367" s="203"/>
      <c r="F367" s="204"/>
      <c r="G367" s="204"/>
      <c r="H367" s="204"/>
      <c r="I367" s="204"/>
      <c r="J367" s="203"/>
      <c r="K367" s="205"/>
      <c r="L367" s="205"/>
      <c r="M367" s="205"/>
    </row>
    <row r="368">
      <c r="A368" s="202" t="str">
        <f>IFERROR(__xludf.DUMMYFUNCTION("""COMPUTED_VALUE"""),"Prismatic Power")</f>
        <v>Prismatic Power</v>
      </c>
      <c r="B368" s="202" t="str">
        <f>IFERROR(__xludf.DUMMYFUNCTION("""COMPUTED_VALUE"""),"Artificer, 3 Artificer Features, Master Occult Edu or Tech Edu")</f>
        <v>Artificer, 3 Artificer Features, Master Occult Edu or Tech Edu</v>
      </c>
      <c r="C368" s="202" t="str">
        <f>IFERROR(__xludf.DUMMYFUNCTION("""COMPUTED_VALUE"""),"Scene x2 - Standard Action")</f>
        <v>Scene x2 - Standard Action</v>
      </c>
      <c r="D368" s="202" t="str">
        <f>IFERROR(__xludf.DUMMYFUNCTION("""COMPUTED_VALUE"""),"Effect: Expend a Shard from your Inventory that corresponds to the Trigger, then apply its effect.
» Red - When an Ally uses a Physical Attack it automatically hits and is one step more effective (Max 1.5x)
» Orange - When an Ally is hit by a Physical At"&amp;"tack, it instead misses and they suffer no effects of the Attack.
» Yellow - When an Ally is hit by an Attack and isn’t Fainted, they restore 5 Ticks of Hit Points.
» Green - When an Ally gains a Status Affliction, it is automatically cured.
» Blue - When"&amp;" an Ally uses a Special Attack it automatically hits and is one step more effective (Max 1.5x)
» Violet - When an Ally is hit by a Special Attack, it instead misses and they suffer no effects of the Attack.")</f>
        <v>Effect: Expend a Shard from your Inventory that corresponds to the Trigger, then apply its effect.
» Red - When an Ally uses a Physical Attack it automatically hits and is one step more effective (Max 1.5x)
» Orange - When an Ally is hit by a Physical Attack, it instead misses and they suffer no effects of the Attack.
» Yellow - When an Ally is hit by an Attack and isn’t Fainted, they restore 5 Ticks of Hit Points.
» Green - When an Ally gains a Status Affliction, it is automatically cured.
» Blue - When an Ally uses a Special Attack it automatically hits and is one step more effective (Max 1.5x)
» Violet - When an Ally is hit by a Special Attack, it instead misses and they suffer no effects of the Attack.</v>
      </c>
      <c r="E368" s="203"/>
      <c r="F368" s="204"/>
      <c r="G368" s="204"/>
      <c r="H368" s="204"/>
      <c r="I368" s="204"/>
      <c r="J368" s="203"/>
      <c r="K368" s="205"/>
      <c r="L368" s="205"/>
      <c r="M368" s="205"/>
    </row>
    <row r="369">
      <c r="A369" s="202" t="str">
        <f>IFERROR(__xludf.DUMMYFUNCTION("""COMPUTED_VALUE"""),"Jailbreaker")</f>
        <v>Jailbreaker</v>
      </c>
      <c r="B369" s="202" t="str">
        <f>IFERROR(__xludf.DUMMYFUNCTION("""COMPUTED_VALUE"""),"Prerequisite 1: Technology Researcher [or]
Prerequisite 2: Adept Poke Edu or Tech Edu")</f>
        <v>Prerequisite 1: Technology Researcher [or]
Prerequisite 2: Adept Poke Edu or Tech Edu</v>
      </c>
      <c r="C369" s="202" t="str">
        <f>IFERROR(__xludf.DUMMYFUNCTION("""COMPUTED_VALUE"""),"Bind X - Extended Action")</f>
        <v>Bind X - Extended Action</v>
      </c>
      <c r="D369" s="202" t="str">
        <f>IFERROR(__xludf.DUMMYFUNCTION("""COMPUTED_VALUE"""),"Target: A Pokeball you or an Ally owns with a Captured Pokemon inside.
Effect: Assign a Pokeball Modification from the list below to the Target which applies to the captured Pokemon while this Feature is bound to it. A Target can only be affected by one P"&amp;"okeball Modification at a time. X is equal to the higher of your Poke Edu or Tech Edu Rank.
Bonus: You gain the Ball Crafter Talent even if you do not qualify. If you already have the Ball Crafter Talent or gain it in the future, you may also craft the Pr"&amp;"otoball Item for $100 per. This Item is treated as a Pokeball for the sake of your Jailbreaker Features but cannot Capture Pokemon.
*See Techniques - Jailbreaker")</f>
        <v>Target: A Pokeball you or an Ally owns with a Captured Pokemon inside.
Effect: Assign a Pokeball Modification from the list below to the Target which applies to the captured Pokemon while this Feature is bound to it. A Target can only be affected by one Pokeball Modification at a time. X is equal to the higher of your Poke Edu or Tech Edu Rank.
Bonus: You gain the Ball Crafter Talent even if you do not qualify. If you already have the Ball Crafter Talent or gain it in the future, you may also craft the Protoball Item for $100 per. This Item is treated as a Pokeball for the sake of your Jailbreaker Features but cannot Capture Pokemon.
*See Techniques - Jailbreaker</v>
      </c>
      <c r="E369" s="203"/>
      <c r="F369" s="204"/>
      <c r="G369" s="204"/>
      <c r="H369" s="204"/>
      <c r="I369" s="204"/>
      <c r="J369" s="203"/>
      <c r="K369" s="205"/>
      <c r="L369" s="205"/>
      <c r="M369" s="205"/>
    </row>
    <row r="370">
      <c r="A370" s="202" t="str">
        <f>IFERROR(__xludf.DUMMYFUNCTION("""COMPUTED_VALUE"""),"Dense Steel")</f>
        <v>Dense Steel</v>
      </c>
      <c r="B370" s="202" t="str">
        <f>IFERROR(__xludf.DUMMYFUNCTION("""COMPUTED_VALUE"""),"Jailbreaker, Novice Poke Edu or Tech Edu")</f>
        <v>Jailbreaker, Novice Poke Edu or Tech Edu</v>
      </c>
      <c r="C370" s="202" t="str">
        <f>IFERROR(__xludf.DUMMYFUNCTION("""COMPUTED_VALUE"""),"Static")</f>
        <v>Static</v>
      </c>
      <c r="D370" s="202" t="str">
        <f>IFERROR(__xludf.DUMMYFUNCTION("""COMPUTED_VALUE"""),"Effect: Pokeballs in your Inventory gain the [Throwable] Keyword. When you use the Throw Maneuver this way, its Category is treated as Physical and if they’re hit, perform an Athletics, Poke Edu or Tech Edu Check. They take Physical Normal Damage equal to"&amp;" the number of Successes multiplied by your Tier Value (They apply Damage Calculations as if it were an Attack)  ")</f>
        <v>Effect: Pokeballs in your Inventory gain the [Throwable] Keyword. When you use the Throw Maneuver this way, its Category is treated as Physical and if they’re hit, perform an Athletics, Poke Edu or Tech Edu Check. They take Physical Normal Damage equal to the number of Successes multiplied by your Tier Value (They apply Damage Calculations as if it were an Attack)  </v>
      </c>
      <c r="E370" s="203"/>
      <c r="F370" s="204"/>
      <c r="G370" s="204"/>
      <c r="H370" s="204"/>
      <c r="I370" s="204"/>
      <c r="J370" s="203"/>
      <c r="K370" s="205"/>
      <c r="L370" s="205"/>
      <c r="M370" s="205"/>
    </row>
    <row r="371">
      <c r="A371" s="202" t="str">
        <f>IFERROR(__xludf.DUMMYFUNCTION("""COMPUTED_VALUE"""),"Utility Balls")</f>
        <v>Utility Balls</v>
      </c>
      <c r="B371" s="202" t="str">
        <f>IFERROR(__xludf.DUMMYFUNCTION("""COMPUTED_VALUE"""),"Dense Steel, Adept Poke Edu or Tech Edu")</f>
        <v>Dense Steel, Adept Poke Edu or Tech Edu</v>
      </c>
      <c r="C371" s="202" t="str">
        <f>IFERROR(__xludf.DUMMYFUNCTION("""COMPUTED_VALUE"""),"Scene x2 - Swift Action")</f>
        <v>Scene x2 - Swift Action</v>
      </c>
      <c r="D371" s="202" t="str">
        <f>IFERROR(__xludf.DUMMYFUNCTION("""COMPUTED_VALUE"""),"Trigger: You use a Throw Maneuver by expending a Pokeball 
Effect: Apply one of the following effects:
» Bounce Ball - Choose an Enemy within 2m of the Target to also be Targeted by the Maneuver.
» Flash Ball - The Target and all Combatants within 1m bec"&amp;"ome Blinded until the end of their next Turn on a hit, or have a penalty to their next Accuracy Roll equal to your Tier Level. 
» Gravity Ball - Choose a Combatant within 5m of the Target. They must pass a Severe CR (4) Athletics Check or else be Slid int"&amp;"o any unoccupied space adjacent to the Target. 
» Net Ball - The Target becomes Slowed on a hit or loses -3 to their Movement Value until the end of their next Turn on a miss.")</f>
        <v>Trigger: You use a Throw Maneuver by expending a Pokeball 
Effect: Apply one of the following effects:
» Bounce Ball - Choose an Enemy within 2m of the Target to also be Targeted by the Maneuver.
» Flash Ball - The Target and all Combatants within 1m become Blinded until the end of their next Turn on a hit, or have a penalty to their next Accuracy Roll equal to your Tier Level. 
» Gravity Ball - Choose a Combatant within 5m of the Target. They must pass a Severe CR (4) Athletics Check or else be Slid into any unoccupied space adjacent to the Target. 
» Net Ball - The Target becomes Slowed on a hit or loses -3 to their Movement Value until the end of their next Turn on a miss.</v>
      </c>
      <c r="E371" s="203"/>
      <c r="F371" s="204"/>
      <c r="G371" s="204"/>
      <c r="H371" s="204"/>
      <c r="I371" s="204"/>
      <c r="J371" s="203"/>
      <c r="K371" s="205"/>
      <c r="L371" s="205"/>
      <c r="M371" s="205"/>
    </row>
    <row r="372">
      <c r="A372" s="202" t="str">
        <f>IFERROR(__xludf.DUMMYFUNCTION("""COMPUTED_VALUE"""),"Overloaded Components")</f>
        <v>Overloaded Components</v>
      </c>
      <c r="B372" s="202" t="str">
        <f>IFERROR(__xludf.DUMMYFUNCTION("""COMPUTED_VALUE"""),"Dense Steel, Expert Poke Edu or Tech Edu")</f>
        <v>Dense Steel, Expert Poke Edu or Tech Edu</v>
      </c>
      <c r="C372" s="202" t="str">
        <f>IFERROR(__xludf.DUMMYFUNCTION("""COMPUTED_VALUE"""),"At-Will - Swift Action")</f>
        <v>At-Will - Swift Action</v>
      </c>
      <c r="D372" s="202" t="str">
        <f>IFERROR(__xludf.DUMMYFUNCTION("""COMPUTED_VALUE"""),"Trigger: You use a Throw Maneuver by expending a Pokeball
Effect: The Triggering Attack gains the Smite Keyword. If the Attack hits, all Enemies within 1m of the Target also take damage as if they were hit but resist it by an additional damage step.
Bonus"&amp;": When using the Throw Maneuver with a Pokeball, you may treat the Attack as if it was Electric Type instead of normal if desired.")</f>
        <v>Trigger: You use a Throw Maneuver by expending a Pokeball
Effect: The Triggering Attack gains the Smite Keyword. If the Attack hits, all Enemies within 1m of the Target also take damage as if they were hit but resist it by an additional damage step.
Bonus: When using the Throw Maneuver with a Pokeball, you may treat the Attack as if it was Electric Type instead of normal if desired.</v>
      </c>
      <c r="E372" s="203"/>
      <c r="F372" s="204"/>
      <c r="G372" s="204"/>
      <c r="H372" s="204"/>
      <c r="I372" s="204"/>
      <c r="J372" s="203"/>
      <c r="K372" s="205"/>
      <c r="L372" s="205"/>
      <c r="M372" s="205"/>
    </row>
    <row r="373">
      <c r="A373" s="202" t="str">
        <f>IFERROR(__xludf.DUMMYFUNCTION("""COMPUTED_VALUE"""),"Homebrew Masterpiece")</f>
        <v>Homebrew Masterpiece</v>
      </c>
      <c r="B373" s="202" t="str">
        <f>IFERROR(__xludf.DUMMYFUNCTION("""COMPUTED_VALUE"""),"Jailbreaker, 3 Jailbreaker Features, Master Poke Edu or Tech Edu")</f>
        <v>Jailbreaker, 3 Jailbreaker Features, Master Poke Edu or Tech Edu</v>
      </c>
      <c r="C373" s="202" t="str">
        <f>IFERROR(__xludf.DUMMYFUNCTION("""COMPUTED_VALUE"""),"Scene x2 - Full Action")</f>
        <v>Scene x2 - Full Action</v>
      </c>
      <c r="D373" s="202" t="str">
        <f>IFERROR(__xludf.DUMMYFUNCTION("""COMPUTED_VALUE"""),"Target: A Pokemon whose associated Pokeball is bound by your Jailbreaker Feature
Effect: Apply the listed Effect that corresponds to the Pokeball Modification that the Target is affected by. A Pokemon can only be Targeted this way once per Scene.
Immunit"&amp;"y Module
Effect: All Enemies within a Burst 1 Range of the Pokemon become inflicted with the chosen Status Affliction.
Power Module
Effect: Choose a Stat. The Pokemon has that stat set to +6 CS until the end of their next Turn. Afterwards, it returns to "&amp;"its former CS Value +1
Recovery Module
Effect: The Pokemon restores 5 Ticks of Hit Points and is cured of all Status Afflictions.
Resistance Module
Effect: The Pokemon may immediately use an Attack on their Battle Attack List that matches the chosen Typ"&amp;"e as a Free Action, however its range is changed to Burst 1.")</f>
        <v>Target: A Pokemon whose associated Pokeball is bound by your Jailbreaker Feature
Effect: Apply the listed Effect that corresponds to the Pokeball Modification that the Target is affected by. A Pokemon can only be Targeted this way once per Scene.
Immunity Module
Effect: All Enemies within a Burst 1 Range of the Pokemon become inflicted with the chosen Status Affliction.
Power Module
Effect: Choose a Stat. The Pokemon has that stat set to +6 CS until the end of their next Turn. Afterwards, it returns to its former CS Value +1
Recovery Module
Effect: The Pokemon restores 5 Ticks of Hit Points and is cured of all Status Afflictions.
Resistance Module
Effect: The Pokemon may immediately use an Attack on their Battle Attack List that matches the chosen Type as a Free Action, however its range is changed to Burst 1.</v>
      </c>
      <c r="E373" s="203"/>
      <c r="F373" s="204"/>
      <c r="G373" s="204"/>
      <c r="H373" s="204"/>
      <c r="I373" s="204"/>
      <c r="J373" s="203"/>
      <c r="K373" s="205"/>
      <c r="L373" s="205"/>
      <c r="M373" s="205"/>
    </row>
    <row r="374">
      <c r="A374" s="202" t="str">
        <f>IFERROR(__xludf.DUMMYFUNCTION("""COMPUTED_VALUE"""),"Defender")</f>
        <v>Defender</v>
      </c>
      <c r="B374" s="202" t="str">
        <f>IFERROR(__xludf.DUMMYFUNCTION("""COMPUTED_VALUE"""),"Novice Athletics or Combat")</f>
        <v>Novice Athletics or Combat</v>
      </c>
      <c r="C374" s="202" t="str">
        <f>IFERROR(__xludf.DUMMYFUNCTION("""COMPUTED_VALUE"""),"Static")</f>
        <v>Static</v>
      </c>
      <c r="D374" s="202" t="str">
        <f>IFERROR(__xludf.DUMMYFUNCTION("""COMPUTED_VALUE"""),"Effect: When using the Defend Maneuver, you may Target any number of Adjacent Allies to benefit from its Effect. You may learn two Attacks from the Defensive Combat Feature’s Basic Attack List.")</f>
        <v>Effect: When using the Defend Maneuver, you may Target any number of Adjacent Allies to benefit from its Effect. You may learn two Attacks from the Defensive Combat Feature’s Basic Attack List.</v>
      </c>
      <c r="E374" s="203"/>
      <c r="F374" s="204"/>
      <c r="G374" s="204"/>
      <c r="H374" s="204"/>
      <c r="I374" s="204"/>
      <c r="J374" s="203"/>
      <c r="K374" s="205"/>
      <c r="L374" s="205"/>
      <c r="M374" s="205"/>
    </row>
    <row r="375">
      <c r="A375" s="202" t="str">
        <f>IFERROR(__xludf.DUMMYFUNCTION("""COMPUTED_VALUE"""),"Draw Aggro")</f>
        <v>Draw Aggro</v>
      </c>
      <c r="B375" s="202" t="str">
        <f>IFERROR(__xludf.DUMMYFUNCTION("""COMPUTED_VALUE"""),"Defender, Novice Athletics or Combat")</f>
        <v>Defender, Novice Athletics or Combat</v>
      </c>
      <c r="C375" s="202" t="str">
        <f>IFERROR(__xludf.DUMMYFUNCTION("""COMPUTED_VALUE"""),"Static")</f>
        <v>Static</v>
      </c>
      <c r="D375" s="202" t="str">
        <f>IFERROR(__xludf.DUMMYFUNCTION("""COMPUTED_VALUE"""),"Effect: Whenever you use the Provoke Maneuver, you may also use it as if its Range were “All Adjacent Enemies”. Whenever you Provoke an Enemy, it is treated as a Mental Affliction instead of a Condition and must be cured, removing any listed time duration"&amp;"s.")</f>
        <v>Effect: Whenever you use the Provoke Maneuver, you may also use it as if its Range were “All Adjacent Enemies”. Whenever you Provoke an Enemy, it is treated as a Mental Affliction instead of a Condition and must be cured, removing any listed time durations.</v>
      </c>
      <c r="E375" s="203"/>
      <c r="F375" s="204"/>
      <c r="G375" s="204"/>
      <c r="H375" s="204"/>
      <c r="I375" s="204"/>
      <c r="J375" s="203"/>
      <c r="K375" s="205"/>
      <c r="L375" s="205"/>
      <c r="M375" s="205"/>
    </row>
    <row r="376">
      <c r="A376" s="202" t="str">
        <f>IFERROR(__xludf.DUMMYFUNCTION("""COMPUTED_VALUE"""),"Instinctive Defense")</f>
        <v>Instinctive Defense</v>
      </c>
      <c r="B376" s="202" t="str">
        <f>IFERROR(__xludf.DUMMYFUNCTION("""COMPUTED_VALUE"""),"Defender, Adept Athletics or Combat")</f>
        <v>Defender, Adept Athletics or Combat</v>
      </c>
      <c r="C376" s="202" t="str">
        <f>IFERROR(__xludf.DUMMYFUNCTION("""COMPUTED_VALUE"""),"Static")</f>
        <v>Static</v>
      </c>
      <c r="D376" s="202" t="str">
        <f>IFERROR(__xludf.DUMMYFUNCTION("""COMPUTED_VALUE"""),"Effect: You gain the Durable Protector General Feature. You may use the Intercept Maneuver as if it was a Swift Action or Reaction. ")</f>
        <v>Effect: You gain the Durable Protector General Feature. You may use the Intercept Maneuver as if it was a Swift Action or Reaction. </v>
      </c>
      <c r="E376" s="203"/>
      <c r="F376" s="204"/>
      <c r="G376" s="204"/>
      <c r="H376" s="204"/>
      <c r="I376" s="204"/>
      <c r="J376" s="203"/>
      <c r="K376" s="205"/>
      <c r="L376" s="205"/>
      <c r="M376" s="205"/>
    </row>
    <row r="377">
      <c r="A377" s="202" t="str">
        <f>IFERROR(__xludf.DUMMYFUNCTION("""COMPUTED_VALUE"""),"Defensive Tactics")</f>
        <v>Defensive Tactics</v>
      </c>
      <c r="B377" s="202" t="str">
        <f>IFERROR(__xludf.DUMMYFUNCTION("""COMPUTED_VALUE"""),"Defender, 2 Defender Features, Expert Athletics or Combat")</f>
        <v>Defender, 2 Defender Features, Expert Athletics or Combat</v>
      </c>
      <c r="C377" s="202" t="str">
        <f>IFERROR(__xludf.DUMMYFUNCTION("""COMPUTED_VALUE"""),"Static")</f>
        <v>Static</v>
      </c>
      <c r="D377" s="202" t="str">
        <f>IFERROR(__xludf.DUMMYFUNCTION("""COMPUTED_VALUE"""),"Effect: Choose a listed Defensive Tactic to gain its associated Ability in the parenthesis.
» Armored (Battle Armor), Bulky (Absorb Force), Guardian (Friend Guard), Protective (Bodyguard), Stoic (Stoicism)")</f>
        <v>Effect: Choose a listed Defensive Tactic to gain its associated Ability in the parenthesis.
» Armored (Battle Armor), Bulky (Absorb Force), Guardian (Friend Guard), Protective (Bodyguard), Stoic (Stoicism)</v>
      </c>
      <c r="E377" s="203"/>
      <c r="F377" s="204"/>
      <c r="G377" s="204"/>
      <c r="H377" s="204"/>
      <c r="I377" s="204"/>
      <c r="J377" s="203"/>
      <c r="K377" s="205"/>
      <c r="L377" s="205"/>
      <c r="M377" s="205"/>
    </row>
    <row r="378">
      <c r="A378" s="202" t="str">
        <f>IFERROR(__xludf.DUMMYFUNCTION("""COMPUTED_VALUE"""),"Impenetrable Fortress")</f>
        <v>Impenetrable Fortress</v>
      </c>
      <c r="B378" s="202" t="str">
        <f>IFERROR(__xludf.DUMMYFUNCTION("""COMPUTED_VALUE"""),"Defender, 3 Defender Features, Master Athletics or Combat")</f>
        <v>Defender, 3 Defender Features, Master Athletics or Combat</v>
      </c>
      <c r="C378" s="202" t="str">
        <f>IFERROR(__xludf.DUMMYFUNCTION("""COMPUTED_VALUE"""),"Scene - Standard Action")</f>
        <v>Scene - Standard Action</v>
      </c>
      <c r="D378" s="202" t="str">
        <f>IFERROR(__xludf.DUMMYFUNCTION("""COMPUTED_VALUE"""),"Effect: You gain a Fortified Coat. While you’re affected by a Fortified Coat, you resist the next two Damaging Attacks you’re hit by for an additional damage step. The Fortified Coat is expended after Damage Resolution when you’re hit by a second Damaging"&amp;" Attack since gaining this Coat.")</f>
        <v>Effect: You gain a Fortified Coat. While you’re affected by a Fortified Coat, you resist the next two Damaging Attacks you’re hit by for an additional damage step. The Fortified Coat is expended after Damage Resolution when you’re hit by a second Damaging Attack since gaining this Coat.</v>
      </c>
      <c r="E378" s="203"/>
      <c r="F378" s="204"/>
      <c r="G378" s="204"/>
      <c r="H378" s="204"/>
      <c r="I378" s="204"/>
      <c r="J378" s="203"/>
      <c r="K378" s="205"/>
      <c r="L378" s="205"/>
      <c r="M378" s="205"/>
    </row>
    <row r="379">
      <c r="A379" s="202" t="str">
        <f>IFERROR(__xludf.DUMMYFUNCTION("""COMPUTED_VALUE"""),"Bulwark")</f>
        <v>Bulwark</v>
      </c>
      <c r="B379" s="202" t="str">
        <f>IFERROR(__xludf.DUMMYFUNCTION("""COMPUTED_VALUE"""),"Prerequisite 1: Defender [or]
Prerequisite 2: Adept Athletics or Focus")</f>
        <v>Prerequisite 1: Defender [or]
Prerequisite 2: Adept Athletics or Focus</v>
      </c>
      <c r="C379" s="202" t="str">
        <f>IFERROR(__xludf.DUMMYFUNCTION("""COMPUTED_VALUE"""),"At-Will - Standard Action")</f>
        <v>At-Will - Standard Action</v>
      </c>
      <c r="D379" s="202" t="str">
        <f>IFERROR(__xludf.DUMMYFUNCTION("""COMPUTED_VALUE"""),"Effect: You create Large Blocking or Cover Terrain in up to 3 unoccupied adjacent spaces. Terrain Created this way is also [Fragile &amp; Breakable]. Whenever you or an Ally are adjacent to this Terrain, they have Damage Reduction equal to your Tier Value (Th"&amp;"is does not stack with itself). If you have 4 Bulwark Features you may use this as a Swift or Movement Action as well, but only choose 1 unoccupied adjacent space instead.")</f>
        <v>Effect: You create Large Blocking or Cover Terrain in up to 3 unoccupied adjacent spaces. Terrain Created this way is also [Fragile &amp; Breakable]. Whenever you or an Ally are adjacent to this Terrain, they have Damage Reduction equal to your Tier Value (This does not stack with itself). If you have 4 Bulwark Features you may use this as a Swift or Movement Action as well, but only choose 1 unoccupied adjacent space instead.</v>
      </c>
      <c r="E379" s="203"/>
      <c r="F379" s="204"/>
      <c r="G379" s="204"/>
      <c r="H379" s="204"/>
      <c r="I379" s="204"/>
      <c r="J379" s="203"/>
      <c r="K379" s="205"/>
      <c r="L379" s="205"/>
      <c r="M379" s="205"/>
    </row>
    <row r="380">
      <c r="A380" s="202" t="str">
        <f>IFERROR(__xludf.DUMMYFUNCTION("""COMPUTED_VALUE"""),"Crowd Control")</f>
        <v>Crowd Control</v>
      </c>
      <c r="B380" s="202" t="str">
        <f>IFERROR(__xludf.DUMMYFUNCTION("""COMPUTED_VALUE"""),"Bulwark, Novice Athletics or Focus")</f>
        <v>Bulwark, Novice Athletics or Focus</v>
      </c>
      <c r="C380" s="202" t="str">
        <f>IFERROR(__xludf.DUMMYFUNCTION("""COMPUTED_VALUE"""),"At-Will - Special")</f>
        <v>At-Will - Special</v>
      </c>
      <c r="D380" s="202" t="str">
        <f>IFERROR(__xludf.DUMMYFUNCTION("""COMPUTED_VALUE"""),"Target: An Enemy within 3m or all Adjacent Enemies
Effect:  If this is used as a Swift Action, apply one of the following to the Target(s). If this is used as a Standard Action, instead apply all of the following. 
» They are Provoked by you until the en"&amp;"d of their next Turn.
» They are Trapped by you until the end of the next Round.
» You resist the next Damaging Attack from all Targets by an additional damage step until the end of the next Round.")</f>
        <v>Target: An Enemy within 3m or all Adjacent Enemies
Effect:  If this is used as a Swift Action, apply one of the following to the Target(s). If this is used as a Standard Action, instead apply all of the following. 
» They are Provoked by you until the end of their next Turn.
» They are Trapped by you until the end of the next Round.
» You resist the next Damaging Attack from all Targets by an additional damage step until the end of the next Round.</v>
      </c>
      <c r="E380" s="203"/>
      <c r="F380" s="204"/>
      <c r="G380" s="204"/>
      <c r="H380" s="204"/>
      <c r="I380" s="204"/>
      <c r="J380" s="203"/>
      <c r="K380" s="205"/>
      <c r="L380" s="205"/>
      <c r="M380" s="205"/>
    </row>
    <row r="381">
      <c r="A381" s="202" t="str">
        <f>IFERROR(__xludf.DUMMYFUNCTION("""COMPUTED_VALUE"""),"Stalwart Bastion")</f>
        <v>Stalwart Bastion</v>
      </c>
      <c r="B381" s="202" t="str">
        <f>IFERROR(__xludf.DUMMYFUNCTION("""COMPUTED_VALUE"""),"Bulwark, Adept Athletics or Focus")</f>
        <v>Bulwark, Adept Athletics or Focus</v>
      </c>
      <c r="C381" s="202" t="str">
        <f>IFERROR(__xludf.DUMMYFUNCTION("""COMPUTED_VALUE"""),"Static")</f>
        <v>Static</v>
      </c>
      <c r="D381" s="202" t="str">
        <f>IFERROR(__xludf.DUMMYFUNCTION("""COMPUTED_VALUE"""),"Effect: You gain 5 Damage Reduction. When you reach Tier 2+, this is increased to 10 Damage Reduction. While an Ally is adjacent to you, they also have this Damage Reduction. You gain 5 Damage Reduction. When you reach Tier 2+, this is increased to 10 Dam"&amp;"age Reduction. While an Ally is adjacent to you, they also have this Damage Reduction. Your [Equipment - Armor] Items cannot be affected by the Disarm Maneuver.")</f>
        <v>Effect: You gain 5 Damage Reduction. When you reach Tier 2+, this is increased to 10 Damage Reduction. While an Ally is adjacent to you, they also have this Damage Reduction. You gain 5 Damage Reduction. When you reach Tier 2+, this is increased to 10 Damage Reduction. While an Ally is adjacent to you, they also have this Damage Reduction. Your [Equipment - Armor] Items cannot be affected by the Disarm Maneuver.</v>
      </c>
      <c r="E381" s="203"/>
      <c r="F381" s="204"/>
      <c r="G381" s="204"/>
      <c r="H381" s="204"/>
      <c r="I381" s="204"/>
      <c r="J381" s="203"/>
      <c r="K381" s="205"/>
      <c r="L381" s="205"/>
      <c r="M381" s="205"/>
    </row>
    <row r="382">
      <c r="A382" s="202" t="str">
        <f>IFERROR(__xludf.DUMMYFUNCTION("""COMPUTED_VALUE"""),"Fortified Rampart")</f>
        <v>Fortified Rampart</v>
      </c>
      <c r="B382" s="202" t="str">
        <f>IFERROR(__xludf.DUMMYFUNCTION("""COMPUTED_VALUE"""),"Bulwark, 2 Bulwark Features, Expert Athletics or Focus")</f>
        <v>Bulwark, 2 Bulwark Features, Expert Athletics or Focus</v>
      </c>
      <c r="C382" s="202" t="str">
        <f>IFERROR(__xludf.DUMMYFUNCTION("""COMPUTED_VALUE"""),"Scene - Special")</f>
        <v>Scene - Special</v>
      </c>
      <c r="D382" s="202" t="str">
        <f>IFERROR(__xludf.DUMMYFUNCTION("""COMPUTED_VALUE"""),"Target: A Blocking or Cover Terrain you created that is Adjacent to the Triggering Ally
Trigger: An Ally adjacent to Blocking or Cover Terrain you created would be hit by an Attacker who isn’t adjacent to them
Effect: The Ally is instead not hit by the Tr"&amp;"iggering Attack, nor do they take damage or are affected by its Effects. The Targeted Terrain is then destroyed. This Feature may be used as a Standard Action or Reaction. If used as a Standard Action, its Frequency is not expended. ")</f>
        <v>Target: A Blocking or Cover Terrain you created that is Adjacent to the Triggering Ally
Trigger: An Ally adjacent to Blocking or Cover Terrain you created would be hit by an Attacker who isn’t adjacent to them
Effect: The Ally is instead not hit by the Triggering Attack, nor do they take damage or are affected by its Effects. The Targeted Terrain is then destroyed. This Feature may be used as a Standard Action or Reaction. If used as a Standard Action, its Frequency is not expended. </v>
      </c>
      <c r="E382" s="203"/>
      <c r="F382" s="204"/>
      <c r="G382" s="204"/>
      <c r="H382" s="204"/>
      <c r="I382" s="204"/>
      <c r="J382" s="203"/>
      <c r="K382" s="205"/>
      <c r="L382" s="205"/>
      <c r="M382" s="205"/>
    </row>
    <row r="383">
      <c r="A383" s="202" t="str">
        <f>IFERROR(__xludf.DUMMYFUNCTION("""COMPUTED_VALUE"""),"Steelclad Fortress")</f>
        <v>Steelclad Fortress</v>
      </c>
      <c r="B383" s="202" t="str">
        <f>IFERROR(__xludf.DUMMYFUNCTION("""COMPUTED_VALUE"""),"Bulwark, 3 Bulwark Features, Master Athletics or Focus")</f>
        <v>Bulwark, 3 Bulwark Features, Master Athletics or Focus</v>
      </c>
      <c r="C383" s="202" t="str">
        <f>IFERROR(__xludf.DUMMYFUNCTION("""COMPUTED_VALUE"""),"Scene x2 - Free Action")</f>
        <v>Scene x2 - Free Action</v>
      </c>
      <c r="D383" s="202" t="str">
        <f>IFERROR(__xludf.DUMMYFUNCTION("""COMPUTED_VALUE"""),"Trigger: You or an Adjacent Ally would be hit by a Damaging Attack
Effect: When calculating the damage of the Triggering Attack, you and all allied Combatants that were hit are considered to be Steel Type for the sake of calculating Weaknesses and Resista"&amp;"nces.")</f>
        <v>Trigger: You or an Adjacent Ally would be hit by a Damaging Attack
Effect: When calculating the damage of the Triggering Attack, you and all allied Combatants that were hit are considered to be Steel Type for the sake of calculating Weaknesses and Resistances.</v>
      </c>
      <c r="E383" s="203"/>
      <c r="F383" s="204"/>
      <c r="G383" s="204"/>
      <c r="H383" s="204"/>
      <c r="I383" s="204"/>
      <c r="J383" s="203"/>
      <c r="K383" s="205"/>
      <c r="L383" s="205"/>
      <c r="M383" s="205"/>
    </row>
    <row r="384">
      <c r="A384" s="202" t="str">
        <f>IFERROR(__xludf.DUMMYFUNCTION("""COMPUTED_VALUE"""),"Juggernaut")</f>
        <v>Juggernaut</v>
      </c>
      <c r="B384" s="202" t="str">
        <f>IFERROR(__xludf.DUMMYFUNCTION("""COMPUTED_VALUE"""),"Prerequisite 1: Defender [or]
Prerequisite 2: Adept Athletics or Combat")</f>
        <v>Prerequisite 1: Defender [or]
Prerequisite 2: Adept Athletics or Combat</v>
      </c>
      <c r="C384" s="202" t="str">
        <f>IFERROR(__xludf.DUMMYFUNCTION("""COMPUTED_VALUE"""),"Static")</f>
        <v>Static</v>
      </c>
      <c r="D384" s="202" t="str">
        <f>IFERROR(__xludf.DUMMYFUNCTION("""COMPUTED_VALUE"""),"Effect: You gain +5 Stat Points in HP. When you have 3 Juggernaut Features, you gain an additional +5. When you have 5 Juggernaut Features, you gain an additional +10. Stat Points gained this way go in the Extras Column. You start the Scene with a Tick of"&amp;" Temporary Hit Points.")</f>
        <v>Effect: You gain +5 Stat Points in HP. When you have 3 Juggernaut Features, you gain an additional +5. When you have 5 Juggernaut Features, you gain an additional +10. Stat Points gained this way go in the Extras Column. You start the Scene with a Tick of Temporary Hit Points.</v>
      </c>
      <c r="E384" s="203"/>
      <c r="F384" s="204"/>
      <c r="G384" s="204"/>
      <c r="H384" s="204"/>
      <c r="I384" s="204"/>
      <c r="J384" s="203"/>
      <c r="K384" s="205"/>
      <c r="L384" s="205"/>
      <c r="M384" s="205"/>
    </row>
    <row r="385">
      <c r="A385" s="202" t="str">
        <f>IFERROR(__xludf.DUMMYFUNCTION("""COMPUTED_VALUE"""),"Built Different")</f>
        <v>Built Different</v>
      </c>
      <c r="B385" s="202" t="str">
        <f>IFERROR(__xludf.DUMMYFUNCTION("""COMPUTED_VALUE"""),"Juggernaut, Novice Athletics or Combat")</f>
        <v>Juggernaut, Novice Athletics or Combat</v>
      </c>
      <c r="C385" s="202" t="str">
        <f>IFERROR(__xludf.DUMMYFUNCTION("""COMPUTED_VALUE"""),"Static")</f>
        <v>Static</v>
      </c>
      <c r="D385" s="202" t="str">
        <f>IFERROR(__xludf.DUMMYFUNCTION("""COMPUTED_VALUE"""),"Effect: Allies that are Adjacent to you treat you as if you were Cover Terrain and Enemies cannot pass through spaces you’re occupying. The user may shift through Spaces occupied by Enemies as if they were Basic Terrain but cannot occupy their space at th"&amp;"e end of their Movement. If you are Targeted by a Line Attack, its Range stops at you and it cannot exceed to any further space.")</f>
        <v>Effect: Allies that are Adjacent to you treat you as if you were Cover Terrain and Enemies cannot pass through spaces you’re occupying. The user may shift through Spaces occupied by Enemies as if they were Basic Terrain but cannot occupy their space at the end of their Movement. If you are Targeted by a Line Attack, its Range stops at you and it cannot exceed to any further space.</v>
      </c>
      <c r="E385" s="203"/>
      <c r="F385" s="204"/>
      <c r="G385" s="204"/>
      <c r="H385" s="204"/>
      <c r="I385" s="204"/>
      <c r="J385" s="203"/>
      <c r="K385" s="205"/>
      <c r="L385" s="205"/>
      <c r="M385" s="205"/>
    </row>
    <row r="386">
      <c r="A386" s="202" t="str">
        <f>IFERROR(__xludf.DUMMYFUNCTION("""COMPUTED_VALUE"""),"Overwhelming Might")</f>
        <v>Overwhelming Might</v>
      </c>
      <c r="B386" s="202" t="str">
        <f>IFERROR(__xludf.DUMMYFUNCTION("""COMPUTED_VALUE"""),"Juggernaut, Adept Athletics or Combat")</f>
        <v>Juggernaut, Adept Athletics or Combat</v>
      </c>
      <c r="C386" s="202" t="str">
        <f>IFERROR(__xludf.DUMMYFUNCTION("""COMPUTED_VALUE"""),"At-Will - Swift Action")</f>
        <v>At-Will - Swift Action</v>
      </c>
      <c r="D386" s="202" t="str">
        <f>IFERROR(__xludf.DUMMYFUNCTION("""COMPUTED_VALUE"""),"Trigger: You hit with a Melee Attack
Effect: You may use your Adjusted HP Stat Total (not Hit Points) as an Offensive Stat when calculating the Damage Roll for this Attack or add your Tick Value as a Damage Bonus instead.")</f>
        <v>Trigger: You hit with a Melee Attack
Effect: You may use your Adjusted HP Stat Total (not Hit Points) as an Offensive Stat when calculating the Damage Roll for this Attack or add your Tick Value as a Damage Bonus instead.</v>
      </c>
      <c r="E386" s="203"/>
      <c r="F386" s="204"/>
      <c r="G386" s="204"/>
      <c r="H386" s="204"/>
      <c r="I386" s="204"/>
      <c r="J386" s="203"/>
      <c r="K386" s="205"/>
      <c r="L386" s="205"/>
      <c r="M386" s="205"/>
    </row>
    <row r="387">
      <c r="A387" s="202" t="str">
        <f>IFERROR(__xludf.DUMMYFUNCTION("""COMPUTED_VALUE"""),"Resilient Recovery")</f>
        <v>Resilient Recovery</v>
      </c>
      <c r="B387" s="202" t="str">
        <f>IFERROR(__xludf.DUMMYFUNCTION("""COMPUTED_VALUE"""),"Juggernaut, 2 Juggernaut Features, Expert Athletics or Combat")</f>
        <v>Juggernaut, 2 Juggernaut Features, Expert Athletics or Combat</v>
      </c>
      <c r="C387" s="202" t="str">
        <f>IFERROR(__xludf.DUMMYFUNCTION("""COMPUTED_VALUE"""),"At-Will - Swift Action or Reaction")</f>
        <v>At-Will - Swift Action or Reaction</v>
      </c>
      <c r="D387" s="202" t="str">
        <f>IFERROR(__xludf.DUMMYFUNCTION("""COMPUTED_VALUE"""),"Trigger: You start your Turn or are hit by an Attack
Effect: You gain a Tick of Temporary Hit Points. If the Trigger was being hit by an Attack, this occurs after the Triggering Attack resolves.  ")</f>
        <v>Trigger: You start your Turn or are hit by an Attack
Effect: You gain a Tick of Temporary Hit Points. If the Trigger was being hit by an Attack, this occurs after the Triggering Attack resolves.  </v>
      </c>
      <c r="E387" s="203"/>
      <c r="F387" s="204"/>
      <c r="G387" s="204"/>
      <c r="H387" s="204"/>
      <c r="I387" s="204"/>
      <c r="J387" s="203"/>
      <c r="K387" s="205"/>
      <c r="L387" s="205"/>
      <c r="M387" s="205"/>
    </row>
    <row r="388">
      <c r="A388" s="202" t="str">
        <f>IFERROR(__xludf.DUMMYFUNCTION("""COMPUTED_VALUE"""),"Indomitable Body")</f>
        <v>Indomitable Body</v>
      </c>
      <c r="B388" s="202" t="str">
        <f>IFERROR(__xludf.DUMMYFUNCTION("""COMPUTED_VALUE"""),"Juggernaut, 3 Juggernaut Features, Master Athletics or Combat")</f>
        <v>Juggernaut, 3 Juggernaut Features, Master Athletics or Combat</v>
      </c>
      <c r="C388" s="202" t="str">
        <f>IFERROR(__xludf.DUMMYFUNCTION("""COMPUTED_VALUE"""),"Scene - Special")</f>
        <v>Scene - Special</v>
      </c>
      <c r="D388" s="202" t="str">
        <f>IFERROR(__xludf.DUMMYFUNCTION("""COMPUTED_VALUE"""),"Effect: As a Swift Action, choose one of the Effects to apply. As a Full Action, all are applied.
» You are cured of a Physical Affliction
» You restore three Ticks of Hit Points
» You gain two Ticks of Temporary Hit Points
Bonus: Once per Scene, when y"&amp;"ou fall below 25% Hit Points, the Frequency of this Feature is refreshed.")</f>
        <v>Effect: As a Swift Action, choose one of the Effects to apply. As a Full Action, all are applied.
» You are cured of a Physical Affliction
» You restore three Ticks of Hit Points
» You gain two Ticks of Temporary Hit Points
Bonus: Once per Scene, when you fall below 25% Hit Points, the Frequency of this Feature is refreshed.</v>
      </c>
      <c r="E388" s="203"/>
      <c r="F388" s="204"/>
      <c r="G388" s="204"/>
      <c r="H388" s="204"/>
      <c r="I388" s="204"/>
      <c r="J388" s="203"/>
      <c r="K388" s="205"/>
      <c r="L388" s="205"/>
      <c r="M388" s="205"/>
    </row>
    <row r="389">
      <c r="A389" s="202" t="str">
        <f>IFERROR(__xludf.DUMMYFUNCTION("""COMPUTED_VALUE"""),"Sentinel")</f>
        <v>Sentinel</v>
      </c>
      <c r="B389" s="202" t="str">
        <f>IFERROR(__xludf.DUMMYFUNCTION("""COMPUTED_VALUE"""),"Prerequisite 1: Defender [or]
Prerequisite 2: Adept Combat or Command")</f>
        <v>Prerequisite 1: Defender [or]
Prerequisite 2: Adept Combat or Command</v>
      </c>
      <c r="C389" s="202" t="str">
        <f>IFERROR(__xludf.DUMMYFUNCTION("""COMPUTED_VALUE"""),"At-Will - Free Action")</f>
        <v>At-Will - Free Action</v>
      </c>
      <c r="D389" s="202" t="str">
        <f>IFERROR(__xludf.DUMMYFUNCTION("""COMPUTED_VALUE"""),"Trigger: You use Damaging Attack against an Enemy that is Provoked by you or an Attack of Opportunity
Effect: If the Triggering Attack is Physical, you use your Defense as the Offensive Stat instead of Attack. If the Triggering Attack is Special, you use "&amp;"your Special Defense as the Offensive Stat instead of Special Attack.
Bonus: When your Attack of Opportunity is Triggered, you may use a Swift Action or a Reaction to use it. An Enemy can only Trigger your Attack of Opportunity once per Round.")</f>
        <v>Trigger: You use Damaging Attack against an Enemy that is Provoked by you or an Attack of Opportunity
Effect: If the Triggering Attack is Physical, you use your Defense as the Offensive Stat instead of Attack. If the Triggering Attack is Special, you use your Special Defense as the Offensive Stat instead of Special Attack.
Bonus: When your Attack of Opportunity is Triggered, you may use a Swift Action or a Reaction to use it. An Enemy can only Trigger your Attack of Opportunity once per Round.</v>
      </c>
      <c r="E389" s="203"/>
      <c r="F389" s="204"/>
      <c r="G389" s="204"/>
      <c r="H389" s="204"/>
      <c r="I389" s="204"/>
      <c r="J389" s="203"/>
      <c r="K389" s="205"/>
      <c r="L389" s="205"/>
      <c r="M389" s="205"/>
    </row>
    <row r="390">
      <c r="A390" s="202" t="str">
        <f>IFERROR(__xludf.DUMMYFUNCTION("""COMPUTED_VALUE"""),"Stand Behind Me")</f>
        <v>Stand Behind Me</v>
      </c>
      <c r="B390" s="202" t="str">
        <f>IFERROR(__xludf.DUMMYFUNCTION("""COMPUTED_VALUE"""),"Sentinel, Novice Combat or Command")</f>
        <v>Sentinel, Novice Combat or Command</v>
      </c>
      <c r="C390" s="202" t="str">
        <f>IFERROR(__xludf.DUMMYFUNCTION("""COMPUTED_VALUE"""),"Static")</f>
        <v>Static</v>
      </c>
      <c r="D390" s="202" t="str">
        <f>IFERROR(__xludf.DUMMYFUNCTION("""COMPUTED_VALUE"""),"Effect: Whenever you use the Defend Maneuver, the Targets resist Blast and Line Attacks by an additional Damage Step while they’re adjacent to you for this duration. Whenever an Adjacent Ally under the Effect of your Defend Maneuver would move, you may sl"&amp;"ide into a space that is Adjacent to them. This cannot let you move more spaces than your Movement Value. ")</f>
        <v>Effect: Whenever you use the Defend Maneuver, the Targets resist Blast and Line Attacks by an additional Damage Step while they’re adjacent to you for this duration. Whenever an Adjacent Ally under the Effect of your Defend Maneuver would move, you may slide into a space that is Adjacent to them. This cannot let you move more spaces than your Movement Value. </v>
      </c>
      <c r="E390" s="203"/>
      <c r="F390" s="204"/>
      <c r="G390" s="204"/>
      <c r="H390" s="204"/>
      <c r="I390" s="204"/>
      <c r="J390" s="203"/>
      <c r="K390" s="205"/>
      <c r="L390" s="205"/>
      <c r="M390" s="205"/>
    </row>
    <row r="391">
      <c r="A391" s="202" t="str">
        <f>IFERROR(__xludf.DUMMYFUNCTION("""COMPUTED_VALUE"""),"Get Down!")</f>
        <v>Get Down!</v>
      </c>
      <c r="B391" s="202" t="str">
        <f>IFERROR(__xludf.DUMMYFUNCTION("""COMPUTED_VALUE"""),"Sentinel, Adept Combat or Command")</f>
        <v>Sentinel, Adept Combat or Command</v>
      </c>
      <c r="C391" s="202" t="str">
        <f>IFERROR(__xludf.DUMMYFUNCTION("""COMPUTED_VALUE"""),"Scene - Free Action")</f>
        <v>Scene - Free Action</v>
      </c>
      <c r="D391" s="202" t="str">
        <f>IFERROR(__xludf.DUMMYFUNCTION("""COMPUTED_VALUE"""),"Trigger: You Intercept for an Ally and they would still be hit by the Intercepting Area of Effect Attack
Effect: The Ally you Intercepted for is slid up to 3m instead of into an Adjacent Space. If they slide into a Space that isn’t in the original range o"&amp;"f the Attack, it misses them instead of dealing damage as if they resisted it by an additional damage step.")</f>
        <v>Trigger: You Intercept for an Ally and they would still be hit by the Intercepting Area of Effect Attack
Effect: The Ally you Intercepted for is slid up to 3m instead of into an Adjacent Space. If they slide into a Space that isn’t in the original range of the Attack, it misses them instead of dealing damage as if they resisted it by an additional damage step.</v>
      </c>
      <c r="E391" s="203"/>
      <c r="F391" s="204"/>
      <c r="G391" s="204"/>
      <c r="H391" s="204"/>
      <c r="I391" s="204"/>
      <c r="J391" s="203"/>
      <c r="K391" s="205"/>
      <c r="L391" s="205"/>
      <c r="M391" s="205"/>
    </row>
    <row r="392">
      <c r="A392" s="202" t="str">
        <f>IFERROR(__xludf.DUMMYFUNCTION("""COMPUTED_VALUE"""),"Retaliating Force")</f>
        <v>Retaliating Force</v>
      </c>
      <c r="B392" s="202" t="str">
        <f>IFERROR(__xludf.DUMMYFUNCTION("""COMPUTED_VALUE"""),"Sentinel, 2 Sentinel Features, Expert Combat or Command")</f>
        <v>Sentinel, 2 Sentinel Features, Expert Combat or Command</v>
      </c>
      <c r="C392" s="202" t="str">
        <f>IFERROR(__xludf.DUMMYFUNCTION("""COMPUTED_VALUE"""),"Scene x2 - Free Action")</f>
        <v>Scene x2 - Free Action</v>
      </c>
      <c r="D392" s="202" t="str">
        <f>IFERROR(__xludf.DUMMYFUNCTION("""COMPUTED_VALUE"""),"Trigger: You Intercept an Attack or an Adjacent Enemy Targets an Ally with an Attack
Effect: After the Trigger resolves, you may use an At-Will Attack as a Free Action, with the Triggering Enemy being the only Target, provided they’re in range, however it"&amp;" is resisted by an additional step. This is treated as an Attack of Opportunity for the sake of the Sentinel Feature. At Tier 3, you may instead choose an At-Will or EOT Attack.")</f>
        <v>Trigger: You Intercept an Attack or an Adjacent Enemy Targets an Ally with an Attack
Effect: After the Trigger resolves, you may use an At-Will Attack as a Free Action, with the Triggering Enemy being the only Target, provided they’re in range, however it is resisted by an additional step. This is treated as an Attack of Opportunity for the sake of the Sentinel Feature. At Tier 3, you may instead choose an At-Will or EOT Attack.</v>
      </c>
      <c r="E392" s="203"/>
      <c r="F392" s="204"/>
      <c r="G392" s="204"/>
      <c r="H392" s="204"/>
      <c r="I392" s="204"/>
      <c r="J392" s="203"/>
      <c r="K392" s="205"/>
      <c r="L392" s="205"/>
      <c r="M392" s="205"/>
    </row>
    <row r="393">
      <c r="A393" s="202" t="str">
        <f>IFERROR(__xludf.DUMMYFUNCTION("""COMPUTED_VALUE"""),"Sacrificial Heart")</f>
        <v>Sacrificial Heart</v>
      </c>
      <c r="B393" s="202" t="str">
        <f>IFERROR(__xludf.DUMMYFUNCTION("""COMPUTED_VALUE"""),"Sentinel, 3 Sentinel Features, Master Combat or Command")</f>
        <v>Sentinel, 3 Sentinel Features, Master Combat or Command</v>
      </c>
      <c r="C393" s="202" t="str">
        <f>IFERROR(__xludf.DUMMYFUNCTION("""COMPUTED_VALUE"""),"Scene x2 – Free Action")</f>
        <v>Scene x2 – Free Action</v>
      </c>
      <c r="D393" s="202" t="str">
        <f>IFERROR(__xludf.DUMMYFUNCTION("""COMPUTED_VALUE"""),"Trigger: An Ally within 2m is Attacked
Effect: You may use the Intercept Maneuver against the Triggering Attack as a Free Action. 
Bonus: You learn the Endure Attack")</f>
        <v>Trigger: An Ally within 2m is Attacked
Effect: You may use the Intercept Maneuver against the Triggering Attack as a Free Action. 
Bonus: You learn the Endure Attack</v>
      </c>
      <c r="E393" s="203"/>
      <c r="F393" s="204"/>
      <c r="G393" s="204"/>
      <c r="H393" s="204"/>
      <c r="I393" s="204"/>
      <c r="J393" s="203"/>
      <c r="K393" s="205"/>
      <c r="L393" s="205"/>
      <c r="M393" s="205"/>
    </row>
    <row r="394">
      <c r="A394" s="202" t="str">
        <f>IFERROR(__xludf.DUMMYFUNCTION("""COMPUTED_VALUE"""),"Fighter")</f>
        <v>Fighter</v>
      </c>
      <c r="B394" s="202" t="str">
        <f>IFERROR(__xludf.DUMMYFUNCTION("""COMPUTED_VALUE"""),"Novice Athletics or Combat")</f>
        <v>Novice Athletics or Combat</v>
      </c>
      <c r="C394" s="202" t="str">
        <f>IFERROR(__xludf.DUMMYFUNCTION("""COMPUTED_VALUE"""),"At-Will - Extended Action")</f>
        <v>At-Will - Extended Action</v>
      </c>
      <c r="D394" s="202" t="str">
        <f>IFERROR(__xludf.DUMMYFUNCTION("""COMPUTED_VALUE"""),"Effect: Choose a Stat to become your Trained Stat (You can only have one at a time). Your Trained Stat has their Default CS Value set to +1. If you chose HP, you instead start the Scene with 2 Ticks of Temporary Hit Points.
Bonus: You may learn two Attack"&amp;"s from the Martial Combat Feature’s Basic Attack List.")</f>
        <v>Effect: Choose a Stat to become your Trained Stat (You can only have one at a time). Your Trained Stat has their Default CS Value set to +1. If you chose HP, you instead start the Scene with 2 Ticks of Temporary Hit Points.
Bonus: You may learn two Attacks from the Martial Combat Feature’s Basic Attack List.</v>
      </c>
      <c r="E394" s="203"/>
      <c r="F394" s="204"/>
      <c r="G394" s="204"/>
      <c r="H394" s="204"/>
      <c r="I394" s="204"/>
      <c r="J394" s="203"/>
      <c r="K394" s="205"/>
      <c r="L394" s="205"/>
      <c r="M394" s="205"/>
    </row>
    <row r="395">
      <c r="A395" s="202" t="str">
        <f>IFERROR(__xludf.DUMMYFUNCTION("""COMPUTED_VALUE"""),"Close Combat")</f>
        <v>Close Combat</v>
      </c>
      <c r="B395" s="202" t="str">
        <f>IFERROR(__xludf.DUMMYFUNCTION("""COMPUTED_VALUE"""),"Fighter, Novice Athletics or Combat")</f>
        <v>Fighter, Novice Athletics or Combat</v>
      </c>
      <c r="C395" s="202" t="str">
        <f>IFERROR(__xludf.DUMMYFUNCTION("""COMPUTED_VALUE"""),"Scene x2 - Free Action")</f>
        <v>Scene x2 - Free Action</v>
      </c>
      <c r="D395" s="202" t="str">
        <f>IFERROR(__xludf.DUMMYFUNCTION("""COMPUTED_VALUE"""),"Trigger: You use a Melee Attack
Effect: The Triggering Attack has its Effect replaced with one of the following:
» After the Attack’s Resolution, you may perform one of the following Maneuvers against the Target using a Reaction. The Maneuver automatical"&amp;"ly hits but still needs an opposed check if necessary: Trip, Push, Hinder, Disarm, Distract or Provoke.
» This Attack ignores the Physical Evasion of all Targets.
» After the Attack’s Resolution, the Target loses -2 CS in Defense or Special Defense.")</f>
        <v>Trigger: You use a Melee Attack
Effect: The Triggering Attack has its Effect replaced with one of the following:
» After the Attack’s Resolution, you may perform one of the following Maneuvers against the Target using a Reaction. The Maneuver automatically hits but still needs an opposed check if necessary: Trip, Push, Hinder, Disarm, Distract or Provoke.
» This Attack ignores the Physical Evasion of all Targets.
» After the Attack’s Resolution, the Target loses -2 CS in Defense or Special Defense.</v>
      </c>
      <c r="E395" s="203"/>
      <c r="F395" s="204"/>
      <c r="G395" s="204"/>
      <c r="H395" s="204"/>
      <c r="I395" s="204"/>
      <c r="J395" s="203"/>
      <c r="K395" s="205"/>
      <c r="L395" s="205"/>
      <c r="M395" s="205"/>
    </row>
    <row r="396">
      <c r="A396" s="202" t="str">
        <f>IFERROR(__xludf.DUMMYFUNCTION("""COMPUTED_VALUE"""),"Martial Prowess")</f>
        <v>Martial Prowess</v>
      </c>
      <c r="B396" s="202" t="str">
        <f>IFERROR(__xludf.DUMMYFUNCTION("""COMPUTED_VALUE"""),"Fighter, Adept Athletics or Combat")</f>
        <v>Fighter, Adept Athletics or Combat</v>
      </c>
      <c r="C396" s="202" t="str">
        <f>IFERROR(__xludf.DUMMYFUNCTION("""COMPUTED_VALUE"""),"Scene x2 - Free Action")</f>
        <v>Scene x2 - Free Action</v>
      </c>
      <c r="D396" s="202" t="str">
        <f>IFERROR(__xludf.DUMMYFUNCTION("""COMPUTED_VALUE"""),"Trigger: You would use a Riposte or Tactic Maneuver
Effect: Choose one effect to apply.
» The Triggering Maneuver automatically hits the Target.
» All Targets of the Triggering Maneuver fail their opposed check.
Bonus: Once per Round you may use any Tac"&amp;"tic Maneuver (Other than Throw) as if it were a Free Action, but you must expend 1 SP to do so. (It still must be Triggered)")</f>
        <v>Trigger: You would use a Riposte or Tactic Maneuver
Effect: Choose one effect to apply.
» The Triggering Maneuver automatically hits the Target.
» All Targets of the Triggering Maneuver fail their opposed check.
Bonus: Once per Round you may use any Tactic Maneuver (Other than Throw) as if it were a Free Action, but you must expend 1 SP to do so. (It still must be Triggered)</v>
      </c>
      <c r="E396" s="203"/>
      <c r="F396" s="204"/>
      <c r="G396" s="204"/>
      <c r="H396" s="204"/>
      <c r="I396" s="204"/>
      <c r="J396" s="203"/>
      <c r="K396" s="205"/>
      <c r="L396" s="205"/>
      <c r="M396" s="205"/>
    </row>
    <row r="397">
      <c r="A397" s="202" t="str">
        <f>IFERROR(__xludf.DUMMYFUNCTION("""COMPUTED_VALUE"""),"Martial Style")</f>
        <v>Martial Style</v>
      </c>
      <c r="B397" s="202" t="str">
        <f>IFERROR(__xludf.DUMMYFUNCTION("""COMPUTED_VALUE"""),"Fighter, 2 Fighter Features, Expert Athletics or Combat")</f>
        <v>Fighter, 2 Fighter Features, Expert Athletics or Combat</v>
      </c>
      <c r="C397" s="202" t="str">
        <f>IFERROR(__xludf.DUMMYFUNCTION("""COMPUTED_VALUE"""),"Static")</f>
        <v>Static</v>
      </c>
      <c r="D397" s="202" t="str">
        <f>IFERROR(__xludf.DUMMYFUNCTION("""COMPUTED_VALUE"""),"Effect: Choose a listed Martial Style to gain its associated Ability in the parenthesis.
» Agile (Vanguard), Brutal (Huge Power), Guarded (Absorb Force), Nimble (Combo Striker), Ruthless (Vicious)")</f>
        <v>Effect: Choose a listed Martial Style to gain its associated Ability in the parenthesis.
» Agile (Vanguard), Brutal (Huge Power), Guarded (Absorb Force), Nimble (Combo Striker), Ruthless (Vicious)</v>
      </c>
      <c r="E397" s="203"/>
      <c r="F397" s="204"/>
      <c r="G397" s="204"/>
      <c r="H397" s="204"/>
      <c r="I397" s="204"/>
      <c r="J397" s="203"/>
      <c r="K397" s="205"/>
      <c r="L397" s="205"/>
      <c r="M397" s="205"/>
    </row>
    <row r="398">
      <c r="A398" s="202" t="str">
        <f>IFERROR(__xludf.DUMMYFUNCTION("""COMPUTED_VALUE"""),"Combat Momentum")</f>
        <v>Combat Momentum</v>
      </c>
      <c r="B398" s="202" t="str">
        <f>IFERROR(__xludf.DUMMYFUNCTION("""COMPUTED_VALUE"""),"Fighter, 3 Fighter Features, Master Athletics or Combat")</f>
        <v>Fighter, 3 Fighter Features, Master Athletics or Combat</v>
      </c>
      <c r="C398" s="202" t="str">
        <f>IFERROR(__xludf.DUMMYFUNCTION("""COMPUTED_VALUE"""),"At-Will - Free Action")</f>
        <v>At-Will - Free Action</v>
      </c>
      <c r="D398" s="202" t="str">
        <f>IFERROR(__xludf.DUMMYFUNCTION("""COMPUTED_VALUE"""),"Trigger: You roll a natural 15+ on a Melee Attack or cause an Enemy to faint with a Melee Attack
Effect: After the Trigger resolves, choose one of the following effects to apply:
» You gain +1 CS in your Trained Stat (1 Tick of Temporary HP if it’s HP)
»"&amp;" Your next Melee Attack ignores Stat Evasion
» You gain an additional Movement Action. For the rest of your Turn, Movement does not trigger Attacks of Opportunity.
Bonus: Your Trained Stat’s Default CS Value is increased by +1 or you start the scene with"&amp;" 3 Ticks of Temporary Hit Points if it is HP.")</f>
        <v>Trigger: You roll a natural 15+ on a Melee Attack or cause an Enemy to faint with a Melee Attack
Effect: After the Trigger resolves, choose one of the following effects to apply:
» You gain +1 CS in your Trained Stat (1 Tick of Temporary HP if it’s HP)
» Your next Melee Attack ignores Stat Evasion
» You gain an additional Movement Action. For the rest of your Turn, Movement does not trigger Attacks of Opportunity.
Bonus: Your Trained Stat’s Default CS Value is increased by +1 or you start the scene with 3 Ticks of Temporary Hit Points if it is HP.</v>
      </c>
      <c r="E398" s="203"/>
      <c r="F398" s="204"/>
      <c r="G398" s="204"/>
      <c r="H398" s="204"/>
      <c r="I398" s="204"/>
      <c r="J398" s="203"/>
      <c r="K398" s="205"/>
      <c r="L398" s="205"/>
      <c r="M398" s="205"/>
    </row>
    <row r="399">
      <c r="A399" s="202" t="str">
        <f>IFERROR(__xludf.DUMMYFUNCTION("""COMPUTED_VALUE"""),"Berserker")</f>
        <v>Berserker</v>
      </c>
      <c r="B399" s="202" t="str">
        <f>IFERROR(__xludf.DUMMYFUNCTION("""COMPUTED_VALUE"""),"Prerequisite 1: Fighter [or]
Prerequisite 2: Adept Combat and Novice Intimidate")</f>
        <v>Prerequisite 1: Fighter [or]
Prerequisite 2: Adept Combat and Novice Intimidate</v>
      </c>
      <c r="C399" s="202" t="str">
        <f>IFERROR(__xludf.DUMMYFUNCTION("""COMPUTED_VALUE"""),"At-Will - Free Action ")</f>
        <v>At-Will - Free Action </v>
      </c>
      <c r="D399" s="202" t="str">
        <f>IFERROR(__xludf.DUMMYFUNCTION("""COMPUTED_VALUE"""),"Trigger: You’re hit with an Attack or hit a Damaging Attack
Effect: After the Triggering Attack resolves, you gain a Fury Counter (Max 6).
Bonus: For each Fury Counter you have, your Critical Hit Range is increased by +1. Whenever you land a Critical Hit,"&amp;" all Fury Counters are expended. You learn the Rage Attack.")</f>
        <v>Trigger: You’re hit with an Attack or hit a Damaging Attack
Effect: After the Triggering Attack resolves, you gain a Fury Counter (Max 6).
Bonus: For each Fury Counter you have, your Critical Hit Range is increased by +1. Whenever you land a Critical Hit, all Fury Counters are expended. You learn the Rage Attack.</v>
      </c>
      <c r="E399" s="203"/>
      <c r="F399" s="204"/>
      <c r="G399" s="204"/>
      <c r="H399" s="204"/>
      <c r="I399" s="204"/>
      <c r="J399" s="203"/>
      <c r="K399" s="205"/>
      <c r="L399" s="205"/>
      <c r="M399" s="205"/>
    </row>
    <row r="400">
      <c r="A400" s="202" t="str">
        <f>IFERROR(__xludf.DUMMYFUNCTION("""COMPUTED_VALUE"""),"Reckless Strike")</f>
        <v>Reckless Strike</v>
      </c>
      <c r="B400" s="202" t="str">
        <f>IFERROR(__xludf.DUMMYFUNCTION("""COMPUTED_VALUE"""),"Berserker, Novice Combat or Intimidate")</f>
        <v>Berserker, Novice Combat or Intimidate</v>
      </c>
      <c r="C400" s="202" t="str">
        <f>IFERROR(__xludf.DUMMYFUNCTION("""COMPUTED_VALUE"""),"At-Will - Free Action")</f>
        <v>At-Will - Free Action</v>
      </c>
      <c r="D400" s="202" t="str">
        <f>IFERROR(__xludf.DUMMYFUNCTION("""COMPUTED_VALUE"""),"Trigger: You miss a Melee Attack
Effect: You may perform the Accuracy Roll again. You cannot use anything requiring a Reaction until the start of your next Turn. 
Bonus: While Enraged, your Actions are not restricted by the Affliction’s Effects")</f>
        <v>Trigger: You miss a Melee Attack
Effect: You may perform the Accuracy Roll again. You cannot use anything requiring a Reaction until the start of your next Turn. 
Bonus: While Enraged, your Actions are not restricted by the Affliction’s Effects</v>
      </c>
      <c r="E400" s="203"/>
      <c r="F400" s="204"/>
      <c r="G400" s="204"/>
      <c r="H400" s="204"/>
      <c r="I400" s="204"/>
      <c r="J400" s="203"/>
      <c r="K400" s="205"/>
      <c r="L400" s="205"/>
      <c r="M400" s="205"/>
    </row>
    <row r="401">
      <c r="A401" s="202" t="str">
        <f>IFERROR(__xludf.DUMMYFUNCTION("""COMPUTED_VALUE"""),"Power from Pain")</f>
        <v>Power from Pain</v>
      </c>
      <c r="B401" s="202" t="str">
        <f>IFERROR(__xludf.DUMMYFUNCTION("""COMPUTED_VALUE"""),"Berserker, Adept Combat or Intimidate")</f>
        <v>Berserker, Adept Combat or Intimidate</v>
      </c>
      <c r="C401" s="202" t="str">
        <f>IFERROR(__xludf.DUMMYFUNCTION("""COMPUTED_VALUE"""),"Static")</f>
        <v>Static</v>
      </c>
      <c r="D401" s="202" t="str">
        <f>IFERROR(__xludf.DUMMYFUNCTION("""COMPUTED_VALUE"""),"Effect: While Enraged or Provoked, your Damaging Attacks have their Damage Base increased by +X for every two Ticks of Hit Points you’re missing. X is equal to your Tier Level. ")</f>
        <v>Effect: While Enraged or Provoked, your Damaging Attacks have their Damage Base increased by +X for every two Ticks of Hit Points you’re missing. X is equal to your Tier Level. </v>
      </c>
      <c r="E401" s="203"/>
      <c r="F401" s="204"/>
      <c r="G401" s="204"/>
      <c r="H401" s="204"/>
      <c r="I401" s="204"/>
      <c r="J401" s="203"/>
      <c r="K401" s="205"/>
      <c r="L401" s="205"/>
      <c r="M401" s="205"/>
    </row>
    <row r="402">
      <c r="A402" s="202" t="str">
        <f>IFERROR(__xludf.DUMMYFUNCTION("""COMPUTED_VALUE"""),"Embodiment of Rage")</f>
        <v>Embodiment of Rage</v>
      </c>
      <c r="B402" s="202" t="str">
        <f>IFERROR(__xludf.DUMMYFUNCTION("""COMPUTED_VALUE"""),"Berserker, 2 Berserker Features, Expert Combat or Intimidate")</f>
        <v>Berserker, 2 Berserker Features, Expert Combat or Intimidate</v>
      </c>
      <c r="C402" s="202" t="str">
        <f>IFERROR(__xludf.DUMMYFUNCTION("""COMPUTED_VALUE"""),"Static")</f>
        <v>Static</v>
      </c>
      <c r="D402" s="202" t="str">
        <f>IFERROR(__xludf.DUMMYFUNCTION("""COMPUTED_VALUE"""),"Effect: You cannot become Provoked as a result of the Enraged Affliction. In addition, choose a listed Rage Style to gain its associated Ability in the parenthesis.
» Enduring (Enduring Rage), Feral (Berserk), Wrathful (Anger Point).")</f>
        <v>Effect: You cannot become Provoked as a result of the Enraged Affliction. In addition, choose a listed Rage Style to gain its associated Ability in the parenthesis.
» Enduring (Enduring Rage), Feral (Berserk), Wrathful (Anger Point).</v>
      </c>
      <c r="E402" s="203"/>
      <c r="F402" s="204"/>
      <c r="G402" s="204"/>
      <c r="H402" s="204"/>
      <c r="I402" s="204"/>
      <c r="J402" s="203"/>
      <c r="K402" s="205"/>
      <c r="L402" s="205"/>
      <c r="M402" s="205"/>
    </row>
    <row r="403">
      <c r="A403" s="202" t="str">
        <f>IFERROR(__xludf.DUMMYFUNCTION("""COMPUTED_VALUE"""),"Fueled by Fury")</f>
        <v>Fueled by Fury</v>
      </c>
      <c r="B403" s="202" t="str">
        <f>IFERROR(__xludf.DUMMYFUNCTION("""COMPUTED_VALUE"""),"Berserker, 3 Berserker Features, Master Combat or Intimidate")</f>
        <v>Berserker, 3 Berserker Features, Master Combat or Intimidate</v>
      </c>
      <c r="C403" s="202" t="str">
        <f>IFERROR(__xludf.DUMMYFUNCTION("""COMPUTED_VALUE"""),"Scene x2 - Swift Action")</f>
        <v>Scene x2 - Swift Action</v>
      </c>
      <c r="D403" s="202" t="str">
        <f>IFERROR(__xludf.DUMMYFUNCTION("""COMPUTED_VALUE"""),"Effect: You may expend any number of Fury Counters. You then gain X Ticks of Temporary Hit Points, where X is the number of Counters expended. 
Bonus: Whenever you’re hit by a Critical Hit, you may expend 3 Fury Counters to treat it as a normal hit instea"&amp;"d. ")</f>
        <v>Effect: You may expend any number of Fury Counters. You then gain X Ticks of Temporary Hit Points, where X is the number of Counters expended. 
Bonus: Whenever you’re hit by a Critical Hit, you may expend 3 Fury Counters to treat it as a normal hit instead. </v>
      </c>
      <c r="E403" s="203"/>
      <c r="F403" s="204"/>
      <c r="G403" s="204"/>
      <c r="H403" s="204"/>
      <c r="I403" s="204"/>
      <c r="J403" s="203"/>
      <c r="K403" s="205"/>
      <c r="L403" s="205"/>
      <c r="M403" s="205"/>
    </row>
    <row r="404">
      <c r="A404" s="202" t="str">
        <f>IFERROR(__xludf.DUMMYFUNCTION("""COMPUTED_VALUE"""),"Gladiator")</f>
        <v>Gladiator</v>
      </c>
      <c r="B404" s="202" t="str">
        <f>IFERROR(__xludf.DUMMYFUNCTION("""COMPUTED_VALUE"""),"Prerequisite 1: Fighter or Defender [or]
Prerequisite 2: Adept Combat and Novice Charm or Command")</f>
        <v>Prerequisite 1: Fighter or Defender [or]
Prerequisite 2: Adept Combat and Novice Charm or Command</v>
      </c>
      <c r="C404" s="202" t="str">
        <f>IFERROR(__xludf.DUMMYFUNCTION("""COMPUTED_VALUE"""),"At-Will - Free Action ")</f>
        <v>At-Will - Free Action </v>
      </c>
      <c r="D404" s="202" t="str">
        <f>IFERROR(__xludf.DUMMYFUNCTION("""COMPUTED_VALUE"""),"Trigger: You Provoke an Enemy, land a Critical hit, an Attack misses you, or you or your Pokemon cause an Enemy to faint.
Effect: You gain +1 Glory Counter. For each Glory Counter you have, you have a +1 Modifier to Accuracy for Melee Attacks. Whenever yo"&amp;"ur Pokemon Faint, you lose half of your Glory Counters (Rounded Down). You cannot have more Glory Counters than double your Tier Level.
Bonus: You learn the Taunt Attack.")</f>
        <v>Trigger: You Provoke an Enemy, land a Critical hit, an Attack misses you, or you or your Pokemon cause an Enemy to faint.
Effect: You gain +1 Glory Counter. For each Glory Counter you have, you have a +1 Modifier to Accuracy for Melee Attacks. Whenever your Pokemon Faint, you lose half of your Glory Counters (Rounded Down). You cannot have more Glory Counters than double your Tier Level.
Bonus: You learn the Taunt Attack.</v>
      </c>
      <c r="E404" s="203"/>
      <c r="F404" s="204"/>
      <c r="G404" s="204"/>
      <c r="H404" s="204"/>
      <c r="I404" s="204"/>
      <c r="J404" s="203"/>
      <c r="K404" s="205"/>
      <c r="L404" s="205"/>
      <c r="M404" s="205"/>
    </row>
    <row r="405">
      <c r="A405" s="202" t="str">
        <f>IFERROR(__xludf.DUMMYFUNCTION("""COMPUTED_VALUE"""),"Rising Glory")</f>
        <v>Rising Glory</v>
      </c>
      <c r="B405" s="202" t="str">
        <f>IFERROR(__xludf.DUMMYFUNCTION("""COMPUTED_VALUE"""),"Gladiator, Novice Combat, Novice Charm or Command")</f>
        <v>Gladiator, Novice Combat, Novice Charm or Command</v>
      </c>
      <c r="C405" s="202" t="str">
        <f>IFERROR(__xludf.DUMMYFUNCTION("""COMPUTED_VALUE"""),"Static")</f>
        <v>Static</v>
      </c>
      <c r="D405" s="202" t="str">
        <f>IFERROR(__xludf.DUMMYFUNCTION("""COMPUTED_VALUE"""),"Effect: You gain the following benefits while you don’t have a Mental Affliction:
» You have a +5 Bonus to Damage Rolls multiplied by your current Glory Counters. At Tier 3, this changes to a +10 bonus.
» You have 5 Damage Reduction multiplied by your Gl"&amp;"ory Counters against Attacks derived from Enemies that are Provoked by you
» You have a +1 bonus to Evasion against Enemies Provoked by you multiplied by your current Glory Counters.")</f>
        <v>Effect: You gain the following benefits while you don’t have a Mental Affliction:
» You have a +5 Bonus to Damage Rolls multiplied by your current Glory Counters. At Tier 3, this changes to a +10 bonus.
» You have 5 Damage Reduction multiplied by your Glory Counters against Attacks derived from Enemies that are Provoked by you
» You have a +1 bonus to Evasion against Enemies Provoked by you multiplied by your current Glory Counters.</v>
      </c>
      <c r="E405" s="203"/>
      <c r="F405" s="204"/>
      <c r="G405" s="204"/>
      <c r="H405" s="204"/>
      <c r="I405" s="204"/>
      <c r="J405" s="203"/>
      <c r="K405" s="205"/>
      <c r="L405" s="205"/>
      <c r="M405" s="205"/>
    </row>
    <row r="406">
      <c r="A406" s="202" t="str">
        <f>IFERROR(__xludf.DUMMYFUNCTION("""COMPUTED_VALUE"""),"Calling all Challengers")</f>
        <v>Calling all Challengers</v>
      </c>
      <c r="B406" s="202" t="str">
        <f>IFERROR(__xludf.DUMMYFUNCTION("""COMPUTED_VALUE"""),"Gladiator, Adept Combat, Novice Charm or Command")</f>
        <v>Gladiator, Adept Combat, Novice Charm or Command</v>
      </c>
      <c r="C406" s="202" t="str">
        <f>IFERROR(__xludf.DUMMYFUNCTION("""COMPUTED_VALUE"""),"Static")</f>
        <v>Static</v>
      </c>
      <c r="D406" s="202" t="str">
        <f>IFERROR(__xludf.DUMMYFUNCTION("""COMPUTED_VALUE"""),"Effect: You learn the Regal Challenge Ability. If you Provoke at least 3 Combatants through this Ability, you instead gain +2 Glory Counters if you Triggered Gladiator through it. You may use Taunt through the Versatile Keyword even if you use a Damaging "&amp;"Attack during your Turn and can use a Damaging Attack even if you used Taunt through the Versatile Keyword this Turn.")</f>
        <v>Effect: You learn the Regal Challenge Ability. If you Provoke at least 3 Combatants through this Ability, you instead gain +2 Glory Counters if you Triggered Gladiator through it. You may use Taunt through the Versatile Keyword even if you use a Damaging Attack during your Turn and can use a Damaging Attack even if you used Taunt through the Versatile Keyword this Turn.</v>
      </c>
      <c r="E406" s="203"/>
      <c r="F406" s="204"/>
      <c r="G406" s="204"/>
      <c r="H406" s="204"/>
      <c r="I406" s="204"/>
      <c r="J406" s="203"/>
      <c r="K406" s="205"/>
      <c r="L406" s="205"/>
      <c r="M406" s="205"/>
    </row>
    <row r="407">
      <c r="A407" s="202" t="str">
        <f>IFERROR(__xludf.DUMMYFUNCTION("""COMPUTED_VALUE"""),"Flaunting Glory")</f>
        <v>Flaunting Glory</v>
      </c>
      <c r="B407" s="202" t="str">
        <f>IFERROR(__xludf.DUMMYFUNCTION("""COMPUTED_VALUE"""),"Gladiator, 2 Gladiator Features, Expert Combat, Adept Charm or Command")</f>
        <v>Gladiator, 2 Gladiator Features, Expert Combat, Adept Charm or Command</v>
      </c>
      <c r="C407" s="202" t="str">
        <f>IFERROR(__xludf.DUMMYFUNCTION("""COMPUTED_VALUE"""),"Scene x2 - Swift Action")</f>
        <v>Scene x2 - Swift Action</v>
      </c>
      <c r="D407" s="202" t="str">
        <f>IFERROR(__xludf.DUMMYFUNCTION("""COMPUTED_VALUE"""),"Effect: You may expend up to 2 Glory Counters and choose an effect below to apply for each Counter expended. (They can be the same Effect)
» Choose an Enemy within 5m to become Provoked by you for a until the end of their next Turn. This cannot Trigger t"&amp;"he Gladiator Feature.
» Gain +1 CS in a Stat of your choice.
» An Enemy within 5m that has a Mental Affliction suffers a -3 to their next Save Check.")</f>
        <v>Effect: You may expend up to 2 Glory Counters and choose an effect below to apply for each Counter expended. (They can be the same Effect)
» Choose an Enemy within 5m to become Provoked by you for a until the end of their next Turn. This cannot Trigger the Gladiator Feature.
» Gain +1 CS in a Stat of your choice.
» An Enemy within 5m that has a Mental Affliction suffers a -3 to their next Save Check.</v>
      </c>
      <c r="E407" s="203"/>
      <c r="F407" s="204"/>
      <c r="G407" s="204"/>
      <c r="H407" s="204"/>
      <c r="I407" s="204"/>
      <c r="J407" s="203"/>
      <c r="K407" s="205"/>
      <c r="L407" s="205"/>
      <c r="M407" s="205"/>
    </row>
    <row r="408">
      <c r="A408" s="202" t="str">
        <f>IFERROR(__xludf.DUMMYFUNCTION("""COMPUTED_VALUE"""),"Star of the Show")</f>
        <v>Star of the Show</v>
      </c>
      <c r="B408" s="202" t="str">
        <f>IFERROR(__xludf.DUMMYFUNCTION("""COMPUTED_VALUE"""),"Gladiator, 3 Gladiator Features, Master Combat, Adept Charm or Command")</f>
        <v>Gladiator, 3 Gladiator Features, Master Combat, Adept Charm or Command</v>
      </c>
      <c r="C408" s="202" t="str">
        <f>IFERROR(__xludf.DUMMYFUNCTION("""COMPUTED_VALUE"""),"Scene x2 - Free Action")</f>
        <v>Scene x2 - Free Action</v>
      </c>
      <c r="D408" s="202" t="str">
        <f>IFERROR(__xludf.DUMMYFUNCTION("""COMPUTED_VALUE"""),"Trigger: You hit, or are hit by, an Enemy who’s Provoked by you
Effect: If the Trigger was being hit by a Provoked Enemy, you resist the Triggering Attack by an additional Damage Step. If the Trigger was hitting a Provoked Enemy, the Attack becomes a Crit"&amp;"ical Hit. An Enemy can only be affected by Star of the Show once per Scene.")</f>
        <v>Trigger: You hit, or are hit by, an Enemy who’s Provoked by you
Effect: If the Trigger was being hit by a Provoked Enemy, you resist the Triggering Attack by an additional Damage Step. If the Trigger was hitting a Provoked Enemy, the Attack becomes a Critical Hit. An Enemy can only be affected by Star of the Show once per Scene.</v>
      </c>
      <c r="E408" s="203"/>
      <c r="F408" s="204"/>
      <c r="G408" s="204"/>
      <c r="H408" s="204"/>
      <c r="I408" s="204"/>
      <c r="J408" s="203"/>
      <c r="K408" s="205"/>
      <c r="L408" s="205"/>
      <c r="M408" s="205"/>
    </row>
    <row r="409">
      <c r="A409" s="202" t="str">
        <f>IFERROR(__xludf.DUMMYFUNCTION("""COMPUTED_VALUE"""),"Monk")</f>
        <v>Monk</v>
      </c>
      <c r="B409" s="202" t="str">
        <f>IFERROR(__xludf.DUMMYFUNCTION("""COMPUTED_VALUE"""),"Prerequisite 1: Fighter [or]
Prerequisite 2: Adept Combat and Novice Athletics")</f>
        <v>Prerequisite 1: Fighter [or]
Prerequisite 2: Adept Combat and Novice Athletics</v>
      </c>
      <c r="C409" s="202" t="str">
        <f>IFERROR(__xludf.DUMMYFUNCTION("""COMPUTED_VALUE"""),"At-Will - Free Action")</f>
        <v>At-Will - Free Action</v>
      </c>
      <c r="D409" s="202" t="str">
        <f>IFERROR(__xludf.DUMMYFUNCTION("""COMPUTED_VALUE"""),"Trigger: You start your Turn
Effect: Choose a Stance below to enter. You benefit from the Stance’s effects until you enter a new stance or the Scene ends.
» Ferocious Stance - You have a bonus to the Damage Rolls of Melee Attacks equal to your Tier Value"&amp;".
» Defensive Stance - You have Damage Reduction against Physical Attacks equal to your Tier Value.
» Flowing Stance - Your Movement Value is increased by +3 and you do not provoke Attacks of Opportunity by moving.
» Meditative Stance - You have a bonus t"&amp;"o Save Checks and Evasion equal to your Tier Level. ")</f>
        <v>Trigger: You start your Turn
Effect: Choose a Stance below to enter. You benefit from the Stance’s effects until you enter a new stance or the Scene ends.
» Ferocious Stance - You have a bonus to the Damage Rolls of Melee Attacks equal to your Tier Value.
» Defensive Stance - You have Damage Reduction against Physical Attacks equal to your Tier Value.
» Flowing Stance - Your Movement Value is increased by +3 and you do not provoke Attacks of Opportunity by moving.
» Meditative Stance - You have a bonus to Save Checks and Evasion equal to your Tier Level. </v>
      </c>
      <c r="E409" s="203"/>
      <c r="F409" s="204"/>
      <c r="G409" s="204"/>
      <c r="H409" s="204"/>
      <c r="I409" s="204"/>
      <c r="J409" s="203"/>
      <c r="K409" s="205"/>
      <c r="L409" s="205"/>
      <c r="M409" s="205"/>
    </row>
    <row r="410">
      <c r="A410" s="202" t="str">
        <f>IFERROR(__xludf.DUMMYFUNCTION("""COMPUTED_VALUE"""),"Flurry of Blows")</f>
        <v>Flurry of Blows</v>
      </c>
      <c r="B410" s="202" t="str">
        <f>IFERROR(__xludf.DUMMYFUNCTION("""COMPUTED_VALUE"""),"Monk, Novice Combat or Athletics")</f>
        <v>Monk, Novice Combat or Athletics</v>
      </c>
      <c r="C410" s="202" t="str">
        <f>IFERROR(__xludf.DUMMYFUNCTION("""COMPUTED_VALUE"""),"At-Will - Swift Action")</f>
        <v>At-Will - Swift Action</v>
      </c>
      <c r="D410" s="202" t="str">
        <f>IFERROR(__xludf.DUMMYFUNCTION("""COMPUTED_VALUE"""),"Trigger: You miss a Melee Attack
Effect: You perform the Accuracy Roll again. If the Attack hits, it is resisted by an additional damage step, cannot be a Critical Hit and cannot trigger Effect Ranges. If you have at least 4 Monk Features and the rerolled"&amp;" Attack misses, you may roll it once more.")</f>
        <v>Trigger: You miss a Melee Attack
Effect: You perform the Accuracy Roll again. If the Attack hits, it is resisted by an additional damage step, cannot be a Critical Hit and cannot trigger Effect Ranges. If you have at least 4 Monk Features and the rerolled Attack misses, you may roll it once more.</v>
      </c>
      <c r="E410" s="203"/>
      <c r="F410" s="204"/>
      <c r="G410" s="204"/>
      <c r="H410" s="204"/>
      <c r="I410" s="204"/>
      <c r="J410" s="203"/>
      <c r="K410" s="205"/>
      <c r="L410" s="205"/>
      <c r="M410" s="205"/>
    </row>
    <row r="411">
      <c r="A411" s="202" t="str">
        <f>IFERROR(__xludf.DUMMYFUNCTION("""COMPUTED_VALUE"""),"Purity of Body &amp; Mind")</f>
        <v>Purity of Body &amp; Mind</v>
      </c>
      <c r="B411" s="202" t="str">
        <f>IFERROR(__xludf.DUMMYFUNCTION("""COMPUTED_VALUE"""),"Monk, Adept Combat or Athletics")</f>
        <v>Monk, Adept Combat or Athletics</v>
      </c>
      <c r="C411" s="202" t="str">
        <f>IFERROR(__xludf.DUMMYFUNCTION("""COMPUTED_VALUE"""),"Static")</f>
        <v>Static</v>
      </c>
      <c r="D411" s="202" t="str">
        <f>IFERROR(__xludf.DUMMYFUNCTION("""COMPUTED_VALUE"""),"Effect: Upon gaining this Feature, choose Body or Mind. If you choose Body, while you’re affected by a Physical Status Affliction, you may perform Save Checks twice, taking the higher result. If you choose Mind, while you’re affected by a Mental Status Af"&amp;"fliction, you may perform Save Checks twice, taking the higher result. If you have 5 Monk Features, you benefit from both instead.")</f>
        <v>Effect: Upon gaining this Feature, choose Body or Mind. If you choose Body, while you’re affected by a Physical Status Affliction, you may perform Save Checks twice, taking the higher result. If you choose Mind, while you’re affected by a Mental Status Affliction, you may perform Save Checks twice, taking the higher result. If you have 5 Monk Features, you benefit from both instead.</v>
      </c>
      <c r="E411" s="203"/>
      <c r="F411" s="204"/>
      <c r="G411" s="204"/>
      <c r="H411" s="204"/>
      <c r="I411" s="204"/>
      <c r="J411" s="203"/>
      <c r="K411" s="205"/>
      <c r="L411" s="205"/>
      <c r="M411" s="205"/>
    </row>
    <row r="412">
      <c r="A412" s="202" t="str">
        <f>IFERROR(__xludf.DUMMYFUNCTION("""COMPUTED_VALUE"""),"Stunning Strike")</f>
        <v>Stunning Strike</v>
      </c>
      <c r="B412" s="202" t="str">
        <f>IFERROR(__xludf.DUMMYFUNCTION("""COMPUTED_VALUE"""),"Monk, 2 Monk Features, Expert Combat or Athletics")</f>
        <v>Monk, 2 Monk Features, Expert Combat or Athletics</v>
      </c>
      <c r="C412" s="202" t="str">
        <f>IFERROR(__xludf.DUMMYFUNCTION("""COMPUTED_VALUE"""),"Scene x2 - Swift Action")</f>
        <v>Scene x2 - Swift Action</v>
      </c>
      <c r="D412" s="202" t="str">
        <f>IFERROR(__xludf.DUMMYFUNCTION("""COMPUTED_VALUE"""),"Trigger: You roll a Natural 15+ on a Damaging Melee Attack against a Single Enemy
Effect: The Effect of the Triggering Attack is ignored. If it was a Critical Hit, it is no longer a Critical Hit. Choose one of the following Effects to apply to the Target."&amp;" A Target can only be affected by Stunning Strike once per Scene. 
» They become Paralyzed
» They become Dazed
» They become Weakened until the end of their next Turn
» They become Vulnerable until the end of the Round")</f>
        <v>Trigger: You roll a Natural 15+ on a Damaging Melee Attack against a Single Enemy
Effect: The Effect of the Triggering Attack is ignored. If it was a Critical Hit, it is no longer a Critical Hit. Choose one of the following Effects to apply to the Target. A Target can only be affected by Stunning Strike once per Scene. 
» They become Paralyzed
» They become Dazed
» They become Weakened until the end of their next Turn
» They become Vulnerable until the end of the Round</v>
      </c>
      <c r="E412" s="203"/>
      <c r="F412" s="204"/>
      <c r="G412" s="204"/>
      <c r="H412" s="204"/>
      <c r="I412" s="204"/>
      <c r="J412" s="203"/>
      <c r="K412" s="205"/>
      <c r="L412" s="205"/>
      <c r="M412" s="205"/>
    </row>
    <row r="413">
      <c r="A413" s="202" t="str">
        <f>IFERROR(__xludf.DUMMYFUNCTION("""COMPUTED_VALUE"""),"Damage Deflection")</f>
        <v>Damage Deflection</v>
      </c>
      <c r="B413" s="202" t="str">
        <f>IFERROR(__xludf.DUMMYFUNCTION("""COMPUTED_VALUE"""),"Monk, 3 Monk Features, Master Combat or Athletics")</f>
        <v>Monk, 3 Monk Features, Master Combat or Athletics</v>
      </c>
      <c r="C413" s="202" t="str">
        <f>IFERROR(__xludf.DUMMYFUNCTION("""COMPUTED_VALUE"""),"Scene x2 - Reaction")</f>
        <v>Scene x2 - Reaction</v>
      </c>
      <c r="D413" s="202" t="str">
        <f>IFERROR(__xludf.DUMMYFUNCTION("""COMPUTED_VALUE"""),"Trigger: You’re hit by a Damaging Attack
Effect: Choose one of the Effects below to apply. Each effect may only be applied once per Scene:
» You resist it by an additional Damage Step. Then your next Damaging Attack gains the Smite Keyword.
» You resist "&amp;"it by an additional Damage Step. An Enemy within 2m is also hit by the Triggering Attack but resists it by an additional Damage Step.
» If the Triggering Attack wasn’t from an Adjacent Enemy, it misses instead.")</f>
        <v>Trigger: You’re hit by a Damaging Attack
Effect: Choose one of the Effects below to apply. Each effect may only be applied once per Scene:
» You resist it by an additional Damage Step. Then your next Damaging Attack gains the Smite Keyword.
» You resist it by an additional Damage Step. An Enemy within 2m is also hit by the Triggering Attack but resists it by an additional Damage Step.
» If the Triggering Attack wasn’t from an Adjacent Enemy, it misses instead.</v>
      </c>
      <c r="E413" s="203"/>
      <c r="F413" s="204"/>
      <c r="G413" s="204"/>
      <c r="H413" s="204"/>
      <c r="I413" s="204"/>
      <c r="J413" s="203"/>
      <c r="K413" s="205"/>
      <c r="L413" s="205"/>
      <c r="M413" s="205"/>
    </row>
    <row r="414">
      <c r="A414" s="202" t="str">
        <f>IFERROR(__xludf.DUMMYFUNCTION("""COMPUTED_VALUE"""),"Marksman")</f>
        <v>Marksman</v>
      </c>
      <c r="B414" s="202" t="str">
        <f>IFERROR(__xludf.DUMMYFUNCTION("""COMPUTED_VALUE"""),"Novice Combat or Perception")</f>
        <v>Novice Combat or Perception</v>
      </c>
      <c r="C414" s="202" t="str">
        <f>IFERROR(__xludf.DUMMYFUNCTION("""COMPUTED_VALUE"""),"At-Will - Free Action")</f>
        <v>At-Will - Free Action</v>
      </c>
      <c r="D414" s="202" t="str">
        <f>IFERROR(__xludf.DUMMYFUNCTION("""COMPUTED_VALUE"""),"Trigger: You miss a 1-Target Ranged Attack
Effect: Your next 1-Target Ranged Attack gains all of the following benefits upon the Attack’s declaration. 
» It gains a bonus to Critical Hit Ranges equal to your Tier Level.
» Targets may only apply Speed Evas"&amp;"ion against it.
» It gains the Unstoppable Keyword.")</f>
        <v>Trigger: You miss a 1-Target Ranged Attack
Effect: Your next 1-Target Ranged Attack gains all of the following benefits upon the Attack’s declaration. 
» It gains a bonus to Critical Hit Ranges equal to your Tier Level.
» Targets may only apply Speed Evasion against it.
» It gains the Unstoppable Keyword.</v>
      </c>
      <c r="E414" s="203"/>
      <c r="F414" s="204"/>
      <c r="G414" s="204"/>
      <c r="H414" s="204"/>
      <c r="I414" s="204"/>
      <c r="J414" s="203"/>
      <c r="K414" s="205"/>
      <c r="L414" s="205"/>
      <c r="M414" s="205"/>
    </row>
    <row r="415">
      <c r="A415" s="202" t="str">
        <f>IFERROR(__xludf.DUMMYFUNCTION("""COMPUTED_VALUE"""),"Clear Shot")</f>
        <v>Clear Shot</v>
      </c>
      <c r="B415" s="202" t="str">
        <f>IFERROR(__xludf.DUMMYFUNCTION("""COMPUTED_VALUE"""),"Marksman, Novice Combat or Perception")</f>
        <v>Marksman, Novice Combat or Perception</v>
      </c>
      <c r="C415" s="202" t="str">
        <f>IFERROR(__xludf.DUMMYFUNCTION("""COMPUTED_VALUE"""),"Static")</f>
        <v>Static</v>
      </c>
      <c r="D415" s="202" t="str">
        <f>IFERROR(__xludf.DUMMYFUNCTION("""COMPUTED_VALUE"""),"Effect: Whenever you use a 1-Target Ranged Attack against an Enemy that is adjacent to no other Combatants, they’re treated as Vulnerable against it. If they’re already Vulnerable, it instead gains the Sureshot Keyword.")</f>
        <v>Effect: Whenever you use a 1-Target Ranged Attack against an Enemy that is adjacent to no other Combatants, they’re treated as Vulnerable against it. If they’re already Vulnerable, it instead gains the Sureshot Keyword.</v>
      </c>
      <c r="E415" s="203"/>
      <c r="F415" s="204"/>
      <c r="G415" s="204"/>
      <c r="H415" s="204"/>
      <c r="I415" s="204"/>
      <c r="J415" s="203"/>
      <c r="K415" s="205"/>
      <c r="L415" s="205"/>
      <c r="M415" s="205"/>
    </row>
    <row r="416">
      <c r="A416" s="202" t="str">
        <f>IFERROR(__xludf.DUMMYFUNCTION("""COMPUTED_VALUE"""),"Cover Fire")</f>
        <v>Cover Fire</v>
      </c>
      <c r="B416" s="202" t="str">
        <f>IFERROR(__xludf.DUMMYFUNCTION("""COMPUTED_VALUE"""),"Marksman, Adept Combat or Perception")</f>
        <v>Marksman, Adept Combat or Perception</v>
      </c>
      <c r="C416" s="202" t="str">
        <f>IFERROR(__xludf.DUMMYFUNCTION("""COMPUTED_VALUE"""),"At-Will - Free Action")</f>
        <v>At-Will - Free Action</v>
      </c>
      <c r="D416" s="202" t="str">
        <f>IFERROR(__xludf.DUMMYFUNCTION("""COMPUTED_VALUE"""),"Condition: You have a Ranged Weapon Equipped or know a Ranged Damaging Attack
Effect: Create a Zone consisting of up to 4 connecting spaces that are unoccupied within 5m. Whenever an Enemy would enter one of these spaces you may Trigger an Attack of Oppor"&amp;"tunity, ignoring Range. This Zone is removed when you use a Movement Action or Reaction. You can only have one Zone created this way on the Field at a time.")</f>
        <v>Condition: You have a Ranged Weapon Equipped or know a Ranged Damaging Attack
Effect: Create a Zone consisting of up to 4 connecting spaces that are unoccupied within 5m. Whenever an Enemy would enter one of these spaces you may Trigger an Attack of Opportunity, ignoring Range. This Zone is removed when you use a Movement Action or Reaction. You can only have one Zone created this way on the Field at a time.</v>
      </c>
      <c r="E416" s="203"/>
      <c r="F416" s="204"/>
      <c r="G416" s="204"/>
      <c r="H416" s="204"/>
      <c r="I416" s="204"/>
      <c r="J416" s="203"/>
      <c r="K416" s="205"/>
      <c r="L416" s="205"/>
      <c r="M416" s="205"/>
    </row>
    <row r="417">
      <c r="A417" s="202" t="str">
        <f>IFERROR(__xludf.DUMMYFUNCTION("""COMPUTED_VALUE"""),"Modified Ammo")</f>
        <v>Modified Ammo</v>
      </c>
      <c r="B417" s="202" t="str">
        <f>IFERROR(__xludf.DUMMYFUNCTION("""COMPUTED_VALUE"""),"Marksman, 2 Marksman Features, Expert Combat or Perception")</f>
        <v>Marksman, 2 Marksman Features, Expert Combat or Perception</v>
      </c>
      <c r="C417" s="202" t="str">
        <f>IFERROR(__xludf.DUMMYFUNCTION("""COMPUTED_VALUE"""),"Bind 1 - Swift Action")</f>
        <v>Bind 1 - Swift Action</v>
      </c>
      <c r="D417" s="202" t="str">
        <f>IFERROR(__xludf.DUMMYFUNCTION("""COMPUTED_VALUE"""),"Condition: You have a Ranged Weapon Equipped or know a Ranged Damaging Attack
Target: A Ranged Weapon you have Equipped
Effect: When this Feature is bound, choose an Effect below to apply to all Damaging Ranged Attacks you use this Scene while bound. At t"&amp;"he end of the Scene, this Feature is Unbound.
» Armor-Piercing - Before Damage calculations, the Targets lose -1 CS in the associated Defense Stat. On a 16+ they instead lose -2 CS.
» Barbed - On a 16+, the Target becomes Slowed or gains the Wounded Affl"&amp;"iction of your choice.
» Distracting - On a Hit, the Target has a -2 Penalty to their next Accuracy Check. On a miss, it is instead a -3 Penalty.
» Explosive - Any Single Target Ranged Weapon Attacks become Ranged Blast 3 instead, however all Targets that"&amp;" aren’t in the center space resist an additional damage step.")</f>
        <v>Condition: You have a Ranged Weapon Equipped or know a Ranged Damaging Attack
Target: A Ranged Weapon you have Equipped
Effect: When this Feature is bound, choose an Effect below to apply to all Damaging Ranged Attacks you use this Scene while bound. At the end of the Scene, this Feature is Unbound.
» Armor-Piercing - Before Damage calculations, the Targets lose -1 CS in the associated Defense Stat. On a 16+ they instead lose -2 CS.
» Barbed - On a 16+, the Target becomes Slowed or gains the Wounded Affliction of your choice.
» Distracting - On a Hit, the Target has a -2 Penalty to their next Accuracy Check. On a miss, it is instead a -3 Penalty.
» Explosive - Any Single Target Ranged Weapon Attacks become Ranged Blast 3 instead, however all Targets that aren’t in the center space resist an additional damage step.</v>
      </c>
      <c r="E417" s="203"/>
      <c r="F417" s="204"/>
      <c r="G417" s="204"/>
      <c r="H417" s="204"/>
      <c r="I417" s="204"/>
      <c r="J417" s="203"/>
      <c r="K417" s="205"/>
      <c r="L417" s="205"/>
      <c r="M417" s="205"/>
    </row>
    <row r="418">
      <c r="A418" s="202" t="str">
        <f>IFERROR(__xludf.DUMMYFUNCTION("""COMPUTED_VALUE"""),"Dead-Eye Shot")</f>
        <v>Dead-Eye Shot</v>
      </c>
      <c r="B418" s="202" t="str">
        <f>IFERROR(__xludf.DUMMYFUNCTION("""COMPUTED_VALUE"""),"Marksman, 3 Marksman Features, Master Combat or Perception")</f>
        <v>Marksman, 3 Marksman Features, Master Combat or Perception</v>
      </c>
      <c r="C418" s="202" t="str">
        <f>IFERROR(__xludf.DUMMYFUNCTION("""COMPUTED_VALUE"""),"Scene x2 - Free Action")</f>
        <v>Scene x2 - Free Action</v>
      </c>
      <c r="D418" s="202" t="str">
        <f>IFERROR(__xludf.DUMMYFUNCTION("""COMPUTED_VALUE"""),"Trigger: You use a Ranged Attack
Effect: Perform the Accuracy Roll twice, taking either result. If both results would have hit one of their Targets, they resist it one step less to a maximum of Neutral Effectiveness and it gains the Unstoppable Keyword.")</f>
        <v>Trigger: You use a Ranged Attack
Effect: Perform the Accuracy Roll twice, taking either result. If both results would have hit one of their Targets, they resist it one step less to a maximum of Neutral Effectiveness and it gains the Unstoppable Keyword.</v>
      </c>
      <c r="E418" s="203"/>
      <c r="F418" s="204"/>
      <c r="G418" s="204"/>
      <c r="H418" s="204"/>
      <c r="I418" s="204"/>
      <c r="J418" s="203"/>
      <c r="K418" s="205"/>
      <c r="L418" s="205"/>
      <c r="M418" s="205"/>
    </row>
    <row r="419">
      <c r="A419" s="202" t="str">
        <f>IFERROR(__xludf.DUMMYFUNCTION("""COMPUTED_VALUE"""),"Artillerist")</f>
        <v>Artillerist</v>
      </c>
      <c r="B419" s="202" t="str">
        <f>IFERROR(__xludf.DUMMYFUNCTION("""COMPUTED_VALUE"""),"Prerequisite 1: Marksman [or]
Prerequisite 2: Adept Focus or Perception")</f>
        <v>Prerequisite 1: Marksman [or]
Prerequisite 2: Adept Focus or Perception</v>
      </c>
      <c r="C419" s="202" t="str">
        <f>IFERROR(__xludf.DUMMYFUNCTION("""COMPUTED_VALUE"""),"Bind X - Extended Action")</f>
        <v>Bind X - Extended Action</v>
      </c>
      <c r="D419" s="202" t="str">
        <f>IFERROR(__xludf.DUMMYFUNCTION("""COMPUTED_VALUE"""),"Target: A Ranged Blast Attack, Line Attack or a Damaging 1-Target Attack on your Attack list.
Effect: While this Feature is Bound, the Targeted Attack’s Range improves. If it was a 1-Target Attack, it becomes Ranged Blast 2. If it was Ranged Blast, increa"&amp;"se its Area of Effect by +1. If it was Line, increase its Area of Effect by +2. X is equal to the number of Artillerist Features you have. ")</f>
        <v>Target: A Ranged Blast Attack, Line Attack or a Damaging 1-Target Attack on your Attack list.
Effect: While this Feature is Bound, the Targeted Attack’s Range improves. If it was a 1-Target Attack, it becomes Ranged Blast 2. If it was Ranged Blast, increase its Area of Effect by +1. If it was Line, increase its Area of Effect by +2. X is equal to the number of Artillerist Features you have. </v>
      </c>
      <c r="E419" s="203"/>
      <c r="F419" s="204"/>
      <c r="G419" s="204"/>
      <c r="H419" s="204"/>
      <c r="I419" s="204"/>
      <c r="J419" s="203"/>
      <c r="K419" s="205"/>
      <c r="L419" s="205"/>
      <c r="M419" s="205"/>
    </row>
    <row r="420">
      <c r="A420" s="202" t="str">
        <f>IFERROR(__xludf.DUMMYFUNCTION("""COMPUTED_VALUE"""),"Projected Barrage")</f>
        <v>Projected Barrage</v>
      </c>
      <c r="B420" s="202" t="str">
        <f>IFERROR(__xludf.DUMMYFUNCTION("""COMPUTED_VALUE"""),"Artillerist, Novice Focus or Perception")</f>
        <v>Artillerist, Novice Focus or Perception</v>
      </c>
      <c r="C420" s="202" t="str">
        <f>IFERROR(__xludf.DUMMYFUNCTION("""COMPUTED_VALUE"""),"At-Will - Swift or Movement Action")</f>
        <v>At-Will - Swift or Movement Action</v>
      </c>
      <c r="D420" s="202" t="str">
        <f>IFERROR(__xludf.DUMMYFUNCTION("""COMPUTED_VALUE"""),"Trigger: The Round Starts
Effect: Choose a Line or Ranged Blast Attack and create a Zone that corresponds to its Range. At the end of the Round if the user hasn't moved, the Attack is used as a Free Action, Targeting all Combatants in that Zone. (Frequenc"&amp;"y still applies)")</f>
        <v>Trigger: The Round Starts
Effect: Choose a Line or Ranged Blast Attack and create a Zone that corresponds to its Range. At the end of the Round if the user hasn't moved, the Attack is used as a Free Action, Targeting all Combatants in that Zone. (Frequency still applies)</v>
      </c>
      <c r="E420" s="203"/>
      <c r="F420" s="204"/>
      <c r="G420" s="204"/>
      <c r="H420" s="204"/>
      <c r="I420" s="204"/>
      <c r="J420" s="203"/>
      <c r="K420" s="205"/>
      <c r="L420" s="205"/>
      <c r="M420" s="205"/>
    </row>
    <row r="421">
      <c r="A421" s="202" t="str">
        <f>IFERROR(__xludf.DUMMYFUNCTION("""COMPUTED_VALUE"""),"Sieging Strike")</f>
        <v>Sieging Strike</v>
      </c>
      <c r="B421" s="202" t="str">
        <f>IFERROR(__xludf.DUMMYFUNCTION("""COMPUTED_VALUE"""),"Artillerist, Adept Focus or Perception")</f>
        <v>Artillerist, Adept Focus or Perception</v>
      </c>
      <c r="C421" s="202" t="str">
        <f>IFERROR(__xludf.DUMMYFUNCTION("""COMPUTED_VALUE"""),"Scene x2 - Free Action")</f>
        <v>Scene x2 - Free Action</v>
      </c>
      <c r="D421" s="202" t="str">
        <f>IFERROR(__xludf.DUMMYFUNCTION("""COMPUTED_VALUE"""),"Trigger: You use a Line or Ranged Damaging Attack
Effect: Choose one of the Effects to apply to the Triggering Attack.
» If the Triggering Attack was made through Projected Barrage, it gains the Sureshot Keyword.
» All Terrain within this Range are chang"&amp;"ed to Slow Terrain and all Blocking or Cover Terrain are destroyed.
» It ignores all positive Combat Stages in Defense or Special Defense.")</f>
        <v>Trigger: You use a Line or Ranged Damaging Attack
Effect: Choose one of the Effects to apply to the Triggering Attack.
» If the Triggering Attack was made through Projected Barrage, it gains the Sureshot Keyword.
» All Terrain within this Range are changed to Slow Terrain and all Blocking or Cover Terrain are destroyed.
» It ignores all positive Combat Stages in Defense or Special Defense.</v>
      </c>
      <c r="E421" s="203"/>
      <c r="F421" s="204"/>
      <c r="G421" s="204"/>
      <c r="H421" s="204"/>
      <c r="I421" s="204"/>
      <c r="J421" s="203"/>
      <c r="K421" s="205"/>
      <c r="L421" s="205"/>
      <c r="M421" s="205"/>
    </row>
    <row r="422">
      <c r="A422" s="202" t="str">
        <f>IFERROR(__xludf.DUMMYFUNCTION("""COMPUTED_VALUE"""),"Early Bombardment")</f>
        <v>Early Bombardment</v>
      </c>
      <c r="B422" s="202" t="str">
        <f>IFERROR(__xludf.DUMMYFUNCTION("""COMPUTED_VALUE"""),"Projected Barrage, Expert Focus or Perception")</f>
        <v>Projected Barrage, Expert Focus or Perception</v>
      </c>
      <c r="C422" s="202" t="str">
        <f>IFERROR(__xludf.DUMMYFUNCTION("""COMPUTED_VALUE"""),"At-Will - Reaction")</f>
        <v>At-Will - Reaction</v>
      </c>
      <c r="D422" s="202" t="str">
        <f>IFERROR(__xludf.DUMMYFUNCTION("""COMPUTED_VALUE"""),"Trigger: An Enemy enters your Zone created by the Projected Barrage Feature
Effect: The chosen Attack is immediately used as a Free Action, Targeting all Combatants in that Zone, however they resist it by an additional Damage Step. After this Attack resol"&amp;"ves, the Triggering Enemy may continue any movement that was interrupted by this Feature. The corresponding Zone is then removed from the Field and Projected Barrage’s Effect does not resolve.  ")</f>
        <v>Trigger: An Enemy enters your Zone created by the Projected Barrage Feature
Effect: The chosen Attack is immediately used as a Free Action, Targeting all Combatants in that Zone, however they resist it by an additional Damage Step. After this Attack resolves, the Triggering Enemy may continue any movement that was interrupted by this Feature. The corresponding Zone is then removed from the Field and Projected Barrage’s Effect does not resolve.  </v>
      </c>
      <c r="E422" s="203"/>
      <c r="F422" s="204"/>
      <c r="G422" s="204"/>
      <c r="H422" s="204"/>
      <c r="I422" s="204"/>
      <c r="J422" s="203"/>
      <c r="K422" s="205"/>
      <c r="L422" s="205"/>
      <c r="M422" s="205"/>
    </row>
    <row r="423">
      <c r="A423" s="202" t="str">
        <f>IFERROR(__xludf.DUMMYFUNCTION("""COMPUTED_VALUE"""),"Precision Strike")</f>
        <v>Precision Strike</v>
      </c>
      <c r="B423" s="202" t="str">
        <f>IFERROR(__xludf.DUMMYFUNCTION("""COMPUTED_VALUE"""),"Artillerist, 3 Artillerist Features, Master Focus or Perception")</f>
        <v>Artillerist, 3 Artillerist Features, Master Focus or Perception</v>
      </c>
      <c r="C423" s="202" t="str">
        <f>IFERROR(__xludf.DUMMYFUNCTION("""COMPUTED_VALUE"""),"Scene - Swift Action")</f>
        <v>Scene - Swift Action</v>
      </c>
      <c r="D423" s="202" t="str">
        <f>IFERROR(__xludf.DUMMYFUNCTION("""COMPUTED_VALUE"""),"Trigger: You use a Line or Ranged Blast Attack
Effect: Choose one of the Effects to apply to the Triggering Attack.
» It gains the Friendly Keyword
» It gains the Sureshot Keyword
Bonus - Whenever you use the Artillerist Feature on a 1-Target Damaging Att"&amp;"ack, you may also have it become a Line X Attack, where X is the range of the 1-Target Attack. ")</f>
        <v>Trigger: You use a Line or Ranged Blast Attack
Effect: Choose one of the Effects to apply to the Triggering Attack.
» It gains the Friendly Keyword
» It gains the Sureshot Keyword
Bonus - Whenever you use the Artillerist Feature on a 1-Target Damaging Attack, you may also have it become a Line X Attack, where X is the range of the 1-Target Attack. </v>
      </c>
      <c r="E423" s="203"/>
      <c r="F423" s="204"/>
      <c r="G423" s="204"/>
      <c r="H423" s="204"/>
      <c r="I423" s="204"/>
      <c r="J423" s="203"/>
      <c r="K423" s="205"/>
      <c r="L423" s="205"/>
      <c r="M423" s="205"/>
    </row>
    <row r="424">
      <c r="A424" s="202" t="str">
        <f>IFERROR(__xludf.DUMMYFUNCTION("""COMPUTED_VALUE"""),"Gunslinger")</f>
        <v>Gunslinger</v>
      </c>
      <c r="B424" s="202" t="str">
        <f>IFERROR(__xludf.DUMMYFUNCTION("""COMPUTED_VALUE"""),"Prerequisite 1: Marksman [or]
Prerequisite 2: Adept Acrobatics or Intuition")</f>
        <v>Prerequisite 1: Marksman [or]
Prerequisite 2: Adept Acrobatics or Intuition</v>
      </c>
      <c r="C424" s="202" t="str">
        <f>IFERROR(__xludf.DUMMYFUNCTION("""COMPUTED_VALUE"""),"Static")</f>
        <v>Static</v>
      </c>
      <c r="D424" s="202" t="str">
        <f>IFERROR(__xludf.DUMMYFUNCTION("""COMPUTED_VALUE"""),"Effect: Whenever you use a 1-Target Ranged Attack, you have a bonus to Accuracy equal to X subtracted by Y (Even if it’s Range would change as a result of a Feature). X is equal to the higher of your Acrobatics or Intuition Rank. Y is equal to the distanc"&amp;"e in Meters the Target is away from you.")</f>
        <v>Effect: Whenever you use a 1-Target Ranged Attack, you have a bonus to Accuracy equal to X subtracted by Y (Even if it’s Range would change as a result of a Feature). X is equal to the higher of your Acrobatics or Intuition Rank. Y is equal to the distance in Meters the Target is away from you.</v>
      </c>
      <c r="E424" s="203"/>
      <c r="F424" s="204"/>
      <c r="G424" s="204"/>
      <c r="H424" s="204"/>
      <c r="I424" s="204"/>
      <c r="J424" s="203"/>
      <c r="K424" s="205"/>
      <c r="L424" s="205"/>
      <c r="M424" s="205"/>
    </row>
    <row r="425">
      <c r="A425" s="202" t="str">
        <f>IFERROR(__xludf.DUMMYFUNCTION("""COMPUTED_VALUE"""),"Fan the Hammer")</f>
        <v>Fan the Hammer</v>
      </c>
      <c r="B425" s="202" t="str">
        <f>IFERROR(__xludf.DUMMYFUNCTION("""COMPUTED_VALUE"""),"Gunslinger, Novice Acrobatics or Intuition")</f>
        <v>Gunslinger, Novice Acrobatics or Intuition</v>
      </c>
      <c r="C425" s="202" t="str">
        <f>IFERROR(__xludf.DUMMYFUNCTION("""COMPUTED_VALUE"""),"At-Will - Swift Action")</f>
        <v>At-Will - Swift Action</v>
      </c>
      <c r="D425" s="202" t="str">
        <f>IFERROR(__xludf.DUMMYFUNCTION("""COMPUTED_VALUE"""),"Trigger: You use a 1-Target Ranged Attack
Effect: You may change the range of this Attack to Close Blast 2 or Burst 1. When you have at least 4 Gunslinger Features, you may also change the range to Close Blast 3 or 3, 2 Targets.")</f>
        <v>Trigger: You use a 1-Target Ranged Attack
Effect: You may change the range of this Attack to Close Blast 2 or Burst 1. When you have at least 4 Gunslinger Features, you may also change the range to Close Blast 3 or 3, 2 Targets.</v>
      </c>
      <c r="E425" s="203"/>
      <c r="F425" s="204"/>
      <c r="G425" s="204"/>
      <c r="H425" s="204"/>
      <c r="I425" s="204"/>
      <c r="J425" s="203"/>
      <c r="K425" s="205"/>
      <c r="L425" s="205"/>
      <c r="M425" s="205"/>
    </row>
    <row r="426">
      <c r="A426" s="202" t="str">
        <f>IFERROR(__xludf.DUMMYFUNCTION("""COMPUTED_VALUE"""),"Trick Shot")</f>
        <v>Trick Shot</v>
      </c>
      <c r="B426" s="202" t="str">
        <f>IFERROR(__xludf.DUMMYFUNCTION("""COMPUTED_VALUE"""),"Gunslinger, Adept Acrobatics or Intuition")</f>
        <v>Gunslinger, Adept Acrobatics or Intuition</v>
      </c>
      <c r="C426" s="202" t="str">
        <f>IFERROR(__xludf.DUMMYFUNCTION("""COMPUTED_VALUE"""),"Scene x2 - Swift Action")</f>
        <v>Scene x2 - Swift Action</v>
      </c>
      <c r="D426" s="202" t="str">
        <f>IFERROR(__xludf.DUMMYFUNCTION("""COMPUTED_VALUE"""),"Trigger: You use a 1-Target Ranged Attack
Effect: Choose an Effect below to apply to the Triggering Attack:
» The Triggering Attack gains the Unstoppable Keyword. The Target must be within 2m of Cover or Blocking Terrain to choose this Effect. 
» Enemies"&amp;" that are Adjacent to the Target of the Triggering Attack also become a Target but the Attack is resisted by an additional Damage Step.
» You may use the Triggering Attack to Target an Enemy that is illegal to Targeting due to line of sight breaking, The "&amp;"Target must be within 2m of cover or Blocking Terrain that is within Range and Line of sight to use this Effect. ")</f>
        <v>Trigger: You use a 1-Target Ranged Attack
Effect: Choose an Effect below to apply to the Triggering Attack:
» The Triggering Attack gains the Unstoppable Keyword. The Target must be within 2m of Cover or Blocking Terrain to choose this Effect. 
» Enemies that are Adjacent to the Target of the Triggering Attack also become a Target but the Attack is resisted by an additional Damage Step.
» You may use the Triggering Attack to Target an Enemy that is illegal to Targeting due to line of sight breaking, The Target must be within 2m of cover or Blocking Terrain that is within Range and Line of sight to use this Effect. </v>
      </c>
      <c r="E426" s="203"/>
      <c r="F426" s="204"/>
      <c r="G426" s="204"/>
      <c r="H426" s="204"/>
      <c r="I426" s="204"/>
      <c r="J426" s="203"/>
      <c r="K426" s="205"/>
      <c r="L426" s="205"/>
      <c r="M426" s="205"/>
    </row>
    <row r="427">
      <c r="A427" s="202" t="str">
        <f>IFERROR(__xludf.DUMMYFUNCTION("""COMPUTED_VALUE"""),"Quick Draw")</f>
        <v>Quick Draw</v>
      </c>
      <c r="B427" s="202" t="str">
        <f>IFERROR(__xludf.DUMMYFUNCTION("""COMPUTED_VALUE"""),"Gunslinger, 2 Gunslinger Features, Expert Acrobatics or Intuition")</f>
        <v>Gunslinger, 2 Gunslinger Features, Expert Acrobatics or Intuition</v>
      </c>
      <c r="C427" s="202" t="str">
        <f>IFERROR(__xludf.DUMMYFUNCTION("""COMPUTED_VALUE"""),"Scene - Special")</f>
        <v>Scene - Special</v>
      </c>
      <c r="D427" s="202" t="str">
        <f>IFERROR(__xludf.DUMMYFUNCTION("""COMPUTED_VALUE"""),"Trigger: You’re Targeted with an Attack
Effect: Before the Triggering Attack is used, you may use an Attack with the only Target being the Triggering Enemy. If the Triggering Enemy would faint as a result, the Triggering Attack no longer resolves. If this"&amp;" is used as a Reaction, the Attack must be a Basic Attack, then the Frequency of this Feature is not expended. If this is used as a Standard Action, it can be any 1-Target Ranged Damaging Attack.")</f>
        <v>Trigger: You’re Targeted with an Attack
Effect: Before the Triggering Attack is used, you may use an Attack with the only Target being the Triggering Enemy. If the Triggering Enemy would faint as a result, the Triggering Attack no longer resolves. If this is used as a Reaction, the Attack must be a Basic Attack, then the Frequency of this Feature is not expended. If this is used as a Standard Action, it can be any 1-Target Ranged Damaging Attack.</v>
      </c>
      <c r="E427" s="203"/>
      <c r="F427" s="204"/>
      <c r="G427" s="204"/>
      <c r="H427" s="204"/>
      <c r="I427" s="204"/>
      <c r="J427" s="203"/>
      <c r="K427" s="205"/>
      <c r="L427" s="205"/>
      <c r="M427" s="205"/>
    </row>
    <row r="428">
      <c r="A428" s="202" t="str">
        <f>IFERROR(__xludf.DUMMYFUNCTION("""COMPUTED_VALUE"""),"Rapid Fire Shot")</f>
        <v>Rapid Fire Shot</v>
      </c>
      <c r="B428" s="202" t="str">
        <f>IFERROR(__xludf.DUMMYFUNCTION("""COMPUTED_VALUE"""),"Gunslinger, 3 Gunslinger Features, Master Acrobatics or Intuition")</f>
        <v>Gunslinger, 3 Gunslinger Features, Master Acrobatics or Intuition</v>
      </c>
      <c r="C428" s="202" t="str">
        <f>IFERROR(__xludf.DUMMYFUNCTION("""COMPUTED_VALUE"""),"Scene - Full Action")</f>
        <v>Scene - Full Action</v>
      </c>
      <c r="D428" s="202" t="str">
        <f>IFERROR(__xludf.DUMMYFUNCTION("""COMPUTED_VALUE"""),"Effect: You may perform a 1-Target Ranged Damaging Attack as a Free Action. This Attack can only have one Target and cannot Trigger any other Features. When using this Attack, perform the Accuracy Check 6 times. Each additional time it would hit the Targe"&amp;"t after the first, increase the DB by +3. Each time one of the Accuracy Rolls misses, the Target or an Enemy that is Adjacent to them becomes Wounded. ")</f>
        <v>Effect: You may perform a 1-Target Ranged Damaging Attack as a Free Action. This Attack can only have one Target and cannot Trigger any other Features. When using this Attack, perform the Accuracy Check 6 times. Each additional time it would hit the Target after the first, increase the DB by +3. Each time one of the Accuracy Rolls misses, the Target or an Enemy that is Adjacent to them becomes Wounded. </v>
      </c>
      <c r="E428" s="203"/>
      <c r="F428" s="204"/>
      <c r="G428" s="204"/>
      <c r="H428" s="204"/>
      <c r="I428" s="204"/>
      <c r="J428" s="203"/>
      <c r="K428" s="205"/>
      <c r="L428" s="205"/>
      <c r="M428" s="205"/>
    </row>
    <row r="429">
      <c r="A429" s="202" t="str">
        <f>IFERROR(__xludf.DUMMYFUNCTION("""COMPUTED_VALUE"""),"Sniper")</f>
        <v>Sniper</v>
      </c>
      <c r="B429" s="202" t="str">
        <f>IFERROR(__xludf.DUMMYFUNCTION("""COMPUTED_VALUE"""),"Prerequisite 1: Marksman [or]
Prerequisite 2: Adept Focus or Perception")</f>
        <v>Prerequisite 1: Marksman [or]
Prerequisite 2: Adept Focus or Perception</v>
      </c>
      <c r="C429" s="202" t="str">
        <f>IFERROR(__xludf.DUMMYFUNCTION("""COMPUTED_VALUE"""),"At-Will - Special ")</f>
        <v>At-Will - Special </v>
      </c>
      <c r="D429" s="202" t="str">
        <f>IFERROR(__xludf.DUMMYFUNCTION("""COMPUTED_VALUE"""),"Effect: This Feature can be used as a Swift Action, Movement Action or Reaction. Each time this Feature is used, add an Accuracy and Critical Hit modifier to your next Ranged Attack equal to your Tier Level. These bonuses are removed at the end of the Rou"&amp;"nd. ")</f>
        <v>Effect: This Feature can be used as a Swift Action, Movement Action or Reaction. Each time this Feature is used, add an Accuracy and Critical Hit modifier to your next Ranged Attack equal to your Tier Level. These bonuses are removed at the end of the Round. </v>
      </c>
      <c r="E429" s="203"/>
      <c r="F429" s="204"/>
      <c r="G429" s="204"/>
      <c r="H429" s="204"/>
      <c r="I429" s="204"/>
      <c r="J429" s="203"/>
      <c r="K429" s="205"/>
      <c r="L429" s="205"/>
      <c r="M429" s="205"/>
    </row>
    <row r="430">
      <c r="A430" s="202" t="str">
        <f>IFERROR(__xludf.DUMMYFUNCTION("""COMPUTED_VALUE"""),"Overwatch")</f>
        <v>Overwatch</v>
      </c>
      <c r="B430" s="202" t="str">
        <f>IFERROR(__xludf.DUMMYFUNCTION("""COMPUTED_VALUE"""),"Sniper, Novice Focus or Perception")</f>
        <v>Sniper, Novice Focus or Perception</v>
      </c>
      <c r="C430" s="202" t="str">
        <f>IFERROR(__xludf.DUMMYFUNCTION("""COMPUTED_VALUE"""),"At-Will - Swift or Movement Action")</f>
        <v>At-Will - Swift or Movement Action</v>
      </c>
      <c r="D430" s="202" t="str">
        <f>IFERROR(__xludf.DUMMYFUNCTION("""COMPUTED_VALUE"""),"Condition: You have a Ranged Weapon Equipped or know a Ranged Damaging Attack
Effect: Create a 3x3 Zone on the Field within 10m of you that lasts until the start of your next Turn. This zone cannot overlap a Zone you’ve created through the Cover Fire Feat"&amp;"ure. Whenever an Enemy in this Zone performs any of the following, you may use a Basic Attack as a Free Action with Priority against them after the Trigger resolves, treating it as a 10m, 1 Target Attack. An Enemy can only be hit by a Basic Attack this wa"&amp;"y once per Round.
» They use an Attack against an Ally that is not within that Zone or Adjacent to them.
» They enter a space outside of the Zone.")</f>
        <v>Condition: You have a Ranged Weapon Equipped or know a Ranged Damaging Attack
Effect: Create a 3x3 Zone on the Field within 10m of you that lasts until the start of your next Turn. This zone cannot overlap a Zone you’ve created through the Cover Fire Feature. Whenever an Enemy in this Zone performs any of the following, you may use a Basic Attack as a Free Action with Priority against them after the Trigger resolves, treating it as a 10m, 1 Target Attack. An Enemy can only be hit by a Basic Attack this way once per Round.
» They use an Attack against an Ally that is not within that Zone or Adjacent to them.
» They enter a space outside of the Zone.</v>
      </c>
      <c r="E430" s="203"/>
      <c r="F430" s="204"/>
      <c r="G430" s="204"/>
      <c r="H430" s="204"/>
      <c r="I430" s="204"/>
      <c r="J430" s="203"/>
      <c r="K430" s="205"/>
      <c r="L430" s="205"/>
      <c r="M430" s="205"/>
    </row>
    <row r="431">
      <c r="A431" s="202" t="str">
        <f>IFERROR(__xludf.DUMMYFUNCTION("""COMPUTED_VALUE"""),"Trained Marskman")</f>
        <v>Trained Marskman</v>
      </c>
      <c r="B431" s="202" t="str">
        <f>IFERROR(__xludf.DUMMYFUNCTION("""COMPUTED_VALUE"""),"Overwatch, Adept Focus or Perception")</f>
        <v>Overwatch, Adept Focus or Perception</v>
      </c>
      <c r="C431" s="202" t="str">
        <f>IFERROR(__xludf.DUMMYFUNCTION("""COMPUTED_VALUE"""),"At-Will - Special")</f>
        <v>At-Will - Special</v>
      </c>
      <c r="D431" s="202" t="str">
        <f>IFERROR(__xludf.DUMMYFUNCTION("""COMPUTED_VALUE"""),"Condition: You have a Zone on the Field created by Overwatch
Trigger: An Enemy Party gains Initiative
Effect: You may move the Zone to anywhere else where it could legally be created. This Feature can be used as a Swift Action, Movement Action or or React"&amp;"ion.
Bonus: You gain the Sniper Ability")</f>
        <v>Condition: You have a Zone on the Field created by Overwatch
Trigger: An Enemy Party gains Initiative
Effect: You may move the Zone to anywhere else where it could legally be created. This Feature can be used as a Swift Action, Movement Action or or Reaction.
Bonus: You gain the Sniper Ability</v>
      </c>
      <c r="E431" s="203"/>
      <c r="F431" s="204"/>
      <c r="G431" s="204"/>
      <c r="H431" s="204"/>
      <c r="I431" s="204"/>
      <c r="J431" s="203"/>
      <c r="K431" s="205"/>
      <c r="L431" s="205"/>
      <c r="M431" s="205"/>
    </row>
    <row r="432">
      <c r="A432" s="202" t="str">
        <f>IFERROR(__xludf.DUMMYFUNCTION("""COMPUTED_VALUE"""),"Targeted Strike")</f>
        <v>Targeted Strike</v>
      </c>
      <c r="B432" s="202" t="str">
        <f>IFERROR(__xludf.DUMMYFUNCTION("""COMPUTED_VALUE"""),"Sniper, 2 Sniper Features, Expert Focus or Perception")</f>
        <v>Sniper, 2 Sniper Features, Expert Focus or Perception</v>
      </c>
      <c r="C432" s="202" t="str">
        <f>IFERROR(__xludf.DUMMYFUNCTION("""COMPUTED_VALUE"""),"Scene x2 - Swift Action")</f>
        <v>Scene x2 - Swift Action</v>
      </c>
      <c r="D432" s="202" t="str">
        <f>IFERROR(__xludf.DUMMYFUNCTION("""COMPUTED_VALUE"""),"Trigger: You hit a 1-Target Ranged Damaging Attack
Effect: Choose one of the following Effects to apply after the Triggering Attack’s Resolution. An Enemy can only be affected by Targeted Strike once per Scene:
» Head Shot - The Target becomes Blinded un"&amp;"til the end of their next Turn.
» Chest Shot - The Target becomes Vulnerable until the end of the next Round.
» Arm Shot - The Target is treated as though they failed a Disarm Maneuver against the user.
» Leg Shot - The Target becomes Slowed.
» Wing Shot "&amp;"- The Target has all Movement Capabilities disabled until the end of the next Round.")</f>
        <v>Trigger: You hit a 1-Target Ranged Damaging Attack
Effect: Choose one of the following Effects to apply after the Triggering Attack’s Resolution. An Enemy can only be affected by Targeted Strike once per Scene:
» Head Shot - The Target becomes Blinded until the end of their next Turn.
» Chest Shot - The Target becomes Vulnerable until the end of the next Round.
» Arm Shot - The Target is treated as though they failed a Disarm Maneuver against the user.
» Leg Shot - The Target becomes Slowed.
» Wing Shot - The Target has all Movement Capabilities disabled until the end of the next Round.</v>
      </c>
      <c r="E432" s="203"/>
      <c r="F432" s="204"/>
      <c r="G432" s="204"/>
      <c r="H432" s="204"/>
      <c r="I432" s="204"/>
      <c r="J432" s="203"/>
      <c r="K432" s="205"/>
      <c r="L432" s="205"/>
      <c r="M432" s="205"/>
    </row>
    <row r="433">
      <c r="A433" s="202" t="str">
        <f>IFERROR(__xludf.DUMMYFUNCTION("""COMPUTED_VALUE"""),"Perfect Precision")</f>
        <v>Perfect Precision</v>
      </c>
      <c r="B433" s="202" t="str">
        <f>IFERROR(__xludf.DUMMYFUNCTION("""COMPUTED_VALUE"""),"Sniper, 3 Sniper Features, Master Focus or Perception")</f>
        <v>Sniper, 3 Sniper Features, Master Focus or Perception</v>
      </c>
      <c r="C433" s="202" t="str">
        <f>IFERROR(__xludf.DUMMYFUNCTION("""COMPUTED_VALUE"""),"Scene - Swift Action")</f>
        <v>Scene - Swift Action</v>
      </c>
      <c r="D433" s="202" t="str">
        <f>IFERROR(__xludf.DUMMYFUNCTION("""COMPUTED_VALUE"""),"Condition: You have no Combatants within 2m of you
Trigger: You use a 1-Target Ranged Attack against an Enemy with no Combatants adjacent to them
Effect: The Triggering Attack gains the Smite Keyword. If the Attack hits, it automatically becomes a Critica"&amp;"l Hit. If it misses, the Frequency of this Feature isn’t expended. ")</f>
        <v>Condition: You have no Combatants within 2m of you
Trigger: You use a 1-Target Ranged Attack against an Enemy with no Combatants adjacent to them
Effect: The Triggering Attack gains the Smite Keyword. If the Attack hits, it automatically becomes a Critical Hit. If it misses, the Frequency of this Feature isn’t expended. </v>
      </c>
      <c r="E433" s="203"/>
      <c r="F433" s="204"/>
      <c r="G433" s="204"/>
      <c r="H433" s="204"/>
      <c r="I433" s="204"/>
      <c r="J433" s="203"/>
      <c r="K433" s="205"/>
      <c r="L433" s="205"/>
      <c r="M433" s="205"/>
    </row>
    <row r="434">
      <c r="A434" s="202" t="str">
        <f>IFERROR(__xludf.DUMMYFUNCTION("""COMPUTED_VALUE"""),"Strider")</f>
        <v>Strider</v>
      </c>
      <c r="B434" s="202" t="str">
        <f>IFERROR(__xludf.DUMMYFUNCTION("""COMPUTED_VALUE"""),"Novice Acrobatics")</f>
        <v>Novice Acrobatics</v>
      </c>
      <c r="C434" s="202" t="str">
        <f>IFERROR(__xludf.DUMMYFUNCTION("""COMPUTED_VALUE"""),"Static")</f>
        <v>Static</v>
      </c>
      <c r="D434" s="202" t="str">
        <f>IFERROR(__xludf.DUMMYFUNCTION("""COMPUTED_VALUE"""),"Effect: Enemies cannot Trigger Reactions as a result of your Movement. You may learn two Attacks from the Nimble Combat Feature’s Novice Attack List.")</f>
        <v>Effect: Enemies cannot Trigger Reactions as a result of your Movement. You may learn two Attacks from the Nimble Combat Feature’s Novice Attack List.</v>
      </c>
      <c r="E434" s="203"/>
      <c r="F434" s="204"/>
      <c r="G434" s="204"/>
      <c r="H434" s="204"/>
      <c r="I434" s="204"/>
      <c r="J434" s="203"/>
      <c r="K434" s="205"/>
      <c r="L434" s="205"/>
      <c r="M434" s="205"/>
    </row>
    <row r="435">
      <c r="A435" s="202" t="str">
        <f>IFERROR(__xludf.DUMMYFUNCTION("""COMPUTED_VALUE"""),"Swift Striker")</f>
        <v>Swift Striker</v>
      </c>
      <c r="B435" s="202" t="str">
        <f>IFERROR(__xludf.DUMMYFUNCTION("""COMPUTED_VALUE"""),"Strider, Novice Acrobatics")</f>
        <v>Strider, Novice Acrobatics</v>
      </c>
      <c r="C435" s="202" t="str">
        <f>IFERROR(__xludf.DUMMYFUNCTION("""COMPUTED_VALUE"""),"At-Will - Free Action")</f>
        <v>At-Will - Free Action</v>
      </c>
      <c r="D435" s="202" t="str">
        <f>IFERROR(__xludf.DUMMYFUNCTION("""COMPUTED_VALUE"""),"Trigger: You use a Damaging Physical Attack 
Effect: Choose one effect to apply.
» You may use your Speed as an Offensive Stat
» After the Attack’s Resolution, you may Move up to 3m.
» All Targets cannot use their Speed Evasion against the Attack")</f>
        <v>Trigger: You use a Damaging Physical Attack 
Effect: Choose one effect to apply.
» You may use your Speed as an Offensive Stat
» After the Attack’s Resolution, you may Move up to 3m.
» All Targets cannot use their Speed Evasion against the Attack</v>
      </c>
      <c r="E435" s="203"/>
      <c r="F435" s="204"/>
      <c r="G435" s="204"/>
      <c r="H435" s="204"/>
      <c r="I435" s="204"/>
      <c r="J435" s="203"/>
      <c r="K435" s="205"/>
      <c r="L435" s="205"/>
      <c r="M435" s="205"/>
    </row>
    <row r="436">
      <c r="A436" s="202" t="str">
        <f>IFERROR(__xludf.DUMMYFUNCTION("""COMPUTED_VALUE"""),"Barely Grazed")</f>
        <v>Barely Grazed</v>
      </c>
      <c r="B436" s="202" t="str">
        <f>IFERROR(__xludf.DUMMYFUNCTION("""COMPUTED_VALUE"""),"Strider, Adept Acrobatics")</f>
        <v>Strider, Adept Acrobatics</v>
      </c>
      <c r="C436" s="202" t="str">
        <f>IFERROR(__xludf.DUMMYFUNCTION("""COMPUTED_VALUE"""),"Scene x2 - Special ")</f>
        <v>Scene x2 - Special </v>
      </c>
      <c r="D436" s="202" t="str">
        <f>IFERROR(__xludf.DUMMYFUNCTION("""COMPUTED_VALUE"""),"Trigger: You’re hit with a Physical Attack
Effect: If this is used as a Reaction, you may use your Speed Stat instead of Defense when performing Damage Calculations. If this is used as a Free Action, you may use half of your Speed Stat instead of Defense"&amp;" when performing Damage Calculations and the Frequency of this Feature isn’t expended. ")</f>
        <v>Trigger: You’re hit with a Physical Attack
Effect: If this is used as a Reaction, you may use your Speed Stat instead of Defense when performing Damage Calculations. If this is used as a Free Action, you may use half of your Speed Stat instead of Defense when performing Damage Calculations and the Frequency of this Feature isn’t expended. </v>
      </c>
      <c r="E436" s="203"/>
      <c r="F436" s="204"/>
      <c r="G436" s="204"/>
      <c r="H436" s="204"/>
      <c r="I436" s="204"/>
      <c r="J436" s="203"/>
      <c r="K436" s="205"/>
      <c r="L436" s="205"/>
      <c r="M436" s="205"/>
    </row>
    <row r="437">
      <c r="A437" s="202" t="str">
        <f>IFERROR(__xludf.DUMMYFUNCTION("""COMPUTED_VALUE"""),"Nimble Tactics")</f>
        <v>Nimble Tactics</v>
      </c>
      <c r="B437" s="202" t="str">
        <f>IFERROR(__xludf.DUMMYFUNCTION("""COMPUTED_VALUE"""),"Strider, 2 Strider Features, Expert Acrobatics")</f>
        <v>Strider, 2 Strider Features, Expert Acrobatics</v>
      </c>
      <c r="C437" s="202" t="str">
        <f>IFERROR(__xludf.DUMMYFUNCTION("""COMPUTED_VALUE"""),"Static")</f>
        <v>Static</v>
      </c>
      <c r="D437" s="202" t="str">
        <f>IFERROR(__xludf.DUMMYFUNCTION("""COMPUTED_VALUE"""),"Effect: Choose a Nimble Tactic to gain its associated Ability in parenthesis. 
» Accelerating (Speed Boost), Agile (Alacrity), 
Evasive (Dodge), Swift (Rocket), Whirling (Lancer) ")</f>
        <v>Effect: Choose a Nimble Tactic to gain its associated Ability in parenthesis. 
» Accelerating (Speed Boost), Agile (Alacrity), 
Evasive (Dodge), Swift (Rocket), Whirling (Lancer) </v>
      </c>
      <c r="E437" s="203"/>
      <c r="F437" s="204"/>
      <c r="G437" s="204"/>
      <c r="H437" s="204"/>
      <c r="I437" s="204"/>
      <c r="J437" s="203"/>
      <c r="K437" s="205"/>
      <c r="L437" s="205"/>
      <c r="M437" s="205"/>
    </row>
    <row r="438">
      <c r="A438" s="202" t="str">
        <f>IFERROR(__xludf.DUMMYFUNCTION("""COMPUTED_VALUE"""),"Burst of Speed")</f>
        <v>Burst of Speed</v>
      </c>
      <c r="B438" s="202" t="str">
        <f>IFERROR(__xludf.DUMMYFUNCTION("""COMPUTED_VALUE"""),"Strider, 3 Strider Features, Master Acrobatics")</f>
        <v>Strider, 3 Strider Features, Master Acrobatics</v>
      </c>
      <c r="C438" s="202" t="str">
        <f>IFERROR(__xludf.DUMMYFUNCTION("""COMPUTED_VALUE"""),"Scene x2 - Swift Action + Reaction  ")</f>
        <v>Scene x2 - Swift Action + Reaction  </v>
      </c>
      <c r="D438" s="202" t="str">
        <f>IFERROR(__xludf.DUMMYFUNCTION("""COMPUTED_VALUE"""),"Effect: You gain an additional Standard Action. You become Vulnerable until the start of your next Turn. 
Bonus: The First time you would use a Movement Action each Round, it does not expend your Action.")</f>
        <v>Effect: You gain an additional Standard Action. You become Vulnerable until the start of your next Turn. 
Bonus: The First time you would use a Movement Action each Round, it does not expend your Action.</v>
      </c>
      <c r="E438" s="203"/>
      <c r="F438" s="204"/>
      <c r="G438" s="204"/>
      <c r="H438" s="204"/>
      <c r="I438" s="204"/>
      <c r="J438" s="203"/>
      <c r="K438" s="205"/>
      <c r="L438" s="205"/>
      <c r="M438" s="205"/>
    </row>
    <row r="439">
      <c r="A439" s="202" t="str">
        <f>IFERROR(__xludf.DUMMYFUNCTION("""COMPUTED_VALUE"""),"Acrobat")</f>
        <v>Acrobat</v>
      </c>
      <c r="B439" s="202" t="str">
        <f>IFERROR(__xludf.DUMMYFUNCTION("""COMPUTED_VALUE"""),"Prerequisite 1: Strider [or]
Prerequisite 2: Adept Acrobatics or Intuition")</f>
        <v>Prerequisite 1: Strider [or]
Prerequisite 2: Adept Acrobatics or Intuition</v>
      </c>
      <c r="C439" s="202" t="str">
        <f>IFERROR(__xludf.DUMMYFUNCTION("""COMPUTED_VALUE"""),"At-Will - Swift + Movement Action")</f>
        <v>At-Will - Swift + Movement Action</v>
      </c>
      <c r="D439" s="202" t="str">
        <f>IFERROR(__xludf.DUMMYFUNCTION("""COMPUTED_VALUE"""),"Effect: You gain an Evasion Token.
Bonus: You start the Scene with 1 Evasion Token (Max 3). You may expend any number of Evasion Tokens when you’re hit by a non-Adjacent Damaging Attack to downgrade it. If it was a Critical Hit, it is instead a normal hit"&amp;". If it was a normal hit, you resist it an additional step. If you resisted it, it instead misses. You cannot use Evasion Tokens if you have Damage Reduction from any Item you’re holding or equipping.")</f>
        <v>Effect: You gain an Evasion Token.
Bonus: You start the Scene with 1 Evasion Token (Max 3). You may expend any number of Evasion Tokens when you’re hit by a non-Adjacent Damaging Attack to downgrade it. If it was a Critical Hit, it is instead a normal hit. If it was a normal hit, you resist it an additional step. If you resisted it, it instead misses. You cannot use Evasion Tokens if you have Damage Reduction from any Item you’re holding or equipping.</v>
      </c>
      <c r="E439" s="203"/>
      <c r="F439" s="204"/>
      <c r="G439" s="204"/>
      <c r="H439" s="204"/>
      <c r="I439" s="204"/>
      <c r="J439" s="203"/>
      <c r="K439" s="205"/>
      <c r="L439" s="205"/>
      <c r="M439" s="205"/>
    </row>
    <row r="440">
      <c r="A440" s="202" t="str">
        <f>IFERROR(__xludf.DUMMYFUNCTION("""COMPUTED_VALUE"""),"Sidestep")</f>
        <v>Sidestep</v>
      </c>
      <c r="B440" s="202" t="str">
        <f>IFERROR(__xludf.DUMMYFUNCTION("""COMPUTED_VALUE"""),"Acrobat, Novice Acrobatics or Intuition")</f>
        <v>Acrobat, Novice Acrobatics or Intuition</v>
      </c>
      <c r="C440" s="202" t="str">
        <f>IFERROR(__xludf.DUMMYFUNCTION("""COMPUTED_VALUE"""),"Scene - Free Action")</f>
        <v>Scene - Free Action</v>
      </c>
      <c r="D440" s="202" t="str">
        <f>IFERROR(__xludf.DUMMYFUNCTION("""COMPUTED_VALUE"""),"Trigger: You’re hit by a Line, Burst or Blast Attack
Effect: You may slide 1m into an unoccupied space. If you are no longer in the original range of the Triggering Attack, it instead misses you. You may expend an Evasion Token when using this Feature to "&amp;"slide an additional 1m or not expend the Frequency of Sidestep.")</f>
        <v>Trigger: You’re hit by a Line, Burst or Blast Attack
Effect: You may slide 1m into an unoccupied space. If you are no longer in the original range of the Triggering Attack, it instead misses you. You may expend an Evasion Token when using this Feature to slide an additional 1m or not expend the Frequency of Sidestep.</v>
      </c>
      <c r="E440" s="203"/>
      <c r="F440" s="204"/>
      <c r="G440" s="204"/>
      <c r="H440" s="204"/>
      <c r="I440" s="204"/>
      <c r="J440" s="203"/>
      <c r="K440" s="205"/>
      <c r="L440" s="205"/>
      <c r="M440" s="205"/>
    </row>
    <row r="441">
      <c r="A441" s="202" t="str">
        <f>IFERROR(__xludf.DUMMYFUNCTION("""COMPUTED_VALUE"""),"Look out!")</f>
        <v>Look out!</v>
      </c>
      <c r="B441" s="202" t="str">
        <f>IFERROR(__xludf.DUMMYFUNCTION("""COMPUTED_VALUE"""),"Acrobat, Adept Acrobatics or Intuition")</f>
        <v>Acrobat, Adept Acrobatics or Intuition</v>
      </c>
      <c r="C441" s="202" t="str">
        <f>IFERROR(__xludf.DUMMYFUNCTION("""COMPUTED_VALUE"""),"At-Will - Reaction
")</f>
        <v>At-Will - Reaction
</v>
      </c>
      <c r="D441" s="202" t="str">
        <f>IFERROR(__xludf.DUMMYFUNCTION("""COMPUTED_VALUE"""),"Trigger: An Ally within 2m would be hit by an Attack
Effect: The Triggering Ally is treated as having access to your Acrobat Features and current Evasion Tokens and may expend their usage until the Attack resolves. ")</f>
        <v>Trigger: An Ally within 2m would be hit by an Attack
Effect: The Triggering Ally is treated as having access to your Acrobat Features and current Evasion Tokens and may expend their usage until the Attack resolves. </v>
      </c>
      <c r="E441" s="203"/>
      <c r="F441" s="204"/>
      <c r="G441" s="204"/>
      <c r="H441" s="204"/>
      <c r="I441" s="204"/>
      <c r="J441" s="203"/>
      <c r="K441" s="205"/>
      <c r="L441" s="205"/>
      <c r="M441" s="205"/>
    </row>
    <row r="442">
      <c r="A442" s="202" t="str">
        <f>IFERROR(__xludf.DUMMYFUNCTION("""COMPUTED_VALUE"""),"Acrobatic Reflex")</f>
        <v>Acrobatic Reflex</v>
      </c>
      <c r="B442" s="202" t="str">
        <f>IFERROR(__xludf.DUMMYFUNCTION("""COMPUTED_VALUE"""),"Acrobat, 2 Acrobat Features, Expert Acrobatics or Intuition")</f>
        <v>Acrobat, 2 Acrobat Features, Expert Acrobatics or Intuition</v>
      </c>
      <c r="C442" s="202" t="str">
        <f>IFERROR(__xludf.DUMMYFUNCTION("""COMPUTED_VALUE"""),"Scene x2 - Special")</f>
        <v>Scene x2 - Special</v>
      </c>
      <c r="D442" s="202" t="str">
        <f>IFERROR(__xludf.DUMMYFUNCTION("""COMPUTED_VALUE"""),"Trigger: You’re hit by a Ranged 1-Target Attack
Effect: You may slide into an Adjacent unoccupied space. If you do, the Triggering Attack instead misses. This Feature is a Standard Action but if you expend 1 Evasion Token it may be used as a Movement Acti"&amp;"on or Reaction instead.")</f>
        <v>Trigger: You’re hit by a Ranged 1-Target Attack
Effect: You may slide into an Adjacent unoccupied space. If you do, the Triggering Attack instead misses. This Feature is a Standard Action but if you expend 1 Evasion Token it may be used as a Movement Action or Reaction instead.</v>
      </c>
      <c r="E442" s="203"/>
      <c r="F442" s="204"/>
      <c r="G442" s="204"/>
      <c r="H442" s="204"/>
      <c r="I442" s="204"/>
      <c r="J442" s="203"/>
      <c r="K442" s="205"/>
      <c r="L442" s="205"/>
      <c r="M442" s="205"/>
    </row>
    <row r="443">
      <c r="A443" s="202" t="str">
        <f>IFERROR(__xludf.DUMMYFUNCTION("""COMPUTED_VALUE"""),"Bob and Weave")</f>
        <v>Bob and Weave</v>
      </c>
      <c r="B443" s="202" t="str">
        <f>IFERROR(__xludf.DUMMYFUNCTION("""COMPUTED_VALUE"""),"Acrobat, 3 Acrobat Features, Master Acrobatics or Intuition")</f>
        <v>Acrobat, 3 Acrobat Features, Master Acrobatics or Intuition</v>
      </c>
      <c r="C443" s="202" t="str">
        <f>IFERROR(__xludf.DUMMYFUNCTION("""COMPUTED_VALUE"""),"Static")</f>
        <v>Static</v>
      </c>
      <c r="D443" s="202" t="str">
        <f>IFERROR(__xludf.DUMMYFUNCTION("""COMPUTED_VALUE"""),"Effect: You may use Evasion Tokens against Adjacent Damaging Attacks. The Acrobat Feature’s Action usage instead becomes Swift or Movement Action. You cannot gain more than two Evasion Tokens per Round.")</f>
        <v>Effect: You may use Evasion Tokens against Adjacent Damaging Attacks. The Acrobat Feature’s Action usage instead becomes Swift or Movement Action. You cannot gain more than two Evasion Tokens per Round.</v>
      </c>
      <c r="E443" s="203"/>
      <c r="F443" s="204"/>
      <c r="G443" s="204"/>
      <c r="H443" s="204"/>
      <c r="I443" s="204"/>
      <c r="J443" s="203"/>
      <c r="K443" s="205"/>
      <c r="L443" s="205"/>
      <c r="M443" s="205"/>
    </row>
    <row r="444">
      <c r="A444" s="202" t="str">
        <f>IFERROR(__xludf.DUMMYFUNCTION("""COMPUTED_VALUE"""),"Dancer")</f>
        <v>Dancer</v>
      </c>
      <c r="B444" s="202" t="str">
        <f>IFERROR(__xludf.DUMMYFUNCTION("""COMPUTED_VALUE"""),"Prerequisite 1: Performer or Strider [or]
Prerequisite 2: Adept Acrobatics and Novice Charm or Guile")</f>
        <v>Prerequisite 1: Performer or Strider [or]
Prerequisite 2: Adept Acrobatics and Novice Charm or Guile</v>
      </c>
      <c r="C444" s="202" t="str">
        <f>IFERROR(__xludf.DUMMYFUNCTION("""COMPUTED_VALUE"""),"Static")</f>
        <v>Static</v>
      </c>
      <c r="D444" s="202" t="str">
        <f>IFERROR(__xludf.DUMMYFUNCTION("""COMPUTED_VALUE"""),"Effect: Choose two Basic Dance Technique to learn. All Dance Techniques performed by you or your Pokemon can only Target the same Combatant once per Round.")</f>
        <v>Effect: Choose two Basic Dance Technique to learn. All Dance Techniques performed by you or your Pokemon can only Target the same Combatant once per Round.</v>
      </c>
      <c r="E444" s="203"/>
      <c r="F444" s="204"/>
      <c r="G444" s="204"/>
      <c r="H444" s="204"/>
      <c r="I444" s="204"/>
      <c r="J444" s="203"/>
      <c r="K444" s="205"/>
      <c r="L444" s="205"/>
      <c r="M444" s="205"/>
    </row>
    <row r="445">
      <c r="A445" s="202" t="str">
        <f>IFERROR(__xludf.DUMMYFUNCTION("""COMPUTED_VALUE"""),"Signature Performance [Rank 1]")</f>
        <v>Signature Performance [Rank 1]</v>
      </c>
      <c r="B445" s="202" t="str">
        <f>IFERROR(__xludf.DUMMYFUNCTION("""COMPUTED_VALUE"""),"Dancer, Novice Acrobatics and Novice Charm or Guile")</f>
        <v>Dancer, Novice Acrobatics and Novice Charm or Guile</v>
      </c>
      <c r="C445" s="202" t="str">
        <f>IFERROR(__xludf.DUMMYFUNCTION("""COMPUTED_VALUE"""),"Static")</f>
        <v>Static</v>
      </c>
      <c r="D445" s="202" t="str">
        <f>IFERROR(__xludf.DUMMYFUNCTION("""COMPUTED_VALUE"""),"Choose two Basic Dance Techniques to learn.
*See Techniques - Dancer")</f>
        <v>Choose two Basic Dance Techniques to learn.
*See Techniques - Dancer</v>
      </c>
      <c r="E445" s="203"/>
      <c r="F445" s="204"/>
      <c r="G445" s="204"/>
      <c r="H445" s="204"/>
      <c r="I445" s="204"/>
      <c r="J445" s="203"/>
      <c r="K445" s="205"/>
      <c r="L445" s="205"/>
      <c r="M445" s="205"/>
    </row>
    <row r="446">
      <c r="A446" s="202" t="str">
        <f>IFERROR(__xludf.DUMMYFUNCTION("""COMPUTED_VALUE"""),"Signature Performance [Rank 2]")</f>
        <v>Signature Performance [Rank 2]</v>
      </c>
      <c r="B446" s="202" t="str">
        <f>IFERROR(__xludf.DUMMYFUNCTION("""COMPUTED_VALUE"""),"Dancer, 3 Dancer Features, Master Acrobatics and Adept Charm or Guile")</f>
        <v>Dancer, 3 Dancer Features, Master Acrobatics and Adept Charm or Guile</v>
      </c>
      <c r="C446" s="202" t="str">
        <f>IFERROR(__xludf.DUMMYFUNCTION("""COMPUTED_VALUE"""),"Static")</f>
        <v>Static</v>
      </c>
      <c r="D446" s="202" t="str">
        <f>IFERROR(__xludf.DUMMYFUNCTION("""COMPUTED_VALUE"""),"Choose two Basic Dance Techniques or one Signature Dance Technique to learn.
*See Techniques - Dancer")</f>
        <v>Choose two Basic Dance Techniques or one Signature Dance Technique to learn.
*See Techniques - Dancer</v>
      </c>
      <c r="E446" s="203"/>
      <c r="F446" s="204"/>
      <c r="G446" s="204"/>
      <c r="H446" s="204"/>
      <c r="I446" s="204"/>
      <c r="J446" s="203"/>
      <c r="K446" s="205"/>
      <c r="L446" s="205"/>
      <c r="M446" s="205"/>
    </row>
    <row r="447">
      <c r="A447" s="202" t="str">
        <f>IFERROR(__xludf.DUMMYFUNCTION("""COMPUTED_VALUE"""),"Choreographer")</f>
        <v>Choreographer</v>
      </c>
      <c r="B447" s="202" t="str">
        <f>IFERROR(__xludf.DUMMYFUNCTION("""COMPUTED_VALUE"""),"Dancer, Adept Acrobatics, Novice Charm or Guile")</f>
        <v>Dancer, Adept Acrobatics, Novice Charm or Guile</v>
      </c>
      <c r="C447" s="202" t="str">
        <f>IFERROR(__xludf.DUMMYFUNCTION("""COMPUTED_VALUE"""),"At-Will- Extended Action")</f>
        <v>At-Will- Extended Action</v>
      </c>
      <c r="D447" s="202" t="str">
        <f>IFERROR(__xludf.DUMMYFUNCTION("""COMPUTED_VALUE"""),"Trigger: You perform a Training Downtime Action on your Pokemon who has at least Proficient Acrobatics and doesn’t know a Dance Technique
Effect: Choose a non-Signature Dance Technique you learned. The Target also learns that Technique.")</f>
        <v>Trigger: You perform a Training Downtime Action on your Pokemon who has at least Proficient Acrobatics and doesn’t know a Dance Technique
Effect: Choose a non-Signature Dance Technique you learned. The Target also learns that Technique.</v>
      </c>
      <c r="E447" s="203"/>
      <c r="F447" s="204"/>
      <c r="G447" s="204"/>
      <c r="H447" s="204"/>
      <c r="I447" s="204"/>
      <c r="J447" s="203"/>
      <c r="K447" s="205"/>
      <c r="L447" s="205"/>
      <c r="M447" s="205"/>
    </row>
    <row r="448">
      <c r="A448" s="202" t="str">
        <f>IFERROR(__xludf.DUMMYFUNCTION("""COMPUTED_VALUE"""),"Captivated Audience")</f>
        <v>Captivated Audience</v>
      </c>
      <c r="B448" s="202" t="str">
        <f>IFERROR(__xludf.DUMMYFUNCTION("""COMPUTED_VALUE"""),"Dancer, 2 Dancer Features, Expert Acrobatics and Adept Charm or Guile")</f>
        <v>Dancer, 2 Dancer Features, Expert Acrobatics and Adept Charm or Guile</v>
      </c>
      <c r="C448" s="202" t="str">
        <f>IFERROR(__xludf.DUMMYFUNCTION("""COMPUTED_VALUE"""),"Scene x2 - Free Action")</f>
        <v>Scene x2 - Free Action</v>
      </c>
      <c r="D448" s="202" t="str">
        <f>IFERROR(__xludf.DUMMYFUNCTION("""COMPUTED_VALUE"""),"Trigger: You use a Dance that Targets an Enemy
Effect: Choose one effect to apply to the Target. Each Enemy can only be affected this way once per Scene.
» Any Status Affliction they gain as a result can’t be cured during their next Save Check
» They suf"&amp;"fer a Bane to their next opposed Skill Check
» Their Positive Combat Stages are set to their Default Value")</f>
        <v>Trigger: You use a Dance that Targets an Enemy
Effect: Choose one effect to apply to the Target. Each Enemy can only be affected this way once per Scene.
» Any Status Affliction they gain as a result can’t be cured during their next Save Check
» They suffer a Bane to their next opposed Skill Check
» Their Positive Combat Stages are set to their Default Value</v>
      </c>
      <c r="E448" s="203"/>
      <c r="F448" s="204"/>
      <c r="G448" s="204"/>
      <c r="H448" s="204"/>
      <c r="I448" s="204"/>
      <c r="J448" s="203"/>
      <c r="K448" s="205"/>
      <c r="L448" s="205"/>
      <c r="M448" s="205"/>
    </row>
    <row r="449">
      <c r="A449" s="202" t="str">
        <f>IFERROR(__xludf.DUMMYFUNCTION("""COMPUTED_VALUE"""),"Skirmisher")</f>
        <v>Skirmisher</v>
      </c>
      <c r="B449" s="202" t="str">
        <f>IFERROR(__xludf.DUMMYFUNCTION("""COMPUTED_VALUE"""),"Prerequisite 1: Strider [or]
Prerequisite 2: Adept Acrobatics or Combat")</f>
        <v>Prerequisite 1: Strider [or]
Prerequisite 2: Adept Acrobatics or Combat</v>
      </c>
      <c r="C449" s="202" t="str">
        <f>IFERROR(__xludf.DUMMYFUNCTION("""COMPUTED_VALUE"""),"At-Will - Free Action")</f>
        <v>At-Will - Free Action</v>
      </c>
      <c r="D449" s="202" t="str">
        <f>IFERROR(__xludf.DUMMYFUNCTION("""COMPUTED_VALUE"""),"Trigger: You use a Damaging Attack
Effect: After the Triggering Attack resolves, you may Disengage as a Free Action.
Bonus: Whenever you use the Disengage Maneuver you may instead move a number of spaces equal to half the higher of your Acrobatics or Comb"&amp;"at Rank.")</f>
        <v>Trigger: You use a Damaging Attack
Effect: After the Triggering Attack resolves, you may Disengage as a Free Action.
Bonus: Whenever you use the Disengage Maneuver you may instead move a number of spaces equal to half the higher of your Acrobatics or Combat Rank.</v>
      </c>
      <c r="E449" s="203"/>
      <c r="F449" s="204"/>
      <c r="G449" s="204"/>
      <c r="H449" s="204"/>
      <c r="I449" s="204"/>
      <c r="J449" s="203"/>
      <c r="K449" s="205"/>
      <c r="L449" s="205"/>
      <c r="M449" s="205"/>
    </row>
    <row r="450">
      <c r="A450" s="202" t="str">
        <f>IFERROR(__xludf.DUMMYFUNCTION("""COMPUTED_VALUE"""),"Quick Footed")</f>
        <v>Quick Footed</v>
      </c>
      <c r="B450" s="202" t="str">
        <f>IFERROR(__xludf.DUMMYFUNCTION("""COMPUTED_VALUE"""),"Skirmisher, Novice Acrobatics or Combat")</f>
        <v>Skirmisher, Novice Acrobatics or Combat</v>
      </c>
      <c r="C450" s="202" t="str">
        <f>IFERROR(__xludf.DUMMYFUNCTION("""COMPUTED_VALUE"""),"Scene x2 - Swift or Movement Action")</f>
        <v>Scene x2 - Swift or Movement Action</v>
      </c>
      <c r="D450" s="202" t="str">
        <f>IFERROR(__xludf.DUMMYFUNCTION("""COMPUTED_VALUE"""),"Effect: Choose one of the Effects to apply:
» You ignore Movement Penalties this Round
» Enemies cannot Trigger Reactions against you until the end of your Turn.
» You become cured of the Slowed Affliction or Trapped Condition
» You ignore Speed Evasion "&amp;"this Round")</f>
        <v>Effect: Choose one of the Effects to apply:
» You ignore Movement Penalties this Round
» Enemies cannot Trigger Reactions against you until the end of your Turn.
» You become cured of the Slowed Affliction or Trapped Condition
» You ignore Speed Evasion this Round</v>
      </c>
      <c r="E450" s="203"/>
      <c r="F450" s="204"/>
      <c r="G450" s="204"/>
      <c r="H450" s="204"/>
      <c r="I450" s="204"/>
      <c r="J450" s="203"/>
      <c r="K450" s="205"/>
      <c r="L450" s="205"/>
      <c r="M450" s="205"/>
    </row>
    <row r="451">
      <c r="A451" s="202" t="str">
        <f>IFERROR(__xludf.DUMMYFUNCTION("""COMPUTED_VALUE"""),"Tactical Striker")</f>
        <v>Tactical Striker</v>
      </c>
      <c r="B451" s="202" t="str">
        <f>IFERROR(__xludf.DUMMYFUNCTION("""COMPUTED_VALUE"""),"Skirmisher, Adept Acrobatics or Combat")</f>
        <v>Skirmisher, Adept Acrobatics or Combat</v>
      </c>
      <c r="C451" s="202" t="str">
        <f>IFERROR(__xludf.DUMMYFUNCTION("""COMPUTED_VALUE"""),"Static")</f>
        <v>Static</v>
      </c>
      <c r="D451" s="202" t="str">
        <f>IFERROR(__xludf.DUMMYFUNCTION("""COMPUTED_VALUE"""),"Effect: Whenever you hit a Damaging Attack against an Enemy, all Riposte and Tactics Maneuvers you use against them gain the Sureshot Keyword and you have a Boon to their Opposed Checks until the end of the Round.")</f>
        <v>Effect: Whenever you hit a Damaging Attack against an Enemy, all Riposte and Tactics Maneuvers you use against them gain the Sureshot Keyword and you have a Boon to their Opposed Checks until the end of the Round.</v>
      </c>
      <c r="E451" s="203"/>
      <c r="F451" s="204"/>
      <c r="G451" s="204"/>
      <c r="H451" s="204"/>
      <c r="I451" s="204"/>
      <c r="J451" s="203"/>
      <c r="K451" s="205"/>
      <c r="L451" s="205"/>
      <c r="M451" s="205"/>
    </row>
    <row r="452">
      <c r="A452" s="202" t="str">
        <f>IFERROR(__xludf.DUMMYFUNCTION("""COMPUTED_VALUE"""),"Opportunist")</f>
        <v>Opportunist</v>
      </c>
      <c r="B452" s="202" t="str">
        <f>IFERROR(__xludf.DUMMYFUNCTION("""COMPUTED_VALUE"""),"Skirmisher, 2 Skirmisher Features, Expert Acrobatics or Combat")</f>
        <v>Skirmisher, 2 Skirmisher Features, Expert Acrobatics or Combat</v>
      </c>
      <c r="C452" s="202" t="str">
        <f>IFERROR(__xludf.DUMMYFUNCTION("""COMPUTED_VALUE"""),"Static")</f>
        <v>Static</v>
      </c>
      <c r="D452" s="202" t="str">
        <f>IFERROR(__xludf.DUMMYFUNCTION("""COMPUTED_VALUE"""),"Effect: You may perform Attacks of Opportunity when an Adjacent Enemy Disengages or misses an Attack against you. At any point you can spend a Movement Action to gain an additional Reaction this Round ")</f>
        <v>Effect: You may perform Attacks of Opportunity when an Adjacent Enemy Disengages or misses an Attack against you. At any point you can spend a Movement Action to gain an additional Reaction this Round </v>
      </c>
      <c r="E452" s="203"/>
      <c r="F452" s="204"/>
      <c r="G452" s="204"/>
      <c r="H452" s="204"/>
      <c r="I452" s="204"/>
      <c r="J452" s="203"/>
      <c r="K452" s="205"/>
      <c r="L452" s="205"/>
      <c r="M452" s="205"/>
    </row>
    <row r="453">
      <c r="A453" s="202" t="str">
        <f>IFERROR(__xludf.DUMMYFUNCTION("""COMPUTED_VALUE"""),"Blade Dancing")</f>
        <v>Blade Dancing</v>
      </c>
      <c r="B453" s="202" t="str">
        <f>IFERROR(__xludf.DUMMYFUNCTION("""COMPUTED_VALUE"""),"Skirmisher, 3 Skirmisher Features, Master Acrobatics or Combat")</f>
        <v>Skirmisher, 3 Skirmisher Features, Master Acrobatics or Combat</v>
      </c>
      <c r="C453" s="202" t="str">
        <f>IFERROR(__xludf.DUMMYFUNCTION("""COMPUTED_VALUE"""),"Scene x2 - Swift or Movement Action")</f>
        <v>Scene x2 - Swift or Movement Action</v>
      </c>
      <c r="D453" s="202" t="str">
        <f>IFERROR(__xludf.DUMMYFUNCTION("""COMPUTED_VALUE"""),"Effect: You may use an At-Will or EOT Damaging Melee Attack as a Free Action, however it is resisted by an additional damage step. You may only use this Feature once per Round.")</f>
        <v>Effect: You may use an At-Will or EOT Damaging Melee Attack as a Free Action, however it is resisted by an additional damage step. You may only use this Feature once per Round.</v>
      </c>
      <c r="E453" s="203"/>
      <c r="F453" s="204"/>
      <c r="G453" s="204"/>
      <c r="H453" s="204"/>
      <c r="I453" s="204"/>
      <c r="J453" s="203"/>
      <c r="K453" s="205"/>
      <c r="L453" s="205"/>
      <c r="M453" s="205"/>
    </row>
    <row r="454">
      <c r="A454" s="202" t="str">
        <f>IFERROR(__xludf.DUMMYFUNCTION("""COMPUTED_VALUE"""),"Rogue")</f>
        <v>Rogue</v>
      </c>
      <c r="B454" s="202" t="str">
        <f>IFERROR(__xludf.DUMMYFUNCTION("""COMPUTED_VALUE"""),"Novice Stealth")</f>
        <v>Novice Stealth</v>
      </c>
      <c r="C454" s="202" t="str">
        <f>IFERROR(__xludf.DUMMYFUNCTION("""COMPUTED_VALUE"""),"At-Will - Reaction")</f>
        <v>At-Will - Reaction</v>
      </c>
      <c r="D454" s="202" t="str">
        <f>IFERROR(__xludf.DUMMYFUNCTION("""COMPUTED_VALUE"""),"Trigger: You hit a Damaging Attack against an Adjacent Enemy
Effect: After Damage Resolution, you may perform a Manipulate or Tactic Maneuver against one Target of the Triggering Attack as a Free Action, excluding Throw or Attack of Opportunity.
Bonus: Yo"&amp;"u may learn two Attacks from the Criminal Combat Feature’s Novice Attack List.")</f>
        <v>Trigger: You hit a Damaging Attack against an Adjacent Enemy
Effect: After Damage Resolution, you may perform a Manipulate or Tactic Maneuver against one Target of the Triggering Attack as a Free Action, excluding Throw or Attack of Opportunity.
Bonus: You may learn two Attacks from the Criminal Combat Feature’s Novice Attack List.</v>
      </c>
      <c r="E454" s="203"/>
      <c r="F454" s="204"/>
      <c r="G454" s="204"/>
      <c r="H454" s="204"/>
      <c r="I454" s="204"/>
      <c r="J454" s="203"/>
      <c r="K454" s="205"/>
      <c r="L454" s="205"/>
      <c r="M454" s="205"/>
    </row>
    <row r="455">
      <c r="A455" s="202" t="str">
        <f>IFERROR(__xludf.DUMMYFUNCTION("""COMPUTED_VALUE"""),"Sneak Attack")</f>
        <v>Sneak Attack</v>
      </c>
      <c r="B455" s="202" t="str">
        <f>IFERROR(__xludf.DUMMYFUNCTION("""COMPUTED_VALUE"""),"Rogue, Novice Stealth")</f>
        <v>Rogue, Novice Stealth</v>
      </c>
      <c r="C455" s="202" t="str">
        <f>IFERROR(__xludf.DUMMYFUNCTION("""COMPUTED_VALUE"""),"At-Will - Free Action")</f>
        <v>At-Will - Free Action</v>
      </c>
      <c r="D455" s="202" t="str">
        <f>IFERROR(__xludf.DUMMYFUNCTION("""COMPUTED_VALUE"""),"Trigger: You hit a Damaging Attack against an Enemy that is Flanked, Vulnerable or Unaware of your presence.
Effect: The Triggering Attack has a Damage Bonus equal to your Tier Value. ")</f>
        <v>Trigger: You hit a Damaging Attack against an Enemy that is Flanked, Vulnerable or Unaware of your presence.
Effect: The Triggering Attack has a Damage Bonus equal to your Tier Value. </v>
      </c>
      <c r="E455" s="203"/>
      <c r="F455" s="204"/>
      <c r="G455" s="204"/>
      <c r="H455" s="204"/>
      <c r="I455" s="204"/>
      <c r="J455" s="203"/>
      <c r="K455" s="205"/>
      <c r="L455" s="205"/>
      <c r="M455" s="205"/>
    </row>
    <row r="456">
      <c r="A456" s="202" t="str">
        <f>IFERROR(__xludf.DUMMYFUNCTION("""COMPUTED_VALUE"""),"Hidden Shroud")</f>
        <v>Hidden Shroud</v>
      </c>
      <c r="B456" s="202" t="str">
        <f>IFERROR(__xludf.DUMMYFUNCTION("""COMPUTED_VALUE"""),"Rogue, Adept Stealth")</f>
        <v>Rogue, Adept Stealth</v>
      </c>
      <c r="C456" s="202" t="str">
        <f>IFERROR(__xludf.DUMMYFUNCTION("""COMPUTED_VALUE"""),"Scene x2 - Free Action")</f>
        <v>Scene x2 - Free Action</v>
      </c>
      <c r="D456" s="202" t="str">
        <f>IFERROR(__xludf.DUMMYFUNCTION("""COMPUTED_VALUE"""),"Trigger: You use the Hide Maneuver
Effect: For the Duration of the Hide Maneuver or until you use an Attack (Whichever comes first), you become Untargetable. While Untargetable, Enemies are unaware of your presence. Enemies may use a Swift Action to perfo"&amp;"rm a Perception or Intuition Check opposed by your Stealth. If they pass, they do not treat you as having the Untargetable Condition.  ")</f>
        <v>Trigger: You use the Hide Maneuver
Effect: For the Duration of the Hide Maneuver or until you use an Attack (Whichever comes first), you become Untargetable. While Untargetable, Enemies are unaware of your presence. Enemies may use a Swift Action to perform a Perception or Intuition Check opposed by your Stealth. If they pass, they do not treat you as having the Untargetable Condition.  </v>
      </c>
      <c r="E456" s="203"/>
      <c r="F456" s="204"/>
      <c r="G456" s="204"/>
      <c r="H456" s="204"/>
      <c r="I456" s="204"/>
      <c r="J456" s="203"/>
      <c r="K456" s="205"/>
      <c r="L456" s="205"/>
      <c r="M456" s="205"/>
    </row>
    <row r="457">
      <c r="A457" s="202" t="str">
        <f>IFERROR(__xludf.DUMMYFUNCTION("""COMPUTED_VALUE"""),"Criminal Specialty")</f>
        <v>Criminal Specialty</v>
      </c>
      <c r="B457" s="202" t="str">
        <f>IFERROR(__xludf.DUMMYFUNCTION("""COMPUTED_VALUE"""),"Rogue, 2 Rogue Features, Expert Stealth")</f>
        <v>Rogue, 2 Rogue Features, Expert Stealth</v>
      </c>
      <c r="C457" s="202" t="str">
        <f>IFERROR(__xludf.DUMMYFUNCTION("""COMPUTED_VALUE"""),"Static")</f>
        <v>Static</v>
      </c>
      <c r="D457" s="202" t="str">
        <f>IFERROR(__xludf.DUMMYFUNCTION("""COMPUTED_VALUE"""),"Effect: Choose a listed Criminal Specialty to gain its associated Ability in the parenthesis.
» Aggression (Defiant), Infiltration (Infiltrator),  Intimidation (Intimidate), Manipulation (Analytic), Thievery (Pickpocket).")</f>
        <v>Effect: Choose a listed Criminal Specialty to gain its associated Ability in the parenthesis.
» Aggression (Defiant), Infiltration (Infiltrator),  Intimidation (Intimidate), Manipulation (Analytic), Thievery (Pickpocket).</v>
      </c>
      <c r="E457" s="203"/>
      <c r="F457" s="204"/>
      <c r="G457" s="204"/>
      <c r="H457" s="204"/>
      <c r="I457" s="204"/>
      <c r="J457" s="203"/>
      <c r="K457" s="205"/>
      <c r="L457" s="205"/>
      <c r="M457" s="205"/>
    </row>
    <row r="458">
      <c r="A458" s="202" t="str">
        <f>IFERROR(__xludf.DUMMYFUNCTION("""COMPUTED_VALUE"""),"Cunning Bladework")</f>
        <v>Cunning Bladework</v>
      </c>
      <c r="B458" s="202" t="str">
        <f>IFERROR(__xludf.DUMMYFUNCTION("""COMPUTED_VALUE"""),"Rogue, 3 Rogue Features, Master Stealth")</f>
        <v>Rogue, 3 Rogue Features, Master Stealth</v>
      </c>
      <c r="C458" s="202" t="str">
        <f>IFERROR(__xludf.DUMMYFUNCTION("""COMPUTED_VALUE"""),"Scene x2 - Swift Action")</f>
        <v>Scene x2 - Swift Action</v>
      </c>
      <c r="D458" s="202" t="str">
        <f>IFERROR(__xludf.DUMMYFUNCTION("""COMPUTED_VALUE"""),"Trigger: You hit a Damaging Attack against an Adjacent Enemy
Effect: Before the Triggering Attack resolves, choose an Effect to apply. An Enemy can only be affected by Cunning Bladework once per Scene:
» The Target gains the Wounded Affliction and cannot"&amp;" cure it for their next Save Check
» The Target becomes Slowed and Tripped
» The Attack is treated as Super Effective. This may only be applied if the Target has a Status Affliction or is under 50% HP.")</f>
        <v>Trigger: You hit a Damaging Attack against an Adjacent Enemy
Effect: Before the Triggering Attack resolves, choose an Effect to apply. An Enemy can only be affected by Cunning Bladework once per Scene:
» The Target gains the Wounded Affliction and cannot cure it for their next Save Check
» The Target becomes Slowed and Tripped
» The Attack is treated as Super Effective. This may only be applied if the Target has a Status Affliction or is under 50% HP.</v>
      </c>
      <c r="E458" s="203"/>
      <c r="F458" s="204"/>
      <c r="G458" s="204"/>
      <c r="H458" s="204"/>
      <c r="I458" s="204"/>
      <c r="J458" s="203"/>
      <c r="K458" s="205"/>
      <c r="L458" s="205"/>
      <c r="M458" s="205"/>
    </row>
    <row r="459">
      <c r="A459" s="202" t="str">
        <f>IFERROR(__xludf.DUMMYFUNCTION("""COMPUTED_VALUE"""),"Assassin")</f>
        <v>Assassin</v>
      </c>
      <c r="B459" s="202" t="str">
        <f>IFERROR(__xludf.DUMMYFUNCTION("""COMPUTED_VALUE"""),"Prerequisite 1: Rogue [or]
Prerequisite 2: Adept Combat or Stealth")</f>
        <v>Prerequisite 1: Rogue [or]
Prerequisite 2: Adept Combat or Stealth</v>
      </c>
      <c r="C459" s="202" t="str">
        <f>IFERROR(__xludf.DUMMYFUNCTION("""COMPUTED_VALUE"""),"At-Will - Swift Action")</f>
        <v>At-Will - Swift Action</v>
      </c>
      <c r="D459" s="202" t="str">
        <f>IFERROR(__xludf.DUMMYFUNCTION("""COMPUTED_VALUE"""),"Target: An Enemy you can see
Effect: The Target makes an Intuition or Perception Check opposed by your Combat or Stealth. If they fail, they become Marked with your Death Mark. Whenever you use an Attack with its only Target having your Death Mark, Enemie"&amp;"s other than the Target cannot Trigger Reactions against it. ")</f>
        <v>Target: An Enemy you can see
Effect: The Target makes an Intuition or Perception Check opposed by your Combat or Stealth. If they fail, they become Marked with your Death Mark. Whenever you use an Attack with its only Target having your Death Mark, Enemies other than the Target cannot Trigger Reactions against it. </v>
      </c>
      <c r="E459" s="203"/>
      <c r="F459" s="204"/>
      <c r="G459" s="204"/>
      <c r="H459" s="204"/>
      <c r="I459" s="204"/>
      <c r="J459" s="203"/>
      <c r="K459" s="205"/>
      <c r="L459" s="205"/>
      <c r="M459" s="205"/>
    </row>
    <row r="460">
      <c r="A460" s="202" t="str">
        <f>IFERROR(__xludf.DUMMYFUNCTION("""COMPUTED_VALUE"""),"Lethal Attack")</f>
        <v>Lethal Attack</v>
      </c>
      <c r="B460" s="202" t="str">
        <f>IFERROR(__xludf.DUMMYFUNCTION("""COMPUTED_VALUE"""),"Assassin, Novice Combat or Stealth")</f>
        <v>Assassin, Novice Combat or Stealth</v>
      </c>
      <c r="C460" s="202" t="str">
        <f>IFERROR(__xludf.DUMMYFUNCTION("""COMPUTED_VALUE"""),"At-Will - Free Action")</f>
        <v>At-Will - Free Action</v>
      </c>
      <c r="D460" s="202" t="str">
        <f>IFERROR(__xludf.DUMMYFUNCTION("""COMPUTED_VALUE"""),"Trigger: You hit a Damaging Attack against an Enemy that is Flanked, Vulnerable or Unaware of your presence.
Effect: The Attack has a bonus to Critical Hit Ranges equal to your Tier Level. If the only Target is an Enemy with your Death mark, the bonus als"&amp;"o applies to Effect Ranges. ")</f>
        <v>Trigger: You hit a Damaging Attack against an Enemy that is Flanked, Vulnerable or Unaware of your presence.
Effect: The Attack has a bonus to Critical Hit Ranges equal to your Tier Level. If the only Target is an Enemy with your Death mark, the bonus also applies to Effect Ranges. </v>
      </c>
      <c r="E460" s="203"/>
      <c r="F460" s="204"/>
      <c r="G460" s="204"/>
      <c r="H460" s="204"/>
      <c r="I460" s="204"/>
      <c r="J460" s="203"/>
      <c r="K460" s="205"/>
      <c r="L460" s="205"/>
      <c r="M460" s="205"/>
    </row>
    <row r="461">
      <c r="A461" s="202" t="str">
        <f>IFERROR(__xludf.DUMMYFUNCTION("""COMPUTED_VALUE"""),"Fatal Expertise")</f>
        <v>Fatal Expertise</v>
      </c>
      <c r="B461" s="202" t="str">
        <f>IFERROR(__xludf.DUMMYFUNCTION("""COMPUTED_VALUE"""),"Assassin, Adept Combat or Stealth")</f>
        <v>Assassin, Adept Combat or Stealth</v>
      </c>
      <c r="C461" s="202" t="str">
        <f>IFERROR(__xludf.DUMMYFUNCTION("""COMPUTED_VALUE"""),"Static")</f>
        <v>Static</v>
      </c>
      <c r="D461" s="202" t="str">
        <f>IFERROR(__xludf.DUMMYFUNCTION("""COMPUTED_VALUE"""),"Effect: Choose Shadows or Toxin. For each Assassin Feature you have, learn an Attack listed below. Whenever you gain an Assassin Feature, learn an Attack listed below. If you chose Shadows, all Damaging Attacks gained this way are Dark Type. If you chose "&amp;"Toxin, all Damaging Attacks gained this way are Poison Type. 
» Assassinate, Cross Poison, Night Slash, Camouflage, Sharpen, Mind Reader, Lock-On, Concentration, Gash, Hone Claws")</f>
        <v>Effect: Choose Shadows or Toxin. For each Assassin Feature you have, learn an Attack listed below. Whenever you gain an Assassin Feature, learn an Attack listed below. If you chose Shadows, all Damaging Attacks gained this way are Dark Type. If you chose Toxin, all Damaging Attacks gained this way are Poison Type. 
» Assassinate, Cross Poison, Night Slash, Camouflage, Sharpen, Mind Reader, Lock-On, Concentration, Gash, Hone Claws</v>
      </c>
      <c r="E461" s="203"/>
      <c r="F461" s="204"/>
      <c r="G461" s="204"/>
      <c r="H461" s="204"/>
      <c r="I461" s="204"/>
      <c r="J461" s="203"/>
      <c r="K461" s="205"/>
      <c r="L461" s="205"/>
      <c r="M461" s="205"/>
    </row>
    <row r="462">
      <c r="A462" s="202" t="str">
        <f>IFERROR(__xludf.DUMMYFUNCTION("""COMPUTED_VALUE"""),"Exploit Weakness")</f>
        <v>Exploit Weakness</v>
      </c>
      <c r="B462" s="202" t="str">
        <f>IFERROR(__xludf.DUMMYFUNCTION("""COMPUTED_VALUE"""),"Assassin, 2 Assassin Features, Expert Combat or Stealth")</f>
        <v>Assassin, 2 Assassin Features, Expert Combat or Stealth</v>
      </c>
      <c r="C462" s="202" t="str">
        <f>IFERROR(__xludf.DUMMYFUNCTION("""COMPUTED_VALUE"""),"Scene x2 - Swift Action")</f>
        <v>Scene x2 - Swift Action</v>
      </c>
      <c r="D462" s="202" t="str">
        <f>IFERROR(__xludf.DUMMYFUNCTION("""COMPUTED_VALUE"""),"Trigger: You hit a Damaging Attack against a Single Enemy that has a Status Affliction, has a Death Mark or is Vulnerable.
Effect: The Triggering Attack is one step more effective against the Target (Max 1.5x Effectiveness). An Enemy can only be affected "&amp;"by this Feature once per Scene. If the Target has 2 or more Afflictions, the Frequency of this Feature is not expended.")</f>
        <v>Trigger: You hit a Damaging Attack against a Single Enemy that has a Status Affliction, has a Death Mark or is Vulnerable.
Effect: The Triggering Attack is one step more effective against the Target (Max 1.5x Effectiveness). An Enemy can only be affected by this Feature once per Scene. If the Target has 2 or more Afflictions, the Frequency of this Feature is not expended.</v>
      </c>
      <c r="E462" s="203"/>
      <c r="F462" s="204"/>
      <c r="G462" s="204"/>
      <c r="H462" s="204"/>
      <c r="I462" s="204"/>
      <c r="J462" s="203"/>
      <c r="K462" s="205"/>
      <c r="L462" s="205"/>
      <c r="M462" s="205"/>
    </row>
    <row r="463">
      <c r="A463" s="202" t="str">
        <f>IFERROR(__xludf.DUMMYFUNCTION("""COMPUTED_VALUE"""),"Assassination")</f>
        <v>Assassination</v>
      </c>
      <c r="B463" s="202" t="str">
        <f>IFERROR(__xludf.DUMMYFUNCTION("""COMPUTED_VALUE"""),"Assassin, 3 Assassin Features, Master Combat or Stealth")</f>
        <v>Assassin, 3 Assassin Features, Master Combat or Stealth</v>
      </c>
      <c r="C463" s="202" t="str">
        <f>IFERROR(__xludf.DUMMYFUNCTION("""COMPUTED_VALUE"""),"At-Will - Free Action")</f>
        <v>At-Will - Free Action</v>
      </c>
      <c r="D463" s="202" t="str">
        <f>IFERROR(__xludf.DUMMYFUNCTION("""COMPUTED_VALUE"""),"Trigger: You hit a Damaging Attack against a Single Enemy with your Death mark and 50% or fewer Hit Points
Effect: The Attack is automatically a Critical Hit. An Enemy can only be affected by this Feature once per Scene.
Bonus: You are able to sense when "&amp;"an Enemy has 50% or fewer Hit Points.")</f>
        <v>Trigger: You hit a Damaging Attack against a Single Enemy with your Death mark and 50% or fewer Hit Points
Effect: The Attack is automatically a Critical Hit. An Enemy can only be affected by this Feature once per Scene.
Bonus: You are able to sense when an Enemy has 50% or fewer Hit Points.</v>
      </c>
      <c r="E463" s="203"/>
      <c r="F463" s="204"/>
      <c r="G463" s="204"/>
      <c r="H463" s="204"/>
      <c r="I463" s="204"/>
      <c r="J463" s="203"/>
      <c r="K463" s="205"/>
      <c r="L463" s="205"/>
      <c r="M463" s="205"/>
    </row>
    <row r="464">
      <c r="A464" s="202" t="str">
        <f>IFERROR(__xludf.DUMMYFUNCTION("""COMPUTED_VALUE"""),"Ninja (Deception)")</f>
        <v>Ninja (Deception)</v>
      </c>
      <c r="B464" s="202" t="str">
        <f>IFERROR(__xludf.DUMMYFUNCTION("""COMPUTED_VALUE"""),"Prerequisite 1: Rogue [or]
Prerequisite 2: Adept Ninja Skill")</f>
        <v>Prerequisite 1: Rogue [or]
Prerequisite 2: Adept Ninja Skill</v>
      </c>
      <c r="C464" s="202" t="str">
        <f>IFERROR(__xludf.DUMMYFUNCTION("""COMPUTED_VALUE"""),"Static")</f>
        <v>Static</v>
      </c>
      <c r="D464" s="202" t="str">
        <f>IFERROR(__xludf.DUMMYFUNCTION("""COMPUTED_VALUE"""),"Effect: You gain the Blender &amp; Illusionist Capability.")</f>
        <v>Effect: You gain the Blender &amp; Illusionist Capability.</v>
      </c>
      <c r="E464" s="203"/>
      <c r="F464" s="204"/>
      <c r="G464" s="204"/>
      <c r="H464" s="204"/>
      <c r="I464" s="204"/>
      <c r="J464" s="203"/>
      <c r="K464" s="205"/>
      <c r="L464" s="205"/>
      <c r="M464" s="205"/>
    </row>
    <row r="465">
      <c r="A465" s="202" t="str">
        <f>IFERROR(__xludf.DUMMYFUNCTION("""COMPUTED_VALUE"""),"Ninja (Psionics)")</f>
        <v>Ninja (Psionics)</v>
      </c>
      <c r="B465" s="202" t="str">
        <f>IFERROR(__xludf.DUMMYFUNCTION("""COMPUTED_VALUE"""),"Prerequisite 1: Rogue [or]
Prerequisite 2: Adept Ninja Skill")</f>
        <v>Prerequisite 1: Rogue [or]
Prerequisite 2: Adept Ninja Skill</v>
      </c>
      <c r="C465" s="202" t="str">
        <f>IFERROR(__xludf.DUMMYFUNCTION("""COMPUTED_VALUE"""),"Static")</f>
        <v>Static</v>
      </c>
      <c r="D465" s="202" t="str">
        <f>IFERROR(__xludf.DUMMYFUNCTION("""COMPUTED_VALUE"""),"Effect: Pick two Capabilities listed below to gain:
» Aura Reader, Mindlock, Telekinetic, Telepath, True Sight")</f>
        <v>Effect: Pick two Capabilities listed below to gain:
» Aura Reader, Mindlock, Telekinetic, Telepath, True Sight</v>
      </c>
      <c r="E465" s="203"/>
      <c r="F465" s="204"/>
      <c r="G465" s="204"/>
      <c r="H465" s="204"/>
      <c r="I465" s="204"/>
      <c r="J465" s="203"/>
      <c r="K465" s="205"/>
      <c r="L465" s="205"/>
      <c r="M465" s="205"/>
    </row>
    <row r="466">
      <c r="A466" s="202" t="str">
        <f>IFERROR(__xludf.DUMMYFUNCTION("""COMPUTED_VALUE"""),"Ninja (Shadows)")</f>
        <v>Ninja (Shadows)</v>
      </c>
      <c r="B466" s="202" t="str">
        <f>IFERROR(__xludf.DUMMYFUNCTION("""COMPUTED_VALUE"""),"Prerequisite 1: Rogue [or]
Prerequisite 2: Adept Ninja Skill")</f>
        <v>Prerequisite 1: Rogue [or]
Prerequisite 2: Adept Ninja Skill</v>
      </c>
      <c r="C466" s="202" t="str">
        <f>IFERROR(__xludf.DUMMYFUNCTION("""COMPUTED_VALUE"""),"Static")</f>
        <v>Static</v>
      </c>
      <c r="D466" s="202" t="str">
        <f>IFERROR(__xludf.DUMMYFUNCTION("""COMPUTED_VALUE"""),"Effect: You gain the Dead Silent, Darkvision &amp; Shadow Meld Illusionist Capability.")</f>
        <v>Effect: You gain the Dead Silent, Darkvision &amp; Shadow Meld Illusionist Capability.</v>
      </c>
      <c r="E466" s="203"/>
      <c r="F466" s="204"/>
      <c r="G466" s="204"/>
      <c r="H466" s="204"/>
      <c r="I466" s="204"/>
      <c r="J466" s="203"/>
      <c r="K466" s="205"/>
      <c r="L466" s="205"/>
      <c r="M466" s="205"/>
    </row>
    <row r="467">
      <c r="A467" s="202" t="str">
        <f>IFERROR(__xludf.DUMMYFUNCTION("""COMPUTED_VALUE"""),"Ninja (Tradition)")</f>
        <v>Ninja (Tradition)</v>
      </c>
      <c r="B467" s="202" t="str">
        <f>IFERROR(__xludf.DUMMYFUNCTION("""COMPUTED_VALUE"""),"Prerequisite 1: Rogue [or]
Prerequisite 2: Adept Ninja Skill")</f>
        <v>Prerequisite 1: Rogue [or]
Prerequisite 2: Adept Ninja Skill</v>
      </c>
      <c r="C467" s="202" t="str">
        <f>IFERROR(__xludf.DUMMYFUNCTION("""COMPUTED_VALUE"""),"Static")</f>
        <v>Static</v>
      </c>
      <c r="D467" s="202" t="str">
        <f>IFERROR(__xludf.DUMMYFUNCTION("""COMPUTED_VALUE"""),"Effect: You gain the Climber, Jumper &amp; Quick Capability.")</f>
        <v>Effect: You gain the Climber, Jumper &amp; Quick Capability.</v>
      </c>
      <c r="E467" s="203"/>
      <c r="F467" s="204"/>
      <c r="G467" s="204"/>
      <c r="H467" s="204"/>
      <c r="I467" s="204"/>
      <c r="J467" s="203"/>
      <c r="K467" s="205"/>
      <c r="L467" s="205"/>
      <c r="M467" s="205"/>
    </row>
    <row r="468">
      <c r="A468" s="202" t="str">
        <f>IFERROR(__xludf.DUMMYFUNCTION("""COMPUTED_VALUE"""),"Ninja's Arsenal")</f>
        <v>Ninja's Arsenal</v>
      </c>
      <c r="B468" s="202" t="str">
        <f>IFERROR(__xludf.DUMMYFUNCTION("""COMPUTED_VALUE"""),"Ninja, two Novice Ninja Skills")</f>
        <v>Ninja, two Novice Ninja Skills</v>
      </c>
      <c r="C468" s="202" t="str">
        <f>IFERROR(__xludf.DUMMYFUNCTION("""COMPUTED_VALUE"""),"Static")</f>
        <v>Static</v>
      </c>
      <c r="D468" s="202" t="str">
        <f>IFERROR(__xludf.DUMMYFUNCTION("""COMPUTED_VALUE"""),"Effect: Your Damaging Attacks have a 17+ Effect Range to cause Targets to become Poisoned. When performing a Crafting Downtime Action you may create Hazard Bags with any of the following Attacks:
» Iron Spikes, Poison Gas, Smokescreen, Spikes, Toxic Spik"&amp;"es")</f>
        <v>Effect: Your Damaging Attacks have a 17+ Effect Range to cause Targets to become Poisoned. When performing a Crafting Downtime Action you may create Hazard Bags with any of the following Attacks:
» Iron Spikes, Poison Gas, Smokescreen, Spikes, Toxic Spikes</v>
      </c>
      <c r="E468" s="203"/>
      <c r="F468" s="204"/>
      <c r="G468" s="204"/>
      <c r="H468" s="204"/>
      <c r="I468" s="204"/>
      <c r="J468" s="203"/>
      <c r="K468" s="205"/>
      <c r="L468" s="205"/>
      <c r="M468" s="205"/>
    </row>
    <row r="469">
      <c r="A469" s="202" t="str">
        <f>IFERROR(__xludf.DUMMYFUNCTION("""COMPUTED_VALUE"""),"Shinobi Combat (Deception)")</f>
        <v>Shinobi Combat (Deception)</v>
      </c>
      <c r="B469" s="202" t="str">
        <f>IFERROR(__xludf.DUMMYFUNCTION("""COMPUTED_VALUE"""),"Ninja, two Adept Ninja Skills")</f>
        <v>Ninja, two Adept Ninja Skills</v>
      </c>
      <c r="C469" s="202" t="str">
        <f>IFERROR(__xludf.DUMMYFUNCTION("""COMPUTED_VALUE"""),"Static")</f>
        <v>Static</v>
      </c>
      <c r="D469" s="202" t="str">
        <f>IFERROR(__xludf.DUMMYFUNCTION("""COMPUTED_VALUE"""),"Effect: You learn all the following Attacks except the one with the [Master] Tag. Once you have 4 Ninja Features, you learn the [Master] Attack.
» Double Team, Devious Strike, Haunting Visage, Deception [Master]")</f>
        <v>Effect: You learn all the following Attacks except the one with the [Master] Tag. Once you have 4 Ninja Features, you learn the [Master] Attack.
» Double Team, Devious Strike, Haunting Visage, Deception [Master]</v>
      </c>
      <c r="E469" s="203"/>
      <c r="F469" s="204"/>
      <c r="G469" s="204"/>
      <c r="H469" s="204"/>
      <c r="I469" s="204"/>
      <c r="J469" s="203"/>
      <c r="K469" s="205"/>
      <c r="L469" s="205"/>
      <c r="M469" s="205"/>
    </row>
    <row r="470">
      <c r="A470" s="202" t="str">
        <f>IFERROR(__xludf.DUMMYFUNCTION("""COMPUTED_VALUE"""),"Shinobi Combat (Psionics)")</f>
        <v>Shinobi Combat (Psionics)</v>
      </c>
      <c r="B470" s="202" t="str">
        <f>IFERROR(__xludf.DUMMYFUNCTION("""COMPUTED_VALUE"""),"Ninja, two Adept Ninja Skills")</f>
        <v>Ninja, two Adept Ninja Skills</v>
      </c>
      <c r="C470" s="202" t="str">
        <f>IFERROR(__xludf.DUMMYFUNCTION("""COMPUTED_VALUE"""),"Static")</f>
        <v>Static</v>
      </c>
      <c r="D470" s="202" t="str">
        <f>IFERROR(__xludf.DUMMYFUNCTION("""COMPUTED_VALUE"""),"Effect: You learn all the following Attacks except the one with the [Master] Tag. Once you have 4 Ninja Features, you learn the [Master] Attack.
» Imprison, Magic Powder, Psycho Cut, Psycho Slash [Master]")</f>
        <v>Effect: You learn all the following Attacks except the one with the [Master] Tag. Once you have 4 Ninja Features, you learn the [Master] Attack.
» Imprison, Magic Powder, Psycho Cut, Psycho Slash [Master]</v>
      </c>
      <c r="E470" s="203"/>
      <c r="F470" s="204"/>
      <c r="G470" s="204"/>
      <c r="H470" s="204"/>
      <c r="I470" s="204"/>
      <c r="J470" s="203"/>
      <c r="K470" s="205"/>
      <c r="L470" s="205"/>
      <c r="M470" s="205"/>
    </row>
    <row r="471">
      <c r="A471" s="202" t="str">
        <f>IFERROR(__xludf.DUMMYFUNCTION("""COMPUTED_VALUE"""),"Shinobi Combat (Shadows)")</f>
        <v>Shinobi Combat (Shadows)</v>
      </c>
      <c r="B471" s="202" t="str">
        <f>IFERROR(__xludf.DUMMYFUNCTION("""COMPUTED_VALUE"""),"Ninja, two Adept Ninja Skills")</f>
        <v>Ninja, two Adept Ninja Skills</v>
      </c>
      <c r="C471" s="202" t="str">
        <f>IFERROR(__xludf.DUMMYFUNCTION("""COMPUTED_VALUE"""),"Static")</f>
        <v>Static</v>
      </c>
      <c r="D471" s="202" t="str">
        <f>IFERROR(__xludf.DUMMYFUNCTION("""COMPUTED_VALUE"""),"Effect: You learn all the following Attacks except the one with the [Master] Tag. Once you have 4 Ninja Features, you learn the [Master] Attack.
» Shadow Strike, Shadow Snare, Shadow Veil, Shadow Bolt [Master]")</f>
        <v>Effect: You learn all the following Attacks except the one with the [Master] Tag. Once you have 4 Ninja Features, you learn the [Master] Attack.
» Shadow Strike, Shadow Snare, Shadow Veil, Shadow Bolt [Master]</v>
      </c>
      <c r="E471" s="203"/>
      <c r="F471" s="204"/>
      <c r="G471" s="204"/>
      <c r="H471" s="204"/>
      <c r="I471" s="204"/>
      <c r="J471" s="203"/>
      <c r="K471" s="205"/>
      <c r="L471" s="205"/>
      <c r="M471" s="205"/>
    </row>
    <row r="472">
      <c r="A472" s="202" t="str">
        <f>IFERROR(__xludf.DUMMYFUNCTION("""COMPUTED_VALUE"""),"Shinobi Combat (Tradition)")</f>
        <v>Shinobi Combat (Tradition)</v>
      </c>
      <c r="B472" s="202" t="str">
        <f>IFERROR(__xludf.DUMMYFUNCTION("""COMPUTED_VALUE"""),"Ninja, two Adept Ninja Skills")</f>
        <v>Ninja, two Adept Ninja Skills</v>
      </c>
      <c r="C472" s="202" t="str">
        <f>IFERROR(__xludf.DUMMYFUNCTION("""COMPUTED_VALUE"""),"Static")</f>
        <v>Static</v>
      </c>
      <c r="D472" s="202" t="str">
        <f>IFERROR(__xludf.DUMMYFUNCTION("""COMPUTED_VALUE"""),"Effect: You learn all the following Attacks except the one with the [Master] Tag. Once you have 4 Ninja Features, you learn the [Master] Attack.
» Agility, Toxic, Cross Poison, Assassinate [Master]")</f>
        <v>Effect: You learn all the following Attacks except the one with the [Master] Tag. Once you have 4 Ninja Features, you learn the [Master] Attack.
» Agility, Toxic, Cross Poison, Assassinate [Master]</v>
      </c>
      <c r="E472" s="203"/>
      <c r="F472" s="204"/>
      <c r="G472" s="204"/>
      <c r="H472" s="204"/>
      <c r="I472" s="204"/>
      <c r="J472" s="203"/>
      <c r="K472" s="205"/>
      <c r="L472" s="205"/>
      <c r="M472" s="205"/>
    </row>
    <row r="473">
      <c r="A473" s="202" t="str">
        <f>IFERROR(__xludf.DUMMYFUNCTION("""COMPUTED_VALUE"""),"Precise Attack")</f>
        <v>Precise Attack</v>
      </c>
      <c r="B473" s="202" t="str">
        <f>IFERROR(__xludf.DUMMYFUNCTION("""COMPUTED_VALUE"""),"Ninja, 2 Ninja Features, an Expert Ninja Skill")</f>
        <v>Ninja, 2 Ninja Features, an Expert Ninja Skill</v>
      </c>
      <c r="C473" s="202" t="str">
        <f>IFERROR(__xludf.DUMMYFUNCTION("""COMPUTED_VALUE"""),"At-Will - Free Action")</f>
        <v>At-Will - Free Action</v>
      </c>
      <c r="D473" s="202" t="str">
        <f>IFERROR(__xludf.DUMMYFUNCTION("""COMPUTED_VALUE"""),"Trigger: You use a Damaging Attack against an Enemy that is Flanked, Vulnerable or Unaware of your presence.
Effect: The applicable Targets are treated as Vulnerable against the Triggering Attack. If they are already Vulnerable or Poisoned, it gains the S"&amp;"ureshot Keyword instead.")</f>
        <v>Trigger: You use a Damaging Attack against an Enemy that is Flanked, Vulnerable or Unaware of your presence.
Effect: The applicable Targets are treated as Vulnerable against the Triggering Attack. If they are already Vulnerable or Poisoned, it gains the Sureshot Keyword instead.</v>
      </c>
      <c r="E473" s="203"/>
      <c r="F473" s="204"/>
      <c r="G473" s="204"/>
      <c r="H473" s="204"/>
      <c r="I473" s="204"/>
      <c r="J473" s="203"/>
      <c r="K473" s="205"/>
      <c r="L473" s="205"/>
      <c r="M473" s="205"/>
    </row>
    <row r="474">
      <c r="A474" s="202" t="str">
        <f>IFERROR(__xludf.DUMMYFUNCTION("""COMPUTED_VALUE"""),"Mastered Technique")</f>
        <v>Mastered Technique</v>
      </c>
      <c r="B474" s="202" t="str">
        <f>IFERROR(__xludf.DUMMYFUNCTION("""COMPUTED_VALUE"""),"Ninja, 3 Ninja Features, a Master Ninja Skill")</f>
        <v>Ninja, 3 Ninja Features, a Master Ninja Skill</v>
      </c>
      <c r="C474" s="202" t="str">
        <f>IFERROR(__xludf.DUMMYFUNCTION("""COMPUTED_VALUE"""),"Static")</f>
        <v>Static</v>
      </c>
      <c r="D474" s="202" t="str">
        <f>IFERROR(__xludf.DUMMYFUNCTION("""COMPUTED_VALUE"""),"Effect: Choose two Abilities to gain; one without a Ninja Specialty listed and one with your Specialty listed. You cannot choose an Ability with a listed Specialty that isn’t the one you picked.
» Ambush, Infiltrator, Run Away, Copy Master (Deception), I"&amp;"llusion (Deception), Shadow Tag (Shadows), Spectral Cloak (Shadows), Mental Assault (Psionics), Memory Wipe (Psionics), Deadly Poison (Tradition), Poison Point (Tradition)")</f>
        <v>Effect: Choose two Abilities to gain; one without a Ninja Specialty listed and one with your Specialty listed. You cannot choose an Ability with a listed Specialty that isn’t the one you picked.
» Ambush, Infiltrator, Run Away, Copy Master (Deception), Illusion (Deception), Shadow Tag (Shadows), Spectral Cloak (Shadows), Mental Assault (Psionics), Memory Wipe (Psionics), Deadly Poison (Tradition), Poison Point (Tradition)</v>
      </c>
      <c r="E474" s="203"/>
      <c r="F474" s="204"/>
      <c r="G474" s="204"/>
      <c r="H474" s="204"/>
      <c r="I474" s="204"/>
      <c r="J474" s="203"/>
      <c r="K474" s="205"/>
      <c r="L474" s="205"/>
      <c r="M474" s="205"/>
    </row>
    <row r="475">
      <c r="A475" s="202" t="str">
        <f>IFERROR(__xludf.DUMMYFUNCTION("""COMPUTED_VALUE"""),"Swashbuckler")</f>
        <v>Swashbuckler</v>
      </c>
      <c r="B475" s="202" t="str">
        <f>IFERROR(__xludf.DUMMYFUNCTION("""COMPUTED_VALUE"""),"Prerequisite 1: Rogue [or]
Prerequisite 2: Adept Swashbuckler Skill")</f>
        <v>Prerequisite 1: Rogue [or]
Prerequisite 2: Adept Swashbuckler Skill</v>
      </c>
      <c r="C475" s="202" t="str">
        <f>IFERROR(__xludf.DUMMYFUNCTION("""COMPUTED_VALUE"""),"Static")</f>
        <v>Static</v>
      </c>
      <c r="D475" s="202" t="str">
        <f>IFERROR(__xludf.DUMMYFUNCTION("""COMPUTED_VALUE"""),"Effect: Your Damaging Attacks have a 12+ Effect Range to grant you a Panache Coat. This Effect Range cannot be extended like normal Effect Ranges.
*See Mechanics - Swashbuckler")</f>
        <v>Effect: Your Damaging Attacks have a 12+ Effect Range to grant you a Panache Coat. This Effect Range cannot be extended like normal Effect Ranges.
*See Mechanics - Swashbuckler</v>
      </c>
      <c r="E475" s="203"/>
      <c r="F475" s="204"/>
      <c r="G475" s="204"/>
      <c r="H475" s="204"/>
      <c r="I475" s="204"/>
      <c r="J475" s="203"/>
      <c r="K475" s="205"/>
      <c r="L475" s="205"/>
      <c r="M475" s="205"/>
    </row>
    <row r="476">
      <c r="A476" s="202" t="str">
        <f>IFERROR(__xludf.DUMMYFUNCTION("""COMPUTED_VALUE"""),"Creed of the Corsair [Rank 1]")</f>
        <v>Creed of the Corsair [Rank 1]</v>
      </c>
      <c r="B476" s="202" t="str">
        <f>IFERROR(__xludf.DUMMYFUNCTION("""COMPUTED_VALUE"""),"Swashbuckler, two Novice Swashbuckler Skills")</f>
        <v>Swashbuckler, two Novice Swashbuckler Skills</v>
      </c>
      <c r="C476" s="202" t="str">
        <f>IFERROR(__xludf.DUMMYFUNCTION("""COMPUTED_VALUE"""),"Static")</f>
        <v>Static</v>
      </c>
      <c r="D476" s="202" t="str">
        <f>IFERROR(__xludf.DUMMYFUNCTION("""COMPUTED_VALUE"""),"Effect: Choose two Swashbuckler Techniques to learn.
*See Techniques - Swashbuckler")</f>
        <v>Effect: Choose two Swashbuckler Techniques to learn.
*See Techniques - Swashbuckler</v>
      </c>
      <c r="E476" s="203"/>
      <c r="F476" s="204"/>
      <c r="G476" s="204"/>
      <c r="H476" s="204"/>
      <c r="I476" s="204"/>
      <c r="J476" s="203"/>
      <c r="K476" s="205"/>
      <c r="L476" s="205"/>
      <c r="M476" s="205"/>
    </row>
    <row r="477">
      <c r="A477" s="202" t="str">
        <f>IFERROR(__xludf.DUMMYFUNCTION("""COMPUTED_VALUE"""),"Creed of the Corsair [Rank 2]")</f>
        <v>Creed of the Corsair [Rank 2]</v>
      </c>
      <c r="B477" s="202" t="str">
        <f>IFERROR(__xludf.DUMMYFUNCTION("""COMPUTED_VALUE"""),"Swashbuckler, two Adept Swashbuckler Skills")</f>
        <v>Swashbuckler, two Adept Swashbuckler Skills</v>
      </c>
      <c r="C477" s="202" t="str">
        <f>IFERROR(__xludf.DUMMYFUNCTION("""COMPUTED_VALUE"""),"Static")</f>
        <v>Static</v>
      </c>
      <c r="D477" s="202" t="str">
        <f>IFERROR(__xludf.DUMMYFUNCTION("""COMPUTED_VALUE"""),"Effect: Choose two Swashbuckler Techniques to learn.
*See Techniques - Swashbuckler")</f>
        <v>Effect: Choose two Swashbuckler Techniques to learn.
*See Techniques - Swashbuckler</v>
      </c>
      <c r="E477" s="203"/>
      <c r="F477" s="204"/>
      <c r="G477" s="204"/>
      <c r="H477" s="204"/>
      <c r="I477" s="204"/>
      <c r="J477" s="203"/>
      <c r="K477" s="205"/>
      <c r="L477" s="205"/>
      <c r="M477" s="205"/>
    </row>
    <row r="478">
      <c r="A478" s="202" t="str">
        <f>IFERROR(__xludf.DUMMYFUNCTION("""COMPUTED_VALUE"""),"Creed of the Corsair [Rank 3]")</f>
        <v>Creed of the Corsair [Rank 3]</v>
      </c>
      <c r="B478" s="202" t="str">
        <f>IFERROR(__xludf.DUMMYFUNCTION("""COMPUTED_VALUE"""),"Swashbuckler, an Expert and Adept Swashbuckler Skill")</f>
        <v>Swashbuckler, an Expert and Adept Swashbuckler Skill</v>
      </c>
      <c r="C478" s="202" t="str">
        <f>IFERROR(__xludf.DUMMYFUNCTION("""COMPUTED_VALUE"""),"Static")</f>
        <v>Static</v>
      </c>
      <c r="D478" s="202" t="str">
        <f>IFERROR(__xludf.DUMMYFUNCTION("""COMPUTED_VALUE"""),"Effect: Choose two Swashbuckler Techniques to learn.
*See Techniques - Swashbuckler")</f>
        <v>Effect: Choose two Swashbuckler Techniques to learn.
*See Techniques - Swashbuckler</v>
      </c>
      <c r="E478" s="203"/>
      <c r="F478" s="204"/>
      <c r="G478" s="204"/>
      <c r="H478" s="204"/>
      <c r="I478" s="204"/>
      <c r="J478" s="203"/>
      <c r="K478" s="205"/>
      <c r="L478" s="205"/>
      <c r="M478" s="205"/>
    </row>
    <row r="479">
      <c r="A479" s="202" t="str">
        <f>IFERROR(__xludf.DUMMYFUNCTION("""COMPUTED_VALUE"""),"Flourishing Finisher")</f>
        <v>Flourishing Finisher</v>
      </c>
      <c r="B479" s="202" t="str">
        <f>IFERROR(__xludf.DUMMYFUNCTION("""COMPUTED_VALUE"""),"Swashbuckler, 3 Swashbuckler Features, a Master and Expert Swashbuckler Skill")</f>
        <v>Swashbuckler, 3 Swashbuckler Features, a Master and Expert Swashbuckler Skill</v>
      </c>
      <c r="C479" s="202" t="str">
        <f>IFERROR(__xludf.DUMMYFUNCTION("""COMPUTED_VALUE"""),"Scene x2 - Free Action")</f>
        <v>Scene x2 - Free Action</v>
      </c>
      <c r="D479" s="202" t="str">
        <f>IFERROR(__xludf.DUMMYFUNCTION("""COMPUTED_VALUE"""),"Condition: You have a Panache Coat
Trigger: You hit and resolve a Damaging Attack
Effect: You may perform any of the following Maneuvers as a Free Action against a Target of the Triggering Attack. Additionally, you may expend a Panache Coat to treat the M"&amp;"aneuver as if they had the Sureshot Keyword and the Resistant Keyword for Maneuvers is ignored.
» Distract, Intrigue, Provoke, Terrorize, Disarm, Hinder, Push, Trip")</f>
        <v>Condition: You have a Panache Coat
Trigger: You hit and resolve a Damaging Attack
Effect: You may perform any of the following Maneuvers as a Free Action against a Target of the Triggering Attack. Additionally, you may expend a Panache Coat to treat the Maneuver as if they had the Sureshot Keyword and the Resistant Keyword for Maneuvers is ignored.
» Distract, Intrigue, Provoke, Terrorize, Disarm, Hinder, Push, Trip</v>
      </c>
      <c r="E479" s="203"/>
      <c r="F479" s="204"/>
      <c r="G479" s="204"/>
      <c r="H479" s="204"/>
      <c r="I479" s="204"/>
      <c r="J479" s="203"/>
      <c r="K479" s="205"/>
      <c r="L479" s="205"/>
      <c r="M479" s="205"/>
    </row>
    <row r="480">
      <c r="A480" s="202" t="str">
        <f>IFERROR(__xludf.DUMMYFUNCTION("""COMPUTED_VALUE"""),"Provocateur")</f>
        <v>Provocateur</v>
      </c>
      <c r="B480" s="202" t="str">
        <f>IFERROR(__xludf.DUMMYFUNCTION("""COMPUTED_VALUE"""),"Novice Provocateur Skill")</f>
        <v>Novice Provocateur Skill</v>
      </c>
      <c r="C480" s="202" t="str">
        <f>IFERROR(__xludf.DUMMYFUNCTION("""COMPUTED_VALUE"""),"At-Will - Free Action")</f>
        <v>At-Will - Free Action</v>
      </c>
      <c r="D480" s="202" t="str">
        <f>IFERROR(__xludf.DUMMYFUNCTION("""COMPUTED_VALUE"""),"Trigger: You hit a Social Attack or Manipulate Maneuver
Effect: One Enemy hit by the Triggering Attack or Maneuver has a penalty to all Accuracy Rolls and Save Checks equal to your Tier Level until the end of their next Turn. Provocateur can only be used "&amp;"once per Round. 
Bonus: You may learn two Attacks from either the Alluring Combat Feature or Imposing Combat’s Novice Attack List, or a combination of either. ")</f>
        <v>Trigger: You hit a Social Attack or Manipulate Maneuver
Effect: One Enemy hit by the Triggering Attack or Maneuver has a penalty to all Accuracy Rolls and Save Checks equal to your Tier Level until the end of their next Turn. Provocateur can only be used once per Round. 
Bonus: You may learn two Attacks from either the Alluring Combat Feature or Imposing Combat’s Novice Attack List, or a combination of either. </v>
      </c>
      <c r="E480" s="203"/>
      <c r="F480" s="204"/>
      <c r="G480" s="204"/>
      <c r="H480" s="204"/>
      <c r="I480" s="204"/>
      <c r="J480" s="203"/>
      <c r="K480" s="205"/>
      <c r="L480" s="205"/>
      <c r="M480" s="205"/>
    </row>
    <row r="481">
      <c r="A481" s="202" t="str">
        <f>IFERROR(__xludf.DUMMYFUNCTION("""COMPUTED_VALUE"""),"Cutting Words")</f>
        <v>Cutting Words</v>
      </c>
      <c r="B481" s="202" t="str">
        <f>IFERROR(__xludf.DUMMYFUNCTION("""COMPUTED_VALUE"""),"Provocateur, a Provocateur Skill at Novice Rank")</f>
        <v>Provocateur, a Provocateur Skill at Novice Rank</v>
      </c>
      <c r="C481" s="202" t="str">
        <f>IFERROR(__xludf.DUMMYFUNCTION("""COMPUTED_VALUE"""),"Static")</f>
        <v>Static</v>
      </c>
      <c r="D481" s="202" t="str">
        <f>IFERROR(__xludf.DUMMYFUNCTION("""COMPUTED_VALUE"""),"Effect: Your Social Attacks have a 18+ Critical Hit Range. If they were to Critical Hit, roll a 1d4. All Targets hit by the Triggering Attack lose X Ticks of Hit Points where X is equal to the result. You have a +2 Modifier to Critical Hit Ranges when usi"&amp;"ng a Social Attack against an Enemy for each Mental Affliction they have.")</f>
        <v>Effect: Your Social Attacks have a 18+ Critical Hit Range. If they were to Critical Hit, roll a 1d4. All Targets hit by the Triggering Attack lose X Ticks of Hit Points where X is equal to the result. You have a +2 Modifier to Critical Hit Ranges when using a Social Attack against an Enemy for each Mental Affliction they have.</v>
      </c>
      <c r="E481" s="203"/>
      <c r="F481" s="204"/>
      <c r="G481" s="204"/>
      <c r="H481" s="204"/>
      <c r="I481" s="204"/>
      <c r="J481" s="203"/>
      <c r="K481" s="205"/>
      <c r="L481" s="205"/>
      <c r="M481" s="205"/>
    </row>
    <row r="482">
      <c r="A482" s="202" t="str">
        <f>IFERROR(__xludf.DUMMYFUNCTION("""COMPUTED_VALUE"""),"Mind Games")</f>
        <v>Mind Games</v>
      </c>
      <c r="B482" s="202" t="str">
        <f>IFERROR(__xludf.DUMMYFUNCTION("""COMPUTED_VALUE"""),"Provocateur, a Provocateur Skill at Adept Rank")</f>
        <v>Provocateur, a Provocateur Skill at Adept Rank</v>
      </c>
      <c r="C482" s="202" t="str">
        <f>IFERROR(__xludf.DUMMYFUNCTION("""COMPUTED_VALUE"""),"Scene x3 - Swift Action")</f>
        <v>Scene x3 - Swift Action</v>
      </c>
      <c r="D482" s="202" t="str">
        <f>IFERROR(__xludf.DUMMYFUNCTION("""COMPUTED_VALUE"""),"Trigger: You hit a Social Attack used as a Standard Action
Effect: The Attack gains one of the following effects. An Enemy can only be affected by each effect of Mind Games once per Scene.
» All Targets become Provoked by you until the end of their next T"&amp;"urn.
» All Targets become Suppressed or Enraged of your choice.
» All Stats lowered by the Triggering Attack are lowered by an additional -1.
» Status Afflictions gained by the Triggering Attack cannot be cured during their next Save Check.")</f>
        <v>Trigger: You hit a Social Attack used as a Standard Action
Effect: The Attack gains one of the following effects. An Enemy can only be affected by each effect of Mind Games once per Scene.
» All Targets become Provoked by you until the end of their next Turn.
» All Targets become Suppressed or Enraged of your choice.
» All Stats lowered by the Triggering Attack are lowered by an additional -1.
» Status Afflictions gained by the Triggering Attack cannot be cured during their next Save Check.</v>
      </c>
      <c r="E482" s="203"/>
      <c r="F482" s="204"/>
      <c r="G482" s="204"/>
      <c r="H482" s="204"/>
      <c r="I482" s="204"/>
      <c r="J482" s="203"/>
      <c r="K482" s="205"/>
      <c r="L482" s="205"/>
      <c r="M482" s="205"/>
    </row>
    <row r="483">
      <c r="A483" s="202" t="str">
        <f>IFERROR(__xludf.DUMMYFUNCTION("""COMPUTED_VALUE"""),"Quick Wit")</f>
        <v>Quick Wit</v>
      </c>
      <c r="B483" s="202" t="str">
        <f>IFERROR(__xludf.DUMMYFUNCTION("""COMPUTED_VALUE"""),"Provocateur, 2 Provocateur Features, a Provocateur Skill at Expert Rank")</f>
        <v>Provocateur, 2 Provocateur Features, a Provocateur Skill at Expert Rank</v>
      </c>
      <c r="C483" s="202" t="str">
        <f>IFERROR(__xludf.DUMMYFUNCTION("""COMPUTED_VALUE"""),"Scene x2 - Reaction")</f>
        <v>Scene x2 - Reaction</v>
      </c>
      <c r="D483" s="202" t="str">
        <f>IFERROR(__xludf.DUMMYFUNCTION("""COMPUTED_VALUE"""),"Trigger: You’re Targeted with an Attack
Effect: Before the Triggering Attack is used, you may use a Social Attack or Manipulate Maneuver as a Free Action, but it can only Target the Triggering Enemy. They cannot apply Speed Evasion against this Attack. ")</f>
        <v>Trigger: You’re Targeted with an Attack
Effect: Before the Triggering Attack is used, you may use a Social Attack or Manipulate Maneuver as a Free Action, but it can only Target the Triggering Enemy. They cannot apply Speed Evasion against this Attack. </v>
      </c>
      <c r="E483" s="203"/>
      <c r="F483" s="204"/>
      <c r="G483" s="204"/>
      <c r="H483" s="204"/>
      <c r="I483" s="204"/>
      <c r="J483" s="203"/>
      <c r="K483" s="205"/>
      <c r="L483" s="205"/>
      <c r="M483" s="205"/>
    </row>
    <row r="484">
      <c r="A484" s="202" t="str">
        <f>IFERROR(__xludf.DUMMYFUNCTION("""COMPUTED_VALUE"""),"Under their Skin")</f>
        <v>Under their Skin</v>
      </c>
      <c r="B484" s="202" t="str">
        <f>IFERROR(__xludf.DUMMYFUNCTION("""COMPUTED_VALUE"""),"Provocateur, 3 Provocateur Features, a Provocateur Skill at Master Rank")</f>
        <v>Provocateur, 3 Provocateur Features, a Provocateur Skill at Master Rank</v>
      </c>
      <c r="C484" s="202" t="str">
        <f>IFERROR(__xludf.DUMMYFUNCTION("""COMPUTED_VALUE"""),"Scene - Free Action")</f>
        <v>Scene - Free Action</v>
      </c>
      <c r="D484" s="202" t="str">
        <f>IFERROR(__xludf.DUMMYFUNCTION("""COMPUTED_VALUE"""),"Trigger: You’re hit with an Attack from an Enemy with a Mental Affliction or that is Provoked by you
Effect: If the Triggering Attack was a Status Attack, it misses. If the Triggering Attack was a Damaging Attack, it is reduced by an additional damage ste"&amp;"p.
Bonus: You have +1 Uncapped Evasion against Enemy Attacks for each Mental Affliction they’re affected by.")</f>
        <v>Trigger: You’re hit with an Attack from an Enemy with a Mental Affliction or that is Provoked by you
Effect: If the Triggering Attack was a Status Attack, it misses. If the Triggering Attack was a Damaging Attack, it is reduced by an additional damage step.
Bonus: You have +1 Uncapped Evasion against Enemy Attacks for each Mental Affliction they’re affected by.</v>
      </c>
      <c r="E484" s="203"/>
      <c r="F484" s="204"/>
      <c r="G484" s="204"/>
      <c r="H484" s="204"/>
      <c r="I484" s="204"/>
      <c r="J484" s="203"/>
      <c r="K484" s="205"/>
      <c r="L484" s="205"/>
      <c r="M484" s="205"/>
    </row>
    <row r="485">
      <c r="A485" s="202" t="str">
        <f>IFERROR(__xludf.DUMMYFUNCTION("""COMPUTED_VALUE"""),"Debonair")</f>
        <v>Debonair</v>
      </c>
      <c r="B485" s="202" t="str">
        <f>IFERROR(__xludf.DUMMYFUNCTION("""COMPUTED_VALUE"""),"Prerequisite 1: Provocateur [or]
Prerequisite 2: Adept Charm or Guile")</f>
        <v>Prerequisite 1: Provocateur [or]
Prerequisite 2: Adept Charm or Guile</v>
      </c>
      <c r="C485" s="202" t="str">
        <f>IFERROR(__xludf.DUMMYFUNCTION("""COMPUTED_VALUE"""),"Static")</f>
        <v>Static</v>
      </c>
      <c r="D485" s="202" t="str">
        <f>IFERROR(__xludf.DUMMYFUNCTION("""COMPUTED_VALUE"""),"Effect: You learn the Cute Charm Ability. Whenever you Entrance an Enemy that is already Entranced, they become Coerced.
*See Mechanics - Debonair")</f>
        <v>Effect: You learn the Cute Charm Ability. Whenever you Entrance an Enemy that is already Entranced, they become Coerced.
*See Mechanics - Debonair</v>
      </c>
      <c r="E485" s="203"/>
      <c r="F485" s="204"/>
      <c r="G485" s="204"/>
      <c r="H485" s="204"/>
      <c r="I485" s="204"/>
      <c r="J485" s="203"/>
      <c r="K485" s="205"/>
      <c r="L485" s="205"/>
      <c r="M485" s="205"/>
    </row>
    <row r="486">
      <c r="A486" s="202" t="str">
        <f>IFERROR(__xludf.DUMMYFUNCTION("""COMPUTED_VALUE"""),"Silver Tongue")</f>
        <v>Silver Tongue</v>
      </c>
      <c r="B486" s="202" t="str">
        <f>IFERROR(__xludf.DUMMYFUNCTION("""COMPUTED_VALUE"""),"Debonair, Novice Charm or Guile")</f>
        <v>Debonair, Novice Charm or Guile</v>
      </c>
      <c r="C486" s="202" t="str">
        <f>IFERROR(__xludf.DUMMYFUNCTION("""COMPUTED_VALUE"""),"At-Will - Swift Action")</f>
        <v>At-Will - Swift Action</v>
      </c>
      <c r="D486" s="202" t="str">
        <f>IFERROR(__xludf.DUMMYFUNCTION("""COMPUTED_VALUE"""),"Trigger: You hit a Social Attack against a single Enemy used as a Standard Action
Effect: The Attack gains one of the following effects. An Enemy can only be affected by each effect of Silver Tongue once per Scene.
» The Enemy becomes Entranced
» The Ene"&amp;"my becomes Vulnerable until the end of the Round.
» Choose an Ally. the Enemy treats that Ally as their Fixation as well if they’re Entranced.")</f>
        <v>Trigger: You hit a Social Attack against a single Enemy used as a Standard Action
Effect: The Attack gains one of the following effects. An Enemy can only be affected by each effect of Silver Tongue once per Scene.
» The Enemy becomes Entranced
» The Enemy becomes Vulnerable until the end of the Round.
» Choose an Ally. the Enemy treats that Ally as their Fixation as well if they’re Entranced.</v>
      </c>
      <c r="E486" s="203"/>
      <c r="F486" s="204"/>
      <c r="G486" s="204"/>
      <c r="H486" s="204"/>
      <c r="I486" s="204"/>
      <c r="J486" s="203"/>
      <c r="K486" s="205"/>
      <c r="L486" s="205"/>
      <c r="M486" s="205"/>
    </row>
    <row r="487">
      <c r="A487" s="202" t="str">
        <f>IFERROR(__xludf.DUMMYFUNCTION("""COMPUTED_VALUE"""),"Mind Manipulator")</f>
        <v>Mind Manipulator</v>
      </c>
      <c r="B487" s="202" t="str">
        <f>IFERROR(__xludf.DUMMYFUNCTION("""COMPUTED_VALUE"""),"Debonair, Adept Charm or Guile")</f>
        <v>Debonair, Adept Charm or Guile</v>
      </c>
      <c r="C487" s="202" t="str">
        <f>IFERROR(__xludf.DUMMYFUNCTION("""COMPUTED_VALUE"""),"Scene - Free Action")</f>
        <v>Scene - Free Action</v>
      </c>
      <c r="D487" s="202" t="str">
        <f>IFERROR(__xludf.DUMMYFUNCTION("""COMPUTED_VALUE"""),"Target: An Enemy within 6m that has a Mental Affliction 
Effect: You may use a Manipulate Maneuver against them as a Free Action.
Bonus: Your Manipulate Maneuvers gain the Sureshot Keyword against Enemies with a Mental Affliction. You have a Boon to Skill"&amp;" Checks against or opposed by Enemies with a Mental Affliction.")</f>
        <v>Target: An Enemy within 6m that has a Mental Affliction 
Effect: You may use a Manipulate Maneuver against them as a Free Action.
Bonus: Your Manipulate Maneuvers gain the Sureshot Keyword against Enemies with a Mental Affliction. You have a Boon to Skill Checks against or opposed by Enemies with a Mental Affliction.</v>
      </c>
      <c r="E487" s="203"/>
      <c r="F487" s="204"/>
      <c r="G487" s="204"/>
      <c r="H487" s="204"/>
      <c r="I487" s="204"/>
      <c r="J487" s="203"/>
      <c r="K487" s="205"/>
      <c r="L487" s="205"/>
      <c r="M487" s="205"/>
    </row>
    <row r="488">
      <c r="A488" s="202" t="str">
        <f>IFERROR(__xludf.DUMMYFUNCTION("""COMPUTED_VALUE"""),"Charming Visage")</f>
        <v>Charming Visage</v>
      </c>
      <c r="B488" s="202" t="str">
        <f>IFERROR(__xludf.DUMMYFUNCTION("""COMPUTED_VALUE"""),"Debonair, 2 Debonair Features, Expert Charm or Guile")</f>
        <v>Debonair, 2 Debonair Features, Expert Charm or Guile</v>
      </c>
      <c r="C488" s="202" t="str">
        <f>IFERROR(__xludf.DUMMYFUNCTION("""COMPUTED_VALUE"""),"Static")</f>
        <v>Static</v>
      </c>
      <c r="D488" s="202" t="str">
        <f>IFERROR(__xludf.DUMMYFUNCTION("""COMPUTED_VALUE"""),"Effect: You gain the Beautiful Ability. The user’s Entranced Effect Ranges for Status Attacks are increased by +2. Whenever the user would inflict a Mental Affliction, they may instead Entrance the Targets.")</f>
        <v>Effect: You gain the Beautiful Ability. The user’s Entranced Effect Ranges for Status Attacks are increased by +2. Whenever the user would inflict a Mental Affliction, they may instead Entrance the Targets.</v>
      </c>
      <c r="E488" s="203"/>
      <c r="F488" s="204"/>
      <c r="G488" s="204"/>
      <c r="H488" s="204"/>
      <c r="I488" s="204"/>
      <c r="J488" s="203"/>
      <c r="K488" s="205"/>
      <c r="L488" s="205"/>
      <c r="M488" s="205"/>
    </row>
    <row r="489">
      <c r="A489" s="202" t="str">
        <f>IFERROR(__xludf.DUMMYFUNCTION("""COMPUTED_VALUE"""),"Swayed Allegiance")</f>
        <v>Swayed Allegiance</v>
      </c>
      <c r="B489" s="202" t="str">
        <f>IFERROR(__xludf.DUMMYFUNCTION("""COMPUTED_VALUE"""),"Debonair, 3 Debonair Features, Master Charm or Guile")</f>
        <v>Debonair, 3 Debonair Features, Master Charm or Guile</v>
      </c>
      <c r="C489" s="202" t="str">
        <f>IFERROR(__xludf.DUMMYFUNCTION("""COMPUTED_VALUE"""),"Scene - Full Action")</f>
        <v>Scene - Full Action</v>
      </c>
      <c r="D489" s="202" t="str">
        <f>IFERROR(__xludf.DUMMYFUNCTION("""COMPUTED_VALUE"""),"[Order]
Target: A Coerced Enemy within 3m
Effect: You may have the Target Slide up to their Movement Value. The Target performs an Attack as a Free Action as if it had the Priority Keyword. You choose the Attack that they use and its Targets. The Attack u"&amp;"sed does not have its Frequency expended.  ")</f>
        <v>[Order]
Target: A Coerced Enemy within 3m
Effect: You may have the Target Slide up to their Movement Value. The Target performs an Attack as a Free Action as if it had the Priority Keyword. You choose the Attack that they use and its Targets. The Attack used does not have its Frequency expended.  </v>
      </c>
      <c r="E489" s="203"/>
      <c r="F489" s="204"/>
      <c r="G489" s="204"/>
      <c r="H489" s="204"/>
      <c r="I489" s="204"/>
      <c r="J489" s="203"/>
      <c r="K489" s="205"/>
      <c r="L489" s="205"/>
      <c r="M489" s="205"/>
    </row>
    <row r="490">
      <c r="A490" s="202" t="str">
        <f>IFERROR(__xludf.DUMMYFUNCTION("""COMPUTED_VALUE"""),"Trickster")</f>
        <v>Trickster</v>
      </c>
      <c r="B490" s="202" t="str">
        <f>IFERROR(__xludf.DUMMYFUNCTION("""COMPUTED_VALUE"""),"Prerequisite 1: Provocateur [or]
Prerequisite 2: Adept Guile or Gen Edu")</f>
        <v>Prerequisite 1: Provocateur [or]
Prerequisite 2: Adept Guile or Gen Edu</v>
      </c>
      <c r="C490" s="202" t="str">
        <f>IFERROR(__xludf.DUMMYFUNCTION("""COMPUTED_VALUE"""),"At-Will - Free Action")</f>
        <v>At-Will - Free Action</v>
      </c>
      <c r="D490" s="202" t="str">
        <f>IFERROR(__xludf.DUMMYFUNCTION("""COMPUTED_VALUE"""),"Trigger: You hit a single Enemy with a Status Attack
Effect: After the Attack’s Resolution, you may perform a Manipulate or Tactic Maneuver against the Target of the Triggering Attack as a Free Action, excluding Attack of Opportunity or Throw, provided yo"&amp;"u’re in range. For any opposed Checks you may use Guile or Gen Edu instead of the listed Skills. Trickster may only be used once per Round.  ")</f>
        <v>Trigger: You hit a single Enemy with a Status Attack
Effect: After the Attack’s Resolution, you may perform a Manipulate or Tactic Maneuver against the Target of the Triggering Attack as a Free Action, excluding Attack of Opportunity or Throw, provided you’re in range. For any opposed Checks you may use Guile or Gen Edu instead of the listed Skills. Trickster may only be used once per Round.  </v>
      </c>
      <c r="E490" s="203"/>
      <c r="F490" s="204"/>
      <c r="G490" s="204"/>
      <c r="H490" s="204"/>
      <c r="I490" s="204"/>
      <c r="J490" s="203"/>
      <c r="K490" s="205"/>
      <c r="L490" s="205"/>
      <c r="M490" s="205"/>
    </row>
    <row r="491">
      <c r="A491" s="202" t="str">
        <f>IFERROR(__xludf.DUMMYFUNCTION("""COMPUTED_VALUE"""),"Tormenting Wit")</f>
        <v>Tormenting Wit</v>
      </c>
      <c r="B491" s="202" t="str">
        <f>IFERROR(__xludf.DUMMYFUNCTION("""COMPUTED_VALUE"""),"Trickster, Novice Guile or Gen Edu")</f>
        <v>Trickster, Novice Guile or Gen Edu</v>
      </c>
      <c r="C491" s="202" t="str">
        <f>IFERROR(__xludf.DUMMYFUNCTION("""COMPUTED_VALUE"""),"Scene x2 - Swift Action")</f>
        <v>Scene x2 - Swift Action</v>
      </c>
      <c r="D491" s="202" t="str">
        <f>IFERROR(__xludf.DUMMYFUNCTION("""COMPUTED_VALUE"""),"Trigger: You inflict a Status Affliction on a single Enemy
Effect: That Enemy gains a Tormented Coat. Whenever an Enemy with a Tormented Coat fails a Save Check, they lose a Tick of Hit Points for each Affliction they’re affected by. If an Enemy were to h"&amp;"ave no Afflictions, their Tormented Coat is expended. 
Bonus: You have +3 Uncapped Evasion against Enemies with your Tormented Coat. ")</f>
        <v>Trigger: You inflict a Status Affliction on a single Enemy
Effect: That Enemy gains a Tormented Coat. Whenever an Enemy with a Tormented Coat fails a Save Check, they lose a Tick of Hit Points for each Affliction they’re affected by. If an Enemy were to have no Afflictions, their Tormented Coat is expended. 
Bonus: You have +3 Uncapped Evasion against Enemies with your Tormented Coat. </v>
      </c>
      <c r="E491" s="203"/>
      <c r="F491" s="204"/>
      <c r="G491" s="204"/>
      <c r="H491" s="204"/>
      <c r="I491" s="204"/>
      <c r="J491" s="203"/>
      <c r="K491" s="205"/>
      <c r="L491" s="205"/>
      <c r="M491" s="205"/>
    </row>
    <row r="492">
      <c r="A492" s="202" t="str">
        <f>IFERROR(__xludf.DUMMYFUNCTION("""COMPUTED_VALUE"""),"Sly Malediction")</f>
        <v>Sly Malediction</v>
      </c>
      <c r="B492" s="202" t="str">
        <f>IFERROR(__xludf.DUMMYFUNCTION("""COMPUTED_VALUE"""),"Trickster, Adept Guile or Gen Edu")</f>
        <v>Trickster, Adept Guile or Gen Edu</v>
      </c>
      <c r="C492" s="202" t="str">
        <f>IFERROR(__xludf.DUMMYFUNCTION("""COMPUTED_VALUE"""),"Scene x2 - Free Action")</f>
        <v>Scene x2 - Free Action</v>
      </c>
      <c r="D492" s="202" t="str">
        <f>IFERROR(__xludf.DUMMYFUNCTION("""COMPUTED_VALUE"""),"Trigger: You succeed the Skill Check for a Manipulate Maneuver other than Analyze or hit a single Enemy with a Social Attack
Effect: Choose an Affliction the opposing Enemy has. They cannot cure that Affliction via Save Checks until the start of your next"&amp;" Turn. Sly Malediction can only affect an Enemy once per Scene.")</f>
        <v>Trigger: You succeed the Skill Check for a Manipulate Maneuver other than Analyze or hit a single Enemy with a Social Attack
Effect: Choose an Affliction the opposing Enemy has. They cannot cure that Affliction via Save Checks until the start of your next Turn. Sly Malediction can only affect an Enemy once per Scene.</v>
      </c>
      <c r="E492" s="203"/>
      <c r="F492" s="204"/>
      <c r="G492" s="204"/>
      <c r="H492" s="204"/>
      <c r="I492" s="204"/>
      <c r="J492" s="203"/>
      <c r="K492" s="205"/>
      <c r="L492" s="205"/>
      <c r="M492" s="205"/>
    </row>
    <row r="493">
      <c r="A493" s="202" t="str">
        <f>IFERROR(__xludf.DUMMYFUNCTION("""COMPUTED_VALUE"""),"Quick Trick")</f>
        <v>Quick Trick</v>
      </c>
      <c r="B493" s="202" t="str">
        <f>IFERROR(__xludf.DUMMYFUNCTION("""COMPUTED_VALUE"""),"Trickster, 2 Trickster Features, Expert Guile or Gen Edu")</f>
        <v>Trickster, 2 Trickster Features, Expert Guile or Gen Edu</v>
      </c>
      <c r="C493" s="202" t="str">
        <f>IFERROR(__xludf.DUMMYFUNCTION("""COMPUTED_VALUE"""),"Static")</f>
        <v>Static</v>
      </c>
      <c r="D493" s="202" t="str">
        <f>IFERROR(__xludf.DUMMYFUNCTION("""COMPUTED_VALUE"""),"Effect: You gain the Prankster Ability.")</f>
        <v>Effect: You gain the Prankster Ability.</v>
      </c>
      <c r="E493" s="203"/>
      <c r="F493" s="204"/>
      <c r="G493" s="204"/>
      <c r="H493" s="204"/>
      <c r="I493" s="204"/>
      <c r="J493" s="203"/>
      <c r="K493" s="205"/>
      <c r="L493" s="205"/>
      <c r="M493" s="205"/>
    </row>
    <row r="494">
      <c r="A494" s="202" t="str">
        <f>IFERROR(__xludf.DUMMYFUNCTION("""COMPUTED_VALUE"""),"Encore Performance")</f>
        <v>Encore Performance</v>
      </c>
      <c r="B494" s="202" t="str">
        <f>IFERROR(__xludf.DUMMYFUNCTION("""COMPUTED_VALUE"""),"Trickster, 3 Trickster Features, Master Guile or Gen Edu")</f>
        <v>Trickster, 3 Trickster Features, Master Guile or Gen Edu</v>
      </c>
      <c r="C494" s="202" t="str">
        <f>IFERROR(__xludf.DUMMYFUNCTION("""COMPUTED_VALUE"""),"Scene x2 - Free Action")</f>
        <v>Scene x2 - Free Action</v>
      </c>
      <c r="D494" s="202" t="str">
        <f>IFERROR(__xludf.DUMMYFUNCTION("""COMPUTED_VALUE"""),"Trigger: You use a Status Attack with the Versatile Keyword as a Standard Action
Effect: After the Triggering Attack resolves, you may use it again as a Swift Action using the Versatile Effect, ignoring the restrictions of the Versatile Keyword and ignori"&amp;"ng its Frequency. A specific Attack can only Trigger this Feature once per Scene.
Bonus: You may use Status Attacks through the Versatile Keyword regardless if you used a Damaging Attack this Round and you may still use Damaging Attacks after resolving an"&amp;" Attack this way.")</f>
        <v>Trigger: You use a Status Attack with the Versatile Keyword as a Standard Action
Effect: After the Triggering Attack resolves, you may use it again as a Swift Action using the Versatile Effect, ignoring the restrictions of the Versatile Keyword and ignoring its Frequency. A specific Attack can only Trigger this Feature once per Scene.
Bonus: You may use Status Attacks through the Versatile Keyword regardless if you used a Damaging Attack this Round and you may still use Damaging Attacks after resolving an Attack this way.</v>
      </c>
      <c r="E494" s="203"/>
      <c r="F494" s="204"/>
      <c r="G494" s="204"/>
      <c r="H494" s="204"/>
      <c r="I494" s="204"/>
      <c r="J494" s="203"/>
      <c r="K494" s="205"/>
      <c r="L494" s="205"/>
      <c r="M494" s="205"/>
    </row>
    <row r="495">
      <c r="A495" s="202" t="str">
        <f>IFERROR(__xludf.DUMMYFUNCTION("""COMPUTED_VALUE"""),"Ruffian")</f>
        <v>Ruffian</v>
      </c>
      <c r="B495" s="202" t="str">
        <f>IFERROR(__xludf.DUMMYFUNCTION("""COMPUTED_VALUE"""),"Prerequisite 1: Provocateur [or]
Prerequisite 2: Adept Command or Intimidate")</f>
        <v>Prerequisite 1: Provocateur [or]
Prerequisite 2: Adept Command or Intimidate</v>
      </c>
      <c r="C495" s="202" t="str">
        <f>IFERROR(__xludf.DUMMYFUNCTION("""COMPUTED_VALUE"""),"At-Will - Free Action")</f>
        <v>At-Will - Free Action</v>
      </c>
      <c r="D495" s="202" t="str">
        <f>IFERROR(__xludf.DUMMYFUNCTION("""COMPUTED_VALUE"""),"Trigger: You hit an Attack or Maneuver
Effect: One Target of the Triggering Attack or Maneuver loses -1 CS in a Stat of your choice. If the Triggering Attack was a Social Attack, it affects all Targets instead. A Combatant may only be affected by this Fea"&amp;"ture once per Round.")</f>
        <v>Trigger: You hit an Attack or Maneuver
Effect: One Target of the Triggering Attack or Maneuver loses -1 CS in a Stat of your choice. If the Triggering Attack was a Social Attack, it affects all Targets instead. A Combatant may only be affected by this Feature once per Round.</v>
      </c>
      <c r="E495" s="203"/>
      <c r="F495" s="204"/>
      <c r="G495" s="204"/>
      <c r="H495" s="204"/>
      <c r="I495" s="204"/>
      <c r="J495" s="203"/>
      <c r="K495" s="205"/>
      <c r="L495" s="205"/>
      <c r="M495" s="205"/>
    </row>
    <row r="496">
      <c r="A496" s="202" t="str">
        <f>IFERROR(__xludf.DUMMYFUNCTION("""COMPUTED_VALUE"""),"Fearsome Force")</f>
        <v>Fearsome Force</v>
      </c>
      <c r="B496" s="202" t="str">
        <f>IFERROR(__xludf.DUMMYFUNCTION("""COMPUTED_VALUE"""),"Ruffian, Novice Command or Intimidate")</f>
        <v>Ruffian, Novice Command or Intimidate</v>
      </c>
      <c r="C496" s="202" t="str">
        <f>IFERROR(__xludf.DUMMYFUNCTION("""COMPUTED_VALUE"""),"Scene x2 - Free Action ")</f>
        <v>Scene x2 - Free Action </v>
      </c>
      <c r="D496" s="202" t="str">
        <f>IFERROR(__xludf.DUMMYFUNCTION("""COMPUTED_VALUE"""),"Trigger: You hit a Social Attack
Effect: After the Triggering Attack resolves, you may use the Terrorize Maneuver against all Targets hit by the Triggering Attack. The Maneuver cannot miss but still performs the Opposed Check.")</f>
        <v>Trigger: You hit a Social Attack
Effect: After the Triggering Attack resolves, you may use the Terrorize Maneuver against all Targets hit by the Triggering Attack. The Maneuver cannot miss but still performs the Opposed Check.</v>
      </c>
      <c r="E496" s="203"/>
      <c r="F496" s="204"/>
      <c r="G496" s="204"/>
      <c r="H496" s="204"/>
      <c r="I496" s="204"/>
      <c r="J496" s="203"/>
      <c r="K496" s="205"/>
      <c r="L496" s="205"/>
      <c r="M496" s="205"/>
    </row>
    <row r="497">
      <c r="A497" s="202" t="str">
        <f>IFERROR(__xludf.DUMMYFUNCTION("""COMPUTED_VALUE"""),"Combat Grit")</f>
        <v>Combat Grit</v>
      </c>
      <c r="B497" s="202" t="str">
        <f>IFERROR(__xludf.DUMMYFUNCTION("""COMPUTED_VALUE"""),"Ruffian, Adept Command or Intimidate")</f>
        <v>Ruffian, Adept Command or Intimidate</v>
      </c>
      <c r="C497" s="202" t="str">
        <f>IFERROR(__xludf.DUMMYFUNCTION("""COMPUTED_VALUE"""),"At-Will - Free Action")</f>
        <v>At-Will - Free Action</v>
      </c>
      <c r="D497" s="202" t="str">
        <f>IFERROR(__xludf.DUMMYFUNCTION("""COMPUTED_VALUE"""),"Trigger: You’re hit by a Damaging Attack or hit a Damaging Attack
Effect: After the Triggering Attack resolves, you gain +1 Grit Counter. You may have a Maximum number of Grit Counters equal to double your Tier Level.
Bonus: For each Grit Counter you have"&amp;", you have +5 Damage Reduction. Whenever you restore Hit Points or gain a Status Affliction, you lose half your Grit Counters (Rounded Up).")</f>
        <v>Trigger: You’re hit by a Damaging Attack or hit a Damaging Attack
Effect: After the Triggering Attack resolves, you gain +1 Grit Counter. You may have a Maximum number of Grit Counters equal to double your Tier Level.
Bonus: For each Grit Counter you have, you have +5 Damage Reduction. Whenever you restore Hit Points or gain a Status Affliction, you lose half your Grit Counters (Rounded Up).</v>
      </c>
      <c r="E497" s="203"/>
      <c r="F497" s="204"/>
      <c r="G497" s="204"/>
      <c r="H497" s="204"/>
      <c r="I497" s="204"/>
      <c r="J497" s="203"/>
      <c r="K497" s="205"/>
      <c r="L497" s="205"/>
      <c r="M497" s="205"/>
    </row>
    <row r="498">
      <c r="A498" s="202" t="str">
        <f>IFERROR(__xludf.DUMMYFUNCTION("""COMPUTED_VALUE"""),"Shrug Off")</f>
        <v>Shrug Off</v>
      </c>
      <c r="B498" s="202" t="str">
        <f>IFERROR(__xludf.DUMMYFUNCTION("""COMPUTED_VALUE"""),"Ruffian, 2 Roughneck Features, Expert Command or Intimidate")</f>
        <v>Ruffian, 2 Roughneck Features, Expert Command or Intimidate</v>
      </c>
      <c r="C498" s="202" t="str">
        <f>IFERROR(__xludf.DUMMYFUNCTION("""COMPUTED_VALUE"""),"Scene x2 - Swift Action")</f>
        <v>Scene x2 - Swift Action</v>
      </c>
      <c r="D498" s="202" t="str">
        <f>IFERROR(__xludf.DUMMYFUNCTION("""COMPUTED_VALUE"""),"Effect: Choose one of the following Effects to apply. If the user is below 50% Hit Points, this doesn’t expend the Frequency of Shrug Off.
» The user gains a Tick of Temporary Hit Points
» The user is cured of a Physical Status Affliction
» The user remo"&amp;"ves a Coat or Mark affecting them")</f>
        <v>Effect: Choose one of the following Effects to apply. If the user is below 50% Hit Points, this doesn’t expend the Frequency of Shrug Off.
» The user gains a Tick of Temporary Hit Points
» The user is cured of a Physical Status Affliction
» The user removes a Coat or Mark affecting them</v>
      </c>
      <c r="E498" s="203"/>
      <c r="F498" s="204"/>
      <c r="G498" s="204"/>
      <c r="H498" s="204"/>
      <c r="I498" s="204"/>
      <c r="J498" s="203"/>
      <c r="K498" s="205"/>
      <c r="L498" s="205"/>
      <c r="M498" s="205"/>
    </row>
    <row r="499">
      <c r="A499" s="202" t="str">
        <f>IFERROR(__xludf.DUMMYFUNCTION("""COMPUTED_VALUE"""),"Not even a Scratch")</f>
        <v>Not even a Scratch</v>
      </c>
      <c r="B499" s="202" t="str">
        <f>IFERROR(__xludf.DUMMYFUNCTION("""COMPUTED_VALUE"""),"Ruffian, 3 Roughneck Features, Master Command or Intimidate")</f>
        <v>Ruffian, 3 Roughneck Features, Master Command or Intimidate</v>
      </c>
      <c r="C499" s="202" t="str">
        <f>IFERROR(__xludf.DUMMYFUNCTION("""COMPUTED_VALUE"""),"Scene - Reaction")</f>
        <v>Scene - Reaction</v>
      </c>
      <c r="D499" s="202" t="str">
        <f>IFERROR(__xludf.DUMMYFUNCTION("""COMPUTED_VALUE"""),"Trigger: You would Faint
Effect: You are instead set to 1 Hit Point. If you have any Grit Counters, they may all be removed and you gain a Tick of Temporary Hit Points equal to the number removed, however these Temporary Hit Points are removed at the star"&amp;"t of your next Turn.")</f>
        <v>Trigger: You would Faint
Effect: You are instead set to 1 Hit Point. If you have any Grit Counters, they may all be removed and you gain a Tick of Temporary Hit Points equal to the number removed, however these Temporary Hit Points are removed at the start of your next Turn.</v>
      </c>
      <c r="E499" s="203"/>
      <c r="F499" s="204"/>
      <c r="G499" s="204"/>
      <c r="H499" s="204"/>
      <c r="I499" s="204"/>
      <c r="J499" s="203"/>
      <c r="K499" s="205"/>
      <c r="L499" s="205"/>
      <c r="M499" s="205"/>
    </row>
    <row r="500">
      <c r="A500" s="202" t="str">
        <f>IFERROR(__xludf.DUMMYFUNCTION("""COMPUTED_VALUE"""),"Esper")</f>
        <v>Esper</v>
      </c>
      <c r="B500" s="202" t="str">
        <f>IFERROR(__xludf.DUMMYFUNCTION("""COMPUTED_VALUE"""),"Prerequisite 1: Occult Researcher or Mystic
Prerequisite 2: Adept Focus, Novice Occult Edu")</f>
        <v>Prerequisite 1: Occult Researcher or Mystic
Prerequisite 2: Adept Focus, Novice Occult Edu</v>
      </c>
      <c r="C500" s="202" t="str">
        <f>IFERROR(__xludf.DUMMYFUNCTION("""COMPUTED_VALUE"""),"Static ")</f>
        <v>Static </v>
      </c>
      <c r="D500" s="202" t="str">
        <f>IFERROR(__xludf.DUMMYFUNCTION("""COMPUTED_VALUE"""),"Effect: Choose two of Cognition Strike, Hypnosis, Psybeam, or Psychic Terrain. You learn the chosen Attacks. When you have 4 Esper Features, choose two of Psycho Cut, Psychic, Psychic Storm or Psionic Surge. You learn the chosen Attacks. ")</f>
        <v>Effect: Choose two of Cognition Strike, Hypnosis, Psybeam, or Psychic Terrain. You learn the chosen Attacks. When you have 4 Esper Features, choose two of Psycho Cut, Psychic, Psychic Storm or Psionic Surge. You learn the chosen Attacks. </v>
      </c>
      <c r="E500" s="203"/>
      <c r="F500" s="204"/>
      <c r="G500" s="204"/>
      <c r="H500" s="204"/>
      <c r="I500" s="204"/>
      <c r="J500" s="203"/>
      <c r="K500" s="205"/>
      <c r="L500" s="205"/>
      <c r="M500" s="205"/>
    </row>
    <row r="501">
      <c r="A501" s="202" t="str">
        <f>IFERROR(__xludf.DUMMYFUNCTION("""COMPUTED_VALUE"""),"Psionic Prowess")</f>
        <v>Psionic Prowess</v>
      </c>
      <c r="B501" s="202" t="str">
        <f>IFERROR(__xludf.DUMMYFUNCTION("""COMPUTED_VALUE"""),"Esper, Novice Focus or Occult Edu")</f>
        <v>Esper, Novice Focus or Occult Edu</v>
      </c>
      <c r="C501" s="202" t="str">
        <f>IFERROR(__xludf.DUMMYFUNCTION("""COMPUTED_VALUE"""),"Static")</f>
        <v>Static</v>
      </c>
      <c r="D501" s="202" t="str">
        <f>IFERROR(__xludf.DUMMYFUNCTION("""COMPUTED_VALUE"""),"Effect: Choose a Capability to gain along with the associated Attack in its parenthesis. 
»  Dream Reader (Dream Illusion), Empath (Psycho Shift), Mender (Heal Pulse), Mindlock (Calm Mind), Mind Weaver (Disable), Premonition (Mind Reader), Telepath (Impri"&amp;"son), Telekinetic (Telekinesis), Teleporter (Teleport),  Wallshaper (Barrier)")</f>
        <v>Effect: Choose a Capability to gain along with the associated Attack in its parenthesis. 
»  Dream Reader (Dream Illusion), Empath (Psycho Shift), Mender (Heal Pulse), Mindlock (Calm Mind), Mind Weaver (Disable), Premonition (Mind Reader), Telepath (Imprison), Telekinetic (Telekinesis), Teleporter (Teleport),  Wallshaper (Barrier)</v>
      </c>
      <c r="E501" s="203"/>
      <c r="F501" s="204"/>
      <c r="G501" s="204"/>
      <c r="H501" s="204"/>
      <c r="I501" s="204"/>
      <c r="J501" s="203"/>
      <c r="K501" s="205"/>
      <c r="L501" s="205"/>
      <c r="M501" s="205"/>
    </row>
    <row r="502">
      <c r="A502" s="202" t="str">
        <f>IFERROR(__xludf.DUMMYFUNCTION("""COMPUTED_VALUE"""),"PK Force")</f>
        <v>PK Force</v>
      </c>
      <c r="B502" s="202" t="str">
        <f>IFERROR(__xludf.DUMMYFUNCTION("""COMPUTED_VALUE"""),"Esper, Adept Focus or Occult Edu")</f>
        <v>Esper, Adept Focus or Occult Edu</v>
      </c>
      <c r="C502" s="202" t="str">
        <f>IFERROR(__xludf.DUMMYFUNCTION("""COMPUTED_VALUE"""),"Scene x2 - Swift Action,")</f>
        <v>Scene x2 - Swift Action,</v>
      </c>
      <c r="D502" s="202" t="str">
        <f>IFERROR(__xludf.DUMMYFUNCTION("""COMPUTED_VALUE"""),"Trigger: You resolve a Psychic Type Attack on your Turn that Targets an Enemy
Effect: Apply one of the Effects below:
» All Targets Slide up to 3m in any direction away from you
» All Targets lose -2 CS in Special Defense, or -3 if it is positive.
» Y"&amp;"ou may perform a Disarm, Hinder or Trip Maneuver as a Free Action against all Targets hit by the Triggering Attack, ignoring range. When performing the opposed roll, you must use either Focus or Occult Edu. An Enemy can only be affected by this Effect onc"&amp;"e per Scene. 
")</f>
        <v>Trigger: You resolve a Psychic Type Attack on your Turn that Targets an Enemy
Effect: Apply one of the Effects below:
» All Targets Slide up to 3m in any direction away from you
» All Targets lose -2 CS in Special Defense, or -3 if it is positive.
» You may perform a Disarm, Hinder or Trip Maneuver as a Free Action against all Targets hit by the Triggering Attack, ignoring range. When performing the opposed roll, you must use either Focus or Occult Edu. An Enemy can only be affected by this Effect once per Scene. 
</v>
      </c>
      <c r="E502" s="203"/>
      <c r="F502" s="204"/>
      <c r="G502" s="204"/>
      <c r="H502" s="204"/>
      <c r="I502" s="204"/>
      <c r="J502" s="203"/>
      <c r="K502" s="205"/>
      <c r="L502" s="205"/>
      <c r="M502" s="205"/>
    </row>
    <row r="503">
      <c r="A503" s="202" t="str">
        <f>IFERROR(__xludf.DUMMYFUNCTION("""COMPUTED_VALUE"""),"Mental Shield")</f>
        <v>Mental Shield</v>
      </c>
      <c r="B503" s="202" t="str">
        <f>IFERROR(__xludf.DUMMYFUNCTION("""COMPUTED_VALUE"""),"Esper, Expert Focus or Occult Edu")</f>
        <v>Esper, Expert Focus or Occult Edu</v>
      </c>
      <c r="C503" s="202" t="str">
        <f>IFERROR(__xludf.DUMMYFUNCTION("""COMPUTED_VALUE"""),"Scene x2 - Reaction")</f>
        <v>Scene x2 - Reaction</v>
      </c>
      <c r="D503" s="202" t="str">
        <f>IFERROR(__xludf.DUMMYFUNCTION("""COMPUTED_VALUE"""),"Trigger: You or an Ally within 3m gain a Mental Affliction or are hit with a Special Category Attack
Effect: If the Trigger was gaining a Mental Affliction, the Triggering Combatant automatically passes their next Save Check. If the Trigger was being hit "&amp;"by a Special Category Attack, you may use your Special Attack Stat towards Damage Calculations instead of the Triggering Combatant’s Special Defense")</f>
        <v>Trigger: You or an Ally within 3m gain a Mental Affliction or are hit with a Special Category Attack
Effect: If the Trigger was gaining a Mental Affliction, the Triggering Combatant automatically passes their next Save Check. If the Trigger was being hit by a Special Category Attack, you may use your Special Attack Stat towards Damage Calculations instead of the Triggering Combatant’s Special Defense</v>
      </c>
      <c r="E503" s="203"/>
      <c r="F503" s="204"/>
      <c r="G503" s="204"/>
      <c r="H503" s="204"/>
      <c r="I503" s="204"/>
      <c r="J503" s="203"/>
      <c r="K503" s="205"/>
      <c r="L503" s="205"/>
      <c r="M503" s="205"/>
    </row>
    <row r="504">
      <c r="A504" s="202" t="str">
        <f>IFERROR(__xludf.DUMMYFUNCTION("""COMPUTED_VALUE"""),"Metaphysical Mastery")</f>
        <v>Metaphysical Mastery</v>
      </c>
      <c r="B504" s="202" t="str">
        <f>IFERROR(__xludf.DUMMYFUNCTION("""COMPUTED_VALUE"""),"Psionic Prowess, Master Focus or Occult Edu ")</f>
        <v>Psionic Prowess, Master Focus or Occult Edu </v>
      </c>
      <c r="C504" s="202" t="str">
        <f>IFERROR(__xludf.DUMMYFUNCTION("""COMPUTED_VALUE"""),"Static")</f>
        <v>Static</v>
      </c>
      <c r="D504" s="202" t="str">
        <f>IFERROR(__xludf.DUMMYFUNCTION("""COMPUTED_VALUE"""),"Effect: Choose two of Psycho Boost, Psycho Slash, Psionic Boost or Mirror Coat. You learn the chosen Attacks. In addition, you gain another Capability from the Psionic Prowess Feature and its associated Attack.  ")</f>
        <v>Effect: Choose two of Psycho Boost, Psycho Slash, Psionic Boost or Mirror Coat. You learn the chosen Attacks. In addition, you gain another Capability from the Psionic Prowess Feature and its associated Attack.  </v>
      </c>
      <c r="E504" s="203"/>
      <c r="F504" s="204"/>
      <c r="G504" s="204"/>
      <c r="H504" s="204"/>
      <c r="I504" s="204"/>
      <c r="J504" s="203"/>
      <c r="K504" s="205"/>
      <c r="L504" s="205"/>
      <c r="M504" s="205"/>
    </row>
    <row r="505">
      <c r="A505" s="202" t="str">
        <f>IFERROR(__xludf.DUMMYFUNCTION("""COMPUTED_VALUE"""),"Mystic")</f>
        <v>Mystic</v>
      </c>
      <c r="B505" s="202" t="str">
        <f>IFERROR(__xludf.DUMMYFUNCTION("""COMPUTED_VALUE"""),"Novice Occult Edu or Focus")</f>
        <v>Novice Occult Edu or Focus</v>
      </c>
      <c r="C505" s="202" t="str">
        <f>IFERROR(__xludf.DUMMYFUNCTION("""COMPUTED_VALUE"""),"Static")</f>
        <v>Static</v>
      </c>
      <c r="D505" s="202" t="str">
        <f>IFERROR(__xludf.DUMMYFUNCTION("""COMPUTED_VALUE"""),"Effect: You learn two Novice Weapon Attacks with the Requirement of [Arcane] Only or two Attacks from the Psionic Combat Features’ Novice Attack List or one Attack from each list. When you have 4 Mystic Features, you learn two more from the Advanced Weapo"&amp;"n list with the same requirement or from the Psionic Combat Features Expert Attack List. Weapon Attacks learned this way can be used through a qualifying Weapon as if it was granted through them or as if the Weapon Range was 6 and usable without a Weapon."&amp;"  
Novice Arcane Weapon Attacks - Arcane Fury, Bane, Energy Blast, Healing Aura, Rending Spell, Resonance Beam 
Advanced Arcane Weapon Attacks - Empowerment, Missile Shot, Magical Burst, Mirror Coat, Mystic Ward, Shield
Psionic Combat Novice Attacks - Ca"&amp;"lm Mind, Cosmic Power, Light Screen, Reflect, Safeguard 
Psionic Combat Expert Attacks - Barrier, Imprison, Heal Pulse, Hypnosis, Kinesis, Mirror Coat")</f>
        <v>Effect: You learn two Novice Weapon Attacks with the Requirement of [Arcane] Only or two Attacks from the Psionic Combat Features’ Novice Attack List or one Attack from each list. When you have 4 Mystic Features, you learn two more from the Advanced Weapon list with the same requirement or from the Psionic Combat Features Expert Attack List. Weapon Attacks learned this way can be used through a qualifying Weapon as if it was granted through them or as if the Weapon Range was 6 and usable without a Weapon.  
Novice Arcane Weapon Attacks - Arcane Fury, Bane, Energy Blast, Healing Aura, Rending Spell, Resonance Beam 
Advanced Arcane Weapon Attacks - Empowerment, Missile Shot, Magical Burst, Mirror Coat, Mystic Ward, Shield
Psionic Combat Novice Attacks - Calm Mind, Cosmic Power, Light Screen, Reflect, Safeguard 
Psionic Combat Expert Attacks - Barrier, Imprison, Heal Pulse, Hypnosis, Kinesis, Mirror Coat</v>
      </c>
      <c r="E505" s="203"/>
      <c r="F505" s="204"/>
      <c r="G505" s="204"/>
      <c r="H505" s="204"/>
      <c r="I505" s="204"/>
      <c r="J505" s="203"/>
      <c r="K505" s="205"/>
      <c r="L505" s="205"/>
      <c r="M505" s="205"/>
    </row>
    <row r="506">
      <c r="A506" s="202" t="str">
        <f>IFERROR(__xludf.DUMMYFUNCTION("""COMPUTED_VALUE"""),"Arcane Alteration")</f>
        <v>Arcane Alteration</v>
      </c>
      <c r="B506" s="202" t="str">
        <f>IFERROR(__xludf.DUMMYFUNCTION("""COMPUTED_VALUE"""),"Mystic, Novice Occult Edu or Focus")</f>
        <v>Mystic, Novice Occult Edu or Focus</v>
      </c>
      <c r="C506" s="202" t="str">
        <f>IFERROR(__xludf.DUMMYFUNCTION("""COMPUTED_VALUE"""),"Scene x3 - Swift Action")</f>
        <v>Scene x3 - Swift Action</v>
      </c>
      <c r="D506" s="202" t="str">
        <f>IFERROR(__xludf.DUMMYFUNCTION("""COMPUTED_VALUE"""),"Trigger: You use a Special Attack
Effect: Apply a Mystic Technique to the Triggering Attack.
Note: Some Mystic Techniques can stack their effects if applied to an Attack multiple times. 
*See Techniques - Mystic")</f>
        <v>Trigger: You use a Special Attack
Effect: Apply a Mystic Technique to the Triggering Attack.
Note: Some Mystic Techniques can stack their effects if applied to an Attack multiple times. 
*See Techniques - Mystic</v>
      </c>
      <c r="E506" s="203"/>
      <c r="F506" s="204"/>
      <c r="G506" s="204"/>
      <c r="H506" s="204"/>
      <c r="I506" s="204"/>
      <c r="J506" s="203"/>
      <c r="K506" s="205"/>
      <c r="L506" s="205"/>
      <c r="M506" s="205"/>
    </row>
    <row r="507">
      <c r="A507" s="202" t="str">
        <f>IFERROR(__xludf.DUMMYFUNCTION("""COMPUTED_VALUE"""),"Channeled Mysticism")</f>
        <v>Channeled Mysticism</v>
      </c>
      <c r="B507" s="202" t="str">
        <f>IFERROR(__xludf.DUMMYFUNCTION("""COMPUTED_VALUE"""),"Arcane Alteration, Adept Occult Edu or Focus
")</f>
        <v>Arcane Alteration, Adept Occult Edu or Focus
</v>
      </c>
      <c r="C507" s="202" t="str">
        <f>IFERROR(__xludf.DUMMYFUNCTION("""COMPUTED_VALUE"""),"At-Will - Reaction")</f>
        <v>At-Will - Reaction</v>
      </c>
      <c r="D507" s="202" t="str">
        <f>IFERROR(__xludf.DUMMYFUNCTION("""COMPUTED_VALUE"""),"Trigger: An Ally within 3m uses a Special Attack
Effect: Apply a Mystic Technique to the Triggering Attack. ")</f>
        <v>Trigger: An Ally within 3m uses a Special Attack
Effect: Apply a Mystic Technique to the Triggering Attack. </v>
      </c>
      <c r="E507" s="203"/>
      <c r="F507" s="204"/>
      <c r="G507" s="204"/>
      <c r="H507" s="204"/>
      <c r="I507" s="204"/>
      <c r="J507" s="203"/>
      <c r="K507" s="205"/>
      <c r="L507" s="205"/>
      <c r="M507" s="205"/>
    </row>
    <row r="508">
      <c r="A508" s="202" t="str">
        <f>IFERROR(__xludf.DUMMYFUNCTION("""COMPUTED_VALUE"""),"Mystical Style")</f>
        <v>Mystical Style</v>
      </c>
      <c r="B508" s="202" t="str">
        <f>IFERROR(__xludf.DUMMYFUNCTION("""COMPUTED_VALUE"""),"Mystic, 2 Mystic Features, Expert Occult Edu or Focus")</f>
        <v>Mystic, 2 Mystic Features, Expert Occult Edu or Focus</v>
      </c>
      <c r="C508" s="202" t="str">
        <f>IFERROR(__xludf.DUMMYFUNCTION("""COMPUTED_VALUE"""),"Static")</f>
        <v>Static</v>
      </c>
      <c r="D508" s="202" t="str">
        <f>IFERROR(__xludf.DUMMYFUNCTION("""COMPUTED_VALUE"""),"Effect: Choose a Mystical Style to gain its associated Ability in parenthesis. 
» Archaic (Sorcery), Overflowing (Magical Surge), Tactical (Mental Force), Warding (Magic Guard), Willpower (Mysticism)")</f>
        <v>Effect: Choose a Mystical Style to gain its associated Ability in parenthesis. 
» Archaic (Sorcery), Overflowing (Magical Surge), Tactical (Mental Force), Warding (Magic Guard), Willpower (Mysticism)</v>
      </c>
      <c r="E508" s="203"/>
      <c r="F508" s="204"/>
      <c r="G508" s="204"/>
      <c r="H508" s="204"/>
      <c r="I508" s="204"/>
      <c r="J508" s="203"/>
      <c r="K508" s="205"/>
      <c r="L508" s="205"/>
      <c r="M508" s="205"/>
    </row>
    <row r="509">
      <c r="A509" s="202" t="str">
        <f>IFERROR(__xludf.DUMMYFUNCTION("""COMPUTED_VALUE"""),"Magical Mastery")</f>
        <v>Magical Mastery</v>
      </c>
      <c r="B509" s="202" t="str">
        <f>IFERROR(__xludf.DUMMYFUNCTION("""COMPUTED_VALUE"""),"Arcane Alteration, Master Occult Edu or Focus")</f>
        <v>Arcane Alteration, Master Occult Edu or Focus</v>
      </c>
      <c r="C509" s="202" t="str">
        <f>IFERROR(__xludf.DUMMYFUNCTION("""COMPUTED_VALUE"""),"Bind 2 - Extended Action")</f>
        <v>Bind 2 - Extended Action</v>
      </c>
      <c r="D509" s="202" t="str">
        <f>IFERROR(__xludf.DUMMYFUNCTION("""COMPUTED_VALUE"""),"Target: A Special Attack you know and a Mystic Technique
Effect: While the Targeted Attack is bound by this Feature, they may choose to apply the targeted Mystic Technique as a At-Will - Free Action whenever it is used. ")</f>
        <v>Target: A Special Attack you know and a Mystic Technique
Effect: While the Targeted Attack is bound by this Feature, they may choose to apply the targeted Mystic Technique as a At-Will - Free Action whenever it is used. </v>
      </c>
      <c r="E509" s="203"/>
      <c r="F509" s="204"/>
      <c r="G509" s="204"/>
      <c r="H509" s="204"/>
      <c r="I509" s="204"/>
      <c r="J509" s="203"/>
      <c r="K509" s="205"/>
      <c r="L509" s="205"/>
      <c r="M509" s="205"/>
    </row>
    <row r="510">
      <c r="A510" s="202" t="str">
        <f>IFERROR(__xludf.DUMMYFUNCTION("""COMPUTED_VALUE"""),"Sage")</f>
        <v>Sage</v>
      </c>
      <c r="B510" s="202" t="str">
        <f>IFERROR(__xludf.DUMMYFUNCTION("""COMPUTED_VALUE"""),"Prerequisite 1: Occult Researcher or Mystic
Prerequisite 2: Adept Occult Edu, Novice Focus")</f>
        <v>Prerequisite 1: Occult Researcher or Mystic
Prerequisite 2: Adept Occult Edu, Novice Focus</v>
      </c>
      <c r="C510" s="202" t="str">
        <f>IFERROR(__xludf.DUMMYFUNCTION("""COMPUTED_VALUE"""),"At-Will - Special
")</f>
        <v>At-Will - Special
</v>
      </c>
      <c r="D510" s="202" t="str">
        <f>IFERROR(__xludf.DUMMYFUNCTION("""COMPUTED_VALUE"""),"Trigger: You or an Ally within 5m would take Damage
Effect: Expend an Action listed below and apply its effects to all Combatants hit by the Triggering Attack
» Standard - All Targets resist the Triggering Attack by an additional damage step  
» Swift or "&amp;"Reaction - They gain Damage Reduction against it equal to your Tier Value. If you expend both a Swift and Reaction, it is instead double your Tier Value.")</f>
        <v>Trigger: You or an Ally within 5m would take Damage
Effect: Expend an Action listed below and apply its effects to all Combatants hit by the Triggering Attack
» Standard - All Targets resist the Triggering Attack by an additional damage step  
» Swift or Reaction - They gain Damage Reduction against it equal to your Tier Value. If you expend both a Swift and Reaction, it is instead double your Tier Value.</v>
      </c>
      <c r="E510" s="203"/>
      <c r="F510" s="204"/>
      <c r="G510" s="204"/>
      <c r="H510" s="204"/>
      <c r="I510" s="204"/>
      <c r="J510" s="203"/>
      <c r="K510" s="205"/>
      <c r="L510" s="205"/>
      <c r="M510" s="205"/>
    </row>
    <row r="511">
      <c r="A511" s="202" t="str">
        <f>IFERROR(__xludf.DUMMYFUNCTION("""COMPUTED_VALUE"""),"Abjurative Research ")</f>
        <v>Abjurative Research </v>
      </c>
      <c r="B511" s="202" t="str">
        <f>IFERROR(__xludf.DUMMYFUNCTION("""COMPUTED_VALUE"""),"Sage, Novice Occult Edu or Focus")</f>
        <v>Sage, Novice Occult Edu or Focus</v>
      </c>
      <c r="C511" s="202" t="str">
        <f>IFERROR(__xludf.DUMMYFUNCTION("""COMPUTED_VALUE"""),"Static ")</f>
        <v>Static </v>
      </c>
      <c r="D511" s="202" t="str">
        <f>IFERROR(__xludf.DUMMYFUNCTION("""COMPUTED_VALUE"""),"Effect: You may learn two Attacks from the Novice Attack List below. Once you have 4 Sage Features you learn the other two Attacks from the Novice List and one Attack from the Expert Attack List below. 
» Novice - Light Screen, Lucky Chant, Reflect, Safe"&amp;"guard
» Expert - Heal Bell, Mystic Circle, Protect, Wish")</f>
        <v>Effect: You may learn two Attacks from the Novice Attack List below. Once you have 4 Sage Features you learn the other two Attacks from the Novice List and one Attack from the Expert Attack List below. 
» Novice - Light Screen, Lucky Chant, Reflect, Safeguard
» Expert - Heal Bell, Mystic Circle, Protect, Wish</v>
      </c>
      <c r="E511" s="203"/>
      <c r="F511" s="204"/>
      <c r="G511" s="204"/>
      <c r="H511" s="204"/>
      <c r="I511" s="204"/>
      <c r="J511" s="203"/>
      <c r="K511" s="205"/>
      <c r="L511" s="205"/>
      <c r="M511" s="205"/>
    </row>
    <row r="512">
      <c r="A512" s="202" t="str">
        <f>IFERROR(__xludf.DUMMYFUNCTION("""COMPUTED_VALUE"""),"Protective Ward")</f>
        <v>Protective Ward</v>
      </c>
      <c r="B512" s="202" t="str">
        <f>IFERROR(__xludf.DUMMYFUNCTION("""COMPUTED_VALUE"""),"Sage, Adept Occult Edu or Focus")</f>
        <v>Sage, Adept Occult Edu or Focus</v>
      </c>
      <c r="C512" s="202" t="str">
        <f>IFERROR(__xludf.DUMMYFUNCTION("""COMPUTED_VALUE"""),"Scene x2 - Free Action ")</f>
        <v>Scene x2 - Free Action </v>
      </c>
      <c r="D512" s="202" t="str">
        <f>IFERROR(__xludf.DUMMYFUNCTION("""COMPUTED_VALUE"""),"Trigger: An Ally gains Damage Reduction as a result of the Sage Feature
Effect: The amount of DR they gained against the Attack persists until the start of your next Turn or end of their next Turn, whichever comes second. For this duration, they also have"&amp;" a bonus to Save Checks equal to your Tier Level.")</f>
        <v>Trigger: An Ally gains Damage Reduction as a result of the Sage Feature
Effect: The amount of DR they gained against the Attack persists until the start of your next Turn or end of their next Turn, whichever comes second. For this duration, they also have a bonus to Save Checks equal to your Tier Level.</v>
      </c>
      <c r="E512" s="203"/>
      <c r="F512" s="204"/>
      <c r="G512" s="204"/>
      <c r="H512" s="204"/>
      <c r="I512" s="204"/>
      <c r="J512" s="203"/>
      <c r="K512" s="205"/>
      <c r="L512" s="205"/>
      <c r="M512" s="205"/>
    </row>
    <row r="513">
      <c r="A513" s="202" t="str">
        <f>IFERROR(__xludf.DUMMYFUNCTION("""COMPUTED_VALUE"""),"Sacred Studies")</f>
        <v>Sacred Studies</v>
      </c>
      <c r="B513" s="202" t="str">
        <f>IFERROR(__xludf.DUMMYFUNCTION("""COMPUTED_VALUE"""),"Sage, Expert Occult Edu or Focus")</f>
        <v>Sage, Expert Occult Edu or Focus</v>
      </c>
      <c r="C513" s="202" t="str">
        <f>IFERROR(__xludf.DUMMYFUNCTION("""COMPUTED_VALUE"""),"Static")</f>
        <v>Static</v>
      </c>
      <c r="D513" s="202" t="str">
        <f>IFERROR(__xludf.DUMMYFUNCTION("""COMPUTED_VALUE"""),"Effect: Choose a Sacred Study to gain its associated Ability in parenthesis. 
» Blessings (Blessed Touch), Revitalization (Natural Cure), Tranquility (Gentle Vibe), Warding (Magic Guard)")</f>
        <v>Effect: Choose a Sacred Study to gain its associated Ability in parenthesis. 
» Blessings (Blessed Touch), Revitalization (Natural Cure), Tranquility (Gentle Vibe), Warding (Magic Guard)</v>
      </c>
      <c r="E513" s="203"/>
      <c r="F513" s="204"/>
      <c r="G513" s="204"/>
      <c r="H513" s="204"/>
      <c r="I513" s="204"/>
      <c r="J513" s="203"/>
      <c r="K513" s="205"/>
      <c r="L513" s="205"/>
      <c r="M513" s="205"/>
    </row>
    <row r="514">
      <c r="A514" s="202" t="str">
        <f>IFERROR(__xludf.DUMMYFUNCTION("""COMPUTED_VALUE"""),"Reactive Shielding")</f>
        <v>Reactive Shielding</v>
      </c>
      <c r="B514" s="202" t="str">
        <f>IFERROR(__xludf.DUMMYFUNCTION("""COMPUTED_VALUE"""),"Abjurative Research, Master Occult Edu or Focus")</f>
        <v>Abjurative Research, Master Occult Edu or Focus</v>
      </c>
      <c r="C514" s="202" t="str">
        <f>IFERROR(__xludf.DUMMYFUNCTION("""COMPUTED_VALUE"""),"Scene x2 - Reaction")</f>
        <v>Scene x2 - Reaction</v>
      </c>
      <c r="D514" s="202" t="str">
        <f>IFERROR(__xludf.DUMMYFUNCTION("""COMPUTED_VALUE"""),"Trigger: You or an Ally gains an Affliction, misses an Attack, or is hit by a Damaging Attack
Effect: If the Trigger was gaining an Affliction, it becomes cured. If it was missing an Attack, it instead hits. If it was being hit by a Damaging Attack, it is"&amp;" resisted by an additional damage step. ")</f>
        <v>Trigger: You or an Ally gains an Affliction, misses an Attack, or is hit by a Damaging Attack
Effect: If the Trigger was gaining an Affliction, it becomes cured. If it was missing an Attack, it instead hits. If it was being hit by a Damaging Attack, it is resisted by an additional damage step. </v>
      </c>
      <c r="E514" s="203"/>
      <c r="F514" s="204"/>
      <c r="G514" s="204"/>
      <c r="H514" s="204"/>
      <c r="I514" s="204"/>
      <c r="J514" s="203"/>
      <c r="K514" s="205"/>
      <c r="L514" s="205"/>
      <c r="M514" s="205"/>
    </row>
    <row r="515">
      <c r="A515" s="202" t="str">
        <f>IFERROR(__xludf.DUMMYFUNCTION("""COMPUTED_VALUE"""),"Hex Maniac")</f>
        <v>Hex Maniac</v>
      </c>
      <c r="B515" s="202" t="str">
        <f>IFERROR(__xludf.DUMMYFUNCTION("""COMPUTED_VALUE"""),"Prerequisite 1: Occult Researcher or Mystic
Prerequisite 2: Adept Occult Edu, Novice Intimidate")</f>
        <v>Prerequisite 1: Occult Researcher or Mystic
Prerequisite 2: Adept Occult Edu, Novice Intimidate</v>
      </c>
      <c r="C515" s="202" t="str">
        <f>IFERROR(__xludf.DUMMYFUNCTION("""COMPUTED_VALUE"""),"At-Will - Free Action")</f>
        <v>At-Will - Free Action</v>
      </c>
      <c r="D515" s="202" t="str">
        <f>IFERROR(__xludf.DUMMYFUNCTION("""COMPUTED_VALUE"""),"Trigger: An Enemy within 5m misses an Attack
Effect: The Target gains a Hexed Coat. While they have this Coat each time they fail a Save Check, they have their Stat with the highest CS lowered by -2 CS. (Choose on tie)
Bonus: Choose two Attacks to learn. "&amp;"When you have 5 Hex Maniac Features, you learn the ones you didn’t choose.
» Confuse Ray, Curse, Haunting Aura, Malice")</f>
        <v>Trigger: An Enemy within 5m misses an Attack
Effect: The Target gains a Hexed Coat. While they have this Coat each time they fail a Save Check, they have their Stat with the highest CS lowered by -2 CS. (Choose on tie)
Bonus: Choose two Attacks to learn. When you have 5 Hex Maniac Features, you learn the ones you didn’t choose.
» Confuse Ray, Curse, Haunting Aura, Malice</v>
      </c>
      <c r="E515" s="203"/>
      <c r="F515" s="204"/>
      <c r="G515" s="204"/>
      <c r="H515" s="204"/>
      <c r="I515" s="204"/>
      <c r="J515" s="203"/>
      <c r="K515" s="205"/>
      <c r="L515" s="205"/>
      <c r="M515" s="205"/>
    </row>
    <row r="516">
      <c r="A516" s="202" t="str">
        <f>IFERROR(__xludf.DUMMYFUNCTION("""COMPUTED_VALUE"""),"Witchcraft Curses [Rank 1]")</f>
        <v>Witchcraft Curses [Rank 1]</v>
      </c>
      <c r="B516" s="202" t="str">
        <f>IFERROR(__xludf.DUMMYFUNCTION("""COMPUTED_VALUE"""),"Hex Maniac, Novice Occult Edu or Intimidate")</f>
        <v>Hex Maniac, Novice Occult Edu or Intimidate</v>
      </c>
      <c r="C516" s="202" t="str">
        <f>IFERROR(__xludf.DUMMYFUNCTION("""COMPUTED_VALUE"""),"Static")</f>
        <v>Static</v>
      </c>
      <c r="D516" s="202" t="str">
        <f>IFERROR(__xludf.DUMMYFUNCTION("""COMPUTED_VALUE"""),"Effect: For each Rank, choose two Witchcraft Techniques to learn. Whenever you cause an Enemy to gain a Hexed Coat, you may apply one Witchcraft Technique you know to them which lasts while they have the Coat. Each Witchcraft Technique has a Curse Effect "&amp;"that can be applied in the following methods. Only one Creature can be affected by a Curse Effect at a time.  
» A Curse Effect can occur with a Downtime Action by expending a suitable personal object relating to the Target. This applies the Curse Effect"&amp;" for 24 Hours.
» A Curse Effect can occur as an Extended or Swift Action by expending 1 SP when touching a creature. When doing this, perform an Occult Edu or Intimidate Check opposed by their Focus and if they win, they’re immune to the Curse for the nex"&amp;"t 24 Hours and are aware you did so, otherwise it applies for the next Hour.
*See Techniques - Hex Maniac")</f>
        <v>Effect: For each Rank, choose two Witchcraft Techniques to learn. Whenever you cause an Enemy to gain a Hexed Coat, you may apply one Witchcraft Technique you know to them which lasts while they have the Coat. Each Witchcraft Technique has a Curse Effect that can be applied in the following methods. Only one Creature can be affected by a Curse Effect at a time.  
» A Curse Effect can occur with a Downtime Action by expending a suitable personal object relating to the Target. This applies the Curse Effect for 24 Hours.
» A Curse Effect can occur as an Extended or Swift Action by expending 1 SP when touching a creature. When doing this, perform an Occult Edu or Intimidate Check opposed by their Focus and if they win, they’re immune to the Curse for the next 24 Hours and are aware you did so, otherwise it applies for the next Hour.
*See Techniques - Hex Maniac</v>
      </c>
      <c r="E516" s="203"/>
      <c r="F516" s="204"/>
      <c r="G516" s="204"/>
      <c r="H516" s="204"/>
      <c r="I516" s="204"/>
      <c r="J516" s="203"/>
      <c r="K516" s="205"/>
      <c r="L516" s="205"/>
      <c r="M516" s="205"/>
    </row>
    <row r="517">
      <c r="A517" s="202" t="str">
        <f>IFERROR(__xludf.DUMMYFUNCTION("""COMPUTED_VALUE"""),"Witchcraft Curse [Rank 2]")</f>
        <v>Witchcraft Curse [Rank 2]</v>
      </c>
      <c r="B517" s="202" t="str">
        <f>IFERROR(__xludf.DUMMYFUNCTION("""COMPUTED_VALUE"""),"Hex Maniac, Adept Occult Edu or Intimidate")</f>
        <v>Hex Maniac, Adept Occult Edu or Intimidate</v>
      </c>
      <c r="C517" s="202" t="str">
        <f>IFERROR(__xludf.DUMMYFUNCTION("""COMPUTED_VALUE"""),"Static")</f>
        <v>Static</v>
      </c>
      <c r="D517" s="202" t="str">
        <f>IFERROR(__xludf.DUMMYFUNCTION("""COMPUTED_VALUE"""),"Effect: For each Rank, choose two Witchcraft Techniques to learn. Whenever you cause an Enemy to gain a Hexed Coat, you may apply one Witchcraft Technique you know to them which lasts while they have the Coat. Each Witchcraft Technique has a Curse Effect "&amp;"that can be applied in the following methods. Only one Creature can be affected by a Curse Effect at a time.  
» A Curse Effect can occur with a Downtime Action by expending a suitable personal object relating to the Target. This applies the Curse Effect"&amp;" for 24 Hours.
» A Curse Effect can occur as an Extended or Swift Action by expending 1 SP when touching a creature. When doing this, perform an Occult Edu or Intimidate Check opposed by their Focus and if they win, they’re immune to the Curse for the nex"&amp;"t 24 Hours and are aware you did so, otherwise it applies for the next Hour.
*See Techniques - Hex Maniac")</f>
        <v>Effect: For each Rank, choose two Witchcraft Techniques to learn. Whenever you cause an Enemy to gain a Hexed Coat, you may apply one Witchcraft Technique you know to them which lasts while they have the Coat. Each Witchcraft Technique has a Curse Effect that can be applied in the following methods. Only one Creature can be affected by a Curse Effect at a time.  
» A Curse Effect can occur with a Downtime Action by expending a suitable personal object relating to the Target. This applies the Curse Effect for 24 Hours.
» A Curse Effect can occur as an Extended or Swift Action by expending 1 SP when touching a creature. When doing this, perform an Occult Edu or Intimidate Check opposed by their Focus and if they win, they’re immune to the Curse for the next 24 Hours and are aware you did so, otherwise it applies for the next Hour.
*See Techniques - Hex Maniac</v>
      </c>
      <c r="E517" s="203"/>
      <c r="F517" s="204"/>
      <c r="G517" s="204"/>
      <c r="H517" s="204"/>
      <c r="I517" s="204"/>
      <c r="J517" s="203"/>
      <c r="K517" s="205"/>
      <c r="L517" s="205"/>
      <c r="M517" s="205"/>
    </row>
    <row r="518">
      <c r="A518" s="202" t="str">
        <f>IFERROR(__xludf.DUMMYFUNCTION("""COMPUTED_VALUE"""),"Forbidden Studies")</f>
        <v>Forbidden Studies</v>
      </c>
      <c r="B518" s="202" t="str">
        <f>IFERROR(__xludf.DUMMYFUNCTION("""COMPUTED_VALUE"""),"Hex Maniac, Expert Occult Edu or Intimidate")</f>
        <v>Hex Maniac, Expert Occult Edu or Intimidate</v>
      </c>
      <c r="C518" s="202" t="str">
        <f>IFERROR(__xludf.DUMMYFUNCTION("""COMPUTED_VALUE"""),"Static")</f>
        <v>Static</v>
      </c>
      <c r="D518" s="202" t="str">
        <f>IFERROR(__xludf.DUMMYFUNCTION("""COMPUTED_VALUE"""),"Effect: Choose a Forbidden Study to gain its associated Ability in parenthesis. 
» Control (Shadow Tag), Fate (Probability Control), Malediction (Cursed Body), Pain (Voodoo Doll) ")</f>
        <v>Effect: Choose a Forbidden Study to gain its associated Ability in parenthesis. 
» Control (Shadow Tag), Fate (Probability Control), Malediction (Cursed Body), Pain (Voodoo Doll) </v>
      </c>
      <c r="E518" s="203"/>
      <c r="F518" s="204"/>
      <c r="G518" s="204"/>
      <c r="H518" s="204"/>
      <c r="I518" s="204"/>
      <c r="J518" s="203"/>
      <c r="K518" s="205"/>
      <c r="L518" s="205"/>
      <c r="M518" s="205"/>
    </row>
    <row r="519">
      <c r="A519" s="202" t="str">
        <f>IFERROR(__xludf.DUMMYFUNCTION("""COMPUTED_VALUE"""),"Lingering Curse")</f>
        <v>Lingering Curse</v>
      </c>
      <c r="B519" s="202" t="str">
        <f>IFERROR(__xludf.DUMMYFUNCTION("""COMPUTED_VALUE"""),"Hex Maniac, Master Occult Edu or Intimidate")</f>
        <v>Hex Maniac, Master Occult Edu or Intimidate</v>
      </c>
      <c r="C519" s="202" t="str">
        <f>IFERROR(__xludf.DUMMYFUNCTION("""COMPUTED_VALUE"""),"Scene x2 -  Reaction")</f>
        <v>Scene x2 -  Reaction</v>
      </c>
      <c r="D519" s="202" t="str">
        <f>IFERROR(__xludf.DUMMYFUNCTION("""COMPUTED_VALUE"""),"Trigger: A Mental Affliction would be cured or an Combatant with a Mental Affliction would faint
Effect: Choose an Effect to apply:
» Choose an Enemy with a Hexed Coat within 5m of the Triggering Combatant to gain the cured Affliction or a Mental Afflicti"&amp;"on the Fainted Enemy had
» Cursed Hazards are created within a 3x3 Zone, centered on the Triggering Combatant as if it were Hazardous Terrain. Whenever an Enemy would trigger this Hazard, they gain the cured Affliction or a Mental Affliction the Fainted E"&amp;"nemy had.")</f>
        <v>Trigger: A Mental Affliction would be cured or an Combatant with a Mental Affliction would faint
Effect: Choose an Effect to apply:
» Choose an Enemy with a Hexed Coat within 5m of the Triggering Combatant to gain the cured Affliction or a Mental Affliction the Fainted Enemy had
» Cursed Hazards are created within a 3x3 Zone, centered on the Triggering Combatant as if it were Hazardous Terrain. Whenever an Enemy would trigger this Hazard, they gain the cured Affliction or a Mental Affliction the Fainted Enemy had.</v>
      </c>
      <c r="E519" s="203"/>
      <c r="F519" s="204"/>
      <c r="G519" s="204"/>
      <c r="H519" s="204"/>
      <c r="I519" s="204"/>
      <c r="J519" s="203"/>
      <c r="K519" s="205"/>
      <c r="L519" s="205"/>
      <c r="M519" s="205"/>
    </row>
    <row r="520">
      <c r="A520" s="202" t="str">
        <f>IFERROR(__xludf.DUMMYFUNCTION("""COMPUTED_VALUE"""),"Ranger")</f>
        <v>Ranger</v>
      </c>
      <c r="B520" s="202" t="str">
        <f>IFERROR(__xludf.DUMMYFUNCTION("""COMPUTED_VALUE"""),"Two Novice Ranger Skills")</f>
        <v>Two Novice Ranger Skills</v>
      </c>
      <c r="C520" s="202" t="str">
        <f>IFERROR(__xludf.DUMMYFUNCTION("""COMPUTED_VALUE"""),"Static")</f>
        <v>Static</v>
      </c>
      <c r="D520" s="202" t="str">
        <f>IFERROR(__xludf.DUMMYFUNCTION("""COMPUTED_VALUE"""),"Effect: You gain the Ranger Styler Item and it gains the [Trinket] Keyword and is always treated as Equipped. If it were to occupy an Equipment Slot despite having the [Trinket] Keyword, you may instead use its Effects as a Standard or Swift Action, but a"&amp;"n Enemy can only be affected by your Styler once per Round. Additionally, when using a Styler, you may use any Ranger Skill for the Opposed Skill Check. 
Note: Your Ranger Skills are Charm, Command, Intuition, Nature Edu and Poke Edu")</f>
        <v>Effect: You gain the Ranger Styler Item and it gains the [Trinket] Keyword and is always treated as Equipped. If it were to occupy an Equipment Slot despite having the [Trinket] Keyword, you may instead use its Effects as a Standard or Swift Action, but an Enemy can only be affected by your Styler once per Round. Additionally, when using a Styler, you may use any Ranger Skill for the Opposed Skill Check. 
Note: Your Ranger Skills are Charm, Command, Intuition, Nature Edu and Poke Edu</v>
      </c>
      <c r="E520" s="203"/>
      <c r="F520" s="204"/>
      <c r="G520" s="204"/>
      <c r="H520" s="204"/>
      <c r="I520" s="204"/>
      <c r="J520" s="203"/>
      <c r="K520" s="205"/>
      <c r="L520" s="205"/>
      <c r="M520" s="205"/>
    </row>
    <row r="521">
      <c r="A521" s="202" t="str">
        <f>IFERROR(__xludf.DUMMYFUNCTION("""COMPUTED_VALUE"""),"Ranger Training Rank 1")</f>
        <v>Ranger Training Rank 1</v>
      </c>
      <c r="B521" s="202" t="str">
        <f>IFERROR(__xludf.DUMMYFUNCTION("""COMPUTED_VALUE"""),"Ranger, Two Novice Ranger Skills")</f>
        <v>Ranger, Two Novice Ranger Skills</v>
      </c>
      <c r="C521" s="202" t="str">
        <f>IFERROR(__xludf.DUMMYFUNCTION("""COMPUTED_VALUE"""),"Static")</f>
        <v>Static</v>
      </c>
      <c r="D521" s="202" t="str">
        <f>IFERROR(__xludf.DUMMYFUNCTION("""COMPUTED_VALUE"""),"Effect: Choose two Ranger Techniques to learn. ")</f>
        <v>Effect: Choose two Ranger Techniques to learn. </v>
      </c>
      <c r="E521" s="203"/>
      <c r="F521" s="204"/>
      <c r="G521" s="204"/>
      <c r="H521" s="204"/>
      <c r="I521" s="204"/>
      <c r="J521" s="203"/>
      <c r="K521" s="205"/>
      <c r="L521" s="205"/>
      <c r="M521" s="205"/>
    </row>
    <row r="522">
      <c r="A522" s="202" t="str">
        <f>IFERROR(__xludf.DUMMYFUNCTION("""COMPUTED_VALUE"""),"Ranger Training Rank 2")</f>
        <v>Ranger Training Rank 2</v>
      </c>
      <c r="B522" s="202" t="str">
        <f>IFERROR(__xludf.DUMMYFUNCTION("""COMPUTED_VALUE"""),"Ranger, an Expert Ranger Skill")</f>
        <v>Ranger, an Expert Ranger Skill</v>
      </c>
      <c r="C522" s="202" t="str">
        <f>IFERROR(__xludf.DUMMYFUNCTION("""COMPUTED_VALUE"""),"Static")</f>
        <v>Static</v>
      </c>
      <c r="D522" s="202" t="str">
        <f>IFERROR(__xludf.DUMMYFUNCTION("""COMPUTED_VALUE"""),"Effect: Choose two Ranger Techniques to learn. ")</f>
        <v>Effect: Choose two Ranger Techniques to learn. </v>
      </c>
      <c r="E522" s="203"/>
      <c r="F522" s="204"/>
      <c r="G522" s="204"/>
      <c r="H522" s="204"/>
      <c r="I522" s="204"/>
      <c r="J522" s="203"/>
      <c r="K522" s="205"/>
      <c r="L522" s="205"/>
      <c r="M522" s="205"/>
    </row>
    <row r="523">
      <c r="A523" s="202" t="str">
        <f>IFERROR(__xludf.DUMMYFUNCTION("""COMPUTED_VALUE"""),"Ranger Training Rank 3")</f>
        <v>Ranger Training Rank 3</v>
      </c>
      <c r="B523" s="202" t="str">
        <f>IFERROR(__xludf.DUMMYFUNCTION("""COMPUTED_VALUE"""),"Ranger, a Master Ranger Skill")</f>
        <v>Ranger, a Master Ranger Skill</v>
      </c>
      <c r="C523" s="202" t="str">
        <f>IFERROR(__xludf.DUMMYFUNCTION("""COMPUTED_VALUE"""),"Static")</f>
        <v>Static</v>
      </c>
      <c r="D523" s="202" t="str">
        <f>IFERROR(__xludf.DUMMYFUNCTION("""COMPUTED_VALUE"""),"Effect: Choose two Ranger Techniques to learn. ")</f>
        <v>Effect: Choose two Ranger Techniques to learn. </v>
      </c>
      <c r="E523" s="203"/>
      <c r="F523" s="204"/>
      <c r="G523" s="204"/>
      <c r="H523" s="204"/>
      <c r="I523" s="204"/>
      <c r="J523" s="203"/>
      <c r="K523" s="205"/>
      <c r="L523" s="205"/>
      <c r="M523" s="205"/>
    </row>
    <row r="524">
      <c r="A524" s="202" t="str">
        <f>IFERROR(__xludf.DUMMYFUNCTION("""COMPUTED_VALUE"""),"Poke Assist")</f>
        <v>Poke Assist</v>
      </c>
      <c r="B524" s="202" t="str">
        <f>IFERROR(__xludf.DUMMYFUNCTION("""COMPUTED_VALUE"""),"Ranger, An Adept Ranger Skill")</f>
        <v>Ranger, An Adept Ranger Skill</v>
      </c>
      <c r="C524" s="202" t="str">
        <f>IFERROR(__xludf.DUMMYFUNCTION("""COMPUTED_VALUE"""),"At-Will - Standard Action")</f>
        <v>At-Will - Standard Action</v>
      </c>
      <c r="D524" s="202" t="str">
        <f>IFERROR(__xludf.DUMMYFUNCTION("""COMPUTED_VALUE"""),"Effect: Choose a Type that one of your Companions have, then refer to the Poke Assist Chart (Techniques). You may choose one of the Attacks listed under the associated Type and then immediately use it as a Free Action as if it were on your Attack List (Fo"&amp;"llowing Frequency).  ")</f>
        <v>Effect: Choose a Type that one of your Companions have, then refer to the Poke Assist Chart (Techniques). You may choose one of the Attacks listed under the associated Type and then immediately use it as a Free Action as if it were on your Attack List (Following Frequency).  </v>
      </c>
      <c r="E524" s="203"/>
      <c r="F524" s="204"/>
      <c r="G524" s="204"/>
      <c r="H524" s="204"/>
      <c r="I524" s="204"/>
      <c r="J524" s="203"/>
      <c r="K524" s="205"/>
      <c r="L524" s="205"/>
      <c r="M524" s="205"/>
    </row>
    <row r="525">
      <c r="A525" s="202" t="str">
        <f>IFERROR(__xludf.DUMMYFUNCTION("""COMPUTED_VALUE"""),"Officer")</f>
        <v>Officer</v>
      </c>
      <c r="B525" s="202" t="str">
        <f>IFERROR(__xludf.DUMMYFUNCTION("""COMPUTED_VALUE"""),"Prerequisites 1: Ranger
Prerequisites 2: Adept Combat or Command")</f>
        <v>Prerequisites 1: Ranger
Prerequisites 2: Adept Combat or Command</v>
      </c>
      <c r="C525" s="202" t="str">
        <f>IFERROR(__xludf.DUMMYFUNCTION("""COMPUTED_VALUE"""),"Bind X - Standard or Extended Action")</f>
        <v>Bind X - Standard or Extended Action</v>
      </c>
      <c r="D525" s="202" t="str">
        <f>IFERROR(__xludf.DUMMYFUNCTION("""COMPUTED_VALUE"""),"Target: Your Companion
Effect: While Bound, the Companion becomes a Battle Companion. If they were to gain Initiative, you may expend any number of unused Trainer Actions for them to use, otherwise they cannot use Actions. When you Faint, this Feature is "&amp;"unbound and they lose their Companion Title. X is equal to your Tier Level. 
Bonus: You gain a Ranger Styler.  ")</f>
        <v>Target: Your Companion
Effect: While Bound, the Companion becomes a Battle Companion. If they were to gain Initiative, you may expend any number of unused Trainer Actions for them to use, otherwise they cannot use Actions. When you Faint, this Feature is unbound and they lose their Companion Title. X is equal to your Tier Level. 
Bonus: You gain a Ranger Styler.  </v>
      </c>
      <c r="E525" s="203"/>
      <c r="F525" s="204"/>
      <c r="G525" s="204"/>
      <c r="H525" s="204"/>
      <c r="I525" s="204"/>
      <c r="J525" s="203"/>
      <c r="K525" s="205"/>
      <c r="L525" s="205"/>
      <c r="M525" s="205"/>
    </row>
    <row r="526">
      <c r="A526" s="202" t="str">
        <f>IFERROR(__xludf.DUMMYFUNCTION("""COMPUTED_VALUE"""),"Coordinated Assistance")</f>
        <v>Coordinated Assistance</v>
      </c>
      <c r="B526" s="202" t="str">
        <f>IFERROR(__xludf.DUMMYFUNCTION("""COMPUTED_VALUE"""),"Officer, Novice Combat or Command")</f>
        <v>Officer, Novice Combat or Command</v>
      </c>
      <c r="C526" s="202" t="str">
        <f>IFERROR(__xludf.DUMMYFUNCTION("""COMPUTED_VALUE"""),"At-Will - Reaction")</f>
        <v>At-Will - Reaction</v>
      </c>
      <c r="D526" s="202" t="str">
        <f>IFERROR(__xludf.DUMMYFUNCTION("""COMPUTED_VALUE"""),"Target: Your Pokemon or Battle Companion that is Adjacent to the Triggering Ally
Trigger: An Ally fails a Save Check or Accuracy Check
Effect: The Triggering Ally may reroll with a modifier equal to your Tier Level. ")</f>
        <v>Target: Your Pokemon or Battle Companion that is Adjacent to the Triggering Ally
Trigger: An Ally fails a Save Check or Accuracy Check
Effect: The Triggering Ally may reroll with a modifier equal to your Tier Level. </v>
      </c>
      <c r="E526" s="203"/>
      <c r="F526" s="204"/>
      <c r="G526" s="204"/>
      <c r="H526" s="204"/>
      <c r="I526" s="204"/>
      <c r="J526" s="203"/>
      <c r="K526" s="205"/>
      <c r="L526" s="205"/>
      <c r="M526" s="205"/>
    </row>
    <row r="527">
      <c r="A527" s="202" t="str">
        <f>IFERROR(__xludf.DUMMYFUNCTION("""COMPUTED_VALUE"""),"Combat Assist")</f>
        <v>Combat Assist</v>
      </c>
      <c r="B527" s="202" t="str">
        <f>IFERROR(__xludf.DUMMYFUNCTION("""COMPUTED_VALUE"""),"Officer, Adept Combat or Command")</f>
        <v>Officer, Adept Combat or Command</v>
      </c>
      <c r="C527" s="202" t="str">
        <f>IFERROR(__xludf.DUMMYFUNCTION("""COMPUTED_VALUE"""),"Scene x2 - Swift Action")</f>
        <v>Scene x2 - Swift Action</v>
      </c>
      <c r="D527" s="202" t="str">
        <f>IFERROR(__xludf.DUMMYFUNCTION("""COMPUTED_VALUE"""),"Target: Your Battle Companion within 5m
Effect: Choose an Attack from the Poke Assist Chart (See: Ranger) that matches one of the Target’s Types. They use that Attack immediately as a Free Action. ")</f>
        <v>Target: Your Battle Companion within 5m
Effect: Choose an Attack from the Poke Assist Chart (See: Ranger) that matches one of the Target’s Types. They use that Attack immediately as a Free Action. </v>
      </c>
      <c r="E527" s="203"/>
      <c r="F527" s="204"/>
      <c r="G527" s="204"/>
      <c r="H527" s="204"/>
      <c r="I527" s="204"/>
      <c r="J527" s="203"/>
      <c r="K527" s="205"/>
      <c r="L527" s="205"/>
      <c r="M527" s="205"/>
    </row>
    <row r="528">
      <c r="A528" s="202" t="str">
        <f>IFERROR(__xludf.DUMMYFUNCTION("""COMPUTED_VALUE"""),"You're Under Arrest!")</f>
        <v>You're Under Arrest!</v>
      </c>
      <c r="B528" s="202" t="str">
        <f>IFERROR(__xludf.DUMMYFUNCTION("""COMPUTED_VALUE"""),"Officer, Expert Combat or Command")</f>
        <v>Officer, Expert Combat or Command</v>
      </c>
      <c r="C528" s="202" t="str">
        <f>IFERROR(__xludf.DUMMYFUNCTION("""COMPUTED_VALUE"""),"At-Will - Swift Action")</f>
        <v>At-Will - Swift Action</v>
      </c>
      <c r="D528" s="202" t="str">
        <f>IFERROR(__xludf.DUMMYFUNCTION("""COMPUTED_VALUE"""),"Target: Your Pokemon or Battle Companion within 3m and an Enemy within 3m of them
Effect: The Targeted Pokemon performs an AC 4 Status Attack against the Targeted Enemy. If it hits, apply one of the following Effects to the Targeted Enemy:
» They become"&amp;" Grappled and you have Dominance
» They become Slowed
» They become Trapped  ")</f>
        <v>Target: Your Pokemon or Battle Companion within 3m and an Enemy within 3m of them
Effect: The Targeted Pokemon performs an AC 4 Status Attack against the Targeted Enemy. If it hits, apply one of the following Effects to the Targeted Enemy:
» They become Grappled and you have Dominance
» They become Slowed
» They become Trapped  </v>
      </c>
      <c r="E528" s="203"/>
      <c r="F528" s="204"/>
      <c r="G528" s="204"/>
      <c r="H528" s="204"/>
      <c r="I528" s="204"/>
      <c r="J528" s="203"/>
      <c r="K528" s="205"/>
      <c r="L528" s="205"/>
      <c r="M528" s="205"/>
    </row>
    <row r="529">
      <c r="A529" s="202" t="str">
        <f>IFERROR(__xludf.DUMMYFUNCTION("""COMPUTED_VALUE"""),"Companion Commander")</f>
        <v>Companion Commander</v>
      </c>
      <c r="B529" s="202" t="str">
        <f>IFERROR(__xludf.DUMMYFUNCTION("""COMPUTED_VALUE"""),"4 Officer Features, Master Combat or Command ")</f>
        <v>4 Officer Features, Master Combat or Command </v>
      </c>
      <c r="C529" s="202" t="str">
        <f>IFERROR(__xludf.DUMMYFUNCTION("""COMPUTED_VALUE"""),"Scene x2 - Full Action")</f>
        <v>Scene x2 - Full Action</v>
      </c>
      <c r="D529" s="202" t="str">
        <f>IFERROR(__xludf.DUMMYFUNCTION("""COMPUTED_VALUE"""),"Target: Two Battle Companions within 2m of you
Effect: Both Targets may use an At-Will or EoT Damaging Attack as a Free Action. If both Attacks only Target the same single Enemy, they both have the Sureshot Keyword. 
Bonus: Once per Round, when using Offi"&amp;"cer Features, you may Target an Allied Pokemon as if they were your Battle Companion. ")</f>
        <v>Target: Two Battle Companions within 2m of you
Effect: Both Targets may use an At-Will or EoT Damaging Attack as a Free Action. If both Attacks only Target the same single Enemy, they both have the Sureshot Keyword. 
Bonus: Once per Round, when using Officer Features, you may Target an Allied Pokemon as if they were your Battle Companion. </v>
      </c>
      <c r="E529" s="203"/>
      <c r="F529" s="204"/>
      <c r="G529" s="204"/>
      <c r="H529" s="204"/>
      <c r="I529" s="204"/>
      <c r="J529" s="203"/>
      <c r="K529" s="205"/>
      <c r="L529" s="205"/>
      <c r="M529" s="205"/>
    </row>
    <row r="530">
      <c r="A530" s="202" t="str">
        <f>IFERROR(__xludf.DUMMYFUNCTION("""COMPUTED_VALUE"""),"Operator")</f>
        <v>Operator</v>
      </c>
      <c r="B530" s="202" t="str">
        <f>IFERROR(__xludf.DUMMYFUNCTION("""COMPUTED_VALUE"""),"Prerequisites 1: Ranger or Tech Researcher
Prerequisites 2: Adept Tech Edu")</f>
        <v>Prerequisites 1: Ranger or Tech Researcher
Prerequisites 2: Adept Tech Edu</v>
      </c>
      <c r="C530" s="202" t="str">
        <f>IFERROR(__xludf.DUMMYFUNCTION("""COMPUTED_VALUE"""),"Static")</f>
        <v>Static</v>
      </c>
      <c r="D530" s="202" t="str">
        <f>IFERROR(__xludf.DUMMYFUNCTION("""COMPUTED_VALUE"""),"Effect: While your Ranger Styler occupies an Equipment Slot, it is treated as a Simple, Short Ranged Martial Weapon. Its qualifying skill is Technology Education. At Tier 2, it improves to Fine Quality and at Tier 3, it improves to Legendary Quality. You "&amp;"may choose the granted Attacks but it does not get Keywords.
Bonus: You gain a Ranger Styler. ")</f>
        <v>Effect: While your Ranger Styler occupies an Equipment Slot, it is treated as a Simple, Short Ranged Martial Weapon. Its qualifying skill is Technology Education. At Tier 2, it improves to Fine Quality and at Tier 3, it improves to Legendary Quality. You may choose the granted Attacks but it does not get Keywords.
Bonus: You gain a Ranger Styler. </v>
      </c>
      <c r="E530" s="203"/>
      <c r="F530" s="204"/>
      <c r="G530" s="204"/>
      <c r="H530" s="204"/>
      <c r="I530" s="204"/>
      <c r="J530" s="203"/>
      <c r="K530" s="205"/>
      <c r="L530" s="205"/>
      <c r="M530" s="205"/>
    </row>
    <row r="531">
      <c r="A531" s="202" t="str">
        <f>IFERROR(__xludf.DUMMYFUNCTION("""COMPUTED_VALUE"""),"Activate Module!")</f>
        <v>Activate Module!</v>
      </c>
      <c r="B531" s="202" t="str">
        <f>IFERROR(__xludf.DUMMYFUNCTION("""COMPUTED_VALUE"""),"Operator, Novice Tech Edu")</f>
        <v>Operator, Novice Tech Edu</v>
      </c>
      <c r="C531" s="202" t="str">
        <f>IFERROR(__xludf.DUMMYFUNCTION("""COMPUTED_VALUE"""),"At-Will - Swift or Movement Action")</f>
        <v>At-Will - Swift or Movement Action</v>
      </c>
      <c r="D531" s="202" t="str">
        <f>IFERROR(__xludf.DUMMYFUNCTION("""COMPUTED_VALUE"""),"Condition: You have a Ranger Styler equipped
Effect: Apply a Styler Mod on the next page to your Ranger Styler. Your Styler can only benefit from one Styler Mod at a time and Mods are removed at the end of the Scene. ")</f>
        <v>Condition: You have a Ranger Styler equipped
Effect: Apply a Styler Mod on the next page to your Ranger Styler. Your Styler can only benefit from one Styler Mod at a time and Mods are removed at the end of the Scene. </v>
      </c>
      <c r="E531" s="203"/>
      <c r="F531" s="204"/>
      <c r="G531" s="204"/>
      <c r="H531" s="204"/>
      <c r="I531" s="204"/>
      <c r="J531" s="203"/>
      <c r="K531" s="205"/>
      <c r="L531" s="205"/>
      <c r="M531" s="205"/>
    </row>
    <row r="532">
      <c r="A532" s="202" t="str">
        <f>IFERROR(__xludf.DUMMYFUNCTION("""COMPUTED_VALUE"""),"Styler Gadgetry")</f>
        <v>Styler Gadgetry</v>
      </c>
      <c r="B532" s="202" t="str">
        <f>IFERROR(__xludf.DUMMYFUNCTION("""COMPUTED_VALUE"""),"Operator, Adept Tech Edu")</f>
        <v>Operator, Adept Tech Edu</v>
      </c>
      <c r="C532" s="202" t="str">
        <f>IFERROR(__xludf.DUMMYFUNCTION("""COMPUTED_VALUE"""),"At-Will - Extended Action")</f>
        <v>At-Will - Extended Action</v>
      </c>
      <c r="D532" s="202" t="str">
        <f>IFERROR(__xludf.DUMMYFUNCTION("""COMPUTED_VALUE"""),"Effect: Styler Gadgetry can only be activated by using a Downtime Action. Choose a Gadget below to apply to your Ranger Styler. A Styler can only benefit from one Gadget at a time unless you have 5 Operator or Ranger Features, then you can benefit from tw"&amp;"o instead. You can unlock new Gadgets to apply to your Ranger Styler as a Downtime Innovate Action at your GM’s discretion. 
» Aura Scanner - While equipped, you gain the Aura Reader Capability. Instead of you seeing Aura however, you must wave the Style"&amp;"r while adjacent to the target and it will expose their Aura for everyone to see. 
» Electro-Link - While Equipped, you have a Boon to all Skill Checks involved with identifying and manipulating technology. At your GM’s discretion, this Gadget may allow t"&amp;"he holder to perform different technical actions like hacking a machine they’ve analyzed or interfering with it in some way such as disabling its functions. 
» Holo Projector - While equipped, you gain the Illusionist Capability. However, any Illusions cr"&amp;"eated this way are holographic in nature and are obvious for most creatures to discern. 
» Ranger Beacon - When installed, choose a group of willing Allies who also have Ranger Stylers. While equipped, you may share any of the following to this group via "&amp;"your Styler, regardless of distance. Data Transfer, Verbal Communication, Video Information, Health Status of Creatures.")</f>
        <v>Effect: Styler Gadgetry can only be activated by using a Downtime Action. Choose a Gadget below to apply to your Ranger Styler. A Styler can only benefit from one Gadget at a time unless you have 5 Operator or Ranger Features, then you can benefit from two instead. You can unlock new Gadgets to apply to your Ranger Styler as a Downtime Innovate Action at your GM’s discretion. 
» Aura Scanner - While equipped, you gain the Aura Reader Capability. Instead of you seeing Aura however, you must wave the Styler while adjacent to the target and it will expose their Aura for everyone to see. 
» Electro-Link - While Equipped, you have a Boon to all Skill Checks involved with identifying and manipulating technology. At your GM’s discretion, this Gadget may allow the holder to perform different technical actions like hacking a machine they’ve analyzed or interfering with it in some way such as disabling its functions. 
» Holo Projector - While equipped, you gain the Illusionist Capability. However, any Illusions created this way are holographic in nature and are obvious for most creatures to discern. 
» Ranger Beacon - When installed, choose a group of willing Allies who also have Ranger Stylers. While equipped, you may share any of the following to this group via your Styler, regardless of distance. Data Transfer, Verbal Communication, Video Information, Health Status of Creatures.</v>
      </c>
      <c r="E532" s="203"/>
      <c r="F532" s="204"/>
      <c r="G532" s="204"/>
      <c r="H532" s="204"/>
      <c r="I532" s="204"/>
      <c r="J532" s="203"/>
      <c r="K532" s="205"/>
      <c r="L532" s="205"/>
      <c r="M532" s="205"/>
    </row>
    <row r="533">
      <c r="A533" s="202" t="str">
        <f>IFERROR(__xludf.DUMMYFUNCTION("""COMPUTED_VALUE"""),"Zone Control")</f>
        <v>Zone Control</v>
      </c>
      <c r="B533" s="202" t="str">
        <f>IFERROR(__xludf.DUMMYFUNCTION("""COMPUTED_VALUE"""),"Operator, Expert Tech Edu")</f>
        <v>Operator, Expert Tech Edu</v>
      </c>
      <c r="C533" s="202" t="str">
        <f>IFERROR(__xludf.DUMMYFUNCTION("""COMPUTED_VALUE"""),"Scene x2 - Free Action")</f>
        <v>Scene x2 - Free Action</v>
      </c>
      <c r="D533" s="202" t="str">
        <f>IFERROR(__xludf.DUMMYFUNCTION("""COMPUTED_VALUE"""),"Effect: Choose an Effect to Apply:
» The next time you use a Ranger Styler’s Effect, if you used it as a Swift Action, you may target enemies in a 2x2 Zone instead of one within 5m. If you used it as a Standard Action, you may instead target enemies in a "&amp;"3x3 Zone. 
» The next Weapon Attack you use through your Ranger Styler has its Area of Effect increased by +1 or is treated as Ranged Blast 2. ")</f>
        <v>Effect: Choose an Effect to Apply:
» The next time you use a Ranger Styler’s Effect, if you used it as a Swift Action, you may target enemies in a 2x2 Zone instead of one within 5m. If you used it as a Standard Action, you may instead target enemies in a 3x3 Zone. 
» The next Weapon Attack you use through your Ranger Styler has its Area of Effect increased by +1 or is treated as Ranged Blast 2. </v>
      </c>
      <c r="E533" s="203"/>
      <c r="F533" s="204"/>
      <c r="G533" s="204"/>
      <c r="H533" s="204"/>
      <c r="I533" s="204"/>
      <c r="J533" s="203"/>
      <c r="K533" s="205"/>
      <c r="L533" s="205"/>
      <c r="M533" s="205"/>
    </row>
    <row r="534">
      <c r="A534" s="202" t="str">
        <f>IFERROR(__xludf.DUMMYFUNCTION("""COMPUTED_VALUE"""),"Advanced Module")</f>
        <v>Advanced Module</v>
      </c>
      <c r="B534" s="202" t="str">
        <f>IFERROR(__xludf.DUMMYFUNCTION("""COMPUTED_VALUE"""),"Activate Module, Master Tech Edu")</f>
        <v>Activate Module, Master Tech Edu</v>
      </c>
      <c r="C534" s="202" t="str">
        <f>IFERROR(__xludf.DUMMYFUNCTION("""COMPUTED_VALUE"""),"Scene - Free Action")</f>
        <v>Scene - Free Action</v>
      </c>
      <c r="D534" s="202" t="str">
        <f>IFERROR(__xludf.DUMMYFUNCTION("""COMPUTED_VALUE"""),"Condition: You have a Ranger Styler equipped
Effect: Apply a Styler Mod to your Ranger Styler. Your Styler can only benefit from one Styler Mod at a time. 
Bonus: Your Styler Mods have their Effects improved based on having this Feature. ")</f>
        <v>Condition: You have a Ranger Styler equipped
Effect: Apply a Styler Mod to your Ranger Styler. Your Styler can only benefit from one Styler Mod at a time. 
Bonus: Your Styler Mods have their Effects improved based on having this Feature. </v>
      </c>
      <c r="E534" s="203"/>
      <c r="F534" s="204"/>
      <c r="G534" s="204"/>
      <c r="H534" s="204"/>
      <c r="I534" s="204"/>
      <c r="J534" s="203"/>
      <c r="K534" s="205"/>
      <c r="L534" s="205"/>
      <c r="M534" s="205"/>
    </row>
    <row r="535">
      <c r="A535" s="202" t="str">
        <f>IFERROR(__xludf.DUMMYFUNCTION("""COMPUTED_VALUE"""),"Signer")</f>
        <v>Signer</v>
      </c>
      <c r="B535" s="202" t="str">
        <f>IFERROR(__xludf.DUMMYFUNCTION("""COMPUTED_VALUE"""),"Prerequisite 1: Ranger or Occult Researcher [or]
Prerequisite 2: Adept Occult Edu or Poke Edu")</f>
        <v>Prerequisite 1: Ranger or Occult Researcher [or]
Prerequisite 2: Adept Occult Edu or Poke Edu</v>
      </c>
      <c r="C535" s="202" t="str">
        <f>IFERROR(__xludf.DUMMYFUNCTION("""COMPUTED_VALUE"""),"Bind X - Extended Action
")</f>
        <v>Bind X - Extended Action
</v>
      </c>
      <c r="D535" s="202" t="str">
        <f>IFERROR(__xludf.DUMMYFUNCTION("""COMPUTED_VALUE"""),"Target: A Pokemon with significant power that you have at least a Trusted Bond with Effect: The Target becomes your Guardian for the duration they are bound by this Feature. 
Bonus: You may communicate with your Guardian(s) as if you had the Telepath and "&amp;"Empath Capability, regardless of your current distance from them. X is equal to your Tier Level.")</f>
        <v>Target: A Pokemon with significant power that you have at least a Trusted Bond with Effect: The Target becomes your Guardian for the duration they are bound by this Feature. 
Bonus: You may communicate with your Guardian(s) as if you had the Telepath and Empath Capability, regardless of your current distance from them. X is equal to your Tier Level.</v>
      </c>
      <c r="E535" s="203"/>
      <c r="F535" s="204"/>
      <c r="G535" s="204"/>
      <c r="H535" s="204"/>
      <c r="I535" s="204"/>
      <c r="J535" s="203"/>
      <c r="K535" s="205"/>
      <c r="L535" s="205"/>
      <c r="M535" s="205"/>
    </row>
    <row r="536">
      <c r="A536" s="202" t="str">
        <f>IFERROR(__xludf.DUMMYFUNCTION("""COMPUTED_VALUE"""),"Guardian Sign")</f>
        <v>Guardian Sign</v>
      </c>
      <c r="B536" s="202" t="str">
        <f>IFERROR(__xludf.DUMMYFUNCTION("""COMPUTED_VALUE"""),"Signer, Novice Occult Edu or Poke Edu")</f>
        <v>Signer, Novice Occult Edu or Poke Edu</v>
      </c>
      <c r="C536" s="202" t="str">
        <f>IFERROR(__xludf.DUMMYFUNCTION("""COMPUTED_VALUE"""),"At-Will - Standard Action")</f>
        <v>At-Will - Standard Action</v>
      </c>
      <c r="D536" s="202" t="str">
        <f>IFERROR(__xludf.DUMMYFUNCTION("""COMPUTED_VALUE"""),"Effect: Choose a Guardian Sign (Techniques) and apply its effects.")</f>
        <v>Effect: Choose a Guardian Sign (Techniques) and apply its effects.</v>
      </c>
      <c r="E536" s="203"/>
      <c r="F536" s="204"/>
      <c r="G536" s="204"/>
      <c r="H536" s="204"/>
      <c r="I536" s="204"/>
      <c r="J536" s="203"/>
      <c r="K536" s="205"/>
      <c r="L536" s="205"/>
      <c r="M536" s="205"/>
    </row>
    <row r="537">
      <c r="A537" s="202" t="str">
        <f>IFERROR(__xludf.DUMMYFUNCTION("""COMPUTED_VALUE"""),"Guardian Aspect")</f>
        <v>Guardian Aspect</v>
      </c>
      <c r="B537" s="202" t="str">
        <f>IFERROR(__xludf.DUMMYFUNCTION("""COMPUTED_VALUE"""),"Signer, Adept Occult Edu or Poke Edu")</f>
        <v>Signer, Adept Occult Edu or Poke Edu</v>
      </c>
      <c r="C537" s="202" t="str">
        <f>IFERROR(__xludf.DUMMYFUNCTION("""COMPUTED_VALUE"""),"Static")</f>
        <v>Static</v>
      </c>
      <c r="D537" s="202" t="str">
        <f>IFERROR(__xludf.DUMMYFUNCTION("""COMPUTED_VALUE"""),"Effect: At any time, you can expend 1 SP to use a Guardian Aspect from the list on the next page and apply its effects. If used during combat it is considered a Free Action. Whenever you perform a Downtime Action involving one of your Guardians, you regai"&amp;"n SP equal to half the number of Successes (Rounded Down)")</f>
        <v>Effect: At any time, you can expend 1 SP to use a Guardian Aspect from the list on the next page and apply its effects. If used during combat it is considered a Free Action. Whenever you perform a Downtime Action involving one of your Guardians, you regain SP equal to half the number of Successes (Rounded Down)</v>
      </c>
      <c r="E537" s="203"/>
      <c r="F537" s="204"/>
      <c r="G537" s="204"/>
      <c r="H537" s="204"/>
      <c r="I537" s="204"/>
      <c r="J537" s="203"/>
      <c r="K537" s="205"/>
      <c r="L537" s="205"/>
      <c r="M537" s="205"/>
    </row>
    <row r="538">
      <c r="A538" s="202" t="str">
        <f>IFERROR(__xludf.DUMMYFUNCTION("""COMPUTED_VALUE"""),"Battle Emblem")</f>
        <v>Battle Emblem</v>
      </c>
      <c r="B538" s="202" t="str">
        <f>IFERROR(__xludf.DUMMYFUNCTION("""COMPUTED_VALUE"""),"Guardian Sign, Expert Occult Edu or Poke Edu")</f>
        <v>Guardian Sign, Expert Occult Edu or Poke Edu</v>
      </c>
      <c r="C538" s="202" t="str">
        <f>IFERROR(__xludf.DUMMYFUNCTION("""COMPUTED_VALUE"""),"At-Will - Swift Action")</f>
        <v>At-Will - Swift Action</v>
      </c>
      <c r="D538" s="202" t="str">
        <f>IFERROR(__xludf.DUMMYFUNCTION("""COMPUTED_VALUE"""),"Effect: Choose a Guardian Sign from the list on the next page and apply its effects. Each time you use this Feature after the first time during an Encounter, you must expend 1 additional Spirit Point to do so. (First usage is 0 Points, next is 1, next is "&amp;"2, etc…) 
Bonus: You may use the Signer Feature as a Swift Action twice per Day, choosing a new Target to become your Guardian. ")</f>
        <v>Effect: Choose a Guardian Sign from the list on the next page and apply its effects. Each time you use this Feature after the first time during an Encounter, you must expend 1 additional Spirit Point to do so. (First usage is 0 Points, next is 1, next is 2, etc…) 
Bonus: You may use the Signer Feature as a Swift Action twice per Day, choosing a new Target to become your Guardian. </v>
      </c>
      <c r="E538" s="203"/>
      <c r="F538" s="204"/>
      <c r="G538" s="204"/>
      <c r="H538" s="204"/>
      <c r="I538" s="204"/>
      <c r="J538" s="203"/>
      <c r="K538" s="205"/>
      <c r="L538" s="205"/>
      <c r="M538" s="205"/>
    </row>
    <row r="539">
      <c r="A539" s="202" t="str">
        <f>IFERROR(__xludf.DUMMYFUNCTION("""COMPUTED_VALUE"""),"Divine Intervention")</f>
        <v>Divine Intervention</v>
      </c>
      <c r="B539" s="202" t="str">
        <f>IFERROR(__xludf.DUMMYFUNCTION("""COMPUTED_VALUE"""),"Guardian Sign, Master Occult Edu or Poke Edu")</f>
        <v>Guardian Sign, Master Occult Edu or Poke Edu</v>
      </c>
      <c r="C539" s="202" t="str">
        <f>IFERROR(__xludf.DUMMYFUNCTION("""COMPUTED_VALUE"""),"Scene x2 - Reaction")</f>
        <v>Scene x2 - Reaction</v>
      </c>
      <c r="D539" s="202" t="str">
        <f>IFERROR(__xludf.DUMMYFUNCTION("""COMPUTED_VALUE"""),"Trigger: You or an Ally fall below 50% of their Maximum Hit Points
Effect: Choose a Guardian Sign from the list on the next page and apply its effects to the triggering combatant. They also have a +2 bonus to Accuracy Checks and Save Checks until the end "&amp;"of their next Turn. ")</f>
        <v>Trigger: You or an Ally fall below 50% of their Maximum Hit Points
Effect: Choose a Guardian Sign from the list on the next page and apply its effects to the triggering combatant. They also have a +2 bonus to Accuracy Checks and Save Checks until the end of their next Turn. </v>
      </c>
      <c r="E539" s="203"/>
      <c r="F539" s="204"/>
      <c r="G539" s="204"/>
      <c r="H539" s="204"/>
      <c r="I539" s="204"/>
      <c r="J539" s="203"/>
      <c r="K539" s="205"/>
      <c r="L539" s="205"/>
      <c r="M539" s="205"/>
    </row>
    <row r="540">
      <c r="A540" s="202" t="str">
        <f>IFERROR(__xludf.DUMMYFUNCTION("""COMPUTED_VALUE"""),"Elemental Expertise")</f>
        <v>Elemental Expertise</v>
      </c>
      <c r="B540" s="202" t="str">
        <f>IFERROR(__xludf.DUMMYFUNCTION("""COMPUTED_VALUE"""),"Any Elementalist Class, Level 5")</f>
        <v>Any Elementalist Class, Level 5</v>
      </c>
      <c r="C540" s="202" t="str">
        <f>IFERROR(__xludf.DUMMYFUNCTION("""COMPUTED_VALUE"""),"Static")</f>
        <v>Static</v>
      </c>
      <c r="D540" s="202" t="str">
        <f>IFERROR(__xludf.DUMMYFUNCTION("""COMPUTED_VALUE"""),"Effect: You gain a Technique from the Elemental Technique List. You gain a Talent from the Elementalist Module. You may take this Feature any number of times but each subsequent time you only get a Technique instead of both.")</f>
        <v>Effect: You gain a Technique from the Elemental Technique List. You gain a Talent from the Elementalist Module. You may take this Feature any number of times but each subsequent time you only get a Technique instead of both.</v>
      </c>
      <c r="E540" s="203"/>
      <c r="F540" s="204"/>
      <c r="G540" s="204"/>
      <c r="H540" s="204"/>
      <c r="I540" s="204"/>
      <c r="J540" s="203"/>
      <c r="K540" s="205"/>
      <c r="L540" s="205"/>
      <c r="M540" s="205"/>
    </row>
    <row r="541">
      <c r="A541" s="202" t="str">
        <f>IFERROR(__xludf.DUMMYFUNCTION("""COMPUTED_VALUE"""),"Elemental Immunity")</f>
        <v>Elemental Immunity</v>
      </c>
      <c r="B541" s="202" t="str">
        <f>IFERROR(__xludf.DUMMYFUNCTION("""COMPUTED_VALUE"""),"Elemental Affinity (Dark, Electric, Fire, Fairy, Flying, Ghost, Ice, Poison or Psychic)")</f>
        <v>Elemental Affinity (Dark, Electric, Fire, Fairy, Flying, Ghost, Ice, Poison or Psychic)</v>
      </c>
      <c r="C541" s="202" t="str">
        <f>IFERROR(__xludf.DUMMYFUNCTION("""COMPUTED_VALUE"""),"Static")</f>
        <v>Static</v>
      </c>
      <c r="D541" s="202" t="str">
        <f>IFERROR(__xludf.DUMMYFUNCTION("""COMPUTED_VALUE"""),"Effect: Depending on your qualifying Affinity, you become Immune to the following Status Affliction. This Feature may be taken multiple times, but must choose a different qualifying affinity each time.
» Suppressed (Dark), Paralyzed (Electric), Burned (Fi"&amp;"re), Entranced (Fairy), Cursed (Ghost), Chilled (Ice), Poisoned (Poison), Dazed (Psychic)")</f>
        <v>Effect: Depending on your qualifying Affinity, you become Immune to the following Status Affliction. This Feature may be taken multiple times, but must choose a different qualifying affinity each time.
» Suppressed (Dark), Paralyzed (Electric), Burned (Fire), Entranced (Fairy), Cursed (Ghost), Chilled (Ice), Poisoned (Poison), Dazed (Psychic)</v>
      </c>
      <c r="E541" s="203"/>
      <c r="F541" s="204"/>
      <c r="G541" s="204"/>
      <c r="H541" s="204"/>
      <c r="I541" s="204"/>
      <c r="J541" s="203"/>
      <c r="K541" s="205"/>
      <c r="L541" s="205"/>
      <c r="M541" s="205"/>
    </row>
    <row r="542">
      <c r="A542" s="202" t="str">
        <f>IFERROR(__xludf.DUMMYFUNCTION("""COMPUTED_VALUE"""),"Bug Elementalist")</f>
        <v>Bug Elementalist</v>
      </c>
      <c r="B542" s="202" t="str">
        <f>IFERROR(__xludf.DUMMYFUNCTION("""COMPUTED_VALUE"""),"Elemental Affinity (Bug)")</f>
        <v>Elemental Affinity (Bug)</v>
      </c>
      <c r="C542" s="202" t="str">
        <f>IFERROR(__xludf.DUMMYFUNCTION("""COMPUTED_VALUE"""),"Static")</f>
        <v>Static</v>
      </c>
      <c r="D542" s="202" t="str">
        <f>IFERROR(__xludf.DUMMYFUNCTION("""COMPUTED_VALUE"""),"Effect: You learn two Attacks from the Tier 1 Bug Elementalist Attack List. At level 5, learn two more from the Tier 1 or 2 list. At Level 10, learn two more from the Tier 1, 2 or 3 List.")</f>
        <v>Effect: You learn two Attacks from the Tier 1 Bug Elementalist Attack List. At level 5, learn two more from the Tier 1 or 2 list. At Level 10, learn two more from the Tier 1, 2 or 3 List.</v>
      </c>
      <c r="E542" s="203"/>
      <c r="F542" s="204"/>
      <c r="G542" s="204"/>
      <c r="H542" s="204"/>
      <c r="I542" s="204"/>
      <c r="J542" s="203"/>
      <c r="K542" s="205"/>
      <c r="L542" s="205"/>
      <c r="M542" s="205"/>
    </row>
    <row r="543">
      <c r="A543" s="202" t="str">
        <f>IFERROR(__xludf.DUMMYFUNCTION("""COMPUTED_VALUE"""),"Insect Specialty Rank 1")</f>
        <v>Insect Specialty Rank 1</v>
      </c>
      <c r="B543" s="202" t="str">
        <f>IFERROR(__xludf.DUMMYFUNCTION("""COMPUTED_VALUE"""),"Bug Elementalist")</f>
        <v>Bug Elementalist</v>
      </c>
      <c r="C543" s="202" t="str">
        <f>IFERROR(__xludf.DUMMYFUNCTION("""COMPUTED_VALUE"""),"Static")</f>
        <v>Static</v>
      </c>
      <c r="D543" s="202"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3" s="203"/>
      <c r="F543" s="204"/>
      <c r="G543" s="204"/>
      <c r="H543" s="204"/>
      <c r="I543" s="204"/>
      <c r="J543" s="203"/>
      <c r="K543" s="205"/>
      <c r="L543" s="205"/>
      <c r="M543" s="205"/>
    </row>
    <row r="544">
      <c r="A544" s="202" t="str">
        <f>IFERROR(__xludf.DUMMYFUNCTION("""COMPUTED_VALUE"""),"Insect Specialty Rank 2")</f>
        <v>Insect Specialty Rank 2</v>
      </c>
      <c r="B544" s="202" t="str">
        <f>IFERROR(__xludf.DUMMYFUNCTION("""COMPUTED_VALUE"""),"Bug Elementalist, Level 5")</f>
        <v>Bug Elementalist, Level 5</v>
      </c>
      <c r="C544" s="202" t="str">
        <f>IFERROR(__xludf.DUMMYFUNCTION("""COMPUTED_VALUE"""),"Static")</f>
        <v>Static</v>
      </c>
      <c r="D544" s="202"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4" s="203"/>
      <c r="F544" s="204"/>
      <c r="G544" s="204"/>
      <c r="H544" s="204"/>
      <c r="I544" s="204"/>
      <c r="J544" s="203"/>
      <c r="K544" s="205"/>
      <c r="L544" s="205"/>
      <c r="M544" s="205"/>
    </row>
    <row r="545">
      <c r="A545" s="202" t="str">
        <f>IFERROR(__xludf.DUMMYFUNCTION("""COMPUTED_VALUE"""),"Insect Specialty Rank 3")</f>
        <v>Insect Specialty Rank 3</v>
      </c>
      <c r="B545" s="202" t="str">
        <f>IFERROR(__xludf.DUMMYFUNCTION("""COMPUTED_VALUE"""),"Bug Elementalist, Level 10")</f>
        <v>Bug Elementalist, Level 10</v>
      </c>
      <c r="C545" s="202" t="str">
        <f>IFERROR(__xludf.DUMMYFUNCTION("""COMPUTED_VALUE"""),"Static")</f>
        <v>Static</v>
      </c>
      <c r="D545" s="202"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5" s="203"/>
      <c r="F545" s="204"/>
      <c r="G545" s="204"/>
      <c r="H545" s="204"/>
      <c r="I545" s="204"/>
      <c r="J545" s="203"/>
      <c r="K545" s="205"/>
      <c r="L545" s="205"/>
      <c r="M545" s="205"/>
    </row>
    <row r="546">
      <c r="A546" s="202" t="str">
        <f>IFERROR(__xludf.DUMMYFUNCTION("""COMPUTED_VALUE"""),"Insect Tactics")</f>
        <v>Insect Tactics</v>
      </c>
      <c r="B546" s="202" t="str">
        <f>IFERROR(__xludf.DUMMYFUNCTION("""COMPUTED_VALUE"""),"Bug Elementalist, Level 5")</f>
        <v>Bug Elementalist, Level 5</v>
      </c>
      <c r="C546" s="202" t="str">
        <f>IFERROR(__xludf.DUMMYFUNCTION("""COMPUTED_VALUE"""),"Static")</f>
        <v>Static</v>
      </c>
      <c r="D546" s="202" t="str">
        <f>IFERROR(__xludf.DUMMYFUNCTION("""COMPUTED_VALUE"""),"Effect: Choose an Ability from the list below to gain. At Level 15, you may gain another Ability listed below:
» Battle Armor, Compound Eyes, Hyper Cutter, Keen Eye, Shed Skin, Silk Threads, Tinted Lens, Unnerve, Wonder Skin")</f>
        <v>Effect: Choose an Ability from the list below to gain. At Level 15, you may gain another Ability listed below:
» Battle Armor, Compound Eyes, Hyper Cutter, Keen Eye, Shed Skin, Silk Threads, Tinted Lens, Unnerve, Wonder Skin</v>
      </c>
      <c r="E546" s="203"/>
      <c r="F546" s="204"/>
      <c r="G546" s="204"/>
      <c r="H546" s="204"/>
      <c r="I546" s="204"/>
      <c r="J546" s="203"/>
      <c r="K546" s="205"/>
      <c r="L546" s="205"/>
      <c r="M546" s="205"/>
    </row>
    <row r="547">
      <c r="A547" s="202" t="str">
        <f>IFERROR(__xludf.DUMMYFUNCTION("""COMPUTED_VALUE"""),"Dark Elementalist")</f>
        <v>Dark Elementalist</v>
      </c>
      <c r="B547" s="202" t="str">
        <f>IFERROR(__xludf.DUMMYFUNCTION("""COMPUTED_VALUE"""),"Elemental Affinity (Dark)")</f>
        <v>Elemental Affinity (Dark)</v>
      </c>
      <c r="C547" s="202" t="str">
        <f>IFERROR(__xludf.DUMMYFUNCTION("""COMPUTED_VALUE"""),"Static")</f>
        <v>Static</v>
      </c>
      <c r="D547" s="202" t="str">
        <f>IFERROR(__xludf.DUMMYFUNCTION("""COMPUTED_VALUE"""),"Effect: You learn two Attacks from the Tier 1 Dark Elementalist Attack List. At Level 5, learn two more from the Tier 1 or 2 list. At Level 10, learn two more from the Tier 1, 2 or 3 List.")</f>
        <v>Effect: You learn two Attacks from the Tier 1 Dark Elementalist Attack List. At Level 5, learn two more from the Tier 1 or 2 list. At Level 10, learn two more from the Tier 1, 2 or 3 List.</v>
      </c>
      <c r="E547" s="203"/>
      <c r="F547" s="204"/>
      <c r="G547" s="204"/>
      <c r="H547" s="204"/>
      <c r="I547" s="204"/>
      <c r="J547" s="203"/>
      <c r="K547" s="205"/>
      <c r="L547" s="205"/>
      <c r="M547" s="205"/>
    </row>
    <row r="548">
      <c r="A548" s="202" t="str">
        <f>IFERROR(__xludf.DUMMYFUNCTION("""COMPUTED_VALUE"""),"Umbral Specialty Rank 1")</f>
        <v>Umbral Specialty Rank 1</v>
      </c>
      <c r="B548" s="202" t="str">
        <f>IFERROR(__xludf.DUMMYFUNCTION("""COMPUTED_VALUE"""),"Dark Elementalist")</f>
        <v>Dark Elementalist</v>
      </c>
      <c r="C548" s="202" t="str">
        <f>IFERROR(__xludf.DUMMYFUNCTION("""COMPUTED_VALUE"""),"Static")</f>
        <v>Static</v>
      </c>
      <c r="D548" s="202"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48" s="203"/>
      <c r="F548" s="204"/>
      <c r="G548" s="204"/>
      <c r="H548" s="204"/>
      <c r="I548" s="204"/>
      <c r="J548" s="203"/>
      <c r="K548" s="205"/>
      <c r="L548" s="205"/>
      <c r="M548" s="205"/>
    </row>
    <row r="549">
      <c r="A549" s="202" t="str">
        <f>IFERROR(__xludf.DUMMYFUNCTION("""COMPUTED_VALUE"""),"Umbral Specialty Rank 2")</f>
        <v>Umbral Specialty Rank 2</v>
      </c>
      <c r="B549" s="202" t="str">
        <f>IFERROR(__xludf.DUMMYFUNCTION("""COMPUTED_VALUE"""),"Dark Elementalist, Level 5")</f>
        <v>Dark Elementalist, Level 5</v>
      </c>
      <c r="C549" s="202" t="str">
        <f>IFERROR(__xludf.DUMMYFUNCTION("""COMPUTED_VALUE"""),"Static")</f>
        <v>Static</v>
      </c>
      <c r="D549" s="202"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49" s="203"/>
      <c r="F549" s="204"/>
      <c r="G549" s="204"/>
      <c r="H549" s="204"/>
      <c r="I549" s="204"/>
      <c r="J549" s="203"/>
      <c r="K549" s="205"/>
      <c r="L549" s="205"/>
      <c r="M549" s="205"/>
    </row>
    <row r="550">
      <c r="A550" s="202" t="str">
        <f>IFERROR(__xludf.DUMMYFUNCTION("""COMPUTED_VALUE"""),"Umbral Specialty Rank 3")</f>
        <v>Umbral Specialty Rank 3</v>
      </c>
      <c r="B550" s="202" t="str">
        <f>IFERROR(__xludf.DUMMYFUNCTION("""COMPUTED_VALUE"""),"Dark Elementalist, Level 10")</f>
        <v>Dark Elementalist, Level 10</v>
      </c>
      <c r="C550" s="202" t="str">
        <f>IFERROR(__xludf.DUMMYFUNCTION("""COMPUTED_VALUE"""),"Static")</f>
        <v>Static</v>
      </c>
      <c r="D550" s="202"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50" s="203"/>
      <c r="F550" s="204"/>
      <c r="G550" s="204"/>
      <c r="H550" s="204"/>
      <c r="I550" s="204"/>
      <c r="J550" s="203"/>
      <c r="K550" s="205"/>
      <c r="L550" s="205"/>
      <c r="M550" s="205"/>
    </row>
    <row r="551">
      <c r="A551" s="202" t="str">
        <f>IFERROR(__xludf.DUMMYFUNCTION("""COMPUTED_VALUE"""),"Devious Tactics")</f>
        <v>Devious Tactics</v>
      </c>
      <c r="B551" s="202" t="str">
        <f>IFERROR(__xludf.DUMMYFUNCTION("""COMPUTED_VALUE"""),"Dark Elementalist, Level 5")</f>
        <v>Dark Elementalist, Level 5</v>
      </c>
      <c r="C551" s="202" t="str">
        <f>IFERROR(__xludf.DUMMYFUNCTION("""COMPUTED_VALUE"""),"Static")</f>
        <v>Static</v>
      </c>
      <c r="D551" s="202" t="str">
        <f>IFERROR(__xludf.DUMMYFUNCTION("""COMPUTED_VALUE"""),"Effect: Choose an Ability from the list below to gain. At Level 15, you may gain another Ability listed below:
» Cruelty, Dusk Body, Infiltrator, Intimidate, Nightfall, Shadow Shield, Shadow Tag, Spectral Cloak")</f>
        <v>Effect: Choose an Ability from the list below to gain. At Level 15, you may gain another Ability listed below:
» Cruelty, Dusk Body, Infiltrator, Intimidate, Nightfall, Shadow Shield, Shadow Tag, Spectral Cloak</v>
      </c>
      <c r="E551" s="203"/>
      <c r="F551" s="204"/>
      <c r="G551" s="204"/>
      <c r="H551" s="204"/>
      <c r="I551" s="204"/>
      <c r="J551" s="203"/>
      <c r="K551" s="205"/>
      <c r="L551" s="205"/>
      <c r="M551" s="205"/>
    </row>
    <row r="552">
      <c r="A552" s="202" t="str">
        <f>IFERROR(__xludf.DUMMYFUNCTION("""COMPUTED_VALUE"""),"Dragon Elementalist")</f>
        <v>Dragon Elementalist</v>
      </c>
      <c r="B552" s="202" t="str">
        <f>IFERROR(__xludf.DUMMYFUNCTION("""COMPUTED_VALUE"""),"Elemental Affinity (Dragon)")</f>
        <v>Elemental Affinity (Dragon)</v>
      </c>
      <c r="C552" s="202" t="str">
        <f>IFERROR(__xludf.DUMMYFUNCTION("""COMPUTED_VALUE"""),"Static")</f>
        <v>Static</v>
      </c>
      <c r="D552" s="202" t="str">
        <f>IFERROR(__xludf.DUMMYFUNCTION("""COMPUTED_VALUE"""),"Effect: You learn two Attacks from the Tier 1 Dragon Elementalist Attack List. At Level 5, learn two more from the Tier 1 or 2 list. At Level 10, learn two more from the Tier 1, 2 or 3 List.")</f>
        <v>Effect: You learn two Attacks from the Tier 1 Dragon Elementalist Attack List. At Level 5, learn two more from the Tier 1 or 2 list. At Level 10, learn two more from the Tier 1, 2 or 3 List.</v>
      </c>
      <c r="E552" s="203"/>
      <c r="F552" s="204"/>
      <c r="G552" s="204"/>
      <c r="H552" s="204"/>
      <c r="I552" s="204"/>
      <c r="J552" s="203"/>
      <c r="K552" s="205"/>
      <c r="L552" s="205"/>
      <c r="M552" s="205"/>
    </row>
    <row r="553">
      <c r="A553" s="202" t="str">
        <f>IFERROR(__xludf.DUMMYFUNCTION("""COMPUTED_VALUE"""),"Draconic Specialty Rank 1")</f>
        <v>Draconic Specialty Rank 1</v>
      </c>
      <c r="B553" s="202" t="str">
        <f>IFERROR(__xludf.DUMMYFUNCTION("""COMPUTED_VALUE"""),"Dragon Elementalist")</f>
        <v>Dragon Elementalist</v>
      </c>
      <c r="C553" s="202" t="str">
        <f>IFERROR(__xludf.DUMMYFUNCTION("""COMPUTED_VALUE"""),"Static")</f>
        <v>Static</v>
      </c>
      <c r="D553" s="202"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3" s="203"/>
      <c r="F553" s="204"/>
      <c r="G553" s="204"/>
      <c r="H553" s="204"/>
      <c r="I553" s="204"/>
      <c r="J553" s="203"/>
      <c r="K553" s="205"/>
      <c r="L553" s="205"/>
      <c r="M553" s="205"/>
    </row>
    <row r="554">
      <c r="A554" s="202" t="str">
        <f>IFERROR(__xludf.DUMMYFUNCTION("""COMPUTED_VALUE"""),"Draconic Specialty Rank 2")</f>
        <v>Draconic Specialty Rank 2</v>
      </c>
      <c r="B554" s="202" t="str">
        <f>IFERROR(__xludf.DUMMYFUNCTION("""COMPUTED_VALUE"""),"Dragon Elementalist, Level 5")</f>
        <v>Dragon Elementalist, Level 5</v>
      </c>
      <c r="C554" s="202" t="str">
        <f>IFERROR(__xludf.DUMMYFUNCTION("""COMPUTED_VALUE"""),"Static")</f>
        <v>Static</v>
      </c>
      <c r="D554" s="202"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4" s="203"/>
      <c r="F554" s="204"/>
      <c r="G554" s="204"/>
      <c r="H554" s="204"/>
      <c r="I554" s="204"/>
      <c r="J554" s="203"/>
      <c r="K554" s="205"/>
      <c r="L554" s="205"/>
      <c r="M554" s="205"/>
    </row>
    <row r="555">
      <c r="A555" s="202" t="str">
        <f>IFERROR(__xludf.DUMMYFUNCTION("""COMPUTED_VALUE"""),"Draconic Specialty Rank 3")</f>
        <v>Draconic Specialty Rank 3</v>
      </c>
      <c r="B555" s="202" t="str">
        <f>IFERROR(__xludf.DUMMYFUNCTION("""COMPUTED_VALUE"""),"Dragon Elementalist, Level 10")</f>
        <v>Dragon Elementalist, Level 10</v>
      </c>
      <c r="C555" s="202" t="str">
        <f>IFERROR(__xludf.DUMMYFUNCTION("""COMPUTED_VALUE"""),"Static")</f>
        <v>Static</v>
      </c>
      <c r="D555" s="202"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5" s="203"/>
      <c r="F555" s="204"/>
      <c r="G555" s="204"/>
      <c r="H555" s="204"/>
      <c r="I555" s="204"/>
      <c r="J555" s="203"/>
      <c r="K555" s="205"/>
      <c r="L555" s="205"/>
      <c r="M555" s="205"/>
    </row>
    <row r="556">
      <c r="A556" s="202" t="str">
        <f>IFERROR(__xludf.DUMMYFUNCTION("""COMPUTED_VALUE"""),"Draconic Tactics")</f>
        <v>Draconic Tactics</v>
      </c>
      <c r="B556" s="202" t="str">
        <f>IFERROR(__xludf.DUMMYFUNCTION("""COMPUTED_VALUE"""),"Dragon Elementalist, Level 5")</f>
        <v>Dragon Elementalist, Level 5</v>
      </c>
      <c r="C556" s="202" t="str">
        <f>IFERROR(__xludf.DUMMYFUNCTION("""COMPUTED_VALUE"""),"Static")</f>
        <v>Static</v>
      </c>
      <c r="D556" s="202" t="str">
        <f>IFERROR(__xludf.DUMMYFUNCTION("""COMPUTED_VALUE"""),"Effect: Choose an Ability from the list below to gain. At Level 15, you may gain another Ability listed below:
» Conqueror, Defiant, Intimidate, Mold Breaker, Multiscale, Pressure, Pride, Regal Challenge, Sheer Force")</f>
        <v>Effect: Choose an Ability from the list below to gain. At Level 15, you may gain another Ability listed below:
» Conqueror, Defiant, Intimidate, Mold Breaker, Multiscale, Pressure, Pride, Regal Challenge, Sheer Force</v>
      </c>
      <c r="E556" s="203"/>
      <c r="F556" s="204"/>
      <c r="G556" s="204"/>
      <c r="H556" s="204"/>
      <c r="I556" s="204"/>
      <c r="J556" s="203"/>
      <c r="K556" s="205"/>
      <c r="L556" s="205"/>
      <c r="M556" s="205"/>
    </row>
    <row r="557">
      <c r="A557" s="202" t="str">
        <f>IFERROR(__xludf.DUMMYFUNCTION("""COMPUTED_VALUE"""),"Electric Elementalist")</f>
        <v>Electric Elementalist</v>
      </c>
      <c r="B557" s="202" t="str">
        <f>IFERROR(__xludf.DUMMYFUNCTION("""COMPUTED_VALUE"""),"Elemental Affinity (Electric)")</f>
        <v>Elemental Affinity (Electric)</v>
      </c>
      <c r="C557" s="202" t="str">
        <f>IFERROR(__xludf.DUMMYFUNCTION("""COMPUTED_VALUE"""),"Static")</f>
        <v>Static</v>
      </c>
      <c r="D557" s="202" t="str">
        <f>IFERROR(__xludf.DUMMYFUNCTION("""COMPUTED_VALUE"""),"Effect: You learn two Attacks from the Tier 1 Electric Elementalist Attack List. At Level 5, learn two more from the Tier 1 or 2 list. At Level 10, learn two more from the Tier 1, 2 or 3 List.")</f>
        <v>Effect: You learn two Attacks from the Tier 1 Electric Elementalist Attack List. At Level 5, learn two more from the Tier 1 or 2 list. At Level 10, learn two more from the Tier 1, 2 or 3 List.</v>
      </c>
      <c r="E557" s="203"/>
      <c r="F557" s="204"/>
      <c r="G557" s="204"/>
      <c r="H557" s="204"/>
      <c r="I557" s="204"/>
      <c r="J557" s="203"/>
      <c r="K557" s="205"/>
      <c r="L557" s="205"/>
      <c r="M557" s="205"/>
    </row>
    <row r="558">
      <c r="A558" s="202" t="str">
        <f>IFERROR(__xludf.DUMMYFUNCTION("""COMPUTED_VALUE"""),"Shocking Specialty Rank 1")</f>
        <v>Shocking Specialty Rank 1</v>
      </c>
      <c r="B558" s="202" t="str">
        <f>IFERROR(__xludf.DUMMYFUNCTION("""COMPUTED_VALUE"""),"Electric Elementalist")</f>
        <v>Electric Elementalist</v>
      </c>
      <c r="C558" s="202" t="str">
        <f>IFERROR(__xludf.DUMMYFUNCTION("""COMPUTED_VALUE"""),"Static")</f>
        <v>Static</v>
      </c>
      <c r="D558" s="202"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58" s="203"/>
      <c r="F558" s="204"/>
      <c r="G558" s="204"/>
      <c r="H558" s="204"/>
      <c r="I558" s="204"/>
      <c r="J558" s="203"/>
      <c r="K558" s="205"/>
      <c r="L558" s="205"/>
      <c r="M558" s="205"/>
    </row>
    <row r="559">
      <c r="A559" s="202" t="str">
        <f>IFERROR(__xludf.DUMMYFUNCTION("""COMPUTED_VALUE"""),"Shocking Specialty Rank 2")</f>
        <v>Shocking Specialty Rank 2</v>
      </c>
      <c r="B559" s="202" t="str">
        <f>IFERROR(__xludf.DUMMYFUNCTION("""COMPUTED_VALUE"""),"Electric Elementalist, Level 5")</f>
        <v>Electric Elementalist, Level 5</v>
      </c>
      <c r="C559" s="202" t="str">
        <f>IFERROR(__xludf.DUMMYFUNCTION("""COMPUTED_VALUE"""),"Static")</f>
        <v>Static</v>
      </c>
      <c r="D559" s="202"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59" s="203"/>
      <c r="F559" s="204"/>
      <c r="G559" s="204"/>
      <c r="H559" s="204"/>
      <c r="I559" s="204"/>
      <c r="J559" s="203"/>
      <c r="K559" s="205"/>
      <c r="L559" s="205"/>
      <c r="M559" s="205"/>
    </row>
    <row r="560">
      <c r="A560" s="202" t="str">
        <f>IFERROR(__xludf.DUMMYFUNCTION("""COMPUTED_VALUE"""),"Shocking Specialty Rank 3")</f>
        <v>Shocking Specialty Rank 3</v>
      </c>
      <c r="B560" s="202" t="str">
        <f>IFERROR(__xludf.DUMMYFUNCTION("""COMPUTED_VALUE"""),"Electric Elementalist, Level 10")</f>
        <v>Electric Elementalist, Level 10</v>
      </c>
      <c r="C560" s="202" t="str">
        <f>IFERROR(__xludf.DUMMYFUNCTION("""COMPUTED_VALUE"""),"Static")</f>
        <v>Static</v>
      </c>
      <c r="D560" s="202"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60" s="203"/>
      <c r="F560" s="204"/>
      <c r="G560" s="204"/>
      <c r="H560" s="204"/>
      <c r="I560" s="204"/>
      <c r="J560" s="203"/>
      <c r="K560" s="205"/>
      <c r="L560" s="205"/>
      <c r="M560" s="205"/>
    </row>
    <row r="561">
      <c r="A561" s="202" t="str">
        <f>IFERROR(__xludf.DUMMYFUNCTION("""COMPUTED_VALUE"""),"Charged Tactics")</f>
        <v>Charged Tactics</v>
      </c>
      <c r="B561" s="202" t="str">
        <f>IFERROR(__xludf.DUMMYFUNCTION("""COMPUTED_VALUE"""),"Electric Elementalist, Level 5")</f>
        <v>Electric Elementalist, Level 5</v>
      </c>
      <c r="C561" s="202" t="str">
        <f>IFERROR(__xludf.DUMMYFUNCTION("""COMPUTED_VALUE"""),"Static")</f>
        <v>Static</v>
      </c>
      <c r="D561" s="202" t="str">
        <f>IFERROR(__xludf.DUMMYFUNCTION("""COMPUTED_VALUE"""),"Effect: Choose an Ability from the list below to gain. At Level 15, you may gain another Ability listed below:
» Battery, Electric Surge, Electrodash, Illuminate, Ionic Charge, Static, Stormlord, Volt Absorb")</f>
        <v>Effect: Choose an Ability from the list below to gain. At Level 15, you may gain another Ability listed below:
» Battery, Electric Surge, Electrodash, Illuminate, Ionic Charge, Static, Stormlord, Volt Absorb</v>
      </c>
      <c r="E561" s="203"/>
      <c r="F561" s="204"/>
      <c r="G561" s="204"/>
      <c r="H561" s="204"/>
      <c r="I561" s="204"/>
      <c r="J561" s="203"/>
      <c r="K561" s="205"/>
      <c r="L561" s="205"/>
      <c r="M561" s="205"/>
    </row>
    <row r="562">
      <c r="A562" s="202" t="str">
        <f>IFERROR(__xludf.DUMMYFUNCTION("""COMPUTED_VALUE"""),"Fairy Elementalist")</f>
        <v>Fairy Elementalist</v>
      </c>
      <c r="B562" s="202" t="str">
        <f>IFERROR(__xludf.DUMMYFUNCTION("""COMPUTED_VALUE"""),"Elemental Affinity (Fairy)")</f>
        <v>Elemental Affinity (Fairy)</v>
      </c>
      <c r="C562" s="202" t="str">
        <f>IFERROR(__xludf.DUMMYFUNCTION("""COMPUTED_VALUE"""),"Static")</f>
        <v>Static</v>
      </c>
      <c r="D562" s="202" t="str">
        <f>IFERROR(__xludf.DUMMYFUNCTION("""COMPUTED_VALUE"""),"Effect: You learn two Attacks from the Tier 1 Fairy Elementalist Attack List. At Level 5, learn two more from the Tier 1 or 2 list. At Level 10, learn two more from the Tier 1, 2 or 3 List.")</f>
        <v>Effect: You learn two Attacks from the Tier 1 Fairy Elementalist Attack List. At Level 5, learn two more from the Tier 1 or 2 list. At Level 10, learn two more from the Tier 1, 2 or 3 List.</v>
      </c>
      <c r="E562" s="203"/>
      <c r="F562" s="204"/>
      <c r="G562" s="204"/>
      <c r="H562" s="204"/>
      <c r="I562" s="204"/>
      <c r="J562" s="203"/>
      <c r="K562" s="205"/>
      <c r="L562" s="205"/>
      <c r="M562" s="205"/>
    </row>
    <row r="563">
      <c r="A563" s="202" t="str">
        <f>IFERROR(__xludf.DUMMYFUNCTION("""COMPUTED_VALUE"""),"Fae Specialty Rank 1")</f>
        <v>Fae Specialty Rank 1</v>
      </c>
      <c r="B563" s="202" t="str">
        <f>IFERROR(__xludf.DUMMYFUNCTION("""COMPUTED_VALUE"""),"Fairy Elementalist")</f>
        <v>Fairy Elementalist</v>
      </c>
      <c r="C563" s="202" t="str">
        <f>IFERROR(__xludf.DUMMYFUNCTION("""COMPUTED_VALUE"""),"Static")</f>
        <v>Static</v>
      </c>
      <c r="D563" s="202"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3" s="203"/>
      <c r="F563" s="204"/>
      <c r="G563" s="204"/>
      <c r="H563" s="204"/>
      <c r="I563" s="204"/>
      <c r="J563" s="203"/>
      <c r="K563" s="205"/>
      <c r="L563" s="205"/>
      <c r="M563" s="205"/>
    </row>
    <row r="564">
      <c r="A564" s="202" t="str">
        <f>IFERROR(__xludf.DUMMYFUNCTION("""COMPUTED_VALUE"""),"Fae Specialty Rank 2")</f>
        <v>Fae Specialty Rank 2</v>
      </c>
      <c r="B564" s="202" t="str">
        <f>IFERROR(__xludf.DUMMYFUNCTION("""COMPUTED_VALUE"""),"Fairy Elementalist, Level 5")</f>
        <v>Fairy Elementalist, Level 5</v>
      </c>
      <c r="C564" s="202" t="str">
        <f>IFERROR(__xludf.DUMMYFUNCTION("""COMPUTED_VALUE"""),"Static")</f>
        <v>Static</v>
      </c>
      <c r="D564" s="202"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4" s="203"/>
      <c r="F564" s="204"/>
      <c r="G564" s="204"/>
      <c r="H564" s="204"/>
      <c r="I564" s="204"/>
      <c r="J564" s="203"/>
      <c r="K564" s="205"/>
      <c r="L564" s="205"/>
      <c r="M564" s="205"/>
    </row>
    <row r="565">
      <c r="A565" s="202" t="str">
        <f>IFERROR(__xludf.DUMMYFUNCTION("""COMPUTED_VALUE"""),"Fae Specialty Rank 3")</f>
        <v>Fae Specialty Rank 3</v>
      </c>
      <c r="B565" s="202" t="str">
        <f>IFERROR(__xludf.DUMMYFUNCTION("""COMPUTED_VALUE"""),"Fairy Elementalist, Level 10")</f>
        <v>Fairy Elementalist, Level 10</v>
      </c>
      <c r="C565" s="202" t="str">
        <f>IFERROR(__xludf.DUMMYFUNCTION("""COMPUTED_VALUE"""),"Static")</f>
        <v>Static</v>
      </c>
      <c r="D565" s="202"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5" s="203"/>
      <c r="F565" s="204"/>
      <c r="G565" s="204"/>
      <c r="H565" s="204"/>
      <c r="I565" s="204"/>
      <c r="J565" s="203"/>
      <c r="K565" s="205"/>
      <c r="L565" s="205"/>
      <c r="M565" s="205"/>
    </row>
    <row r="566">
      <c r="A566" s="202" t="str">
        <f>IFERROR(__xludf.DUMMYFUNCTION("""COMPUTED_VALUE"""),"Ancient Tactics")</f>
        <v>Ancient Tactics</v>
      </c>
      <c r="B566" s="202" t="str">
        <f>IFERROR(__xludf.DUMMYFUNCTION("""COMPUTED_VALUE"""),"Fairy Elementalist, Level 5")</f>
        <v>Fairy Elementalist, Level 5</v>
      </c>
      <c r="C566" s="202" t="str">
        <f>IFERROR(__xludf.DUMMYFUNCTION("""COMPUTED_VALUE"""),"Static")</f>
        <v>Static</v>
      </c>
      <c r="D566" s="202" t="str">
        <f>IFERROR(__xludf.DUMMYFUNCTION("""COMPUTED_VALUE"""),"Effect: Choose an Ability from the list below to gain. At Level 15, you may gain another Ability listed below:
» Blessed Touch, Cute Charm, Gentle Vibe, Healer, Misty Surge, Mystical Mist, Mystic Veil, Prankster")</f>
        <v>Effect: Choose an Ability from the list below to gain. At Level 15, you may gain another Ability listed below:
» Blessed Touch, Cute Charm, Gentle Vibe, Healer, Misty Surge, Mystical Mist, Mystic Veil, Prankster</v>
      </c>
      <c r="E566" s="203"/>
      <c r="F566" s="204"/>
      <c r="G566" s="204"/>
      <c r="H566" s="204"/>
      <c r="I566" s="204"/>
      <c r="J566" s="203"/>
      <c r="K566" s="205"/>
      <c r="L566" s="205"/>
      <c r="M566" s="205"/>
    </row>
    <row r="567">
      <c r="A567" s="202" t="str">
        <f>IFERROR(__xludf.DUMMYFUNCTION("""COMPUTED_VALUE"""),"Fighting Elementalist")</f>
        <v>Fighting Elementalist</v>
      </c>
      <c r="B567" s="202" t="str">
        <f>IFERROR(__xludf.DUMMYFUNCTION("""COMPUTED_VALUE"""),"Elemental Affinity (Fighting)")</f>
        <v>Elemental Affinity (Fighting)</v>
      </c>
      <c r="C567" s="202" t="str">
        <f>IFERROR(__xludf.DUMMYFUNCTION("""COMPUTED_VALUE"""),"Static")</f>
        <v>Static</v>
      </c>
      <c r="D567" s="202" t="str">
        <f>IFERROR(__xludf.DUMMYFUNCTION("""COMPUTED_VALUE"""),"Effect: You learn two Attacks from the Tier 1 Fighting Elementalist Attack List. At Level 5, learn two more from the Tier 1 or 2 list. At Level 10, learn two more from the Tier 1, 2 or 3 List.")</f>
        <v>Effect: You learn two Attacks from the Tier 1 Fighting Elementalist Attack List. At Level 5, learn two more from the Tier 1 or 2 list. At Level 10, learn two more from the Tier 1, 2 or 3 List.</v>
      </c>
      <c r="E567" s="203"/>
      <c r="F567" s="204"/>
      <c r="G567" s="204"/>
      <c r="H567" s="204"/>
      <c r="I567" s="204"/>
      <c r="J567" s="203"/>
      <c r="K567" s="205"/>
      <c r="L567" s="205"/>
      <c r="M567" s="205"/>
    </row>
    <row r="568">
      <c r="A568" s="202" t="str">
        <f>IFERROR(__xludf.DUMMYFUNCTION("""COMPUTED_VALUE"""),"Combat Specialty Rank 1")</f>
        <v>Combat Specialty Rank 1</v>
      </c>
      <c r="B568" s="202" t="str">
        <f>IFERROR(__xludf.DUMMYFUNCTION("""COMPUTED_VALUE"""),"Fighting Elementalist")</f>
        <v>Fighting Elementalist</v>
      </c>
      <c r="C568" s="202" t="str">
        <f>IFERROR(__xludf.DUMMYFUNCTION("""COMPUTED_VALUE"""),"Static")</f>
        <v>Static</v>
      </c>
      <c r="D568" s="202"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68" s="203"/>
      <c r="F568" s="204"/>
      <c r="G568" s="204"/>
      <c r="H568" s="204"/>
      <c r="I568" s="204"/>
      <c r="J568" s="203"/>
      <c r="K568" s="205"/>
      <c r="L568" s="205"/>
      <c r="M568" s="205"/>
    </row>
    <row r="569">
      <c r="A569" s="202" t="str">
        <f>IFERROR(__xludf.DUMMYFUNCTION("""COMPUTED_VALUE"""),"Combat Specialty Rank 2")</f>
        <v>Combat Specialty Rank 2</v>
      </c>
      <c r="B569" s="202" t="str">
        <f>IFERROR(__xludf.DUMMYFUNCTION("""COMPUTED_VALUE"""),"Fighting Elementalist, Level 5")</f>
        <v>Fighting Elementalist, Level 5</v>
      </c>
      <c r="C569" s="202" t="str">
        <f>IFERROR(__xludf.DUMMYFUNCTION("""COMPUTED_VALUE"""),"Static")</f>
        <v>Static</v>
      </c>
      <c r="D569" s="202"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69" s="203"/>
      <c r="F569" s="204"/>
      <c r="G569" s="204"/>
      <c r="H569" s="204"/>
      <c r="I569" s="204"/>
      <c r="J569" s="203"/>
      <c r="K569" s="205"/>
      <c r="L569" s="205"/>
      <c r="M569" s="205"/>
    </row>
    <row r="570">
      <c r="A570" s="202" t="str">
        <f>IFERROR(__xludf.DUMMYFUNCTION("""COMPUTED_VALUE"""),"Combat Specialty Rank 3")</f>
        <v>Combat Specialty Rank 3</v>
      </c>
      <c r="B570" s="202" t="str">
        <f>IFERROR(__xludf.DUMMYFUNCTION("""COMPUTED_VALUE"""),"Fighting Elementalist, Level 10")</f>
        <v>Fighting Elementalist, Level 10</v>
      </c>
      <c r="C570" s="202" t="str">
        <f>IFERROR(__xludf.DUMMYFUNCTION("""COMPUTED_VALUE"""),"Static")</f>
        <v>Static</v>
      </c>
      <c r="D570" s="202"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70" s="203"/>
      <c r="F570" s="204"/>
      <c r="G570" s="204"/>
      <c r="H570" s="204"/>
      <c r="I570" s="204"/>
      <c r="J570" s="203"/>
      <c r="K570" s="205"/>
      <c r="L570" s="205"/>
      <c r="M570" s="205"/>
    </row>
    <row r="571">
      <c r="A571" s="202" t="str">
        <f>IFERROR(__xludf.DUMMYFUNCTION("""COMPUTED_VALUE"""),"Martial Tactics")</f>
        <v>Martial Tactics</v>
      </c>
      <c r="B571" s="202" t="str">
        <f>IFERROR(__xludf.DUMMYFUNCTION("""COMPUTED_VALUE"""),"Fighting Elementalist, Level 5")</f>
        <v>Fighting Elementalist, Level 5</v>
      </c>
      <c r="C571" s="202" t="str">
        <f>IFERROR(__xludf.DUMMYFUNCTION("""COMPUTED_VALUE"""),"Static")</f>
        <v>Static</v>
      </c>
      <c r="D571" s="202" t="str">
        <f>IFERROR(__xludf.DUMMYFUNCTION("""COMPUTED_VALUE"""),"Effect: Choose an Ability from the list below to gain. At Level 15, you may gain another Ability listed below:
» Aura Surge, Discipline, Huge Power, Guts, Inner Focus, Iron Fist, No Guard, Scrappy, Vital Spirit")</f>
        <v>Effect: Choose an Ability from the list below to gain. At Level 15, you may gain another Ability listed below:
» Aura Surge, Discipline, Huge Power, Guts, Inner Focus, Iron Fist, No Guard, Scrappy, Vital Spirit</v>
      </c>
      <c r="E571" s="203"/>
      <c r="F571" s="204"/>
      <c r="G571" s="204"/>
      <c r="H571" s="204"/>
      <c r="I571" s="204"/>
      <c r="J571" s="203"/>
      <c r="K571" s="205"/>
      <c r="L571" s="205"/>
      <c r="M571" s="205"/>
    </row>
    <row r="572">
      <c r="A572" s="202" t="str">
        <f>IFERROR(__xludf.DUMMYFUNCTION("""COMPUTED_VALUE"""),"Fire Elementalist")</f>
        <v>Fire Elementalist</v>
      </c>
      <c r="B572" s="202" t="str">
        <f>IFERROR(__xludf.DUMMYFUNCTION("""COMPUTED_VALUE"""),"Elemental Affinity (Fire)")</f>
        <v>Elemental Affinity (Fire)</v>
      </c>
      <c r="C572" s="202" t="str">
        <f>IFERROR(__xludf.DUMMYFUNCTION("""COMPUTED_VALUE"""),"Static")</f>
        <v>Static</v>
      </c>
      <c r="D572" s="202" t="str">
        <f>IFERROR(__xludf.DUMMYFUNCTION("""COMPUTED_VALUE"""),"Effect: You learn two Attacks from the Tier 1 Fire Elementalist Attack List. At Level 5, learn two more from the Tier 1 or 2 list. At Level 10, learn two more from the Tier 1, 2 or 3 List.")</f>
        <v>Effect: You learn two Attacks from the Tier 1 Fire Elementalist Attack List. At Level 5, learn two more from the Tier 1 or 2 list. At Level 10, learn two more from the Tier 1, 2 or 3 List.</v>
      </c>
      <c r="E572" s="203"/>
      <c r="F572" s="204"/>
      <c r="G572" s="204"/>
      <c r="H572" s="204"/>
      <c r="I572" s="204"/>
      <c r="J572" s="203"/>
      <c r="K572" s="205"/>
      <c r="L572" s="205"/>
      <c r="M572" s="205"/>
    </row>
    <row r="573">
      <c r="A573" s="202" t="str">
        <f>IFERROR(__xludf.DUMMYFUNCTION("""COMPUTED_VALUE"""),"Scorching Specialty Rank 1")</f>
        <v>Scorching Specialty Rank 1</v>
      </c>
      <c r="B573" s="202" t="str">
        <f>IFERROR(__xludf.DUMMYFUNCTION("""COMPUTED_VALUE"""),"Fire Elementalist")</f>
        <v>Fire Elementalist</v>
      </c>
      <c r="C573" s="202" t="str">
        <f>IFERROR(__xludf.DUMMYFUNCTION("""COMPUTED_VALUE"""),"Static")</f>
        <v>Static</v>
      </c>
      <c r="D573" s="202"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3" s="203"/>
      <c r="F573" s="204"/>
      <c r="G573" s="204"/>
      <c r="H573" s="204"/>
      <c r="I573" s="204"/>
      <c r="J573" s="203"/>
      <c r="K573" s="205"/>
      <c r="L573" s="205"/>
      <c r="M573" s="205"/>
    </row>
    <row r="574">
      <c r="A574" s="202" t="str">
        <f>IFERROR(__xludf.DUMMYFUNCTION("""COMPUTED_VALUE"""),"Scorching Specialty Rank 2")</f>
        <v>Scorching Specialty Rank 2</v>
      </c>
      <c r="B574" s="202" t="str">
        <f>IFERROR(__xludf.DUMMYFUNCTION("""COMPUTED_VALUE"""),"Fire Elementalist, Level 5")</f>
        <v>Fire Elementalist, Level 5</v>
      </c>
      <c r="C574" s="202" t="str">
        <f>IFERROR(__xludf.DUMMYFUNCTION("""COMPUTED_VALUE"""),"Static")</f>
        <v>Static</v>
      </c>
      <c r="D574" s="202"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4" s="203"/>
      <c r="F574" s="204"/>
      <c r="G574" s="204"/>
      <c r="H574" s="204"/>
      <c r="I574" s="204"/>
      <c r="J574" s="203"/>
      <c r="K574" s="205"/>
      <c r="L574" s="205"/>
      <c r="M574" s="205"/>
    </row>
    <row r="575">
      <c r="A575" s="202" t="str">
        <f>IFERROR(__xludf.DUMMYFUNCTION("""COMPUTED_VALUE"""),"Scorching Specialty Rank 3")</f>
        <v>Scorching Specialty Rank 3</v>
      </c>
      <c r="B575" s="202" t="str">
        <f>IFERROR(__xludf.DUMMYFUNCTION("""COMPUTED_VALUE"""),"Fire Elementalist, Level 10")</f>
        <v>Fire Elementalist, Level 10</v>
      </c>
      <c r="C575" s="202" t="str">
        <f>IFERROR(__xludf.DUMMYFUNCTION("""COMPUTED_VALUE"""),"Static")</f>
        <v>Static</v>
      </c>
      <c r="D575" s="202"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5" s="203"/>
      <c r="F575" s="204"/>
      <c r="G575" s="204"/>
      <c r="H575" s="204"/>
      <c r="I575" s="204"/>
      <c r="J575" s="203"/>
      <c r="K575" s="205"/>
      <c r="L575" s="205"/>
      <c r="M575" s="205"/>
    </row>
    <row r="576">
      <c r="A576" s="202" t="str">
        <f>IFERROR(__xludf.DUMMYFUNCTION("""COMPUTED_VALUE"""),"Flaming Tactics")</f>
        <v>Flaming Tactics</v>
      </c>
      <c r="B576" s="202" t="str">
        <f>IFERROR(__xludf.DUMMYFUNCTION("""COMPUTED_VALUE"""),"Fire Elementalist, Level 5")</f>
        <v>Fire Elementalist, Level 5</v>
      </c>
      <c r="C576" s="202" t="str">
        <f>IFERROR(__xludf.DUMMYFUNCTION("""COMPUTED_VALUE"""),"Static")</f>
        <v>Static</v>
      </c>
      <c r="D576" s="202" t="str">
        <f>IFERROR(__xludf.DUMMYFUNCTION("""COMPUTED_VALUE"""),"Effect: Choose an Ability from the list below to gain. At Level 15, you may gain another Ability listed below:
» Drought, Fiery Crash, Flame Body, Heat Mirage, Magma Armor, Molten Ground")</f>
        <v>Effect: Choose an Ability from the list below to gain. At Level 15, you may gain another Ability listed below:
» Drought, Fiery Crash, Flame Body, Heat Mirage, Magma Armor, Molten Ground</v>
      </c>
      <c r="E576" s="203"/>
      <c r="F576" s="204"/>
      <c r="G576" s="204"/>
      <c r="H576" s="204"/>
      <c r="I576" s="204"/>
      <c r="J576" s="203"/>
      <c r="K576" s="205"/>
      <c r="L576" s="205"/>
      <c r="M576" s="205"/>
    </row>
    <row r="577">
      <c r="A577" s="202" t="str">
        <f>IFERROR(__xludf.DUMMYFUNCTION("""COMPUTED_VALUE"""),"Flying Elementalist")</f>
        <v>Flying Elementalist</v>
      </c>
      <c r="B577" s="202" t="str">
        <f>IFERROR(__xludf.DUMMYFUNCTION("""COMPUTED_VALUE"""),"Elemental Affinity (Flying)")</f>
        <v>Elemental Affinity (Flying)</v>
      </c>
      <c r="C577" s="202" t="str">
        <f>IFERROR(__xludf.DUMMYFUNCTION("""COMPUTED_VALUE"""),"Static")</f>
        <v>Static</v>
      </c>
      <c r="D577" s="202" t="str">
        <f>IFERROR(__xludf.DUMMYFUNCTION("""COMPUTED_VALUE"""),"Effect: You learn two Attacks from the Tier 1 Flying Elementalist Attack List. At Level 5, learn two more from the Tier 1 or 2 list. At Level 10, learn two more from the Tier 1, 2 or 3 List.")</f>
        <v>Effect: You learn two Attacks from the Tier 1 Flying Elementalist Attack List. At Level 5, learn two more from the Tier 1 or 2 list. At Level 10, learn two more from the Tier 1, 2 or 3 List.</v>
      </c>
      <c r="E577" s="203"/>
      <c r="F577" s="204"/>
      <c r="G577" s="204"/>
      <c r="H577" s="204"/>
      <c r="I577" s="204"/>
      <c r="J577" s="203"/>
      <c r="K577" s="205"/>
      <c r="L577" s="205"/>
      <c r="M577" s="205"/>
    </row>
    <row r="578">
      <c r="A578" s="202" t="str">
        <f>IFERROR(__xludf.DUMMYFUNCTION("""COMPUTED_VALUE"""),"Soaring Specialty Rank 1")</f>
        <v>Soaring Specialty Rank 1</v>
      </c>
      <c r="B578" s="202" t="str">
        <f>IFERROR(__xludf.DUMMYFUNCTION("""COMPUTED_VALUE"""),"Flying Elementalist")</f>
        <v>Flying Elementalist</v>
      </c>
      <c r="C578" s="202" t="str">
        <f>IFERROR(__xludf.DUMMYFUNCTION("""COMPUTED_VALUE"""),"Static")</f>
        <v>Static</v>
      </c>
      <c r="D578" s="202"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78" s="203"/>
      <c r="F578" s="204"/>
      <c r="G578" s="204"/>
      <c r="H578" s="204"/>
      <c r="I578" s="204"/>
      <c r="J578" s="203"/>
      <c r="K578" s="205"/>
      <c r="L578" s="205"/>
      <c r="M578" s="205"/>
    </row>
    <row r="579">
      <c r="A579" s="202" t="str">
        <f>IFERROR(__xludf.DUMMYFUNCTION("""COMPUTED_VALUE"""),"Soaring Specialty Rank 2")</f>
        <v>Soaring Specialty Rank 2</v>
      </c>
      <c r="B579" s="202" t="str">
        <f>IFERROR(__xludf.DUMMYFUNCTION("""COMPUTED_VALUE"""),"Flying Elementalist, Level 5")</f>
        <v>Flying Elementalist, Level 5</v>
      </c>
      <c r="C579" s="202" t="str">
        <f>IFERROR(__xludf.DUMMYFUNCTION("""COMPUTED_VALUE"""),"Static")</f>
        <v>Static</v>
      </c>
      <c r="D579" s="202"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79" s="203"/>
      <c r="F579" s="204"/>
      <c r="G579" s="204"/>
      <c r="H579" s="204"/>
      <c r="I579" s="204"/>
      <c r="J579" s="203"/>
      <c r="K579" s="205"/>
      <c r="L579" s="205"/>
      <c r="M579" s="205"/>
    </row>
    <row r="580">
      <c r="A580" s="202" t="str">
        <f>IFERROR(__xludf.DUMMYFUNCTION("""COMPUTED_VALUE"""),"Soaring Specialty Rank 3")</f>
        <v>Soaring Specialty Rank 3</v>
      </c>
      <c r="B580" s="202" t="str">
        <f>IFERROR(__xludf.DUMMYFUNCTION("""COMPUTED_VALUE"""),"Flying Elementalist, Level 10")</f>
        <v>Flying Elementalist, Level 10</v>
      </c>
      <c r="C580" s="202" t="str">
        <f>IFERROR(__xludf.DUMMYFUNCTION("""COMPUTED_VALUE"""),"Static")</f>
        <v>Static</v>
      </c>
      <c r="D580" s="202"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80" s="203"/>
      <c r="F580" s="204"/>
      <c r="G580" s="204"/>
      <c r="H580" s="204"/>
      <c r="I580" s="204"/>
      <c r="J580" s="203"/>
      <c r="K580" s="205"/>
      <c r="L580" s="205"/>
      <c r="M580" s="205"/>
    </row>
    <row r="581">
      <c r="A581" s="202" t="str">
        <f>IFERROR(__xludf.DUMMYFUNCTION("""COMPUTED_VALUE"""),"Aerial Tactics")</f>
        <v>Aerial Tactics</v>
      </c>
      <c r="B581" s="202" t="str">
        <f>IFERROR(__xludf.DUMMYFUNCTION("""COMPUTED_VALUE"""),"Flying Elementalist, Level 5")</f>
        <v>Flying Elementalist, Level 5</v>
      </c>
      <c r="C581" s="202" t="str">
        <f>IFERROR(__xludf.DUMMYFUNCTION("""COMPUTED_VALUE"""),"Static")</f>
        <v>Static</v>
      </c>
      <c r="D581" s="202" t="str">
        <f>IFERROR(__xludf.DUMMYFUNCTION("""COMPUTED_VALUE"""),"Effect: Choose an Ability from the list below to gain. At Level 15, you may gain another Ability listed below:
» Aerial Fighter, Blow Away, Dodge, Gale Surge, Gale Wings, Vanguard, Wind Power, Wind Rider, Windstorm")</f>
        <v>Effect: Choose an Ability from the list below to gain. At Level 15, you may gain another Ability listed below:
» Aerial Fighter, Blow Away, Dodge, Gale Surge, Gale Wings, Vanguard, Wind Power, Wind Rider, Windstorm</v>
      </c>
      <c r="E581" s="203"/>
      <c r="F581" s="204"/>
      <c r="G581" s="204"/>
      <c r="H581" s="204"/>
      <c r="I581" s="204"/>
      <c r="J581" s="203"/>
      <c r="K581" s="205"/>
      <c r="L581" s="205"/>
      <c r="M581" s="205"/>
    </row>
    <row r="582">
      <c r="A582" s="202" t="str">
        <f>IFERROR(__xludf.DUMMYFUNCTION("""COMPUTED_VALUE"""),"Ghost Elementalist")</f>
        <v>Ghost Elementalist</v>
      </c>
      <c r="B582" s="202" t="str">
        <f>IFERROR(__xludf.DUMMYFUNCTION("""COMPUTED_VALUE"""),"Elemental Affinity (Ghost)")</f>
        <v>Elemental Affinity (Ghost)</v>
      </c>
      <c r="C582" s="202" t="str">
        <f>IFERROR(__xludf.DUMMYFUNCTION("""COMPUTED_VALUE"""),"Static")</f>
        <v>Static</v>
      </c>
      <c r="D582" s="202" t="str">
        <f>IFERROR(__xludf.DUMMYFUNCTION("""COMPUTED_VALUE"""),"Effect: You learn two Attacks from the Tier 1 Ghost Elementalist Attack List. At Level 5, learn two more from the Tier 1 or 2 list. At Level 10, learn two more from the Tier 1, 2 or 3 List.")</f>
        <v>Effect: You learn two Attacks from the Tier 1 Ghost Elementalist Attack List. At Level 5, learn two more from the Tier 1 or 2 list. At Level 10, learn two more from the Tier 1, 2 or 3 List.</v>
      </c>
      <c r="E582" s="203"/>
      <c r="F582" s="204"/>
      <c r="G582" s="204"/>
      <c r="H582" s="204"/>
      <c r="I582" s="204"/>
      <c r="J582" s="203"/>
      <c r="K582" s="205"/>
      <c r="L582" s="205"/>
      <c r="M582" s="205"/>
    </row>
    <row r="583">
      <c r="A583" s="202" t="str">
        <f>IFERROR(__xludf.DUMMYFUNCTION("""COMPUTED_VALUE"""),"Spooky Specialty Rank 1")</f>
        <v>Spooky Specialty Rank 1</v>
      </c>
      <c r="B583" s="202" t="str">
        <f>IFERROR(__xludf.DUMMYFUNCTION("""COMPUTED_VALUE"""),"Ghost Elementalist")</f>
        <v>Ghost Elementalist</v>
      </c>
      <c r="C583" s="202" t="str">
        <f>IFERROR(__xludf.DUMMYFUNCTION("""COMPUTED_VALUE"""),"Static")</f>
        <v>Static</v>
      </c>
      <c r="D583" s="202"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3" s="203"/>
      <c r="F583" s="204"/>
      <c r="G583" s="204"/>
      <c r="H583" s="204"/>
      <c r="I583" s="204"/>
      <c r="J583" s="203"/>
      <c r="K583" s="205"/>
      <c r="L583" s="205"/>
      <c r="M583" s="205"/>
    </row>
    <row r="584">
      <c r="A584" s="202" t="str">
        <f>IFERROR(__xludf.DUMMYFUNCTION("""COMPUTED_VALUE"""),"Spooky Specialty Rank 2")</f>
        <v>Spooky Specialty Rank 2</v>
      </c>
      <c r="B584" s="202" t="str">
        <f>IFERROR(__xludf.DUMMYFUNCTION("""COMPUTED_VALUE"""),"Ghost Elementalist, Level 5")</f>
        <v>Ghost Elementalist, Level 5</v>
      </c>
      <c r="C584" s="202" t="str">
        <f>IFERROR(__xludf.DUMMYFUNCTION("""COMPUTED_VALUE"""),"Static")</f>
        <v>Static</v>
      </c>
      <c r="D584" s="202"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4" s="203"/>
      <c r="F584" s="204"/>
      <c r="G584" s="204"/>
      <c r="H584" s="204"/>
      <c r="I584" s="204"/>
      <c r="J584" s="203"/>
      <c r="K584" s="205"/>
      <c r="L584" s="205"/>
      <c r="M584" s="205"/>
    </row>
    <row r="585">
      <c r="A585" s="202" t="str">
        <f>IFERROR(__xludf.DUMMYFUNCTION("""COMPUTED_VALUE"""),"Spooky Specialty Rank 3")</f>
        <v>Spooky Specialty Rank 3</v>
      </c>
      <c r="B585" s="202" t="str">
        <f>IFERROR(__xludf.DUMMYFUNCTION("""COMPUTED_VALUE"""),"Ghost Elementalist, Level 10")</f>
        <v>Ghost Elementalist, Level 10</v>
      </c>
      <c r="C585" s="202" t="str">
        <f>IFERROR(__xludf.DUMMYFUNCTION("""COMPUTED_VALUE"""),"Static")</f>
        <v>Static</v>
      </c>
      <c r="D585" s="202"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5" s="203"/>
      <c r="F585" s="204"/>
      <c r="G585" s="204"/>
      <c r="H585" s="204"/>
      <c r="I585" s="204"/>
      <c r="J585" s="203"/>
      <c r="K585" s="205"/>
      <c r="L585" s="205"/>
      <c r="M585" s="205"/>
    </row>
    <row r="586">
      <c r="A586" s="202" t="str">
        <f>IFERROR(__xludf.DUMMYFUNCTION("""COMPUTED_VALUE"""),"Spectral Tactics")</f>
        <v>Spectral Tactics</v>
      </c>
      <c r="B586" s="202" t="str">
        <f>IFERROR(__xludf.DUMMYFUNCTION("""COMPUTED_VALUE"""),"Ghost Elementalist, Level 5")</f>
        <v>Ghost Elementalist, Level 5</v>
      </c>
      <c r="C586" s="202" t="str">
        <f>IFERROR(__xludf.DUMMYFUNCTION("""COMPUTED_VALUE"""),"Static")</f>
        <v>Static</v>
      </c>
      <c r="D586" s="202" t="str">
        <f>IFERROR(__xludf.DUMMYFUNCTION("""COMPUTED_VALUE"""),"Effect: Choose an Ability from the list below to gain. At Level 15, you may gain another Ability listed below:
» Cursed Body, Fade Away, Haunting Spirit, Omen, Shadow Shield, Shadow Tag, Spectral Cloak, Vanish")</f>
        <v>Effect: Choose an Ability from the list below to gain. At Level 15, you may gain another Ability listed below:
» Cursed Body, Fade Away, Haunting Spirit, Omen, Shadow Shield, Shadow Tag, Spectral Cloak, Vanish</v>
      </c>
      <c r="E586" s="203"/>
      <c r="F586" s="204"/>
      <c r="G586" s="204"/>
      <c r="H586" s="204"/>
      <c r="I586" s="204"/>
      <c r="J586" s="203"/>
      <c r="K586" s="205"/>
      <c r="L586" s="205"/>
      <c r="M586" s="205"/>
    </row>
    <row r="587">
      <c r="A587" s="202" t="str">
        <f>IFERROR(__xludf.DUMMYFUNCTION("""COMPUTED_VALUE"""),"Grass Elementalist")</f>
        <v>Grass Elementalist</v>
      </c>
      <c r="B587" s="202" t="str">
        <f>IFERROR(__xludf.DUMMYFUNCTION("""COMPUTED_VALUE"""),"Elemental Affinity (Grass)")</f>
        <v>Elemental Affinity (Grass)</v>
      </c>
      <c r="C587" s="202" t="str">
        <f>IFERROR(__xludf.DUMMYFUNCTION("""COMPUTED_VALUE"""),"Static")</f>
        <v>Static</v>
      </c>
      <c r="D587" s="202" t="str">
        <f>IFERROR(__xludf.DUMMYFUNCTION("""COMPUTED_VALUE"""),"Effect: You learn two Attacks from the Tier 1 Grass Elementalist Attack List. At Level 5, learn two more from the Tier 1 or 2 list. At Level 10, learn two more from the Tier 1, 2 or 3 List.")</f>
        <v>Effect: You learn two Attacks from the Tier 1 Grass Elementalist Attack List. At Level 5, learn two more from the Tier 1 or 2 list. At Level 10, learn two more from the Tier 1, 2 or 3 List.</v>
      </c>
      <c r="E587" s="203"/>
      <c r="F587" s="204"/>
      <c r="G587" s="204"/>
      <c r="H587" s="204"/>
      <c r="I587" s="204"/>
      <c r="J587" s="203"/>
      <c r="K587" s="205"/>
      <c r="L587" s="205"/>
      <c r="M587" s="205"/>
    </row>
    <row r="588">
      <c r="A588" s="202" t="str">
        <f>IFERROR(__xludf.DUMMYFUNCTION("""COMPUTED_VALUE"""),"Floral Specialty Rank 1")</f>
        <v>Floral Specialty Rank 1</v>
      </c>
      <c r="B588" s="202" t="str">
        <f>IFERROR(__xludf.DUMMYFUNCTION("""COMPUTED_VALUE"""),"Grass Elementalist")</f>
        <v>Grass Elementalist</v>
      </c>
      <c r="C588" s="202" t="str">
        <f>IFERROR(__xludf.DUMMYFUNCTION("""COMPUTED_VALUE"""),"Static")</f>
        <v>Static</v>
      </c>
      <c r="D588" s="202"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88" s="203"/>
      <c r="F588" s="204"/>
      <c r="G588" s="204"/>
      <c r="H588" s="204"/>
      <c r="I588" s="204"/>
      <c r="J588" s="203"/>
      <c r="K588" s="205"/>
      <c r="L588" s="205"/>
      <c r="M588" s="205"/>
    </row>
    <row r="589">
      <c r="A589" s="202" t="str">
        <f>IFERROR(__xludf.DUMMYFUNCTION("""COMPUTED_VALUE"""),"Floral Specialty Rank 2")</f>
        <v>Floral Specialty Rank 2</v>
      </c>
      <c r="B589" s="202" t="str">
        <f>IFERROR(__xludf.DUMMYFUNCTION("""COMPUTED_VALUE"""),"Grass Elementalist, Level 5")</f>
        <v>Grass Elementalist, Level 5</v>
      </c>
      <c r="C589" s="202" t="str">
        <f>IFERROR(__xludf.DUMMYFUNCTION("""COMPUTED_VALUE"""),"Static")</f>
        <v>Static</v>
      </c>
      <c r="D589" s="202"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89" s="203"/>
      <c r="F589" s="204"/>
      <c r="G589" s="204"/>
      <c r="H589" s="204"/>
      <c r="I589" s="204"/>
      <c r="J589" s="203"/>
      <c r="K589" s="205"/>
      <c r="L589" s="205"/>
      <c r="M589" s="205"/>
    </row>
    <row r="590">
      <c r="A590" s="202" t="str">
        <f>IFERROR(__xludf.DUMMYFUNCTION("""COMPUTED_VALUE"""),"Floral Specialty Rank 3")</f>
        <v>Floral Specialty Rank 3</v>
      </c>
      <c r="B590" s="202" t="str">
        <f>IFERROR(__xludf.DUMMYFUNCTION("""COMPUTED_VALUE"""),"Grass Elementalist, Level 10")</f>
        <v>Grass Elementalist, Level 10</v>
      </c>
      <c r="C590" s="202" t="str">
        <f>IFERROR(__xludf.DUMMYFUNCTION("""COMPUTED_VALUE"""),"Static")</f>
        <v>Static</v>
      </c>
      <c r="D590" s="202"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90" s="203"/>
      <c r="F590" s="204"/>
      <c r="G590" s="204"/>
      <c r="H590" s="204"/>
      <c r="I590" s="204"/>
      <c r="J590" s="203"/>
      <c r="K590" s="205"/>
      <c r="L590" s="205"/>
      <c r="M590" s="205"/>
    </row>
    <row r="591">
      <c r="A591" s="202" t="str">
        <f>IFERROR(__xludf.DUMMYFUNCTION("""COMPUTED_VALUE"""),"Floral Tactics")</f>
        <v>Floral Tactics</v>
      </c>
      <c r="B591" s="202" t="str">
        <f>IFERROR(__xludf.DUMMYFUNCTION("""COMPUTED_VALUE"""),"Grass Elementalist, Level 5")</f>
        <v>Grass Elementalist, Level 5</v>
      </c>
      <c r="C591" s="202" t="str">
        <f>IFERROR(__xludf.DUMMYFUNCTION("""COMPUTED_VALUE"""),"Static")</f>
        <v>Static</v>
      </c>
      <c r="D591" s="202" t="str">
        <f>IFERROR(__xludf.DUMMYFUNCTION("""COMPUTED_VALUE"""),"Effect: Choose an Ability from the list below to gain. At Level 15, you may gain another Ability listed below:
» Aroma Veil, Chlorophyll, Dire Spore, Effect Spore, Flower Power, Flower Veil, Forest Lord, Grassy Surge, Mycelium Might")</f>
        <v>Effect: Choose an Ability from the list below to gain. At Level 15, you may gain another Ability listed below:
» Aroma Veil, Chlorophyll, Dire Spore, Effect Spore, Flower Power, Flower Veil, Forest Lord, Grassy Surge, Mycelium Might</v>
      </c>
      <c r="E591" s="203"/>
      <c r="F591" s="204"/>
      <c r="G591" s="204"/>
      <c r="H591" s="204"/>
      <c r="I591" s="204"/>
      <c r="J591" s="203"/>
      <c r="K591" s="205"/>
      <c r="L591" s="205"/>
      <c r="M591" s="205"/>
    </row>
    <row r="592">
      <c r="A592" s="202" t="str">
        <f>IFERROR(__xludf.DUMMYFUNCTION("""COMPUTED_VALUE"""),"Ground Elementalist")</f>
        <v>Ground Elementalist</v>
      </c>
      <c r="B592" s="202" t="str">
        <f>IFERROR(__xludf.DUMMYFUNCTION("""COMPUTED_VALUE"""),"Elemental Affinity (Ground)")</f>
        <v>Elemental Affinity (Ground)</v>
      </c>
      <c r="C592" s="202" t="str">
        <f>IFERROR(__xludf.DUMMYFUNCTION("""COMPUTED_VALUE"""),"Static")</f>
        <v>Static</v>
      </c>
      <c r="D592" s="202" t="str">
        <f>IFERROR(__xludf.DUMMYFUNCTION("""COMPUTED_VALUE"""),"Effect: You learn two Attacks from the Tier 1 Ground Elementalist Attack List. At Level 5, learn two more from the Tier 1 or 2 list. At Level 10, learn two more from the Tier 1, 2 or 3 List.")</f>
        <v>Effect: You learn two Attacks from the Tier 1 Ground Elementalist Attack List. At Level 5, learn two more from the Tier 1 or 2 list. At Level 10, learn two more from the Tier 1, 2 or 3 List.</v>
      </c>
      <c r="E592" s="203"/>
      <c r="F592" s="204"/>
      <c r="G592" s="204"/>
      <c r="H592" s="204"/>
      <c r="I592" s="204"/>
      <c r="J592" s="203"/>
      <c r="K592" s="205"/>
      <c r="L592" s="205"/>
      <c r="M592" s="205"/>
    </row>
    <row r="593">
      <c r="A593" s="202" t="str">
        <f>IFERROR(__xludf.DUMMYFUNCTION("""COMPUTED_VALUE"""),"Ground Specialty Rank 1")</f>
        <v>Ground Specialty Rank 1</v>
      </c>
      <c r="B593" s="202" t="str">
        <f>IFERROR(__xludf.DUMMYFUNCTION("""COMPUTED_VALUE"""),"Ground Elementalist")</f>
        <v>Ground Elementalist</v>
      </c>
      <c r="C593" s="202" t="str">
        <f>IFERROR(__xludf.DUMMYFUNCTION("""COMPUTED_VALUE"""),"Static")</f>
        <v>Static</v>
      </c>
      <c r="D593" s="202"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3" s="203"/>
      <c r="F593" s="204"/>
      <c r="G593" s="204"/>
      <c r="H593" s="204"/>
      <c r="I593" s="204"/>
      <c r="J593" s="203"/>
      <c r="K593" s="205"/>
      <c r="L593" s="205"/>
      <c r="M593" s="205"/>
    </row>
    <row r="594">
      <c r="A594" s="202" t="str">
        <f>IFERROR(__xludf.DUMMYFUNCTION("""COMPUTED_VALUE"""),"Ground Specialty Rank 2")</f>
        <v>Ground Specialty Rank 2</v>
      </c>
      <c r="B594" s="202" t="str">
        <f>IFERROR(__xludf.DUMMYFUNCTION("""COMPUTED_VALUE"""),"Ground Elementalist, Level 5")</f>
        <v>Ground Elementalist, Level 5</v>
      </c>
      <c r="C594" s="202" t="str">
        <f>IFERROR(__xludf.DUMMYFUNCTION("""COMPUTED_VALUE"""),"Static")</f>
        <v>Static</v>
      </c>
      <c r="D594" s="202"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4" s="203"/>
      <c r="F594" s="204"/>
      <c r="G594" s="204"/>
      <c r="H594" s="204"/>
      <c r="I594" s="204"/>
      <c r="J594" s="203"/>
      <c r="K594" s="205"/>
      <c r="L594" s="205"/>
      <c r="M594" s="205"/>
    </row>
    <row r="595">
      <c r="A595" s="202" t="str">
        <f>IFERROR(__xludf.DUMMYFUNCTION("""COMPUTED_VALUE"""),"Ground Specialty Rank 3")</f>
        <v>Ground Specialty Rank 3</v>
      </c>
      <c r="B595" s="202" t="str">
        <f>IFERROR(__xludf.DUMMYFUNCTION("""COMPUTED_VALUE"""),"Ground Elementalist, Level 10")</f>
        <v>Ground Elementalist, Level 10</v>
      </c>
      <c r="C595" s="202" t="str">
        <f>IFERROR(__xludf.DUMMYFUNCTION("""COMPUTED_VALUE"""),"Static")</f>
        <v>Static</v>
      </c>
      <c r="D595" s="202"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5" s="203"/>
      <c r="F595" s="204"/>
      <c r="G595" s="204"/>
      <c r="H595" s="204"/>
      <c r="I595" s="204"/>
      <c r="J595" s="203"/>
      <c r="K595" s="205"/>
      <c r="L595" s="205"/>
      <c r="M595" s="205"/>
    </row>
    <row r="596">
      <c r="A596" s="202" t="str">
        <f>IFERROR(__xludf.DUMMYFUNCTION("""COMPUTED_VALUE"""),"Terran Tactics")</f>
        <v>Terran Tactics</v>
      </c>
      <c r="B596" s="202" t="str">
        <f>IFERROR(__xludf.DUMMYFUNCTION("""COMPUTED_VALUE"""),"Ground Elementalist, Level 5")</f>
        <v>Ground Elementalist, Level 5</v>
      </c>
      <c r="C596" s="202" t="str">
        <f>IFERROR(__xludf.DUMMYFUNCTION("""COMPUTED_VALUE"""),"Static")</f>
        <v>Static</v>
      </c>
      <c r="D596" s="202" t="str">
        <f>IFERROR(__xludf.DUMMYFUNCTION("""COMPUTED_VALUE"""),"Effect: Choose an Ability from the list below to gain. At Level 15, you may gain another Ability listed below:
» Arena Trap, Desert Weather, Dig Away, Dusty Guard, Mud Shield, Sand Force, Sand Rush, Sand Stream, Sand Veil")</f>
        <v>Effect: Choose an Ability from the list below to gain. At Level 15, you may gain another Ability listed below:
» Arena Trap, Desert Weather, Dig Away, Dusty Guard, Mud Shield, Sand Force, Sand Rush, Sand Stream, Sand Veil</v>
      </c>
      <c r="E596" s="203"/>
      <c r="F596" s="204"/>
      <c r="G596" s="204"/>
      <c r="H596" s="204"/>
      <c r="I596" s="204"/>
      <c r="J596" s="203"/>
      <c r="K596" s="205"/>
      <c r="L596" s="205"/>
      <c r="M596" s="205"/>
    </row>
    <row r="597">
      <c r="A597" s="202" t="str">
        <f>IFERROR(__xludf.DUMMYFUNCTION("""COMPUTED_VALUE"""),"Ice Elementalist")</f>
        <v>Ice Elementalist</v>
      </c>
      <c r="B597" s="202" t="str">
        <f>IFERROR(__xludf.DUMMYFUNCTION("""COMPUTED_VALUE"""),"Elemental Affinity (Ice)")</f>
        <v>Elemental Affinity (Ice)</v>
      </c>
      <c r="C597" s="202" t="str">
        <f>IFERROR(__xludf.DUMMYFUNCTION("""COMPUTED_VALUE"""),"Static")</f>
        <v>Static</v>
      </c>
      <c r="D597" s="202" t="str">
        <f>IFERROR(__xludf.DUMMYFUNCTION("""COMPUTED_VALUE"""),"Effect: You learn two Attacks from the Tier 1 Ice Elementalist Attack List. At Level 5, learn two more from the Tier 1 or 2 list. At Level 10, learn two more from the Tier 1, 2 or 3 List.")</f>
        <v>Effect: You learn two Attacks from the Tier 1 Ice Elementalist Attack List. At Level 5, learn two more from the Tier 1 or 2 list. At Level 10, learn two more from the Tier 1, 2 or 3 List.</v>
      </c>
      <c r="E597" s="203"/>
      <c r="F597" s="204"/>
      <c r="G597" s="204"/>
      <c r="H597" s="204"/>
      <c r="I597" s="204"/>
      <c r="J597" s="203"/>
      <c r="K597" s="205"/>
      <c r="L597" s="205"/>
      <c r="M597" s="205"/>
    </row>
    <row r="598">
      <c r="A598" s="202" t="str">
        <f>IFERROR(__xludf.DUMMYFUNCTION("""COMPUTED_VALUE"""),"Subzero Specialty Rank 1")</f>
        <v>Subzero Specialty Rank 1</v>
      </c>
      <c r="B598" s="202" t="str">
        <f>IFERROR(__xludf.DUMMYFUNCTION("""COMPUTED_VALUE"""),"Ice Elementalist")</f>
        <v>Ice Elementalist</v>
      </c>
      <c r="C598" s="202" t="str">
        <f>IFERROR(__xludf.DUMMYFUNCTION("""COMPUTED_VALUE"""),"Static")</f>
        <v>Static</v>
      </c>
      <c r="D598" s="202"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598" s="203"/>
      <c r="F598" s="204"/>
      <c r="G598" s="204"/>
      <c r="H598" s="204"/>
      <c r="I598" s="204"/>
      <c r="J598" s="203"/>
      <c r="K598" s="205"/>
      <c r="L598" s="205"/>
      <c r="M598" s="205"/>
    </row>
    <row r="599">
      <c r="A599" s="202" t="str">
        <f>IFERROR(__xludf.DUMMYFUNCTION("""COMPUTED_VALUE"""),"Subzero Specialty Rank 2")</f>
        <v>Subzero Specialty Rank 2</v>
      </c>
      <c r="B599" s="202" t="str">
        <f>IFERROR(__xludf.DUMMYFUNCTION("""COMPUTED_VALUE"""),"Ice Elementalist, Level 5")</f>
        <v>Ice Elementalist, Level 5</v>
      </c>
      <c r="C599" s="202" t="str">
        <f>IFERROR(__xludf.DUMMYFUNCTION("""COMPUTED_VALUE"""),"Static")</f>
        <v>Static</v>
      </c>
      <c r="D599" s="202"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599" s="203"/>
      <c r="F599" s="204"/>
      <c r="G599" s="204"/>
      <c r="H599" s="204"/>
      <c r="I599" s="204"/>
      <c r="J599" s="203"/>
      <c r="K599" s="205"/>
      <c r="L599" s="205"/>
      <c r="M599" s="205"/>
    </row>
    <row r="600">
      <c r="A600" s="202" t="str">
        <f>IFERROR(__xludf.DUMMYFUNCTION("""COMPUTED_VALUE"""),"Subzero Specialty Rank 3")</f>
        <v>Subzero Specialty Rank 3</v>
      </c>
      <c r="B600" s="202" t="str">
        <f>IFERROR(__xludf.DUMMYFUNCTION("""COMPUTED_VALUE"""),"Ice Elementalist, Level 10")</f>
        <v>Ice Elementalist, Level 10</v>
      </c>
      <c r="C600" s="202" t="str">
        <f>IFERROR(__xludf.DUMMYFUNCTION("""COMPUTED_VALUE"""),"Static")</f>
        <v>Static</v>
      </c>
      <c r="D600" s="202"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600" s="203"/>
      <c r="F600" s="204"/>
      <c r="G600" s="204"/>
      <c r="H600" s="204"/>
      <c r="I600" s="204"/>
      <c r="J600" s="203"/>
      <c r="K600" s="205"/>
      <c r="L600" s="205"/>
      <c r="M600" s="205"/>
    </row>
    <row r="601">
      <c r="A601" s="202" t="str">
        <f>IFERROR(__xludf.DUMMYFUNCTION("""COMPUTED_VALUE"""),"Tundra Tactics")</f>
        <v>Tundra Tactics</v>
      </c>
      <c r="B601" s="202" t="str">
        <f>IFERROR(__xludf.DUMMYFUNCTION("""COMPUTED_VALUE"""),"Ice Elementalist, Level 5")</f>
        <v>Ice Elementalist, Level 5</v>
      </c>
      <c r="C601" s="202" t="str">
        <f>IFERROR(__xludf.DUMMYFUNCTION("""COMPUTED_VALUE"""),"Static")</f>
        <v>Static</v>
      </c>
      <c r="D601" s="202" t="str">
        <f>IFERROR(__xludf.DUMMYFUNCTION("""COMPUTED_VALUE"""),"Effect: Choose an Ability from the list below to gain. At Level 15, you may gain another Ability listed below:
» Frostbite, Ice Body, Ice Shield, Slush Rush, Snow Cloak, Snow Warning, Solid Ice, Winter’s Kiss")</f>
        <v>Effect: Choose an Ability from the list below to gain. At Level 15, you may gain another Ability listed below:
» Frostbite, Ice Body, Ice Shield, Slush Rush, Snow Cloak, Snow Warning, Solid Ice, Winter’s Kiss</v>
      </c>
      <c r="E601" s="203"/>
      <c r="F601" s="204"/>
      <c r="G601" s="204"/>
      <c r="H601" s="204"/>
      <c r="I601" s="204"/>
      <c r="J601" s="203"/>
      <c r="K601" s="205"/>
      <c r="L601" s="205"/>
      <c r="M601" s="205"/>
    </row>
    <row r="602">
      <c r="A602" s="202" t="str">
        <f>IFERROR(__xludf.DUMMYFUNCTION("""COMPUTED_VALUE"""),"Normal Elementalist")</f>
        <v>Normal Elementalist</v>
      </c>
      <c r="B602" s="202" t="str">
        <f>IFERROR(__xludf.DUMMYFUNCTION("""COMPUTED_VALUE"""),"Elemental Affinity (Normal)")</f>
        <v>Elemental Affinity (Normal)</v>
      </c>
      <c r="C602" s="202" t="str">
        <f>IFERROR(__xludf.DUMMYFUNCTION("""COMPUTED_VALUE"""),"Static")</f>
        <v>Static</v>
      </c>
      <c r="D602" s="202" t="str">
        <f>IFERROR(__xludf.DUMMYFUNCTION("""COMPUTED_VALUE"""),"Effect: You learn two Attacks from the Tier 1 Normal Elementalist Attack List. At Level 5, learn two more from the Tier 1 or 2 list. At Level 10, learn two more from the Tier 1, 2 or 3 List.")</f>
        <v>Effect: You learn two Attacks from the Tier 1 Normal Elementalist Attack List. At Level 5, learn two more from the Tier 1 or 2 list. At Level 10, learn two more from the Tier 1, 2 or 3 List.</v>
      </c>
      <c r="E602" s="203"/>
      <c r="F602" s="204"/>
      <c r="G602" s="204"/>
      <c r="H602" s="204"/>
      <c r="I602" s="204"/>
      <c r="J602" s="203"/>
      <c r="K602" s="205"/>
      <c r="L602" s="205"/>
      <c r="M602" s="205"/>
    </row>
    <row r="603">
      <c r="A603" s="202" t="str">
        <f>IFERROR(__xludf.DUMMYFUNCTION("""COMPUTED_VALUE"""),"Basic Specialty Rank 1")</f>
        <v>Basic Specialty Rank 1</v>
      </c>
      <c r="B603" s="202" t="str">
        <f>IFERROR(__xludf.DUMMYFUNCTION("""COMPUTED_VALUE"""),"Normal Elementalist")</f>
        <v>Normal Elementalist</v>
      </c>
      <c r="C603" s="202" t="str">
        <f>IFERROR(__xludf.DUMMYFUNCTION("""COMPUTED_VALUE"""),"Static")</f>
        <v>Static</v>
      </c>
      <c r="D603" s="202"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3" s="203"/>
      <c r="F603" s="204"/>
      <c r="G603" s="204"/>
      <c r="H603" s="204"/>
      <c r="I603" s="204"/>
      <c r="J603" s="203"/>
      <c r="K603" s="205"/>
      <c r="L603" s="205"/>
      <c r="M603" s="205"/>
    </row>
    <row r="604">
      <c r="A604" s="202" t="str">
        <f>IFERROR(__xludf.DUMMYFUNCTION("""COMPUTED_VALUE"""),"Basic Specialty Rank 2")</f>
        <v>Basic Specialty Rank 2</v>
      </c>
      <c r="B604" s="202" t="str">
        <f>IFERROR(__xludf.DUMMYFUNCTION("""COMPUTED_VALUE"""),"Normal Elementalist, Level 5")</f>
        <v>Normal Elementalist, Level 5</v>
      </c>
      <c r="C604" s="202" t="str">
        <f>IFERROR(__xludf.DUMMYFUNCTION("""COMPUTED_VALUE"""),"Static")</f>
        <v>Static</v>
      </c>
      <c r="D604" s="202"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4" s="203"/>
      <c r="F604" s="204"/>
      <c r="G604" s="204"/>
      <c r="H604" s="204"/>
      <c r="I604" s="204"/>
      <c r="J604" s="203"/>
      <c r="K604" s="205"/>
      <c r="L604" s="205"/>
      <c r="M604" s="205"/>
    </row>
    <row r="605">
      <c r="A605" s="202" t="str">
        <f>IFERROR(__xludf.DUMMYFUNCTION("""COMPUTED_VALUE"""),"Basic Specialty Rank 3")</f>
        <v>Basic Specialty Rank 3</v>
      </c>
      <c r="B605" s="202" t="str">
        <f>IFERROR(__xludf.DUMMYFUNCTION("""COMPUTED_VALUE"""),"Normal Elementalist, Level 10")</f>
        <v>Normal Elementalist, Level 10</v>
      </c>
      <c r="C605" s="202" t="str">
        <f>IFERROR(__xludf.DUMMYFUNCTION("""COMPUTED_VALUE"""),"Static")</f>
        <v>Static</v>
      </c>
      <c r="D605" s="202"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5" s="203"/>
      <c r="F605" s="204"/>
      <c r="G605" s="204"/>
      <c r="H605" s="204"/>
      <c r="I605" s="204"/>
      <c r="J605" s="203"/>
      <c r="K605" s="205"/>
      <c r="L605" s="205"/>
      <c r="M605" s="205"/>
    </row>
    <row r="606">
      <c r="A606" s="202" t="str">
        <f>IFERROR(__xludf.DUMMYFUNCTION("""COMPUTED_VALUE"""),"Mundane Tactics")</f>
        <v>Mundane Tactics</v>
      </c>
      <c r="B606" s="202" t="str">
        <f>IFERROR(__xludf.DUMMYFUNCTION("""COMPUTED_VALUE"""),"Normal Elementalist, Level 5")</f>
        <v>Normal Elementalist, Level 5</v>
      </c>
      <c r="C606" s="202" t="str">
        <f>IFERROR(__xludf.DUMMYFUNCTION("""COMPUTED_VALUE"""),"Static")</f>
        <v>Static</v>
      </c>
      <c r="D606" s="202" t="str">
        <f>IFERROR(__xludf.DUMMYFUNCTION("""COMPUTED_VALUE"""),"Effect: Choose an Ability from the list below to gain. At Level 15, you may gain another Ability listed below:
» Absorb Force, Bodyguard, Courage, Defiant, Friend Guard, Helper, Illuminate, Keen Eye, Pride, Unaware, Vital Spirit")</f>
        <v>Effect: Choose an Ability from the list below to gain. At Level 15, you may gain another Ability listed below:
» Absorb Force, Bodyguard, Courage, Defiant, Friend Guard, Helper, Illuminate, Keen Eye, Pride, Unaware, Vital Spirit</v>
      </c>
      <c r="E606" s="203"/>
      <c r="F606" s="204"/>
      <c r="G606" s="204"/>
      <c r="H606" s="204"/>
      <c r="I606" s="204"/>
      <c r="J606" s="203"/>
      <c r="K606" s="205"/>
      <c r="L606" s="205"/>
      <c r="M606" s="205"/>
    </row>
    <row r="607">
      <c r="A607" s="202" t="str">
        <f>IFERROR(__xludf.DUMMYFUNCTION("""COMPUTED_VALUE"""),"Poison Elementalist")</f>
        <v>Poison Elementalist</v>
      </c>
      <c r="B607" s="202" t="str">
        <f>IFERROR(__xludf.DUMMYFUNCTION("""COMPUTED_VALUE"""),"Elemental Affinity (Poison)")</f>
        <v>Elemental Affinity (Poison)</v>
      </c>
      <c r="C607" s="202" t="str">
        <f>IFERROR(__xludf.DUMMYFUNCTION("""COMPUTED_VALUE"""),"Static")</f>
        <v>Static</v>
      </c>
      <c r="D607" s="202" t="str">
        <f>IFERROR(__xludf.DUMMYFUNCTION("""COMPUTED_VALUE"""),"Effect: You learn two Attacks from the Tier 1 Poison Elementalist Attack List. At Level 5, learn two more from the Tier 1 or 2 list. At Level 10, learn two more from the Tier 1, 2 or 3 List.")</f>
        <v>Effect: You learn two Attacks from the Tier 1 Poison Elementalist Attack List. At Level 5, learn two more from the Tier 1 or 2 list. At Level 10, learn two more from the Tier 1, 2 or 3 List.</v>
      </c>
      <c r="E607" s="203"/>
      <c r="F607" s="204"/>
      <c r="G607" s="204"/>
      <c r="H607" s="204"/>
      <c r="I607" s="204"/>
      <c r="J607" s="203"/>
      <c r="K607" s="205"/>
      <c r="L607" s="205"/>
      <c r="M607" s="205"/>
    </row>
    <row r="608">
      <c r="A608" s="202" t="str">
        <f>IFERROR(__xludf.DUMMYFUNCTION("""COMPUTED_VALUE"""),"Chemical Specialty Rank 1")</f>
        <v>Chemical Specialty Rank 1</v>
      </c>
      <c r="B608" s="202" t="str">
        <f>IFERROR(__xludf.DUMMYFUNCTION("""COMPUTED_VALUE"""),"Poison Elementalist")</f>
        <v>Poison Elementalist</v>
      </c>
      <c r="C608" s="202" t="str">
        <f>IFERROR(__xludf.DUMMYFUNCTION("""COMPUTED_VALUE"""),"Static")</f>
        <v>Static</v>
      </c>
      <c r="D608" s="202"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08" s="203"/>
      <c r="F608" s="204"/>
      <c r="G608" s="204"/>
      <c r="H608" s="204"/>
      <c r="I608" s="204"/>
      <c r="J608" s="203"/>
      <c r="K608" s="205"/>
      <c r="L608" s="205"/>
      <c r="M608" s="205"/>
    </row>
    <row r="609">
      <c r="A609" s="202" t="str">
        <f>IFERROR(__xludf.DUMMYFUNCTION("""COMPUTED_VALUE"""),"Chemical Specialty Rank 2")</f>
        <v>Chemical Specialty Rank 2</v>
      </c>
      <c r="B609" s="202" t="str">
        <f>IFERROR(__xludf.DUMMYFUNCTION("""COMPUTED_VALUE"""),"Poison Elementalist, Level 5")</f>
        <v>Poison Elementalist, Level 5</v>
      </c>
      <c r="C609" s="202" t="str">
        <f>IFERROR(__xludf.DUMMYFUNCTION("""COMPUTED_VALUE"""),"Static")</f>
        <v>Static</v>
      </c>
      <c r="D609" s="202"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09" s="203"/>
      <c r="F609" s="204"/>
      <c r="G609" s="204"/>
      <c r="H609" s="204"/>
      <c r="I609" s="204"/>
      <c r="J609" s="203"/>
      <c r="K609" s="205"/>
      <c r="L609" s="205"/>
      <c r="M609" s="205"/>
    </row>
    <row r="610">
      <c r="A610" s="202" t="str">
        <f>IFERROR(__xludf.DUMMYFUNCTION("""COMPUTED_VALUE"""),"Chemical Specialty Rank 3")</f>
        <v>Chemical Specialty Rank 3</v>
      </c>
      <c r="B610" s="202" t="str">
        <f>IFERROR(__xludf.DUMMYFUNCTION("""COMPUTED_VALUE"""),"Poison Elementalist, Level 10")</f>
        <v>Poison Elementalist, Level 10</v>
      </c>
      <c r="C610" s="202" t="str">
        <f>IFERROR(__xludf.DUMMYFUNCTION("""COMPUTED_VALUE"""),"Static")</f>
        <v>Static</v>
      </c>
      <c r="D610" s="202"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10" s="203"/>
      <c r="F610" s="204"/>
      <c r="G610" s="204"/>
      <c r="H610" s="204"/>
      <c r="I610" s="204"/>
      <c r="J610" s="203"/>
      <c r="K610" s="205"/>
      <c r="L610" s="205"/>
      <c r="M610" s="205"/>
    </row>
    <row r="611">
      <c r="A611" s="202" t="str">
        <f>IFERROR(__xludf.DUMMYFUNCTION("""COMPUTED_VALUE"""),"Toxic Tactics")</f>
        <v>Toxic Tactics</v>
      </c>
      <c r="B611" s="202" t="str">
        <f>IFERROR(__xludf.DUMMYFUNCTION("""COMPUTED_VALUE"""),"Poison Elementalist, Level 5")</f>
        <v>Poison Elementalist, Level 5</v>
      </c>
      <c r="C611" s="202" t="str">
        <f>IFERROR(__xludf.DUMMYFUNCTION("""COMPUTED_VALUE"""),"Static")</f>
        <v>Static</v>
      </c>
      <c r="D611" s="202" t="str">
        <f>IFERROR(__xludf.DUMMYFUNCTION("""COMPUTED_VALUE"""),"Effect: Choose an Ability from the list below to gain. At Level 15, you may gain another Ability listed below:
» Absorb Force, Deadly Poison, Gooey, Ink Spray, Liquid Ooze, Odious Spray, Poison Point, Stench")</f>
        <v>Effect: Choose an Ability from the list below to gain. At Level 15, you may gain another Ability listed below:
» Absorb Force, Deadly Poison, Gooey, Ink Spray, Liquid Ooze, Odious Spray, Poison Point, Stench</v>
      </c>
      <c r="E611" s="203"/>
      <c r="F611" s="204"/>
      <c r="G611" s="204"/>
      <c r="H611" s="204"/>
      <c r="I611" s="204"/>
      <c r="J611" s="203"/>
      <c r="K611" s="205"/>
      <c r="L611" s="205"/>
      <c r="M611" s="205"/>
    </row>
    <row r="612">
      <c r="A612" s="202" t="str">
        <f>IFERROR(__xludf.DUMMYFUNCTION("""COMPUTED_VALUE"""),"Psychic Elementalist")</f>
        <v>Psychic Elementalist</v>
      </c>
      <c r="B612" s="202" t="str">
        <f>IFERROR(__xludf.DUMMYFUNCTION("""COMPUTED_VALUE"""),"Elemental Affinity (Psychic)")</f>
        <v>Elemental Affinity (Psychic)</v>
      </c>
      <c r="C612" s="202" t="str">
        <f>IFERROR(__xludf.DUMMYFUNCTION("""COMPUTED_VALUE"""),"Static")</f>
        <v>Static</v>
      </c>
      <c r="D612" s="202" t="str">
        <f>IFERROR(__xludf.DUMMYFUNCTION("""COMPUTED_VALUE"""),"Effect: You learn two Attacks from the Tier 1 Psychic Elementalist Attack List. At Level 5, learn two more from the Tier 1 or 2 list. At Level 10, learn two more from the Tier 1, 2 or 3 List.")</f>
        <v>Effect: You learn two Attacks from the Tier 1 Psychic Elementalist Attack List. At Level 5, learn two more from the Tier 1 or 2 list. At Level 10, learn two more from the Tier 1, 2 or 3 List.</v>
      </c>
      <c r="E612" s="203"/>
      <c r="F612" s="204"/>
      <c r="G612" s="204"/>
      <c r="H612" s="204"/>
      <c r="I612" s="204"/>
      <c r="J612" s="203"/>
      <c r="K612" s="205"/>
      <c r="L612" s="205"/>
      <c r="M612" s="205"/>
    </row>
    <row r="613">
      <c r="A613" s="202" t="str">
        <f>IFERROR(__xludf.DUMMYFUNCTION("""COMPUTED_VALUE"""),"Supernatural Specialty Rank 1")</f>
        <v>Supernatural Specialty Rank 1</v>
      </c>
      <c r="B613" s="202" t="str">
        <f>IFERROR(__xludf.DUMMYFUNCTION("""COMPUTED_VALUE"""),"Psychic Elementalist")</f>
        <v>Psychic Elementalist</v>
      </c>
      <c r="C613" s="202" t="str">
        <f>IFERROR(__xludf.DUMMYFUNCTION("""COMPUTED_VALUE"""),"Static")</f>
        <v>Static</v>
      </c>
      <c r="D613" s="202"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3" s="203"/>
      <c r="F613" s="204"/>
      <c r="G613" s="204"/>
      <c r="H613" s="204"/>
      <c r="I613" s="204"/>
      <c r="J613" s="203"/>
      <c r="K613" s="205"/>
      <c r="L613" s="205"/>
      <c r="M613" s="205"/>
    </row>
    <row r="614">
      <c r="A614" s="202" t="str">
        <f>IFERROR(__xludf.DUMMYFUNCTION("""COMPUTED_VALUE"""),"Supernatural Specialty Rank 2")</f>
        <v>Supernatural Specialty Rank 2</v>
      </c>
      <c r="B614" s="202" t="str">
        <f>IFERROR(__xludf.DUMMYFUNCTION("""COMPUTED_VALUE"""),"Psychic Elementalist, Level 5")</f>
        <v>Psychic Elementalist, Level 5</v>
      </c>
      <c r="C614" s="202" t="str">
        <f>IFERROR(__xludf.DUMMYFUNCTION("""COMPUTED_VALUE"""),"Static")</f>
        <v>Static</v>
      </c>
      <c r="D614" s="202"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4" s="203"/>
      <c r="F614" s="204"/>
      <c r="G614" s="204"/>
      <c r="H614" s="204"/>
      <c r="I614" s="204"/>
      <c r="J614" s="203"/>
      <c r="K614" s="205"/>
      <c r="L614" s="205"/>
      <c r="M614" s="205"/>
    </row>
    <row r="615">
      <c r="A615" s="202" t="str">
        <f>IFERROR(__xludf.DUMMYFUNCTION("""COMPUTED_VALUE"""),"Supernatural Specialty Rank 3")</f>
        <v>Supernatural Specialty Rank 3</v>
      </c>
      <c r="B615" s="202" t="str">
        <f>IFERROR(__xludf.DUMMYFUNCTION("""COMPUTED_VALUE"""),"Psychic Elementalist, Level 10")</f>
        <v>Psychic Elementalist, Level 10</v>
      </c>
      <c r="C615" s="202" t="str">
        <f>IFERROR(__xludf.DUMMYFUNCTION("""COMPUTED_VALUE"""),"Static")</f>
        <v>Static</v>
      </c>
      <c r="D615" s="202"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5" s="203"/>
      <c r="F615" s="204"/>
      <c r="G615" s="204"/>
      <c r="H615" s="204"/>
      <c r="I615" s="204"/>
      <c r="J615" s="203"/>
      <c r="K615" s="205"/>
      <c r="L615" s="205"/>
      <c r="M615" s="205"/>
    </row>
    <row r="616">
      <c r="A616" s="202" t="str">
        <f>IFERROR(__xludf.DUMMYFUNCTION("""COMPUTED_VALUE"""),"Psionic Tactics")</f>
        <v>Psionic Tactics</v>
      </c>
      <c r="B616" s="202" t="str">
        <f>IFERROR(__xludf.DUMMYFUNCTION("""COMPUTED_VALUE"""),"Psychic Elementalist, Level 5")</f>
        <v>Psychic Elementalist, Level 5</v>
      </c>
      <c r="C616" s="202" t="str">
        <f>IFERROR(__xludf.DUMMYFUNCTION("""COMPUTED_VALUE"""),"Static")</f>
        <v>Static</v>
      </c>
      <c r="D616" s="202" t="str">
        <f>IFERROR(__xludf.DUMMYFUNCTION("""COMPUTED_VALUE"""),"Effect: Choose an Ability from the list below to gain. At Level 15, you may gain another Ability listed below:
» Hypnotic, Interference, Levitate, Magical Surge, Magic Bounce, Magic Guard, Mental Force, Psychic Surge")</f>
        <v>Effect: Choose an Ability from the list below to gain. At Level 15, you may gain another Ability listed below:
» Hypnotic, Interference, Levitate, Magical Surge, Magic Bounce, Magic Guard, Mental Force, Psychic Surge</v>
      </c>
      <c r="E616" s="203"/>
      <c r="F616" s="204"/>
      <c r="G616" s="204"/>
      <c r="H616" s="204"/>
      <c r="I616" s="204"/>
      <c r="J616" s="203"/>
      <c r="K616" s="205"/>
      <c r="L616" s="205"/>
      <c r="M616" s="205"/>
    </row>
    <row r="617">
      <c r="A617" s="202" t="str">
        <f>IFERROR(__xludf.DUMMYFUNCTION("""COMPUTED_VALUE"""),"Rock Elementalist")</f>
        <v>Rock Elementalist</v>
      </c>
      <c r="B617" s="202" t="str">
        <f>IFERROR(__xludf.DUMMYFUNCTION("""COMPUTED_VALUE"""),"Elemental Affinity (Rock)")</f>
        <v>Elemental Affinity (Rock)</v>
      </c>
      <c r="C617" s="202" t="str">
        <f>IFERROR(__xludf.DUMMYFUNCTION("""COMPUTED_VALUE"""),"Static")</f>
        <v>Static</v>
      </c>
      <c r="D617" s="202" t="str">
        <f>IFERROR(__xludf.DUMMYFUNCTION("""COMPUTED_VALUE"""),"Effect: You learn two Attacks from the Tier 1 Rock Elementalist Attack List. At Level 5, learn two more from the Tier 1 or 2 list. At Level 10, learn two more from the Tier 1, 2 or 3 List.")</f>
        <v>Effect: You learn two Attacks from the Tier 1 Rock Elementalist Attack List. At Level 5, learn two more from the Tier 1 or 2 list. At Level 10, learn two more from the Tier 1, 2 or 3 List.</v>
      </c>
      <c r="E617" s="203"/>
      <c r="F617" s="204"/>
      <c r="G617" s="204"/>
      <c r="H617" s="204"/>
      <c r="I617" s="204"/>
      <c r="J617" s="203"/>
      <c r="K617" s="205"/>
      <c r="L617" s="205"/>
      <c r="M617" s="205"/>
    </row>
    <row r="618">
      <c r="A618" s="202" t="str">
        <f>IFERROR(__xludf.DUMMYFUNCTION("""COMPUTED_VALUE"""),"Stone Specialty Rank 1")</f>
        <v>Stone Specialty Rank 1</v>
      </c>
      <c r="B618" s="202" t="str">
        <f>IFERROR(__xludf.DUMMYFUNCTION("""COMPUTED_VALUE"""),"Rock Elementalist")</f>
        <v>Rock Elementalist</v>
      </c>
      <c r="C618" s="202" t="str">
        <f>IFERROR(__xludf.DUMMYFUNCTION("""COMPUTED_VALUE"""),"Static")</f>
        <v>Static</v>
      </c>
      <c r="D618" s="202"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18" s="203"/>
      <c r="F618" s="204"/>
      <c r="G618" s="204"/>
      <c r="H618" s="204"/>
      <c r="I618" s="204"/>
      <c r="J618" s="203"/>
      <c r="K618" s="205"/>
      <c r="L618" s="205"/>
      <c r="M618" s="205"/>
    </row>
    <row r="619">
      <c r="A619" s="202" t="str">
        <f>IFERROR(__xludf.DUMMYFUNCTION("""COMPUTED_VALUE"""),"Stone Specialty Rank 2")</f>
        <v>Stone Specialty Rank 2</v>
      </c>
      <c r="B619" s="202" t="str">
        <f>IFERROR(__xludf.DUMMYFUNCTION("""COMPUTED_VALUE"""),"Rock Elementalist, Level 5")</f>
        <v>Rock Elementalist, Level 5</v>
      </c>
      <c r="C619" s="202" t="str">
        <f>IFERROR(__xludf.DUMMYFUNCTION("""COMPUTED_VALUE"""),"Static")</f>
        <v>Static</v>
      </c>
      <c r="D619" s="202"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19" s="203"/>
      <c r="F619" s="204"/>
      <c r="G619" s="204"/>
      <c r="H619" s="204"/>
      <c r="I619" s="204"/>
      <c r="J619" s="203"/>
      <c r="K619" s="205"/>
      <c r="L619" s="205"/>
      <c r="M619" s="205"/>
    </row>
    <row r="620">
      <c r="A620" s="202" t="str">
        <f>IFERROR(__xludf.DUMMYFUNCTION("""COMPUTED_VALUE"""),"Stone Specialty Rank 3")</f>
        <v>Stone Specialty Rank 3</v>
      </c>
      <c r="B620" s="202" t="str">
        <f>IFERROR(__xludf.DUMMYFUNCTION("""COMPUTED_VALUE"""),"Rock Elementalist, Level 10")</f>
        <v>Rock Elementalist, Level 10</v>
      </c>
      <c r="C620" s="202" t="str">
        <f>IFERROR(__xludf.DUMMYFUNCTION("""COMPUTED_VALUE"""),"Static")</f>
        <v>Static</v>
      </c>
      <c r="D620" s="202"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20" s="203"/>
      <c r="F620" s="204"/>
      <c r="G620" s="204"/>
      <c r="H620" s="204"/>
      <c r="I620" s="204"/>
      <c r="J620" s="203"/>
      <c r="K620" s="205"/>
      <c r="L620" s="205"/>
      <c r="M620" s="205"/>
    </row>
    <row r="621">
      <c r="A621" s="202" t="str">
        <f>IFERROR(__xludf.DUMMYFUNCTION("""COMPUTED_VALUE"""),"Tough Tactics")</f>
        <v>Tough Tactics</v>
      </c>
      <c r="B621" s="202" t="str">
        <f>IFERROR(__xludf.DUMMYFUNCTION("""COMPUTED_VALUE"""),"Rock Elementalist, Level 5")</f>
        <v>Rock Elementalist, Level 5</v>
      </c>
      <c r="C621" s="202" t="str">
        <f>IFERROR(__xludf.DUMMYFUNCTION("""COMPUTED_VALUE"""),"Static")</f>
        <v>Static</v>
      </c>
      <c r="D621" s="202" t="str">
        <f>IFERROR(__xludf.DUMMYFUNCTION("""COMPUTED_VALUE"""),"Effect: Choose an Ability from the list below to gain. At Level 15, you may gain another Ability listed below:
» Battle Armor, Dust Cloud, Dusty Guard, Rock Head, Rocky Payload, Rough Skin, Sand Force, Solid Rock")</f>
        <v>Effect: Choose an Ability from the list below to gain. At Level 15, you may gain another Ability listed below:
» Battle Armor, Dust Cloud, Dusty Guard, Rock Head, Rocky Payload, Rough Skin, Sand Force, Solid Rock</v>
      </c>
      <c r="E621" s="203"/>
      <c r="F621" s="204"/>
      <c r="G621" s="204"/>
      <c r="H621" s="204"/>
      <c r="I621" s="204"/>
      <c r="J621" s="203"/>
      <c r="K621" s="205"/>
      <c r="L621" s="205"/>
      <c r="M621" s="205"/>
    </row>
    <row r="622">
      <c r="A622" s="202" t="str">
        <f>IFERROR(__xludf.DUMMYFUNCTION("""COMPUTED_VALUE"""),"Steel Elementalist")</f>
        <v>Steel Elementalist</v>
      </c>
      <c r="B622" s="202" t="str">
        <f>IFERROR(__xludf.DUMMYFUNCTION("""COMPUTED_VALUE"""),"Elemental Affinity (Steel)")</f>
        <v>Elemental Affinity (Steel)</v>
      </c>
      <c r="C622" s="202" t="str">
        <f>IFERROR(__xludf.DUMMYFUNCTION("""COMPUTED_VALUE"""),"Static")</f>
        <v>Static</v>
      </c>
      <c r="D622" s="202" t="str">
        <f>IFERROR(__xludf.DUMMYFUNCTION("""COMPUTED_VALUE"""),"Effect: You learn two Attacks from the Tier 1 Steel Elementalist Attack List. At Level 5, learn two more from the Tier 1 or 2 list. At Level 10, learn two more from the Tier 1, 2 or 3 List.")</f>
        <v>Effect: You learn two Attacks from the Tier 1 Steel Elementalist Attack List. At Level 5, learn two more from the Tier 1 or 2 list. At Level 10, learn two more from the Tier 1, 2 or 3 List.</v>
      </c>
      <c r="E622" s="203"/>
      <c r="F622" s="204"/>
      <c r="G622" s="204"/>
      <c r="H622" s="204"/>
      <c r="I622" s="204"/>
      <c r="J622" s="203"/>
      <c r="K622" s="205"/>
      <c r="L622" s="205"/>
      <c r="M622" s="205"/>
    </row>
    <row r="623">
      <c r="A623" s="202" t="str">
        <f>IFERROR(__xludf.DUMMYFUNCTION("""COMPUTED_VALUE"""),"Steel Specialty Rank 1")</f>
        <v>Steel Specialty Rank 1</v>
      </c>
      <c r="B623" s="202" t="str">
        <f>IFERROR(__xludf.DUMMYFUNCTION("""COMPUTED_VALUE"""),"Steel Elementalist")</f>
        <v>Steel Elementalist</v>
      </c>
      <c r="C623" s="202" t="str">
        <f>IFERROR(__xludf.DUMMYFUNCTION("""COMPUTED_VALUE"""),"Static")</f>
        <v>Static</v>
      </c>
      <c r="D623" s="202"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3" s="203"/>
      <c r="F623" s="204"/>
      <c r="G623" s="204"/>
      <c r="H623" s="204"/>
      <c r="I623" s="204"/>
      <c r="J623" s="203"/>
      <c r="K623" s="205"/>
      <c r="L623" s="205"/>
      <c r="M623" s="205"/>
    </row>
    <row r="624">
      <c r="A624" s="202" t="str">
        <f>IFERROR(__xludf.DUMMYFUNCTION("""COMPUTED_VALUE"""),"Steel Specialty Rank 2")</f>
        <v>Steel Specialty Rank 2</v>
      </c>
      <c r="B624" s="202" t="str">
        <f>IFERROR(__xludf.DUMMYFUNCTION("""COMPUTED_VALUE"""),"Steel Elementalist, Level 5")</f>
        <v>Steel Elementalist, Level 5</v>
      </c>
      <c r="C624" s="202" t="str">
        <f>IFERROR(__xludf.DUMMYFUNCTION("""COMPUTED_VALUE"""),"Static")</f>
        <v>Static</v>
      </c>
      <c r="D624" s="202"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4" s="203"/>
      <c r="F624" s="204"/>
      <c r="G624" s="204"/>
      <c r="H624" s="204"/>
      <c r="I624" s="204"/>
      <c r="J624" s="203"/>
      <c r="K624" s="205"/>
      <c r="L624" s="205"/>
      <c r="M624" s="205"/>
    </row>
    <row r="625">
      <c r="A625" s="202" t="str">
        <f>IFERROR(__xludf.DUMMYFUNCTION("""COMPUTED_VALUE"""),"Steel Specialty Rank 3")</f>
        <v>Steel Specialty Rank 3</v>
      </c>
      <c r="B625" s="202" t="str">
        <f>IFERROR(__xludf.DUMMYFUNCTION("""COMPUTED_VALUE"""),"Steel Elementalist, Level 10")</f>
        <v>Steel Elementalist, Level 10</v>
      </c>
      <c r="C625" s="202" t="str">
        <f>IFERROR(__xludf.DUMMYFUNCTION("""COMPUTED_VALUE"""),"Static")</f>
        <v>Static</v>
      </c>
      <c r="D625" s="202"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5" s="203"/>
      <c r="F625" s="204"/>
      <c r="G625" s="204"/>
      <c r="H625" s="204"/>
      <c r="I625" s="204"/>
      <c r="J625" s="203"/>
      <c r="K625" s="205"/>
      <c r="L625" s="205"/>
      <c r="M625" s="205"/>
    </row>
    <row r="626">
      <c r="A626" s="202" t="str">
        <f>IFERROR(__xludf.DUMMYFUNCTION("""COMPUTED_VALUE"""),"Hardened Tactics")</f>
        <v>Hardened Tactics</v>
      </c>
      <c r="B626" s="202" t="str">
        <f>IFERROR(__xludf.DUMMYFUNCTION("""COMPUTED_VALUE"""),"Steel Elementalist, Level 5")</f>
        <v>Steel Elementalist, Level 5</v>
      </c>
      <c r="C626" s="202" t="str">
        <f>IFERROR(__xludf.DUMMYFUNCTION("""COMPUTED_VALUE"""),"Static")</f>
        <v>Static</v>
      </c>
      <c r="D626" s="202" t="str">
        <f>IFERROR(__xludf.DUMMYFUNCTION("""COMPUTED_VALUE"""),"Effect: Choose an Ability from the list below to gain. At Level 15, you may gain another Ability listed below:
» Absorb Force, Analytic, Battle Armor, Bulletproof, Hyper Cutter, Interference, Iron Barbs, Iron Body, Magnet Pull")</f>
        <v>Effect: Choose an Ability from the list below to gain. At Level 15, you may gain another Ability listed below:
» Absorb Force, Analytic, Battle Armor, Bulletproof, Hyper Cutter, Interference, Iron Barbs, Iron Body, Magnet Pull</v>
      </c>
      <c r="E626" s="203"/>
      <c r="F626" s="204"/>
      <c r="G626" s="204"/>
      <c r="H626" s="204"/>
      <c r="I626" s="204"/>
      <c r="J626" s="203"/>
      <c r="K626" s="205"/>
      <c r="L626" s="205"/>
      <c r="M626" s="205"/>
    </row>
    <row r="627">
      <c r="A627" s="202" t="str">
        <f>IFERROR(__xludf.DUMMYFUNCTION("""COMPUTED_VALUE"""),"Water Elementalist")</f>
        <v>Water Elementalist</v>
      </c>
      <c r="B627" s="202" t="str">
        <f>IFERROR(__xludf.DUMMYFUNCTION("""COMPUTED_VALUE"""),"Elemental Affinity (Water)")</f>
        <v>Elemental Affinity (Water)</v>
      </c>
      <c r="C627" s="202" t="str">
        <f>IFERROR(__xludf.DUMMYFUNCTION("""COMPUTED_VALUE"""),"Static")</f>
        <v>Static</v>
      </c>
      <c r="D627" s="202" t="str">
        <f>IFERROR(__xludf.DUMMYFUNCTION("""COMPUTED_VALUE"""),"Effect: You learn two Attacks from the Tier 1 Water Elementalist Attack List. At Level 5, learn two more from the Tier 1 or 2 list. At Level 10, learn two more from the Tier 1, 2 or 3 List.")</f>
        <v>Effect: You learn two Attacks from the Tier 1 Water Elementalist Attack List. At Level 5, learn two more from the Tier 1 or 2 list. At Level 10, learn two more from the Tier 1, 2 or 3 List.</v>
      </c>
      <c r="E627" s="203"/>
      <c r="F627" s="204"/>
      <c r="G627" s="204"/>
      <c r="H627" s="204"/>
      <c r="I627" s="204"/>
      <c r="J627" s="203"/>
      <c r="K627" s="205"/>
      <c r="L627" s="205"/>
      <c r="M627" s="205"/>
    </row>
    <row r="628">
      <c r="A628" s="202" t="str">
        <f>IFERROR(__xludf.DUMMYFUNCTION("""COMPUTED_VALUE"""),"Sea Specialty Rank 1")</f>
        <v>Sea Specialty Rank 1</v>
      </c>
      <c r="B628" s="202" t="str">
        <f>IFERROR(__xludf.DUMMYFUNCTION("""COMPUTED_VALUE"""),"Water Elementalist")</f>
        <v>Water Elementalist</v>
      </c>
      <c r="C628" s="202" t="str">
        <f>IFERROR(__xludf.DUMMYFUNCTION("""COMPUTED_VALUE"""),"Static")</f>
        <v>Static</v>
      </c>
      <c r="D628" s="202"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28" s="203"/>
      <c r="F628" s="204"/>
      <c r="G628" s="204"/>
      <c r="H628" s="204"/>
      <c r="I628" s="204"/>
      <c r="J628" s="203"/>
      <c r="K628" s="205"/>
      <c r="L628" s="205"/>
      <c r="M628" s="205"/>
    </row>
    <row r="629">
      <c r="A629" s="202" t="str">
        <f>IFERROR(__xludf.DUMMYFUNCTION("""COMPUTED_VALUE"""),"Sea Specialty Rank 2")</f>
        <v>Sea Specialty Rank 2</v>
      </c>
      <c r="B629" s="202" t="str">
        <f>IFERROR(__xludf.DUMMYFUNCTION("""COMPUTED_VALUE"""),"Water Elementalist, Level 5")</f>
        <v>Water Elementalist, Level 5</v>
      </c>
      <c r="C629" s="202" t="str">
        <f>IFERROR(__xludf.DUMMYFUNCTION("""COMPUTED_VALUE"""),"Static")</f>
        <v>Static</v>
      </c>
      <c r="D629" s="202"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29" s="203"/>
      <c r="F629" s="204"/>
      <c r="G629" s="204"/>
      <c r="H629" s="204"/>
      <c r="I629" s="204"/>
      <c r="J629" s="203"/>
      <c r="K629" s="205"/>
      <c r="L629" s="205"/>
      <c r="M629" s="205"/>
    </row>
    <row r="630">
      <c r="A630" s="202" t="str">
        <f>IFERROR(__xludf.DUMMYFUNCTION("""COMPUTED_VALUE"""),"Sea Specialty Rank 3")</f>
        <v>Sea Specialty Rank 3</v>
      </c>
      <c r="B630" s="202" t="str">
        <f>IFERROR(__xludf.DUMMYFUNCTION("""COMPUTED_VALUE"""),"Water Elementalist, Level 10")</f>
        <v>Water Elementalist, Level 10</v>
      </c>
      <c r="C630" s="202" t="str">
        <f>IFERROR(__xludf.DUMMYFUNCTION("""COMPUTED_VALUE"""),"Static")</f>
        <v>Static</v>
      </c>
      <c r="D630" s="202"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30" s="203"/>
      <c r="F630" s="204"/>
      <c r="G630" s="204"/>
      <c r="H630" s="204"/>
      <c r="I630" s="204"/>
      <c r="J630" s="203"/>
      <c r="K630" s="205"/>
      <c r="L630" s="205"/>
      <c r="M630" s="205"/>
    </row>
    <row r="631">
      <c r="A631" s="202" t="str">
        <f>IFERROR(__xludf.DUMMYFUNCTION("""COMPUTED_VALUE"""),"Torrential Tactics")</f>
        <v>Torrential Tactics</v>
      </c>
      <c r="B631" s="202" t="str">
        <f>IFERROR(__xludf.DUMMYFUNCTION("""COMPUTED_VALUE"""),"Water Elementalist, Level 5")</f>
        <v>Water Elementalist, Level 5</v>
      </c>
      <c r="C631" s="202" t="str">
        <f>IFERROR(__xludf.DUMMYFUNCTION("""COMPUTED_VALUE"""),"Static")</f>
        <v>Static</v>
      </c>
      <c r="D631" s="202" t="str">
        <f>IFERROR(__xludf.DUMMYFUNCTION("""COMPUTED_VALUE"""),"Effect: Choose an Ability from the list below to gain. At Level 15, you may gain another Ability listed below:
» Aqua Bullet, Damp, Drizzle, Hydration, Rain Dish, Tidal Smash, Tidal Trap, Torrent, Wash Away")</f>
        <v>Effect: Choose an Ability from the list below to gain. At Level 15, you may gain another Ability listed below:
» Aqua Bullet, Damp, Drizzle, Hydration, Rain Dish, Tidal Smash, Tidal Trap, Torrent, Wash Away</v>
      </c>
      <c r="E631" s="203"/>
      <c r="F631" s="204"/>
      <c r="G631" s="204"/>
      <c r="H631" s="204"/>
      <c r="I631" s="204"/>
      <c r="J631" s="203"/>
      <c r="K631" s="205"/>
      <c r="L631" s="205"/>
      <c r="M631" s="205"/>
    </row>
    <row r="632">
      <c r="A632" s="202" t="str">
        <f>IFERROR(__xludf.DUMMYFUNCTION("""COMPUTED_VALUE"""),"Performer")</f>
        <v>Performer</v>
      </c>
      <c r="B632" s="202" t="str">
        <f>IFERROR(__xludf.DUMMYFUNCTION("""COMPUTED_VALUE"""),"Novice Performer Skill")</f>
        <v>Novice Performer Skill</v>
      </c>
      <c r="C632" s="202" t="str">
        <f>IFERROR(__xludf.DUMMYFUNCTION("""COMPUTED_VALUE"""),"At-Will - Special")</f>
        <v>At-Will - Special</v>
      </c>
      <c r="D632" s="202" t="str">
        <f>IFERROR(__xludf.DUMMYFUNCTION("""COMPUTED_VALUE"""),"Trigger: You or your Pokemon hit a Super Effective Attack, hit a Scene x1 Attack, use the Intercept Maneuver or use the Riposte Maneuver
Effect: Gain 1 Flair Token. This Feature is a Free Action when Triggered but may also be used as a Swift Action, ignor"&amp;"ing the Trigger. If this is used as a Swift Action, instead gain 2 Flair Tokens.
Bonus: You may spend Flair Tokens up to your Tier Level to add an equal amount to You or Your Pokemon’s Effect Range until the end of their next turn as an At-Will Free Actio"&amp;"n. 
Note: Performer Skills are Acrobatics, Charm, Focus or Guile")</f>
        <v>Trigger: You or your Pokemon hit a Super Effective Attack, hit a Scene x1 Attack, use the Intercept Maneuver or use the Riposte Maneuver
Effect: Gain 1 Flair Token. This Feature is a Free Action when Triggered but may also be used as a Swift Action, ignoring the Trigger. If this is used as a Swift Action, instead gain 2 Flair Tokens.
Bonus: You may spend Flair Tokens up to your Tier Level to add an equal amount to You or Your Pokemon’s Effect Range until the end of their next turn as an At-Will Free Action. 
Note: Performer Skills are Acrobatics, Charm, Focus or Guile</v>
      </c>
      <c r="E632" s="203"/>
      <c r="F632" s="204"/>
      <c r="G632" s="204"/>
      <c r="H632" s="204"/>
      <c r="I632" s="204"/>
      <c r="J632" s="203"/>
      <c r="K632" s="205"/>
      <c r="L632" s="205"/>
      <c r="M632" s="205"/>
    </row>
    <row r="633">
      <c r="A633" s="202" t="str">
        <f>IFERROR(__xludf.DUMMYFUNCTION("""COMPUTED_VALUE"""),"Spectacle And Splendor Rank 1")</f>
        <v>Spectacle And Splendor Rank 1</v>
      </c>
      <c r="B633" s="202" t="str">
        <f>IFERROR(__xludf.DUMMYFUNCTION("""COMPUTED_VALUE"""),"Performer, a Novice Performer Skill")</f>
        <v>Performer, a Novice Performer Skill</v>
      </c>
      <c r="C633" s="202" t="str">
        <f>IFERROR(__xludf.DUMMYFUNCTION("""COMPUTED_VALUE"""),"Static")</f>
        <v>Static</v>
      </c>
      <c r="D633" s="202" t="str">
        <f>IFERROR(__xludf.DUMMYFUNCTION("""COMPUTED_VALUE"""),"Effect: For each Rank, choose 2 Performer Techniques on the next page to learn. Some Performer Techniques cost Flair to use, specified below the technique.")</f>
        <v>Effect: For each Rank, choose 2 Performer Techniques on the next page to learn. Some Performer Techniques cost Flair to use, specified below the technique.</v>
      </c>
      <c r="E633" s="203"/>
      <c r="F633" s="204"/>
      <c r="G633" s="204"/>
      <c r="H633" s="204"/>
      <c r="I633" s="204"/>
      <c r="J633" s="203"/>
      <c r="K633" s="205"/>
      <c r="L633" s="205"/>
      <c r="M633" s="205"/>
    </row>
    <row r="634">
      <c r="A634" s="202" t="str">
        <f>IFERROR(__xludf.DUMMYFUNCTION("""COMPUTED_VALUE"""),"Spectacle And Splendor Rank 2")</f>
        <v>Spectacle And Splendor Rank 2</v>
      </c>
      <c r="B634" s="202" t="str">
        <f>IFERROR(__xludf.DUMMYFUNCTION("""COMPUTED_VALUE"""),"Performer, an Adept Performer Skill")</f>
        <v>Performer, an Adept Performer Skill</v>
      </c>
      <c r="C634" s="202" t="str">
        <f>IFERROR(__xludf.DUMMYFUNCTION("""COMPUTED_VALUE"""),"Static")</f>
        <v>Static</v>
      </c>
      <c r="D634" s="202" t="str">
        <f>IFERROR(__xludf.DUMMYFUNCTION("""COMPUTED_VALUE"""),"Effect: For each Rank, choose 2 Performer Techniques on the next page to learn. Some Performer Techniques cost Flair to use, specified below the technique.")</f>
        <v>Effect: For each Rank, choose 2 Performer Techniques on the next page to learn. Some Performer Techniques cost Flair to use, specified below the technique.</v>
      </c>
      <c r="E634" s="203"/>
      <c r="F634" s="204"/>
      <c r="G634" s="204"/>
      <c r="H634" s="204"/>
      <c r="I634" s="204"/>
      <c r="J634" s="203"/>
      <c r="K634" s="205"/>
      <c r="L634" s="205"/>
      <c r="M634" s="205"/>
    </row>
    <row r="635">
      <c r="A635" s="202" t="str">
        <f>IFERROR(__xludf.DUMMYFUNCTION("""COMPUTED_VALUE"""),"Shock And Awe")</f>
        <v>Shock And Awe</v>
      </c>
      <c r="B635" s="202" t="str">
        <f>IFERROR(__xludf.DUMMYFUNCTION("""COMPUTED_VALUE"""),"Performer, an Expert Performer Skill")</f>
        <v>Performer, an Expert Performer Skill</v>
      </c>
      <c r="C635" s="202" t="str">
        <f>IFERROR(__xludf.DUMMYFUNCTION("""COMPUTED_VALUE"""),"Scene x2 - Free Action")</f>
        <v>Scene x2 - Free Action</v>
      </c>
      <c r="D635" s="202" t="str">
        <f>IFERROR(__xludf.DUMMYFUNCTION("""COMPUTED_VALUE"""),"Trigger: You or Your Pokemon Trigger the Performer Feature
Effect: Choose one of the following Effects to apply to all Enemies within 2m of the Triggering Combatant. 
&gt; They become Provoked by the Triggering Combatant until the end of their next Turn. 
&gt; "&amp;"They cannot use Reactions for the rest of the Round. 
&gt; They cannot apply Evasion towards the next Attack that targets them
")</f>
        <v>Trigger: You or Your Pokemon Trigger the Performer Feature
Effect: Choose one of the following Effects to apply to all Enemies within 2m of the Triggering Combatant. 
&gt; They become Provoked by the Triggering Combatant until the end of their next Turn. 
&gt; They cannot use Reactions for the rest of the Round. 
&gt; They cannot apply Evasion towards the next Attack that targets them
</v>
      </c>
      <c r="E635" s="203"/>
      <c r="F635" s="204"/>
      <c r="G635" s="204"/>
      <c r="H635" s="204"/>
      <c r="I635" s="204"/>
      <c r="J635" s="203"/>
      <c r="K635" s="205"/>
      <c r="L635" s="205"/>
      <c r="M635" s="205"/>
    </row>
    <row r="636">
      <c r="A636" s="202" t="str">
        <f>IFERROR(__xludf.DUMMYFUNCTION("""COMPUTED_VALUE"""),"Grand Finale")</f>
        <v>Grand Finale</v>
      </c>
      <c r="B636" s="202" t="str">
        <f>IFERROR(__xludf.DUMMYFUNCTION("""COMPUTED_VALUE"""),"Performer, a Master Performer Skill")</f>
        <v>Performer, a Master Performer Skill</v>
      </c>
      <c r="C636" s="202" t="str">
        <f>IFERROR(__xludf.DUMMYFUNCTION("""COMPUTED_VALUE"""),"Scene - Free Action")</f>
        <v>Scene - Free Action</v>
      </c>
      <c r="D636" s="202" t="str">
        <f>IFERROR(__xludf.DUMMYFUNCTION("""COMPUTED_VALUE"""),"Condition: It is at least Round 3
Trigger: You or your Pokemon use an Attack
Effect: Choose two different Effects below to apply to the Triggering Attack. You may spend 2 Flair Tokens any number of times to choose an additional effect that is different fr"&amp;"om the first two chosen. After the Triggering Attack resolves, you lose all Flair Tokens, gain Ticks of Temporary Hit Points equal to the amount lost, and cannot gain Flair Tokens for the rest of the Scene. 
Gains the Unstoppable Keyword.
Gains Sureshot "&amp;"Keyword.
Change from Physical to Special, or Special to Physical.
Automatically becomes a Critical Hit if it hits, but gains the Recoil 1/2 Keyword.
Gains the Spirit Surge Keyword.
Choose an Affliction. On 15+, that Affliction is applied to the Attack’s T"&amp;"argets. 
The Target automatically fails their next Save Check.
The User gains +2 CS to a Stat of their choice.
")</f>
        <v>Condition: It is at least Round 3
Trigger: You or your Pokemon use an Attack
Effect: Choose two different Effects below to apply to the Triggering Attack. You may spend 2 Flair Tokens any number of times to choose an additional effect that is different from the first two chosen. After the Triggering Attack resolves, you lose all Flair Tokens, gain Ticks of Temporary Hit Points equal to the amount lost, and cannot gain Flair Tokens for the rest of the Scene. 
Gains the Unstoppable Keyword.
Gains Sureshot Keyword.
Change from Physical to Special, or Special to Physical.
Automatically becomes a Critical Hit if it hits, but gains the Recoil 1/2 Keyword.
Gains the Spirit Surge Keyword.
Choose an Affliction. On 15+, that Affliction is applied to the Attack’s Targets. 
The Target automatically fails their next Save Check.
The User gains +2 CS to a Stat of their choice.
</v>
      </c>
      <c r="E636" s="203"/>
      <c r="F636" s="204"/>
      <c r="G636" s="204"/>
      <c r="H636" s="204"/>
      <c r="I636" s="204"/>
      <c r="J636" s="203"/>
      <c r="K636" s="205"/>
      <c r="L636" s="205"/>
      <c r="M636" s="205"/>
    </row>
    <row r="637">
      <c r="A637" s="202" t="str">
        <f>IFERROR(__xludf.DUMMYFUNCTION("""COMPUTED_VALUE"""),"Coordinator")</f>
        <v>Coordinator</v>
      </c>
      <c r="B637" s="202" t="str">
        <f>IFERROR(__xludf.DUMMYFUNCTION("""COMPUTED_VALUE"""),"Prerequisites 1: Performer or Training Specialist [or]
Prerequisites 2: Adept Coordinator Skill")</f>
        <v>Prerequisites 1: Performer or Training Specialist [or]
Prerequisites 2: Adept Coordinator Skill</v>
      </c>
      <c r="C637" s="202" t="str">
        <f>IFERROR(__xludf.DUMMYFUNCTION("""COMPUTED_VALUE"""),"At-Will - Extended Action")</f>
        <v>At-Will - Extended Action</v>
      </c>
      <c r="D637" s="202" t="str">
        <f>IFERROR(__xludf.DUMMYFUNCTION("""COMPUTED_VALUE"""),"Trigger: You use a Downtime Training Action on your Pokemon
Effect: Choose an Attack on each of your Trained Pokemon and choose an Innovation Technique that corresponds to your Coordinator Style and whose Prerequisites are met. Whenever they use that Atta"&amp;"ck as a Standard Action, they gain the benefits of that Technique. A Pokemon may only be affected by one Innovation Technique at a time. 
Note: When you gain this Feature, choose a Coordinator Style. Coordinator Styles are Beauty, Cool, Cute, Smart, Tough"&amp;". When you have 4 Coordinator Features, you may select another Style to gain.
Note: Coordinator Skills are Charm, Command or Poke Edu")</f>
        <v>Trigger: You use a Downtime Training Action on your Pokemon
Effect: Choose an Attack on each of your Trained Pokemon and choose an Innovation Technique that corresponds to your Coordinator Style and whose Prerequisites are met. Whenever they use that Attack as a Standard Action, they gain the benefits of that Technique. A Pokemon may only be affected by one Innovation Technique at a time. 
Note: When you gain this Feature, choose a Coordinator Style. Coordinator Styles are Beauty, Cool, Cute, Smart, Tough. When you have 4 Coordinator Features, you may select another Style to gain.
Note: Coordinator Skills are Charm, Command or Poke Edu</v>
      </c>
      <c r="E637" s="203"/>
      <c r="F637" s="204"/>
      <c r="G637" s="204"/>
      <c r="H637" s="204"/>
      <c r="I637" s="204"/>
      <c r="J637" s="203"/>
      <c r="K637" s="205"/>
      <c r="L637" s="205"/>
      <c r="M637" s="205"/>
    </row>
    <row r="638">
      <c r="A638" s="202" t="str">
        <f>IFERROR(__xludf.DUMMYFUNCTION("""COMPUTED_VALUE"""),"Set the Stage")</f>
        <v>Set the Stage</v>
      </c>
      <c r="B638" s="202" t="str">
        <f>IFERROR(__xludf.DUMMYFUNCTION("""COMPUTED_VALUE"""),"Coordinator ")</f>
        <v>Coordinator </v>
      </c>
      <c r="C638" s="202" t="str">
        <f>IFERROR(__xludf.DUMMYFUNCTION("""COMPUTED_VALUE"""),"Scene - Free Action")</f>
        <v>Scene - Free Action</v>
      </c>
      <c r="D638" s="202" t="str">
        <f>IFERROR(__xludf.DUMMYFUNCTION("""COMPUTED_VALUE"""),"Trigger: The Scene Starts
Effect: A Coordinator Blessing enters the Field with 3 Activations. The Effect of your Coordinator Blessing depends on your corresponding Coordinator Styles. Multiple Activations can be expended towards a Trigger to apply the eff"&amp;"ect an additional time..
Beauty - This can be activated when using an Attack to increase its Effect Range by your Tier Level.
Cool - This can be activated when using an Attack to increase its Critical Hit Range by your Tier Level. 
Cute - This can be acti"&amp;"vated when targeted by an Attack to increase your Evasion against it by double your Tier Level.
Smart - This can be activated when using an Attack to increase its Accuracy by your Tier Level 
Tough - This can be activated when hit by an Attack to gain Dam"&amp;"age Reduction against it equal to your Tier Value.")</f>
        <v>Trigger: The Scene Starts
Effect: A Coordinator Blessing enters the Field with 3 Activations. The Effect of your Coordinator Blessing depends on your corresponding Coordinator Styles. Multiple Activations can be expended towards a Trigger to apply the effect an additional time..
Beauty - This can be activated when using an Attack to increase its Effect Range by your Tier Level.
Cool - This can be activated when using an Attack to increase its Critical Hit Range by your Tier Level. 
Cute - This can be activated when targeted by an Attack to increase your Evasion against it by double your Tier Level.
Smart - This can be activated when using an Attack to increase its Accuracy by your Tier Level 
Tough - This can be activated when hit by an Attack to gain Damage Reduction against it equal to your Tier Value.</v>
      </c>
      <c r="E638" s="203"/>
      <c r="F638" s="204"/>
      <c r="G638" s="204"/>
      <c r="H638" s="204"/>
      <c r="I638" s="204"/>
      <c r="J638" s="203"/>
      <c r="K638" s="205"/>
      <c r="L638" s="205"/>
      <c r="M638" s="205"/>
    </row>
    <row r="639">
      <c r="A639" s="202" t="str">
        <f>IFERROR(__xludf.DUMMYFUNCTION("""COMPUTED_VALUE"""),"Performance Director")</f>
        <v>Performance Director</v>
      </c>
      <c r="B639" s="202" t="str">
        <f>IFERROR(__xludf.DUMMYFUNCTION("""COMPUTED_VALUE"""),"Coordinator, Adept Coordinator Skill")</f>
        <v>Coordinator, Adept Coordinator Skill</v>
      </c>
      <c r="C639" s="202" t="str">
        <f>IFERROR(__xludf.DUMMYFUNCTION("""COMPUTED_VALUE"""),"At-Will - Reaction")</f>
        <v>At-Will - Reaction</v>
      </c>
      <c r="D639" s="202" t="str">
        <f>IFERROR(__xludf.DUMMYFUNCTION("""COMPUTED_VALUE"""),"Trigger: An Ally within 5m uses an Attack that doesn’t have an Innovation Technique applied to it
Effect: Choose an Innovation Technique that corresponds to your Coordinator Style to apply to the Triggering Attack. It must meet any listed Prerequisites.
"&amp;"
Bonus: As an At-Will - Swift Action, you may Target an Ally within 5m and the next Attack they use can have an Innovation Technique that corresponds to your Coordinator Style applied to it. It must meet any listed Prerequisites. ")</f>
        <v>Trigger: An Ally within 5m uses an Attack that doesn’t have an Innovation Technique applied to it
Effect: Choose an Innovation Technique that corresponds to your Coordinator Style to apply to the Triggering Attack. It must meet any listed Prerequisites.
Bonus: As an At-Will - Swift Action, you may Target an Ally within 5m and the next Attack they use can have an Innovation Technique that corresponds to your Coordinator Style applied to it. It must meet any listed Prerequisites. </v>
      </c>
      <c r="E639" s="203"/>
      <c r="F639" s="204"/>
      <c r="G639" s="204"/>
      <c r="H639" s="204"/>
      <c r="I639" s="204"/>
      <c r="J639" s="203"/>
      <c r="K639" s="205"/>
      <c r="L639" s="205"/>
      <c r="M639" s="205"/>
    </row>
    <row r="640">
      <c r="A640" s="202" t="str">
        <f>IFERROR(__xludf.DUMMYFUNCTION("""COMPUTED_VALUE"""),"Stylized Grooming")</f>
        <v>Stylized Grooming</v>
      </c>
      <c r="B640" s="202" t="str">
        <f>IFERROR(__xludf.DUMMYFUNCTION("""COMPUTED_VALUE"""),"Coordinator, Expert Coordinator Skill")</f>
        <v>Coordinator, Expert Coordinator Skill</v>
      </c>
      <c r="C640" s="202" t="str">
        <f>IFERROR(__xludf.DUMMYFUNCTION("""COMPUTED_VALUE"""),"At-Will - Extended Action")</f>
        <v>At-Will - Extended Action</v>
      </c>
      <c r="D640" s="202" t="str">
        <f>IFERROR(__xludf.DUMMYFUNCTION("""COMPUTED_VALUE"""),"Trigger: You use a Downtime Training Action on your Pokemon
Effect: Choose an Ability below for each Pokemon to learn from the list of your associated coordinator Style(s).  A Pokemon can only have one Ability from this Feature at a time.
Beauty - Beaut"&amp;"iful, Pride, Regal Challenge
Cool - Combo Striker, Courage, Reckless
Cute - Coward, Cute Charm, Gentle Vibe
Smart - Analytic, Dodge, Forewarn 
Tough - Absorb Force, Intimidate, Unnerve")</f>
        <v>Trigger: You use a Downtime Training Action on your Pokemon
Effect: Choose an Ability below for each Pokemon to learn from the list of your associated coordinator Style(s).  A Pokemon can only have one Ability from this Feature at a time.
Beauty - Beautiful, Pride, Regal Challenge
Cool - Combo Striker, Courage, Reckless
Cute - Coward, Cute Charm, Gentle Vibe
Smart - Analytic, Dodge, Forewarn 
Tough - Absorb Force, Intimidate, Unnerve</v>
      </c>
      <c r="E640" s="203"/>
      <c r="F640" s="204"/>
      <c r="G640" s="204"/>
      <c r="H640" s="204"/>
      <c r="I640" s="204"/>
      <c r="J640" s="203"/>
      <c r="K640" s="205"/>
      <c r="L640" s="205"/>
      <c r="M640" s="205"/>
    </row>
    <row r="641">
      <c r="A641" s="202" t="str">
        <f>IFERROR(__xludf.DUMMYFUNCTION("""COMPUTED_VALUE"""),"The Show Must Go On")</f>
        <v>The Show Must Go On</v>
      </c>
      <c r="B641" s="202" t="str">
        <f>IFERROR(__xludf.DUMMYFUNCTION("""COMPUTED_VALUE"""),"Set the Stage, Master Coordinator Skill")</f>
        <v>Set the Stage, Master Coordinator Skill</v>
      </c>
      <c r="C641" s="202" t="str">
        <f>IFERROR(__xludf.DUMMYFUNCTION("""COMPUTED_VALUE"""),"At-Will - Free Action")</f>
        <v>At-Will - Free Action</v>
      </c>
      <c r="D641" s="202" t="str">
        <f>IFERROR(__xludf.DUMMYFUNCTION("""COMPUTED_VALUE"""),"Trigger: An Allied Pokemon would use an Attack affected by an Innovation Technique
Effect: Add +1 Activation to your Coordinator Blessing. If your Blessing was removed, it returns to the Scene with 1 Activation. 
Bonus: Your Pokemon may have up to two A"&amp;"ttacks affected by an Innovation Technique at a time. ")</f>
        <v>Trigger: An Allied Pokemon would use an Attack affected by an Innovation Technique
Effect: Add +1 Activation to your Coordinator Blessing. If your Blessing was removed, it returns to the Scene with 1 Activation. 
Bonus: Your Pokemon may have up to two Attacks affected by an Innovation Technique at a time. </v>
      </c>
      <c r="E641" s="203"/>
      <c r="F641" s="204"/>
      <c r="G641" s="204"/>
      <c r="H641" s="204"/>
      <c r="I641" s="204"/>
      <c r="J641" s="203"/>
      <c r="K641" s="205"/>
      <c r="L641" s="205"/>
      <c r="M641" s="205"/>
    </row>
    <row r="642">
      <c r="A642" s="202" t="str">
        <f>IFERROR(__xludf.DUMMYFUNCTION("""COMPUTED_VALUE"""),"Daredevil")</f>
        <v>Daredevil</v>
      </c>
      <c r="B642" s="202" t="str">
        <f>IFERROR(__xludf.DUMMYFUNCTION("""COMPUTED_VALUE"""),"Prerequisites 1: Fighter or Performer [or]
Prerequisites 2: Adept Combat or Intuition")</f>
        <v>Prerequisites 1: Fighter or Performer [or]
Prerequisites 2: Adept Combat or Intuition</v>
      </c>
      <c r="C642" s="202" t="str">
        <f>IFERROR(__xludf.DUMMYFUNCTION("""COMPUTED_VALUE"""),"At-Will - Free or Extended Action")</f>
        <v>At-Will - Free or Extended Action</v>
      </c>
      <c r="D642" s="202" t="str">
        <f>IFERROR(__xludf.DUMMYFUNCTION("""COMPUTED_VALUE"""),"Trigger: You perform a non-Education Skill Check 
Effect: Add 2d6 to the Skill Check. If you don’t exceed the required Successes by at least 1, it is treated as a Critical Failure instead. If the Triggering Skill Check is for a non-Questing Downtime Actio"&amp;"n, roll a Luck Check instaed and on a 15 or less, you suffer a minor setback regardless of the result. If it was 5 or less, it is instead a major setback. 
Bonus: You may gain Adrenaline Tokens as a result of your Actions.
*See Mechanics - Daredevil")</f>
        <v>Trigger: You perform a non-Education Skill Check 
Effect: Add 2d6 to the Skill Check. If you don’t exceed the required Successes by at least 1, it is treated as a Critical Failure instead. If the Triggering Skill Check is for a non-Questing Downtime Action, roll a Luck Check instaed and on a 15 or less, you suffer a minor setback regardless of the result. If it was 5 or less, it is instead a major setback. 
Bonus: You may gain Adrenaline Tokens as a result of your Actions.
*See Mechanics - Daredevil</v>
      </c>
      <c r="E642" s="203"/>
      <c r="F642" s="204"/>
      <c r="G642" s="204"/>
      <c r="H642" s="204"/>
      <c r="I642" s="204"/>
      <c r="J642" s="203"/>
      <c r="K642" s="205"/>
      <c r="L642" s="205"/>
      <c r="M642" s="205"/>
    </row>
    <row r="643">
      <c r="A643" s="202" t="str">
        <f>IFERROR(__xludf.DUMMYFUNCTION("""COMPUTED_VALUE"""),"Combat Instincts")</f>
        <v>Combat Instincts</v>
      </c>
      <c r="B643" s="202" t="str">
        <f>IFERROR(__xludf.DUMMYFUNCTION("""COMPUTED_VALUE"""),"Daredevil")</f>
        <v>Daredevil</v>
      </c>
      <c r="C643" s="202" t="str">
        <f>IFERROR(__xludf.DUMMYFUNCTION("""COMPUTED_VALUE"""),"Static")</f>
        <v>Static</v>
      </c>
      <c r="D643" s="202" t="str">
        <f>IFERROR(__xludf.DUMMYFUNCTION("""COMPUTED_VALUE"""),"Effect: Choose two Attacks to learn from the list below. When you have 4 Daredevil Features, choose two more to learn. Y
&gt; Adrenaline Rush, Bulk Up, Concentration, Counter, Detect, Endure, Focus Energy, Protect, Quick Guard, Wide Guard
")</f>
        <v>Effect: Choose two Attacks to learn from the list below. When you have 4 Daredevil Features, choose two more to learn. Y
&gt; Adrenaline Rush, Bulk Up, Concentration, Counter, Detect, Endure, Focus Energy, Protect, Quick Guard, Wide Guard
</v>
      </c>
      <c r="E643" s="203"/>
      <c r="F643" s="204"/>
      <c r="G643" s="204"/>
      <c r="H643" s="204"/>
      <c r="I643" s="204"/>
      <c r="J643" s="203"/>
      <c r="K643" s="205"/>
      <c r="L643" s="205"/>
      <c r="M643" s="205"/>
    </row>
    <row r="644">
      <c r="A644" s="202" t="str">
        <f>IFERROR(__xludf.DUMMYFUNCTION("""COMPUTED_VALUE"""),"Thrill Seeker")</f>
        <v>Thrill Seeker</v>
      </c>
      <c r="B644" s="202" t="str">
        <f>IFERROR(__xludf.DUMMYFUNCTION("""COMPUTED_VALUE"""),"Daredevil, Adept Combat or Intuition")</f>
        <v>Daredevil, Adept Combat or Intuition</v>
      </c>
      <c r="C644" s="202" t="str">
        <f>IFERROR(__xludf.DUMMYFUNCTION("""COMPUTED_VALUE"""),"Static")</f>
        <v>Static</v>
      </c>
      <c r="D644" s="202" t="str">
        <f>IFERROR(__xludf.DUMMYFUNCTION("""COMPUTED_VALUE"""),"Effect: Choose a Daredevil Style below and gain one of its corresponding Abilities.
» Gambler: Defy Death or Super Luck 
&gt; Masochist: Absorb Force or Bulletproof
&gt; Reckless: Courage or Reckless
&gt; Sacrificial : Bodyguard or Friend Guard  ")</f>
        <v>Effect: Choose a Daredevil Style below and gain one of its corresponding Abilities.
» Gambler: Defy Death or Super Luck 
&gt; Masochist: Absorb Force or Bulletproof
&gt; Reckless: Courage or Reckless
&gt; Sacrificial : Bodyguard or Friend Guard  </v>
      </c>
      <c r="E644" s="203"/>
      <c r="F644" s="204"/>
      <c r="G644" s="204"/>
      <c r="H644" s="204"/>
      <c r="I644" s="204"/>
      <c r="J644" s="203"/>
      <c r="K644" s="205"/>
      <c r="L644" s="205"/>
      <c r="M644" s="205"/>
    </row>
    <row r="645">
      <c r="A645" s="202" t="str">
        <f>IFERROR(__xludf.DUMMYFUNCTION("""COMPUTED_VALUE"""),"Adrenaline Boost")</f>
        <v>Adrenaline Boost</v>
      </c>
      <c r="B645" s="202" t="str">
        <f>IFERROR(__xludf.DUMMYFUNCTION("""COMPUTED_VALUE"""),"Daredevil, Expert Combat or Intuition")</f>
        <v>Daredevil, Expert Combat or Intuition</v>
      </c>
      <c r="C645" s="202" t="str">
        <f>IFERROR(__xludf.DUMMYFUNCTION("""COMPUTED_VALUE"""),"Scene - Reaction")</f>
        <v>Scene - Reaction</v>
      </c>
      <c r="D645" s="202" t="str">
        <f>IFERROR(__xludf.DUMMYFUNCTION("""COMPUTED_VALUE"""),"Trigger: You fall below 50% Hit Points or suffer a Critical Failure for a Skill Check in Combat
Effect: You gain X Ticks of Temporary Hit Points and gain +X Combat Stages in a Stat of your Choice. X is 1 but you may expend up to two Adrenaline Tokens to "&amp;"increase it by +1 per Token. ")</f>
        <v>Trigger: You fall below 50% Hit Points or suffer a Critical Failure for a Skill Check in Combat
Effect: You gain X Ticks of Temporary Hit Points and gain +X Combat Stages in a Stat of your Choice. X is 1 but you may expend up to two Adrenaline Tokens to increase it by +1 per Token. </v>
      </c>
      <c r="E645" s="203"/>
      <c r="F645" s="204"/>
      <c r="G645" s="204"/>
      <c r="H645" s="204"/>
      <c r="I645" s="204"/>
      <c r="J645" s="203"/>
      <c r="K645" s="205"/>
      <c r="L645" s="205"/>
      <c r="M645" s="205"/>
    </row>
    <row r="646">
      <c r="A646" s="202" t="str">
        <f>IFERROR(__xludf.DUMMYFUNCTION("""COMPUTED_VALUE"""),"Deadly Gambit")</f>
        <v>Deadly Gambit</v>
      </c>
      <c r="B646" s="202" t="str">
        <f>IFERROR(__xludf.DUMMYFUNCTION("""COMPUTED_VALUE"""),"Daredevil, Master Combat or Intuition")</f>
        <v>Daredevil, Master Combat or Intuition</v>
      </c>
      <c r="C646" s="202" t="str">
        <f>IFERROR(__xludf.DUMMYFUNCTION("""COMPUTED_VALUE"""),"Scene x3 - Free Action")</f>
        <v>Scene x3 - Free Action</v>
      </c>
      <c r="D646" s="202" t="str">
        <f>IFERROR(__xludf.DUMMYFUNCTION("""COMPUTED_VALUE"""),"Trigger: You use an Attack or are Targeted by an Attack
Effect: The Triggering Combatant performs a Luck Check. On a 10 or below, the Attack Misses. On an 11 or above, the Attack becomes a Critical Hit which cannot be prevented or avoided by any means. Y"&amp;"ou may use Adrenaline Tokens to grant a 1d4 penalty to their Luck Check if desired. If the usage of this feature leads you to miss an attack or an enemy landing a critical hit, you gain an Adrenaline Token")</f>
        <v>Trigger: You use an Attack or are Targeted by an Attack
Effect: The Triggering Combatant performs a Luck Check. On a 10 or below, the Attack Misses. On an 11 or above, the Attack becomes a Critical Hit which cannot be prevented or avoided by any means. You may use Adrenaline Tokens to grant a 1d4 penalty to their Luck Check if desired. If the usage of this feature leads you to miss an attack or an enemy landing a critical hit, you gain an Adrenaline Token</v>
      </c>
      <c r="E646" s="203"/>
      <c r="F646" s="204"/>
      <c r="G646" s="204"/>
      <c r="H646" s="204"/>
      <c r="I646" s="204"/>
      <c r="J646" s="203"/>
      <c r="K646" s="205"/>
      <c r="L646" s="205"/>
      <c r="M646" s="205"/>
    </row>
    <row r="647">
      <c r="A647" s="202" t="str">
        <f>IFERROR(__xludf.DUMMYFUNCTION("""COMPUTED_VALUE"""),"Imposter ")</f>
        <v>Imposter </v>
      </c>
      <c r="B647" s="202" t="str">
        <f>IFERROR(__xludf.DUMMYFUNCTION("""COMPUTED_VALUE"""),"Prerequisites 1: Performer or Provocateur [or]
Prerequisites 2: Adept Guile or Stealth")</f>
        <v>Prerequisites 1: Performer or Provocateur [or]
Prerequisites 2: Adept Guile or Stealth</v>
      </c>
      <c r="C647" s="202" t="str">
        <f>IFERROR(__xludf.DUMMYFUNCTION("""COMPUTED_VALUE"""),"Static")</f>
        <v>Static</v>
      </c>
      <c r="D647" s="202" t="str">
        <f>IFERROR(__xludf.DUMMYFUNCTION("""COMPUTED_VALUE"""),"Effect: You gain the Makeshift Artisan Talent. You may craft [Small] and [Large] Disguises.You learn the Copycat Attack. ")</f>
        <v>Effect: You gain the Makeshift Artisan Talent. You may craft [Small] and [Large] Disguises.You learn the Copycat Attack. </v>
      </c>
      <c r="E647" s="203"/>
      <c r="F647" s="204"/>
      <c r="G647" s="204"/>
      <c r="H647" s="204"/>
      <c r="I647" s="204"/>
      <c r="J647" s="203"/>
      <c r="K647" s="205"/>
      <c r="L647" s="205"/>
      <c r="M647" s="205"/>
    </row>
    <row r="648">
      <c r="A648" s="202" t="str">
        <f>IFERROR(__xludf.DUMMYFUNCTION("""COMPUTED_VALUE"""),"Sly Mimicry")</f>
        <v>Sly Mimicry</v>
      </c>
      <c r="B648" s="202" t="str">
        <f>IFERROR(__xludf.DUMMYFUNCTION("""COMPUTED_VALUE"""),"Imposter, Adept Guile or Stealth")</f>
        <v>Imposter, Adept Guile or Stealth</v>
      </c>
      <c r="C648" s="202" t="str">
        <f>IFERROR(__xludf.DUMMYFUNCTION("""COMPUTED_VALUE"""),"At-Will - Swift Action")</f>
        <v>At-Will - Swift Action</v>
      </c>
      <c r="D648" s="202" t="str">
        <f>IFERROR(__xludf.DUMMYFUNCTION("""COMPUTED_VALUE"""),"Target: A Combatant within 5m
Effect: Choose an Attack that the Target has used in this Scene. This Attack is added to your Attack list until the end of the Scene or until you use this Feature again. The Frequency of Attacks carries over even if replaced"&amp;". 
Bonus: Whenever you use Damaging Attacks that you didn’t start the Scene with on your Attack List, they may be treated as either Physical or Special Category of your choice.")</f>
        <v>Target: A Combatant within 5m
Effect: Choose an Attack that the Target has used in this Scene. This Attack is added to your Attack list until the end of the Scene or until you use this Feature again. The Frequency of Attacks carries over even if replaced. 
Bonus: Whenever you use Damaging Attacks that you didn’t start the Scene with on your Attack List, they may be treated as either Physical or Special Category of your choice.</v>
      </c>
      <c r="E648" s="203"/>
      <c r="F648" s="204"/>
      <c r="G648" s="204"/>
      <c r="H648" s="204"/>
      <c r="I648" s="204"/>
      <c r="J648" s="203"/>
      <c r="K648" s="205"/>
      <c r="L648" s="205"/>
      <c r="M648" s="205"/>
    </row>
    <row r="649">
      <c r="A649" s="202" t="str">
        <f>IFERROR(__xludf.DUMMYFUNCTION("""COMPUTED_VALUE"""),"Art of Deception Rank 1")</f>
        <v>Art of Deception Rank 1</v>
      </c>
      <c r="B649" s="202" t="str">
        <f>IFERROR(__xludf.DUMMYFUNCTION("""COMPUTED_VALUE"""),"Imposter")</f>
        <v>Imposter</v>
      </c>
      <c r="C649" s="202" t="str">
        <f>IFERROR(__xludf.DUMMYFUNCTION("""COMPUTED_VALUE"""),"Static")</f>
        <v>Static</v>
      </c>
      <c r="D649" s="202" t="str">
        <f>IFERROR(__xludf.DUMMYFUNCTION("""COMPUTED_VALUE"""),"Effect: Choose two Imposter Techniques to gain from the list on the next page. ")</f>
        <v>Effect: Choose two Imposter Techniques to gain from the list on the next page. </v>
      </c>
      <c r="E649" s="203"/>
      <c r="F649" s="204"/>
      <c r="G649" s="204"/>
      <c r="H649" s="204"/>
      <c r="I649" s="204"/>
      <c r="J649" s="203"/>
      <c r="K649" s="205"/>
      <c r="L649" s="205"/>
      <c r="M649" s="205"/>
    </row>
    <row r="650">
      <c r="A650" s="202" t="str">
        <f>IFERROR(__xludf.DUMMYFUNCTION("""COMPUTED_VALUE"""),"Art of Deception Rank 2")</f>
        <v>Art of Deception Rank 2</v>
      </c>
      <c r="B650" s="202" t="str">
        <f>IFERROR(__xludf.DUMMYFUNCTION("""COMPUTED_VALUE"""),"Imposter, Expert Guile or Stealth")</f>
        <v>Imposter, Expert Guile or Stealth</v>
      </c>
      <c r="C650" s="202" t="str">
        <f>IFERROR(__xludf.DUMMYFUNCTION("""COMPUTED_VALUE"""),"Static")</f>
        <v>Static</v>
      </c>
      <c r="D650" s="202" t="str">
        <f>IFERROR(__xludf.DUMMYFUNCTION("""COMPUTED_VALUE"""),"Effect: Choose two Imposter Techniques to gain from the list on the next page. ")</f>
        <v>Effect: Choose two Imposter Techniques to gain from the list on the next page. </v>
      </c>
      <c r="E650" s="203"/>
      <c r="F650" s="204"/>
      <c r="G650" s="204"/>
      <c r="H650" s="204"/>
      <c r="I650" s="204"/>
      <c r="J650" s="203"/>
      <c r="K650" s="205"/>
      <c r="L650" s="205"/>
      <c r="M650" s="205"/>
    </row>
    <row r="651">
      <c r="A651" s="202" t="str">
        <f>IFERROR(__xludf.DUMMYFUNCTION("""COMPUTED_VALUE"""),"Art of Deception Rank 3")</f>
        <v>Art of Deception Rank 3</v>
      </c>
      <c r="B651" s="202" t="str">
        <f>IFERROR(__xludf.DUMMYFUNCTION("""COMPUTED_VALUE"""),"Imposter, Master Guile or Stealth")</f>
        <v>Imposter, Master Guile or Stealth</v>
      </c>
      <c r="C651" s="202" t="str">
        <f>IFERROR(__xludf.DUMMYFUNCTION("""COMPUTED_VALUE"""),"Static")</f>
        <v>Static</v>
      </c>
      <c r="D651" s="202" t="str">
        <f>IFERROR(__xludf.DUMMYFUNCTION("""COMPUTED_VALUE"""),"Effect: Choose two Imposter Techniques to gain from the list on the next page. ")</f>
        <v>Effect: Choose two Imposter Techniques to gain from the list on the next page. </v>
      </c>
      <c r="E651" s="203"/>
      <c r="F651" s="204"/>
      <c r="G651" s="204"/>
      <c r="H651" s="204"/>
      <c r="I651" s="204"/>
      <c r="J651" s="203"/>
      <c r="K651" s="205"/>
      <c r="L651" s="205"/>
      <c r="M651" s="205"/>
    </row>
    <row r="652">
      <c r="A652" s="202" t="str">
        <f>IFERROR(__xludf.DUMMYFUNCTION("""COMPUTED_VALUE"""),"Meditative Spirit")</f>
        <v>Meditative Spirit</v>
      </c>
      <c r="B652" s="202" t="str">
        <f>IFERROR(__xludf.DUMMYFUNCTION("""COMPUTED_VALUE"""),"Adept Focus or Occult Edu")</f>
        <v>Adept Focus or Occult Edu</v>
      </c>
      <c r="C652" s="202" t="str">
        <f>IFERROR(__xludf.DUMMYFUNCTION("""COMPUTED_VALUE"""),"Static")</f>
        <v>Static</v>
      </c>
      <c r="D652" s="202" t="str">
        <f>IFERROR(__xludf.DUMMYFUNCTION("""COMPUTED_VALUE"""),"Effect: At the end of each day, perform an Occult Edu or Focus Check, then gain SP equal to half the number of Successes (Rounded Up).")</f>
        <v>Effect: At the end of each day, perform an Occult Edu or Focus Check, then gain SP equal to half the number of Successes (Rounded Up).</v>
      </c>
      <c r="E652" s="203"/>
      <c r="F652" s="204"/>
      <c r="G652" s="204"/>
      <c r="H652" s="204"/>
      <c r="I652" s="204"/>
      <c r="J652" s="203"/>
      <c r="K652" s="205"/>
      <c r="L652" s="205"/>
      <c r="M652" s="205"/>
    </row>
    <row r="653">
      <c r="A653" s="202" t="str">
        <f>IFERROR(__xludf.DUMMYFUNCTION("""COMPUTED_VALUE"""),"Supportive Spirit")</f>
        <v>Supportive Spirit</v>
      </c>
      <c r="B653" s="202" t="str">
        <f>IFERROR(__xludf.DUMMYFUNCTION("""COMPUTED_VALUE"""),"Novice Command")</f>
        <v>Novice Command</v>
      </c>
      <c r="C653" s="202" t="str">
        <f>IFERROR(__xludf.DUMMYFUNCTION("""COMPUTED_VALUE"""),"Static")</f>
        <v>Static</v>
      </c>
      <c r="D653" s="202" t="str">
        <f>IFERROR(__xludf.DUMMYFUNCTION("""COMPUTED_VALUE"""),"Effect: Any Ally within 3m can use your SP, at your approval. If you're outside of combat, this applies to any Ally within the Scene, provided you explain how you're helping. ")</f>
        <v>Effect: Any Ally within 3m can use your SP, at your approval. If you're outside of combat, this applies to any Ally within the Scene, provided you explain how you're helping. </v>
      </c>
      <c r="E653" s="203"/>
      <c r="F653" s="204"/>
      <c r="G653" s="204"/>
      <c r="H653" s="204"/>
      <c r="I653" s="204"/>
      <c r="J653" s="203"/>
      <c r="K653" s="205"/>
      <c r="L653" s="205"/>
      <c r="M653" s="205"/>
    </row>
    <row r="654">
      <c r="A654" s="202" t="str">
        <f>IFERROR(__xludf.DUMMYFUNCTION("""COMPUTED_VALUE"""),"Burst Warrior [Occult]")</f>
        <v>Burst Warrior [Occult]</v>
      </c>
      <c r="B654" s="202" t="str">
        <f>IFERROR(__xludf.DUMMYFUNCTION("""COMPUTED_VALUE"""),"Prerequisite 1: Mystic or Occult Researcher [or]
Prerequisite 2: Adept Combat or Poke Edu")</f>
        <v>Prerequisite 1: Mystic or Occult Researcher [or]
Prerequisite 2: Adept Combat or Poke Edu</v>
      </c>
      <c r="C654" s="202" t="str">
        <f>IFERROR(__xludf.DUMMYFUNCTION("""COMPUTED_VALUE"""),"Static")</f>
        <v>Static</v>
      </c>
      <c r="D654" s="202" t="str">
        <f>IFERROR(__xludf.DUMMYFUNCTION("""COMPUTED_VALUE"""),"Effect: You gain the Burst Form Capability.")</f>
        <v>Effect: You gain the Burst Form Capability.</v>
      </c>
      <c r="E654" s="203"/>
      <c r="F654" s="204"/>
      <c r="G654" s="204"/>
      <c r="H654" s="204"/>
      <c r="I654" s="204"/>
      <c r="J654" s="203"/>
      <c r="K654" s="205"/>
      <c r="L654" s="205"/>
      <c r="M654" s="205"/>
    </row>
    <row r="655">
      <c r="A655" s="202" t="str">
        <f>IFERROR(__xludf.DUMMYFUNCTION("""COMPUTED_VALUE"""),"Form Sync [Occult]")</f>
        <v>Form Sync [Occult]</v>
      </c>
      <c r="B655" s="202" t="str">
        <f>IFERROR(__xludf.DUMMYFUNCTION("""COMPUTED_VALUE"""),"Burst Warrior, Novice Combat or
Poke Edu")</f>
        <v>Burst Warrior, Novice Combat or
Poke Edu</v>
      </c>
      <c r="C655" s="202" t="str">
        <f>IFERROR(__xludf.DUMMYFUNCTION("""COMPUTED_VALUE"""),"Scene x2 - Extended or Swift Action")</f>
        <v>Scene x2 - Extended or Swift Action</v>
      </c>
      <c r="D655" s="202" t="str">
        <f>IFERROR(__xludf.DUMMYFUNCTION("""COMPUTED_VALUE"""),"Effect: Choose your normal Form or one of your possible Burst Forms. You gain one of the following assets from that form until the end of the Scene, which persists regardless of which Form you are in.
» A Skill Rank (Whatever Die you would Roll)
» An Atta"&amp;"ck. You cannot have more Damaging Attacks gained this way.
» A Capability")</f>
        <v>Effect: Choose your normal Form or one of your possible Burst Forms. You gain one of the following assets from that form until the end of the Scene, which persists regardless of which Form you are in.
» A Skill Rank (Whatever Die you would Roll)
» An Attack. You cannot have more Damaging Attacks gained this way.
» A Capability</v>
      </c>
      <c r="E655" s="203"/>
      <c r="F655" s="204"/>
      <c r="G655" s="204"/>
      <c r="H655" s="204"/>
      <c r="I655" s="204"/>
      <c r="J655" s="203"/>
      <c r="K655" s="205"/>
      <c r="L655" s="205"/>
      <c r="M655" s="205"/>
    </row>
    <row r="656">
      <c r="A656" s="202" t="str">
        <f>IFERROR(__xludf.DUMMYFUNCTION("""COMPUTED_VALUE"""),"Burst Shield [Occult]")</f>
        <v>Burst Shield [Occult]</v>
      </c>
      <c r="B656" s="202" t="str">
        <f>IFERROR(__xludf.DUMMYFUNCTION("""COMPUTED_VALUE"""),"Burst Warrior, Adept Combat or Poke Edu")</f>
        <v>Burst Warrior, Adept Combat or Poke Edu</v>
      </c>
      <c r="C656" s="202" t="str">
        <f>IFERROR(__xludf.DUMMYFUNCTION("""COMPUTED_VALUE"""),"Scene - Reaction")</f>
        <v>Scene - Reaction</v>
      </c>
      <c r="D656" s="202" t="str">
        <f>IFERROR(__xludf.DUMMYFUNCTION("""COMPUTED_VALUE"""),"Target: An Equipped Burst Heart or one in your Inventory
Trigger: You’re hit with a Damaging Attack
Effect: Your Type Effectiveness against the Triggering Attack is treated as if they were Targeted Pokemon’s Effectiveness.")</f>
        <v>Target: An Equipped Burst Heart or one in your Inventory
Trigger: You’re hit with a Damaging Attack
Effect: Your Type Effectiveness against the Triggering Attack is treated as if they were Targeted Pokemon’s Effectiveness.</v>
      </c>
      <c r="E656" s="203"/>
      <c r="F656" s="204"/>
      <c r="G656" s="204"/>
      <c r="H656" s="204"/>
      <c r="I656" s="204"/>
      <c r="J656" s="203"/>
      <c r="K656" s="205"/>
      <c r="L656" s="205"/>
      <c r="M656" s="205"/>
    </row>
    <row r="657">
      <c r="A657" s="202" t="str">
        <f>IFERROR(__xludf.DUMMYFUNCTION("""COMPUTED_VALUE"""),"Burst Connection [Occult]")</f>
        <v>Burst Connection [Occult]</v>
      </c>
      <c r="B657" s="202" t="str">
        <f>IFERROR(__xludf.DUMMYFUNCTION("""COMPUTED_VALUE"""),"Burst Warrior, Expert Combat or
Poke Edu")</f>
        <v>Burst Warrior, Expert Combat or
Poke Edu</v>
      </c>
      <c r="C657" s="202" t="str">
        <f>IFERROR(__xludf.DUMMYFUNCTION("""COMPUTED_VALUE"""),"Bind 1 - Extended Action
")</f>
        <v>Bind 1 - Extended Action
</v>
      </c>
      <c r="D657" s="202" t="str">
        <f>IFERROR(__xludf.DUMMYFUNCTION("""COMPUTED_VALUE"""),"Target: A Burst Heart Item you own
Effect: While this Feature is Bound, the Target gains the [Trinket] Keyword and doesn’t reduce your Pokemon Party size by -1. When you use the Burst Form Capability and Target this Item, it may be used as a Free Action i"&amp;"nstead of a Swift Action.")</f>
        <v>Target: A Burst Heart Item you own
Effect: While this Feature is Bound, the Target gains the [Trinket] Keyword and doesn’t reduce your Pokemon Party size by -1. When you use the Burst Form Capability and Target this Item, it may be used as a Free Action instead of a Swift Action.</v>
      </c>
      <c r="E657" s="203"/>
      <c r="F657" s="204"/>
      <c r="G657" s="204"/>
      <c r="H657" s="204"/>
      <c r="I657" s="204"/>
      <c r="J657" s="203"/>
      <c r="K657" s="205"/>
      <c r="L657" s="205"/>
      <c r="M657" s="205"/>
    </row>
    <row r="658">
      <c r="A658" s="202" t="str">
        <f>IFERROR(__xludf.DUMMYFUNCTION("""COMPUTED_VALUE"""),"Burst Mastery [Occult]")</f>
        <v>Burst Mastery [Occult]</v>
      </c>
      <c r="B658" s="202" t="str">
        <f>IFERROR(__xludf.DUMMYFUNCTION("""COMPUTED_VALUE"""),"Burst Warrior, Master Combat or Poke Edu")</f>
        <v>Burst Warrior, Master Combat or Poke Edu</v>
      </c>
      <c r="C658" s="202" t="str">
        <f>IFERROR(__xludf.DUMMYFUNCTION("""COMPUTED_VALUE"""),"Static")</f>
        <v>Static</v>
      </c>
      <c r="D658" s="202" t="str">
        <f>IFERROR(__xludf.DUMMYFUNCTION("""COMPUTED_VALUE"""),"Effect: While you’re in a Burst Form, you may use any Capability, Attack or non-Static Ability that you have in your normal Form. When performing a Skill Check you may also roll as if you had your current Form’s Skill Rank or your normal Form’s Rank. ")</f>
        <v>Effect: While you’re in a Burst Form, you may use any Capability, Attack or non-Static Ability that you have in your normal Form. When performing a Skill Check you may also roll as if you had your current Form’s Skill Rank or your normal Form’s Rank. </v>
      </c>
      <c r="E658" s="203"/>
      <c r="F658" s="204"/>
      <c r="G658" s="204"/>
      <c r="H658" s="204"/>
      <c r="I658" s="204"/>
      <c r="J658" s="203"/>
      <c r="K658" s="205"/>
      <c r="L658" s="205"/>
      <c r="M658" s="205"/>
    </row>
    <row r="659">
      <c r="A659" s="202" t="str">
        <f>IFERROR(__xludf.DUMMYFUNCTION("""COMPUTED_VALUE"""),"Chaos Mage [Occult]")</f>
        <v>Chaos Mage [Occult]</v>
      </c>
      <c r="B659" s="202" t="str">
        <f>IFERROR(__xludf.DUMMYFUNCTION("""COMPUTED_VALUE"""),"Prerequisite 1: Mystic or Occult Researcher [or]
Prerequisite 2: Adept Focus or Occult Edu")</f>
        <v>Prerequisite 1: Mystic or Occult Researcher [or]
Prerequisite 2: Adept Focus or Occult Edu</v>
      </c>
      <c r="C659" s="202" t="str">
        <f>IFERROR(__xludf.DUMMYFUNCTION("""COMPUTED_VALUE"""),"Static")</f>
        <v>Static</v>
      </c>
      <c r="D659" s="202" t="str">
        <f>IFERROR(__xludf.DUMMYFUNCTION("""COMPUTED_VALUE"""),"Effect: You learn the Chaotic Ability and the Metronome Attack. Your Pokemon may learn the Chaotic Ability as if it were on their Ability List Options.")</f>
        <v>Effect: You learn the Chaotic Ability and the Metronome Attack. Your Pokemon may learn the Chaotic Ability as if it were on their Ability List Options.</v>
      </c>
      <c r="E659" s="203"/>
      <c r="F659" s="204"/>
      <c r="G659" s="204"/>
      <c r="H659" s="204"/>
      <c r="I659" s="204"/>
      <c r="J659" s="203"/>
      <c r="K659" s="205"/>
      <c r="L659" s="205"/>
      <c r="M659" s="205"/>
    </row>
    <row r="660">
      <c r="A660" s="202" t="str">
        <f>IFERROR(__xludf.DUMMYFUNCTION("""COMPUTED_VALUE"""),"Chaos Control [Occult]")</f>
        <v>Chaos Control [Occult]</v>
      </c>
      <c r="B660" s="202" t="str">
        <f>IFERROR(__xludf.DUMMYFUNCTION("""COMPUTED_VALUE"""),"Chaos Mage, Novice Focus or Occult Edu")</f>
        <v>Chaos Mage, Novice Focus or Occult Edu</v>
      </c>
      <c r="C660" s="202" t="str">
        <f>IFERROR(__xludf.DUMMYFUNCTION("""COMPUTED_VALUE"""),"At-Will - Swift Action")</f>
        <v>At-Will - Swift Action</v>
      </c>
      <c r="D660" s="202" t="str">
        <f>IFERROR(__xludf.DUMMYFUNCTION("""COMPUTED_VALUE"""),"Trigger: Dice are rolled
Effect: After resolving the roll, choose any one die from the Triggering Roll. You may expend any number of Chaos Tokens to adjust it by +1 or -1 for each expended Token, treating that as the new result Bonus: At the start of each"&amp;" day, you gain 3 Chaos Tokens (Max 3).")</f>
        <v>Trigger: Dice are rolled
Effect: After resolving the roll, choose any one die from the Triggering Roll. You may expend any number of Chaos Tokens to adjust it by +1 or -1 for each expended Token, treating that as the new result Bonus: At the start of each day, you gain 3 Chaos Tokens (Max 3).</v>
      </c>
      <c r="E660" s="203"/>
      <c r="F660" s="204"/>
      <c r="G660" s="204"/>
      <c r="H660" s="204"/>
      <c r="I660" s="204"/>
      <c r="J660" s="203"/>
      <c r="K660" s="205"/>
      <c r="L660" s="205"/>
      <c r="M660" s="205"/>
    </row>
    <row r="661">
      <c r="A661" s="202" t="str">
        <f>IFERROR(__xludf.DUMMYFUNCTION("""COMPUTED_VALUE"""),"Chaotic Affliction [Occult]")</f>
        <v>Chaotic Affliction [Occult]</v>
      </c>
      <c r="B661" s="202" t="str">
        <f>IFERROR(__xludf.DUMMYFUNCTION("""COMPUTED_VALUE"""),"Chaos Mage, Adept Focus or Occult Edu")</f>
        <v>Chaos Mage, Adept Focus or Occult Edu</v>
      </c>
      <c r="C661" s="202" t="str">
        <f>IFERROR(__xludf.DUMMYFUNCTION("""COMPUTED_VALUE"""),"Scene x2 - Free Action")</f>
        <v>Scene x2 - Free Action</v>
      </c>
      <c r="D661" s="202" t="str">
        <f>IFERROR(__xludf.DUMMYFUNCTION("""COMPUTED_VALUE"""),"Trigger: A Combatant gains a Status Affliction
Effect: Roll a d10. Instead of the Triggering Affliction, they gain the Affliction listed next to the resulting number.
» Your choice of any listed (1), Burned (2), Poisoned (3), Enraged (4), Suppressed (5), "&amp;"Slowed (6), Wounded (7), Paralyzed (8), Drowsy (9), Chilled (10)
Bonus: You gain the Synchronize Ability.")</f>
        <v>Trigger: A Combatant gains a Status Affliction
Effect: Roll a d10. Instead of the Triggering Affliction, they gain the Affliction listed next to the resulting number.
» Your choice of any listed (1), Burned (2), Poisoned (3), Enraged (4), Suppressed (5), Slowed (6), Wounded (7), Paralyzed (8), Drowsy (9), Chilled (10)
Bonus: You gain the Synchronize Ability.</v>
      </c>
      <c r="E661" s="203"/>
      <c r="F661" s="204"/>
      <c r="G661" s="204"/>
      <c r="H661" s="204"/>
      <c r="I661" s="204"/>
      <c r="J661" s="203"/>
      <c r="K661" s="205"/>
      <c r="L661" s="205"/>
      <c r="M661" s="205"/>
    </row>
    <row r="662">
      <c r="A662" s="202" t="str">
        <f>IFERROR(__xludf.DUMMYFUNCTION("""COMPUTED_VALUE"""),"Chaotic Element [Occult]")</f>
        <v>Chaotic Element [Occult]</v>
      </c>
      <c r="B662" s="202" t="str">
        <f>IFERROR(__xludf.DUMMYFUNCTION("""COMPUTED_VALUE"""),"Chaos Mage, Expert Focus or Occult Edu")</f>
        <v>Chaos Mage, Expert Focus or Occult Edu</v>
      </c>
      <c r="C662" s="202" t="str">
        <f>IFERROR(__xludf.DUMMYFUNCTION("""COMPUTED_VALUE"""),"At-Will - Special")</f>
        <v>At-Will - Special</v>
      </c>
      <c r="D662" s="202" t="str">
        <f>IFERROR(__xludf.DUMMYFUNCTION("""COMPUTED_VALUE"""),"Trigger: A Damaging Attack is used by you or a Combatant within 5m
Effect: This may be used as a Free Action if the Triggering Combatant is you or an Ally, otherwise it costs a Reaction. Roll a d20. The Type of the Triggering Attack is shifted based on th"&amp;"e resulting number.
» Triggering Combatant chooses (1), Bug (2), Dark (3), Dragon (4), Electric (5), Fairy (6), Fighting (7), Fire (8), Flying (9), Ghost (10), Grass (11), Ground (12), Ice (13), Normal (14), Poison (15), Psychic (16), Rock (17), Steel (1"&amp;"8), Water (19), Your choice (20)")</f>
        <v>Trigger: A Damaging Attack is used by you or a Combatant within 5m
Effect: This may be used as a Free Action if the Triggering Combatant is you or an Ally, otherwise it costs a Reaction. Roll a d20. The Type of the Triggering Attack is shifted based on the resulting number.
» Triggering Combatant chooses (1), Bug (2), Dark (3), Dragon (4), Electric (5), Fairy (6), Fighting (7), Fire (8), Flying (9), Ghost (10), Grass (11), Ground (12), Ice (13), Normal (14), Poison (15), Psychic (16), Rock (17), Steel (18), Water (19), Your choice (20)</v>
      </c>
      <c r="E662" s="203"/>
      <c r="F662" s="204"/>
      <c r="G662" s="204"/>
      <c r="H662" s="204"/>
      <c r="I662" s="204"/>
      <c r="J662" s="203"/>
      <c r="K662" s="205"/>
      <c r="L662" s="205"/>
      <c r="M662" s="205"/>
    </row>
    <row r="663">
      <c r="A663" s="202" t="str">
        <f>IFERROR(__xludf.DUMMYFUNCTION("""COMPUTED_VALUE"""),"Retained Chaos [Occult]")</f>
        <v>Retained Chaos [Occult]</v>
      </c>
      <c r="B663" s="202" t="str">
        <f>IFERROR(__xludf.DUMMYFUNCTION("""COMPUTED_VALUE"""),"Chaos Mage, Chaos Control, Master Focus or
Occult Edu")</f>
        <v>Chaos Mage, Chaos Control, Master Focus or
Occult Edu</v>
      </c>
      <c r="C663" s="202" t="str">
        <f>IFERROR(__xludf.DUMMYFUNCTION("""COMPUTED_VALUE"""),"Bind 2 - Free Action")</f>
        <v>Bind 2 - Free Action</v>
      </c>
      <c r="D663" s="202" t="str">
        <f>IFERROR(__xludf.DUMMYFUNCTION("""COMPUTED_VALUE"""),"Trigger: You or your Pokemon use Metronome as a Standard Action
Effect: While this Feature is Bound, the Attack you choose to use is added to the Triggering Combatant’s Attack List as if they learned it. Damaging Attacks gained this way may be used as if "&amp;"they were Special or Physical Category of your choice.")</f>
        <v>Trigger: You or your Pokemon use Metronome as a Standard Action
Effect: While this Feature is Bound, the Attack you choose to use is added to the Triggering Combatant’s Attack List as if they learned it. Damaging Attacks gained this way may be used as if they were Special or Physical Category of your choice.</v>
      </c>
      <c r="E663" s="203"/>
      <c r="F663" s="204"/>
      <c r="G663" s="204"/>
      <c r="H663" s="204"/>
      <c r="I663" s="204"/>
      <c r="J663" s="203"/>
      <c r="K663" s="205"/>
      <c r="L663" s="205"/>
      <c r="M663" s="205"/>
    </row>
    <row r="664">
      <c r="A664" s="202" t="str">
        <f>IFERROR(__xludf.DUMMYFUNCTION("""COMPUTED_VALUE"""),"Chronomancer [Occult]")</f>
        <v>Chronomancer [Occult]</v>
      </c>
      <c r="B664" s="202" t="str">
        <f>IFERROR(__xludf.DUMMYFUNCTION("""COMPUTED_VALUE"""),"Prerequisite 1: Mystic or Occult Researcher [or]
Prerequisite 2: Adept Intuition or Perception")</f>
        <v>Prerequisite 1: Mystic or Occult Researcher [or]
Prerequisite 2: Adept Intuition or Perception</v>
      </c>
      <c r="C664" s="202" t="str">
        <f>IFERROR(__xludf.DUMMYFUNCTION("""COMPUTED_VALUE"""),"Static")</f>
        <v>Static</v>
      </c>
      <c r="D664" s="202" t="str">
        <f>IFERROR(__xludf.DUMMYFUNCTION("""COMPUTED_VALUE"""),"Effect: At the start of each Round you gain 2 Temporal Tokens (Max 6). Choose two Temporal Techniques to gain. Temporal Tokens only serve as a resource for your Chronomancer Techniques. At the end of the Scene you lose all Temporal Tokens.")</f>
        <v>Effect: At the start of each Round you gain 2 Temporal Tokens (Max 6). Choose two Temporal Techniques to gain. Temporal Tokens only serve as a resource for your Chronomancer Techniques. At the end of the Scene you lose all Temporal Tokens.</v>
      </c>
      <c r="E664" s="203"/>
      <c r="F664" s="204"/>
      <c r="G664" s="204"/>
      <c r="H664" s="204"/>
      <c r="I664" s="204"/>
      <c r="J664" s="203"/>
      <c r="K664" s="205"/>
      <c r="L664" s="205"/>
      <c r="M664" s="205"/>
    </row>
    <row r="665">
      <c r="A665" s="202" t="str">
        <f>IFERROR(__xludf.DUMMYFUNCTION("""COMPUTED_VALUE"""),"Temporal Techniques Rank 1 [Occult]")</f>
        <v>Temporal Techniques Rank 1 [Occult]</v>
      </c>
      <c r="B665" s="202" t="str">
        <f>IFERROR(__xludf.DUMMYFUNCTION("""COMPUTED_VALUE"""),"Chronomancer, Novice Intuition
or Perception")</f>
        <v>Chronomancer, Novice Intuition
or Perception</v>
      </c>
      <c r="C665" s="202" t="str">
        <f>IFERROR(__xludf.DUMMYFUNCTION("""COMPUTED_VALUE"""),"Static")</f>
        <v>Static</v>
      </c>
      <c r="D665" s="202" t="str">
        <f>IFERROR(__xludf.DUMMYFUNCTION("""COMPUTED_VALUE"""),"Effect: Choose two Temporal Techniques to learn.")</f>
        <v>Effect: Choose two Temporal Techniques to learn.</v>
      </c>
      <c r="E665" s="203"/>
      <c r="F665" s="204"/>
      <c r="G665" s="204"/>
      <c r="H665" s="204"/>
      <c r="I665" s="204"/>
      <c r="J665" s="203"/>
      <c r="K665" s="205"/>
      <c r="L665" s="205"/>
      <c r="M665" s="205"/>
    </row>
    <row r="666">
      <c r="A666" s="202" t="str">
        <f>IFERROR(__xludf.DUMMYFUNCTION("""COMPUTED_VALUE"""),"Temporal Techniques Rank 2 [Occult]")</f>
        <v>Temporal Techniques Rank 2 [Occult]</v>
      </c>
      <c r="B666" s="202" t="str">
        <f>IFERROR(__xludf.DUMMYFUNCTION("""COMPUTED_VALUE"""),"Chronomancer, Expert Intuition
or Perception")</f>
        <v>Chronomancer, Expert Intuition
or Perception</v>
      </c>
      <c r="C666" s="202" t="str">
        <f>IFERROR(__xludf.DUMMYFUNCTION("""COMPUTED_VALUE"""),"Static")</f>
        <v>Static</v>
      </c>
      <c r="D666" s="202" t="str">
        <f>IFERROR(__xludf.DUMMYFUNCTION("""COMPUTED_VALUE"""),"Effect: Choose two Temporal Techniques to learn.")</f>
        <v>Effect: Choose two Temporal Techniques to learn.</v>
      </c>
      <c r="E666" s="203"/>
      <c r="F666" s="204"/>
      <c r="G666" s="204"/>
      <c r="H666" s="204"/>
      <c r="I666" s="204"/>
      <c r="J666" s="203"/>
      <c r="K666" s="205"/>
      <c r="L666" s="205"/>
      <c r="M666" s="205"/>
    </row>
    <row r="667">
      <c r="A667" s="202" t="str">
        <f>IFERROR(__xludf.DUMMYFUNCTION("""COMPUTED_VALUE"""),"Time Surge [Occult]")</f>
        <v>Time Surge [Occult]</v>
      </c>
      <c r="B667" s="202" t="str">
        <f>IFERROR(__xludf.DUMMYFUNCTION("""COMPUTED_VALUE"""),"Chronomancer, Adept Intuition or Perception")</f>
        <v>Chronomancer, Adept Intuition or Perception</v>
      </c>
      <c r="C667" s="202" t="str">
        <f>IFERROR(__xludf.DUMMYFUNCTION("""COMPUTED_VALUE"""),"Scene - Swift Action")</f>
        <v>Scene - Swift Action</v>
      </c>
      <c r="D667" s="202" t="str">
        <f>IFERROR(__xludf.DUMMYFUNCTION("""COMPUTED_VALUE"""),"Effect: You gain Temporal Tokens equal to X+1, where X is the current Round number.")</f>
        <v>Effect: You gain Temporal Tokens equal to X+1, where X is the current Round number.</v>
      </c>
      <c r="E667" s="203"/>
      <c r="F667" s="204"/>
      <c r="G667" s="204"/>
      <c r="H667" s="204"/>
      <c r="I667" s="204"/>
      <c r="J667" s="203"/>
      <c r="K667" s="205"/>
      <c r="L667" s="205"/>
      <c r="M667" s="205"/>
    </row>
    <row r="668">
      <c r="A668" s="202" t="str">
        <f>IFERROR(__xludf.DUMMYFUNCTION("""COMPUTED_VALUE"""),"Time Stop [Occult]")</f>
        <v>Time Stop [Occult]</v>
      </c>
      <c r="B668" s="202" t="str">
        <f>IFERROR(__xludf.DUMMYFUNCTION("""COMPUTED_VALUE"""),"Chronomancer, 3 Chronomancer Features,
Master Intuition or Perception")</f>
        <v>Chronomancer, 3 Chronomancer Features,
Master Intuition or Perception</v>
      </c>
      <c r="C668" s="202" t="str">
        <f>IFERROR(__xludf.DUMMYFUNCTION("""COMPUTED_VALUE"""),"Scene - Free Action")</f>
        <v>Scene - Free Action</v>
      </c>
      <c r="D668" s="202" t="str">
        <f>IFERROR(__xludf.DUMMYFUNCTION("""COMPUTED_VALUE"""),"Trigger: Your Turn starts
Effect: Upon declaration of this Feature, time stops. During this period, you are the only Combatant that can perform Actions and move. All of your Attacks have the Sureshot Keyword. No other Combatants can declare Reactions or T"&amp;"rigger anything in response to your Actions. When you end your turn, time resumes and these Effects no longer apply. At the cost of 4 Temporal Tokens, this Feature’s Frequency isn’t expended.")</f>
        <v>Trigger: Your Turn starts
Effect: Upon declaration of this Feature, time stops. During this period, you are the only Combatant that can perform Actions and move. All of your Attacks have the Sureshot Keyword. No other Combatants can declare Reactions or Trigger anything in response to your Actions. When you end your turn, time resumes and these Effects no longer apply. At the cost of 4 Temporal Tokens, this Feature’s Frequency isn’t expended.</v>
      </c>
      <c r="E668" s="203"/>
      <c r="F668" s="204"/>
      <c r="G668" s="204"/>
      <c r="H668" s="204"/>
      <c r="I668" s="204"/>
      <c r="J668" s="203"/>
      <c r="K668" s="205"/>
      <c r="L668" s="205"/>
      <c r="M668" s="205"/>
    </row>
    <row r="669">
      <c r="A669" s="202" t="str">
        <f>IFERROR(__xludf.DUMMYFUNCTION("""COMPUTED_VALUE"""),"Death Bringer [Occult]")</f>
        <v>Death Bringer [Occult]</v>
      </c>
      <c r="B669" s="202" t="str">
        <f>IFERROR(__xludf.DUMMYFUNCTION("""COMPUTED_VALUE"""),"Prerequisite 1: Mystic or Occult Researcher [or]
Prerequisite 2: Adept Intimidate or Occult Edu")</f>
        <v>Prerequisite 1: Mystic or Occult Researcher [or]
Prerequisite 2: Adept Intimidate or Occult Edu</v>
      </c>
      <c r="C669" s="202" t="str">
        <f>IFERROR(__xludf.DUMMYFUNCTION("""COMPUTED_VALUE"""),"Static")</f>
        <v>Static</v>
      </c>
      <c r="D669" s="202" t="str">
        <f>IFERROR(__xludf.DUMMYFUNCTION("""COMPUTED_VALUE"""),"Effect: You gain the Soulstealer Ability. The Target for this Ability is changed to “A Fainted Combatant within 3m”. Soulstealer may also be used as a Movement Action.")</f>
        <v>Effect: You gain the Soulstealer Ability. The Target for this Ability is changed to “A Fainted Combatant within 3m”. Soulstealer may also be used as a Movement Action.</v>
      </c>
      <c r="E669" s="203"/>
      <c r="F669" s="204"/>
      <c r="G669" s="204"/>
      <c r="H669" s="204"/>
      <c r="I669" s="204"/>
      <c r="J669" s="203"/>
      <c r="K669" s="205"/>
      <c r="L669" s="205"/>
      <c r="M669" s="205"/>
    </row>
    <row r="670">
      <c r="A670" s="202" t="str">
        <f>IFERROR(__xludf.DUMMYFUNCTION("""COMPUTED_VALUE"""),"Aura of Decay [Occult]")</f>
        <v>Aura of Decay [Occult]</v>
      </c>
      <c r="B670" s="202" t="str">
        <f>IFERROR(__xludf.DUMMYFUNCTION("""COMPUTED_VALUE"""),"Death Bringer, Novice Intimidate or
Occult Edu")</f>
        <v>Death Bringer, Novice Intimidate or
Occult Edu</v>
      </c>
      <c r="C670" s="202" t="str">
        <f>IFERROR(__xludf.DUMMYFUNCTION("""COMPUTED_VALUE"""),"At-Will - Free Action")</f>
        <v>At-Will - Free Action</v>
      </c>
      <c r="D670" s="202" t="str">
        <f>IFERROR(__xludf.DUMMYFUNCTION("""COMPUTED_VALUE"""),"Trigger: An Enemy within 3m gains a Mental Affliction or falls below 50% Hit Points
Effect: They gain a Mark of Decay while they’re affected by the Triggering Affliction or until the end of the next Round (Respectively based on the Trigger). Enemies with "&amp;"a Mark of Decay cannot restore Hit Points and can be Targeted by the Soulstealer Ability as if they were Fainted.")</f>
        <v>Trigger: An Enemy within 3m gains a Mental Affliction or falls below 50% Hit Points
Effect: They gain a Mark of Decay while they’re affected by the Triggering Affliction or until the end of the next Round (Respectively based on the Trigger). Enemies with a Mark of Decay cannot restore Hit Points and can be Targeted by the Soulstealer Ability as if they were Fainted.</v>
      </c>
      <c r="E670" s="203"/>
      <c r="F670" s="204"/>
      <c r="G670" s="204"/>
      <c r="H670" s="204"/>
      <c r="I670" s="204"/>
      <c r="J670" s="203"/>
      <c r="K670" s="205"/>
      <c r="L670" s="205"/>
      <c r="M670" s="205"/>
    </row>
    <row r="671">
      <c r="A671" s="202" t="str">
        <f>IFERROR(__xludf.DUMMYFUNCTION("""COMPUTED_VALUE"""),"Embodiment of Death [Occult]")</f>
        <v>Embodiment of Death [Occult]</v>
      </c>
      <c r="B671" s="202" t="str">
        <f>IFERROR(__xludf.DUMMYFUNCTION("""COMPUTED_VALUE"""),"Death Bringer, Adept Intimidate or Occult Edu")</f>
        <v>Death Bringer, Adept Intimidate or Occult Edu</v>
      </c>
      <c r="C671" s="202" t="str">
        <f>IFERROR(__xludf.DUMMYFUNCTION("""COMPUTED_VALUE"""),"Scene - Reaction")</f>
        <v>Scene - Reaction</v>
      </c>
      <c r="D671" s="202" t="str">
        <f>IFERROR(__xludf.DUMMYFUNCTION("""COMPUTED_VALUE"""),"Trigger: You’re hit with an Attack by an Adjacent Enemy 
Effect: The Triggering Enemy becomes Cursed, Suppressed or Wounded, of your choice.
Bonus: Choose one of the following Capabilities to gain.
» Breathless, Deathtouch, Dead Silent, Lifesense, Mindloc"&amp;"k, Soul Seer")</f>
        <v>Trigger: You’re hit with an Attack by an Adjacent Enemy 
Effect: The Triggering Enemy becomes Cursed, Suppressed or Wounded, of your choice.
Bonus: Choose one of the following Capabilities to gain.
» Breathless, Deathtouch, Dead Silent, Lifesense, Mindlock, Soul Seer</v>
      </c>
      <c r="E671" s="203"/>
      <c r="F671" s="204"/>
      <c r="G671" s="204"/>
      <c r="H671" s="204"/>
      <c r="I671" s="204"/>
      <c r="J671" s="203"/>
      <c r="K671" s="205"/>
      <c r="L671" s="205"/>
      <c r="M671" s="205"/>
    </row>
    <row r="672">
      <c r="A672" s="202" t="str">
        <f>IFERROR(__xludf.DUMMYFUNCTION("""COMPUTED_VALUE"""),"Call of the Haunted [Occult]")</f>
        <v>Call of the Haunted [Occult]</v>
      </c>
      <c r="B672" s="202" t="str">
        <f>IFERROR(__xludf.DUMMYFUNCTION("""COMPUTED_VALUE"""),"Death Bringer, Expert Intimidate or
Occult Edu")</f>
        <v>Death Bringer, Expert Intimidate or
Occult Edu</v>
      </c>
      <c r="C672" s="202" t="str">
        <f>IFERROR(__xludf.DUMMYFUNCTION("""COMPUTED_VALUE"""),"At-Will - Full Action")</f>
        <v>At-Will - Full Action</v>
      </c>
      <c r="D672" s="202" t="str">
        <f>IFERROR(__xludf.DUMMYFUNCTION("""COMPUTED_VALUE"""),"Target: A Fainted Combatant
Effect: The Targeted Combatant may Slide up to 3m, then uses an Attack that they know of your choice as a Free Action (abiding by Frequency still), ignoring the Fainted Condition.")</f>
        <v>Target: A Fainted Combatant
Effect: The Targeted Combatant may Slide up to 3m, then uses an Attack that they know of your choice as a Free Action (abiding by Frequency still), ignoring the Fainted Condition.</v>
      </c>
      <c r="E672" s="203"/>
      <c r="F672" s="204"/>
      <c r="G672" s="204"/>
      <c r="H672" s="204"/>
      <c r="I672" s="204"/>
      <c r="J672" s="203"/>
      <c r="K672" s="205"/>
      <c r="L672" s="205"/>
      <c r="M672" s="205"/>
    </row>
    <row r="673">
      <c r="A673" s="202" t="str">
        <f>IFERROR(__xludf.DUMMYFUNCTION("""COMPUTED_VALUE"""),"Soul Harvester [Occult]")</f>
        <v>Soul Harvester [Occult]</v>
      </c>
      <c r="B673" s="202" t="str">
        <f>IFERROR(__xludf.DUMMYFUNCTION("""COMPUTED_VALUE"""),"Death Bringer, Call of the Haunted, Master
Intimidate or Occult Edu")</f>
        <v>Death Bringer, Call of the Haunted, Master
Intimidate or Occult Edu</v>
      </c>
      <c r="C673" s="202" t="str">
        <f>IFERROR(__xludf.DUMMYFUNCTION("""COMPUTED_VALUE"""),"At-Will - Free Action")</f>
        <v>At-Will - Free Action</v>
      </c>
      <c r="D673" s="202" t="str">
        <f>IFERROR(__xludf.DUMMYFUNCTION("""COMPUTED_VALUE"""),"Trigger: You use the Soulstealer Ability.
Effect: You gain a Soul Coat with attributes based on the Target of the Ability. You can only use this Feature once per Round. You may expend the Soul Coat...
» ...As a Reaction, when you or a Combatant within 3m"&amp;" use a Damaging Attack to change its Type to one of the Types that the harvested Soul had.
» ...As a Reaction, when any Attack is declared to choose yourself or an Ally within 3m and treat one of their Stats as if it were the total value of the harvested "&amp;"Soul instead..
» ...As a Free Action to choose yourself or an Ally within 3m. They gain 2 Ticks of HIt Points or +1 CS in the highest base stat of the harvested Soul.")</f>
        <v>Trigger: You use the Soulstealer Ability.
Effect: You gain a Soul Coat with attributes based on the Target of the Ability. You can only use this Feature once per Round. You may expend the Soul Coat...
» ...As a Reaction, when you or a Combatant within 3m use a Damaging Attack to change its Type to one of the Types that the harvested Soul had.
» ...As a Reaction, when any Attack is declared to choose yourself or an Ally within 3m and treat one of their Stats as if it were the total value of the harvested Soul instead..
» ...As a Free Action to choose yourself or an Ally within 3m. They gain 2 Ticks of HIt Points or +1 CS in the highest base stat of the harvested Soul.</v>
      </c>
      <c r="E673" s="203"/>
      <c r="F673" s="204"/>
      <c r="G673" s="204"/>
      <c r="H673" s="204"/>
      <c r="I673" s="204"/>
      <c r="J673" s="203"/>
      <c r="K673" s="205"/>
      <c r="L673" s="205"/>
      <c r="M673" s="205"/>
    </row>
    <row r="674">
      <c r="A674" s="202" t="str">
        <f>IFERROR(__xludf.DUMMYFUNCTION("""COMPUTED_VALUE"""),"Dreamwalker [Occult]")</f>
        <v>Dreamwalker [Occult]</v>
      </c>
      <c r="B674" s="202" t="str">
        <f>IFERROR(__xludf.DUMMYFUNCTION("""COMPUTED_VALUE"""),"Prerequisite 1: Mystic or Occult Researcher [or]
Prerequisite 2: A Dreamwalker Skill at Adept")</f>
        <v>Prerequisite 1: Mystic or Occult Researcher [or]
Prerequisite 2: A Dreamwalker Skill at Adept</v>
      </c>
      <c r="C674" s="202" t="str">
        <f>IFERROR(__xludf.DUMMYFUNCTION("""COMPUTED_VALUE"""),"Static")</f>
        <v>Static</v>
      </c>
      <c r="D674" s="202" t="str">
        <f>IFERROR(__xludf.DUMMYFUNCTION("""COMPUTED_VALUE"""),"Effect: You learn the Hypnosis Attack. When you have 4 Dreamwalker Features, you learn two Attacks listed below
» Either Path - Dream Illusion, Rest
» Dreams Only - Aromatic Mist, Fae Blessing, Glittering Mist, Trick Room, Wonder Room
» Nightmares Only - "&amp;"Cackle, New Moon, Nightmare, Shadow Veil, Torment")</f>
        <v>Effect: You learn the Hypnosis Attack. When you have 4 Dreamwalker Features, you learn two Attacks listed below
» Either Path - Dream Illusion, Rest
» Dreams Only - Aromatic Mist, Fae Blessing, Glittering Mist, Trick Room, Wonder Room
» Nightmares Only - Cackle, New Moon, Nightmare, Shadow Veil, Torment</v>
      </c>
      <c r="E674" s="203"/>
      <c r="F674" s="204"/>
      <c r="G674" s="204"/>
      <c r="H674" s="204"/>
      <c r="I674" s="204"/>
      <c r="J674" s="203"/>
      <c r="K674" s="205"/>
      <c r="L674" s="205"/>
      <c r="M674" s="205"/>
    </row>
    <row r="675">
      <c r="A675" s="202" t="str">
        <f>IFERROR(__xludf.DUMMYFUNCTION("""COMPUTED_VALUE"""),"Dream Mist [Occult]")</f>
        <v>Dream Mist [Occult]</v>
      </c>
      <c r="B675" s="202" t="str">
        <f>IFERROR(__xludf.DUMMYFUNCTION("""COMPUTED_VALUE"""),"Dreamwalker, A Dreamwalker Skill at
Novice")</f>
        <v>Dreamwalker, A Dreamwalker Skill at
Novice</v>
      </c>
      <c r="C675" s="202" t="str">
        <f>IFERROR(__xludf.DUMMYFUNCTION("""COMPUTED_VALUE"""),"Static")</f>
        <v>Static</v>
      </c>
      <c r="D675" s="202" t="str">
        <f>IFERROR(__xludf.DUMMYFUNCTION("""COMPUTED_VALUE"""),"Effect: You gain the Dream Smoke Ability and Dream Reader Capability.")</f>
        <v>Effect: You gain the Dream Smoke Ability and Dream Reader Capability.</v>
      </c>
      <c r="E675" s="203"/>
      <c r="F675" s="204"/>
      <c r="G675" s="204"/>
      <c r="H675" s="204"/>
      <c r="I675" s="204"/>
      <c r="J675" s="203"/>
      <c r="K675" s="205"/>
      <c r="L675" s="205"/>
      <c r="M675" s="205"/>
    </row>
    <row r="676">
      <c r="A676" s="202" t="str">
        <f>IFERROR(__xludf.DUMMYFUNCTION("""COMPUTED_VALUE"""),"Dream Siphon [Occult]")</f>
        <v>Dream Siphon [Occult]</v>
      </c>
      <c r="B676" s="202" t="str">
        <f>IFERROR(__xludf.DUMMYFUNCTION("""COMPUTED_VALUE"""),"Dreamwalker, a Dreamwalker Skill at Adept")</f>
        <v>Dreamwalker, a Dreamwalker Skill at Adept</v>
      </c>
      <c r="C676" s="202" t="str">
        <f>IFERROR(__xludf.DUMMYFUNCTION("""COMPUTED_VALUE"""),"At-Will - Free Action")</f>
        <v>At-Will - Free Action</v>
      </c>
      <c r="D676" s="202" t="str">
        <f>IFERROR(__xludf.DUMMYFUNCTION("""COMPUTED_VALUE"""),"Trigger: An Enemy within 5m starts their Turn while Drowsy
Effect: Apply one of the following Effects that corresponds to your Path:
» You or an Ally within 3m of the Triggering Enemy restores 2 Ticks of Hit Points (Dreams)
» You or an Ally within 3m of t"&amp;"he Triggering Enemy gains +1 CS in the Triggering Enemy’s highest Base Stat (Dreams)
» The Triggering Enemy loses -2 CS in any Stat (Nightmare)
» The Triggering Enemy loses a Tick of Hit Points per Mental Affliction they have. (Nightmare)")</f>
        <v>Trigger: An Enemy within 5m starts their Turn while Drowsy
Effect: Apply one of the following Effects that corresponds to your Path:
» You or an Ally within 3m of the Triggering Enemy restores 2 Ticks of Hit Points (Dreams)
» You or an Ally within 3m of the Triggering Enemy gains +1 CS in the Triggering Enemy’s highest Base Stat (Dreams)
» The Triggering Enemy loses -2 CS in any Stat (Nightmare)
» The Triggering Enemy loses a Tick of Hit Points per Mental Affliction they have. (Nightmare)</v>
      </c>
      <c r="E676" s="203"/>
      <c r="F676" s="204"/>
      <c r="G676" s="204"/>
      <c r="H676" s="204"/>
      <c r="I676" s="204"/>
      <c r="J676" s="203"/>
      <c r="K676" s="205"/>
      <c r="L676" s="205"/>
      <c r="M676" s="205"/>
    </row>
    <row r="677">
      <c r="A677" s="202" t="str">
        <f>IFERROR(__xludf.DUMMYFUNCTION("""COMPUTED_VALUE"""),"Lucid Dreamscape [Occult]")</f>
        <v>Lucid Dreamscape [Occult]</v>
      </c>
      <c r="B677" s="202" t="str">
        <f>IFERROR(__xludf.DUMMYFUNCTION("""COMPUTED_VALUE"""),"Dreamwalker, A Dreamwalker Skill at
Expert")</f>
        <v>Dreamwalker, A Dreamwalker Skill at
Expert</v>
      </c>
      <c r="C677" s="202" t="str">
        <f>IFERROR(__xludf.DUMMYFUNCTION("""COMPUTED_VALUE"""),"At-Will - Swift Action")</f>
        <v>At-Will - Swift Action</v>
      </c>
      <c r="D677" s="202" t="str">
        <f>IFERROR(__xludf.DUMMYFUNCTION("""COMPUTED_VALUE"""),"Effect: You create an Illusion Hazard within 5m that is treated as [Breakable - Fragile]. Then, choose one effect below to become the effects of the Hazard, based on your Path.
» You instead create up to 4 connected Illusion Hazards which Drowsy Enemies t"&amp;"reat as Blocking Terrain. (Either)
» All Drowsy Enemies that end their Turn within 2m of the Hazard become Entranced (If Dreams) or Suppressed (If Nightmare)
» All Allies within 2m of the Hazard have a bonus to Save Checks equal to your Tier Level. (Dream"&amp;"s)
» All Drowsy Enemies within 3m of them become Provoked by the Hazard. (Nightmare)")</f>
        <v>Effect: You create an Illusion Hazard within 5m that is treated as [Breakable - Fragile]. Then, choose one effect below to become the effects of the Hazard, based on your Path.
» You instead create up to 4 connected Illusion Hazards which Drowsy Enemies treat as Blocking Terrain. (Either)
» All Drowsy Enemies that end their Turn within 2m of the Hazard become Entranced (If Dreams) or Suppressed (If Nightmare)
» All Allies within 2m of the Hazard have a bonus to Save Checks equal to your Tier Level. (Dreams)
» All Drowsy Enemies within 3m of them become Provoked by the Hazard. (Nightmare)</v>
      </c>
      <c r="E677" s="203"/>
      <c r="F677" s="204"/>
      <c r="G677" s="204"/>
      <c r="H677" s="204"/>
      <c r="I677" s="204"/>
      <c r="J677" s="203"/>
      <c r="K677" s="205"/>
      <c r="L677" s="205"/>
      <c r="M677" s="205"/>
    </row>
    <row r="678">
      <c r="A678" s="202" t="str">
        <f>IFERROR(__xludf.DUMMYFUNCTION("""COMPUTED_VALUE"""),"Deep Slumber [Occult]")</f>
        <v>Deep Slumber [Occult]</v>
      </c>
      <c r="B678" s="202" t="str">
        <f>IFERROR(__xludf.DUMMYFUNCTION("""COMPUTED_VALUE"""),"Dreamwalker, A Dreamwalker Skill at Master")</f>
        <v>Dreamwalker, A Dreamwalker Skill at Master</v>
      </c>
      <c r="C678" s="202" t="str">
        <f>IFERROR(__xludf.DUMMYFUNCTION("""COMPUTED_VALUE"""),"Scene x2 - Free Action")</f>
        <v>Scene x2 - Free Action</v>
      </c>
      <c r="D678" s="202" t="str">
        <f>IFERROR(__xludf.DUMMYFUNCTION("""COMPUTED_VALUE"""),"Trigger: You or your Pokemon cause an Enemy to become Drowsy
Effect: The Drowsy Enemy gains a Sleeping Coat. Whenever they would cure the Drowsy Affliction, the Sleeping Coat is removed instead. While an Enemy has a Sleeping Coat, they cannot take Actions"&amp;". While an Enemy has a Sleeping Coat, each time they’re hit with an Attack the Target Number they need for their next Save Check to cure an Affliction is reduced by -5. If they lose Hit Points in a way other than a Damaging Attack, it is reduced by -3 ins"&amp;"tead. An Enemy can only gain this Coat once per Scene.")</f>
        <v>Trigger: You or your Pokemon cause an Enemy to become Drowsy
Effect: The Drowsy Enemy gains a Sleeping Coat. Whenever they would cure the Drowsy Affliction, the Sleeping Coat is removed instead. While an Enemy has a Sleeping Coat, they cannot take Actions. While an Enemy has a Sleeping Coat, each time they’re hit with an Attack the Target Number they need for their next Save Check to cure an Affliction is reduced by -5. If they lose Hit Points in a way other than a Damaging Attack, it is reduced by -3 instead. An Enemy can only gain this Coat once per Scene.</v>
      </c>
      <c r="E678" s="203"/>
      <c r="F678" s="204"/>
      <c r="G678" s="204"/>
      <c r="H678" s="204"/>
      <c r="I678" s="204"/>
      <c r="J678" s="203"/>
      <c r="K678" s="205"/>
      <c r="L678" s="205"/>
      <c r="M678" s="205"/>
    </row>
    <row r="679">
      <c r="A679" s="202" t="str">
        <f>IFERROR(__xludf.DUMMYFUNCTION("""COMPUTED_VALUE"""),"Geomancer [Occult]")</f>
        <v>Geomancer [Occult]</v>
      </c>
      <c r="B679" s="202" t="str">
        <f>IFERROR(__xludf.DUMMYFUNCTION("""COMPUTED_VALUE"""),"Prerequisite 1: Nature Researcher or Occult Researcher [or]
Prerequisite 2: Adept Nature Edu")</f>
        <v>Prerequisite 1: Nature Researcher or Occult Researcher [or]
Prerequisite 2: Adept Nature Edu</v>
      </c>
      <c r="C679" s="202" t="str">
        <f>IFERROR(__xludf.DUMMYFUNCTION("""COMPUTED_VALUE"""),"Static")</f>
        <v>Static</v>
      </c>
      <c r="D679" s="202" t="str">
        <f>IFERROR(__xludf.DUMMYFUNCTION("""COMPUTED_VALUE"""),"Effect: Choose a Terrain listed below. You gain the Naturewalk Capability for the chosen Terrain and it becomes your Linked Terrain. While you’re in your Linked Terrain, you have a bonus to Evasion equal to your Tier Level.
» Grasslands, Forest, Wetlands,"&amp;" Tundra, Mountain, Cave, Desert, Ocean, Urban, Space")</f>
        <v>Effect: Choose a Terrain listed below. You gain the Naturewalk Capability for the chosen Terrain and it becomes your Linked Terrain. While you’re in your Linked Terrain, you have a bonus to Evasion equal to your Tier Level.
» Grasslands, Forest, Wetlands, Tundra, Mountain, Cave, Desert, Ocean, Urban, Space</v>
      </c>
      <c r="E679" s="203"/>
      <c r="F679" s="204"/>
      <c r="G679" s="204"/>
      <c r="H679" s="204"/>
      <c r="I679" s="204"/>
      <c r="J679" s="203"/>
      <c r="K679" s="205"/>
      <c r="L679" s="205"/>
      <c r="M679" s="205"/>
    </row>
    <row r="680">
      <c r="A680" s="202" t="str">
        <f>IFERROR(__xludf.DUMMYFUNCTION("""COMPUTED_VALUE"""),"Earthen Conduit Rank 1 [Occult]")</f>
        <v>Earthen Conduit Rank 1 [Occult]</v>
      </c>
      <c r="B680" s="202" t="str">
        <f>IFERROR(__xludf.DUMMYFUNCTION("""COMPUTED_VALUE"""),"Geomancer, Novice Nature Edu")</f>
        <v>Geomancer, Novice Nature Edu</v>
      </c>
      <c r="C680" s="202" t="str">
        <f>IFERROR(__xludf.DUMMYFUNCTION("""COMPUTED_VALUE"""),"Static")</f>
        <v>Static</v>
      </c>
      <c r="D680" s="202" t="str">
        <f>IFERROR(__xludf.DUMMYFUNCTION("""COMPUTED_VALUE"""),"Effect: You learn all Rank 1 Attacks listed under your Linked Terrain in the Chart in the book. When you have 4 Geomancer Features you can gain one Ability listed under your Linked Terrain.")</f>
        <v>Effect: You learn all Rank 1 Attacks listed under your Linked Terrain in the Chart in the book. When you have 4 Geomancer Features you can gain one Ability listed under your Linked Terrain.</v>
      </c>
      <c r="E680" s="203"/>
      <c r="F680" s="204"/>
      <c r="G680" s="204"/>
      <c r="H680" s="204"/>
      <c r="I680" s="204"/>
      <c r="J680" s="203"/>
      <c r="K680" s="205"/>
      <c r="L680" s="205"/>
      <c r="M680" s="205"/>
    </row>
    <row r="681">
      <c r="A681" s="202" t="str">
        <f>IFERROR(__xludf.DUMMYFUNCTION("""COMPUTED_VALUE"""),"Earthen Conduit Rank 2 [Occult]")</f>
        <v>Earthen Conduit Rank 2 [Occult]</v>
      </c>
      <c r="B681" s="202" t="str">
        <f>IFERROR(__xludf.DUMMYFUNCTION("""COMPUTED_VALUE"""),"Geomancer, Master Nature Edu")</f>
        <v>Geomancer, Master Nature Edu</v>
      </c>
      <c r="C681" s="202" t="str">
        <f>IFERROR(__xludf.DUMMYFUNCTION("""COMPUTED_VALUE"""),"Static")</f>
        <v>Static</v>
      </c>
      <c r="D681" s="202" t="str">
        <f>IFERROR(__xludf.DUMMYFUNCTION("""COMPUTED_VALUE"""),"Effect: You learn all Rank 2 Attacks listed under your Linked Terrain in the Chart in the book.")</f>
        <v>Effect: You learn all Rank 2 Attacks listed under your Linked Terrain in the Chart in the book.</v>
      </c>
      <c r="E681" s="203"/>
      <c r="F681" s="204"/>
      <c r="G681" s="204"/>
      <c r="H681" s="204"/>
      <c r="I681" s="204"/>
      <c r="J681" s="203"/>
      <c r="K681" s="205"/>
      <c r="L681" s="205"/>
      <c r="M681" s="205"/>
    </row>
    <row r="682">
      <c r="A682" s="202" t="str">
        <f>IFERROR(__xludf.DUMMYFUNCTION("""COMPUTED_VALUE"""),"Ground Molder [Occult]")</f>
        <v>Ground Molder [Occult]</v>
      </c>
      <c r="B682" s="202" t="str">
        <f>IFERROR(__xludf.DUMMYFUNCTION("""COMPUTED_VALUE"""),"Geomancer, Adept Nature Edu")</f>
        <v>Geomancer, Adept Nature Edu</v>
      </c>
      <c r="C682" s="202" t="str">
        <f>IFERROR(__xludf.DUMMYFUNCTION("""COMPUTED_VALUE"""),"At-Will - Swift or Movement Action")</f>
        <v>At-Will - Swift or Movement Action</v>
      </c>
      <c r="D682" s="202" t="str">
        <f>IFERROR(__xludf.DUMMYFUNCTION("""COMPUTED_VALUE"""),"Effect: Choose any of the following effects to apply to the usage of this Feature.
» You can turn any number of space(s) within 3m into Slowed Terrain or Rough Terrain.
» Create a 3x3 Zone. Spaces in this Zone are treated as being your Linked Terrain.
» Y"&amp;"ou may destroy any number of Hazards within 3m
» Choose a Combatant on your Linked Terrain to Slide up to 3m
» Choose 3 Unoccupied Contiguous Spaces within 5m to create Wall Hazards or Cover Terrain in.
Bonus: You gain the Groundshaper Capability")</f>
        <v>Effect: Choose any of the following effects to apply to the usage of this Feature.
» You can turn any number of space(s) within 3m into Slowed Terrain or Rough Terrain.
» Create a 3x3 Zone. Spaces in this Zone are treated as being your Linked Terrain.
» You may destroy any number of Hazards within 3m
» Choose a Combatant on your Linked Terrain to Slide up to 3m
» Choose 3 Unoccupied Contiguous Spaces within 5m to create Wall Hazards or Cover Terrain in.
Bonus: You gain the Groundshaper Capability</v>
      </c>
      <c r="E682" s="203"/>
      <c r="F682" s="204"/>
      <c r="G682" s="204"/>
      <c r="H682" s="204"/>
      <c r="I682" s="204"/>
      <c r="J682" s="203"/>
      <c r="K682" s="205"/>
      <c r="L682" s="205"/>
      <c r="M682" s="205"/>
    </row>
    <row r="683">
      <c r="A683" s="202" t="str">
        <f>IFERROR(__xludf.DUMMYFUNCTION("""COMPUTED_VALUE"""),"Pulse of the Earth [Occult]")</f>
        <v>Pulse of the Earth [Occult]</v>
      </c>
      <c r="B683" s="202" t="str">
        <f>IFERROR(__xludf.DUMMYFUNCTION("""COMPUTED_VALUE"""),"Geomancer, Expert Nature Edu")</f>
        <v>Geomancer, Expert Nature Edu</v>
      </c>
      <c r="C683" s="202" t="str">
        <f>IFERROR(__xludf.DUMMYFUNCTION("""COMPUTED_VALUE"""),"Scene - Full Action")</f>
        <v>Scene - Full Action</v>
      </c>
      <c r="D683" s="202" t="str">
        <f>IFERROR(__xludf.DUMMYFUNCTION("""COMPUTED_VALUE"""),"Effect: Create a 3x3 Zone on the Field, then choose a non-Self Attack gained from a Geomancer Feature. You may use that Attack immediately as a Free Action with the Targets being all Allies or Enemies of your choice within that Zone, ignoring its original"&amp;" range.
Bonus: You learn the Terrain Pulse Attack.")</f>
        <v>Effect: Create a 3x3 Zone on the Field, then choose a non-Self Attack gained from a Geomancer Feature. You may use that Attack immediately as a Free Action with the Targets being all Allies or Enemies of your choice within that Zone, ignoring its original range.
Bonus: You learn the Terrain Pulse Attack.</v>
      </c>
      <c r="E683" s="203"/>
      <c r="F683" s="204"/>
      <c r="G683" s="204"/>
      <c r="H683" s="204"/>
      <c r="I683" s="204"/>
      <c r="J683" s="203"/>
      <c r="K683" s="205"/>
      <c r="L683" s="205"/>
      <c r="M683" s="205"/>
    </row>
    <row r="684">
      <c r="A684" s="202" t="str">
        <f>IFERROR(__xludf.DUMMYFUNCTION("""COMPUTED_VALUE"""),"Illusionist [Occult]")</f>
        <v>Illusionist [Occult]</v>
      </c>
      <c r="B684" s="202" t="str">
        <f>IFERROR(__xludf.DUMMYFUNCTION("""COMPUTED_VALUE"""),"Prerequisite 1: Mystic or Occult Researcher [or]
Prerequisite 2: Adept Guile")</f>
        <v>Prerequisite 1: Mystic or Occult Researcher [or]
Prerequisite 2: Adept Guile</v>
      </c>
      <c r="C684" s="202" t="str">
        <f>IFERROR(__xludf.DUMMYFUNCTION("""COMPUTED_VALUE"""),"At-Will - Swift Action")</f>
        <v>At-Will - Swift Action</v>
      </c>
      <c r="D684" s="202" t="str">
        <f>IFERROR(__xludf.DUMMYFUNCTION("""COMPUTED_VALUE"""),"Effect: Choose an unoccupied space within 5m to create a Phantasm Hazard. If you already have a Phantasm Hazard on the Field, you must pass a CR 3 Focus Check to use this Feature, or CR 5 if you have two or more instances on the field or have a Mental Aff"&amp;"liction. If failed, you cannot activate it this Round. 
Bonus: You gain the Illusionist Capability.
Note: The effectiveness of this Class heavily depends on your Enemies not knowing or finding out that your Phantasms aren’t real! If they know, you’ll hav"&amp;"e to be creative to fool them.")</f>
        <v>Effect: Choose an unoccupied space within 5m to create a Phantasm Hazard. If you already have a Phantasm Hazard on the Field, you must pass a CR 3 Focus Check to use this Feature, or CR 5 if you have two or more instances on the field or have a Mental Affliction. If failed, you cannot activate it this Round. 
Bonus: You gain the Illusionist Capability.
Note: The effectiveness of this Class heavily depends on your Enemies not knowing or finding out that your Phantasms aren’t real! If they know, you’ll have to be creative to fool them.</v>
      </c>
      <c r="E684" s="203"/>
      <c r="F684" s="204"/>
      <c r="G684" s="204"/>
      <c r="H684" s="204"/>
      <c r="I684" s="204"/>
      <c r="J684" s="203"/>
      <c r="K684" s="205"/>
      <c r="L684" s="205"/>
      <c r="M684" s="205"/>
    </row>
    <row r="685">
      <c r="A685" s="202" t="str">
        <f>IFERROR(__xludf.DUMMYFUNCTION("""COMPUTED_VALUE"""),"Illusory Afterimage [Occult]")</f>
        <v>Illusory Afterimage [Occult]</v>
      </c>
      <c r="B685" s="202" t="str">
        <f>IFERROR(__xludf.DUMMYFUNCTION("""COMPUTED_VALUE"""),"Illusionist, Novice Guile")</f>
        <v>Illusionist, Novice Guile</v>
      </c>
      <c r="C685" s="202" t="str">
        <f>IFERROR(__xludf.DUMMYFUNCTION("""COMPUTED_VALUE"""),"Static")</f>
        <v>Static</v>
      </c>
      <c r="D685" s="202" t="str">
        <f>IFERROR(__xludf.DUMMYFUNCTION("""COMPUTED_VALUE"""),"Effect: You learn the Double Team Attack. Its Range may also be used as if it were 6, 1 Target instead of Self, in which the effect applies to the Target and not the User.")</f>
        <v>Effect: You learn the Double Team Attack. Its Range may also be used as if it were 6, 1 Target instead of Self, in which the effect applies to the Target and not the User.</v>
      </c>
      <c r="E685" s="203"/>
      <c r="F685" s="204"/>
      <c r="G685" s="204"/>
      <c r="H685" s="204"/>
      <c r="I685" s="204"/>
      <c r="J685" s="203"/>
      <c r="K685" s="205"/>
      <c r="L685" s="205"/>
      <c r="M685" s="205"/>
    </row>
    <row r="686">
      <c r="A686" s="202" t="str">
        <f>IFERROR(__xludf.DUMMYFUNCTION("""COMPUTED_VALUE"""),"Mirror Image [Occult]")</f>
        <v>Mirror Image [Occult]</v>
      </c>
      <c r="B686" s="202" t="str">
        <f>IFERROR(__xludf.DUMMYFUNCTION("""COMPUTED_VALUE"""),"Illusionist, Adept Guile")</f>
        <v>Illusionist, Adept Guile</v>
      </c>
      <c r="C686" s="202" t="str">
        <f>IFERROR(__xludf.DUMMYFUNCTION("""COMPUTED_VALUE"""),"Scene x2 - Reaction")</f>
        <v>Scene x2 - Reaction</v>
      </c>
      <c r="D686" s="202" t="str">
        <f>IFERROR(__xludf.DUMMYFUNCTION("""COMPUTED_VALUE"""),"Trigger: You or an Ally within 3m are hit with a Damaging Attack
Effect: Roll a 1d2. On a 1, they resist it by an additional damage step. On a 2, they resolve it as normal but the Triggering Enemy becomes Dazed after the Attack’s resolution.
Bonus: Once p"&amp;"er day, you may ignore the SP cost to bypass a restriction on the Illusionist Feature.")</f>
        <v>Trigger: You or an Ally within 3m are hit with a Damaging Attack
Effect: Roll a 1d2. On a 1, they resist it by an additional damage step. On a 2, they resolve it as normal but the Triggering Enemy becomes Dazed after the Attack’s resolution.
Bonus: Once per day, you may ignore the SP cost to bypass a restriction on the Illusionist Feature.</v>
      </c>
      <c r="E686" s="203"/>
      <c r="F686" s="204"/>
      <c r="G686" s="204"/>
      <c r="H686" s="204"/>
      <c r="I686" s="204"/>
      <c r="J686" s="203"/>
      <c r="K686" s="205"/>
      <c r="L686" s="205"/>
      <c r="M686" s="205"/>
    </row>
    <row r="687">
      <c r="A687" s="202" t="str">
        <f>IFERROR(__xludf.DUMMYFUNCTION("""COMPUTED_VALUE"""),"Illusory Construct [Occult]")</f>
        <v>Illusory Construct [Occult]</v>
      </c>
      <c r="B687" s="202" t="str">
        <f>IFERROR(__xludf.DUMMYFUNCTION("""COMPUTED_VALUE"""),"Illusionist, Expert Guile")</f>
        <v>Illusionist, Expert Guile</v>
      </c>
      <c r="C687" s="202" t="str">
        <f>IFERROR(__xludf.DUMMYFUNCTION("""COMPUTED_VALUE"""),"Scene - Free Action")</f>
        <v>Scene - Free Action</v>
      </c>
      <c r="D687" s="202" t="str">
        <f>IFERROR(__xludf.DUMMYFUNCTION("""COMPUTED_VALUE"""),"Trigger: You create a Phantasm or use the Illusionist Capability
Effect: The Illusion may be up to 2m in size. The Phantasm may also take up to a 2x2 zone of spaces, assuming all are unoccupied. If it is a Phantasm, it gains a bonus effect listed below:
&gt;"&amp;" Cognitive Phantasm -  The Targeted Enemy treats the Hazard as Untargetable during their next Turn. 
&gt; Phantasm Clone - It can also Target Large Sized Combatants.
&gt; Environmental Phantasm - It may instead occupy up to 8 unoccupied contiguous spaces.")</f>
        <v>Trigger: You create a Phantasm or use the Illusionist Capability
Effect: The Illusion may be up to 2m in size. The Phantasm may also take up to a 2x2 zone of spaces, assuming all are unoccupied. If it is a Phantasm, it gains a bonus effect listed below:
&gt; Cognitive Phantasm -  The Targeted Enemy treats the Hazard as Untargetable during their next Turn. 
&gt; Phantasm Clone - It can also Target Large Sized Combatants.
&gt; Environmental Phantasm - It may instead occupy up to 8 unoccupied contiguous spaces.</v>
      </c>
      <c r="E687" s="203"/>
      <c r="F687" s="204"/>
      <c r="G687" s="204"/>
      <c r="H687" s="204"/>
      <c r="I687" s="204"/>
      <c r="J687" s="203"/>
      <c r="K687" s="205"/>
      <c r="L687" s="205"/>
      <c r="M687" s="205"/>
    </row>
    <row r="688">
      <c r="A688" s="202" t="str">
        <f>IFERROR(__xludf.DUMMYFUNCTION("""COMPUTED_VALUE"""),"Phantasmal Visionary [Occult]")</f>
        <v>Phantasmal Visionary [Occult]</v>
      </c>
      <c r="B688" s="202" t="str">
        <f>IFERROR(__xludf.DUMMYFUNCTION("""COMPUTED_VALUE"""),"Illusionist, Master Guile")</f>
        <v>Illusionist, Master Guile</v>
      </c>
      <c r="C688" s="202" t="str">
        <f>IFERROR(__xludf.DUMMYFUNCTION("""COMPUTED_VALUE"""),"Static")</f>
        <v>Static</v>
      </c>
      <c r="D688" s="202" t="str">
        <f>IFERROR(__xludf.DUMMYFUNCTION("""COMPUTED_VALUE"""),"Effect: You gain the Illusion Ability. You may use the Illusionist Feature as a Swift or Movement Action.")</f>
        <v>Effect: You gain the Illusion Ability. You may use the Illusionist Feature as a Swift or Movement Action.</v>
      </c>
      <c r="E688" s="203"/>
      <c r="F688" s="204"/>
      <c r="G688" s="204"/>
      <c r="H688" s="204"/>
      <c r="I688" s="204"/>
      <c r="J688" s="203"/>
      <c r="K688" s="205"/>
      <c r="L688" s="205"/>
      <c r="M688" s="205"/>
    </row>
    <row r="689">
      <c r="A689" s="202" t="str">
        <f>IFERROR(__xludf.DUMMYFUNCTION("""COMPUTED_VALUE"""),"Lifeweaver [Occult]")</f>
        <v>Lifeweaver [Occult]</v>
      </c>
      <c r="B689" s="202" t="str">
        <f>IFERROR(__xludf.DUMMYFUNCTION("""COMPUTED_VALUE"""),"Prerequisite 1: Mystic or Occult Researcher [or]
Prerequisite 2: Adept Med Edu or Occult Edu")</f>
        <v>Prerequisite 1: Mystic or Occult Researcher [or]
Prerequisite 2: Adept Med Edu or Occult Edu</v>
      </c>
      <c r="C689" s="202" t="str">
        <f>IFERROR(__xludf.DUMMYFUNCTION("""COMPUTED_VALUE"""),"Static")</f>
        <v>Static</v>
      </c>
      <c r="D689" s="202" t="str">
        <f>IFERROR(__xludf.DUMMYFUNCTION("""COMPUTED_VALUE"""),"Effect: You gain the Mender Capability and learn the Heal Pulse Attack.")</f>
        <v>Effect: You gain the Mender Capability and learn the Heal Pulse Attack.</v>
      </c>
      <c r="E689" s="203"/>
      <c r="F689" s="204"/>
      <c r="G689" s="204"/>
      <c r="H689" s="204"/>
      <c r="I689" s="204"/>
      <c r="J689" s="203"/>
      <c r="K689" s="205"/>
      <c r="L689" s="205"/>
      <c r="M689" s="205"/>
    </row>
    <row r="690">
      <c r="A690" s="202" t="str">
        <f>IFERROR(__xludf.DUMMYFUNCTION("""COMPUTED_VALUE"""),"Vitality Imbuement [Occult]")</f>
        <v>Vitality Imbuement [Occult]</v>
      </c>
      <c r="B690" s="202" t="str">
        <f>IFERROR(__xludf.DUMMYFUNCTION("""COMPUTED_VALUE"""),"Lifeweaver, Novice Med Edu or
Occult Edu")</f>
        <v>Lifeweaver, Novice Med Edu or
Occult Edu</v>
      </c>
      <c r="C690" s="202" t="str">
        <f>IFERROR(__xludf.DUMMYFUNCTION("""COMPUTED_VALUE"""),"At-Will - Free Action")</f>
        <v>At-Will - Free Action</v>
      </c>
      <c r="D690" s="202" t="str">
        <f>IFERROR(__xludf.DUMMYFUNCTION("""COMPUTED_VALUE"""),"Trigger: An Ally within 5m would fall below 50% Hit Points or Faint
Effect: You gain a Vitality Token, or two if the Trigger would cause the Ally to Faint (Max 3).
Bonus: Whenever you cause a Combatant to restore Hit Points, you may expend any number of V"&amp;"itality Tokens. For each expended Token, Target one of the healed Combatants, then have them restore an additional Tick of Hit Points per Token expended on them.")</f>
        <v>Trigger: An Ally within 5m would fall below 50% Hit Points or Faint
Effect: You gain a Vitality Token, or two if the Trigger would cause the Ally to Faint (Max 3).
Bonus: Whenever you cause a Combatant to restore Hit Points, you may expend any number of Vitality Tokens. For each expended Token, Target one of the healed Combatants, then have them restore an additional Tick of Hit Points per Token expended on them.</v>
      </c>
      <c r="E690" s="203"/>
      <c r="F690" s="204"/>
      <c r="G690" s="204"/>
      <c r="H690" s="204"/>
      <c r="I690" s="204"/>
      <c r="J690" s="203"/>
      <c r="K690" s="205"/>
      <c r="L690" s="205"/>
      <c r="M690" s="205"/>
    </row>
    <row r="691">
      <c r="A691" s="202" t="str">
        <f>IFERROR(__xludf.DUMMYFUNCTION("""COMPUTED_VALUE"""),"Embodiment of Life [Occult]")</f>
        <v>Embodiment of Life [Occult]</v>
      </c>
      <c r="B691" s="202" t="str">
        <f>IFERROR(__xludf.DUMMYFUNCTION("""COMPUTED_VALUE"""),"Lifeweaver, Adept Med Edu or Occult Edu")</f>
        <v>Lifeweaver, Adept Med Edu or Occult Edu</v>
      </c>
      <c r="C691" s="202" t="str">
        <f>IFERROR(__xludf.DUMMYFUNCTION("""COMPUTED_VALUE"""),"Static")</f>
        <v>Static</v>
      </c>
      <c r="D691" s="202" t="str">
        <f>IFERROR(__xludf.DUMMYFUNCTION("""COMPUTED_VALUE"""),"Effect: Choose one of the Abilities listed below to gain:
» Blessed Touch, Defy Death, Life Force, Parasitic Drain, Regenerator")</f>
        <v>Effect: Choose one of the Abilities listed below to gain:
» Blessed Touch, Defy Death, Life Force, Parasitic Drain, Regenerator</v>
      </c>
      <c r="E691" s="203"/>
      <c r="F691" s="204"/>
      <c r="G691" s="204"/>
      <c r="H691" s="204"/>
      <c r="I691" s="204"/>
      <c r="J691" s="203"/>
      <c r="K691" s="205"/>
      <c r="L691" s="205"/>
      <c r="M691" s="205"/>
    </row>
    <row r="692">
      <c r="A692" s="202" t="str">
        <f>IFERROR(__xludf.DUMMYFUNCTION("""COMPUTED_VALUE"""),"Expanded Pulse [Occult]")</f>
        <v>Expanded Pulse [Occult]</v>
      </c>
      <c r="B692" s="202" t="str">
        <f>IFERROR(__xludf.DUMMYFUNCTION("""COMPUTED_VALUE"""),"Lifeweaver, Vitality Imbuement, Expert Med Edu
or Occult Edu")</f>
        <v>Lifeweaver, Vitality Imbuement, Expert Med Edu
or Occult Edu</v>
      </c>
      <c r="C692" s="202" t="str">
        <f>IFERROR(__xludf.DUMMYFUNCTION("""COMPUTED_VALUE"""),"Scene x2 - Free Action")</f>
        <v>Scene x2 - Free Action</v>
      </c>
      <c r="D692" s="202" t="str">
        <f>IFERROR(__xludf.DUMMYFUNCTION("""COMPUTED_VALUE"""),"Effect: During this Turn, you may expend Vitality Tokens to add additional Effects to your next usage of the Heal Pulse Attack. Each Effect costs 1 Token and may be chosen multiple times if desired:
» The Frequency of the Attack isn’t expended.
» The Rang"&amp;"e is changed to Burst 1, or increased by +1.
» Enemies within this Range are unaffected
» One Target of the Attack is cured of a Status Affliction
» One Target has excess Hit Point gain turn into Temporary Hit Points
Bonus: You gain the Lifetouch Capabili"&amp;"ty.")</f>
        <v>Effect: During this Turn, you may expend Vitality Tokens to add additional Effects to your next usage of the Heal Pulse Attack. Each Effect costs 1 Token and may be chosen multiple times if desired:
» The Frequency of the Attack isn’t expended.
» The Range is changed to Burst 1, or increased by +1.
» Enemies within this Range are unaffected
» One Target of the Attack is cured of a Status Affliction
» One Target has excess Hit Point gain turn into Temporary Hit Points
Bonus: You gain the Lifetouch Capability.</v>
      </c>
      <c r="E692" s="203"/>
      <c r="F692" s="204"/>
      <c r="G692" s="204"/>
      <c r="H692" s="204"/>
      <c r="I692" s="204"/>
      <c r="J692" s="203"/>
      <c r="K692" s="205"/>
      <c r="L692" s="205"/>
      <c r="M692" s="205"/>
    </row>
    <row r="693">
      <c r="A693" s="202" t="str">
        <f>IFERROR(__xludf.DUMMYFUNCTION("""COMPUTED_VALUE"""),"Life Infusion [Occult]")</f>
        <v>Life Infusion [Occult]</v>
      </c>
      <c r="B693" s="202" t="str">
        <f>IFERROR(__xludf.DUMMYFUNCTION("""COMPUTED_VALUE"""),"Lifeweaver, Master Med Edu or
Occult Edu")</f>
        <v>Lifeweaver, Master Med Edu or
Occult Edu</v>
      </c>
      <c r="C693" s="202" t="str">
        <f>IFERROR(__xludf.DUMMYFUNCTION("""COMPUTED_VALUE"""),"Scene x2 - Swift Action")</f>
        <v>Scene x2 - Swift Action</v>
      </c>
      <c r="D693" s="202" t="str">
        <f>IFERROR(__xludf.DUMMYFUNCTION("""COMPUTED_VALUE"""),"Effect: During this Turn, you may Target Fainted Allies with your Attacks and Abilities. If one of these would cause the Target to restore Hit Points, the Fainted Targets revive and are cured of the Fainted Condition before restoring the respective Hit Po"&amp;"ints. An Ally can only be cured of Fainted this way once per Scene.
Bonus: Anytime you would restore Hit Points, you may instead have an Ally within 3m restore that amount instead.")</f>
        <v>Effect: During this Turn, you may Target Fainted Allies with your Attacks and Abilities. If one of these would cause the Target to restore Hit Points, the Fainted Targets revive and are cured of the Fainted Condition before restoring the respective Hit Points. An Ally can only be cured of Fainted this way once per Scene.
Bonus: Anytime you would restore Hit Points, you may instead have an Ally within 3m restore that amount instead.</v>
      </c>
      <c r="E693" s="203"/>
      <c r="F693" s="204"/>
      <c r="G693" s="204"/>
      <c r="H693" s="204"/>
      <c r="I693" s="204"/>
      <c r="J693" s="203"/>
      <c r="K693" s="205"/>
      <c r="L693" s="205"/>
      <c r="M693" s="205"/>
    </row>
    <row r="694">
      <c r="A694" s="202" t="str">
        <f>IFERROR(__xludf.DUMMYFUNCTION("""COMPUTED_VALUE"""),"Mind Mage [Emotions] [Occult]")</f>
        <v>Mind Mage [Emotions] [Occult]</v>
      </c>
      <c r="B694" s="202" t="str">
        <f>IFERROR(__xludf.DUMMYFUNCTION("""COMPUTED_VALUE"""),"Prerequisite 1: Mystic or Occult Researcher [or]
Prerequisite 2: Adept Focus ")</f>
        <v>Prerequisite 1: Mystic or Occult Researcher [or]
Prerequisite 2: Adept Focus </v>
      </c>
      <c r="C694" s="202" t="str">
        <f>IFERROR(__xludf.DUMMYFUNCTION("""COMPUTED_VALUE"""),"Static")</f>
        <v>Static</v>
      </c>
      <c r="D694" s="202" t="str">
        <f>IFERROR(__xludf.DUMMYFUNCTION("""COMPUTED_VALUE"""),"You gain the Torment Attack and Emotion Stoker Capability. When you have 4 Mind Mage Features, you also gain one of the following Capabilities: Empath, Mindlock, Telepath, Telekinetic")</f>
        <v>You gain the Torment Attack and Emotion Stoker Capability. When you have 4 Mind Mage Features, you also gain one of the following Capabilities: Empath, Mindlock, Telepath, Telekinetic</v>
      </c>
      <c r="E694" s="203"/>
      <c r="F694" s="204"/>
      <c r="G694" s="204"/>
      <c r="H694" s="204"/>
      <c r="I694" s="204"/>
      <c r="J694" s="203"/>
      <c r="K694" s="205"/>
      <c r="L694" s="205"/>
      <c r="M694" s="205"/>
    </row>
    <row r="695">
      <c r="A695" s="202" t="str">
        <f>IFERROR(__xludf.DUMMYFUNCTION("""COMPUTED_VALUE"""),"Mind Mage [Knowledge] [Occult]")</f>
        <v>Mind Mage [Knowledge] [Occult]</v>
      </c>
      <c r="B695" s="202" t="str">
        <f>IFERROR(__xludf.DUMMYFUNCTION("""COMPUTED_VALUE"""),"Prerequisite 1: Mystic or Occult Researcher [or]
Prerequisite 2: Adept Focus ")</f>
        <v>Prerequisite 1: Mystic or Occult Researcher [or]
Prerequisite 2: Adept Focus </v>
      </c>
      <c r="C695" s="202" t="str">
        <f>IFERROR(__xludf.DUMMYFUNCTION("""COMPUTED_VALUE"""),"Static")</f>
        <v>Static</v>
      </c>
      <c r="D695" s="202" t="str">
        <f>IFERROR(__xludf.DUMMYFUNCTION("""COMPUTED_VALUE"""),"You gain the Disable Attack and Mind Weaver Capability. When you have 4 Mind Mage Features, you also gain one of the following Capabilities: Empath, Mindlock, Telepath, Telekinetic")</f>
        <v>You gain the Disable Attack and Mind Weaver Capability. When you have 4 Mind Mage Features, you also gain one of the following Capabilities: Empath, Mindlock, Telepath, Telekinetic</v>
      </c>
      <c r="E695" s="203"/>
      <c r="F695" s="204"/>
      <c r="G695" s="204"/>
      <c r="H695" s="204"/>
      <c r="I695" s="204"/>
      <c r="J695" s="203"/>
      <c r="K695" s="205"/>
      <c r="L695" s="205"/>
      <c r="M695" s="205"/>
    </row>
    <row r="696">
      <c r="A696" s="202" t="str">
        <f>IFERROR(__xludf.DUMMYFUNCTION("""COMPUTED_VALUE"""),"Mind Mage [Willpower] [Occult]")</f>
        <v>Mind Mage [Willpower] [Occult]</v>
      </c>
      <c r="B696" s="202" t="str">
        <f>IFERROR(__xludf.DUMMYFUNCTION("""COMPUTED_VALUE"""),"Prerequisite 1: Mystic or Occult Researcher [or]
Prerequisite 2: Adept Focus ")</f>
        <v>Prerequisite 1: Mystic or Occult Researcher [or]
Prerequisite 2: Adept Focus </v>
      </c>
      <c r="C696" s="202" t="str">
        <f>IFERROR(__xludf.DUMMYFUNCTION("""COMPUTED_VALUE"""),"Static")</f>
        <v>Static</v>
      </c>
      <c r="D696" s="202" t="str">
        <f>IFERROR(__xludf.DUMMYFUNCTION("""COMPUTED_VALUE"""),"You gain the Focus Energy Attack and Aura Reader Capability. When you have 4 Mind Mage Features, you also gain one of the following Capabilities: Empath, Mindlock, Telepath, Telekinetic")</f>
        <v>You gain the Focus Energy Attack and Aura Reader Capability. When you have 4 Mind Mage Features, you also gain one of the following Capabilities: Empath, Mindlock, Telepath, Telekinetic</v>
      </c>
      <c r="E696" s="203"/>
      <c r="F696" s="204"/>
      <c r="G696" s="204"/>
      <c r="H696" s="204"/>
      <c r="I696" s="204"/>
      <c r="J696" s="203"/>
      <c r="K696" s="205"/>
      <c r="L696" s="205"/>
      <c r="M696" s="205"/>
    </row>
    <row r="697">
      <c r="A697" s="202" t="str">
        <f>IFERROR(__xludf.DUMMYFUNCTION("""COMPUTED_VALUE"""),"Mental Boost [Emotions] [Occult]")</f>
        <v>Mental Boost [Emotions] [Occult]</v>
      </c>
      <c r="B697" s="202" t="str">
        <f>IFERROR(__xludf.DUMMYFUNCTION("""COMPUTED_VALUE"""),"Mind Mage, Novice Focus")</f>
        <v>Mind Mage, Novice Focus</v>
      </c>
      <c r="C697" s="202" t="str">
        <f>IFERROR(__xludf.DUMMYFUNCTION("""COMPUTED_VALUE"""),"At-Will - Swift Action")</f>
        <v>At-Will - Swift Action</v>
      </c>
      <c r="D697" s="202" t="str">
        <f>IFERROR(__xludf.DUMMYFUNCTION("""COMPUTED_VALUE"""),"Target: An Ally within 3m
Effect:The Target ignores the effects of Mental Afflictions until the start of your next Turn.")</f>
        <v>Target: An Ally within 3m
Effect:The Target ignores the effects of Mental Afflictions until the start of your next Turn.</v>
      </c>
      <c r="E697" s="203"/>
      <c r="F697" s="204"/>
      <c r="G697" s="204"/>
      <c r="H697" s="204"/>
      <c r="I697" s="204"/>
      <c r="J697" s="203"/>
      <c r="K697" s="205"/>
      <c r="L697" s="205"/>
      <c r="M697" s="205"/>
    </row>
    <row r="698">
      <c r="A698" s="202" t="str">
        <f>IFERROR(__xludf.DUMMYFUNCTION("""COMPUTED_VALUE"""),"Mental Boost [Knowledge] [Occult]")</f>
        <v>Mental Boost [Knowledge] [Occult]</v>
      </c>
      <c r="B698" s="202" t="str">
        <f>IFERROR(__xludf.DUMMYFUNCTION("""COMPUTED_VALUE"""),"Mind Mage, Novice Focus")</f>
        <v>Mind Mage, Novice Focus</v>
      </c>
      <c r="C698" s="202" t="str">
        <f>IFERROR(__xludf.DUMMYFUNCTION("""COMPUTED_VALUE"""),"At-Will - Swift Action")</f>
        <v>At-Will - Swift Action</v>
      </c>
      <c r="D698" s="202" t="str">
        <f>IFERROR(__xludf.DUMMYFUNCTION("""COMPUTED_VALUE"""),"Target: An Ally within 3m
Effect:The Target may swap an Attack between their Known Attack List and Battle Attack List until the end of their next Turn.")</f>
        <v>Target: An Ally within 3m
Effect:The Target may swap an Attack between their Known Attack List and Battle Attack List until the end of their next Turn.</v>
      </c>
      <c r="E698" s="203"/>
      <c r="F698" s="204"/>
      <c r="G698" s="204"/>
      <c r="H698" s="204"/>
      <c r="I698" s="204"/>
      <c r="J698" s="203"/>
      <c r="K698" s="205"/>
      <c r="L698" s="205"/>
      <c r="M698" s="205"/>
    </row>
    <row r="699">
      <c r="A699" s="202" t="str">
        <f>IFERROR(__xludf.DUMMYFUNCTION("""COMPUTED_VALUE"""),"Mental Boost [Willpower] [Occult]")</f>
        <v>Mental Boost [Willpower] [Occult]</v>
      </c>
      <c r="B699" s="202" t="str">
        <f>IFERROR(__xludf.DUMMYFUNCTION("""COMPUTED_VALUE"""),"Mind Mage, Novice Focus")</f>
        <v>Mind Mage, Novice Focus</v>
      </c>
      <c r="C699" s="202" t="str">
        <f>IFERROR(__xludf.DUMMYFUNCTION("""COMPUTED_VALUE"""),"At-Will - Swift Action")</f>
        <v>At-Will - Swift Action</v>
      </c>
      <c r="D699" s="202" t="str">
        <f>IFERROR(__xludf.DUMMYFUNCTION("""COMPUTED_VALUE"""),"Target: An Ally within 3m
Effect:The Target may select Accuracy, Effect Range, Save Check or Critical Hit Range and gain a +2 bonus to it until the end of their next Turn.")</f>
        <v>Target: An Ally within 3m
Effect:The Target may select Accuracy, Effect Range, Save Check or Critical Hit Range and gain a +2 bonus to it until the end of their next Turn.</v>
      </c>
      <c r="E699" s="203"/>
      <c r="F699" s="204"/>
      <c r="G699" s="204"/>
      <c r="H699" s="204"/>
      <c r="I699" s="204"/>
      <c r="J699" s="203"/>
      <c r="K699" s="205"/>
      <c r="L699" s="205"/>
      <c r="M699" s="205"/>
    </row>
    <row r="700">
      <c r="A700" s="202" t="str">
        <f>IFERROR(__xludf.DUMMYFUNCTION("""COMPUTED_VALUE"""),"Mental Drain [Emotions] [Occult]")</f>
        <v>Mental Drain [Emotions] [Occult]</v>
      </c>
      <c r="B700" s="202" t="str">
        <f>IFERROR(__xludf.DUMMYFUNCTION("""COMPUTED_VALUE"""),"Mind Mage, Adept Focus")</f>
        <v>Mind Mage, Adept Focus</v>
      </c>
      <c r="C700" s="202" t="str">
        <f>IFERROR(__xludf.DUMMYFUNCTION("""COMPUTED_VALUE"""),"At-Will - Standard Action")</f>
        <v>At-Will - Standard Action</v>
      </c>
      <c r="D700" s="202" t="str">
        <f>IFERROR(__xludf.DUMMYFUNCTION("""COMPUTED_VALUE"""),"Target: An Enemy within 3m
Effect: The Target makes an opposed Focus Check with you. If you succeed, The Target gains a Psyche Token. If the Target would be cured of a Mental Affliction, the Psyche Token is removed instead.  An Enemy can only be affected "&amp;"by this Feature once per Scene:")</f>
        <v>Target: An Enemy within 3m
Effect: The Target makes an opposed Focus Check with you. If you succeed, The Target gains a Psyche Token. If the Target would be cured of a Mental Affliction, the Psyche Token is removed instead.  An Enemy can only be affected by this Feature once per Scene:</v>
      </c>
      <c r="E700" s="203"/>
      <c r="F700" s="204"/>
      <c r="G700" s="204"/>
      <c r="H700" s="204"/>
      <c r="I700" s="204"/>
      <c r="J700" s="203"/>
      <c r="K700" s="205"/>
      <c r="L700" s="205"/>
      <c r="M700" s="205"/>
    </row>
    <row r="701">
      <c r="A701" s="202" t="str">
        <f>IFERROR(__xludf.DUMMYFUNCTION("""COMPUTED_VALUE"""),"Mental Drain [Knowledge] [Occult]")</f>
        <v>Mental Drain [Knowledge] [Occult]</v>
      </c>
      <c r="B701" s="202" t="str">
        <f>IFERROR(__xludf.DUMMYFUNCTION("""COMPUTED_VALUE"""),"Mind Mage, Adept Focus")</f>
        <v>Mind Mage, Adept Focus</v>
      </c>
      <c r="C701" s="202" t="str">
        <f>IFERROR(__xludf.DUMMYFUNCTION("""COMPUTED_VALUE"""),"At-Will - Standard Action")</f>
        <v>At-Will - Standard Action</v>
      </c>
      <c r="D701" s="202" t="str">
        <f>IFERROR(__xludf.DUMMYFUNCTION("""COMPUTED_VALUE"""),"Target: An Enemy within 3m
Effect: The Target makes an opposed Focus Check with you. If you succeed, The Target becomes Disabled. This single instance of Disabled locks all of the following of your choice:  
&gt; Attacks of a chosen Type. Capabilities. Abili"&amp;"ties.  An Enemy can only be affected by this Feature once per Scene:")</f>
        <v>Target: An Enemy within 3m
Effect: The Target makes an opposed Focus Check with you. If you succeed, The Target becomes Disabled. This single instance of Disabled locks all of the following of your choice:  
&gt; Attacks of a chosen Type. Capabilities. Abilities.  An Enemy can only be affected by this Feature once per Scene:</v>
      </c>
      <c r="E701" s="203"/>
      <c r="F701" s="204"/>
      <c r="G701" s="204"/>
      <c r="H701" s="204"/>
      <c r="I701" s="204"/>
      <c r="J701" s="203"/>
      <c r="K701" s="205"/>
      <c r="L701" s="205"/>
      <c r="M701" s="205"/>
    </row>
    <row r="702">
      <c r="A702" s="202" t="str">
        <f>IFERROR(__xludf.DUMMYFUNCTION("""COMPUTED_VALUE"""),"Mental Drain [Willpower] [Occult]")</f>
        <v>Mental Drain [Willpower] [Occult]</v>
      </c>
      <c r="B702" s="202" t="str">
        <f>IFERROR(__xludf.DUMMYFUNCTION("""COMPUTED_VALUE"""),"Mind Mage, Adept Focus")</f>
        <v>Mind Mage, Adept Focus</v>
      </c>
      <c r="C702" s="202" t="str">
        <f>IFERROR(__xludf.DUMMYFUNCTION("""COMPUTED_VALUE"""),"At-Will - Standard Action")</f>
        <v>At-Will - Standard Action</v>
      </c>
      <c r="D702" s="202" t="str">
        <f>IFERROR(__xludf.DUMMYFUNCTION("""COMPUTED_VALUE"""),"Target: An Enemy within 3m
Effect: The Target makes an opposed Focus Check with you. If you succeed, All Combat Stages of the Target are set to their Default Value and they become Suppressed. While Suppressed this way they cannot gain Combat Stages.  An E"&amp;"nemy can only be affected by this Feature once per Scene:")</f>
        <v>Target: An Enemy within 3m
Effect: The Target makes an opposed Focus Check with you. If you succeed, All Combat Stages of the Target are set to their Default Value and they become Suppressed. While Suppressed this way they cannot gain Combat Stages.  An Enemy can only be affected by this Feature once per Scene:</v>
      </c>
      <c r="E702" s="203"/>
      <c r="F702" s="204"/>
      <c r="G702" s="204"/>
      <c r="H702" s="204"/>
      <c r="I702" s="204"/>
      <c r="J702" s="203"/>
      <c r="K702" s="205"/>
      <c r="L702" s="205"/>
      <c r="M702" s="205"/>
    </row>
    <row r="703">
      <c r="A703" s="202" t="str">
        <f>IFERROR(__xludf.DUMMYFUNCTION("""COMPUTED_VALUE"""),"Shattered Psyche [Emotions] [Occult]")</f>
        <v>Shattered Psyche [Emotions] [Occult]</v>
      </c>
      <c r="B703" s="202" t="str">
        <f>IFERROR(__xludf.DUMMYFUNCTION("""COMPUTED_VALUE"""),"Mind Mage, Mental Drain, Master Focus")</f>
        <v>Mind Mage, Mental Drain, Master Focus</v>
      </c>
      <c r="C703" s="202" t="str">
        <f>IFERROR(__xludf.DUMMYFUNCTION("""COMPUTED_VALUE"""),"Static")</f>
        <v>Static</v>
      </c>
      <c r="D703" s="202" t="str">
        <f>IFERROR(__xludf.DUMMYFUNCTION("""COMPUTED_VALUE"""),"Effect: Whenever you win the opposed check when using the Mental Drain Feature, if you had 5+ Successes, a bonus effect occurs:
At the end of each Round, Enemies with a Psyche Token lose a Tick of Hit Points for each Mental Affliction they have.")</f>
        <v>Effect: Whenever you win the opposed check when using the Mental Drain Feature, if you had 5+ Successes, a bonus effect occurs:
At the end of each Round, Enemies with a Psyche Token lose a Tick of Hit Points for each Mental Affliction they have.</v>
      </c>
      <c r="E703" s="203"/>
      <c r="F703" s="204"/>
      <c r="G703" s="204"/>
      <c r="H703" s="204"/>
      <c r="I703" s="204"/>
      <c r="J703" s="203"/>
      <c r="K703" s="205"/>
      <c r="L703" s="205"/>
      <c r="M703" s="205"/>
    </row>
    <row r="704">
      <c r="A704" s="202" t="str">
        <f>IFERROR(__xludf.DUMMYFUNCTION("""COMPUTED_VALUE"""),"Shattered Psyche [Knowledge] [Occult]")</f>
        <v>Shattered Psyche [Knowledge] [Occult]</v>
      </c>
      <c r="B704" s="202" t="str">
        <f>IFERROR(__xludf.DUMMYFUNCTION("""COMPUTED_VALUE"""),"Mind Mage, Mental Drain, Master Focus")</f>
        <v>Mind Mage, Mental Drain, Master Focus</v>
      </c>
      <c r="C704" s="202" t="str">
        <f>IFERROR(__xludf.DUMMYFUNCTION("""COMPUTED_VALUE"""),"Static")</f>
        <v>Static</v>
      </c>
      <c r="D704" s="202" t="str">
        <f>IFERROR(__xludf.DUMMYFUNCTION("""COMPUTED_VALUE"""),"Effect: Whenever you win the opposed check when using the Mental Drain Feature, if you had 5+ Successes, a bonus effect occurs:
Whenever you win the opposed check when using the Mental Drain Feature, if you had 5+ Successes, a bonus effect occurs:")</f>
        <v>Effect: Whenever you win the opposed check when using the Mental Drain Feature, if you had 5+ Successes, a bonus effect occurs:
Whenever you win the opposed check when using the Mental Drain Feature, if you had 5+ Successes, a bonus effect occurs:</v>
      </c>
      <c r="E704" s="203"/>
      <c r="F704" s="204"/>
      <c r="G704" s="204"/>
      <c r="H704" s="204"/>
      <c r="I704" s="204"/>
      <c r="J704" s="203"/>
      <c r="K704" s="205"/>
      <c r="L704" s="205"/>
      <c r="M704" s="205"/>
    </row>
    <row r="705">
      <c r="A705" s="202" t="str">
        <f>IFERROR(__xludf.DUMMYFUNCTION("""COMPUTED_VALUE"""),"Shattered Psyche [Willpower] [Occult]")</f>
        <v>Shattered Psyche [Willpower] [Occult]</v>
      </c>
      <c r="B705" s="202" t="str">
        <f>IFERROR(__xludf.DUMMYFUNCTION("""COMPUTED_VALUE"""),"Mind Mage, Mental Drain, Master Focus")</f>
        <v>Mind Mage, Mental Drain, Master Focus</v>
      </c>
      <c r="C705" s="202" t="str">
        <f>IFERROR(__xludf.DUMMYFUNCTION("""COMPUTED_VALUE"""),"Static")</f>
        <v>Static</v>
      </c>
      <c r="D705" s="202" t="str">
        <f>IFERROR(__xludf.DUMMYFUNCTION("""COMPUTED_VALUE"""),"Effect: Whenever you win the opposed check when using the Mental Drain Feature, if you had 5+ Successes, a bonus effect occurs:
Whenever you win the opposed check when using the Mental Drain Feature, if you had 5+ Successes, a bonus effect occurs:")</f>
        <v>Effect: Whenever you win the opposed check when using the Mental Drain Feature, if you had 5+ Successes, a bonus effect occurs:
Whenever you win the opposed check when using the Mental Drain Feature, if you had 5+ Successes, a bonus effect occurs:</v>
      </c>
      <c r="E705" s="203"/>
      <c r="F705" s="204"/>
      <c r="G705" s="204"/>
      <c r="H705" s="204"/>
      <c r="I705" s="204"/>
      <c r="J705" s="203"/>
      <c r="K705" s="205"/>
      <c r="L705" s="205"/>
      <c r="M705" s="205"/>
    </row>
    <row r="706">
      <c r="A706" s="202" t="str">
        <f>IFERROR(__xludf.DUMMYFUNCTION("""COMPUTED_VALUE"""),"Mind Link [Emotions] [Occult]")</f>
        <v>Mind Link [Emotions] [Occult]</v>
      </c>
      <c r="B706" s="202" t="str">
        <f>IFERROR(__xludf.DUMMYFUNCTION("""COMPUTED_VALUE"""),"Mind Mage, Expert Focus")</f>
        <v>Mind Mage, Expert Focus</v>
      </c>
      <c r="C706" s="202" t="str">
        <f>IFERROR(__xludf.DUMMYFUNCTION("""COMPUTED_VALUE"""),"Scene - Free Action")</f>
        <v>Scene - Free Action</v>
      </c>
      <c r="D706" s="202" t="str">
        <f>IFERROR(__xludf.DUMMYFUNCTION("""COMPUTED_VALUE"""),"Target: An Ally
Trigger: A Scene Starts
Effect: Choose an Attack, Ability or Capability you’ve gained from this Class and grant it to the Target until the end of the Scene.
Bonus: Choose to gain Gentle Vibe or Moody")</f>
        <v>Target: An Ally
Trigger: A Scene Starts
Effect: Choose an Attack, Ability or Capability you’ve gained from this Class and grant it to the Target until the end of the Scene.
Bonus: Choose to gain Gentle Vibe or Moody</v>
      </c>
      <c r="E706" s="203"/>
      <c r="F706" s="204"/>
      <c r="G706" s="204"/>
      <c r="H706" s="204"/>
      <c r="I706" s="204"/>
      <c r="J706" s="203"/>
      <c r="K706" s="205"/>
      <c r="L706" s="205"/>
      <c r="M706" s="205"/>
    </row>
    <row r="707">
      <c r="A707" s="202" t="str">
        <f>IFERROR(__xludf.DUMMYFUNCTION("""COMPUTED_VALUE"""),"Mind Link [Knowledge] [Occult]")</f>
        <v>Mind Link [Knowledge] [Occult]</v>
      </c>
      <c r="B707" s="202" t="str">
        <f>IFERROR(__xludf.DUMMYFUNCTION("""COMPUTED_VALUE"""),"Mind Mage, Expert Focus")</f>
        <v>Mind Mage, Expert Focus</v>
      </c>
      <c r="C707" s="202" t="str">
        <f>IFERROR(__xludf.DUMMYFUNCTION("""COMPUTED_VALUE"""),"Scene - Free Action")</f>
        <v>Scene - Free Action</v>
      </c>
      <c r="D707" s="202" t="str">
        <f>IFERROR(__xludf.DUMMYFUNCTION("""COMPUTED_VALUE"""),"Target: An Ally
Trigger: A Scene Starts
Effect: Choose an Attack, Ability or Capability you’ve gained from this Class and grant it to the Target until the end of the Scene.
Bonus: Choose to gain Analytic or Memory Wipe")</f>
        <v>Target: An Ally
Trigger: A Scene Starts
Effect: Choose an Attack, Ability or Capability you’ve gained from this Class and grant it to the Target until the end of the Scene.
Bonus: Choose to gain Analytic or Memory Wipe</v>
      </c>
      <c r="E707" s="203"/>
      <c r="F707" s="204"/>
      <c r="G707" s="204"/>
      <c r="H707" s="204"/>
      <c r="I707" s="204"/>
      <c r="J707" s="203"/>
      <c r="K707" s="205"/>
      <c r="L707" s="205"/>
      <c r="M707" s="205"/>
    </row>
    <row r="708">
      <c r="A708" s="202" t="str">
        <f>IFERROR(__xludf.DUMMYFUNCTION("""COMPUTED_VALUE"""),"Mind Link [Willpower] [Occult]")</f>
        <v>Mind Link [Willpower] [Occult]</v>
      </c>
      <c r="B708" s="202" t="str">
        <f>IFERROR(__xludf.DUMMYFUNCTION("""COMPUTED_VALUE"""),"Mind Mage, Expert Focus")</f>
        <v>Mind Mage, Expert Focus</v>
      </c>
      <c r="C708" s="202" t="str">
        <f>IFERROR(__xludf.DUMMYFUNCTION("""COMPUTED_VALUE"""),"Scene - Free Action")</f>
        <v>Scene - Free Action</v>
      </c>
      <c r="D708" s="202" t="str">
        <f>IFERROR(__xludf.DUMMYFUNCTION("""COMPUTED_VALUE"""),"Target: An Ally
Trigger: A Scene Starts
Effect: Choose an Attack, Ability or Capability you’ve gained from this Class and grant it to the Target until the end of the Scene.
Bonus: Choose to gain Courage or Vital Spirit")</f>
        <v>Target: An Ally
Trigger: A Scene Starts
Effect: Choose an Attack, Ability or Capability you’ve gained from this Class and grant it to the Target until the end of the Scene.
Bonus: Choose to gain Courage or Vital Spirit</v>
      </c>
      <c r="E708" s="203"/>
      <c r="F708" s="204"/>
      <c r="G708" s="204"/>
      <c r="H708" s="204"/>
      <c r="I708" s="204"/>
      <c r="J708" s="203"/>
      <c r="K708" s="205"/>
      <c r="L708" s="205"/>
      <c r="M708" s="205"/>
    </row>
    <row r="709">
      <c r="A709" s="202" t="str">
        <f>IFERROR(__xludf.DUMMYFUNCTION("""COMPUTED_VALUE"""),"Oracle [Occult]")</f>
        <v>Oracle [Occult]</v>
      </c>
      <c r="B709" s="202" t="str">
        <f>IFERROR(__xludf.DUMMYFUNCTION("""COMPUTED_VALUE"""),"Prerequisite 1: Mystic or Occult Researcher [or]
Prerequisite 2: Adept Intuition or Perception")</f>
        <v>Prerequisite 1: Mystic or Occult Researcher [or]
Prerequisite 2: Adept Intuition or Perception</v>
      </c>
      <c r="C709" s="202" t="str">
        <f>IFERROR(__xludf.DUMMYFUNCTION("""COMPUTED_VALUE"""),"At-Will - Swift Action")</f>
        <v>At-Will - Swift Action</v>
      </c>
      <c r="D709" s="202" t="str">
        <f>IFERROR(__xludf.DUMMYFUNCTION("""COMPUTED_VALUE"""),"Effect: Roll a d20 and keep a note of the result. The result may be added to your pool of Divination Dice
Bonus: At the start of each day, roll Xd20 and keep note of the result. These results are known as your Divination Dice. You can only have a Max of X"&amp;" Divination Dice at a time but you may choose to replace any of them whenever you would roll for another Divination Dice. X is equal to your Tier Level. Whenever a d20 would be rolled by a the user or a Combatant within 5m, you may expend one of your Divi"&amp;"nation Dice as a Free Action and treat that as the result instead. An Enemy can only be affected this way once per Scene.")</f>
        <v>Effect: Roll a d20 and keep a note of the result. The result may be added to your pool of Divination Dice
Bonus: At the start of each day, roll Xd20 and keep note of the result. These results are known as your Divination Dice. You can only have a Max of X Divination Dice at a time but you may choose to replace any of them whenever you would roll for another Divination Dice. X is equal to your Tier Level. Whenever a d20 would be rolled by a the user or a Combatant within 5m, you may expend one of your Divination Dice as a Free Action and treat that as the result instead. An Enemy can only be affected this way once per Scene.</v>
      </c>
      <c r="E709" s="203"/>
      <c r="F709" s="204"/>
      <c r="G709" s="204"/>
      <c r="H709" s="204"/>
      <c r="I709" s="204"/>
      <c r="J709" s="203"/>
      <c r="K709" s="205"/>
      <c r="L709" s="205"/>
      <c r="M709" s="205"/>
    </row>
    <row r="710">
      <c r="A710" s="202" t="str">
        <f>IFERROR(__xludf.DUMMYFUNCTION("""COMPUTED_VALUE"""),"Prophetic Insight [Occult]")</f>
        <v>Prophetic Insight [Occult]</v>
      </c>
      <c r="B710" s="202" t="str">
        <f>IFERROR(__xludf.DUMMYFUNCTION("""COMPUTED_VALUE"""),"Oracle, Novice Intuition or Perception")</f>
        <v>Oracle, Novice Intuition or Perception</v>
      </c>
      <c r="C710" s="202" t="str">
        <f>IFERROR(__xludf.DUMMYFUNCTION("""COMPUTED_VALUE"""),"Static")</f>
        <v>Static</v>
      </c>
      <c r="D710" s="202" t="str">
        <f>IFERROR(__xludf.DUMMYFUNCTION("""COMPUTED_VALUE"""),"Effect: You learn the Forewarn Ability. In addition, choose one Attack and Capability listed below to gain. When you have 5 Oracle Features, choose another Capability to gain.
» Cosmic Curse, Detect, Feint, Foresight, Mind Reader
» Blindsense, Divination,"&amp;" Premonition, Scrying, True Sight")</f>
        <v>Effect: You learn the Forewarn Ability. In addition, choose one Attack and Capability listed below to gain. When you have 5 Oracle Features, choose another Capability to gain.
» Cosmic Curse, Detect, Feint, Foresight, Mind Reader
» Blindsense, Divination, Premonition, Scrying, True Sight</v>
      </c>
      <c r="E710" s="203"/>
      <c r="F710" s="204"/>
      <c r="G710" s="204"/>
      <c r="H710" s="204"/>
      <c r="I710" s="204"/>
      <c r="J710" s="203"/>
      <c r="K710" s="205"/>
      <c r="L710" s="205"/>
      <c r="M710" s="205"/>
    </row>
    <row r="711">
      <c r="A711" s="202" t="str">
        <f>IFERROR(__xludf.DUMMYFUNCTION("""COMPUTED_VALUE"""),"Future Seer [Occult]")</f>
        <v>Future Seer [Occult]</v>
      </c>
      <c r="B711" s="202" t="str">
        <f>IFERROR(__xludf.DUMMYFUNCTION("""COMPUTED_VALUE"""),"Oracle, Adept Intuition or Perception")</f>
        <v>Oracle, Adept Intuition or Perception</v>
      </c>
      <c r="C711" s="202" t="str">
        <f>IFERROR(__xludf.DUMMYFUNCTION("""COMPUTED_VALUE"""),"At-Will - Reaction")</f>
        <v>At-Will - Reaction</v>
      </c>
      <c r="D711" s="202" t="str">
        <f>IFERROR(__xludf.DUMMYFUNCTION("""COMPUTED_VALUE"""),"Trigger: You or an Ally within 3m are Targeted by an Attack
Effect: After the Accuracy Roll is performed you may Trigger this Feature to have all Allied Targets of the Triggering Attack gain Evasion against it equal to double your Tier Level. If an Ally a"&amp;"ffected by this Feature expends a Reaction, it is treated as Uncapped. ")</f>
        <v>Trigger: You or an Ally within 3m are Targeted by an Attack
Effect: After the Accuracy Roll is performed you may Trigger this Feature to have all Allied Targets of the Triggering Attack gain Evasion against it equal to double your Tier Level. If an Ally affected by this Feature expends a Reaction, it is treated as Uncapped. </v>
      </c>
      <c r="E711" s="203"/>
      <c r="F711" s="204"/>
      <c r="G711" s="204"/>
      <c r="H711" s="204"/>
      <c r="I711" s="204"/>
      <c r="J711" s="203"/>
      <c r="K711" s="205"/>
      <c r="L711" s="205"/>
      <c r="M711" s="205"/>
    </row>
    <row r="712">
      <c r="A712" s="202" t="str">
        <f>IFERROR(__xludf.DUMMYFUNCTION("""COMPUTED_VALUE"""),"Forseen Tactics [Occult]")</f>
        <v>Forseen Tactics [Occult]</v>
      </c>
      <c r="B712" s="202" t="str">
        <f>IFERROR(__xludf.DUMMYFUNCTION("""COMPUTED_VALUE"""),"Oracle, Expert Intuition or Perception")</f>
        <v>Oracle, Expert Intuition or Perception</v>
      </c>
      <c r="C712" s="202" t="str">
        <f>IFERROR(__xludf.DUMMYFUNCTION("""COMPUTED_VALUE"""),"At-Will - Swift Action")</f>
        <v>At-Will - Swift Action</v>
      </c>
      <c r="D712" s="202" t="str">
        <f>IFERROR(__xludf.DUMMYFUNCTION("""COMPUTED_VALUE"""),"Target: An Enemy within 5m
Effect: Perform an Intuition or Perception Check opposed by the Target’s Combat. If you Succeed, the Target becomes Marked with a Fate Mark.
Bonus: The first time each Round that an Enemy with your Fate Mark would Trigger someth"&amp;"ing that uses a Reaction from you or an Ally, it may be used as a Free Action instead.")</f>
        <v>Target: An Enemy within 5m
Effect: Perform an Intuition or Perception Check opposed by the Target’s Combat. If you Succeed, the Target becomes Marked with a Fate Mark.
Bonus: The first time each Round that an Enemy with your Fate Mark would Trigger something that uses a Reaction from you or an Ally, it may be used as a Free Action instead.</v>
      </c>
      <c r="E712" s="203"/>
      <c r="F712" s="204"/>
      <c r="G712" s="204"/>
      <c r="H712" s="204"/>
      <c r="I712" s="204"/>
      <c r="J712" s="203"/>
      <c r="K712" s="205"/>
      <c r="L712" s="205"/>
      <c r="M712" s="205"/>
    </row>
    <row r="713">
      <c r="A713" s="202" t="str">
        <f>IFERROR(__xludf.DUMMYFUNCTION("""COMPUTED_VALUE"""),"Fate Weaving [Occult]")</f>
        <v>Fate Weaving [Occult]</v>
      </c>
      <c r="B713" s="202" t="str">
        <f>IFERROR(__xludf.DUMMYFUNCTION("""COMPUTED_VALUE"""),"Oracle, Master Intuition or Perception")</f>
        <v>Oracle, Master Intuition or Perception</v>
      </c>
      <c r="C713" s="202" t="str">
        <f>IFERROR(__xludf.DUMMYFUNCTION("""COMPUTED_VALUE"""),"Static")</f>
        <v>Static</v>
      </c>
      <c r="D713" s="202" t="str">
        <f>IFERROR(__xludf.DUMMYFUNCTION("""COMPUTED_VALUE"""),"Effect: At the start of the Scene, a Fate Blessing enters the field with 3 Activations. The Blessing can have an Activation expended for any of the following effects:
» You may use the Oracle Feature as a Free Action once this Turn.
» When an Attack would"&amp;" miss, it instead hits.
» Whenever a Save check or Skill check (In combat) fails, it may be rerolled.")</f>
        <v>Effect: At the start of the Scene, a Fate Blessing enters the field with 3 Activations. The Blessing can have an Activation expended for any of the following effects:
» You may use the Oracle Feature as a Free Action once this Turn.
» When an Attack would miss, it instead hits.
» Whenever a Save check or Skill check (In combat) fails, it may be rerolled.</v>
      </c>
      <c r="E713" s="203"/>
      <c r="F713" s="204"/>
      <c r="G713" s="204"/>
      <c r="H713" s="204"/>
      <c r="I713" s="204"/>
      <c r="J713" s="203"/>
      <c r="K713" s="205"/>
      <c r="L713" s="205"/>
      <c r="M713" s="205"/>
    </row>
    <row r="714">
      <c r="A714" s="202" t="str">
        <f>IFERROR(__xludf.DUMMYFUNCTION("""COMPUTED_VALUE"""),"Rune Master [Occult]")</f>
        <v>Rune Master [Occult]</v>
      </c>
      <c r="B714" s="202" t="str">
        <f>IFERROR(__xludf.DUMMYFUNCTION("""COMPUTED_VALUE"""),"Prerequisite 1: Mystic or Occult Researcher [or]
Prerequisite 2: Adept Occult Edu ")</f>
        <v>Prerequisite 1: Mystic or Occult Researcher [or]
Prerequisite 2: Adept Occult Edu </v>
      </c>
      <c r="C714" s="202" t="str">
        <f>IFERROR(__xludf.DUMMYFUNCTION("""COMPUTED_VALUE"""),"At-Will - Extended Action")</f>
        <v>At-Will - Extended Action</v>
      </c>
      <c r="D714" s="202" t="str">
        <f>IFERROR(__xludf.DUMMYFUNCTION("""COMPUTED_VALUE"""),"Effect: As a Crafting Downtime Action, you may expend any number of Counters in your Unown Vortex to create Runes listed on the next page. For the sake of Crafting Rules, each Counter spent is considered $500 worth of crafting.
Bonus: At the Start of each"&amp;" day or as a Downtime Action perform an Occult Edu Check and add Counters to your Unown Vortex equal to double the Successes.")</f>
        <v>Effect: As a Crafting Downtime Action, you may expend any number of Counters in your Unown Vortex to create Runes listed on the next page. For the sake of Crafting Rules, each Counter spent is considered $500 worth of crafting.
Bonus: At the Start of each day or as a Downtime Action perform an Occult Edu Check and add Counters to your Unown Vortex equal to double the Successes.</v>
      </c>
      <c r="E714" s="203"/>
      <c r="F714" s="204"/>
      <c r="G714" s="204"/>
      <c r="H714" s="204"/>
      <c r="I714" s="204"/>
      <c r="J714" s="203"/>
      <c r="K714" s="205"/>
      <c r="L714" s="205"/>
      <c r="M714" s="205"/>
    </row>
    <row r="715">
      <c r="A715" s="202" t="str">
        <f>IFERROR(__xludf.DUMMYFUNCTION("""COMPUTED_VALUE"""),"Power Refresh [Occult]")</f>
        <v>Power Refresh [Occult]</v>
      </c>
      <c r="B715" s="202" t="str">
        <f>IFERROR(__xludf.DUMMYFUNCTION("""COMPUTED_VALUE"""),"Rune Master, Novice Occult Edu")</f>
        <v>Rune Master, Novice Occult Edu</v>
      </c>
      <c r="C715" s="202" t="str">
        <f>IFERROR(__xludf.DUMMYFUNCTION("""COMPUTED_VALUE"""),"At-Will - Special")</f>
        <v>At-Will - Special</v>
      </c>
      <c r="D715" s="202" t="str">
        <f>IFERROR(__xludf.DUMMYFUNCTION("""COMPUTED_VALUE"""),"Effect: Expend any number of Actions below and to gain the listed number of Counters. Then expend the gained Counters to create any number of Battle Runes. Any excess Counters not used are removed and not added to your Unown Vortex.
» Standard - 6 Counter"&amp;"s
» Swift, Movement or Reaction - 2 Counters")</f>
        <v>Effect: Expend any number of Actions below and to gain the listed number of Counters. Then expend the gained Counters to create any number of Battle Runes. Any excess Counters not used are removed and not added to your Unown Vortex.
» Standard - 6 Counters
» Swift, Movement or Reaction - 2 Counters</v>
      </c>
      <c r="E715" s="203"/>
      <c r="F715" s="204"/>
      <c r="G715" s="204"/>
      <c r="H715" s="204"/>
      <c r="I715" s="204"/>
      <c r="J715" s="203"/>
      <c r="K715" s="205"/>
      <c r="L715" s="205"/>
      <c r="M715" s="205"/>
    </row>
    <row r="716">
      <c r="A716" s="202" t="str">
        <f>IFERROR(__xludf.DUMMYFUNCTION("""COMPUTED_VALUE"""),"Runic Attunement [Occult]")</f>
        <v>Runic Attunement [Occult]</v>
      </c>
      <c r="B716" s="202" t="str">
        <f>IFERROR(__xludf.DUMMYFUNCTION("""COMPUTED_VALUE"""),"Rune Master, Adept Occult Edu")</f>
        <v>Rune Master, Adept Occult Edu</v>
      </c>
      <c r="C716" s="202" t="str">
        <f>IFERROR(__xludf.DUMMYFUNCTION("""COMPUTED_VALUE"""),"Bind 1 - Extended Action")</f>
        <v>Bind 1 - Extended Action</v>
      </c>
      <c r="D716" s="202" t="str">
        <f>IFERROR(__xludf.DUMMYFUNCTION("""COMPUTED_VALUE"""),"Target: A Rune Item
Effect: The Targeted Item gains the [Equipment] Tag. While equipped, the [Consumable] Tag is ignored. Binding this Feature requires a Downtime Action or a substantial amount of time.")</f>
        <v>Target: A Rune Item
Effect: The Targeted Item gains the [Equipment] Tag. While equipped, the [Consumable] Tag is ignored. Binding this Feature requires a Downtime Action or a substantial amount of time.</v>
      </c>
      <c r="E716" s="203"/>
      <c r="F716" s="204"/>
      <c r="G716" s="204"/>
      <c r="H716" s="204"/>
      <c r="I716" s="204"/>
      <c r="J716" s="203"/>
      <c r="K716" s="205"/>
      <c r="L716" s="205"/>
      <c r="M716" s="205"/>
    </row>
    <row r="717">
      <c r="A717" s="202" t="str">
        <f>IFERROR(__xludf.DUMMYFUNCTION("""COMPUTED_VALUE"""),"Runic Efficiency [Occult]")</f>
        <v>Runic Efficiency [Occult]</v>
      </c>
      <c r="B717" s="202" t="str">
        <f>IFERROR(__xludf.DUMMYFUNCTION("""COMPUTED_VALUE"""),"Rune Master, Expert Occult Edu")</f>
        <v>Rune Master, Expert Occult Edu</v>
      </c>
      <c r="C717" s="202" t="str">
        <f>IFERROR(__xludf.DUMMYFUNCTION("""COMPUTED_VALUE"""),"Scene x2 - Swift Action")</f>
        <v>Scene x2 - Swift Action</v>
      </c>
      <c r="D717" s="202" t="str">
        <f>IFERROR(__xludf.DUMMYFUNCTION("""COMPUTED_VALUE"""),"Effect: Choose a Rune in your Inventory. You may use it immediately as a Free Action. A Combatant can only be affected by a Rune this way once per Scene. You cannot use this Feature if you used a Damaging Attack this Round, nor can you use a Damaging Atta"&amp;"ck the rest of the Round if you use this Feature.")</f>
        <v>Effect: Choose a Rune in your Inventory. You may use it immediately as a Free Action. A Combatant can only be affected by a Rune this way once per Scene. You cannot use this Feature if you used a Damaging Attack this Round, nor can you use a Damaging Attack the rest of the Round if you use this Feature.</v>
      </c>
      <c r="E717" s="203"/>
      <c r="F717" s="204"/>
      <c r="G717" s="204"/>
      <c r="H717" s="204"/>
      <c r="I717" s="204"/>
      <c r="J717" s="203"/>
      <c r="K717" s="205"/>
      <c r="L717" s="205"/>
      <c r="M717" s="205"/>
    </row>
    <row r="718">
      <c r="A718" s="202" t="str">
        <f>IFERROR(__xludf.DUMMYFUNCTION("""COMPUTED_VALUE"""),"Advanced Glyphs [Occult]")</f>
        <v>Advanced Glyphs [Occult]</v>
      </c>
      <c r="B718" s="202" t="str">
        <f>IFERROR(__xludf.DUMMYFUNCTION("""COMPUTED_VALUE"""),"Rune Master, Master Occult Edu")</f>
        <v>Rune Master, Master Occult Edu</v>
      </c>
      <c r="C718" s="202" t="str">
        <f>IFERROR(__xludf.DUMMYFUNCTION("""COMPUTED_VALUE"""),"Scene x3 - Swift Action")</f>
        <v>Scene x3 - Swift Action</v>
      </c>
      <c r="D718" s="202" t="str">
        <f>IFERROR(__xludf.DUMMYFUNCTION("""COMPUTED_VALUE"""),"Trigger: You use a Battle Rune
Effect: You may apply the Triggering Item’s listed Advanced Effect.
Bonus: Your Utility Runes benefit from its listed Advanced Effect.")</f>
        <v>Trigger: You use a Battle Rune
Effect: You may apply the Triggering Item’s listed Advanced Effect.
Bonus: Your Utility Runes benefit from its listed Advanced Effect.</v>
      </c>
      <c r="E718" s="203"/>
      <c r="F718" s="204"/>
      <c r="G718" s="204"/>
      <c r="H718" s="204"/>
      <c r="I718" s="204"/>
      <c r="J718" s="203"/>
      <c r="K718" s="205"/>
      <c r="L718" s="205"/>
      <c r="M718" s="205"/>
    </row>
    <row r="719">
      <c r="A719" s="202" t="str">
        <f>IFERROR(__xludf.DUMMYFUNCTION("""COMPUTED_VALUE"""),"Spirit Caller [Occult]")</f>
        <v>Spirit Caller [Occult]</v>
      </c>
      <c r="B719" s="202" t="str">
        <f>IFERROR(__xludf.DUMMYFUNCTION("""COMPUTED_VALUE"""),"Prerequisite 1: Mystic or Occult Researcher [or]
Prerequisite 2: Adept Occult Edu or Poke Edu")</f>
        <v>Prerequisite 1: Mystic or Occult Researcher [or]
Prerequisite 2: Adept Occult Edu or Poke Edu</v>
      </c>
      <c r="C719" s="202" t="str">
        <f>IFERROR(__xludf.DUMMYFUNCTION("""COMPUTED_VALUE"""),"Static")</f>
        <v>Static</v>
      </c>
      <c r="D719" s="202" t="str">
        <f>IFERROR(__xludf.DUMMYFUNCTION("""COMPUTED_VALUE"""),"Effect: Choose a Spirit Partner on the next page. You may use any of their listed non-Signature Attacks as if they were on your Attack List. As an Extended Action, you can summon your chosen Spirit Partner to assist in the Scene you’re in through Skill Ch"&amp;"ecks or their Capabilities. They cannot assist in any other way or be captured and disappear after the Scene is concluded.")</f>
        <v>Effect: Choose a Spirit Partner on the next page. You may use any of their listed non-Signature Attacks as if they were on your Attack List. As an Extended Action, you can summon your chosen Spirit Partner to assist in the Scene you’re in through Skill Checks or their Capabilities. They cannot assist in any other way or be captured and disappear after the Scene is concluded.</v>
      </c>
      <c r="E719" s="203"/>
      <c r="F719" s="204"/>
      <c r="G719" s="204"/>
      <c r="H719" s="204"/>
      <c r="I719" s="204"/>
      <c r="J719" s="203"/>
      <c r="K719" s="205"/>
      <c r="L719" s="205"/>
      <c r="M719" s="205"/>
    </row>
    <row r="720">
      <c r="A720" s="202" t="str">
        <f>IFERROR(__xludf.DUMMYFUNCTION("""COMPUTED_VALUE"""),"Spirit Summon [Occult]")</f>
        <v>Spirit Summon [Occult]</v>
      </c>
      <c r="B720" s="202" t="str">
        <f>IFERROR(__xludf.DUMMYFUNCTION("""COMPUTED_VALUE"""),"Spirit Caller, Novice Occult Edu or
Poke Edu")</f>
        <v>Spirit Caller, Novice Occult Edu or
Poke Edu</v>
      </c>
      <c r="C720" s="202" t="str">
        <f>IFERROR(__xludf.DUMMYFUNCTION("""COMPUTED_VALUE"""),"Scene x3 - Free Action")</f>
        <v>Scene x3 - Free Action</v>
      </c>
      <c r="D720" s="202" t="str">
        <f>IFERROR(__xludf.DUMMYFUNCTION("""COMPUTED_VALUE"""),"Effect: Choose an unoccupied space within 5m to create a Spirit Hazard. Any Effects or Attacks derived from your Spirit Caller Features may originate from the space your Spirit Hazard occupies. If your Spirit Hazard is Targeted with a Damaging Attack, it "&amp;"is destroyed. As a Movement Action, you can Slide a Spirit Hazard up to 4m.")</f>
        <v>Effect: Choose an unoccupied space within 5m to create a Spirit Hazard. Any Effects or Attacks derived from your Spirit Caller Features may originate from the space your Spirit Hazard occupies. If your Spirit Hazard is Targeted with a Damaging Attack, it is destroyed. As a Movement Action, you can Slide a Spirit Hazard up to 4m.</v>
      </c>
      <c r="E720" s="203"/>
      <c r="F720" s="204"/>
      <c r="G720" s="204"/>
      <c r="H720" s="204"/>
      <c r="I720" s="204"/>
      <c r="J720" s="203"/>
      <c r="K720" s="205"/>
      <c r="L720" s="205"/>
      <c r="M720" s="205"/>
    </row>
    <row r="721">
      <c r="A721" s="202" t="str">
        <f>IFERROR(__xludf.DUMMYFUNCTION("""COMPUTED_VALUE"""),"Spiritual Aid [Occult]")</f>
        <v>Spiritual Aid [Occult]</v>
      </c>
      <c r="B721" s="202" t="str">
        <f>IFERROR(__xludf.DUMMYFUNCTION("""COMPUTED_VALUE"""),"Spirit Caller, Adept Occult Edu or Poke Edu")</f>
        <v>Spirit Caller, Adept Occult Edu or Poke Edu</v>
      </c>
      <c r="C721" s="202" t="str">
        <f>IFERROR(__xludf.DUMMYFUNCTION("""COMPUTED_VALUE"""),"Bind 1 - Extended Action")</f>
        <v>Bind 1 - Extended Action</v>
      </c>
      <c r="D721" s="202" t="str">
        <f>IFERROR(__xludf.DUMMYFUNCTION("""COMPUTED_VALUE"""),"Effect: Choose a non (Signature) Attack from any Spirit Partner. This Attack can always be used regardless of your current Spirit Partner. At Tier 3, this Feature becomes Bind 2 - Extended Action.")</f>
        <v>Effect: Choose a non (Signature) Attack from any Spirit Partner. This Attack can always be used regardless of your current Spirit Partner. At Tier 3, this Feature becomes Bind 2 - Extended Action.</v>
      </c>
      <c r="E721" s="203"/>
      <c r="F721" s="204"/>
      <c r="G721" s="204"/>
      <c r="H721" s="204"/>
      <c r="I721" s="204"/>
      <c r="J721" s="203"/>
      <c r="K721" s="205"/>
      <c r="L721" s="205"/>
      <c r="M721" s="205"/>
    </row>
    <row r="722">
      <c r="A722" s="202" t="str">
        <f>IFERROR(__xludf.DUMMYFUNCTION("""COMPUTED_VALUE"""),"Strengthened Spirit [Occult]")</f>
        <v>Strengthened Spirit [Occult]</v>
      </c>
      <c r="B722" s="202" t="str">
        <f>IFERROR(__xludf.DUMMYFUNCTION("""COMPUTED_VALUE"""),"Spirit Caller, Expert Occult Edu or")</f>
        <v>Spirit Caller, Expert Occult Edu or</v>
      </c>
      <c r="C722" s="202" t="str">
        <f>IFERROR(__xludf.DUMMYFUNCTION("""COMPUTED_VALUE"""),"Static")</f>
        <v>Static</v>
      </c>
      <c r="D722" s="202" t="str">
        <f>IFERROR(__xludf.DUMMYFUNCTION("""COMPUTED_VALUE"""),"Effect: While Spirit Caller is bound, you benefit from the listed Partner Bonus on your Spirit Partner. When you bind Spirit Caller, choose one of their [Signature] Attacks. You may use the chosen Attack as if it were on your Attack List.")</f>
        <v>Effect: While Spirit Caller is bound, you benefit from the listed Partner Bonus on your Spirit Partner. When you bind Spirit Caller, choose one of their [Signature] Attacks. You may use the chosen Attack as if it were on your Attack List.</v>
      </c>
      <c r="E722" s="203"/>
      <c r="F722" s="204"/>
      <c r="G722" s="204"/>
      <c r="H722" s="204"/>
      <c r="I722" s="204"/>
      <c r="J722" s="203"/>
      <c r="K722" s="205"/>
      <c r="L722" s="205"/>
      <c r="M722" s="205"/>
    </row>
    <row r="723">
      <c r="A723" s="202" t="str">
        <f>IFERROR(__xludf.DUMMYFUNCTION("""COMPUTED_VALUE"""),"Spectral Swarm [Occult]")</f>
        <v>Spectral Swarm [Occult]</v>
      </c>
      <c r="B723" s="202" t="str">
        <f>IFERROR(__xludf.DUMMYFUNCTION("""COMPUTED_VALUE"""),"Spirit Caller, Master Occult Edu or Poke Edu")</f>
        <v>Spirit Caller, Master Occult Edu or Poke Edu</v>
      </c>
      <c r="C723" s="202" t="str">
        <f>IFERROR(__xludf.DUMMYFUNCTION("""COMPUTED_VALUE"""),"Static")</f>
        <v>Static</v>
      </c>
      <c r="D723" s="202" t="str">
        <f>IFERROR(__xludf.DUMMYFUNCTION("""COMPUTED_VALUE"""),"Effect: At the start of the Scene, perform an Occult Edu or Poke Edu Check. You gain Spirit Tokens equal to the number of Successes. Once per Round, you may expend Spirit Tokens to perform any one of the following as a Free Action.
» 1 Token - Create a Sp"&amp;"irit Hazard
» 1 Token - Use a Status Attack from Spirit Caller through the
Versatile Keyword
» 2 Tokens - Use a Status Attack from Spirit Caller
» 4 Tokens - Use a Damaging Attack from Spirit Caller")</f>
        <v>Effect: At the start of the Scene, perform an Occult Edu or Poke Edu Check. You gain Spirit Tokens equal to the number of Successes. Once per Round, you may expend Spirit Tokens to perform any one of the following as a Free Action.
» 1 Token - Create a Spirit Hazard
» 1 Token - Use a Status Attack from Spirit Caller through the
Versatile Keyword
» 2 Tokens - Use a Status Attack from Spirit Caller
» 4 Tokens - Use a Damaging Attack from Spirit Caller</v>
      </c>
      <c r="E723" s="203"/>
      <c r="F723" s="204"/>
      <c r="G723" s="204"/>
      <c r="H723" s="204"/>
      <c r="I723" s="204"/>
      <c r="J723" s="203"/>
      <c r="K723" s="205"/>
      <c r="L723" s="205"/>
      <c r="M723" s="205"/>
    </row>
    <row r="724">
      <c r="A724" s="202" t="str">
        <f>IFERROR(__xludf.DUMMYFUNCTION("""COMPUTED_VALUE"""),"Tempest Mage [Occult]")</f>
        <v>Tempest Mage [Occult]</v>
      </c>
      <c r="B724" s="202" t="str">
        <f>IFERROR(__xludf.DUMMYFUNCTION("""COMPUTED_VALUE"""),"Prerequisite 1: Mystic or Occult Researcher [or]
Prerequisite 2: Adept General Edu or Nature Edu")</f>
        <v>Prerequisite 1: Mystic or Occult Researcher [or]
Prerequisite 2: Adept General Edu or Nature Edu</v>
      </c>
      <c r="C724" s="202" t="str">
        <f>IFERROR(__xludf.DUMMYFUNCTION("""COMPUTED_VALUE"""),"Static")</f>
        <v>Static</v>
      </c>
      <c r="D724" s="202" t="str">
        <f>IFERROR(__xludf.DUMMYFUNCTION("""COMPUTED_VALUE"""),"Effect: Choose a Weather listed below to become your Linked Weather. You learn two Attacks from the options listed next to your Linked Weather. Each Linked Weather is also associated with a Types listed in Parenthesis
Weather Choices 
» Windy - Heavy Win"&amp;"ds, Tailwind, Wind Storm (Flying)
» Foggy - Dark Fog, New Moon, Ripping Abyss, Shadow Realm (Dark)
» Mystical - Fey Storm, Glittering Mist, Psionic Surge, Psychic Storm
(Fairy)
» Sunny - Blazing Sun, Blinding Radiance, Sunny Day, Solstice Dance
(Fire)
» S"&amp;"nowy - Hail, Mist, Snowstorm (Ice)
» Rainy - Rain Dance, Torrential Typhoon (Water)
» Thunderstorm - Plasma Storm, Thunderstorm (Electric)
» Sandstorm - Diamond Dust, Dust Storm, Dusty Day, Sandstorm (Rock)")</f>
        <v>Effect: Choose a Weather listed below to become your Linked Weather. You learn two Attacks from the options listed next to your Linked Weather. Each Linked Weather is also associated with a Types listed in Parenthesis
Weather Choices 
» Windy - Heavy Winds, Tailwind, Wind Storm (Flying)
» Foggy - Dark Fog, New Moon, Ripping Abyss, Shadow Realm (Dark)
» Mystical - Fey Storm, Glittering Mist, Psionic Surge, Psychic Storm
(Fairy)
» Sunny - Blazing Sun, Blinding Radiance, Sunny Day, Solstice Dance
(Fire)
» Snowy - Hail, Mist, Snowstorm (Ice)
» Rainy - Rain Dance, Torrential Typhoon (Water)
» Thunderstorm - Plasma Storm, Thunderstorm (Electric)
» Sandstorm - Diamond Dust, Dust Storm, Dusty Day, Sandstorm (Rock)</v>
      </c>
      <c r="E724" s="203"/>
      <c r="F724" s="204"/>
      <c r="G724" s="204"/>
      <c r="H724" s="204"/>
      <c r="I724" s="204"/>
      <c r="J724" s="203"/>
      <c r="K724" s="205"/>
      <c r="L724" s="205"/>
      <c r="M724" s="205"/>
    </row>
    <row r="725">
      <c r="A725" s="202" t="str">
        <f>IFERROR(__xludf.DUMMYFUNCTION("""COMPUTED_VALUE"""),"Localized Storm [Occult]")</f>
        <v>Localized Storm [Occult]</v>
      </c>
      <c r="B725" s="202" t="str">
        <f>IFERROR(__xludf.DUMMYFUNCTION("""COMPUTED_VALUE"""),"Tempest Mage, Novice General Edu or
Nature Edu")</f>
        <v>Tempest Mage, Novice General Edu or
Nature Edu</v>
      </c>
      <c r="C725" s="202" t="str">
        <f>IFERROR(__xludf.DUMMYFUNCTION("""COMPUTED_VALUE"""),"At-Will - Swift or Movement Action")</f>
        <v>At-Will - Swift or Movement Action</v>
      </c>
      <c r="D725" s="202" t="str">
        <f>IFERROR(__xludf.DUMMYFUNCTION("""COMPUTED_VALUE"""),"Effect: Create a 3x3 Weather Zone within 10m. In this Zone, the Weather is treated as your Linked Weather and all other Weather on the Field is ignored in that Zone. You can only have a maximum of X Weather Zones at a time, where X is equal to the number "&amp;"of Tempest Mage Features you have, but you may remove an existing Weather Zone at any time.")</f>
        <v>Effect: Create a 3x3 Weather Zone within 10m. In this Zone, the Weather is treated as your Linked Weather and all other Weather on the Field is ignored in that Zone. You can only have a maximum of X Weather Zones at a time, where X is equal to the number of Tempest Mage Features you have, but you may remove an existing Weather Zone at any time.</v>
      </c>
      <c r="E725" s="203"/>
      <c r="F725" s="204"/>
      <c r="G725" s="204"/>
      <c r="H725" s="204"/>
      <c r="I725" s="204"/>
      <c r="J725" s="203"/>
      <c r="K725" s="205"/>
      <c r="L725" s="205"/>
      <c r="M725" s="205"/>
    </row>
    <row r="726">
      <c r="A726" s="202" t="str">
        <f>IFERROR(__xludf.DUMMYFUNCTION("""COMPUTED_VALUE"""),"Weather Variance [Occult]")</f>
        <v>Weather Variance [Occult]</v>
      </c>
      <c r="B726" s="202" t="str">
        <f>IFERROR(__xludf.DUMMYFUNCTION("""COMPUTED_VALUE"""),"Tempest Mage, Localized Storm, Adept General
Edu or Nature Edu")</f>
        <v>Tempest Mage, Localized Storm, Adept General
Edu or Nature Edu</v>
      </c>
      <c r="C726" s="202" t="str">
        <f>IFERROR(__xludf.DUMMYFUNCTION("""COMPUTED_VALUE"""),"At-Will - Free Action")</f>
        <v>At-Will - Free Action</v>
      </c>
      <c r="D726" s="202" t="str">
        <f>IFERROR(__xludf.DUMMYFUNCTION("""COMPUTED_VALUE"""),"Trigger: You create a Weather Zone
Effect: Choose an Effect below to apply to the Triggering Weather Zone.
» Blissful - Combatants that end their Turn in this Zone gain a Tick of Temporary Hit Points. If their Type (Or Elemental Affinity) matches the ass"&amp;"ociated Type of your LInked Weather, they also restore a Tick of Hit Points.
» Chaotic - At the end of the Round, you may Slide any number of Combatants in this Zone up to 3m. This is also considered Slow Terrain.
» Dense - Spaces in this Zone are treated"&amp;" as Smoke Hazards (See Smokescreen)
» Wrathful - Whenever an Enemy starts or ends their Turn in this Zone, they lose a Tick of Hit Points.")</f>
        <v>Trigger: You create a Weather Zone
Effect: Choose an Effect below to apply to the Triggering Weather Zone.
» Blissful - Combatants that end their Turn in this Zone gain a Tick of Temporary Hit Points. If their Type (Or Elemental Affinity) matches the associated Type of your LInked Weather, they also restore a Tick of Hit Points.
» Chaotic - At the end of the Round, you may Slide any number of Combatants in this Zone up to 3m. This is also considered Slow Terrain.
» Dense - Spaces in this Zone are treated as Smoke Hazards (See Smokescreen)
» Wrathful - Whenever an Enemy starts or ends their Turn in this Zone, they lose a Tick of Hit Points.</v>
      </c>
      <c r="E726" s="203"/>
      <c r="F726" s="204"/>
      <c r="G726" s="204"/>
      <c r="H726" s="204"/>
      <c r="I726" s="204"/>
      <c r="J726" s="203"/>
      <c r="K726" s="205"/>
      <c r="L726" s="205"/>
      <c r="M726" s="205"/>
    </row>
    <row r="727">
      <c r="A727" s="202" t="str">
        <f>IFERROR(__xludf.DUMMYFUNCTION("""COMPUTED_VALUE"""),"Tactical Tempest [Occult]")</f>
        <v>Tactical Tempest [Occult]</v>
      </c>
      <c r="B727" s="202" t="str">
        <f>IFERROR(__xludf.DUMMYFUNCTION("""COMPUTED_VALUE"""),"Tempest Mage, Localized Storm, Expert
General Edu or Nature Edu")</f>
        <v>Tempest Mage, Localized Storm, Expert
General Edu or Nature Edu</v>
      </c>
      <c r="C727" s="202" t="str">
        <f>IFERROR(__xludf.DUMMYFUNCTION("""COMPUTED_VALUE"""),"Scene x2 - Swift Action or Reaction")</f>
        <v>Scene x2 - Swift Action or Reaction</v>
      </c>
      <c r="D727" s="202" t="str">
        <f>IFERROR(__xludf.DUMMYFUNCTION("""COMPUTED_VALUE"""),"Trigger: You or an Ally within a Weather Zone uses an Attack
Effect: Choose an Effect below to apply:
» The Type of the Triggering Attack is shifted to the associated Type of your Linked Weather
» The Targets cannot apply Speed Evasion against it.
» If t"&amp;"he Triggering Attack matches the associated Type of the Linked Weather, it gains the Sureshot Keyword.
Bonus: You learn the Weather Ball Attack.")</f>
        <v>Trigger: You or an Ally within a Weather Zone uses an Attack
Effect: Choose an Effect below to apply:
» The Type of the Triggering Attack is shifted to the associated Type of your Linked Weather
» The Targets cannot apply Speed Evasion against it.
» If the Triggering Attack matches the associated Type of the Linked Weather, it gains the Sureshot Keyword.
Bonus: You learn the Weather Ball Attack.</v>
      </c>
      <c r="E727" s="203"/>
      <c r="F727" s="204"/>
      <c r="G727" s="204"/>
      <c r="H727" s="204"/>
      <c r="I727" s="204"/>
      <c r="J727" s="203"/>
      <c r="K727" s="205"/>
      <c r="L727" s="205"/>
      <c r="M727" s="205"/>
    </row>
    <row r="728">
      <c r="A728" s="202" t="str">
        <f>IFERROR(__xludf.DUMMYFUNCTION("""COMPUTED_VALUE"""),"Surging Squall [Occult]")</f>
        <v>Surging Squall [Occult]</v>
      </c>
      <c r="B728" s="202" t="str">
        <f>IFERROR(__xludf.DUMMYFUNCTION("""COMPUTED_VALUE"""),"Tempest Mage, Localized Storm, Master General
Edu or Nature Edu")</f>
        <v>Tempest Mage, Localized Storm, Master General
Edu or Nature Edu</v>
      </c>
      <c r="C728" s="202" t="str">
        <f>IFERROR(__xludf.DUMMYFUNCTION("""COMPUTED_VALUE"""),"Scene x2 - Standard Action")</f>
        <v>Scene x2 - Standard Action</v>
      </c>
      <c r="D728" s="202" t="str">
        <f>IFERROR(__xludf.DUMMYFUNCTION("""COMPUTED_VALUE"""),"Target: A Weather Zone
Effect: Choose a Damaging Attack from you or an Ally within the Targeted Zone. They may use that Attack as a Free Action, ignoring Range, but they may choose any number of Enemies within the Targeted Zone to be Targeted by the Attac"&amp;"k. The chosen Attack’s Type is automatically shifted into the associated Type of the Weather in the Targeted Zone.
Bonus: As an Extended Action or Standard Action, you may choose a different Weather to become your Linked Weather. If you do so, Attacks lea"&amp;"rned through the Tempest Mage Feature are swapped.")</f>
        <v>Target: A Weather Zone
Effect: Choose a Damaging Attack from you or an Ally within the Targeted Zone. They may use that Attack as a Free Action, ignoring Range, but they may choose any number of Enemies within the Targeted Zone to be Targeted by the Attack. The chosen Attack’s Type is automatically shifted into the associated Type of the Weather in the Targeted Zone.
Bonus: As an Extended Action or Standard Action, you may choose a different Weather to become your Linked Weather. If you do so, Attacks learned through the Tempest Mage Feature are swapped.</v>
      </c>
      <c r="E728" s="203"/>
      <c r="F728" s="204"/>
      <c r="G728" s="204"/>
      <c r="H728" s="204"/>
      <c r="I728" s="204"/>
      <c r="J728" s="203"/>
      <c r="K728" s="205"/>
      <c r="L728" s="205"/>
      <c r="M728" s="205"/>
    </row>
    <row r="729">
      <c r="A729" s="202" t="str">
        <f>IFERROR(__xludf.DUMMYFUNCTION("""COMPUTED_VALUE"""),"Warper [Occult]")</f>
        <v>Warper [Occult]</v>
      </c>
      <c r="B729" s="202" t="str">
        <f>IFERROR(__xludf.DUMMYFUNCTION("""COMPUTED_VALUE"""),"Prerequisite 1: Mystic or Occult Researcher [or]
Prerequisite 2: Adept Focus or Occult Edu")</f>
        <v>Prerequisite 1: Mystic or Occult Researcher [or]
Prerequisite 2: Adept Focus or Occult Edu</v>
      </c>
      <c r="C729" s="202" t="str">
        <f>IFERROR(__xludf.DUMMYFUNCTION("""COMPUTED_VALUE"""),"Static")</f>
        <v>Static</v>
      </c>
      <c r="D729" s="202" t="str">
        <f>IFERROR(__xludf.DUMMYFUNCTION("""COMPUTED_VALUE"""),"Effect: You learn the Teleport Attack and gain the Teleporter Capability. You may use the Teleport Attack as a Standard or Reaction instead of Standard + Reaction. You do not need to use a Swift Action when using the Teleporter Capability")</f>
        <v>Effect: You learn the Teleport Attack and gain the Teleporter Capability. You may use the Teleport Attack as a Standard or Reaction instead of Standard + Reaction. You do not need to use a Swift Action when using the Teleporter Capability</v>
      </c>
      <c r="E729" s="203"/>
      <c r="F729" s="204"/>
      <c r="G729" s="204"/>
      <c r="H729" s="204"/>
      <c r="I729" s="204"/>
      <c r="J729" s="203"/>
      <c r="K729" s="205"/>
      <c r="L729" s="205"/>
      <c r="M729" s="205"/>
    </row>
    <row r="730">
      <c r="A730" s="202" t="str">
        <f>IFERROR(__xludf.DUMMYFUNCTION("""COMPUTED_VALUE"""),"Dimensional Link [Occult]")</f>
        <v>Dimensional Link [Occult]</v>
      </c>
      <c r="B730" s="202" t="str">
        <f>IFERROR(__xludf.DUMMYFUNCTION("""COMPUTED_VALUE"""),"Warper, Novice Focus or Occult Edu")</f>
        <v>Warper, Novice Focus or Occult Edu</v>
      </c>
      <c r="C730" s="202" t="str">
        <f>IFERROR(__xludf.DUMMYFUNCTION("""COMPUTED_VALUE"""),"Bind X - Extended Action")</f>
        <v>Bind X - Extended Action</v>
      </c>
      <c r="D730" s="202" t="str">
        <f>IFERROR(__xludf.DUMMYFUNCTION("""COMPUTED_VALUE"""),"Target: An Item
Effect: The Targeted Item becomes Linked while Bound, regardless of distance. X is equal to the number of Warper Features you have.
Bonus: As a Swift Action, you may choose one of your Linked Items and it is either added to an Empty Invent"&amp;"ory Slot or an Empty Equipment Slot on yourself or an Adjacent Ally. If an Enemy possesses the chosen Item, an opposed check is required.")</f>
        <v>Target: An Item
Effect: The Targeted Item becomes Linked while Bound, regardless of distance. X is equal to the number of Warper Features you have.
Bonus: As a Swift Action, you may choose one of your Linked Items and it is either added to an Empty Inventory Slot or an Empty Equipment Slot on yourself or an Adjacent Ally. If an Enemy possesses the chosen Item, an opposed check is required.</v>
      </c>
      <c r="E730" s="203"/>
      <c r="F730" s="204"/>
      <c r="G730" s="204"/>
      <c r="H730" s="204"/>
      <c r="I730" s="204"/>
      <c r="J730" s="203"/>
      <c r="K730" s="205"/>
      <c r="L730" s="205"/>
      <c r="M730" s="205"/>
    </row>
    <row r="731">
      <c r="A731" s="202" t="str">
        <f>IFERROR(__xludf.DUMMYFUNCTION("""COMPUTED_VALUE"""),"Instant Transmission [Occult]")</f>
        <v>Instant Transmission [Occult]</v>
      </c>
      <c r="B731" s="202" t="str">
        <f>IFERROR(__xludf.DUMMYFUNCTION("""COMPUTED_VALUE"""),"Warper, Adept Focus or Occult Edu")</f>
        <v>Warper, Adept Focus or Occult Edu</v>
      </c>
      <c r="C731" s="202" t="str">
        <f>IFERROR(__xludf.DUMMYFUNCTION("""COMPUTED_VALUE"""),"Scene x3 - Swift Action")</f>
        <v>Scene x3 - Swift Action</v>
      </c>
      <c r="D731" s="202" t="str">
        <f>IFERROR(__xludf.DUMMYFUNCTION("""COMPUTED_VALUE"""),"Effect: Choose one of the Effects to apply during this turn.
» Your Movement Value is doubled when using the Teleporter Capability
» When you use the Teleporter Capability, choose an Adjacent Ally or an Enemy you have Dominance in a Grapple with and they "&amp;"Teleport into a Space that is Adjacent to your destination.
» As a Movement Action, an Enemy within 5m Teleports into an Adjacent space.")</f>
        <v>Effect: Choose one of the Effects to apply during this turn.
» Your Movement Value is doubled when using the Teleporter Capability
» When you use the Teleporter Capability, choose an Adjacent Ally or an Enemy you have Dominance in a Grapple with and they Teleport into a Space that is Adjacent to your destination.
» As a Movement Action, an Enemy within 5m Teleports into an Adjacent space.</v>
      </c>
      <c r="E731" s="203"/>
      <c r="F731" s="204"/>
      <c r="G731" s="204"/>
      <c r="H731" s="204"/>
      <c r="I731" s="204"/>
      <c r="J731" s="203"/>
      <c r="K731" s="205"/>
      <c r="L731" s="205"/>
      <c r="M731" s="205"/>
    </row>
    <row r="732">
      <c r="A732" s="202" t="str">
        <f>IFERROR(__xludf.DUMMYFUNCTION("""COMPUTED_VALUE"""),"Dimensional Redirection [Occult]")</f>
        <v>Dimensional Redirection [Occult]</v>
      </c>
      <c r="B732" s="202" t="str">
        <f>IFERROR(__xludf.DUMMYFUNCTION("""COMPUTED_VALUE"""),"Warper, Expert Focus or Occult Edu")</f>
        <v>Warper, Expert Focus or Occult Edu</v>
      </c>
      <c r="C732" s="202" t="str">
        <f>IFERROR(__xludf.DUMMYFUNCTION("""COMPUTED_VALUE"""),"Scene - Standard + Reaction")</f>
        <v>Scene - Standard + Reaction</v>
      </c>
      <c r="D732" s="202" t="str">
        <f>IFERROR(__xludf.DUMMYFUNCTION("""COMPUTED_VALUE"""),"Trigger: A Ranged or Line Attack Targets you or an Ally within 3m.
Effect: Choose an Enemy within 3m other than the Triggering Enemy to become the new Target of the Attack, ignoring the original Range. The Triggering Attack then resolves against the chose"&amp;"n Enemy
Bonus: You gain the Portal Creation Capability.")</f>
        <v>Trigger: A Ranged or Line Attack Targets you or an Ally within 3m.
Effect: Choose an Enemy within 3m other than the Triggering Enemy to become the new Target of the Attack, ignoring the original Range. The Triggering Attack then resolves against the chosen Enemy
Bonus: You gain the Portal Creation Capability.</v>
      </c>
      <c r="E732" s="203"/>
      <c r="F732" s="204"/>
      <c r="G732" s="204"/>
      <c r="H732" s="204"/>
      <c r="I732" s="204"/>
      <c r="J732" s="203"/>
      <c r="K732" s="205"/>
      <c r="L732" s="205"/>
      <c r="M732" s="205"/>
    </row>
    <row r="733">
      <c r="A733" s="202" t="str">
        <f>IFERROR(__xludf.DUMMYFUNCTION("""COMPUTED_VALUE"""),"Spatial Distortion [Occult]")</f>
        <v>Spatial Distortion [Occult]</v>
      </c>
      <c r="B733" s="202" t="str">
        <f>IFERROR(__xludf.DUMMYFUNCTION("""COMPUTED_VALUE"""),"Warper, Master Focus or Occult Edu")</f>
        <v>Warper, Master Focus or Occult Edu</v>
      </c>
      <c r="C733" s="202" t="str">
        <f>IFERROR(__xludf.DUMMYFUNCTION("""COMPUTED_VALUE"""),"At-Will - Swift Action")</f>
        <v>At-Will - Swift Action</v>
      </c>
      <c r="D733" s="202" t="str">
        <f>IFERROR(__xludf.DUMMYFUNCTION("""COMPUTED_VALUE"""),"Effect: Create a 3x3 Zone within 10m, then select an Attack listed below. All Combatants within this Zone treat the Field as if it were affected by the chosen Attack. You can only have one of these zones on the field at a time. This Zone is also treated a"&amp;"s being in Mystical Weather.
Bonus: At the start of a Round as a Free Action you can expand a Zone created by this Feature as if its range was increased by +1. (3x3 to 4x4, etc)
» Gravity, Magic Room, Trick Room, Wonder Room, Psychic Storm")</f>
        <v>Effect: Create a 3x3 Zone within 10m, then select an Attack listed below. All Combatants within this Zone treat the Field as if it were affected by the chosen Attack. You can only have one of these zones on the field at a time. This Zone is also treated as being in Mystical Weather.
Bonus: At the start of a Round as a Free Action you can expand a Zone created by this Feature as if its range was increased by +1. (3x3 to 4x4, etc)
» Gravity, Magic Room, Trick Room, Wonder Room, Psychic Storm</v>
      </c>
      <c r="E733" s="203"/>
      <c r="F733" s="204"/>
      <c r="G733" s="204"/>
      <c r="H733" s="204"/>
      <c r="I733" s="204"/>
      <c r="J733" s="203"/>
      <c r="K733" s="205"/>
      <c r="L733" s="205"/>
      <c r="M733" s="205"/>
    </row>
    <row r="734">
      <c r="A734" s="202" t="str">
        <f>IFERROR(__xludf.DUMMYFUNCTION("""COMPUTED_VALUE"""),"Calculated Analysis [Lethality]")</f>
        <v>Calculated Analysis [Lethality]</v>
      </c>
      <c r="B734" s="202" t="str">
        <f>IFERROR(__xludf.DUMMYFUNCTION("""COMPUTED_VALUE"""),"Adept Combat or Gen Edu")</f>
        <v>Adept Combat or Gen Edu</v>
      </c>
      <c r="C734" s="202" t="str">
        <f>IFERROR(__xludf.DUMMYFUNCTION("""COMPUTED_VALUE"""),"At-Will - Reaction
")</f>
        <v>At-Will - Reaction
</v>
      </c>
      <c r="D734" s="202" t="str">
        <f>IFERROR(__xludf.DUMMYFUNCTION("""COMPUTED_VALUE"""),"Trigger: You perform an Accuracy Roll, Save Check or Skill Check. 
Effect: You may push the Triggering Roll after seeing the result without gaining an additional +2 Stress. ")</f>
        <v>Trigger: You perform an Accuracy Roll, Save Check or Skill Check. 
Effect: You may push the Triggering Roll after seeing the result without gaining an additional +2 Stress. </v>
      </c>
      <c r="E734" s="203"/>
      <c r="F734" s="204"/>
      <c r="G734" s="204"/>
      <c r="H734" s="204"/>
      <c r="I734" s="204"/>
      <c r="J734" s="203"/>
      <c r="K734" s="205"/>
      <c r="L734" s="205"/>
      <c r="M734" s="205"/>
    </row>
    <row r="735">
      <c r="A735" s="202" t="str">
        <f>IFERROR(__xludf.DUMMYFUNCTION("""COMPUTED_VALUE"""),"Survival Instincts [Lethality]")</f>
        <v>Survival Instincts [Lethality]</v>
      </c>
      <c r="B735" s="202" t="str">
        <f>IFERROR(__xludf.DUMMYFUNCTION("""COMPUTED_VALUE"""),"Adept Athletics or Combat")</f>
        <v>Adept Athletics or Combat</v>
      </c>
      <c r="C735" s="202" t="str">
        <f>IFERROR(__xludf.DUMMYFUNCTION("""COMPUTED_VALUE"""),"Scene - Swift Action 
")</f>
        <v>Scene - Swift Action 
</v>
      </c>
      <c r="D735" s="202" t="str">
        <f>IFERROR(__xludf.DUMMYFUNCTION("""COMPUTED_VALUE"""),"Effect: The Modifier from this Feature’ bonus is doubled until the end of your turn. 
Bonus: You have a bonus to Accuracy, Evasion and Save Checks equal to your current Stress Level. +1 if Low, +2 if Moderate and +3 if High. ")</f>
        <v>Effect: The Modifier from this Feature’ bonus is doubled until the end of your turn. 
Bonus: You have a bonus to Accuracy, Evasion and Save Checks equal to your current Stress Level. +1 if Low, +2 if Moderate and +3 if High. </v>
      </c>
      <c r="E735" s="203"/>
      <c r="F735" s="204"/>
      <c r="G735" s="204"/>
      <c r="H735" s="204"/>
      <c r="I735" s="204"/>
      <c r="J735" s="203"/>
      <c r="K735" s="205"/>
      <c r="L735" s="205"/>
      <c r="M735" s="205"/>
    </row>
    <row r="736">
      <c r="A736" s="202" t="str">
        <f>IFERROR(__xludf.DUMMYFUNCTION("""COMPUTED_VALUE"""),"Pokemon Researcher")</f>
        <v>Pokemon Researcher</v>
      </c>
      <c r="B736" s="202" t="str">
        <f>IFERROR(__xludf.DUMMYFUNCTION("""COMPUTED_VALUE"""),"Novice Poke Edu")</f>
        <v>Novice Poke Edu</v>
      </c>
      <c r="C736" s="202" t="str">
        <f>IFERROR(__xludf.DUMMYFUNCTION("""COMPUTED_VALUE"""),"Static")</f>
        <v>Static</v>
      </c>
      <c r="D736" s="202" t="str">
        <f>IFERROR(__xludf.DUMMYFUNCTION("""COMPUTED_VALUE"""),"Effect: When interacting with Pokemon, you may add a bonus to the Skill Check depending on your Poke Edu Rank. If it is Adept or under, roll +1d6 more. If it is Expert or higher, roll +2d6 more. You cannot exceed (6d6) this way and this does not apply to "&amp;"Poke Edu Skill Checks.. ")</f>
        <v>Effect: When interacting with Pokemon, you may add a bonus to the Skill Check depending on your Poke Edu Rank. If it is Adept or under, roll +1d6 more. If it is Expert or higher, roll +2d6 more. You cannot exceed (6d6) this way and this does not apply to Poke Edu Skill Checks.. </v>
      </c>
      <c r="E736" s="203"/>
      <c r="F736" s="204"/>
      <c r="G736" s="204"/>
      <c r="H736" s="204"/>
      <c r="I736" s="204"/>
      <c r="J736" s="203"/>
      <c r="K736" s="205"/>
      <c r="L736" s="205"/>
      <c r="M736" s="205"/>
    </row>
    <row r="737">
      <c r="A737" s="202" t="str">
        <f>IFERROR(__xludf.DUMMYFUNCTION("""COMPUTED_VALUE"""),"Field of Study")</f>
        <v>Field of Study</v>
      </c>
      <c r="B737" s="202" t="str">
        <f>IFERROR(__xludf.DUMMYFUNCTION("""COMPUTED_VALUE"""),"Pokemon Researcher, Novice Poke Edu")</f>
        <v>Pokemon Researcher, Novice Poke Edu</v>
      </c>
      <c r="C737" s="202" t="str">
        <f>IFERROR(__xludf.DUMMYFUNCTION("""COMPUTED_VALUE"""),"Static")</f>
        <v>Static</v>
      </c>
      <c r="D737" s="202" t="str">
        <f>IFERROR(__xludf.DUMMYFUNCTION("""COMPUTED_VALUE"""),"Effect: When you gain this Feature, determine a category of Pokemon that you specialize in. You and your Pokemon have a bonus to Damage Rolls and Damage Reduction equal to your Tier Value against Pokemon in this category. Additionally you have a Boon to S"&amp;"kill Checks involving Pokemon in this category. ")</f>
        <v>Effect: When you gain this Feature, determine a category of Pokemon that you specialize in. You and your Pokemon have a bonus to Damage Rolls and Damage Reduction equal to your Tier Value against Pokemon in this category. Additionally you have a Boon to Skill Checks involving Pokemon in this category. </v>
      </c>
      <c r="E737" s="203"/>
      <c r="F737" s="204"/>
      <c r="G737" s="204"/>
      <c r="H737" s="204"/>
      <c r="I737" s="204"/>
      <c r="J737" s="203"/>
      <c r="K737" s="205"/>
      <c r="L737" s="205"/>
      <c r="M737" s="205"/>
    </row>
    <row r="738">
      <c r="A738" s="202" t="str">
        <f>IFERROR(__xludf.DUMMYFUNCTION("""COMPUTED_VALUE"""),"Living Pokedex  ")</f>
        <v>Living Pokedex  </v>
      </c>
      <c r="B738" s="202" t="str">
        <f>IFERROR(__xludf.DUMMYFUNCTION("""COMPUTED_VALUE"""),"Pokemon Researcher, Adept Poke Edu")</f>
        <v>Pokemon Researcher, Adept Poke Edu</v>
      </c>
      <c r="C738" s="202" t="str">
        <f>IFERROR(__xludf.DUMMYFUNCTION("""COMPUTED_VALUE"""),"Static")</f>
        <v>Static</v>
      </c>
      <c r="D738" s="202" t="str">
        <f>IFERROR(__xludf.DUMMYFUNCTION("""COMPUTED_VALUE"""),"Effect: Once per Round, you may use the Analyze Maneuver as a Free Action if it Targets a Pokemon. Whenever you use the Analyze Maneuver against a Pokemon, you and your Pokemon have a bonus to Accuracy and Evasion against them equal to your Tier Level unt"&amp;"il the end of the Round. This can only be gained once per Round. ")</f>
        <v>Effect: Once per Round, you may use the Analyze Maneuver as a Free Action if it Targets a Pokemon. Whenever you use the Analyze Maneuver against a Pokemon, you and your Pokemon have a bonus to Accuracy and Evasion against them equal to your Tier Level until the end of the Round. This can only be gained once per Round. </v>
      </c>
      <c r="E738" s="203"/>
      <c r="F738" s="204"/>
      <c r="G738" s="204"/>
      <c r="H738" s="204"/>
      <c r="I738" s="204"/>
      <c r="J738" s="203"/>
      <c r="K738" s="205"/>
      <c r="L738" s="205"/>
      <c r="M738" s="205"/>
    </row>
    <row r="739">
      <c r="A739" s="202" t="str">
        <f>IFERROR(__xludf.DUMMYFUNCTION("""COMPUTED_VALUE"""),"Practical Knowledge")</f>
        <v>Practical Knowledge</v>
      </c>
      <c r="B739" s="202" t="str">
        <f>IFERROR(__xludf.DUMMYFUNCTION("""COMPUTED_VALUE"""),"Field of Study, Expert Poke Edu")</f>
        <v>Field of Study, Expert Poke Edu</v>
      </c>
      <c r="C739" s="202" t="str">
        <f>IFERROR(__xludf.DUMMYFUNCTION("""COMPUTED_VALUE"""),"Scene x2 - Reaction")</f>
        <v>Scene x2 - Reaction</v>
      </c>
      <c r="D739" s="202" t="str">
        <f>IFERROR(__xludf.DUMMYFUNCTION("""COMPUTED_VALUE"""),"Trigger: An Ally uses a 1-Target Attack against an Enemy Pokemon
Effect: Apply an Effect below to the Triggering attack. If the Triggering Ally or Enemy Pokemon is in your Field of Study Category, this may also be used as a Free Action or it doesn’t expen"&amp;"d the Feature’s Frequency. 
» They can’t apply Stat Evasion against it
» They can’t trigger Effects in response to it
» It ignores Immunity and is treated as if its Type Effectiveness was Neutral (1.0x)")</f>
        <v>Trigger: An Ally uses a 1-Target Attack against an Enemy Pokemon
Effect: Apply an Effect below to the Triggering attack. If the Triggering Ally or Enemy Pokemon is in your Field of Study Category, this may also be used as a Free Action or it doesn’t expend the Feature’s Frequency. 
» They can’t apply Stat Evasion against it
» They can’t trigger Effects in response to it
» It ignores Immunity and is treated as if its Type Effectiveness was Neutral (1.0x)</v>
      </c>
      <c r="E739" s="203"/>
      <c r="F739" s="204"/>
      <c r="G739" s="204"/>
      <c r="H739" s="204"/>
      <c r="I739" s="204"/>
      <c r="J739" s="203"/>
      <c r="K739" s="205"/>
      <c r="L739" s="205"/>
      <c r="M739" s="205"/>
    </row>
    <row r="740">
      <c r="A740" s="202" t="str">
        <f>IFERROR(__xludf.DUMMYFUNCTION("""COMPUTED_VALUE"""),"Pokemon Generalist")</f>
        <v>Pokemon Generalist</v>
      </c>
      <c r="B740" s="202" t="str">
        <f>IFERROR(__xludf.DUMMYFUNCTION("""COMPUTED_VALUE"""),"Pokemon Researcher, Master Poke Edu")</f>
        <v>Pokemon Researcher, Master Poke Edu</v>
      </c>
      <c r="C740" s="202" t="str">
        <f>IFERROR(__xludf.DUMMYFUNCTION("""COMPUTED_VALUE"""),"Static")</f>
        <v>Static</v>
      </c>
      <c r="D740" s="202" t="str">
        <f>IFERROR(__xludf.DUMMYFUNCTION("""COMPUTED_VALUE"""),"Effect: When you gain this Feature, choose two other non [Class] Features to gain that list Expert or lower Pokemon Education in their Prerequisite. You gain those Features despite not meeting its Prerequisites.  ")</f>
        <v>Effect: When you gain this Feature, choose two other non [Class] Features to gain that list Expert or lower Pokemon Education in their Prerequisite. You gain those Features despite not meeting its Prerequisites.  </v>
      </c>
      <c r="E740" s="203"/>
      <c r="F740" s="204"/>
      <c r="G740" s="204"/>
      <c r="H740" s="204"/>
      <c r="I740" s="204"/>
      <c r="J740" s="203"/>
      <c r="K740" s="205"/>
      <c r="L740" s="205"/>
      <c r="M740" s="205"/>
    </row>
    <row r="741">
      <c r="A741" s="202" t="str">
        <f>IFERROR(__xludf.DUMMYFUNCTION("""COMPUTED_VALUE"""),"Battle Specialist")</f>
        <v>Battle Specialist</v>
      </c>
      <c r="B741" s="202" t="str">
        <f>IFERROR(__xludf.DUMMYFUNCTION("""COMPUTED_VALUE"""),"Prerequisites 1: Pokemon Researcher or Training Specialist
Prerequisites 2: Adept Poke Edu or Combat")</f>
        <v>Prerequisites 1: Pokemon Researcher or Training Specialist
Prerequisites 2: Adept Poke Edu or Combat</v>
      </c>
      <c r="C741" s="202" t="str">
        <f>IFERROR(__xludf.DUMMYFUNCTION("""COMPUTED_VALUE"""),"At-Will - Extended Action
")</f>
        <v>At-Will - Extended Action
</v>
      </c>
      <c r="D741" s="202" t="str">
        <f>IFERROR(__xludf.DUMMYFUNCTION("""COMPUTED_VALUE"""),"Target: A Pokemon you have used a Training Downtime Action this Scene and an Attack they know
Effect: The Targeted Attack becomes their Signature Attack. Refer to the next page for details on how to create a Signature Attack. A Pokemon may only have one "&amp;"Attack learned this way at a time. The points budget for this Attack is equal to the number of Battle Specialist Features you have. If the Targeted Pokemon isn’t Owned by you, their points budget cannot exceed 2 points used. ")</f>
        <v>Target: A Pokemon you have used a Training Downtime Action this Scene and an Attack they know
Effect: The Targeted Attack becomes their Signature Attack. Refer to the next page for details on how to create a Signature Attack. A Pokemon may only have one Attack learned this way at a time. The points budget for this Attack is equal to the number of Battle Specialist Features you have. If the Targeted Pokemon isn’t Owned by you, their points budget cannot exceed 2 points used. </v>
      </c>
      <c r="E741" s="203"/>
      <c r="F741" s="204"/>
      <c r="G741" s="204"/>
      <c r="H741" s="204"/>
      <c r="I741" s="204"/>
      <c r="J741" s="203"/>
      <c r="K741" s="205"/>
      <c r="L741" s="205"/>
      <c r="M741" s="205"/>
    </row>
    <row r="742">
      <c r="A742" s="202" t="str">
        <f>IFERROR(__xludf.DUMMYFUNCTION("""COMPUTED_VALUE"""),"Analytical Tactician")</f>
        <v>Analytical Tactician</v>
      </c>
      <c r="B742" s="202" t="str">
        <f>IFERROR(__xludf.DUMMYFUNCTION("""COMPUTED_VALUE"""),"Battle Specialist, Novice Poke Edu or Combat")</f>
        <v>Battle Specialist, Novice Poke Edu or Combat</v>
      </c>
      <c r="C742" s="202" t="str">
        <f>IFERROR(__xludf.DUMMYFUNCTION("""COMPUTED_VALUE"""),"Static")</f>
        <v>Static</v>
      </c>
      <c r="D742" s="202" t="str">
        <f>IFERROR(__xludf.DUMMYFUNCTION("""COMPUTED_VALUE"""),"Effect: Your Pokemon gain an additional Attack Slot. Until you have 5 Battle Specialist Features, this Attack Slot can only have a Status Attack occupy it. ")</f>
        <v>Effect: Your Pokemon gain an additional Attack Slot. Until you have 5 Battle Specialist Features, this Attack Slot can only have a Status Attack occupy it. </v>
      </c>
      <c r="E742" s="203"/>
      <c r="F742" s="204"/>
      <c r="G742" s="204"/>
      <c r="H742" s="204"/>
      <c r="I742" s="204"/>
      <c r="J742" s="203"/>
      <c r="K742" s="205"/>
      <c r="L742" s="205"/>
      <c r="M742" s="205"/>
    </row>
    <row r="743">
      <c r="A743" s="202" t="str">
        <f>IFERROR(__xludf.DUMMYFUNCTION("""COMPUTED_VALUE"""),"Reactive Tactics")</f>
        <v>Reactive Tactics</v>
      </c>
      <c r="B743" s="202" t="str">
        <f>IFERROR(__xludf.DUMMYFUNCTION("""COMPUTED_VALUE"""),"Battle Specialist, Adept Poke Edu or Combat")</f>
        <v>Battle Specialist, Adept Poke Edu or Combat</v>
      </c>
      <c r="C743" s="202" t="str">
        <f>IFERROR(__xludf.DUMMYFUNCTION("""COMPUTED_VALUE"""),"Scene - Reaction")</f>
        <v>Scene - Reaction</v>
      </c>
      <c r="D743" s="202" t="str">
        <f>IFERROR(__xludf.DUMMYFUNCTION("""COMPUTED_VALUE"""),"Trigger: An Allied Pokemon within 3m would use a non-Signature Attack
Effect: You may alter the Triggering Attack as if it were Targeted by the Battle Specialist Feature. If the Triggering Attack misses all Targets (Unless you gave Smite or Spirit Surge) "&amp;"or the Triggering Pokemon is owned by you, the Frequency of this Feature isn’t expended. ")</f>
        <v>Trigger: An Allied Pokemon within 3m would use a non-Signature Attack
Effect: You may alter the Triggering Attack as if it were Targeted by the Battle Specialist Feature. If the Triggering Attack misses all Targets (Unless you gave Smite or Spirit Surge) or the Triggering Pokemon is owned by you, the Frequency of this Feature isn’t expended. </v>
      </c>
      <c r="E743" s="203"/>
      <c r="F743" s="204"/>
      <c r="G743" s="204"/>
      <c r="H743" s="204"/>
      <c r="I743" s="204"/>
      <c r="J743" s="203"/>
      <c r="K743" s="205"/>
      <c r="L743" s="205"/>
      <c r="M743" s="205"/>
    </row>
    <row r="744">
      <c r="A744" s="202" t="str">
        <f>IFERROR(__xludf.DUMMYFUNCTION("""COMPUTED_VALUE"""),"Battlefield Awareness")</f>
        <v>Battlefield Awareness</v>
      </c>
      <c r="B744" s="202" t="str">
        <f>IFERROR(__xludf.DUMMYFUNCTION("""COMPUTED_VALUE"""),"Battle Specialist, Expert Poke Edu or Combat")</f>
        <v>Battle Specialist, Expert Poke Edu or Combat</v>
      </c>
      <c r="C744" s="202" t="str">
        <f>IFERROR(__xludf.DUMMYFUNCTION("""COMPUTED_VALUE"""),"At-Will - Special")</f>
        <v>At-Will - Special</v>
      </c>
      <c r="D744" s="202" t="str">
        <f>IFERROR(__xludf.DUMMYFUNCTION("""COMPUTED_VALUE"""),"Target: An Ally within 5m
Trigger: Any Action is declared
Effect: This Feature costs a Reaction to use, however if the Triggering Combatant is a Pokemon owned by you, it may also be used as a Movement Action or Swift Action. Until the end of the current T"&amp;"urn, the Target is immune to the Effects of one of the following:
» Flanked, Surrounded, Slow Terrain, Rough Terrain, Cover Terrain, Hazards")</f>
        <v>Target: An Ally within 5m
Trigger: Any Action is declared
Effect: This Feature costs a Reaction to use, however if the Triggering Combatant is a Pokemon owned by you, it may also be used as a Movement Action or Swift Action. Until the end of the current Turn, the Target is immune to the Effects of one of the following:
» Flanked, Surrounded, Slow Terrain, Rough Terrain, Cover Terrain, Hazards</v>
      </c>
      <c r="E744" s="203"/>
      <c r="F744" s="204"/>
      <c r="G744" s="204"/>
      <c r="H744" s="204"/>
      <c r="I744" s="204"/>
      <c r="J744" s="203"/>
      <c r="K744" s="205"/>
      <c r="L744" s="205"/>
      <c r="M744" s="205"/>
    </row>
    <row r="745">
      <c r="A745" s="202" t="str">
        <f>IFERROR(__xludf.DUMMYFUNCTION("""COMPUTED_VALUE"""),"Personalized Training")</f>
        <v>Personalized Training</v>
      </c>
      <c r="B745" s="202" t="str">
        <f>IFERROR(__xludf.DUMMYFUNCTION("""COMPUTED_VALUE"""),"3 Battle Specialist Features, Master Poke Edu or Combat")</f>
        <v>3 Battle Specialist Features, Master Poke Edu or Combat</v>
      </c>
      <c r="C745" s="202" t="str">
        <f>IFERROR(__xludf.DUMMYFUNCTION("""COMPUTED_VALUE"""),"Static")</f>
        <v>Static</v>
      </c>
      <c r="D745" s="202" t="str">
        <f>IFERROR(__xludf.DUMMYFUNCTION("""COMPUTED_VALUE"""),"Effect: Your Pokemon may have up to two Signature Attacks at a time. 
")</f>
        <v>Effect: Your Pokemon may have up to two Signature Attacks at a time. 
</v>
      </c>
      <c r="E745" s="203"/>
      <c r="F745" s="204"/>
      <c r="G745" s="204"/>
      <c r="H745" s="204"/>
      <c r="I745" s="204"/>
      <c r="J745" s="203"/>
      <c r="K745" s="205"/>
      <c r="L745" s="205"/>
      <c r="M745" s="205"/>
    </row>
    <row r="746">
      <c r="A746" s="202" t="str">
        <f>IFERROR(__xludf.DUMMYFUNCTION("""COMPUTED_VALUE"""),"Geneticist")</f>
        <v>Geneticist</v>
      </c>
      <c r="B746" s="202" t="str">
        <f>IFERROR(__xludf.DUMMYFUNCTION("""COMPUTED_VALUE"""),"Prerequisites 1: Pokemon Researcher or Medicine Researcher
Prerequisites 2: Adept Poke Edu or Med Edu")</f>
        <v>Prerequisites 1: Pokemon Researcher or Medicine Researcher
Prerequisites 2: Adept Poke Edu or Med Edu</v>
      </c>
      <c r="C746" s="202" t="str">
        <f>IFERROR(__xludf.DUMMYFUNCTION("""COMPUTED_VALUE"""),"At-Will - Extended Action
")</f>
        <v>At-Will - Extended Action
</v>
      </c>
      <c r="D746" s="202" t="str">
        <f>IFERROR(__xludf.DUMMYFUNCTION("""COMPUTED_VALUE"""),"Target: Two willing Pokemon
Effect: Choose one Target to become the Donor, the other being the Recipient. Choose an Effect granted by the Bonus of one of this Class’s Features to apply to the Targets. Abilities or Attacks granted this way cannot be Signa"&amp;"ture, Innate or originally gained as a result of this Feature. Pokemon may only be the Recipient Target of this Feature once, or up to twice if owned by you. If a Pokemon not owned by you benefits from this Feature, they can no longer equip Items. Changes"&amp;" made through this Feature are not considered “Natural”.
Bonus: When using the Geneticist Feature, you can choose an Attack that Donor knows that matches a Type of the Recipient. Add that Attack to the Recipient’s corresponding Tutor List. If the Recipie"&amp;"nt’s Type would change in the future, they lose any Attacks that no longer match. ")</f>
        <v>Target: Two willing Pokemon
Effect: Choose one Target to become the Donor, the other being the Recipient. Choose an Effect granted by the Bonus of one of this Class’s Features to apply to the Targets. Abilities or Attacks granted this way cannot be Signature, Innate or originally gained as a result of this Feature. Pokemon may only be the Recipient Target of this Feature once, or up to twice if owned by you. If a Pokemon not owned by you benefits from this Feature, they can no longer equip Items. Changes made through this Feature are not considered “Natural”.
Bonus: When using the Geneticist Feature, you can choose an Attack that Donor knows that matches a Type of the Recipient. Add that Attack to the Recipient’s corresponding Tutor List. If the Recipient’s Type would change in the future, they lose any Attacks that no longer match. </v>
      </c>
      <c r="E746" s="203"/>
      <c r="F746" s="204"/>
      <c r="G746" s="204"/>
      <c r="H746" s="204"/>
      <c r="I746" s="204"/>
      <c r="J746" s="203"/>
      <c r="K746" s="205"/>
      <c r="L746" s="205"/>
      <c r="M746" s="205"/>
    </row>
    <row r="747">
      <c r="A747" s="202" t="str">
        <f>IFERROR(__xludf.DUMMYFUNCTION("""COMPUTED_VALUE"""),"Recessive Emergence")</f>
        <v>Recessive Emergence</v>
      </c>
      <c r="B747" s="202" t="str">
        <f>IFERROR(__xludf.DUMMYFUNCTION("""COMPUTED_VALUE"""),"Geneticist, Novice Poke Edu or Med Edu")</f>
        <v>Geneticist, Novice Poke Edu or Med Edu</v>
      </c>
      <c r="C747" s="202" t="str">
        <f>IFERROR(__xludf.DUMMYFUNCTION("""COMPUTED_VALUE"""),"Scene - Standard Action
")</f>
        <v>Scene - Standard Action
</v>
      </c>
      <c r="D747" s="202" t="str">
        <f>IFERROR(__xludf.DUMMYFUNCTION("""COMPUTED_VALUE"""),"Target: An Adjacent Allied Pokemon 
Effect: The Target loses an Ability of your choice, then gains a non-Innate Ability they can learn. The Effects of this Feature are reverted at the end of the Scene. 
Bonus: When using the Geneticist Feature, if the D"&amp;"onor and Recipient share at least one Type, you may choose an Ability the Donor knows. When the Recipient would learn an Ability through progression, they may choose to learn that one.  ")</f>
        <v>Target: An Adjacent Allied Pokemon 
Effect: The Target loses an Ability of your choice, then gains a non-Innate Ability they can learn. The Effects of this Feature are reverted at the end of the Scene. 
Bonus: When using the Geneticist Feature, if the Donor and Recipient share at least one Type, you may choose an Ability the Donor knows. When the Recipient would learn an Ability through progression, they may choose to learn that one.  </v>
      </c>
      <c r="E747" s="203"/>
      <c r="F747" s="204"/>
      <c r="G747" s="204"/>
      <c r="H747" s="204"/>
      <c r="I747" s="204"/>
      <c r="J747" s="203"/>
      <c r="K747" s="205"/>
      <c r="L747" s="205"/>
      <c r="M747" s="205"/>
    </row>
    <row r="748">
      <c r="A748" s="202" t="str">
        <f>IFERROR(__xludf.DUMMYFUNCTION("""COMPUTED_VALUE"""),"Elemental Splicing")</f>
        <v>Elemental Splicing</v>
      </c>
      <c r="B748" s="202" t="str">
        <f>IFERROR(__xludf.DUMMYFUNCTION("""COMPUTED_VALUE"""),"Geneticist, Adept Poke Edu or Med Edu")</f>
        <v>Geneticist, Adept Poke Edu or Med Edu</v>
      </c>
      <c r="C748" s="202" t="str">
        <f>IFERROR(__xludf.DUMMYFUNCTION("""COMPUTED_VALUE"""),"Scene x2 - Free Action
")</f>
        <v>Scene x2 - Free Action
</v>
      </c>
      <c r="D748" s="202" t="str">
        <f>IFERROR(__xludf.DUMMYFUNCTION("""COMPUTED_VALUE"""),"Target: An Adjacent Allied Pokemon
Effect: Choose Two Attacks on the Target’s Attack List. Their Types are swapped until the end of the Scene. 
Bonus: When using the Geneticist Feature, you can choose an Attack that the Recipient knows. The Type of the "&amp;"Attack is changed to match one of the Donor’s Types, but it gains the Full Action Keyword, or Recoil 1/2 if it already has Full Action.")</f>
        <v>Target: An Adjacent Allied Pokemon
Effect: Choose Two Attacks on the Target’s Attack List. Their Types are swapped until the end of the Scene. 
Bonus: When using the Geneticist Feature, you can choose an Attack that the Recipient knows. The Type of the Attack is changed to match one of the Donor’s Types, but it gains the Full Action Keyword, or Recoil 1/2 if it already has Full Action.</v>
      </c>
      <c r="E748" s="203"/>
      <c r="F748" s="204"/>
      <c r="G748" s="204"/>
      <c r="H748" s="204"/>
      <c r="I748" s="204"/>
      <c r="J748" s="203"/>
      <c r="K748" s="205"/>
      <c r="L748" s="205"/>
      <c r="M748" s="205"/>
    </row>
    <row r="749">
      <c r="A749" s="202" t="str">
        <f>IFERROR(__xludf.DUMMYFUNCTION("""COMPUTED_VALUE"""),"Mutated Genome ")</f>
        <v>Mutated Genome </v>
      </c>
      <c r="B749" s="202" t="str">
        <f>IFERROR(__xludf.DUMMYFUNCTION("""COMPUTED_VALUE"""),"Elemental Splicing, Expert Poke Edu or Med Edu")</f>
        <v>Elemental Splicing, Expert Poke Edu or Med Edu</v>
      </c>
      <c r="C749" s="202" t="str">
        <f>IFERROR(__xludf.DUMMYFUNCTION("""COMPUTED_VALUE"""),"Scene x2 - Swift Action
")</f>
        <v>Scene x2 - Swift Action
</v>
      </c>
      <c r="D749" s="202" t="str">
        <f>IFERROR(__xludf.DUMMYFUNCTION("""COMPUTED_VALUE"""),"Target: A Pokemon within 5m with a Type that was altered by the Geneticist Feature
Effect: One Attack or Pokemon Type altered this way is reverted to its original typing until the end of the Scene. ")</f>
        <v>Target: A Pokemon within 5m with a Type that was altered by the Geneticist Feature
Effect: One Attack or Pokemon Type altered this way is reverted to its original typing until the end of the Scene. </v>
      </c>
      <c r="E749" s="203"/>
      <c r="F749" s="204"/>
      <c r="G749" s="204"/>
      <c r="H749" s="204"/>
      <c r="I749" s="204"/>
      <c r="J749" s="203"/>
      <c r="K749" s="205"/>
      <c r="L749" s="205"/>
      <c r="M749" s="205"/>
    </row>
    <row r="750">
      <c r="A750" s="202" t="str">
        <f>IFERROR(__xludf.DUMMYFUNCTION("""COMPUTED_VALUE"""),"Adaptive Genetics")</f>
        <v>Adaptive Genetics</v>
      </c>
      <c r="B750" s="202" t="str">
        <f>IFERROR(__xludf.DUMMYFUNCTION("""COMPUTED_VALUE"""),"Geneticist, Master Poke Edu or Med Edu")</f>
        <v>Geneticist, Master Poke Edu or Med Edu</v>
      </c>
      <c r="C750" s="202" t="str">
        <f>IFERROR(__xludf.DUMMYFUNCTION("""COMPUTED_VALUE"""),"At-Will  - Reaction")</f>
        <v>At-Will  - Reaction</v>
      </c>
      <c r="D750" s="202" t="str">
        <f>IFERROR(__xludf.DUMMYFUNCTION("""COMPUTED_VALUE"""),"Trigger: An Allied Pokemon within 3m that is affected by Geneticist uses an Attack 
Effect: The Triggering Attack’s Type may be changed to match one of the user’s Types. This is considered to be the Attack’s Natural Type, ignoring rules. 
Bonus: When us"&amp;"ing the Geneticist Feature, you can choose a Type that the Donor has. The Recipient can either gain that Type if they only had one, or replaces one of their existing Types with the chosen one.  ")</f>
        <v>Trigger: An Allied Pokemon within 3m that is affected by Geneticist uses an Attack 
Effect: The Triggering Attack’s Type may be changed to match one of the user’s Types. This is considered to be the Attack’s Natural Type, ignoring rules. 
Bonus: When using the Geneticist Feature, you can choose a Type that the Donor has. The Recipient can either gain that Type if they only had one, or replaces one of their existing Types with the chosen one.  </v>
      </c>
      <c r="E750" s="203"/>
      <c r="F750" s="204"/>
      <c r="G750" s="204"/>
      <c r="H750" s="204"/>
      <c r="I750" s="204"/>
      <c r="J750" s="203"/>
      <c r="K750" s="205"/>
      <c r="L750" s="205"/>
      <c r="M750" s="205"/>
    </row>
    <row r="751">
      <c r="A751" s="202"/>
      <c r="B751" s="202"/>
      <c r="C751" s="202"/>
      <c r="D751" s="202"/>
      <c r="E751" s="203"/>
      <c r="F751" s="204"/>
      <c r="G751" s="204"/>
      <c r="H751" s="204"/>
      <c r="I751" s="204"/>
      <c r="J751" s="203"/>
      <c r="K751" s="205"/>
      <c r="L751" s="205"/>
      <c r="M751" s="205"/>
    </row>
    <row r="752">
      <c r="A752" s="202"/>
      <c r="B752" s="202"/>
      <c r="C752" s="202"/>
      <c r="D752" s="202"/>
      <c r="E752" s="203"/>
      <c r="F752" s="204"/>
      <c r="G752" s="204"/>
      <c r="H752" s="204"/>
      <c r="I752" s="204"/>
      <c r="J752" s="203"/>
      <c r="K752" s="205"/>
      <c r="L752" s="205"/>
      <c r="M752" s="205"/>
    </row>
    <row r="753">
      <c r="A753" s="202"/>
      <c r="B753" s="202"/>
      <c r="C753" s="202"/>
      <c r="D753" s="202"/>
      <c r="E753" s="203"/>
      <c r="F753" s="204"/>
      <c r="G753" s="204"/>
      <c r="H753" s="204"/>
      <c r="I753" s="204"/>
      <c r="J753" s="203"/>
      <c r="K753" s="205"/>
      <c r="L753" s="205"/>
      <c r="M753" s="205"/>
    </row>
    <row r="754">
      <c r="A754" s="202"/>
      <c r="B754" s="202"/>
      <c r="C754" s="202"/>
      <c r="D754" s="202"/>
      <c r="E754" s="203"/>
      <c r="F754" s="204"/>
      <c r="G754" s="204"/>
      <c r="H754" s="204"/>
      <c r="I754" s="204"/>
      <c r="J754" s="203"/>
      <c r="K754" s="205"/>
      <c r="L754" s="205"/>
      <c r="M754" s="205"/>
    </row>
    <row r="755">
      <c r="A755" s="202"/>
      <c r="B755" s="202"/>
      <c r="C755" s="202"/>
      <c r="D755" s="202"/>
      <c r="E755" s="203"/>
      <c r="F755" s="204"/>
      <c r="G755" s="204"/>
      <c r="H755" s="204"/>
      <c r="I755" s="204"/>
      <c r="J755" s="203"/>
      <c r="K755" s="205"/>
      <c r="L755" s="205"/>
      <c r="M755" s="205"/>
    </row>
    <row r="756">
      <c r="A756" s="202"/>
      <c r="B756" s="202"/>
      <c r="C756" s="202"/>
      <c r="D756" s="202"/>
      <c r="E756" s="203"/>
      <c r="F756" s="204"/>
      <c r="G756" s="204"/>
      <c r="H756" s="204"/>
      <c r="I756" s="204"/>
      <c r="J756" s="203"/>
      <c r="K756" s="205"/>
      <c r="L756" s="205"/>
      <c r="M756" s="205"/>
    </row>
    <row r="757">
      <c r="A757" s="202"/>
      <c r="B757" s="202"/>
      <c r="C757" s="202"/>
      <c r="D757" s="202"/>
      <c r="E757" s="203"/>
      <c r="F757" s="204"/>
      <c r="G757" s="204"/>
      <c r="H757" s="204"/>
      <c r="I757" s="204"/>
      <c r="J757" s="203"/>
      <c r="K757" s="205"/>
      <c r="L757" s="205"/>
      <c r="M757" s="205"/>
    </row>
    <row r="758">
      <c r="A758" s="202"/>
      <c r="B758" s="202"/>
      <c r="C758" s="202"/>
      <c r="D758" s="202"/>
      <c r="E758" s="203"/>
      <c r="F758" s="204"/>
      <c r="G758" s="204"/>
      <c r="H758" s="204"/>
      <c r="I758" s="204"/>
      <c r="J758" s="203"/>
      <c r="K758" s="205"/>
      <c r="L758" s="205"/>
      <c r="M758" s="205"/>
    </row>
    <row r="759">
      <c r="A759" s="202"/>
      <c r="B759" s="202"/>
      <c r="C759" s="202"/>
      <c r="D759" s="202"/>
      <c r="E759" s="203"/>
      <c r="F759" s="204"/>
      <c r="G759" s="204"/>
      <c r="H759" s="204"/>
      <c r="I759" s="204"/>
      <c r="J759" s="203"/>
      <c r="K759" s="205"/>
      <c r="L759" s="205"/>
      <c r="M759" s="205"/>
    </row>
    <row r="760">
      <c r="A760" s="202"/>
      <c r="B760" s="202"/>
      <c r="C760" s="202"/>
      <c r="D760" s="202"/>
      <c r="E760" s="203"/>
      <c r="F760" s="204"/>
      <c r="G760" s="204"/>
      <c r="H760" s="204"/>
      <c r="I760" s="204"/>
      <c r="J760" s="203"/>
      <c r="K760" s="205"/>
      <c r="L760" s="205"/>
      <c r="M760" s="205"/>
    </row>
    <row r="761">
      <c r="A761" s="202"/>
      <c r="B761" s="202"/>
      <c r="C761" s="202"/>
      <c r="D761" s="202"/>
      <c r="E761" s="203"/>
      <c r="F761" s="204"/>
      <c r="G761" s="204"/>
      <c r="H761" s="204"/>
      <c r="I761" s="204"/>
      <c r="J761" s="203"/>
      <c r="K761" s="205"/>
      <c r="L761" s="205"/>
      <c r="M761" s="205"/>
    </row>
    <row r="762">
      <c r="A762" s="202"/>
      <c r="B762" s="202"/>
      <c r="C762" s="202"/>
      <c r="D762" s="202"/>
      <c r="E762" s="203"/>
      <c r="F762" s="204"/>
      <c r="G762" s="204"/>
      <c r="H762" s="204"/>
      <c r="I762" s="204"/>
      <c r="J762" s="203"/>
      <c r="K762" s="205"/>
      <c r="L762" s="205"/>
      <c r="M762" s="205"/>
    </row>
    <row r="763">
      <c r="A763" s="202"/>
      <c r="B763" s="202"/>
      <c r="C763" s="202"/>
      <c r="D763" s="202"/>
      <c r="E763" s="203"/>
      <c r="F763" s="204"/>
      <c r="G763" s="204"/>
      <c r="H763" s="204"/>
      <c r="I763" s="204"/>
      <c r="J763" s="203"/>
      <c r="K763" s="205"/>
      <c r="L763" s="205"/>
      <c r="M763" s="205"/>
    </row>
    <row r="764">
      <c r="A764" s="202"/>
      <c r="B764" s="202"/>
      <c r="C764" s="202"/>
      <c r="D764" s="202"/>
      <c r="E764" s="203"/>
      <c r="F764" s="204"/>
      <c r="G764" s="204"/>
      <c r="H764" s="204"/>
      <c r="I764" s="204"/>
      <c r="J764" s="203"/>
      <c r="K764" s="205"/>
      <c r="L764" s="205"/>
      <c r="M764" s="205"/>
    </row>
    <row r="765">
      <c r="A765" s="202"/>
      <c r="B765" s="202"/>
      <c r="C765" s="202"/>
      <c r="D765" s="202"/>
      <c r="E765" s="203"/>
      <c r="F765" s="204"/>
      <c r="G765" s="204"/>
      <c r="H765" s="204"/>
      <c r="I765" s="204"/>
      <c r="J765" s="203"/>
      <c r="K765" s="205"/>
      <c r="L765" s="205"/>
      <c r="M765" s="205"/>
    </row>
    <row r="766">
      <c r="A766" s="202"/>
      <c r="B766" s="202"/>
      <c r="C766" s="202"/>
      <c r="D766" s="202"/>
      <c r="E766" s="203"/>
      <c r="F766" s="204"/>
      <c r="G766" s="204"/>
      <c r="H766" s="204"/>
      <c r="I766" s="204"/>
      <c r="J766" s="203"/>
      <c r="K766" s="205"/>
      <c r="L766" s="205"/>
      <c r="M766" s="205"/>
    </row>
    <row r="767">
      <c r="A767" s="202"/>
      <c r="B767" s="202"/>
      <c r="C767" s="202"/>
      <c r="D767" s="202"/>
      <c r="E767" s="203"/>
      <c r="F767" s="204"/>
      <c r="G767" s="204"/>
      <c r="H767" s="204"/>
      <c r="I767" s="204"/>
      <c r="J767" s="203"/>
      <c r="K767" s="205"/>
      <c r="L767" s="205"/>
      <c r="M767" s="205"/>
    </row>
    <row r="768">
      <c r="A768" s="202"/>
      <c r="B768" s="202"/>
      <c r="C768" s="202"/>
      <c r="D768" s="202"/>
      <c r="E768" s="203"/>
      <c r="F768" s="204"/>
      <c r="G768" s="204"/>
      <c r="H768" s="204"/>
      <c r="I768" s="204"/>
      <c r="J768" s="203"/>
      <c r="K768" s="205"/>
      <c r="L768" s="205"/>
      <c r="M768" s="205"/>
    </row>
    <row r="769">
      <c r="A769" s="202"/>
      <c r="B769" s="202"/>
      <c r="C769" s="202"/>
      <c r="D769" s="202"/>
      <c r="E769" s="203"/>
      <c r="F769" s="204"/>
      <c r="G769" s="204"/>
      <c r="H769" s="204"/>
      <c r="I769" s="204"/>
      <c r="J769" s="203"/>
      <c r="K769" s="205"/>
      <c r="L769" s="205"/>
      <c r="M769" s="205"/>
    </row>
    <row r="770">
      <c r="A770" s="202"/>
      <c r="B770" s="202"/>
      <c r="C770" s="202"/>
      <c r="D770" s="202"/>
      <c r="E770" s="203"/>
      <c r="F770" s="204"/>
      <c r="G770" s="204"/>
      <c r="H770" s="204"/>
      <c r="I770" s="204"/>
      <c r="J770" s="203"/>
      <c r="K770" s="205"/>
      <c r="L770" s="205"/>
      <c r="M770" s="205"/>
    </row>
    <row r="771">
      <c r="A771" s="202"/>
      <c r="B771" s="202"/>
      <c r="C771" s="202"/>
      <c r="D771" s="202"/>
      <c r="E771" s="203"/>
      <c r="F771" s="204"/>
      <c r="G771" s="204"/>
      <c r="H771" s="204"/>
      <c r="I771" s="204"/>
      <c r="J771" s="203"/>
      <c r="K771" s="205"/>
      <c r="L771" s="205"/>
      <c r="M771" s="205"/>
    </row>
    <row r="772">
      <c r="A772" s="202"/>
      <c r="B772" s="202"/>
      <c r="C772" s="202"/>
      <c r="D772" s="202"/>
      <c r="E772" s="203"/>
      <c r="F772" s="204"/>
      <c r="G772" s="204"/>
      <c r="H772" s="204"/>
      <c r="I772" s="204"/>
      <c r="J772" s="203"/>
      <c r="K772" s="205"/>
      <c r="L772" s="205"/>
      <c r="M772" s="205"/>
    </row>
    <row r="773">
      <c r="A773" s="202"/>
      <c r="B773" s="202"/>
      <c r="C773" s="202"/>
      <c r="D773" s="202"/>
      <c r="E773" s="203"/>
      <c r="F773" s="204"/>
      <c r="G773" s="204"/>
      <c r="H773" s="204"/>
      <c r="I773" s="204"/>
      <c r="J773" s="203"/>
      <c r="K773" s="205"/>
      <c r="L773" s="205"/>
      <c r="M773" s="205"/>
    </row>
    <row r="774">
      <c r="A774" s="202"/>
      <c r="B774" s="202"/>
      <c r="C774" s="202"/>
      <c r="D774" s="202"/>
      <c r="E774" s="203"/>
      <c r="F774" s="204"/>
      <c r="G774" s="204"/>
      <c r="H774" s="204"/>
      <c r="I774" s="204"/>
      <c r="J774" s="203"/>
      <c r="K774" s="205"/>
      <c r="L774" s="205"/>
      <c r="M774" s="205"/>
    </row>
    <row r="775">
      <c r="A775" s="202"/>
      <c r="B775" s="202"/>
      <c r="C775" s="202"/>
      <c r="D775" s="202"/>
      <c r="E775" s="203"/>
      <c r="F775" s="204"/>
      <c r="G775" s="204"/>
      <c r="H775" s="204"/>
      <c r="I775" s="204"/>
      <c r="J775" s="203"/>
      <c r="K775" s="205"/>
      <c r="L775" s="205"/>
      <c r="M775" s="205"/>
    </row>
    <row r="776">
      <c r="A776" s="202"/>
      <c r="B776" s="202"/>
      <c r="C776" s="202"/>
      <c r="D776" s="202"/>
      <c r="E776" s="203"/>
      <c r="F776" s="204"/>
      <c r="G776" s="204"/>
      <c r="H776" s="204"/>
      <c r="I776" s="204"/>
      <c r="J776" s="203"/>
      <c r="K776" s="205"/>
      <c r="L776" s="205"/>
      <c r="M776" s="205"/>
    </row>
    <row r="777">
      <c r="A777" s="202"/>
      <c r="B777" s="202"/>
      <c r="C777" s="202"/>
      <c r="D777" s="202"/>
      <c r="E777" s="203"/>
      <c r="F777" s="204"/>
      <c r="G777" s="204"/>
      <c r="H777" s="204"/>
      <c r="I777" s="204"/>
      <c r="J777" s="203"/>
      <c r="K777" s="205"/>
      <c r="L777" s="205"/>
      <c r="M777" s="205"/>
    </row>
    <row r="778">
      <c r="A778" s="202"/>
      <c r="B778" s="202"/>
      <c r="C778" s="202"/>
      <c r="D778" s="202"/>
      <c r="E778" s="203"/>
      <c r="F778" s="204"/>
      <c r="G778" s="204"/>
      <c r="H778" s="204"/>
      <c r="I778" s="204"/>
      <c r="J778" s="203"/>
      <c r="K778" s="205"/>
      <c r="L778" s="205"/>
      <c r="M778" s="205"/>
    </row>
    <row r="779">
      <c r="A779" s="202"/>
      <c r="B779" s="202"/>
      <c r="C779" s="202"/>
      <c r="D779" s="202"/>
      <c r="E779" s="203"/>
      <c r="F779" s="204"/>
      <c r="G779" s="204"/>
      <c r="H779" s="204"/>
      <c r="I779" s="204"/>
      <c r="J779" s="203"/>
      <c r="K779" s="205"/>
      <c r="L779" s="205"/>
      <c r="M779" s="205"/>
    </row>
    <row r="780">
      <c r="A780" s="202"/>
      <c r="B780" s="202"/>
      <c r="C780" s="202"/>
      <c r="D780" s="202"/>
      <c r="E780" s="203"/>
      <c r="F780" s="204"/>
      <c r="G780" s="204"/>
      <c r="H780" s="204"/>
      <c r="I780" s="204"/>
      <c r="J780" s="203"/>
      <c r="K780" s="205"/>
      <c r="L780" s="205"/>
      <c r="M780" s="205"/>
    </row>
    <row r="781">
      <c r="A781" s="202"/>
      <c r="B781" s="202"/>
      <c r="C781" s="202"/>
      <c r="D781" s="202"/>
      <c r="E781" s="203"/>
      <c r="F781" s="204"/>
      <c r="G781" s="204"/>
      <c r="H781" s="204"/>
      <c r="I781" s="204"/>
      <c r="J781" s="203"/>
      <c r="K781" s="205"/>
      <c r="L781" s="205"/>
      <c r="M781" s="205"/>
    </row>
    <row r="782">
      <c r="A782" s="202"/>
      <c r="B782" s="202"/>
      <c r="C782" s="202"/>
      <c r="D782" s="202"/>
      <c r="E782" s="203"/>
      <c r="F782" s="204"/>
      <c r="G782" s="204"/>
      <c r="H782" s="204"/>
      <c r="I782" s="204"/>
      <c r="J782" s="203"/>
      <c r="K782" s="205"/>
      <c r="L782" s="205"/>
      <c r="M782" s="205"/>
    </row>
    <row r="783">
      <c r="A783" s="202"/>
      <c r="B783" s="202"/>
      <c r="C783" s="202"/>
      <c r="D783" s="202"/>
      <c r="E783" s="203"/>
      <c r="F783" s="204"/>
      <c r="G783" s="204"/>
      <c r="H783" s="204"/>
      <c r="I783" s="204"/>
      <c r="J783" s="203"/>
      <c r="K783" s="205"/>
      <c r="L783" s="205"/>
      <c r="M783" s="205"/>
    </row>
    <row r="784">
      <c r="A784" s="202"/>
      <c r="B784" s="202"/>
      <c r="C784" s="202"/>
      <c r="D784" s="202"/>
      <c r="E784" s="203"/>
      <c r="F784" s="204"/>
      <c r="G784" s="204"/>
      <c r="H784" s="204"/>
      <c r="I784" s="204"/>
      <c r="J784" s="203"/>
      <c r="K784" s="205"/>
      <c r="L784" s="205"/>
      <c r="M784" s="205"/>
    </row>
    <row r="785">
      <c r="A785" s="202"/>
      <c r="B785" s="202"/>
      <c r="C785" s="202"/>
      <c r="D785" s="202"/>
      <c r="E785" s="203"/>
      <c r="F785" s="204"/>
      <c r="G785" s="204"/>
      <c r="H785" s="204"/>
      <c r="I785" s="204"/>
      <c r="J785" s="203"/>
      <c r="K785" s="205"/>
      <c r="L785" s="205"/>
      <c r="M785" s="205"/>
    </row>
    <row r="786">
      <c r="A786" s="202"/>
      <c r="B786" s="202"/>
      <c r="C786" s="202"/>
      <c r="D786" s="202"/>
      <c r="E786" s="203"/>
      <c r="F786" s="204"/>
      <c r="G786" s="204"/>
      <c r="H786" s="204"/>
      <c r="I786" s="204"/>
      <c r="J786" s="203"/>
      <c r="K786" s="205"/>
      <c r="L786" s="205"/>
      <c r="M786" s="205"/>
    </row>
    <row r="787">
      <c r="A787" s="202"/>
      <c r="B787" s="202"/>
      <c r="C787" s="202"/>
      <c r="D787" s="202"/>
      <c r="E787" s="203"/>
      <c r="F787" s="204"/>
      <c r="G787" s="204"/>
      <c r="H787" s="204"/>
      <c r="I787" s="204"/>
      <c r="J787" s="203"/>
      <c r="K787" s="205"/>
      <c r="L787" s="205"/>
      <c r="M787" s="205"/>
    </row>
    <row r="788">
      <c r="A788" s="202"/>
      <c r="B788" s="202"/>
      <c r="C788" s="202"/>
      <c r="D788" s="202"/>
      <c r="E788" s="203"/>
      <c r="F788" s="204"/>
      <c r="G788" s="204"/>
      <c r="H788" s="204"/>
      <c r="I788" s="204"/>
      <c r="J788" s="203"/>
      <c r="K788" s="205"/>
      <c r="L788" s="205"/>
      <c r="M788" s="205"/>
    </row>
    <row r="789">
      <c r="A789" s="202"/>
      <c r="B789" s="202"/>
      <c r="C789" s="202"/>
      <c r="D789" s="202"/>
      <c r="E789" s="203"/>
      <c r="F789" s="204"/>
      <c r="G789" s="204"/>
      <c r="H789" s="204"/>
      <c r="I789" s="204"/>
      <c r="J789" s="203"/>
      <c r="K789" s="205"/>
      <c r="L789" s="205"/>
      <c r="M789" s="205"/>
    </row>
    <row r="790">
      <c r="A790" s="202"/>
      <c r="B790" s="202"/>
      <c r="C790" s="202"/>
      <c r="D790" s="202"/>
      <c r="E790" s="203"/>
      <c r="F790" s="204"/>
      <c r="G790" s="204"/>
      <c r="H790" s="204"/>
      <c r="I790" s="204"/>
      <c r="J790" s="203"/>
      <c r="K790" s="205"/>
      <c r="L790" s="205"/>
      <c r="M790" s="205"/>
    </row>
    <row r="791">
      <c r="A791" s="202"/>
      <c r="B791" s="202"/>
      <c r="C791" s="202"/>
      <c r="D791" s="202"/>
      <c r="E791" s="203"/>
      <c r="F791" s="204"/>
      <c r="G791" s="204"/>
      <c r="H791" s="204"/>
      <c r="I791" s="204"/>
      <c r="J791" s="203"/>
      <c r="K791" s="205"/>
      <c r="L791" s="205"/>
      <c r="M791" s="205"/>
    </row>
    <row r="792">
      <c r="A792" s="202"/>
      <c r="B792" s="202"/>
      <c r="C792" s="202"/>
      <c r="D792" s="202"/>
      <c r="E792" s="203"/>
      <c r="F792" s="204"/>
      <c r="G792" s="204"/>
      <c r="H792" s="204"/>
      <c r="I792" s="204"/>
      <c r="J792" s="203"/>
      <c r="K792" s="205"/>
      <c r="L792" s="205"/>
      <c r="M792" s="205"/>
    </row>
    <row r="793">
      <c r="A793" s="202"/>
      <c r="B793" s="202"/>
      <c r="C793" s="202"/>
      <c r="D793" s="202"/>
      <c r="E793" s="203"/>
      <c r="F793" s="204"/>
      <c r="G793" s="204"/>
      <c r="H793" s="204"/>
      <c r="I793" s="204"/>
      <c r="J793" s="203"/>
      <c r="K793" s="205"/>
      <c r="L793" s="205"/>
      <c r="M793" s="205"/>
    </row>
    <row r="794">
      <c r="A794" s="202"/>
      <c r="B794" s="202"/>
      <c r="C794" s="202"/>
      <c r="D794" s="202"/>
      <c r="E794" s="203"/>
      <c r="F794" s="204"/>
      <c r="G794" s="204"/>
      <c r="H794" s="204"/>
      <c r="I794" s="204"/>
      <c r="J794" s="203"/>
      <c r="K794" s="205"/>
      <c r="L794" s="205"/>
      <c r="M794" s="205"/>
    </row>
    <row r="795">
      <c r="A795" s="202"/>
      <c r="B795" s="202"/>
      <c r="C795" s="202"/>
      <c r="D795" s="202"/>
      <c r="E795" s="203"/>
      <c r="F795" s="204"/>
      <c r="G795" s="204"/>
      <c r="H795" s="204"/>
      <c r="I795" s="204"/>
      <c r="J795" s="203"/>
      <c r="K795" s="205"/>
      <c r="L795" s="205"/>
      <c r="M795" s="205"/>
    </row>
    <row r="796">
      <c r="A796" s="202"/>
      <c r="B796" s="202"/>
      <c r="C796" s="202"/>
      <c r="D796" s="202"/>
      <c r="E796" s="203"/>
      <c r="F796" s="204"/>
      <c r="G796" s="204"/>
      <c r="H796" s="204"/>
      <c r="I796" s="204"/>
      <c r="J796" s="203"/>
      <c r="K796" s="205"/>
      <c r="L796" s="205"/>
      <c r="M796" s="205"/>
    </row>
    <row r="797">
      <c r="A797" s="202"/>
      <c r="B797" s="202"/>
      <c r="C797" s="202"/>
      <c r="D797" s="202"/>
      <c r="E797" s="203"/>
      <c r="F797" s="204"/>
      <c r="G797" s="204"/>
      <c r="H797" s="204"/>
      <c r="I797" s="204"/>
      <c r="J797" s="203"/>
      <c r="K797" s="205"/>
      <c r="L797" s="205"/>
      <c r="M797" s="205"/>
    </row>
    <row r="798">
      <c r="A798" s="202"/>
      <c r="B798" s="202"/>
      <c r="C798" s="202"/>
      <c r="D798" s="202"/>
      <c r="E798" s="203"/>
      <c r="F798" s="204"/>
      <c r="G798" s="204"/>
      <c r="H798" s="204"/>
      <c r="I798" s="204"/>
      <c r="J798" s="203"/>
      <c r="K798" s="205"/>
      <c r="L798" s="205"/>
      <c r="M798" s="205"/>
    </row>
    <row r="799">
      <c r="A799" s="202"/>
      <c r="B799" s="202"/>
      <c r="C799" s="202"/>
      <c r="D799" s="202"/>
      <c r="E799" s="203"/>
      <c r="F799" s="204"/>
      <c r="G799" s="204"/>
      <c r="H799" s="204"/>
      <c r="I799" s="204"/>
      <c r="J799" s="203"/>
      <c r="K799" s="205"/>
      <c r="L799" s="205"/>
      <c r="M799" s="205"/>
    </row>
    <row r="800">
      <c r="A800" s="202"/>
      <c r="B800" s="202"/>
      <c r="C800" s="202"/>
      <c r="D800" s="202"/>
      <c r="E800" s="203"/>
      <c r="F800" s="204"/>
      <c r="G800" s="204"/>
      <c r="H800" s="204"/>
      <c r="I800" s="204"/>
      <c r="J800" s="203"/>
      <c r="K800" s="205"/>
      <c r="L800" s="205"/>
      <c r="M800" s="205"/>
    </row>
    <row r="801">
      <c r="A801" s="202"/>
      <c r="B801" s="202"/>
      <c r="C801" s="202"/>
      <c r="D801" s="202"/>
      <c r="E801" s="203"/>
      <c r="F801" s="204"/>
      <c r="G801" s="204"/>
      <c r="H801" s="204"/>
      <c r="I801" s="204"/>
      <c r="J801" s="203"/>
      <c r="K801" s="205"/>
      <c r="L801" s="205"/>
      <c r="M801" s="205"/>
    </row>
    <row r="802">
      <c r="A802" s="202"/>
      <c r="B802" s="202"/>
      <c r="C802" s="202"/>
      <c r="D802" s="202"/>
      <c r="E802" s="203"/>
      <c r="F802" s="204"/>
      <c r="G802" s="204"/>
      <c r="H802" s="204"/>
      <c r="I802" s="204"/>
      <c r="J802" s="203"/>
      <c r="K802" s="205"/>
      <c r="L802" s="205"/>
      <c r="M802" s="205"/>
    </row>
    <row r="803">
      <c r="A803" s="202"/>
      <c r="B803" s="202"/>
      <c r="C803" s="202"/>
      <c r="D803" s="202"/>
      <c r="E803" s="203"/>
      <c r="F803" s="204"/>
      <c r="G803" s="204"/>
      <c r="H803" s="204"/>
      <c r="I803" s="204"/>
      <c r="J803" s="203"/>
      <c r="K803" s="205"/>
      <c r="L803" s="205"/>
      <c r="M803" s="205"/>
    </row>
    <row r="804">
      <c r="A804" s="202"/>
      <c r="B804" s="202"/>
      <c r="C804" s="202"/>
      <c r="D804" s="202"/>
      <c r="E804" s="203"/>
      <c r="F804" s="204"/>
      <c r="G804" s="204"/>
      <c r="H804" s="204"/>
      <c r="I804" s="204"/>
      <c r="J804" s="203"/>
      <c r="K804" s="205"/>
      <c r="L804" s="205"/>
      <c r="M804" s="205"/>
    </row>
    <row r="805">
      <c r="A805" s="202"/>
      <c r="B805" s="202"/>
      <c r="C805" s="202"/>
      <c r="D805" s="202"/>
      <c r="E805" s="203"/>
      <c r="F805" s="204"/>
      <c r="G805" s="204"/>
      <c r="H805" s="204"/>
      <c r="I805" s="204"/>
      <c r="J805" s="203"/>
      <c r="K805" s="205"/>
      <c r="L805" s="205"/>
      <c r="M805" s="205"/>
    </row>
    <row r="806">
      <c r="A806" s="202"/>
      <c r="B806" s="202"/>
      <c r="C806" s="202"/>
      <c r="D806" s="202"/>
      <c r="E806" s="203"/>
      <c r="F806" s="204"/>
      <c r="G806" s="204"/>
      <c r="H806" s="204"/>
      <c r="I806" s="204"/>
      <c r="J806" s="203"/>
      <c r="K806" s="205"/>
      <c r="L806" s="205"/>
      <c r="M806" s="205"/>
    </row>
    <row r="807">
      <c r="A807" s="202"/>
      <c r="B807" s="202"/>
      <c r="C807" s="202"/>
      <c r="D807" s="202"/>
      <c r="E807" s="203"/>
      <c r="F807" s="204"/>
      <c r="G807" s="204"/>
      <c r="H807" s="204"/>
      <c r="I807" s="204"/>
      <c r="J807" s="203"/>
      <c r="K807" s="205"/>
      <c r="L807" s="205"/>
      <c r="M807" s="205"/>
    </row>
    <row r="808">
      <c r="A808" s="202"/>
      <c r="B808" s="202"/>
      <c r="C808" s="202"/>
      <c r="D808" s="202"/>
      <c r="E808" s="203"/>
      <c r="F808" s="204"/>
      <c r="G808" s="204"/>
      <c r="H808" s="204"/>
      <c r="I808" s="204"/>
      <c r="J808" s="203"/>
      <c r="K808" s="205"/>
      <c r="L808" s="205"/>
      <c r="M808" s="205"/>
    </row>
    <row r="809">
      <c r="A809" s="202"/>
      <c r="B809" s="202"/>
      <c r="C809" s="202"/>
      <c r="D809" s="202"/>
      <c r="E809" s="203"/>
      <c r="F809" s="204"/>
      <c r="G809" s="204"/>
      <c r="H809" s="204"/>
      <c r="I809" s="204"/>
      <c r="J809" s="203"/>
      <c r="K809" s="205"/>
      <c r="L809" s="205"/>
      <c r="M809" s="205"/>
    </row>
    <row r="810">
      <c r="A810" s="202"/>
      <c r="B810" s="202"/>
      <c r="C810" s="202"/>
      <c r="D810" s="202"/>
      <c r="E810" s="203"/>
      <c r="F810" s="204"/>
      <c r="G810" s="204"/>
      <c r="H810" s="204"/>
      <c r="I810" s="204"/>
      <c r="J810" s="203"/>
      <c r="K810" s="205"/>
      <c r="L810" s="205"/>
      <c r="M810" s="205"/>
    </row>
    <row r="811">
      <c r="A811" s="202"/>
      <c r="B811" s="202"/>
      <c r="C811" s="202"/>
      <c r="D811" s="202"/>
      <c r="E811" s="203"/>
      <c r="F811" s="204"/>
      <c r="G811" s="204"/>
      <c r="H811" s="204"/>
      <c r="I811" s="204"/>
      <c r="J811" s="203"/>
      <c r="K811" s="205"/>
      <c r="L811" s="205"/>
      <c r="M811" s="205"/>
    </row>
    <row r="812">
      <c r="A812" s="202"/>
      <c r="B812" s="202"/>
      <c r="C812" s="202"/>
      <c r="D812" s="202"/>
      <c r="E812" s="203"/>
      <c r="F812" s="204"/>
      <c r="G812" s="204"/>
      <c r="H812" s="204"/>
      <c r="I812" s="204"/>
      <c r="J812" s="203"/>
      <c r="K812" s="205"/>
      <c r="L812" s="205"/>
      <c r="M812" s="205"/>
    </row>
    <row r="813">
      <c r="A813" s="202"/>
      <c r="B813" s="202"/>
      <c r="C813" s="202"/>
      <c r="D813" s="202"/>
      <c r="E813" s="203"/>
      <c r="F813" s="204"/>
      <c r="G813" s="204"/>
      <c r="H813" s="204"/>
      <c r="I813" s="204"/>
      <c r="J813" s="203"/>
      <c r="K813" s="205"/>
      <c r="L813" s="205"/>
      <c r="M813" s="205"/>
    </row>
    <row r="814">
      <c r="A814" s="202"/>
      <c r="B814" s="202"/>
      <c r="C814" s="202"/>
      <c r="D814" s="202"/>
      <c r="E814" s="203"/>
      <c r="F814" s="204"/>
      <c r="G814" s="204"/>
      <c r="H814" s="204"/>
      <c r="I814" s="204"/>
      <c r="J814" s="203"/>
      <c r="K814" s="205"/>
      <c r="L814" s="205"/>
      <c r="M814" s="205"/>
    </row>
    <row r="815">
      <c r="A815" s="202"/>
      <c r="B815" s="202"/>
      <c r="C815" s="202"/>
      <c r="D815" s="202"/>
      <c r="E815" s="203"/>
      <c r="F815" s="204"/>
      <c r="G815" s="204"/>
      <c r="H815" s="204"/>
      <c r="I815" s="204"/>
      <c r="J815" s="203"/>
      <c r="K815" s="205"/>
      <c r="L815" s="205"/>
      <c r="M815" s="205"/>
    </row>
    <row r="816">
      <c r="A816" s="202"/>
      <c r="B816" s="202"/>
      <c r="C816" s="202"/>
      <c r="D816" s="202"/>
      <c r="E816" s="203"/>
      <c r="F816" s="204"/>
      <c r="G816" s="204"/>
      <c r="H816" s="204"/>
      <c r="I816" s="204"/>
      <c r="J816" s="203"/>
      <c r="K816" s="205"/>
      <c r="L816" s="205"/>
      <c r="M816" s="205"/>
    </row>
    <row r="817">
      <c r="A817" s="202"/>
      <c r="B817" s="202"/>
      <c r="C817" s="202"/>
      <c r="D817" s="202"/>
      <c r="E817" s="203"/>
      <c r="F817" s="204"/>
      <c r="G817" s="204"/>
      <c r="H817" s="204"/>
      <c r="I817" s="204"/>
      <c r="J817" s="203"/>
      <c r="K817" s="205"/>
      <c r="L817" s="205"/>
      <c r="M817" s="205"/>
    </row>
    <row r="818">
      <c r="A818" s="202"/>
      <c r="B818" s="202"/>
      <c r="C818" s="202"/>
      <c r="D818" s="202"/>
      <c r="E818" s="203"/>
      <c r="F818" s="204"/>
      <c r="G818" s="204"/>
      <c r="H818" s="204"/>
      <c r="I818" s="204"/>
      <c r="J818" s="203"/>
      <c r="K818" s="205"/>
      <c r="L818" s="205"/>
      <c r="M818" s="205"/>
    </row>
    <row r="819">
      <c r="A819" s="202"/>
      <c r="B819" s="202"/>
      <c r="C819" s="202"/>
      <c r="D819" s="202"/>
      <c r="E819" s="203"/>
      <c r="F819" s="204"/>
      <c r="G819" s="204"/>
      <c r="H819" s="204"/>
      <c r="I819" s="204"/>
      <c r="J819" s="203"/>
      <c r="K819" s="205"/>
      <c r="L819" s="205"/>
      <c r="M819" s="205"/>
    </row>
    <row r="820">
      <c r="A820" s="202"/>
      <c r="B820" s="202"/>
      <c r="C820" s="202"/>
      <c r="D820" s="202"/>
      <c r="E820" s="203"/>
      <c r="F820" s="204"/>
      <c r="G820" s="204"/>
      <c r="H820" s="204"/>
      <c r="I820" s="204"/>
      <c r="J820" s="203"/>
      <c r="K820" s="205"/>
      <c r="L820" s="205"/>
      <c r="M820" s="205"/>
    </row>
    <row r="821">
      <c r="A821" s="202"/>
      <c r="B821" s="202"/>
      <c r="C821" s="202"/>
      <c r="D821" s="202"/>
      <c r="E821" s="203"/>
      <c r="F821" s="204"/>
      <c r="G821" s="204"/>
      <c r="H821" s="204"/>
      <c r="I821" s="204"/>
      <c r="J821" s="203"/>
      <c r="K821" s="205"/>
      <c r="L821" s="205"/>
      <c r="M821" s="205"/>
    </row>
    <row r="822">
      <c r="A822" s="202"/>
      <c r="B822" s="202"/>
      <c r="C822" s="202"/>
      <c r="D822" s="202"/>
      <c r="E822" s="203"/>
      <c r="F822" s="204"/>
      <c r="G822" s="204"/>
      <c r="H822" s="204"/>
      <c r="I822" s="204"/>
      <c r="J822" s="203"/>
      <c r="K822" s="205"/>
      <c r="L822" s="205"/>
      <c r="M822" s="205"/>
    </row>
    <row r="823">
      <c r="A823" s="202"/>
      <c r="B823" s="202"/>
      <c r="C823" s="202"/>
      <c r="D823" s="202"/>
      <c r="E823" s="203"/>
      <c r="F823" s="204"/>
      <c r="G823" s="204"/>
      <c r="H823" s="204"/>
      <c r="I823" s="204"/>
      <c r="J823" s="203"/>
      <c r="K823" s="205"/>
      <c r="L823" s="205"/>
      <c r="M823" s="205"/>
    </row>
    <row r="824">
      <c r="A824" s="202"/>
      <c r="B824" s="202"/>
      <c r="C824" s="202"/>
      <c r="D824" s="202"/>
      <c r="E824" s="203"/>
      <c r="F824" s="204"/>
      <c r="G824" s="204"/>
      <c r="H824" s="204"/>
      <c r="I824" s="204"/>
      <c r="J824" s="203"/>
      <c r="K824" s="205"/>
      <c r="L824" s="205"/>
      <c r="M824" s="205"/>
    </row>
    <row r="825">
      <c r="A825" s="202"/>
      <c r="B825" s="202"/>
      <c r="C825" s="202"/>
      <c r="D825" s="202"/>
      <c r="E825" s="203"/>
      <c r="F825" s="204"/>
      <c r="G825" s="204"/>
      <c r="H825" s="204"/>
      <c r="I825" s="204"/>
      <c r="J825" s="203"/>
      <c r="K825" s="205"/>
      <c r="L825" s="205"/>
      <c r="M825" s="205"/>
    </row>
    <row r="826">
      <c r="A826" s="202"/>
      <c r="B826" s="202"/>
      <c r="C826" s="202"/>
      <c r="D826" s="202"/>
      <c r="E826" s="203"/>
      <c r="F826" s="204"/>
      <c r="G826" s="204"/>
      <c r="H826" s="204"/>
      <c r="I826" s="204"/>
      <c r="J826" s="203"/>
      <c r="K826" s="205"/>
      <c r="L826" s="205"/>
      <c r="M826" s="205"/>
    </row>
    <row r="827">
      <c r="A827" s="202"/>
      <c r="B827" s="202"/>
      <c r="C827" s="202"/>
      <c r="D827" s="202"/>
      <c r="E827" s="203"/>
      <c r="F827" s="204"/>
      <c r="G827" s="204"/>
      <c r="H827" s="204"/>
      <c r="I827" s="204"/>
      <c r="J827" s="203"/>
      <c r="K827" s="205"/>
      <c r="L827" s="205"/>
      <c r="M827" s="205"/>
    </row>
    <row r="828">
      <c r="A828" s="202"/>
      <c r="B828" s="202"/>
      <c r="C828" s="202"/>
      <c r="D828" s="202"/>
      <c r="E828" s="203"/>
      <c r="F828" s="204"/>
      <c r="G828" s="204"/>
      <c r="H828" s="204"/>
      <c r="I828" s="204"/>
      <c r="J828" s="203"/>
      <c r="K828" s="205"/>
      <c r="L828" s="205"/>
      <c r="M828" s="205"/>
    </row>
    <row r="829">
      <c r="A829" s="202"/>
      <c r="B829" s="202"/>
      <c r="C829" s="202"/>
      <c r="D829" s="202"/>
      <c r="E829" s="203"/>
      <c r="F829" s="204"/>
      <c r="G829" s="204"/>
      <c r="H829" s="204"/>
      <c r="I829" s="204"/>
      <c r="J829" s="203"/>
      <c r="K829" s="205"/>
      <c r="L829" s="205"/>
      <c r="M829" s="205"/>
    </row>
    <row r="830">
      <c r="A830" s="202"/>
      <c r="B830" s="202"/>
      <c r="C830" s="202"/>
      <c r="D830" s="202"/>
      <c r="E830" s="203"/>
      <c r="F830" s="204"/>
      <c r="G830" s="204"/>
      <c r="H830" s="204"/>
      <c r="I830" s="204"/>
      <c r="J830" s="203"/>
      <c r="K830" s="205"/>
      <c r="L830" s="205"/>
      <c r="M830" s="205"/>
    </row>
    <row r="831">
      <c r="A831" s="202"/>
      <c r="B831" s="202"/>
      <c r="C831" s="202"/>
      <c r="D831" s="202"/>
      <c r="E831" s="203"/>
      <c r="F831" s="204"/>
      <c r="G831" s="204"/>
      <c r="H831" s="204"/>
      <c r="I831" s="204"/>
      <c r="J831" s="203"/>
      <c r="K831" s="205"/>
      <c r="L831" s="205"/>
      <c r="M831" s="205"/>
    </row>
    <row r="832">
      <c r="A832" s="202"/>
      <c r="B832" s="202"/>
      <c r="C832" s="202"/>
      <c r="D832" s="202"/>
      <c r="E832" s="203"/>
      <c r="F832" s="204"/>
      <c r="G832" s="204"/>
      <c r="H832" s="204"/>
      <c r="I832" s="204"/>
      <c r="J832" s="203"/>
      <c r="K832" s="205"/>
      <c r="L832" s="205"/>
      <c r="M832" s="205"/>
    </row>
    <row r="833">
      <c r="A833" s="202"/>
      <c r="B833" s="202"/>
      <c r="C833" s="202"/>
      <c r="D833" s="202"/>
      <c r="E833" s="203"/>
      <c r="F833" s="204"/>
      <c r="G833" s="204"/>
      <c r="H833" s="204"/>
      <c r="I833" s="204"/>
      <c r="J833" s="203"/>
      <c r="K833" s="205"/>
      <c r="L833" s="205"/>
      <c r="M833" s="205"/>
    </row>
    <row r="834">
      <c r="A834" s="202"/>
      <c r="B834" s="202"/>
      <c r="C834" s="202"/>
      <c r="D834" s="202"/>
      <c r="E834" s="203"/>
      <c r="F834" s="204"/>
      <c r="G834" s="204"/>
      <c r="H834" s="204"/>
      <c r="I834" s="204"/>
      <c r="J834" s="203"/>
      <c r="K834" s="205"/>
      <c r="L834" s="205"/>
      <c r="M834" s="205"/>
    </row>
    <row r="835">
      <c r="A835" s="202"/>
      <c r="B835" s="202"/>
      <c r="C835" s="202"/>
      <c r="D835" s="202"/>
      <c r="E835" s="203"/>
      <c r="F835" s="204"/>
      <c r="G835" s="204"/>
      <c r="H835" s="204"/>
      <c r="I835" s="204"/>
      <c r="J835" s="203"/>
      <c r="K835" s="205"/>
      <c r="L835" s="205"/>
      <c r="M835" s="205"/>
    </row>
    <row r="836">
      <c r="A836" s="202"/>
      <c r="B836" s="202"/>
      <c r="C836" s="202"/>
      <c r="D836" s="202"/>
      <c r="E836" s="203"/>
      <c r="F836" s="204"/>
      <c r="G836" s="204"/>
      <c r="H836" s="204"/>
      <c r="I836" s="204"/>
      <c r="J836" s="203"/>
      <c r="K836" s="205"/>
      <c r="L836" s="205"/>
      <c r="M836" s="205"/>
    </row>
    <row r="837">
      <c r="A837" s="202"/>
      <c r="B837" s="202"/>
      <c r="C837" s="202"/>
      <c r="D837" s="202"/>
      <c r="E837" s="203"/>
      <c r="F837" s="204"/>
      <c r="G837" s="204"/>
      <c r="H837" s="204"/>
      <c r="I837" s="204"/>
      <c r="J837" s="203"/>
      <c r="K837" s="205"/>
      <c r="L837" s="205"/>
      <c r="M837" s="205"/>
    </row>
    <row r="838">
      <c r="A838" s="202"/>
      <c r="B838" s="202"/>
      <c r="C838" s="202"/>
      <c r="D838" s="202"/>
      <c r="E838" s="203"/>
      <c r="F838" s="204"/>
      <c r="G838" s="204"/>
      <c r="H838" s="204"/>
      <c r="I838" s="204"/>
      <c r="J838" s="203"/>
      <c r="K838" s="205"/>
      <c r="L838" s="205"/>
      <c r="M838" s="205"/>
    </row>
    <row r="839">
      <c r="A839" s="202"/>
      <c r="B839" s="202"/>
      <c r="C839" s="202"/>
      <c r="D839" s="202"/>
      <c r="E839" s="203"/>
      <c r="F839" s="204"/>
      <c r="G839" s="204"/>
      <c r="H839" s="204"/>
      <c r="I839" s="204"/>
      <c r="J839" s="203"/>
      <c r="K839" s="205"/>
      <c r="L839" s="205"/>
      <c r="M839" s="205"/>
    </row>
    <row r="840">
      <c r="A840" s="202"/>
      <c r="B840" s="202"/>
      <c r="C840" s="202"/>
      <c r="D840" s="202"/>
      <c r="E840" s="203"/>
      <c r="F840" s="204"/>
      <c r="G840" s="204"/>
      <c r="H840" s="204"/>
      <c r="I840" s="204"/>
      <c r="J840" s="203"/>
      <c r="K840" s="205"/>
      <c r="L840" s="205"/>
      <c r="M840" s="205"/>
    </row>
    <row r="841">
      <c r="A841" s="202"/>
      <c r="B841" s="202"/>
      <c r="C841" s="202"/>
      <c r="D841" s="202"/>
      <c r="E841" s="203"/>
      <c r="F841" s="204"/>
      <c r="G841" s="204"/>
      <c r="H841" s="204"/>
      <c r="I841" s="204"/>
      <c r="J841" s="203"/>
      <c r="K841" s="205"/>
      <c r="L841" s="205"/>
      <c r="M841" s="205"/>
    </row>
    <row r="842">
      <c r="A842" s="202"/>
      <c r="B842" s="202"/>
      <c r="C842" s="202"/>
      <c r="D842" s="202"/>
      <c r="E842" s="203"/>
      <c r="F842" s="204"/>
      <c r="G842" s="204"/>
      <c r="H842" s="204"/>
      <c r="I842" s="204"/>
      <c r="J842" s="203"/>
      <c r="K842" s="205"/>
      <c r="L842" s="205"/>
      <c r="M842" s="205"/>
    </row>
    <row r="843">
      <c r="A843" s="202"/>
      <c r="B843" s="202"/>
      <c r="C843" s="202"/>
      <c r="D843" s="202"/>
      <c r="E843" s="203"/>
      <c r="F843" s="204"/>
      <c r="G843" s="204"/>
      <c r="H843" s="204"/>
      <c r="I843" s="204"/>
      <c r="J843" s="203"/>
      <c r="K843" s="205"/>
      <c r="L843" s="205"/>
      <c r="M843" s="205"/>
    </row>
    <row r="844">
      <c r="A844" s="202"/>
      <c r="B844" s="202"/>
      <c r="C844" s="202"/>
      <c r="D844" s="202"/>
      <c r="E844" s="203"/>
      <c r="F844" s="204"/>
      <c r="G844" s="204"/>
      <c r="H844" s="204"/>
      <c r="I844" s="204"/>
      <c r="J844" s="203"/>
      <c r="K844" s="205"/>
      <c r="L844" s="205"/>
      <c r="M844" s="205"/>
    </row>
    <row r="845">
      <c r="A845" s="202"/>
      <c r="B845" s="202"/>
      <c r="C845" s="202"/>
      <c r="D845" s="202"/>
      <c r="E845" s="203"/>
      <c r="F845" s="204"/>
      <c r="G845" s="204"/>
      <c r="H845" s="204"/>
      <c r="I845" s="204"/>
      <c r="J845" s="203"/>
      <c r="K845" s="205"/>
      <c r="L845" s="205"/>
      <c r="M845" s="205"/>
    </row>
    <row r="846">
      <c r="A846" s="202"/>
      <c r="B846" s="202"/>
      <c r="C846" s="202"/>
      <c r="D846" s="202"/>
      <c r="E846" s="203"/>
      <c r="F846" s="204"/>
      <c r="G846" s="204"/>
      <c r="H846" s="204"/>
      <c r="I846" s="204"/>
      <c r="J846" s="203"/>
      <c r="K846" s="205"/>
      <c r="L846" s="205"/>
      <c r="M846" s="205"/>
    </row>
    <row r="847">
      <c r="A847" s="202"/>
      <c r="B847" s="202"/>
      <c r="C847" s="202"/>
      <c r="D847" s="202"/>
      <c r="E847" s="203"/>
      <c r="F847" s="204"/>
      <c r="G847" s="204"/>
      <c r="H847" s="204"/>
      <c r="I847" s="204"/>
      <c r="J847" s="203"/>
      <c r="K847" s="205"/>
      <c r="L847" s="205"/>
      <c r="M847" s="205"/>
    </row>
    <row r="848">
      <c r="A848" s="202"/>
      <c r="B848" s="202"/>
      <c r="C848" s="202"/>
      <c r="D848" s="202"/>
      <c r="E848" s="203"/>
      <c r="F848" s="204"/>
      <c r="G848" s="204"/>
      <c r="H848" s="204"/>
      <c r="I848" s="204"/>
      <c r="J848" s="203"/>
      <c r="K848" s="205"/>
      <c r="L848" s="205"/>
      <c r="M848" s="205"/>
    </row>
    <row r="849">
      <c r="A849" s="202"/>
      <c r="B849" s="202"/>
      <c r="C849" s="202"/>
      <c r="D849" s="202"/>
      <c r="E849" s="203"/>
      <c r="F849" s="204"/>
      <c r="G849" s="204"/>
      <c r="H849" s="204"/>
      <c r="I849" s="204"/>
      <c r="J849" s="203"/>
      <c r="K849" s="205"/>
      <c r="L849" s="205"/>
      <c r="M849" s="205"/>
    </row>
    <row r="850">
      <c r="A850" s="202"/>
      <c r="B850" s="202"/>
      <c r="C850" s="202"/>
      <c r="D850" s="202"/>
      <c r="E850" s="203"/>
      <c r="F850" s="204"/>
      <c r="G850" s="204"/>
      <c r="H850" s="204"/>
      <c r="I850" s="204"/>
      <c r="J850" s="203"/>
      <c r="K850" s="205"/>
      <c r="L850" s="205"/>
      <c r="M850" s="205"/>
    </row>
    <row r="851">
      <c r="A851" s="202"/>
      <c r="B851" s="202"/>
      <c r="C851" s="202"/>
      <c r="D851" s="202"/>
      <c r="E851" s="203"/>
      <c r="F851" s="204"/>
      <c r="G851" s="204"/>
      <c r="H851" s="204"/>
      <c r="I851" s="204"/>
      <c r="J851" s="203"/>
      <c r="K851" s="205"/>
      <c r="L851" s="205"/>
      <c r="M851" s="205"/>
    </row>
    <row r="852">
      <c r="A852" s="202"/>
      <c r="B852" s="202"/>
      <c r="C852" s="202"/>
      <c r="D852" s="202"/>
      <c r="E852" s="203"/>
      <c r="F852" s="204"/>
      <c r="G852" s="204"/>
      <c r="H852" s="204"/>
      <c r="I852" s="204"/>
      <c r="J852" s="203"/>
      <c r="K852" s="205"/>
      <c r="L852" s="205"/>
      <c r="M852" s="205"/>
    </row>
    <row r="853">
      <c r="A853" s="202"/>
      <c r="B853" s="202"/>
      <c r="C853" s="202"/>
      <c r="D853" s="202"/>
      <c r="E853" s="203"/>
      <c r="F853" s="204"/>
      <c r="G853" s="204"/>
      <c r="H853" s="204"/>
      <c r="I853" s="204"/>
      <c r="J853" s="203"/>
      <c r="K853" s="205"/>
      <c r="L853" s="205"/>
      <c r="M853" s="205"/>
    </row>
    <row r="854">
      <c r="A854" s="202"/>
      <c r="B854" s="202"/>
      <c r="C854" s="202"/>
      <c r="D854" s="202"/>
      <c r="E854" s="203"/>
      <c r="F854" s="204"/>
      <c r="G854" s="204"/>
      <c r="H854" s="204"/>
      <c r="I854" s="204"/>
      <c r="J854" s="203"/>
      <c r="K854" s="205"/>
      <c r="L854" s="205"/>
      <c r="M854" s="205"/>
    </row>
    <row r="855">
      <c r="A855" s="202"/>
      <c r="B855" s="202"/>
      <c r="C855" s="202"/>
      <c r="D855" s="202"/>
      <c r="E855" s="203"/>
      <c r="F855" s="204"/>
      <c r="G855" s="204"/>
      <c r="H855" s="204"/>
      <c r="I855" s="204"/>
      <c r="J855" s="203"/>
      <c r="K855" s="205"/>
      <c r="L855" s="205"/>
      <c r="M855" s="205"/>
    </row>
    <row r="856">
      <c r="A856" s="202"/>
      <c r="B856" s="202"/>
      <c r="C856" s="202"/>
      <c r="D856" s="202"/>
      <c r="E856" s="203"/>
      <c r="F856" s="204"/>
      <c r="G856" s="204"/>
      <c r="H856" s="204"/>
      <c r="I856" s="204"/>
      <c r="J856" s="203"/>
      <c r="K856" s="205"/>
      <c r="L856" s="205"/>
      <c r="M856" s="205"/>
    </row>
    <row r="857">
      <c r="A857" s="202"/>
      <c r="B857" s="202"/>
      <c r="C857" s="202"/>
      <c r="D857" s="202"/>
      <c r="E857" s="203"/>
      <c r="F857" s="204"/>
      <c r="G857" s="204"/>
      <c r="H857" s="204"/>
      <c r="I857" s="204"/>
      <c r="J857" s="203"/>
      <c r="K857" s="205"/>
      <c r="L857" s="205"/>
      <c r="M857" s="205"/>
    </row>
    <row r="858">
      <c r="A858" s="202"/>
      <c r="B858" s="202"/>
      <c r="C858" s="202"/>
      <c r="D858" s="202"/>
      <c r="E858" s="203"/>
      <c r="F858" s="204"/>
      <c r="G858" s="204"/>
      <c r="H858" s="204"/>
      <c r="I858" s="204"/>
      <c r="J858" s="203"/>
      <c r="K858" s="205"/>
      <c r="L858" s="205"/>
      <c r="M858" s="205"/>
    </row>
    <row r="859">
      <c r="A859" s="202"/>
      <c r="B859" s="202"/>
      <c r="C859" s="202"/>
      <c r="D859" s="202"/>
      <c r="E859" s="203"/>
      <c r="F859" s="204"/>
      <c r="G859" s="204"/>
      <c r="H859" s="204"/>
      <c r="I859" s="204"/>
      <c r="J859" s="203"/>
      <c r="K859" s="205"/>
      <c r="L859" s="205"/>
      <c r="M859" s="205"/>
    </row>
    <row r="860">
      <c r="A860" s="202"/>
      <c r="B860" s="202"/>
      <c r="C860" s="202"/>
      <c r="D860" s="202"/>
      <c r="E860" s="203"/>
      <c r="F860" s="204"/>
      <c r="G860" s="204"/>
      <c r="H860" s="204"/>
      <c r="I860" s="204"/>
      <c r="J860" s="203"/>
      <c r="K860" s="205"/>
      <c r="L860" s="205"/>
      <c r="M860" s="205"/>
    </row>
    <row r="861">
      <c r="A861" s="202"/>
      <c r="B861" s="202"/>
      <c r="C861" s="202"/>
      <c r="D861" s="202"/>
      <c r="E861" s="203"/>
      <c r="F861" s="204"/>
      <c r="G861" s="204"/>
      <c r="H861" s="204"/>
      <c r="I861" s="204"/>
      <c r="J861" s="203"/>
      <c r="K861" s="205"/>
      <c r="L861" s="205"/>
      <c r="M861" s="205"/>
    </row>
    <row r="862">
      <c r="A862" s="202"/>
      <c r="B862" s="202"/>
      <c r="C862" s="202"/>
      <c r="D862" s="202"/>
      <c r="E862" s="203"/>
      <c r="F862" s="204"/>
      <c r="G862" s="204"/>
      <c r="H862" s="204"/>
      <c r="I862" s="204"/>
      <c r="J862" s="203"/>
      <c r="K862" s="205"/>
      <c r="L862" s="205"/>
      <c r="M862" s="205"/>
    </row>
    <row r="863">
      <c r="A863" s="202"/>
      <c r="B863" s="202"/>
      <c r="C863" s="202"/>
      <c r="D863" s="202"/>
      <c r="E863" s="203"/>
      <c r="F863" s="204"/>
      <c r="G863" s="204"/>
      <c r="H863" s="204"/>
      <c r="I863" s="204"/>
      <c r="J863" s="203"/>
      <c r="K863" s="205"/>
      <c r="L863" s="205"/>
      <c r="M863" s="205"/>
    </row>
    <row r="864">
      <c r="A864" s="202"/>
      <c r="B864" s="202"/>
      <c r="C864" s="202"/>
      <c r="D864" s="202"/>
      <c r="E864" s="203"/>
      <c r="F864" s="204"/>
      <c r="G864" s="204"/>
      <c r="H864" s="204"/>
      <c r="I864" s="204"/>
      <c r="J864" s="203"/>
      <c r="K864" s="205"/>
      <c r="L864" s="205"/>
      <c r="M864" s="205"/>
    </row>
    <row r="865">
      <c r="A865" s="202"/>
      <c r="B865" s="202"/>
      <c r="C865" s="202"/>
      <c r="D865" s="202"/>
      <c r="E865" s="203"/>
      <c r="F865" s="204"/>
      <c r="G865" s="204"/>
      <c r="H865" s="204"/>
      <c r="I865" s="204"/>
      <c r="J865" s="203"/>
      <c r="K865" s="205"/>
      <c r="L865" s="205"/>
      <c r="M865" s="205"/>
    </row>
    <row r="866">
      <c r="A866" s="202"/>
      <c r="B866" s="202"/>
      <c r="C866" s="202"/>
      <c r="D866" s="202"/>
      <c r="E866" s="203"/>
      <c r="F866" s="204"/>
      <c r="G866" s="204"/>
      <c r="H866" s="204"/>
      <c r="I866" s="204"/>
      <c r="J866" s="203"/>
      <c r="K866" s="205"/>
      <c r="L866" s="205"/>
      <c r="M866" s="205"/>
    </row>
    <row r="867">
      <c r="A867" s="202"/>
      <c r="B867" s="202"/>
      <c r="C867" s="202"/>
      <c r="D867" s="202"/>
      <c r="E867" s="203"/>
      <c r="F867" s="204"/>
      <c r="G867" s="204"/>
      <c r="H867" s="204"/>
      <c r="I867" s="204"/>
      <c r="J867" s="203"/>
      <c r="K867" s="205"/>
      <c r="L867" s="205"/>
      <c r="M867" s="205"/>
    </row>
    <row r="868">
      <c r="A868" s="202"/>
      <c r="B868" s="202"/>
      <c r="C868" s="202"/>
      <c r="D868" s="202"/>
      <c r="E868" s="203"/>
      <c r="F868" s="204"/>
      <c r="G868" s="204"/>
      <c r="H868" s="204"/>
      <c r="I868" s="204"/>
      <c r="J868" s="203"/>
      <c r="K868" s="205"/>
      <c r="L868" s="205"/>
      <c r="M868" s="205"/>
    </row>
    <row r="869">
      <c r="A869" s="202"/>
      <c r="B869" s="202"/>
      <c r="C869" s="202"/>
      <c r="D869" s="202"/>
      <c r="E869" s="203"/>
      <c r="F869" s="204"/>
      <c r="G869" s="204"/>
      <c r="H869" s="204"/>
      <c r="I869" s="204"/>
      <c r="J869" s="203"/>
      <c r="K869" s="205"/>
      <c r="L869" s="205"/>
      <c r="M869" s="205"/>
    </row>
    <row r="870">
      <c r="A870" s="202"/>
      <c r="B870" s="202"/>
      <c r="C870" s="202"/>
      <c r="D870" s="202"/>
      <c r="E870" s="203"/>
      <c r="F870" s="204"/>
      <c r="G870" s="204"/>
      <c r="H870" s="204"/>
      <c r="I870" s="204"/>
      <c r="J870" s="203"/>
      <c r="K870" s="205"/>
      <c r="L870" s="205"/>
      <c r="M870" s="205"/>
    </row>
    <row r="871">
      <c r="A871" s="202"/>
      <c r="B871" s="202"/>
      <c r="C871" s="202"/>
      <c r="D871" s="202"/>
      <c r="E871" s="203"/>
      <c r="F871" s="204"/>
      <c r="G871" s="204"/>
      <c r="H871" s="204"/>
      <c r="I871" s="204"/>
      <c r="J871" s="203"/>
      <c r="K871" s="205"/>
      <c r="L871" s="205"/>
      <c r="M871" s="205"/>
    </row>
    <row r="872">
      <c r="A872" s="202"/>
      <c r="B872" s="202"/>
      <c r="C872" s="202"/>
      <c r="D872" s="202"/>
      <c r="E872" s="203"/>
      <c r="F872" s="204"/>
      <c r="G872" s="204"/>
      <c r="H872" s="204"/>
      <c r="I872" s="204"/>
      <c r="J872" s="203"/>
      <c r="K872" s="205"/>
      <c r="L872" s="205"/>
      <c r="M872" s="205"/>
    </row>
    <row r="873">
      <c r="A873" s="202"/>
      <c r="B873" s="202"/>
      <c r="C873" s="202"/>
      <c r="D873" s="202"/>
      <c r="E873" s="203"/>
      <c r="F873" s="204"/>
      <c r="G873" s="204"/>
      <c r="H873" s="204"/>
      <c r="I873" s="204"/>
      <c r="J873" s="203"/>
      <c r="K873" s="205"/>
      <c r="L873" s="205"/>
      <c r="M873" s="205"/>
    </row>
    <row r="874">
      <c r="A874" s="202"/>
      <c r="B874" s="202"/>
      <c r="C874" s="202"/>
      <c r="D874" s="202"/>
      <c r="E874" s="203"/>
      <c r="F874" s="204"/>
      <c r="G874" s="204"/>
      <c r="H874" s="204"/>
      <c r="I874" s="204"/>
      <c r="J874" s="203"/>
      <c r="K874" s="205"/>
      <c r="L874" s="205"/>
      <c r="M874" s="205"/>
    </row>
    <row r="875">
      <c r="A875" s="202"/>
      <c r="B875" s="202"/>
      <c r="C875" s="202"/>
      <c r="D875" s="202"/>
      <c r="E875" s="203"/>
      <c r="F875" s="204"/>
      <c r="G875" s="204"/>
      <c r="H875" s="204"/>
      <c r="I875" s="204"/>
      <c r="J875" s="203"/>
      <c r="K875" s="205"/>
      <c r="L875" s="205"/>
      <c r="M875" s="205"/>
    </row>
    <row r="876">
      <c r="A876" s="202"/>
      <c r="B876" s="202"/>
      <c r="C876" s="202"/>
      <c r="D876" s="202"/>
      <c r="E876" s="203"/>
      <c r="F876" s="204"/>
      <c r="G876" s="204"/>
      <c r="H876" s="204"/>
      <c r="I876" s="204"/>
      <c r="J876" s="203"/>
      <c r="K876" s="205"/>
      <c r="L876" s="205"/>
      <c r="M876" s="205"/>
    </row>
    <row r="877">
      <c r="A877" s="202"/>
      <c r="B877" s="202"/>
      <c r="C877" s="202"/>
      <c r="D877" s="202"/>
      <c r="E877" s="203"/>
      <c r="F877" s="204"/>
      <c r="G877" s="204"/>
      <c r="H877" s="204"/>
      <c r="I877" s="204"/>
      <c r="J877" s="203"/>
      <c r="K877" s="205"/>
      <c r="L877" s="205"/>
      <c r="M877" s="205"/>
    </row>
    <row r="878">
      <c r="A878" s="202"/>
      <c r="B878" s="202"/>
      <c r="C878" s="202"/>
      <c r="D878" s="202"/>
      <c r="E878" s="203"/>
      <c r="F878" s="204"/>
      <c r="G878" s="204"/>
      <c r="H878" s="204"/>
      <c r="I878" s="204"/>
      <c r="J878" s="203"/>
      <c r="K878" s="205"/>
      <c r="L878" s="205"/>
      <c r="M878" s="205"/>
    </row>
    <row r="879">
      <c r="A879" s="202"/>
      <c r="B879" s="202"/>
      <c r="C879" s="202"/>
      <c r="D879" s="202"/>
      <c r="E879" s="203"/>
      <c r="F879" s="204"/>
      <c r="G879" s="204"/>
      <c r="H879" s="204"/>
      <c r="I879" s="204"/>
      <c r="J879" s="203"/>
      <c r="K879" s="205"/>
      <c r="L879" s="205"/>
      <c r="M879" s="205"/>
    </row>
    <row r="880">
      <c r="A880" s="202"/>
      <c r="B880" s="202"/>
      <c r="C880" s="202"/>
      <c r="D880" s="202"/>
      <c r="E880" s="203"/>
      <c r="F880" s="204"/>
      <c r="G880" s="204"/>
      <c r="H880" s="204"/>
      <c r="I880" s="204"/>
      <c r="J880" s="203"/>
      <c r="K880" s="205"/>
      <c r="L880" s="205"/>
      <c r="M880" s="205"/>
    </row>
    <row r="881">
      <c r="A881" s="202"/>
      <c r="B881" s="202"/>
      <c r="C881" s="202"/>
      <c r="D881" s="202"/>
      <c r="E881" s="203"/>
      <c r="F881" s="204"/>
      <c r="G881" s="204"/>
      <c r="H881" s="204"/>
      <c r="I881" s="204"/>
      <c r="J881" s="203"/>
      <c r="K881" s="205"/>
      <c r="L881" s="205"/>
      <c r="M881" s="205"/>
    </row>
    <row r="882">
      <c r="A882" s="202"/>
      <c r="B882" s="202"/>
      <c r="C882" s="202"/>
      <c r="D882" s="202"/>
      <c r="E882" s="203"/>
      <c r="F882" s="204"/>
      <c r="G882" s="204"/>
      <c r="H882" s="204"/>
      <c r="I882" s="204"/>
      <c r="J882" s="203"/>
      <c r="K882" s="205"/>
      <c r="L882" s="205"/>
      <c r="M882" s="205"/>
    </row>
    <row r="883">
      <c r="A883" s="202"/>
      <c r="B883" s="202"/>
      <c r="C883" s="202"/>
      <c r="D883" s="202"/>
      <c r="E883" s="203"/>
      <c r="F883" s="204"/>
      <c r="G883" s="204"/>
      <c r="H883" s="204"/>
      <c r="I883" s="204"/>
      <c r="J883" s="203"/>
      <c r="K883" s="205"/>
      <c r="L883" s="205"/>
      <c r="M883" s="205"/>
    </row>
    <row r="884">
      <c r="A884" s="202"/>
      <c r="B884" s="202"/>
      <c r="C884" s="202"/>
      <c r="D884" s="202"/>
      <c r="E884" s="203"/>
      <c r="F884" s="204"/>
      <c r="G884" s="204"/>
      <c r="H884" s="204"/>
      <c r="I884" s="204"/>
      <c r="J884" s="203"/>
      <c r="K884" s="205"/>
      <c r="L884" s="205"/>
      <c r="M884" s="205"/>
    </row>
    <row r="885">
      <c r="A885" s="202"/>
      <c r="B885" s="202"/>
      <c r="C885" s="202"/>
      <c r="D885" s="202"/>
      <c r="E885" s="203"/>
      <c r="F885" s="204"/>
      <c r="G885" s="204"/>
      <c r="H885" s="204"/>
      <c r="I885" s="204"/>
      <c r="J885" s="203"/>
      <c r="K885" s="205"/>
      <c r="L885" s="205"/>
      <c r="M885" s="205"/>
    </row>
    <row r="886">
      <c r="A886" s="202"/>
      <c r="B886" s="202"/>
      <c r="C886" s="202"/>
      <c r="D886" s="202"/>
      <c r="E886" s="203"/>
      <c r="F886" s="204"/>
      <c r="G886" s="204"/>
      <c r="H886" s="204"/>
      <c r="I886" s="204"/>
      <c r="J886" s="203"/>
      <c r="K886" s="205"/>
      <c r="L886" s="205"/>
      <c r="M886" s="205"/>
    </row>
    <row r="887">
      <c r="A887" s="202"/>
      <c r="B887" s="202"/>
      <c r="C887" s="202"/>
      <c r="D887" s="202"/>
      <c r="E887" s="203"/>
      <c r="F887" s="204"/>
      <c r="G887" s="204"/>
      <c r="H887" s="204"/>
      <c r="I887" s="204"/>
      <c r="J887" s="203"/>
      <c r="K887" s="205"/>
      <c r="L887" s="205"/>
      <c r="M887" s="205"/>
    </row>
    <row r="888">
      <c r="A888" s="202"/>
      <c r="B888" s="202"/>
      <c r="C888" s="202"/>
      <c r="D888" s="202"/>
      <c r="E888" s="203"/>
      <c r="F888" s="204"/>
      <c r="G888" s="204"/>
      <c r="H888" s="204"/>
      <c r="I888" s="204"/>
      <c r="J888" s="203"/>
      <c r="K888" s="205"/>
      <c r="L888" s="205"/>
      <c r="M888" s="205"/>
    </row>
    <row r="889">
      <c r="A889" s="202"/>
      <c r="B889" s="202"/>
      <c r="C889" s="202"/>
      <c r="D889" s="202"/>
      <c r="E889" s="203"/>
      <c r="F889" s="204"/>
      <c r="G889" s="204"/>
      <c r="H889" s="204"/>
      <c r="I889" s="204"/>
      <c r="J889" s="203"/>
      <c r="K889" s="205"/>
      <c r="L889" s="205"/>
      <c r="M889" s="205"/>
    </row>
    <row r="890">
      <c r="A890" s="202"/>
      <c r="B890" s="202"/>
      <c r="C890" s="202"/>
      <c r="D890" s="202"/>
      <c r="E890" s="203"/>
      <c r="F890" s="204"/>
      <c r="G890" s="204"/>
      <c r="H890" s="204"/>
      <c r="I890" s="204"/>
      <c r="J890" s="203"/>
      <c r="K890" s="205"/>
      <c r="L890" s="205"/>
      <c r="M890" s="205"/>
    </row>
    <row r="891">
      <c r="A891" s="202"/>
      <c r="B891" s="202"/>
      <c r="C891" s="202"/>
      <c r="D891" s="202"/>
      <c r="E891" s="203"/>
      <c r="F891" s="204"/>
      <c r="G891" s="204"/>
      <c r="H891" s="204"/>
      <c r="I891" s="204"/>
      <c r="J891" s="203"/>
      <c r="K891" s="205"/>
      <c r="L891" s="205"/>
      <c r="M891" s="205"/>
    </row>
    <row r="892">
      <c r="A892" s="202"/>
      <c r="B892" s="202"/>
      <c r="C892" s="202"/>
      <c r="D892" s="202"/>
      <c r="E892" s="203"/>
      <c r="F892" s="204"/>
      <c r="G892" s="204"/>
      <c r="H892" s="204"/>
      <c r="I892" s="204"/>
      <c r="J892" s="203"/>
      <c r="K892" s="205"/>
      <c r="L892" s="205"/>
      <c r="M892" s="205"/>
    </row>
    <row r="893">
      <c r="A893" s="202"/>
      <c r="B893" s="202"/>
      <c r="C893" s="202"/>
      <c r="D893" s="202"/>
      <c r="E893" s="203"/>
      <c r="F893" s="204"/>
      <c r="G893" s="204"/>
      <c r="H893" s="204"/>
      <c r="I893" s="204"/>
      <c r="J893" s="203"/>
      <c r="K893" s="205"/>
      <c r="L893" s="205"/>
      <c r="M893" s="205"/>
    </row>
    <row r="894">
      <c r="A894" s="202"/>
      <c r="B894" s="202"/>
      <c r="C894" s="202"/>
      <c r="D894" s="202"/>
      <c r="E894" s="203"/>
      <c r="F894" s="204"/>
      <c r="G894" s="204"/>
      <c r="H894" s="204"/>
      <c r="I894" s="204"/>
      <c r="J894" s="203"/>
      <c r="K894" s="205"/>
      <c r="L894" s="205"/>
      <c r="M894" s="205"/>
    </row>
    <row r="895">
      <c r="A895" s="202"/>
      <c r="B895" s="202"/>
      <c r="C895" s="202"/>
      <c r="D895" s="202"/>
      <c r="E895" s="203"/>
      <c r="F895" s="204"/>
      <c r="G895" s="204"/>
      <c r="H895" s="204"/>
      <c r="I895" s="204"/>
      <c r="J895" s="203"/>
      <c r="K895" s="205"/>
      <c r="L895" s="205"/>
      <c r="M895" s="205"/>
    </row>
    <row r="896">
      <c r="A896" s="202"/>
      <c r="B896" s="202"/>
      <c r="C896" s="202"/>
      <c r="D896" s="202"/>
      <c r="E896" s="203"/>
      <c r="F896" s="204"/>
      <c r="G896" s="204"/>
      <c r="H896" s="204"/>
      <c r="I896" s="204"/>
      <c r="J896" s="203"/>
      <c r="K896" s="205"/>
      <c r="L896" s="205"/>
      <c r="M896" s="205"/>
    </row>
    <row r="897">
      <c r="A897" s="202"/>
      <c r="B897" s="202"/>
      <c r="C897" s="202"/>
      <c r="D897" s="202"/>
      <c r="E897" s="203"/>
      <c r="F897" s="204"/>
      <c r="G897" s="204"/>
      <c r="H897" s="204"/>
      <c r="I897" s="204"/>
      <c r="J897" s="203"/>
      <c r="K897" s="205"/>
      <c r="L897" s="205"/>
      <c r="M897" s="205"/>
    </row>
    <row r="898">
      <c r="A898" s="202"/>
      <c r="B898" s="202"/>
      <c r="C898" s="202"/>
      <c r="D898" s="202"/>
      <c r="E898" s="203"/>
      <c r="F898" s="204"/>
      <c r="G898" s="204"/>
      <c r="H898" s="204"/>
      <c r="I898" s="204"/>
      <c r="J898" s="203"/>
      <c r="K898" s="205"/>
      <c r="L898" s="205"/>
      <c r="M898" s="205"/>
    </row>
    <row r="899">
      <c r="A899" s="202"/>
      <c r="B899" s="202"/>
      <c r="C899" s="202"/>
      <c r="D899" s="202"/>
      <c r="E899" s="203"/>
      <c r="F899" s="204"/>
      <c r="G899" s="204"/>
      <c r="H899" s="204"/>
      <c r="I899" s="204"/>
      <c r="J899" s="203"/>
      <c r="K899" s="205"/>
      <c r="L899" s="205"/>
      <c r="M899" s="205"/>
    </row>
    <row r="900">
      <c r="A900" s="202"/>
      <c r="B900" s="202"/>
      <c r="C900" s="202"/>
      <c r="D900" s="202"/>
      <c r="E900" s="203"/>
      <c r="F900" s="204"/>
      <c r="G900" s="204"/>
      <c r="H900" s="204"/>
      <c r="I900" s="204"/>
      <c r="J900" s="203"/>
      <c r="K900" s="205"/>
      <c r="L900" s="205"/>
      <c r="M900" s="205"/>
    </row>
    <row r="901">
      <c r="A901" s="202"/>
      <c r="B901" s="202"/>
      <c r="C901" s="202"/>
      <c r="D901" s="202"/>
      <c r="E901" s="203"/>
      <c r="F901" s="204"/>
      <c r="G901" s="204"/>
      <c r="H901" s="204"/>
      <c r="I901" s="204"/>
      <c r="J901" s="203"/>
      <c r="K901" s="205"/>
      <c r="L901" s="205"/>
      <c r="M901" s="205"/>
    </row>
    <row r="902">
      <c r="A902" s="202"/>
      <c r="B902" s="202"/>
      <c r="C902" s="202"/>
      <c r="D902" s="202"/>
      <c r="E902" s="203"/>
      <c r="F902" s="204"/>
      <c r="G902" s="204"/>
      <c r="H902" s="204"/>
      <c r="I902" s="204"/>
      <c r="J902" s="203"/>
      <c r="K902" s="205"/>
      <c r="L902" s="205"/>
      <c r="M902" s="205"/>
    </row>
    <row r="903">
      <c r="A903" s="202"/>
      <c r="B903" s="202"/>
      <c r="C903" s="202"/>
      <c r="D903" s="202"/>
      <c r="E903" s="203"/>
      <c r="F903" s="204"/>
      <c r="G903" s="204"/>
      <c r="H903" s="204"/>
      <c r="I903" s="204"/>
      <c r="J903" s="203"/>
      <c r="K903" s="205"/>
      <c r="L903" s="205"/>
      <c r="M903" s="205"/>
    </row>
    <row r="904">
      <c r="A904" s="202"/>
      <c r="B904" s="202"/>
      <c r="C904" s="202"/>
      <c r="D904" s="202"/>
      <c r="E904" s="203"/>
      <c r="F904" s="204"/>
      <c r="G904" s="204"/>
      <c r="H904" s="204"/>
      <c r="I904" s="204"/>
      <c r="J904" s="203"/>
      <c r="K904" s="205"/>
      <c r="L904" s="205"/>
      <c r="M904" s="205"/>
    </row>
    <row r="905">
      <c r="A905" s="202"/>
      <c r="B905" s="202"/>
      <c r="C905" s="202"/>
      <c r="D905" s="202"/>
      <c r="E905" s="203"/>
      <c r="F905" s="204"/>
      <c r="G905" s="204"/>
      <c r="H905" s="204"/>
      <c r="I905" s="204"/>
      <c r="J905" s="203"/>
      <c r="K905" s="205"/>
      <c r="L905" s="205"/>
      <c r="M905" s="205"/>
    </row>
    <row r="906">
      <c r="A906" s="202"/>
      <c r="B906" s="202"/>
      <c r="C906" s="202"/>
      <c r="D906" s="202"/>
      <c r="E906" s="203"/>
      <c r="F906" s="204"/>
      <c r="G906" s="204"/>
      <c r="H906" s="204"/>
      <c r="I906" s="204"/>
      <c r="J906" s="203"/>
      <c r="K906" s="205"/>
      <c r="L906" s="205"/>
      <c r="M906" s="205"/>
    </row>
    <row r="907">
      <c r="A907" s="202"/>
      <c r="B907" s="202"/>
      <c r="C907" s="202"/>
      <c r="D907" s="202"/>
      <c r="E907" s="203"/>
      <c r="F907" s="204"/>
      <c r="G907" s="204"/>
      <c r="H907" s="204"/>
      <c r="I907" s="204"/>
      <c r="J907" s="203"/>
      <c r="K907" s="205"/>
      <c r="L907" s="205"/>
      <c r="M907" s="205"/>
    </row>
    <row r="908">
      <c r="A908" s="202"/>
      <c r="B908" s="202"/>
      <c r="C908" s="202"/>
      <c r="D908" s="202"/>
      <c r="E908" s="203"/>
      <c r="F908" s="204"/>
      <c r="G908" s="204"/>
      <c r="H908" s="204"/>
      <c r="I908" s="204"/>
      <c r="J908" s="203"/>
      <c r="K908" s="205"/>
      <c r="L908" s="205"/>
      <c r="M908" s="205"/>
    </row>
    <row r="909">
      <c r="A909" s="202"/>
      <c r="B909" s="202"/>
      <c r="C909" s="202"/>
      <c r="D909" s="202"/>
      <c r="E909" s="203"/>
      <c r="F909" s="204"/>
      <c r="G909" s="204"/>
      <c r="H909" s="204"/>
      <c r="I909" s="204"/>
      <c r="J909" s="203"/>
      <c r="K909" s="205"/>
      <c r="L909" s="205"/>
      <c r="M909" s="205"/>
    </row>
    <row r="910">
      <c r="A910" s="202"/>
      <c r="B910" s="202"/>
      <c r="C910" s="202"/>
      <c r="D910" s="202"/>
      <c r="E910" s="203"/>
      <c r="F910" s="204"/>
      <c r="G910" s="204"/>
      <c r="H910" s="204"/>
      <c r="I910" s="204"/>
      <c r="J910" s="203"/>
      <c r="K910" s="205"/>
      <c r="L910" s="205"/>
      <c r="M910" s="205"/>
    </row>
    <row r="911">
      <c r="A911" s="202"/>
      <c r="B911" s="202"/>
      <c r="C911" s="202"/>
      <c r="D911" s="202"/>
      <c r="E911" s="203"/>
      <c r="F911" s="204"/>
      <c r="G911" s="204"/>
      <c r="H911" s="204"/>
      <c r="I911" s="204"/>
      <c r="J911" s="203"/>
      <c r="K911" s="205"/>
      <c r="L911" s="205"/>
      <c r="M911" s="205"/>
    </row>
    <row r="912">
      <c r="A912" s="202"/>
      <c r="B912" s="202"/>
      <c r="C912" s="202"/>
      <c r="D912" s="202"/>
      <c r="E912" s="203"/>
      <c r="F912" s="204"/>
      <c r="G912" s="204"/>
      <c r="H912" s="204"/>
      <c r="I912" s="204"/>
      <c r="J912" s="203"/>
      <c r="K912" s="205"/>
      <c r="L912" s="205"/>
      <c r="M912" s="205"/>
    </row>
    <row r="913">
      <c r="A913" s="202"/>
      <c r="B913" s="202"/>
      <c r="C913" s="202"/>
      <c r="D913" s="202"/>
      <c r="E913" s="203"/>
      <c r="F913" s="204"/>
      <c r="G913" s="204"/>
      <c r="H913" s="204"/>
      <c r="I913" s="204"/>
      <c r="J913" s="203"/>
      <c r="K913" s="205"/>
      <c r="L913" s="205"/>
      <c r="M913" s="205"/>
    </row>
    <row r="914">
      <c r="A914" s="202"/>
      <c r="B914" s="202"/>
      <c r="C914" s="202"/>
      <c r="D914" s="202"/>
      <c r="E914" s="203"/>
      <c r="F914" s="204"/>
      <c r="G914" s="204"/>
      <c r="H914" s="204"/>
      <c r="I914" s="204"/>
      <c r="J914" s="203"/>
      <c r="K914" s="205"/>
      <c r="L914" s="205"/>
      <c r="M914" s="205"/>
    </row>
    <row r="915">
      <c r="A915" s="202"/>
      <c r="B915" s="202"/>
      <c r="C915" s="202"/>
      <c r="D915" s="202"/>
      <c r="E915" s="203"/>
      <c r="F915" s="204"/>
      <c r="G915" s="204"/>
      <c r="H915" s="204"/>
      <c r="I915" s="204"/>
      <c r="J915" s="203"/>
      <c r="K915" s="205"/>
      <c r="L915" s="205"/>
      <c r="M915" s="205"/>
    </row>
    <row r="916">
      <c r="A916" s="202"/>
      <c r="B916" s="202"/>
      <c r="C916" s="202"/>
      <c r="D916" s="202"/>
      <c r="E916" s="203"/>
      <c r="F916" s="204"/>
      <c r="G916" s="204"/>
      <c r="H916" s="204"/>
      <c r="I916" s="204"/>
      <c r="J916" s="203"/>
      <c r="K916" s="205"/>
      <c r="L916" s="205"/>
      <c r="M916" s="205"/>
    </row>
    <row r="917">
      <c r="A917" s="202"/>
      <c r="B917" s="202"/>
      <c r="C917" s="202"/>
      <c r="D917" s="202"/>
      <c r="E917" s="203"/>
      <c r="F917" s="204"/>
      <c r="G917" s="204"/>
      <c r="H917" s="204"/>
      <c r="I917" s="204"/>
      <c r="J917" s="203"/>
      <c r="K917" s="205"/>
      <c r="L917" s="205"/>
      <c r="M917" s="205"/>
    </row>
    <row r="918">
      <c r="A918" s="202"/>
      <c r="B918" s="202"/>
      <c r="C918" s="202"/>
      <c r="D918" s="202"/>
      <c r="E918" s="203"/>
      <c r="F918" s="204"/>
      <c r="G918" s="204"/>
      <c r="H918" s="204"/>
      <c r="I918" s="204"/>
      <c r="J918" s="203"/>
      <c r="K918" s="205"/>
      <c r="L918" s="205"/>
      <c r="M918" s="205"/>
    </row>
    <row r="919">
      <c r="A919" s="202"/>
      <c r="B919" s="202"/>
      <c r="C919" s="202"/>
      <c r="D919" s="202"/>
      <c r="E919" s="203"/>
      <c r="F919" s="204"/>
      <c r="G919" s="204"/>
      <c r="H919" s="204"/>
      <c r="I919" s="204"/>
      <c r="J919" s="203"/>
      <c r="K919" s="205"/>
      <c r="L919" s="205"/>
      <c r="M919" s="205"/>
    </row>
    <row r="920">
      <c r="A920" s="202"/>
      <c r="B920" s="202"/>
      <c r="C920" s="202"/>
      <c r="D920" s="202"/>
      <c r="E920" s="203"/>
      <c r="F920" s="204"/>
      <c r="G920" s="204"/>
      <c r="H920" s="204"/>
      <c r="I920" s="204"/>
      <c r="J920" s="203"/>
      <c r="K920" s="205"/>
      <c r="L920" s="205"/>
      <c r="M920" s="205"/>
    </row>
    <row r="921">
      <c r="A921" s="202"/>
      <c r="B921" s="202"/>
      <c r="C921" s="202"/>
      <c r="D921" s="202"/>
      <c r="E921" s="203"/>
      <c r="F921" s="204"/>
      <c r="G921" s="204"/>
      <c r="H921" s="204"/>
      <c r="I921" s="204"/>
      <c r="J921" s="203"/>
      <c r="K921" s="205"/>
      <c r="L921" s="205"/>
      <c r="M921" s="205"/>
    </row>
    <row r="922">
      <c r="A922" s="202"/>
      <c r="B922" s="202"/>
      <c r="C922" s="202"/>
      <c r="D922" s="202"/>
      <c r="E922" s="203"/>
      <c r="F922" s="204"/>
      <c r="G922" s="204"/>
      <c r="H922" s="204"/>
      <c r="I922" s="204"/>
      <c r="J922" s="203"/>
      <c r="K922" s="205"/>
      <c r="L922" s="205"/>
      <c r="M922" s="205"/>
    </row>
    <row r="923">
      <c r="A923" s="202"/>
      <c r="B923" s="202"/>
      <c r="C923" s="202"/>
      <c r="D923" s="202"/>
      <c r="E923" s="203"/>
      <c r="F923" s="204"/>
      <c r="G923" s="204"/>
      <c r="H923" s="204"/>
      <c r="I923" s="204"/>
      <c r="J923" s="203"/>
      <c r="K923" s="205"/>
      <c r="L923" s="205"/>
      <c r="M923" s="205"/>
    </row>
    <row r="924">
      <c r="A924" s="202"/>
      <c r="B924" s="202"/>
      <c r="C924" s="202"/>
      <c r="D924" s="202"/>
      <c r="E924" s="203"/>
      <c r="F924" s="204"/>
      <c r="G924" s="204"/>
      <c r="H924" s="204"/>
      <c r="I924" s="204"/>
      <c r="J924" s="203"/>
      <c r="K924" s="205"/>
      <c r="L924" s="205"/>
      <c r="M924" s="205"/>
    </row>
    <row r="925">
      <c r="A925" s="202"/>
      <c r="B925" s="202"/>
      <c r="C925" s="202"/>
      <c r="D925" s="202"/>
      <c r="E925" s="203"/>
      <c r="F925" s="204"/>
      <c r="G925" s="204"/>
      <c r="H925" s="204"/>
      <c r="I925" s="204"/>
      <c r="J925" s="203"/>
      <c r="K925" s="205"/>
      <c r="L925" s="205"/>
      <c r="M925" s="205"/>
    </row>
    <row r="926">
      <c r="A926" s="202"/>
      <c r="B926" s="202"/>
      <c r="C926" s="202"/>
      <c r="D926" s="202"/>
      <c r="E926" s="203"/>
      <c r="F926" s="204"/>
      <c r="G926" s="204"/>
      <c r="H926" s="204"/>
      <c r="I926" s="204"/>
      <c r="J926" s="203"/>
      <c r="K926" s="205"/>
      <c r="L926" s="205"/>
      <c r="M926" s="205"/>
    </row>
    <row r="927">
      <c r="A927" s="202"/>
      <c r="B927" s="202"/>
      <c r="C927" s="202"/>
      <c r="D927" s="202"/>
      <c r="E927" s="203"/>
      <c r="F927" s="204"/>
      <c r="G927" s="204"/>
      <c r="H927" s="204"/>
      <c r="I927" s="204"/>
      <c r="J927" s="203"/>
      <c r="K927" s="205"/>
      <c r="L927" s="205"/>
      <c r="M927" s="205"/>
    </row>
    <row r="928">
      <c r="A928" s="202"/>
      <c r="B928" s="202"/>
      <c r="C928" s="202"/>
      <c r="D928" s="202"/>
      <c r="E928" s="203"/>
      <c r="F928" s="204"/>
      <c r="G928" s="204"/>
      <c r="H928" s="204"/>
      <c r="I928" s="204"/>
      <c r="J928" s="203"/>
      <c r="K928" s="205"/>
      <c r="L928" s="205"/>
      <c r="M928" s="205"/>
    </row>
    <row r="929">
      <c r="A929" s="202"/>
      <c r="B929" s="202"/>
      <c r="C929" s="202"/>
      <c r="D929" s="202"/>
      <c r="E929" s="203"/>
      <c r="F929" s="204"/>
      <c r="G929" s="204"/>
      <c r="H929" s="204"/>
      <c r="I929" s="204"/>
      <c r="J929" s="203"/>
      <c r="K929" s="205"/>
      <c r="L929" s="205"/>
      <c r="M929" s="205"/>
    </row>
    <row r="930">
      <c r="A930" s="202"/>
      <c r="B930" s="202"/>
      <c r="C930" s="202"/>
      <c r="D930" s="202"/>
      <c r="E930" s="203"/>
      <c r="F930" s="204"/>
      <c r="G930" s="204"/>
      <c r="H930" s="204"/>
      <c r="I930" s="204"/>
      <c r="J930" s="203"/>
      <c r="K930" s="205"/>
      <c r="L930" s="205"/>
      <c r="M930" s="205"/>
    </row>
    <row r="931">
      <c r="A931" s="202"/>
      <c r="B931" s="202"/>
      <c r="C931" s="202"/>
      <c r="D931" s="202"/>
      <c r="E931" s="203"/>
      <c r="F931" s="204"/>
      <c r="G931" s="204"/>
      <c r="H931" s="204"/>
      <c r="I931" s="204"/>
      <c r="J931" s="203"/>
      <c r="K931" s="205"/>
      <c r="L931" s="205"/>
      <c r="M931" s="205"/>
    </row>
    <row r="932">
      <c r="A932" s="202"/>
      <c r="B932" s="202"/>
      <c r="C932" s="202"/>
      <c r="D932" s="202"/>
      <c r="E932" s="203"/>
      <c r="F932" s="204"/>
      <c r="G932" s="204"/>
      <c r="H932" s="204"/>
      <c r="I932" s="204"/>
      <c r="J932" s="203"/>
      <c r="K932" s="205"/>
      <c r="L932" s="205"/>
      <c r="M932" s="205"/>
    </row>
    <row r="933">
      <c r="A933" s="202"/>
      <c r="B933" s="202"/>
      <c r="C933" s="202"/>
      <c r="D933" s="202"/>
      <c r="E933" s="203"/>
      <c r="F933" s="204"/>
      <c r="G933" s="204"/>
      <c r="H933" s="204"/>
      <c r="I933" s="204"/>
      <c r="J933" s="203"/>
      <c r="K933" s="205"/>
      <c r="L933" s="205"/>
      <c r="M933" s="205"/>
    </row>
    <row r="934">
      <c r="A934" s="202"/>
      <c r="B934" s="202"/>
      <c r="C934" s="202"/>
      <c r="D934" s="202"/>
      <c r="E934" s="203"/>
      <c r="F934" s="204"/>
      <c r="G934" s="204"/>
      <c r="H934" s="204"/>
      <c r="I934" s="204"/>
      <c r="J934" s="203"/>
      <c r="K934" s="205"/>
      <c r="L934" s="205"/>
      <c r="M934" s="205"/>
    </row>
    <row r="935">
      <c r="A935" s="202"/>
      <c r="B935" s="202"/>
      <c r="C935" s="202"/>
      <c r="D935" s="202"/>
      <c r="E935" s="203"/>
      <c r="F935" s="204"/>
      <c r="G935" s="204"/>
      <c r="H935" s="204"/>
      <c r="I935" s="204"/>
      <c r="J935" s="203"/>
      <c r="K935" s="205"/>
      <c r="L935" s="205"/>
      <c r="M935" s="205"/>
    </row>
    <row r="936">
      <c r="A936" s="202"/>
      <c r="B936" s="202"/>
      <c r="C936" s="202"/>
      <c r="D936" s="202"/>
      <c r="E936" s="203"/>
      <c r="F936" s="204"/>
      <c r="G936" s="204"/>
      <c r="H936" s="204"/>
      <c r="I936" s="204"/>
      <c r="J936" s="203"/>
      <c r="K936" s="205"/>
      <c r="L936" s="205"/>
      <c r="M936" s="205"/>
    </row>
    <row r="937">
      <c r="A937" s="202"/>
      <c r="B937" s="202"/>
      <c r="C937" s="202"/>
      <c r="D937" s="202"/>
      <c r="E937" s="203"/>
      <c r="F937" s="204"/>
      <c r="G937" s="204"/>
      <c r="H937" s="204"/>
      <c r="I937" s="204"/>
      <c r="J937" s="203"/>
      <c r="K937" s="205"/>
      <c r="L937" s="205"/>
      <c r="M937" s="205"/>
    </row>
    <row r="938">
      <c r="A938" s="202"/>
      <c r="B938" s="202"/>
      <c r="C938" s="202"/>
      <c r="D938" s="202"/>
      <c r="E938" s="203"/>
      <c r="F938" s="204"/>
      <c r="G938" s="204"/>
      <c r="H938" s="204"/>
      <c r="I938" s="204"/>
      <c r="J938" s="203"/>
      <c r="K938" s="205"/>
      <c r="L938" s="205"/>
      <c r="M938" s="205"/>
    </row>
    <row r="939">
      <c r="A939" s="202"/>
      <c r="B939" s="202"/>
      <c r="C939" s="202"/>
      <c r="D939" s="202"/>
      <c r="E939" s="203"/>
      <c r="F939" s="204"/>
      <c r="G939" s="204"/>
      <c r="H939" s="204"/>
      <c r="I939" s="204"/>
      <c r="J939" s="203"/>
      <c r="K939" s="205"/>
      <c r="L939" s="205"/>
      <c r="M939" s="205"/>
    </row>
    <row r="940">
      <c r="A940" s="202"/>
      <c r="B940" s="202"/>
      <c r="C940" s="202"/>
      <c r="D940" s="202"/>
      <c r="E940" s="203"/>
      <c r="F940" s="204"/>
      <c r="G940" s="204"/>
      <c r="H940" s="204"/>
      <c r="I940" s="204"/>
      <c r="J940" s="203"/>
      <c r="K940" s="205"/>
      <c r="L940" s="205"/>
      <c r="M940" s="205"/>
    </row>
    <row r="941">
      <c r="A941" s="202"/>
      <c r="B941" s="202"/>
      <c r="C941" s="202"/>
      <c r="D941" s="202"/>
      <c r="E941" s="203"/>
      <c r="F941" s="204"/>
      <c r="G941" s="204"/>
      <c r="H941" s="204"/>
      <c r="I941" s="204"/>
      <c r="J941" s="203"/>
      <c r="K941" s="205"/>
      <c r="L941" s="205"/>
      <c r="M941" s="205"/>
    </row>
    <row r="942">
      <c r="A942" s="202"/>
      <c r="B942" s="202"/>
      <c r="C942" s="202"/>
      <c r="D942" s="202"/>
      <c r="E942" s="203"/>
      <c r="F942" s="204"/>
      <c r="G942" s="204"/>
      <c r="H942" s="204"/>
      <c r="I942" s="204"/>
      <c r="J942" s="203"/>
      <c r="K942" s="205"/>
      <c r="L942" s="205"/>
      <c r="M942" s="205"/>
    </row>
    <row r="943">
      <c r="A943" s="202"/>
      <c r="B943" s="202"/>
      <c r="C943" s="202"/>
      <c r="D943" s="202"/>
      <c r="E943" s="203"/>
      <c r="F943" s="204"/>
      <c r="G943" s="204"/>
      <c r="H943" s="204"/>
      <c r="I943" s="204"/>
      <c r="J943" s="203"/>
      <c r="K943" s="205"/>
      <c r="L943" s="205"/>
      <c r="M943" s="205"/>
    </row>
    <row r="944">
      <c r="A944" s="202"/>
      <c r="B944" s="202"/>
      <c r="C944" s="202"/>
      <c r="D944" s="202"/>
      <c r="E944" s="203"/>
      <c r="F944" s="204"/>
      <c r="G944" s="204"/>
      <c r="H944" s="204"/>
      <c r="I944" s="204"/>
      <c r="J944" s="203"/>
      <c r="K944" s="205"/>
      <c r="L944" s="205"/>
      <c r="M944" s="205"/>
    </row>
    <row r="945">
      <c r="A945" s="202"/>
      <c r="B945" s="202"/>
      <c r="C945" s="202"/>
      <c r="D945" s="202"/>
      <c r="E945" s="203"/>
      <c r="F945" s="204"/>
      <c r="G945" s="204"/>
      <c r="H945" s="204"/>
      <c r="I945" s="204"/>
      <c r="J945" s="203"/>
      <c r="K945" s="205"/>
      <c r="L945" s="205"/>
      <c r="M945" s="205"/>
    </row>
    <row r="946">
      <c r="A946" s="202"/>
      <c r="B946" s="202"/>
      <c r="C946" s="202"/>
      <c r="D946" s="202"/>
      <c r="E946" s="203"/>
      <c r="F946" s="204"/>
      <c r="G946" s="204"/>
      <c r="H946" s="204"/>
      <c r="I946" s="204"/>
      <c r="J946" s="203"/>
      <c r="K946" s="205"/>
      <c r="L946" s="205"/>
      <c r="M946" s="205"/>
    </row>
    <row r="947">
      <c r="A947" s="202"/>
      <c r="B947" s="202"/>
      <c r="C947" s="202"/>
      <c r="D947" s="202"/>
      <c r="E947" s="203"/>
      <c r="F947" s="204"/>
      <c r="G947" s="204"/>
      <c r="H947" s="204"/>
      <c r="I947" s="204"/>
      <c r="J947" s="203"/>
      <c r="K947" s="205"/>
      <c r="L947" s="205"/>
      <c r="M947" s="205"/>
    </row>
    <row r="948">
      <c r="A948" s="202"/>
      <c r="B948" s="202"/>
      <c r="C948" s="202"/>
      <c r="D948" s="202"/>
      <c r="E948" s="203"/>
      <c r="F948" s="204"/>
      <c r="G948" s="204"/>
      <c r="H948" s="204"/>
      <c r="I948" s="204"/>
      <c r="J948" s="203"/>
      <c r="K948" s="205"/>
      <c r="L948" s="205"/>
      <c r="M948" s="205"/>
    </row>
    <row r="949">
      <c r="A949" s="202"/>
      <c r="B949" s="202"/>
      <c r="C949" s="202"/>
      <c r="D949" s="202"/>
      <c r="E949" s="203"/>
      <c r="F949" s="204"/>
      <c r="G949" s="204"/>
      <c r="H949" s="204"/>
      <c r="I949" s="204"/>
      <c r="J949" s="203"/>
      <c r="K949" s="205"/>
      <c r="L949" s="205"/>
      <c r="M949" s="205"/>
    </row>
    <row r="950">
      <c r="A950" s="202"/>
      <c r="B950" s="202"/>
      <c r="C950" s="202"/>
      <c r="D950" s="202"/>
      <c r="E950" s="203"/>
      <c r="F950" s="204"/>
      <c r="G950" s="204"/>
      <c r="H950" s="204"/>
      <c r="I950" s="204"/>
      <c r="J950" s="203"/>
      <c r="K950" s="205"/>
      <c r="L950" s="205"/>
      <c r="M950" s="205"/>
    </row>
    <row r="951">
      <c r="A951" s="202"/>
      <c r="B951" s="202"/>
      <c r="C951" s="202"/>
      <c r="D951" s="202"/>
      <c r="E951" s="203"/>
      <c r="F951" s="204"/>
      <c r="G951" s="204"/>
      <c r="H951" s="204"/>
      <c r="I951" s="204"/>
      <c r="J951" s="203"/>
      <c r="K951" s="205"/>
      <c r="L951" s="205"/>
      <c r="M951" s="205"/>
    </row>
    <row r="952">
      <c r="A952" s="202"/>
      <c r="B952" s="202"/>
      <c r="C952" s="202"/>
      <c r="D952" s="202"/>
      <c r="E952" s="203"/>
      <c r="F952" s="204"/>
      <c r="G952" s="204"/>
      <c r="H952" s="204"/>
      <c r="I952" s="204"/>
      <c r="J952" s="203"/>
      <c r="K952" s="205"/>
      <c r="L952" s="205"/>
      <c r="M952" s="205"/>
    </row>
    <row r="953">
      <c r="A953" s="202"/>
      <c r="B953" s="202"/>
      <c r="C953" s="202"/>
      <c r="D953" s="202"/>
      <c r="E953" s="203"/>
      <c r="F953" s="204"/>
      <c r="G953" s="204"/>
      <c r="H953" s="204"/>
      <c r="I953" s="204"/>
      <c r="J953" s="203"/>
      <c r="K953" s="205"/>
      <c r="L953" s="205"/>
      <c r="M953" s="205"/>
    </row>
    <row r="954">
      <c r="A954" s="202"/>
      <c r="B954" s="202"/>
      <c r="C954" s="202"/>
      <c r="D954" s="202"/>
      <c r="E954" s="203"/>
      <c r="F954" s="204"/>
      <c r="G954" s="204"/>
      <c r="H954" s="204"/>
      <c r="I954" s="204"/>
      <c r="J954" s="203"/>
      <c r="K954" s="205"/>
      <c r="L954" s="205"/>
      <c r="M954" s="205"/>
    </row>
    <row r="955">
      <c r="A955" s="202"/>
      <c r="B955" s="202"/>
      <c r="C955" s="202"/>
      <c r="D955" s="202"/>
      <c r="E955" s="203"/>
      <c r="F955" s="204"/>
      <c r="G955" s="204"/>
      <c r="H955" s="204"/>
      <c r="I955" s="204"/>
      <c r="J955" s="203"/>
      <c r="K955" s="205"/>
      <c r="L955" s="205"/>
      <c r="M955" s="205"/>
    </row>
    <row r="956">
      <c r="A956" s="202"/>
      <c r="B956" s="202"/>
      <c r="C956" s="202"/>
      <c r="D956" s="202"/>
      <c r="E956" s="203"/>
      <c r="F956" s="204"/>
      <c r="G956" s="204"/>
      <c r="H956" s="204"/>
      <c r="I956" s="204"/>
      <c r="J956" s="203"/>
      <c r="K956" s="205"/>
      <c r="L956" s="205"/>
      <c r="M956" s="205"/>
    </row>
    <row r="957">
      <c r="A957" s="202"/>
      <c r="B957" s="202"/>
      <c r="C957" s="202"/>
      <c r="D957" s="202"/>
      <c r="E957" s="203"/>
      <c r="F957" s="204"/>
      <c r="G957" s="204"/>
      <c r="H957" s="204"/>
      <c r="I957" s="204"/>
      <c r="J957" s="203"/>
      <c r="K957" s="205"/>
      <c r="L957" s="205"/>
      <c r="M957" s="205"/>
    </row>
    <row r="958">
      <c r="A958" s="202"/>
      <c r="B958" s="202"/>
      <c r="C958" s="202"/>
      <c r="D958" s="202"/>
      <c r="E958" s="203"/>
      <c r="F958" s="204"/>
      <c r="G958" s="204"/>
      <c r="H958" s="204"/>
      <c r="I958" s="204"/>
      <c r="J958" s="203"/>
      <c r="K958" s="205"/>
      <c r="L958" s="205"/>
      <c r="M958" s="205"/>
    </row>
    <row r="959">
      <c r="A959" s="202"/>
      <c r="B959" s="202"/>
      <c r="C959" s="202"/>
      <c r="D959" s="202"/>
      <c r="E959" s="203"/>
      <c r="F959" s="204"/>
      <c r="G959" s="204"/>
      <c r="H959" s="204"/>
      <c r="I959" s="204"/>
      <c r="J959" s="203"/>
      <c r="K959" s="205"/>
      <c r="L959" s="205"/>
      <c r="M959" s="205"/>
    </row>
    <row r="960">
      <c r="A960" s="202"/>
      <c r="B960" s="202"/>
      <c r="C960" s="202"/>
      <c r="D960" s="202"/>
      <c r="E960" s="203"/>
      <c r="F960" s="204"/>
      <c r="G960" s="204"/>
      <c r="H960" s="204"/>
      <c r="I960" s="204"/>
      <c r="J960" s="203"/>
      <c r="K960" s="205"/>
      <c r="L960" s="205"/>
      <c r="M960" s="205"/>
    </row>
    <row r="961">
      <c r="A961" s="202"/>
      <c r="B961" s="202"/>
      <c r="C961" s="202"/>
      <c r="D961" s="202"/>
      <c r="E961" s="203"/>
      <c r="F961" s="204"/>
      <c r="G961" s="204"/>
      <c r="H961" s="204"/>
      <c r="I961" s="204"/>
      <c r="J961" s="203"/>
      <c r="K961" s="205"/>
      <c r="L961" s="205"/>
      <c r="M961" s="205"/>
    </row>
    <row r="962">
      <c r="A962" s="202"/>
      <c r="B962" s="202"/>
      <c r="C962" s="202"/>
      <c r="D962" s="202"/>
      <c r="E962" s="203"/>
      <c r="F962" s="204"/>
      <c r="G962" s="204"/>
      <c r="H962" s="204"/>
      <c r="I962" s="204"/>
      <c r="J962" s="203"/>
      <c r="K962" s="205"/>
      <c r="L962" s="205"/>
      <c r="M962" s="205"/>
    </row>
    <row r="963">
      <c r="A963" s="202"/>
      <c r="B963" s="202"/>
      <c r="C963" s="202"/>
      <c r="D963" s="202"/>
      <c r="E963" s="203"/>
      <c r="F963" s="204"/>
      <c r="G963" s="204"/>
      <c r="H963" s="204"/>
      <c r="I963" s="204"/>
      <c r="J963" s="203"/>
      <c r="K963" s="205"/>
      <c r="L963" s="205"/>
      <c r="M963" s="205"/>
    </row>
    <row r="964">
      <c r="A964" s="202"/>
      <c r="B964" s="202"/>
      <c r="C964" s="202"/>
      <c r="D964" s="202"/>
      <c r="E964" s="203"/>
      <c r="F964" s="204"/>
      <c r="G964" s="204"/>
      <c r="H964" s="204"/>
      <c r="I964" s="204"/>
      <c r="J964" s="203"/>
      <c r="K964" s="205"/>
      <c r="L964" s="205"/>
      <c r="M964" s="205"/>
    </row>
    <row r="965">
      <c r="A965" s="202"/>
      <c r="B965" s="202"/>
      <c r="C965" s="202"/>
      <c r="D965" s="202"/>
      <c r="E965" s="203"/>
      <c r="F965" s="204"/>
      <c r="G965" s="204"/>
      <c r="H965" s="204"/>
      <c r="I965" s="204"/>
      <c r="J965" s="203"/>
      <c r="K965" s="205"/>
      <c r="L965" s="205"/>
      <c r="M965" s="205"/>
    </row>
    <row r="966">
      <c r="A966" s="202"/>
      <c r="B966" s="202"/>
      <c r="C966" s="202"/>
      <c r="D966" s="202"/>
      <c r="E966" s="203"/>
      <c r="F966" s="204"/>
      <c r="G966" s="204"/>
      <c r="H966" s="204"/>
      <c r="I966" s="204"/>
      <c r="J966" s="203"/>
      <c r="K966" s="205"/>
      <c r="L966" s="205"/>
      <c r="M966" s="205"/>
    </row>
    <row r="967">
      <c r="A967" s="202"/>
      <c r="B967" s="202"/>
      <c r="C967" s="202"/>
      <c r="D967" s="202"/>
      <c r="E967" s="203"/>
      <c r="F967" s="204"/>
      <c r="G967" s="204"/>
      <c r="H967" s="204"/>
      <c r="I967" s="204"/>
      <c r="J967" s="203"/>
      <c r="K967" s="205"/>
      <c r="L967" s="205"/>
      <c r="M967" s="205"/>
    </row>
    <row r="968">
      <c r="A968" s="202"/>
      <c r="B968" s="202"/>
      <c r="C968" s="202"/>
      <c r="D968" s="202"/>
      <c r="E968" s="203"/>
      <c r="F968" s="204"/>
      <c r="G968" s="204"/>
      <c r="H968" s="204"/>
      <c r="I968" s="204"/>
      <c r="J968" s="203"/>
      <c r="K968" s="205"/>
      <c r="L968" s="205"/>
      <c r="M968" s="205"/>
    </row>
    <row r="969">
      <c r="A969" s="202"/>
      <c r="B969" s="202"/>
      <c r="C969" s="202"/>
      <c r="D969" s="202"/>
      <c r="E969" s="203"/>
      <c r="F969" s="204"/>
      <c r="G969" s="204"/>
      <c r="H969" s="204"/>
      <c r="I969" s="204"/>
      <c r="J969" s="203"/>
      <c r="K969" s="205"/>
      <c r="L969" s="205"/>
      <c r="M969" s="205"/>
    </row>
    <row r="970">
      <c r="A970" s="202"/>
      <c r="B970" s="202"/>
      <c r="C970" s="202"/>
      <c r="D970" s="202"/>
      <c r="E970" s="203"/>
      <c r="F970" s="204"/>
      <c r="G970" s="204"/>
      <c r="H970" s="204"/>
      <c r="I970" s="204"/>
      <c r="J970" s="203"/>
      <c r="K970" s="205"/>
      <c r="L970" s="205"/>
      <c r="M970" s="205"/>
    </row>
    <row r="971">
      <c r="A971" s="202"/>
      <c r="B971" s="202"/>
      <c r="C971" s="202"/>
      <c r="D971" s="202"/>
      <c r="E971" s="203"/>
      <c r="F971" s="204"/>
      <c r="G971" s="204"/>
      <c r="H971" s="204"/>
      <c r="I971" s="204"/>
      <c r="J971" s="203"/>
      <c r="K971" s="205"/>
      <c r="L971" s="205"/>
      <c r="M971" s="205"/>
    </row>
    <row r="972">
      <c r="A972" s="202"/>
      <c r="B972" s="202"/>
      <c r="C972" s="202"/>
      <c r="D972" s="202"/>
      <c r="E972" s="203"/>
      <c r="F972" s="204"/>
      <c r="G972" s="204"/>
      <c r="H972" s="204"/>
      <c r="I972" s="204"/>
      <c r="J972" s="203"/>
      <c r="K972" s="205"/>
      <c r="L972" s="205"/>
      <c r="M972" s="205"/>
    </row>
    <row r="973">
      <c r="A973" s="202"/>
      <c r="B973" s="202"/>
      <c r="C973" s="202"/>
      <c r="D973" s="202"/>
      <c r="E973" s="203"/>
      <c r="F973" s="204"/>
      <c r="G973" s="204"/>
      <c r="H973" s="204"/>
      <c r="I973" s="204"/>
      <c r="J973" s="203"/>
      <c r="K973" s="205"/>
      <c r="L973" s="205"/>
      <c r="M973" s="205"/>
    </row>
    <row r="974">
      <c r="A974" s="202"/>
      <c r="B974" s="202"/>
      <c r="C974" s="202"/>
      <c r="D974" s="202"/>
      <c r="E974" s="203"/>
      <c r="F974" s="204"/>
      <c r="G974" s="204"/>
      <c r="H974" s="204"/>
      <c r="I974" s="204"/>
      <c r="J974" s="203"/>
      <c r="K974" s="205"/>
      <c r="L974" s="205"/>
      <c r="M974" s="205"/>
    </row>
    <row r="975">
      <c r="A975" s="202"/>
      <c r="B975" s="202"/>
      <c r="C975" s="202"/>
      <c r="D975" s="202"/>
      <c r="E975" s="203"/>
      <c r="F975" s="204"/>
      <c r="G975" s="204"/>
      <c r="H975" s="204"/>
      <c r="I975" s="204"/>
      <c r="J975" s="203"/>
      <c r="K975" s="205"/>
      <c r="L975" s="205"/>
      <c r="M975" s="205"/>
    </row>
    <row r="976">
      <c r="A976" s="202"/>
      <c r="B976" s="202"/>
      <c r="C976" s="202"/>
      <c r="D976" s="202"/>
      <c r="E976" s="203"/>
      <c r="F976" s="204"/>
      <c r="G976" s="204"/>
      <c r="H976" s="204"/>
      <c r="I976" s="204"/>
      <c r="J976" s="203"/>
      <c r="K976" s="205"/>
      <c r="L976" s="205"/>
      <c r="M976" s="205"/>
    </row>
    <row r="977">
      <c r="A977" s="202"/>
      <c r="B977" s="202"/>
      <c r="C977" s="202"/>
      <c r="D977" s="202"/>
      <c r="E977" s="203"/>
      <c r="F977" s="204"/>
      <c r="G977" s="204"/>
      <c r="H977" s="204"/>
      <c r="I977" s="204"/>
      <c r="J977" s="203"/>
      <c r="K977" s="205"/>
      <c r="L977" s="205"/>
      <c r="M977" s="205"/>
    </row>
    <row r="978">
      <c r="A978" s="202"/>
      <c r="B978" s="202"/>
      <c r="C978" s="202"/>
      <c r="D978" s="202"/>
      <c r="E978" s="203"/>
      <c r="F978" s="204"/>
      <c r="G978" s="204"/>
      <c r="H978" s="204"/>
      <c r="I978" s="204"/>
      <c r="J978" s="203"/>
      <c r="K978" s="205"/>
      <c r="L978" s="205"/>
      <c r="M978" s="205"/>
    </row>
    <row r="979">
      <c r="A979" s="202"/>
      <c r="B979" s="202"/>
      <c r="C979" s="202"/>
      <c r="D979" s="202"/>
      <c r="E979" s="203"/>
      <c r="F979" s="204"/>
      <c r="G979" s="204"/>
      <c r="H979" s="204"/>
      <c r="I979" s="204"/>
      <c r="J979" s="203"/>
      <c r="K979" s="205"/>
      <c r="L979" s="205"/>
      <c r="M979" s="205"/>
    </row>
    <row r="980">
      <c r="A980" s="202"/>
      <c r="B980" s="202"/>
      <c r="C980" s="202"/>
      <c r="D980" s="202"/>
      <c r="E980" s="203"/>
      <c r="F980" s="204"/>
      <c r="G980" s="204"/>
      <c r="H980" s="204"/>
      <c r="I980" s="204"/>
      <c r="J980" s="203"/>
      <c r="K980" s="205"/>
      <c r="L980" s="205"/>
      <c r="M980" s="205"/>
    </row>
    <row r="981">
      <c r="A981" s="202"/>
      <c r="B981" s="202"/>
      <c r="C981" s="202"/>
      <c r="D981" s="202"/>
      <c r="E981" s="203"/>
      <c r="F981" s="204"/>
      <c r="G981" s="204"/>
      <c r="H981" s="204"/>
      <c r="I981" s="204"/>
      <c r="J981" s="203"/>
      <c r="K981" s="205"/>
      <c r="L981" s="205"/>
      <c r="M981" s="205"/>
    </row>
    <row r="982">
      <c r="A982" s="202"/>
      <c r="B982" s="202"/>
      <c r="C982" s="202"/>
      <c r="D982" s="202"/>
      <c r="E982" s="203"/>
      <c r="F982" s="204"/>
      <c r="G982" s="204"/>
      <c r="H982" s="204"/>
      <c r="I982" s="204"/>
      <c r="J982" s="203"/>
      <c r="K982" s="205"/>
      <c r="L982" s="205"/>
      <c r="M982" s="205"/>
    </row>
    <row r="983">
      <c r="A983" s="202"/>
      <c r="B983" s="202"/>
      <c r="C983" s="202"/>
      <c r="D983" s="202"/>
      <c r="E983" s="203"/>
      <c r="F983" s="204"/>
      <c r="G983" s="204"/>
      <c r="H983" s="204"/>
      <c r="I983" s="204"/>
      <c r="J983" s="203"/>
      <c r="K983" s="205"/>
      <c r="L983" s="205"/>
      <c r="M983" s="205"/>
    </row>
    <row r="984">
      <c r="A984" s="202"/>
      <c r="B984" s="202"/>
      <c r="C984" s="202"/>
      <c r="D984" s="202"/>
      <c r="E984" s="203"/>
      <c r="F984" s="204"/>
      <c r="G984" s="204"/>
      <c r="H984" s="204"/>
      <c r="I984" s="204"/>
      <c r="J984" s="203"/>
      <c r="K984" s="205"/>
      <c r="L984" s="205"/>
      <c r="M984" s="205"/>
    </row>
    <row r="985">
      <c r="A985" s="202"/>
      <c r="B985" s="202"/>
      <c r="C985" s="202"/>
      <c r="D985" s="202"/>
      <c r="E985" s="203"/>
      <c r="F985" s="204"/>
      <c r="G985" s="204"/>
      <c r="H985" s="204"/>
      <c r="I985" s="204"/>
      <c r="J985" s="203"/>
      <c r="K985" s="205"/>
      <c r="L985" s="205"/>
      <c r="M985" s="205"/>
    </row>
    <row r="986">
      <c r="A986" s="202"/>
      <c r="B986" s="202"/>
      <c r="C986" s="202"/>
      <c r="D986" s="202"/>
      <c r="E986" s="203"/>
      <c r="F986" s="204"/>
      <c r="G986" s="204"/>
      <c r="H986" s="204"/>
      <c r="I986" s="204"/>
      <c r="J986" s="203"/>
      <c r="K986" s="205"/>
      <c r="L986" s="205"/>
      <c r="M986" s="205"/>
    </row>
    <row r="987">
      <c r="A987" s="202"/>
      <c r="B987" s="202"/>
      <c r="C987" s="202"/>
      <c r="D987" s="202"/>
      <c r="E987" s="203"/>
      <c r="F987" s="204"/>
      <c r="G987" s="204"/>
      <c r="H987" s="204"/>
      <c r="I987" s="204"/>
      <c r="J987" s="203"/>
      <c r="K987" s="205"/>
      <c r="L987" s="205"/>
      <c r="M987" s="205"/>
    </row>
    <row r="988">
      <c r="A988" s="202"/>
      <c r="B988" s="202"/>
      <c r="C988" s="202"/>
      <c r="D988" s="202"/>
      <c r="E988" s="203"/>
      <c r="F988" s="204"/>
      <c r="G988" s="204"/>
      <c r="H988" s="204"/>
      <c r="I988" s="204"/>
      <c r="J988" s="203"/>
      <c r="K988" s="205"/>
      <c r="L988" s="205"/>
      <c r="M988" s="205"/>
    </row>
    <row r="989">
      <c r="A989" s="202"/>
      <c r="B989" s="202"/>
      <c r="C989" s="202"/>
      <c r="D989" s="202"/>
      <c r="E989" s="203"/>
      <c r="F989" s="204"/>
      <c r="G989" s="204"/>
      <c r="H989" s="204"/>
      <c r="I989" s="204"/>
      <c r="J989" s="203"/>
      <c r="K989" s="205"/>
      <c r="L989" s="205"/>
      <c r="M989" s="205"/>
    </row>
    <row r="990">
      <c r="A990" s="202"/>
      <c r="B990" s="202"/>
      <c r="C990" s="202"/>
      <c r="D990" s="202"/>
      <c r="E990" s="203"/>
      <c r="F990" s="204"/>
      <c r="G990" s="204"/>
      <c r="H990" s="204"/>
      <c r="I990" s="204"/>
      <c r="J990" s="203"/>
      <c r="K990" s="205"/>
      <c r="L990" s="205"/>
      <c r="M990" s="205"/>
    </row>
    <row r="991">
      <c r="A991" s="202"/>
      <c r="B991" s="202"/>
      <c r="C991" s="202"/>
      <c r="D991" s="202"/>
      <c r="E991" s="203"/>
      <c r="F991" s="204"/>
      <c r="G991" s="204"/>
      <c r="H991" s="204"/>
      <c r="I991" s="204"/>
      <c r="J991" s="203"/>
      <c r="K991" s="205"/>
      <c r="L991" s="205"/>
      <c r="M991" s="205"/>
    </row>
    <row r="992">
      <c r="A992" s="202"/>
      <c r="B992" s="202"/>
      <c r="C992" s="202"/>
      <c r="D992" s="202"/>
      <c r="E992" s="203"/>
      <c r="F992" s="204"/>
      <c r="G992" s="204"/>
      <c r="H992" s="204"/>
      <c r="I992" s="204"/>
      <c r="J992" s="203"/>
      <c r="K992" s="205"/>
      <c r="L992" s="205"/>
      <c r="M992" s="205"/>
    </row>
    <row r="993">
      <c r="A993" s="202"/>
      <c r="B993" s="202"/>
      <c r="C993" s="202"/>
      <c r="D993" s="202"/>
      <c r="E993" s="203"/>
      <c r="F993" s="204"/>
      <c r="G993" s="204"/>
      <c r="H993" s="204"/>
      <c r="I993" s="204"/>
      <c r="J993" s="203"/>
      <c r="K993" s="205"/>
      <c r="L993" s="205"/>
      <c r="M993" s="205"/>
    </row>
    <row r="994">
      <c r="A994" s="202"/>
      <c r="B994" s="202"/>
      <c r="C994" s="202"/>
      <c r="D994" s="202"/>
      <c r="E994" s="203"/>
      <c r="F994" s="204"/>
      <c r="G994" s="204"/>
      <c r="H994" s="204"/>
      <c r="I994" s="204"/>
      <c r="J994" s="203"/>
      <c r="K994" s="205"/>
      <c r="L994" s="205"/>
      <c r="M994" s="205"/>
    </row>
    <row r="995">
      <c r="A995" s="202"/>
      <c r="B995" s="202"/>
      <c r="C995" s="202"/>
      <c r="D995" s="202"/>
      <c r="E995" s="203"/>
      <c r="F995" s="204"/>
      <c r="G995" s="204"/>
      <c r="H995" s="204"/>
      <c r="I995" s="204"/>
      <c r="J995" s="203"/>
      <c r="K995" s="205"/>
      <c r="L995" s="205"/>
      <c r="M995" s="205"/>
    </row>
    <row r="996">
      <c r="A996" s="202"/>
      <c r="B996" s="202"/>
      <c r="C996" s="202"/>
      <c r="D996" s="202"/>
      <c r="E996" s="203"/>
      <c r="F996" s="204"/>
      <c r="G996" s="204"/>
      <c r="H996" s="204"/>
      <c r="I996" s="204"/>
      <c r="J996" s="203"/>
      <c r="K996" s="205"/>
      <c r="L996" s="205"/>
      <c r="M996" s="205"/>
    </row>
    <row r="997">
      <c r="A997" s="202"/>
      <c r="B997" s="202"/>
      <c r="C997" s="202"/>
      <c r="D997" s="202"/>
      <c r="E997" s="203"/>
      <c r="F997" s="204"/>
      <c r="G997" s="204"/>
      <c r="H997" s="204"/>
      <c r="I997" s="204"/>
      <c r="J997" s="203"/>
      <c r="K997" s="205"/>
      <c r="L997" s="205"/>
      <c r="M997" s="205"/>
    </row>
    <row r="998">
      <c r="A998" s="202"/>
      <c r="B998" s="202"/>
      <c r="C998" s="202"/>
      <c r="D998" s="202"/>
      <c r="E998" s="203"/>
      <c r="F998" s="204"/>
      <c r="G998" s="204"/>
      <c r="H998" s="204"/>
      <c r="I998" s="204"/>
      <c r="J998" s="203"/>
      <c r="K998" s="205"/>
      <c r="L998" s="205"/>
      <c r="M998" s="205"/>
    </row>
    <row r="999">
      <c r="A999" s="202"/>
      <c r="B999" s="202"/>
      <c r="C999" s="202"/>
      <c r="D999" s="202"/>
      <c r="E999" s="203"/>
      <c r="F999" s="204"/>
      <c r="G999" s="204"/>
      <c r="H999" s="204"/>
      <c r="I999" s="204"/>
      <c r="J999" s="203"/>
      <c r="K999" s="205"/>
      <c r="L999" s="205"/>
      <c r="M999" s="205"/>
    </row>
    <row r="1000">
      <c r="A1000" s="202"/>
      <c r="B1000" s="202"/>
      <c r="C1000" s="202"/>
      <c r="D1000" s="202"/>
      <c r="E1000" s="203"/>
      <c r="F1000" s="204"/>
      <c r="G1000" s="204"/>
      <c r="H1000" s="204"/>
      <c r="I1000" s="204"/>
      <c r="J1000" s="203"/>
      <c r="K1000" s="205"/>
      <c r="L1000" s="205"/>
      <c r="M1000" s="205"/>
    </row>
    <row r="1001">
      <c r="A1001" s="202"/>
      <c r="B1001" s="202"/>
      <c r="C1001" s="202"/>
      <c r="D1001" s="202"/>
      <c r="E1001" s="203"/>
      <c r="F1001" s="204"/>
      <c r="G1001" s="204"/>
      <c r="H1001" s="204"/>
      <c r="I1001" s="204"/>
      <c r="J1001" s="203"/>
      <c r="K1001" s="205"/>
      <c r="L1001" s="205"/>
      <c r="M1001" s="205"/>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5.63"/>
    <col customWidth="1" min="4" max="4" width="38.75"/>
    <col customWidth="1" min="5" max="5" width="2.38"/>
    <col customWidth="1" min="7" max="7" width="22.63"/>
    <col customWidth="1" min="8" max="8" width="12.75"/>
    <col customWidth="1" min="9" max="9" width="38.75"/>
    <col customWidth="1" min="10" max="10" width="2.88"/>
    <col customWidth="1" min="11" max="16" width="38.75"/>
  </cols>
  <sheetData>
    <row r="1">
      <c r="A1" s="210" t="s">
        <v>194</v>
      </c>
      <c r="B1" s="211" t="s">
        <v>189</v>
      </c>
      <c r="C1" s="211" t="s">
        <v>78</v>
      </c>
      <c r="D1" s="211" t="s">
        <v>81</v>
      </c>
      <c r="E1" s="199"/>
      <c r="F1" s="212" t="s">
        <v>195</v>
      </c>
      <c r="G1" s="212" t="s">
        <v>196</v>
      </c>
      <c r="H1" s="212" t="s">
        <v>190</v>
      </c>
      <c r="I1" s="212" t="s">
        <v>86</v>
      </c>
      <c r="J1" s="199"/>
      <c r="K1" s="213" t="s">
        <v>197</v>
      </c>
      <c r="L1" s="213" t="s">
        <v>79</v>
      </c>
      <c r="M1" s="213" t="s">
        <v>90</v>
      </c>
      <c r="N1" s="213" t="s">
        <v>91</v>
      </c>
      <c r="O1" s="213" t="s">
        <v>92</v>
      </c>
      <c r="P1" s="213" t="s">
        <v>198</v>
      </c>
    </row>
    <row r="2">
      <c r="A2" s="214" t="str">
        <f>IFERROR(__xludf.DUMMYFUNCTION("IMPORTRANGE('Homebrew Sheet'!$A$6,""'Orders/Techniques'!$A$2:$P$101"")"),"")</f>
        <v/>
      </c>
      <c r="B2" s="214"/>
      <c r="C2" s="214"/>
      <c r="D2" s="214"/>
      <c r="E2" s="215"/>
      <c r="F2" s="216"/>
      <c r="G2" s="216"/>
      <c r="H2" s="216"/>
      <c r="I2" s="216"/>
      <c r="J2" s="215"/>
      <c r="K2" s="217"/>
      <c r="L2" s="217"/>
      <c r="M2" s="217"/>
      <c r="N2" s="217"/>
      <c r="O2" s="217"/>
      <c r="P2" s="217"/>
    </row>
    <row r="3">
      <c r="A3" s="214"/>
      <c r="B3" s="214"/>
      <c r="C3" s="214"/>
      <c r="D3" s="214"/>
      <c r="E3" s="215"/>
      <c r="F3" s="216"/>
      <c r="G3" s="216"/>
      <c r="H3" s="216"/>
      <c r="I3" s="216"/>
      <c r="J3" s="215"/>
      <c r="K3" s="217"/>
      <c r="L3" s="217"/>
      <c r="M3" s="217"/>
      <c r="N3" s="217"/>
      <c r="O3" s="217"/>
      <c r="P3" s="217"/>
    </row>
    <row r="4">
      <c r="A4" s="214"/>
      <c r="B4" s="214"/>
      <c r="C4" s="214"/>
      <c r="D4" s="214"/>
      <c r="E4" s="215"/>
      <c r="F4" s="216"/>
      <c r="G4" s="216"/>
      <c r="H4" s="216"/>
      <c r="I4" s="216"/>
      <c r="J4" s="215"/>
      <c r="K4" s="217"/>
      <c r="L4" s="217"/>
      <c r="M4" s="217"/>
      <c r="N4" s="217"/>
      <c r="O4" s="217"/>
      <c r="P4" s="217"/>
    </row>
    <row r="5">
      <c r="A5" s="214"/>
      <c r="B5" s="214"/>
      <c r="C5" s="214"/>
      <c r="D5" s="214"/>
      <c r="E5" s="215"/>
      <c r="F5" s="216"/>
      <c r="G5" s="216"/>
      <c r="H5" s="216"/>
      <c r="I5" s="216"/>
      <c r="J5" s="215"/>
      <c r="K5" s="217"/>
      <c r="L5" s="217"/>
      <c r="M5" s="217"/>
      <c r="N5" s="217"/>
      <c r="O5" s="217"/>
      <c r="P5" s="217"/>
    </row>
    <row r="6">
      <c r="A6" s="214"/>
      <c r="B6" s="214"/>
      <c r="C6" s="214"/>
      <c r="D6" s="214"/>
      <c r="E6" s="215"/>
      <c r="F6" s="216"/>
      <c r="G6" s="216"/>
      <c r="H6" s="216"/>
      <c r="I6" s="216"/>
      <c r="J6" s="215"/>
      <c r="K6" s="217"/>
      <c r="L6" s="217"/>
      <c r="M6" s="217"/>
      <c r="N6" s="217"/>
      <c r="O6" s="217"/>
      <c r="P6" s="217"/>
    </row>
    <row r="7">
      <c r="A7" s="214"/>
      <c r="B7" s="214"/>
      <c r="C7" s="214"/>
      <c r="D7" s="214"/>
      <c r="E7" s="215"/>
      <c r="F7" s="216"/>
      <c r="G7" s="216"/>
      <c r="H7" s="216"/>
      <c r="I7" s="216"/>
      <c r="J7" s="215"/>
      <c r="K7" s="217"/>
      <c r="L7" s="217"/>
      <c r="M7" s="217"/>
      <c r="N7" s="217"/>
      <c r="O7" s="217"/>
      <c r="P7" s="217"/>
    </row>
    <row r="8">
      <c r="A8" s="214"/>
      <c r="B8" s="214"/>
      <c r="C8" s="214"/>
      <c r="D8" s="214"/>
      <c r="E8" s="215"/>
      <c r="F8" s="216"/>
      <c r="G8" s="216"/>
      <c r="H8" s="216"/>
      <c r="I8" s="216"/>
      <c r="J8" s="215"/>
      <c r="K8" s="217"/>
      <c r="L8" s="217"/>
      <c r="M8" s="217"/>
      <c r="N8" s="217"/>
      <c r="O8" s="217"/>
      <c r="P8" s="217"/>
    </row>
    <row r="9">
      <c r="A9" s="214"/>
      <c r="B9" s="214"/>
      <c r="C9" s="214"/>
      <c r="D9" s="214"/>
      <c r="E9" s="215"/>
      <c r="F9" s="216"/>
      <c r="G9" s="216"/>
      <c r="H9" s="216"/>
      <c r="I9" s="216"/>
      <c r="J9" s="215"/>
      <c r="K9" s="217"/>
      <c r="L9" s="217"/>
      <c r="M9" s="217"/>
      <c r="N9" s="217"/>
      <c r="O9" s="217"/>
      <c r="P9" s="217"/>
    </row>
    <row r="10">
      <c r="A10" s="214"/>
      <c r="B10" s="214"/>
      <c r="C10" s="214"/>
      <c r="D10" s="214"/>
      <c r="E10" s="215"/>
      <c r="F10" s="216"/>
      <c r="G10" s="216"/>
      <c r="H10" s="216"/>
      <c r="I10" s="216"/>
      <c r="J10" s="215"/>
      <c r="K10" s="217"/>
      <c r="L10" s="217"/>
      <c r="M10" s="217"/>
      <c r="N10" s="217"/>
      <c r="O10" s="217"/>
      <c r="P10" s="217"/>
    </row>
    <row r="11">
      <c r="A11" s="214"/>
      <c r="B11" s="214"/>
      <c r="C11" s="214"/>
      <c r="D11" s="214"/>
      <c r="E11" s="215"/>
      <c r="F11" s="216"/>
      <c r="G11" s="216"/>
      <c r="H11" s="216"/>
      <c r="I11" s="216"/>
      <c r="J11" s="215"/>
      <c r="K11" s="217"/>
      <c r="L11" s="217"/>
      <c r="M11" s="217"/>
      <c r="N11" s="217"/>
      <c r="O11" s="217"/>
      <c r="P11" s="217"/>
    </row>
    <row r="12">
      <c r="A12" s="214"/>
      <c r="B12" s="214"/>
      <c r="C12" s="214"/>
      <c r="D12" s="214"/>
      <c r="E12" s="215"/>
      <c r="F12" s="216"/>
      <c r="G12" s="216"/>
      <c r="H12" s="216"/>
      <c r="I12" s="216"/>
      <c r="J12" s="215"/>
      <c r="K12" s="217"/>
      <c r="L12" s="217"/>
      <c r="M12" s="217"/>
      <c r="N12" s="217"/>
      <c r="O12" s="217"/>
      <c r="P12" s="217"/>
    </row>
    <row r="13">
      <c r="A13" s="214"/>
      <c r="B13" s="214"/>
      <c r="C13" s="214"/>
      <c r="D13" s="214"/>
      <c r="E13" s="215"/>
      <c r="F13" s="216"/>
      <c r="G13" s="216"/>
      <c r="H13" s="216"/>
      <c r="I13" s="216"/>
      <c r="J13" s="215"/>
      <c r="K13" s="217"/>
      <c r="L13" s="217"/>
      <c r="M13" s="217"/>
      <c r="N13" s="217"/>
      <c r="O13" s="217"/>
      <c r="P13" s="217"/>
    </row>
    <row r="14">
      <c r="A14" s="214"/>
      <c r="B14" s="214"/>
      <c r="C14" s="214"/>
      <c r="D14" s="214"/>
      <c r="E14" s="215"/>
      <c r="F14" s="216"/>
      <c r="G14" s="216"/>
      <c r="H14" s="216"/>
      <c r="I14" s="216"/>
      <c r="J14" s="215"/>
      <c r="K14" s="217"/>
      <c r="L14" s="217"/>
      <c r="M14" s="217"/>
      <c r="N14" s="217"/>
      <c r="O14" s="217"/>
      <c r="P14" s="217"/>
    </row>
    <row r="15">
      <c r="A15" s="214"/>
      <c r="B15" s="214"/>
      <c r="C15" s="214"/>
      <c r="D15" s="214"/>
      <c r="E15" s="215"/>
      <c r="F15" s="216"/>
      <c r="G15" s="216"/>
      <c r="H15" s="216"/>
      <c r="I15" s="216"/>
      <c r="J15" s="215"/>
      <c r="K15" s="217"/>
      <c r="L15" s="217"/>
      <c r="M15" s="217"/>
      <c r="N15" s="217"/>
      <c r="O15" s="217"/>
      <c r="P15" s="217"/>
    </row>
    <row r="16">
      <c r="A16" s="214"/>
      <c r="B16" s="214"/>
      <c r="C16" s="214"/>
      <c r="D16" s="214"/>
      <c r="E16" s="215"/>
      <c r="F16" s="216"/>
      <c r="G16" s="216"/>
      <c r="H16" s="216"/>
      <c r="I16" s="216"/>
      <c r="J16" s="215"/>
      <c r="K16" s="217"/>
      <c r="L16" s="217"/>
      <c r="M16" s="217"/>
      <c r="N16" s="217"/>
      <c r="O16" s="217"/>
      <c r="P16" s="217"/>
    </row>
    <row r="17">
      <c r="A17" s="214"/>
      <c r="B17" s="214"/>
      <c r="C17" s="214"/>
      <c r="D17" s="214"/>
      <c r="E17" s="215"/>
      <c r="F17" s="216"/>
      <c r="G17" s="216"/>
      <c r="H17" s="216"/>
      <c r="I17" s="216"/>
      <c r="J17" s="215"/>
      <c r="K17" s="217"/>
      <c r="L17" s="217"/>
      <c r="M17" s="217"/>
      <c r="N17" s="217"/>
      <c r="O17" s="217"/>
      <c r="P17" s="217"/>
    </row>
    <row r="18">
      <c r="A18" s="214"/>
      <c r="B18" s="214"/>
      <c r="C18" s="214"/>
      <c r="D18" s="214"/>
      <c r="E18" s="215"/>
      <c r="F18" s="216"/>
      <c r="G18" s="216"/>
      <c r="H18" s="216"/>
      <c r="I18" s="216"/>
      <c r="J18" s="215"/>
      <c r="K18" s="217"/>
      <c r="L18" s="217"/>
      <c r="M18" s="217"/>
      <c r="N18" s="217"/>
      <c r="O18" s="217"/>
      <c r="P18" s="217"/>
    </row>
    <row r="19">
      <c r="A19" s="214"/>
      <c r="B19" s="214"/>
      <c r="C19" s="214"/>
      <c r="D19" s="214"/>
      <c r="E19" s="215"/>
      <c r="F19" s="216"/>
      <c r="G19" s="216"/>
      <c r="H19" s="216"/>
      <c r="I19" s="216"/>
      <c r="J19" s="215"/>
      <c r="K19" s="217"/>
      <c r="L19" s="217"/>
      <c r="M19" s="217"/>
      <c r="N19" s="217"/>
      <c r="O19" s="217"/>
      <c r="P19" s="217"/>
    </row>
    <row r="20">
      <c r="A20" s="214"/>
      <c r="B20" s="214"/>
      <c r="C20" s="214"/>
      <c r="D20" s="214"/>
      <c r="E20" s="215"/>
      <c r="F20" s="216"/>
      <c r="G20" s="216"/>
      <c r="H20" s="216"/>
      <c r="I20" s="216"/>
      <c r="J20" s="215"/>
      <c r="K20" s="217"/>
      <c r="L20" s="217"/>
      <c r="M20" s="217"/>
      <c r="N20" s="217"/>
      <c r="O20" s="217"/>
      <c r="P20" s="217"/>
    </row>
    <row r="21">
      <c r="A21" s="214"/>
      <c r="B21" s="214"/>
      <c r="C21" s="214"/>
      <c r="D21" s="214"/>
      <c r="E21" s="215"/>
      <c r="F21" s="216"/>
      <c r="G21" s="216"/>
      <c r="H21" s="216"/>
      <c r="I21" s="216"/>
      <c r="J21" s="215"/>
      <c r="K21" s="217"/>
      <c r="L21" s="217"/>
      <c r="M21" s="217"/>
      <c r="N21" s="217"/>
      <c r="O21" s="217"/>
      <c r="P21" s="217"/>
    </row>
    <row r="22">
      <c r="A22" s="214"/>
      <c r="B22" s="214"/>
      <c r="C22" s="214"/>
      <c r="D22" s="214"/>
      <c r="E22" s="215"/>
      <c r="F22" s="216"/>
      <c r="G22" s="216"/>
      <c r="H22" s="216"/>
      <c r="I22" s="216"/>
      <c r="J22" s="215"/>
      <c r="K22" s="217"/>
      <c r="L22" s="217"/>
      <c r="M22" s="217"/>
      <c r="N22" s="217"/>
      <c r="O22" s="217"/>
      <c r="P22" s="217"/>
    </row>
    <row r="23">
      <c r="A23" s="214"/>
      <c r="B23" s="214"/>
      <c r="C23" s="214"/>
      <c r="D23" s="214"/>
      <c r="E23" s="215"/>
      <c r="F23" s="216"/>
      <c r="G23" s="216"/>
      <c r="H23" s="216"/>
      <c r="I23" s="216"/>
      <c r="J23" s="215"/>
      <c r="K23" s="217"/>
      <c r="L23" s="217"/>
      <c r="M23" s="217"/>
      <c r="N23" s="217"/>
      <c r="O23" s="217"/>
      <c r="P23" s="217"/>
    </row>
    <row r="24">
      <c r="A24" s="214"/>
      <c r="B24" s="214"/>
      <c r="C24" s="214"/>
      <c r="D24" s="214"/>
      <c r="E24" s="215"/>
      <c r="F24" s="216"/>
      <c r="G24" s="216"/>
      <c r="H24" s="216"/>
      <c r="I24" s="216"/>
      <c r="J24" s="215"/>
      <c r="K24" s="217"/>
      <c r="L24" s="217"/>
      <c r="M24" s="217"/>
      <c r="N24" s="217"/>
      <c r="O24" s="217"/>
      <c r="P24" s="217"/>
    </row>
    <row r="25">
      <c r="A25" s="214"/>
      <c r="B25" s="214"/>
      <c r="C25" s="214"/>
      <c r="D25" s="214"/>
      <c r="E25" s="215"/>
      <c r="F25" s="216"/>
      <c r="G25" s="216"/>
      <c r="H25" s="216"/>
      <c r="I25" s="216"/>
      <c r="J25" s="215"/>
      <c r="K25" s="217"/>
      <c r="L25" s="217"/>
      <c r="M25" s="217"/>
      <c r="N25" s="217"/>
      <c r="O25" s="217"/>
      <c r="P25" s="217"/>
    </row>
    <row r="26">
      <c r="A26" s="214"/>
      <c r="B26" s="214"/>
      <c r="C26" s="214"/>
      <c r="D26" s="214"/>
      <c r="E26" s="215"/>
      <c r="F26" s="216"/>
      <c r="G26" s="216"/>
      <c r="H26" s="216"/>
      <c r="I26" s="216"/>
      <c r="J26" s="215"/>
      <c r="K26" s="217"/>
      <c r="L26" s="217"/>
      <c r="M26" s="217"/>
      <c r="N26" s="217"/>
      <c r="O26" s="217"/>
      <c r="P26" s="217"/>
    </row>
    <row r="27">
      <c r="A27" s="214"/>
      <c r="B27" s="214"/>
      <c r="C27" s="214"/>
      <c r="D27" s="214"/>
      <c r="E27" s="215"/>
      <c r="F27" s="216"/>
      <c r="G27" s="216"/>
      <c r="H27" s="216"/>
      <c r="I27" s="216"/>
      <c r="J27" s="215"/>
      <c r="K27" s="217"/>
      <c r="L27" s="217"/>
      <c r="M27" s="217"/>
      <c r="N27" s="217"/>
      <c r="O27" s="217"/>
      <c r="P27" s="217"/>
    </row>
    <row r="28">
      <c r="A28" s="214"/>
      <c r="B28" s="214"/>
      <c r="C28" s="214"/>
      <c r="D28" s="214"/>
      <c r="E28" s="215"/>
      <c r="F28" s="216"/>
      <c r="G28" s="216"/>
      <c r="H28" s="216"/>
      <c r="I28" s="216"/>
      <c r="J28" s="215"/>
      <c r="K28" s="217"/>
      <c r="L28" s="217"/>
      <c r="M28" s="217"/>
      <c r="N28" s="217"/>
      <c r="O28" s="217"/>
      <c r="P28" s="217"/>
    </row>
    <row r="29">
      <c r="A29" s="214"/>
      <c r="B29" s="214"/>
      <c r="C29" s="214"/>
      <c r="D29" s="214"/>
      <c r="E29" s="215"/>
      <c r="F29" s="216"/>
      <c r="G29" s="216"/>
      <c r="H29" s="216"/>
      <c r="I29" s="216"/>
      <c r="J29" s="215"/>
      <c r="K29" s="217"/>
      <c r="L29" s="217"/>
      <c r="M29" s="217"/>
      <c r="N29" s="217"/>
      <c r="O29" s="217"/>
      <c r="P29" s="217"/>
    </row>
    <row r="30">
      <c r="A30" s="214"/>
      <c r="B30" s="214"/>
      <c r="C30" s="214"/>
      <c r="D30" s="214"/>
      <c r="E30" s="215"/>
      <c r="F30" s="216"/>
      <c r="G30" s="216"/>
      <c r="H30" s="216"/>
      <c r="I30" s="216"/>
      <c r="J30" s="215"/>
      <c r="K30" s="217"/>
      <c r="L30" s="217"/>
      <c r="M30" s="217"/>
      <c r="N30" s="217"/>
      <c r="O30" s="217"/>
      <c r="P30" s="217"/>
    </row>
    <row r="31">
      <c r="A31" s="214"/>
      <c r="B31" s="214"/>
      <c r="C31" s="214"/>
      <c r="D31" s="214"/>
      <c r="E31" s="215"/>
      <c r="F31" s="216"/>
      <c r="G31" s="216"/>
      <c r="H31" s="216"/>
      <c r="I31" s="216"/>
      <c r="J31" s="215"/>
      <c r="K31" s="217"/>
      <c r="L31" s="217"/>
      <c r="M31" s="217"/>
      <c r="N31" s="217"/>
      <c r="O31" s="217"/>
      <c r="P31" s="217"/>
    </row>
    <row r="32">
      <c r="A32" s="214"/>
      <c r="B32" s="214"/>
      <c r="C32" s="214"/>
      <c r="D32" s="214"/>
      <c r="E32" s="215"/>
      <c r="F32" s="216"/>
      <c r="G32" s="216"/>
      <c r="H32" s="216"/>
      <c r="I32" s="216"/>
      <c r="J32" s="215"/>
      <c r="K32" s="217"/>
      <c r="L32" s="217"/>
      <c r="M32" s="217"/>
      <c r="N32" s="217"/>
      <c r="O32" s="217"/>
      <c r="P32" s="217"/>
    </row>
    <row r="33">
      <c r="A33" s="214"/>
      <c r="B33" s="214"/>
      <c r="C33" s="214"/>
      <c r="D33" s="214"/>
      <c r="E33" s="215"/>
      <c r="F33" s="216"/>
      <c r="G33" s="216"/>
      <c r="H33" s="216"/>
      <c r="I33" s="216"/>
      <c r="J33" s="215"/>
      <c r="K33" s="217"/>
      <c r="L33" s="217"/>
      <c r="M33" s="217"/>
      <c r="N33" s="217"/>
      <c r="O33" s="217"/>
      <c r="P33" s="217"/>
    </row>
    <row r="34">
      <c r="A34" s="214"/>
      <c r="B34" s="214"/>
      <c r="C34" s="214"/>
      <c r="D34" s="214"/>
      <c r="E34" s="215"/>
      <c r="F34" s="216"/>
      <c r="G34" s="216"/>
      <c r="H34" s="216"/>
      <c r="I34" s="216"/>
      <c r="J34" s="215"/>
      <c r="K34" s="217"/>
      <c r="L34" s="217"/>
      <c r="M34" s="217"/>
      <c r="N34" s="217"/>
      <c r="O34" s="217"/>
      <c r="P34" s="217"/>
    </row>
    <row r="35">
      <c r="A35" s="214"/>
      <c r="B35" s="214"/>
      <c r="C35" s="214"/>
      <c r="D35" s="214"/>
      <c r="E35" s="215"/>
      <c r="F35" s="216"/>
      <c r="G35" s="216"/>
      <c r="H35" s="216"/>
      <c r="I35" s="216"/>
      <c r="J35" s="215"/>
      <c r="K35" s="217"/>
      <c r="L35" s="217"/>
      <c r="M35" s="217"/>
      <c r="N35" s="217"/>
      <c r="O35" s="217"/>
      <c r="P35" s="217"/>
    </row>
    <row r="36">
      <c r="A36" s="214"/>
      <c r="B36" s="214"/>
      <c r="C36" s="214"/>
      <c r="D36" s="214"/>
      <c r="E36" s="215"/>
      <c r="F36" s="216"/>
      <c r="G36" s="216"/>
      <c r="H36" s="216"/>
      <c r="I36" s="216"/>
      <c r="J36" s="215"/>
      <c r="K36" s="217"/>
      <c r="L36" s="217"/>
      <c r="M36" s="217"/>
      <c r="N36" s="217"/>
      <c r="O36" s="217"/>
      <c r="P36" s="217"/>
    </row>
    <row r="37">
      <c r="A37" s="214"/>
      <c r="B37" s="214"/>
      <c r="C37" s="214"/>
      <c r="D37" s="214"/>
      <c r="E37" s="215"/>
      <c r="F37" s="216"/>
      <c r="G37" s="216"/>
      <c r="H37" s="216"/>
      <c r="I37" s="216"/>
      <c r="J37" s="215"/>
      <c r="K37" s="217"/>
      <c r="L37" s="217"/>
      <c r="M37" s="217"/>
      <c r="N37" s="217"/>
      <c r="O37" s="217"/>
      <c r="P37" s="217"/>
    </row>
    <row r="38">
      <c r="A38" s="214"/>
      <c r="B38" s="214"/>
      <c r="C38" s="214"/>
      <c r="D38" s="214"/>
      <c r="E38" s="215"/>
      <c r="F38" s="216"/>
      <c r="G38" s="216"/>
      <c r="H38" s="216"/>
      <c r="I38" s="216"/>
      <c r="J38" s="215"/>
      <c r="K38" s="217"/>
      <c r="L38" s="217"/>
      <c r="M38" s="217"/>
      <c r="N38" s="217"/>
      <c r="O38" s="217"/>
      <c r="P38" s="217"/>
    </row>
    <row r="39">
      <c r="A39" s="214"/>
      <c r="B39" s="214"/>
      <c r="C39" s="214"/>
      <c r="D39" s="214"/>
      <c r="E39" s="215"/>
      <c r="F39" s="216"/>
      <c r="G39" s="216"/>
      <c r="H39" s="216"/>
      <c r="I39" s="216"/>
      <c r="J39" s="215"/>
      <c r="K39" s="217"/>
      <c r="L39" s="217"/>
      <c r="M39" s="217"/>
      <c r="N39" s="217"/>
      <c r="O39" s="217"/>
      <c r="P39" s="217"/>
    </row>
    <row r="40">
      <c r="A40" s="214"/>
      <c r="B40" s="214"/>
      <c r="C40" s="214"/>
      <c r="D40" s="214"/>
      <c r="E40" s="215"/>
      <c r="F40" s="216"/>
      <c r="G40" s="216"/>
      <c r="H40" s="216"/>
      <c r="I40" s="216"/>
      <c r="J40" s="215"/>
      <c r="K40" s="217"/>
      <c r="L40" s="217"/>
      <c r="M40" s="217"/>
      <c r="N40" s="217"/>
      <c r="O40" s="217"/>
      <c r="P40" s="217"/>
    </row>
    <row r="41">
      <c r="A41" s="214"/>
      <c r="B41" s="214"/>
      <c r="C41" s="214"/>
      <c r="D41" s="214"/>
      <c r="E41" s="215"/>
      <c r="F41" s="216"/>
      <c r="G41" s="216"/>
      <c r="H41" s="216"/>
      <c r="I41" s="216"/>
      <c r="J41" s="215"/>
      <c r="K41" s="217"/>
      <c r="L41" s="217"/>
      <c r="M41" s="217"/>
      <c r="N41" s="217"/>
      <c r="O41" s="217"/>
      <c r="P41" s="217"/>
    </row>
    <row r="42">
      <c r="A42" s="214"/>
      <c r="B42" s="214"/>
      <c r="C42" s="214"/>
      <c r="D42" s="214"/>
      <c r="E42" s="215"/>
      <c r="F42" s="216"/>
      <c r="G42" s="216"/>
      <c r="H42" s="216"/>
      <c r="I42" s="216"/>
      <c r="J42" s="215"/>
      <c r="K42" s="217"/>
      <c r="L42" s="217"/>
      <c r="M42" s="217"/>
      <c r="N42" s="217"/>
      <c r="O42" s="217"/>
      <c r="P42" s="217"/>
    </row>
    <row r="43">
      <c r="A43" s="214"/>
      <c r="B43" s="214"/>
      <c r="C43" s="214"/>
      <c r="D43" s="214"/>
      <c r="E43" s="215"/>
      <c r="F43" s="216"/>
      <c r="G43" s="216"/>
      <c r="H43" s="216"/>
      <c r="I43" s="216"/>
      <c r="J43" s="215"/>
      <c r="K43" s="217"/>
      <c r="L43" s="217"/>
      <c r="M43" s="217"/>
      <c r="N43" s="217"/>
      <c r="O43" s="217"/>
      <c r="P43" s="217"/>
    </row>
    <row r="44">
      <c r="A44" s="214"/>
      <c r="B44" s="214"/>
      <c r="C44" s="214"/>
      <c r="D44" s="214"/>
      <c r="E44" s="215"/>
      <c r="F44" s="216"/>
      <c r="G44" s="216"/>
      <c r="H44" s="216"/>
      <c r="I44" s="216"/>
      <c r="J44" s="215"/>
      <c r="K44" s="217"/>
      <c r="L44" s="217"/>
      <c r="M44" s="217"/>
      <c r="N44" s="217"/>
      <c r="O44" s="217"/>
      <c r="P44" s="217"/>
    </row>
    <row r="45">
      <c r="A45" s="214"/>
      <c r="B45" s="214"/>
      <c r="C45" s="214"/>
      <c r="D45" s="214"/>
      <c r="E45" s="215"/>
      <c r="F45" s="216"/>
      <c r="G45" s="216"/>
      <c r="H45" s="216"/>
      <c r="I45" s="216"/>
      <c r="J45" s="215"/>
      <c r="K45" s="217"/>
      <c r="L45" s="217"/>
      <c r="M45" s="217"/>
      <c r="N45" s="217"/>
      <c r="O45" s="217"/>
      <c r="P45" s="217"/>
    </row>
    <row r="46">
      <c r="A46" s="214"/>
      <c r="B46" s="214"/>
      <c r="C46" s="214"/>
      <c r="D46" s="214"/>
      <c r="E46" s="215"/>
      <c r="F46" s="216"/>
      <c r="G46" s="216"/>
      <c r="H46" s="216"/>
      <c r="I46" s="216"/>
      <c r="J46" s="215"/>
      <c r="K46" s="217"/>
      <c r="L46" s="217"/>
      <c r="M46" s="217"/>
      <c r="N46" s="217"/>
      <c r="O46" s="217"/>
      <c r="P46" s="217"/>
    </row>
    <row r="47">
      <c r="A47" s="214"/>
      <c r="B47" s="214"/>
      <c r="C47" s="214"/>
      <c r="D47" s="214"/>
      <c r="E47" s="215"/>
      <c r="F47" s="216"/>
      <c r="G47" s="216"/>
      <c r="H47" s="216"/>
      <c r="I47" s="216"/>
      <c r="J47" s="215"/>
      <c r="K47" s="217"/>
      <c r="L47" s="217"/>
      <c r="M47" s="217"/>
      <c r="N47" s="217"/>
      <c r="O47" s="217"/>
      <c r="P47" s="217"/>
    </row>
    <row r="48">
      <c r="A48" s="214"/>
      <c r="B48" s="214"/>
      <c r="C48" s="214"/>
      <c r="D48" s="214"/>
      <c r="E48" s="215"/>
      <c r="F48" s="216"/>
      <c r="G48" s="216"/>
      <c r="H48" s="216"/>
      <c r="I48" s="216"/>
      <c r="J48" s="215"/>
      <c r="K48" s="217"/>
      <c r="L48" s="217"/>
      <c r="M48" s="217"/>
      <c r="N48" s="217"/>
      <c r="O48" s="217"/>
      <c r="P48" s="217"/>
    </row>
    <row r="49">
      <c r="A49" s="214"/>
      <c r="B49" s="214"/>
      <c r="C49" s="214"/>
      <c r="D49" s="214"/>
      <c r="E49" s="215"/>
      <c r="F49" s="216"/>
      <c r="G49" s="216"/>
      <c r="H49" s="216"/>
      <c r="I49" s="216"/>
      <c r="J49" s="215"/>
      <c r="K49" s="217"/>
      <c r="L49" s="217"/>
      <c r="M49" s="217"/>
      <c r="N49" s="217"/>
      <c r="O49" s="217"/>
      <c r="P49" s="217"/>
    </row>
    <row r="50">
      <c r="A50" s="214"/>
      <c r="B50" s="214"/>
      <c r="C50" s="214"/>
      <c r="D50" s="214"/>
      <c r="E50" s="215"/>
      <c r="F50" s="216"/>
      <c r="G50" s="216"/>
      <c r="H50" s="216"/>
      <c r="I50" s="216"/>
      <c r="J50" s="215"/>
      <c r="K50" s="217"/>
      <c r="L50" s="217"/>
      <c r="M50" s="217"/>
      <c r="N50" s="217"/>
      <c r="O50" s="217"/>
      <c r="P50" s="217"/>
    </row>
    <row r="51">
      <c r="A51" s="214"/>
      <c r="B51" s="214"/>
      <c r="C51" s="214"/>
      <c r="D51" s="214"/>
      <c r="E51" s="215"/>
      <c r="F51" s="216"/>
      <c r="G51" s="216"/>
      <c r="H51" s="216"/>
      <c r="I51" s="216"/>
      <c r="J51" s="215"/>
      <c r="K51" s="217"/>
      <c r="L51" s="217"/>
      <c r="M51" s="217"/>
      <c r="N51" s="217"/>
      <c r="O51" s="217"/>
      <c r="P51" s="217"/>
    </row>
    <row r="52">
      <c r="A52" s="214"/>
      <c r="B52" s="214"/>
      <c r="C52" s="214"/>
      <c r="D52" s="214"/>
      <c r="E52" s="215"/>
      <c r="F52" s="216"/>
      <c r="G52" s="216"/>
      <c r="H52" s="216"/>
      <c r="I52" s="216"/>
      <c r="J52" s="215"/>
      <c r="K52" s="217"/>
      <c r="L52" s="217"/>
      <c r="M52" s="217"/>
      <c r="N52" s="217"/>
      <c r="O52" s="217"/>
      <c r="P52" s="217"/>
    </row>
    <row r="53">
      <c r="A53" s="214"/>
      <c r="B53" s="214"/>
      <c r="C53" s="214"/>
      <c r="D53" s="214"/>
      <c r="E53" s="215"/>
      <c r="F53" s="216"/>
      <c r="G53" s="216"/>
      <c r="H53" s="216"/>
      <c r="I53" s="216"/>
      <c r="J53" s="215"/>
      <c r="K53" s="217"/>
      <c r="L53" s="217"/>
      <c r="M53" s="217"/>
      <c r="N53" s="217"/>
      <c r="O53" s="217"/>
      <c r="P53" s="217"/>
    </row>
    <row r="54">
      <c r="A54" s="214"/>
      <c r="B54" s="214"/>
      <c r="C54" s="214"/>
      <c r="D54" s="214"/>
      <c r="E54" s="215"/>
      <c r="F54" s="216"/>
      <c r="G54" s="216"/>
      <c r="H54" s="216"/>
      <c r="I54" s="216"/>
      <c r="J54" s="215"/>
      <c r="K54" s="217"/>
      <c r="L54" s="217"/>
      <c r="M54" s="217"/>
      <c r="N54" s="217"/>
      <c r="O54" s="217"/>
      <c r="P54" s="217"/>
    </row>
    <row r="55">
      <c r="A55" s="214"/>
      <c r="B55" s="214"/>
      <c r="C55" s="214"/>
      <c r="D55" s="214"/>
      <c r="E55" s="215"/>
      <c r="F55" s="216"/>
      <c r="G55" s="216"/>
      <c r="H55" s="216"/>
      <c r="I55" s="216"/>
      <c r="J55" s="215"/>
      <c r="K55" s="217"/>
      <c r="L55" s="217"/>
      <c r="M55" s="217"/>
      <c r="N55" s="217"/>
      <c r="O55" s="217"/>
      <c r="P55" s="217"/>
    </row>
    <row r="56">
      <c r="A56" s="214"/>
      <c r="B56" s="214"/>
      <c r="C56" s="214"/>
      <c r="D56" s="214"/>
      <c r="E56" s="215"/>
      <c r="F56" s="216"/>
      <c r="G56" s="216"/>
      <c r="H56" s="216"/>
      <c r="I56" s="216"/>
      <c r="J56" s="215"/>
      <c r="K56" s="217"/>
      <c r="L56" s="217"/>
      <c r="M56" s="217"/>
      <c r="N56" s="217"/>
      <c r="O56" s="217"/>
      <c r="P56" s="217"/>
    </row>
    <row r="57">
      <c r="A57" s="214"/>
      <c r="B57" s="214"/>
      <c r="C57" s="214"/>
      <c r="D57" s="214"/>
      <c r="E57" s="215"/>
      <c r="F57" s="216"/>
      <c r="G57" s="216"/>
      <c r="H57" s="216"/>
      <c r="I57" s="216"/>
      <c r="J57" s="215"/>
      <c r="K57" s="217"/>
      <c r="L57" s="217"/>
      <c r="M57" s="217"/>
      <c r="N57" s="217"/>
      <c r="O57" s="217"/>
      <c r="P57" s="217"/>
    </row>
    <row r="58">
      <c r="A58" s="214"/>
      <c r="B58" s="214"/>
      <c r="C58" s="214"/>
      <c r="D58" s="214"/>
      <c r="E58" s="215"/>
      <c r="F58" s="216"/>
      <c r="G58" s="216"/>
      <c r="H58" s="216"/>
      <c r="I58" s="216"/>
      <c r="J58" s="215"/>
      <c r="K58" s="217"/>
      <c r="L58" s="217"/>
      <c r="M58" s="217"/>
      <c r="N58" s="217"/>
      <c r="O58" s="217"/>
      <c r="P58" s="217"/>
    </row>
    <row r="59">
      <c r="A59" s="214"/>
      <c r="B59" s="214"/>
      <c r="C59" s="214"/>
      <c r="D59" s="214"/>
      <c r="E59" s="215"/>
      <c r="F59" s="216"/>
      <c r="G59" s="216"/>
      <c r="H59" s="216"/>
      <c r="I59" s="216"/>
      <c r="J59" s="215"/>
      <c r="K59" s="217"/>
      <c r="L59" s="217"/>
      <c r="M59" s="217"/>
      <c r="N59" s="217"/>
      <c r="O59" s="217"/>
      <c r="P59" s="217"/>
    </row>
    <row r="60">
      <c r="A60" s="214"/>
      <c r="B60" s="214"/>
      <c r="C60" s="214"/>
      <c r="D60" s="214"/>
      <c r="E60" s="215"/>
      <c r="F60" s="216"/>
      <c r="G60" s="216"/>
      <c r="H60" s="216"/>
      <c r="I60" s="216"/>
      <c r="J60" s="215"/>
      <c r="K60" s="217"/>
      <c r="L60" s="217"/>
      <c r="M60" s="217"/>
      <c r="N60" s="217"/>
      <c r="O60" s="217"/>
      <c r="P60" s="217"/>
    </row>
    <row r="61">
      <c r="A61" s="214"/>
      <c r="B61" s="214"/>
      <c r="C61" s="214"/>
      <c r="D61" s="214"/>
      <c r="E61" s="215"/>
      <c r="F61" s="216"/>
      <c r="G61" s="216"/>
      <c r="H61" s="216"/>
      <c r="I61" s="216"/>
      <c r="J61" s="215"/>
      <c r="K61" s="217"/>
      <c r="L61" s="217"/>
      <c r="M61" s="217"/>
      <c r="N61" s="217"/>
      <c r="O61" s="217"/>
      <c r="P61" s="217"/>
    </row>
    <row r="62">
      <c r="A62" s="214"/>
      <c r="B62" s="214"/>
      <c r="C62" s="214"/>
      <c r="D62" s="214"/>
      <c r="E62" s="215"/>
      <c r="F62" s="216"/>
      <c r="G62" s="216"/>
      <c r="H62" s="216"/>
      <c r="I62" s="216"/>
      <c r="J62" s="215"/>
      <c r="K62" s="217"/>
      <c r="L62" s="217"/>
      <c r="M62" s="217"/>
      <c r="N62" s="217"/>
      <c r="O62" s="217"/>
      <c r="P62" s="217"/>
    </row>
    <row r="63">
      <c r="A63" s="214"/>
      <c r="B63" s="214"/>
      <c r="C63" s="214"/>
      <c r="D63" s="214"/>
      <c r="E63" s="215"/>
      <c r="F63" s="216"/>
      <c r="G63" s="216"/>
      <c r="H63" s="216"/>
      <c r="I63" s="216"/>
      <c r="J63" s="215"/>
      <c r="K63" s="217"/>
      <c r="L63" s="217"/>
      <c r="M63" s="217"/>
      <c r="N63" s="217"/>
      <c r="O63" s="217"/>
      <c r="P63" s="217"/>
    </row>
    <row r="64">
      <c r="A64" s="214"/>
      <c r="B64" s="214"/>
      <c r="C64" s="214"/>
      <c r="D64" s="214"/>
      <c r="E64" s="215"/>
      <c r="F64" s="216"/>
      <c r="G64" s="216"/>
      <c r="H64" s="216"/>
      <c r="I64" s="216"/>
      <c r="J64" s="215"/>
      <c r="K64" s="217"/>
      <c r="L64" s="217"/>
      <c r="M64" s="217"/>
      <c r="N64" s="217"/>
      <c r="O64" s="217"/>
      <c r="P64" s="217"/>
    </row>
    <row r="65">
      <c r="A65" s="214"/>
      <c r="B65" s="214"/>
      <c r="C65" s="214"/>
      <c r="D65" s="214"/>
      <c r="E65" s="215"/>
      <c r="F65" s="216"/>
      <c r="G65" s="216"/>
      <c r="H65" s="216"/>
      <c r="I65" s="216"/>
      <c r="J65" s="215"/>
      <c r="K65" s="217"/>
      <c r="L65" s="217"/>
      <c r="M65" s="217"/>
      <c r="N65" s="217"/>
      <c r="O65" s="217"/>
      <c r="P65" s="217"/>
    </row>
    <row r="66">
      <c r="A66" s="214"/>
      <c r="B66" s="214"/>
      <c r="C66" s="214"/>
      <c r="D66" s="214"/>
      <c r="E66" s="215"/>
      <c r="F66" s="216"/>
      <c r="G66" s="216"/>
      <c r="H66" s="216"/>
      <c r="I66" s="216"/>
      <c r="J66" s="215"/>
      <c r="K66" s="217"/>
      <c r="L66" s="217"/>
      <c r="M66" s="217"/>
      <c r="N66" s="217"/>
      <c r="O66" s="217"/>
      <c r="P66" s="217"/>
    </row>
    <row r="67">
      <c r="A67" s="214"/>
      <c r="B67" s="214"/>
      <c r="C67" s="214"/>
      <c r="D67" s="214"/>
      <c r="E67" s="215"/>
      <c r="F67" s="216"/>
      <c r="G67" s="216"/>
      <c r="H67" s="216"/>
      <c r="I67" s="216"/>
      <c r="J67" s="215"/>
      <c r="K67" s="217"/>
      <c r="L67" s="217"/>
      <c r="M67" s="217"/>
      <c r="N67" s="217"/>
      <c r="O67" s="217"/>
      <c r="P67" s="217"/>
    </row>
    <row r="68">
      <c r="A68" s="214"/>
      <c r="B68" s="214"/>
      <c r="C68" s="214"/>
      <c r="D68" s="214"/>
      <c r="E68" s="215"/>
      <c r="F68" s="216"/>
      <c r="G68" s="216"/>
      <c r="H68" s="216"/>
      <c r="I68" s="216"/>
      <c r="J68" s="215"/>
      <c r="K68" s="217"/>
      <c r="L68" s="217"/>
      <c r="M68" s="217"/>
      <c r="N68" s="217"/>
      <c r="O68" s="217"/>
      <c r="P68" s="217"/>
    </row>
    <row r="69">
      <c r="A69" s="214"/>
      <c r="B69" s="214"/>
      <c r="C69" s="214"/>
      <c r="D69" s="214"/>
      <c r="E69" s="215"/>
      <c r="F69" s="216"/>
      <c r="G69" s="216"/>
      <c r="H69" s="216"/>
      <c r="I69" s="216"/>
      <c r="J69" s="215"/>
      <c r="K69" s="217"/>
      <c r="L69" s="217"/>
      <c r="M69" s="217"/>
      <c r="N69" s="217"/>
      <c r="O69" s="217"/>
      <c r="P69" s="217"/>
    </row>
    <row r="70">
      <c r="A70" s="214"/>
      <c r="B70" s="214"/>
      <c r="C70" s="214"/>
      <c r="D70" s="214"/>
      <c r="E70" s="215"/>
      <c r="F70" s="216"/>
      <c r="G70" s="216"/>
      <c r="H70" s="216"/>
      <c r="I70" s="216"/>
      <c r="J70" s="215"/>
      <c r="K70" s="217"/>
      <c r="L70" s="217"/>
      <c r="M70" s="217"/>
      <c r="N70" s="217"/>
      <c r="O70" s="217"/>
      <c r="P70" s="217"/>
    </row>
    <row r="71">
      <c r="A71" s="214"/>
      <c r="B71" s="214"/>
      <c r="C71" s="214"/>
      <c r="D71" s="214"/>
      <c r="E71" s="215"/>
      <c r="F71" s="216"/>
      <c r="G71" s="216"/>
      <c r="H71" s="216"/>
      <c r="I71" s="216"/>
      <c r="J71" s="215"/>
      <c r="K71" s="217"/>
      <c r="L71" s="217"/>
      <c r="M71" s="217"/>
      <c r="N71" s="217"/>
      <c r="O71" s="217"/>
      <c r="P71" s="217"/>
    </row>
    <row r="72">
      <c r="A72" s="214"/>
      <c r="B72" s="214"/>
      <c r="C72" s="214"/>
      <c r="D72" s="214"/>
      <c r="E72" s="215"/>
      <c r="F72" s="216"/>
      <c r="G72" s="216"/>
      <c r="H72" s="216"/>
      <c r="I72" s="216"/>
      <c r="J72" s="215"/>
      <c r="K72" s="217"/>
      <c r="L72" s="217"/>
      <c r="M72" s="217"/>
      <c r="N72" s="217"/>
      <c r="O72" s="217"/>
      <c r="P72" s="217"/>
    </row>
    <row r="73">
      <c r="A73" s="214"/>
      <c r="B73" s="214"/>
      <c r="C73" s="214"/>
      <c r="D73" s="214"/>
      <c r="E73" s="215"/>
      <c r="F73" s="216"/>
      <c r="G73" s="216"/>
      <c r="H73" s="216"/>
      <c r="I73" s="216"/>
      <c r="J73" s="215"/>
      <c r="K73" s="217"/>
      <c r="L73" s="217"/>
      <c r="M73" s="217"/>
      <c r="N73" s="217"/>
      <c r="O73" s="217"/>
      <c r="P73" s="217"/>
    </row>
    <row r="74">
      <c r="A74" s="214"/>
      <c r="B74" s="214"/>
      <c r="C74" s="214"/>
      <c r="D74" s="214"/>
      <c r="E74" s="215"/>
      <c r="F74" s="216"/>
      <c r="G74" s="216"/>
      <c r="H74" s="216"/>
      <c r="I74" s="216"/>
      <c r="J74" s="215"/>
      <c r="K74" s="217"/>
      <c r="L74" s="217"/>
      <c r="M74" s="217"/>
      <c r="N74" s="217"/>
      <c r="O74" s="217"/>
      <c r="P74" s="217"/>
    </row>
    <row r="75">
      <c r="A75" s="214"/>
      <c r="B75" s="214"/>
      <c r="C75" s="214"/>
      <c r="D75" s="214"/>
      <c r="E75" s="215"/>
      <c r="F75" s="216"/>
      <c r="G75" s="216"/>
      <c r="H75" s="216"/>
      <c r="I75" s="216"/>
      <c r="J75" s="215"/>
      <c r="K75" s="217"/>
      <c r="L75" s="217"/>
      <c r="M75" s="217"/>
      <c r="N75" s="217"/>
      <c r="O75" s="217"/>
      <c r="P75" s="217"/>
    </row>
    <row r="76">
      <c r="A76" s="214"/>
      <c r="B76" s="214"/>
      <c r="C76" s="214"/>
      <c r="D76" s="214"/>
      <c r="E76" s="215"/>
      <c r="F76" s="216"/>
      <c r="G76" s="216"/>
      <c r="H76" s="216"/>
      <c r="I76" s="216"/>
      <c r="J76" s="215"/>
      <c r="K76" s="217"/>
      <c r="L76" s="217"/>
      <c r="M76" s="217"/>
      <c r="N76" s="217"/>
      <c r="O76" s="217"/>
      <c r="P76" s="217"/>
    </row>
    <row r="77">
      <c r="A77" s="214"/>
      <c r="B77" s="214"/>
      <c r="C77" s="214"/>
      <c r="D77" s="214"/>
      <c r="E77" s="215"/>
      <c r="F77" s="216"/>
      <c r="G77" s="216"/>
      <c r="H77" s="216"/>
      <c r="I77" s="216"/>
      <c r="J77" s="215"/>
      <c r="K77" s="217"/>
      <c r="L77" s="217"/>
      <c r="M77" s="217"/>
      <c r="N77" s="217"/>
      <c r="O77" s="217"/>
      <c r="P77" s="217"/>
    </row>
    <row r="78">
      <c r="A78" s="214"/>
      <c r="B78" s="214"/>
      <c r="C78" s="214"/>
      <c r="D78" s="214"/>
      <c r="E78" s="215"/>
      <c r="F78" s="216"/>
      <c r="G78" s="216"/>
      <c r="H78" s="216"/>
      <c r="I78" s="216"/>
      <c r="J78" s="215"/>
      <c r="K78" s="217"/>
      <c r="L78" s="217"/>
      <c r="M78" s="217"/>
      <c r="N78" s="217"/>
      <c r="O78" s="217"/>
      <c r="P78" s="217"/>
    </row>
    <row r="79">
      <c r="A79" s="214"/>
      <c r="B79" s="214"/>
      <c r="C79" s="214"/>
      <c r="D79" s="214"/>
      <c r="E79" s="215"/>
      <c r="F79" s="216"/>
      <c r="G79" s="216"/>
      <c r="H79" s="216"/>
      <c r="I79" s="216"/>
      <c r="J79" s="215"/>
      <c r="K79" s="217"/>
      <c r="L79" s="217"/>
      <c r="M79" s="217"/>
      <c r="N79" s="217"/>
      <c r="O79" s="217"/>
      <c r="P79" s="217"/>
    </row>
    <row r="80">
      <c r="A80" s="214"/>
      <c r="B80" s="214"/>
      <c r="C80" s="214"/>
      <c r="D80" s="214"/>
      <c r="E80" s="215"/>
      <c r="F80" s="216"/>
      <c r="G80" s="216"/>
      <c r="H80" s="216"/>
      <c r="I80" s="216"/>
      <c r="J80" s="215"/>
      <c r="K80" s="217"/>
      <c r="L80" s="217"/>
      <c r="M80" s="217"/>
      <c r="N80" s="217"/>
      <c r="O80" s="217"/>
      <c r="P80" s="217"/>
    </row>
    <row r="81">
      <c r="A81" s="214"/>
      <c r="B81" s="214"/>
      <c r="C81" s="214"/>
      <c r="D81" s="214"/>
      <c r="E81" s="215"/>
      <c r="F81" s="216"/>
      <c r="G81" s="216"/>
      <c r="H81" s="216"/>
      <c r="I81" s="216"/>
      <c r="J81" s="215"/>
      <c r="K81" s="217"/>
      <c r="L81" s="217"/>
      <c r="M81" s="217"/>
      <c r="N81" s="217"/>
      <c r="O81" s="217"/>
      <c r="P81" s="217"/>
    </row>
    <row r="82">
      <c r="A82" s="214"/>
      <c r="B82" s="214"/>
      <c r="C82" s="214"/>
      <c r="D82" s="214"/>
      <c r="E82" s="215"/>
      <c r="F82" s="216"/>
      <c r="G82" s="216"/>
      <c r="H82" s="216"/>
      <c r="I82" s="216"/>
      <c r="J82" s="215"/>
      <c r="K82" s="217"/>
      <c r="L82" s="217"/>
      <c r="M82" s="217"/>
      <c r="N82" s="217"/>
      <c r="O82" s="217"/>
      <c r="P82" s="217"/>
    </row>
    <row r="83">
      <c r="A83" s="214"/>
      <c r="B83" s="214"/>
      <c r="C83" s="214"/>
      <c r="D83" s="214"/>
      <c r="E83" s="215"/>
      <c r="F83" s="216"/>
      <c r="G83" s="216"/>
      <c r="H83" s="216"/>
      <c r="I83" s="216"/>
      <c r="J83" s="215"/>
      <c r="K83" s="217"/>
      <c r="L83" s="217"/>
      <c r="M83" s="217"/>
      <c r="N83" s="217"/>
      <c r="O83" s="217"/>
      <c r="P83" s="217"/>
    </row>
    <row r="84">
      <c r="A84" s="214"/>
      <c r="B84" s="214"/>
      <c r="C84" s="214"/>
      <c r="D84" s="214"/>
      <c r="E84" s="215"/>
      <c r="F84" s="216"/>
      <c r="G84" s="216"/>
      <c r="H84" s="216"/>
      <c r="I84" s="216"/>
      <c r="J84" s="215"/>
      <c r="K84" s="217"/>
      <c r="L84" s="217"/>
      <c r="M84" s="217"/>
      <c r="N84" s="217"/>
      <c r="O84" s="217"/>
      <c r="P84" s="217"/>
    </row>
    <row r="85">
      <c r="A85" s="214"/>
      <c r="B85" s="214"/>
      <c r="C85" s="214"/>
      <c r="D85" s="214"/>
      <c r="E85" s="215"/>
      <c r="F85" s="216"/>
      <c r="G85" s="216"/>
      <c r="H85" s="216"/>
      <c r="I85" s="216"/>
      <c r="J85" s="215"/>
      <c r="K85" s="217"/>
      <c r="L85" s="217"/>
      <c r="M85" s="217"/>
      <c r="N85" s="217"/>
      <c r="O85" s="217"/>
      <c r="P85" s="217"/>
    </row>
    <row r="86">
      <c r="A86" s="214"/>
      <c r="B86" s="214"/>
      <c r="C86" s="214"/>
      <c r="D86" s="214"/>
      <c r="E86" s="215"/>
      <c r="F86" s="216"/>
      <c r="G86" s="216"/>
      <c r="H86" s="216"/>
      <c r="I86" s="216"/>
      <c r="J86" s="215"/>
      <c r="K86" s="217"/>
      <c r="L86" s="217"/>
      <c r="M86" s="217"/>
      <c r="N86" s="217"/>
      <c r="O86" s="217"/>
      <c r="P86" s="217"/>
    </row>
    <row r="87">
      <c r="A87" s="214"/>
      <c r="B87" s="214"/>
      <c r="C87" s="214"/>
      <c r="D87" s="214"/>
      <c r="E87" s="215"/>
      <c r="F87" s="216"/>
      <c r="G87" s="216"/>
      <c r="H87" s="216"/>
      <c r="I87" s="216"/>
      <c r="J87" s="215"/>
      <c r="K87" s="217"/>
      <c r="L87" s="217"/>
      <c r="M87" s="217"/>
      <c r="N87" s="217"/>
      <c r="O87" s="217"/>
      <c r="P87" s="217"/>
    </row>
    <row r="88">
      <c r="A88" s="214"/>
      <c r="B88" s="214"/>
      <c r="C88" s="214"/>
      <c r="D88" s="214"/>
      <c r="E88" s="215"/>
      <c r="F88" s="216"/>
      <c r="G88" s="216"/>
      <c r="H88" s="216"/>
      <c r="I88" s="216"/>
      <c r="J88" s="215"/>
      <c r="K88" s="217"/>
      <c r="L88" s="217"/>
      <c r="M88" s="217"/>
      <c r="N88" s="217"/>
      <c r="O88" s="217"/>
      <c r="P88" s="217"/>
    </row>
    <row r="89">
      <c r="A89" s="214"/>
      <c r="B89" s="214"/>
      <c r="C89" s="214"/>
      <c r="D89" s="214"/>
      <c r="E89" s="215"/>
      <c r="F89" s="216"/>
      <c r="G89" s="216"/>
      <c r="H89" s="216"/>
      <c r="I89" s="216"/>
      <c r="J89" s="215"/>
      <c r="K89" s="217"/>
      <c r="L89" s="217"/>
      <c r="M89" s="217"/>
      <c r="N89" s="217"/>
      <c r="O89" s="217"/>
      <c r="P89" s="217"/>
    </row>
    <row r="90">
      <c r="A90" s="214"/>
      <c r="B90" s="214"/>
      <c r="C90" s="214"/>
      <c r="D90" s="214"/>
      <c r="E90" s="215"/>
      <c r="F90" s="216"/>
      <c r="G90" s="216"/>
      <c r="H90" s="216"/>
      <c r="I90" s="216"/>
      <c r="J90" s="215"/>
      <c r="K90" s="217"/>
      <c r="L90" s="217"/>
      <c r="M90" s="217"/>
      <c r="N90" s="217"/>
      <c r="O90" s="217"/>
      <c r="P90" s="217"/>
    </row>
    <row r="91">
      <c r="A91" s="214"/>
      <c r="B91" s="214"/>
      <c r="C91" s="214"/>
      <c r="D91" s="214"/>
      <c r="E91" s="215"/>
      <c r="F91" s="216"/>
      <c r="G91" s="216"/>
      <c r="H91" s="216"/>
      <c r="I91" s="216"/>
      <c r="J91" s="215"/>
      <c r="K91" s="217"/>
      <c r="L91" s="217"/>
      <c r="M91" s="217"/>
      <c r="N91" s="217"/>
      <c r="O91" s="217"/>
      <c r="P91" s="217"/>
    </row>
    <row r="92">
      <c r="A92" s="214"/>
      <c r="B92" s="214"/>
      <c r="C92" s="214"/>
      <c r="D92" s="214"/>
      <c r="E92" s="215"/>
      <c r="F92" s="216"/>
      <c r="G92" s="216"/>
      <c r="H92" s="216"/>
      <c r="I92" s="216"/>
      <c r="J92" s="215"/>
      <c r="K92" s="217"/>
      <c r="L92" s="217"/>
      <c r="M92" s="217"/>
      <c r="N92" s="217"/>
      <c r="O92" s="217"/>
      <c r="P92" s="217"/>
    </row>
    <row r="93">
      <c r="A93" s="214"/>
      <c r="B93" s="214"/>
      <c r="C93" s="214"/>
      <c r="D93" s="214"/>
      <c r="E93" s="215"/>
      <c r="F93" s="216"/>
      <c r="G93" s="216"/>
      <c r="H93" s="216"/>
      <c r="I93" s="216"/>
      <c r="J93" s="215"/>
      <c r="K93" s="217"/>
      <c r="L93" s="217"/>
      <c r="M93" s="217"/>
      <c r="N93" s="217"/>
      <c r="O93" s="217"/>
      <c r="P93" s="217"/>
    </row>
    <row r="94">
      <c r="A94" s="214"/>
      <c r="B94" s="214"/>
      <c r="C94" s="214"/>
      <c r="D94" s="214"/>
      <c r="E94" s="215"/>
      <c r="F94" s="216"/>
      <c r="G94" s="216"/>
      <c r="H94" s="216"/>
      <c r="I94" s="216"/>
      <c r="J94" s="215"/>
      <c r="K94" s="217"/>
      <c r="L94" s="217"/>
      <c r="M94" s="217"/>
      <c r="N94" s="217"/>
      <c r="O94" s="217"/>
      <c r="P94" s="217"/>
    </row>
    <row r="95">
      <c r="A95" s="214"/>
      <c r="B95" s="214"/>
      <c r="C95" s="214"/>
      <c r="D95" s="214"/>
      <c r="E95" s="215"/>
      <c r="F95" s="216"/>
      <c r="G95" s="216"/>
      <c r="H95" s="216"/>
      <c r="I95" s="216"/>
      <c r="J95" s="215"/>
      <c r="K95" s="217"/>
      <c r="L95" s="217"/>
      <c r="M95" s="217"/>
      <c r="N95" s="217"/>
      <c r="O95" s="217"/>
      <c r="P95" s="217"/>
    </row>
    <row r="96">
      <c r="A96" s="214"/>
      <c r="B96" s="214"/>
      <c r="C96" s="214"/>
      <c r="D96" s="214"/>
      <c r="E96" s="215"/>
      <c r="F96" s="216"/>
      <c r="G96" s="216"/>
      <c r="H96" s="216"/>
      <c r="I96" s="216"/>
      <c r="J96" s="215"/>
      <c r="K96" s="217"/>
      <c r="L96" s="217"/>
      <c r="M96" s="217"/>
      <c r="N96" s="217"/>
      <c r="O96" s="217"/>
      <c r="P96" s="217"/>
    </row>
    <row r="97">
      <c r="A97" s="214"/>
      <c r="B97" s="214"/>
      <c r="C97" s="214"/>
      <c r="D97" s="214"/>
      <c r="E97" s="215"/>
      <c r="F97" s="216"/>
      <c r="G97" s="216"/>
      <c r="H97" s="216"/>
      <c r="I97" s="216"/>
      <c r="J97" s="215"/>
      <c r="K97" s="217"/>
      <c r="L97" s="217"/>
      <c r="M97" s="217"/>
      <c r="N97" s="217"/>
      <c r="O97" s="217"/>
      <c r="P97" s="217"/>
    </row>
    <row r="98">
      <c r="A98" s="214"/>
      <c r="B98" s="214"/>
      <c r="C98" s="214"/>
      <c r="D98" s="214"/>
      <c r="E98" s="215"/>
      <c r="F98" s="216"/>
      <c r="G98" s="216"/>
      <c r="H98" s="216"/>
      <c r="I98" s="216"/>
      <c r="J98" s="215"/>
      <c r="K98" s="217"/>
      <c r="L98" s="217"/>
      <c r="M98" s="217"/>
      <c r="N98" s="217"/>
      <c r="O98" s="217"/>
      <c r="P98" s="217"/>
    </row>
    <row r="99">
      <c r="A99" s="214"/>
      <c r="B99" s="214"/>
      <c r="C99" s="214"/>
      <c r="D99" s="214"/>
      <c r="E99" s="215"/>
      <c r="F99" s="216"/>
      <c r="G99" s="216"/>
      <c r="H99" s="216"/>
      <c r="I99" s="216"/>
      <c r="J99" s="215"/>
      <c r="K99" s="217"/>
      <c r="L99" s="217"/>
      <c r="M99" s="217"/>
      <c r="N99" s="217"/>
      <c r="O99" s="217"/>
      <c r="P99" s="217"/>
    </row>
    <row r="100">
      <c r="A100" s="214"/>
      <c r="B100" s="214"/>
      <c r="C100" s="214"/>
      <c r="D100" s="214"/>
      <c r="E100" s="215"/>
      <c r="F100" s="216"/>
      <c r="G100" s="216"/>
      <c r="H100" s="216"/>
      <c r="I100" s="216"/>
      <c r="J100" s="215"/>
      <c r="K100" s="217"/>
      <c r="L100" s="217"/>
      <c r="M100" s="217"/>
      <c r="N100" s="217"/>
      <c r="O100" s="217"/>
      <c r="P100" s="217"/>
    </row>
    <row r="101">
      <c r="A101" s="218"/>
      <c r="B101" s="218"/>
      <c r="C101" s="218"/>
      <c r="D101" s="218"/>
      <c r="E101" s="219"/>
      <c r="F101" s="220"/>
      <c r="G101" s="220"/>
      <c r="H101" s="220"/>
      <c r="I101" s="220"/>
      <c r="J101" s="219"/>
      <c r="K101" s="221"/>
      <c r="L101" s="221"/>
      <c r="M101" s="221"/>
      <c r="N101" s="221"/>
      <c r="O101" s="221"/>
      <c r="P101" s="221"/>
    </row>
    <row r="102">
      <c r="A102" s="214" t="str">
        <f>IFERROR(__xludf.DUMMYFUNCTION("IMPORTRANGE(""https://docs.google.com/spreadsheets/d/1OWqz0Kj63DvuK16jiKGSn_Hv_N2mbyV2QAdHjKdcrpw"", ""'Orders/Techniques'!$A$2:$P"")"),"Defensive Order")</f>
        <v>Defensive Order</v>
      </c>
      <c r="B102" s="214" t="str">
        <f>IFERROR(__xludf.DUMMYFUNCTION("""COMPUTED_VALUE"""),"None")</f>
        <v>None</v>
      </c>
      <c r="C102" s="214" t="str">
        <f>IFERROR(__xludf.DUMMYFUNCTION("""COMPUTED_VALUE"""),"At-Will - Reaction")</f>
        <v>At-Will - Reaction</v>
      </c>
      <c r="D102" s="214" t="str">
        <f>IFERROR(__xludf.DUMMYFUNCTION("""COMPUTED_VALUE"""),"Trigger - Your Pokemon is hit by a Damaging Attack
Effect - The Target gains Damage Reduction equal to your Tier Value against the Triggering Attack. ")</f>
        <v>Trigger - Your Pokemon is hit by a Damaging Attack
Effect - The Target gains Damage Reduction equal to your Tier Value against the Triggering Attack. </v>
      </c>
      <c r="E102" s="215"/>
      <c r="F102" s="216" t="str">
        <f>IFERROR(__xludf.DUMMYFUNCTION("""COMPUTED_VALUE"""),"Efficient Blast")</f>
        <v>Efficient Blast</v>
      </c>
      <c r="G102" s="216" t="str">
        <f>IFERROR(__xludf.DUMMYFUNCTION("""COMPUTED_VALUE"""),"Training Specialist - Signature Technique")</f>
        <v>Training Specialist - Signature Technique</v>
      </c>
      <c r="H102" s="216" t="str">
        <f>IFERROR(__xludf.DUMMYFUNCTION("""COMPUTED_VALUE"""),"Static")</f>
        <v>Static</v>
      </c>
      <c r="I102" s="216" t="str">
        <f>IFERROR(__xludf.DUMMYFUNCTION("""COMPUTED_VALUE"""),"If the Attack has the Full Action Keyword, it is removed and the Attack is instead a Standard Action.")</f>
        <v>If the Attack has the Full Action Keyword, it is removed and the Attack is instead a Standard Action.</v>
      </c>
      <c r="J102" s="215"/>
      <c r="K102" s="217" t="str">
        <f>IFERROR(__xludf.DUMMYFUNCTION("""COMPUTED_VALUE"""),"Defend")</f>
        <v>Defend</v>
      </c>
      <c r="L102" s="217" t="str">
        <f>IFERROR(__xludf.DUMMYFUNCTION("""COMPUTED_VALUE"""),"--")</f>
        <v>--</v>
      </c>
      <c r="M102" s="217" t="str">
        <f>IFERROR(__xludf.DUMMYFUNCTION("""COMPUTED_VALUE"""),"Swift Action, Reaction or Movement")</f>
        <v>Swift Action, Reaction or Movement</v>
      </c>
      <c r="N102" s="217" t="str">
        <f>IFERROR(__xludf.DUMMYFUNCTION("""COMPUTED_VALUE"""),"An Adjacent Ally")</f>
        <v>An Adjacent Ally</v>
      </c>
      <c r="O102" s="217" t="str">
        <f>IFERROR(__xludf.DUMMYFUNCTION("""COMPUTED_VALUE"""),"--")</f>
        <v>--</v>
      </c>
      <c r="P102" s="217" t="str">
        <f>IFERROR(__xludf.DUMMYFUNCTION("""COMPUTED_VALUE"""),"Effect: Until the start of your next Turn, while you’re Adjacent to them, if the chosen Ally were to be Targeted by a 1-Target Attack, you become the Target instead. ")</f>
        <v>Effect: Until the start of your next Turn, while you’re Adjacent to them, if the chosen Ally were to be Targeted by a 1-Target Attack, you become the Target instead. </v>
      </c>
    </row>
    <row r="103">
      <c r="A103" s="214" t="str">
        <f>IFERROR(__xludf.DUMMYFUNCTION("""COMPUTED_VALUE"""),"Energetic Order")</f>
        <v>Energetic Order</v>
      </c>
      <c r="B103" s="214" t="str">
        <f>IFERROR(__xludf.DUMMYFUNCTION("""COMPUTED_VALUE"""),"None")</f>
        <v>None</v>
      </c>
      <c r="C103" s="214" t="str">
        <f>IFERROR(__xludf.DUMMYFUNCTION("""COMPUTED_VALUE"""),"At-Will - Reaction")</f>
        <v>At-Will - Reaction</v>
      </c>
      <c r="D103" s="214" t="str">
        <f>IFERROR(__xludf.DUMMYFUNCTION("""COMPUTED_VALUE"""),"Trigger - Your Pokemon hits a Damaging Attack
Effect - The Target gains a bonus to the Triggering Attack’s Damage Roll equal to your Tier Value.")</f>
        <v>Trigger - Your Pokemon hits a Damaging Attack
Effect - The Target gains a bonus to the Triggering Attack’s Damage Roll equal to your Tier Value.</v>
      </c>
      <c r="E103" s="215"/>
      <c r="F103" s="216" t="str">
        <f>IFERROR(__xludf.DUMMYFUNCTION("""COMPUTED_VALUE"""),"Scattershot")</f>
        <v>Scattershot</v>
      </c>
      <c r="G103" s="216" t="str">
        <f>IFERROR(__xludf.DUMMYFUNCTION("""COMPUTED_VALUE"""),"Training Specialist - Signature Technique")</f>
        <v>Training Specialist - Signature Technique</v>
      </c>
      <c r="H103" s="216" t="str">
        <f>IFERROR(__xludf.DUMMYFUNCTION("""COMPUTED_VALUE"""),"Static")</f>
        <v>Static</v>
      </c>
      <c r="I103" s="216" t="str">
        <f>IFERROR(__xludf.DUMMYFUNCTION("""COMPUTED_VALUE"""),"The Attack’s Range is changed to 4, 2 Targets")</f>
        <v>The Attack’s Range is changed to 4, 2 Targets</v>
      </c>
      <c r="J103" s="215"/>
      <c r="K103" s="217" t="str">
        <f>IFERROR(__xludf.DUMMYFUNCTION("""COMPUTED_VALUE"""),"Disengage")</f>
        <v>Disengage</v>
      </c>
      <c r="L103" s="217" t="str">
        <f>IFERROR(__xludf.DUMMYFUNCTION("""COMPUTED_VALUE"""),"--")</f>
        <v>--</v>
      </c>
      <c r="M103" s="217" t="str">
        <f>IFERROR(__xludf.DUMMYFUNCTION("""COMPUTED_VALUE"""),"Movement")</f>
        <v>Movement</v>
      </c>
      <c r="N103" s="217" t="str">
        <f>IFERROR(__xludf.DUMMYFUNCTION("""COMPUTED_VALUE"""),"Self")</f>
        <v>Self</v>
      </c>
      <c r="O103" s="217" t="str">
        <f>IFERROR(__xludf.DUMMYFUNCTION("""COMPUTED_VALUE"""),"--")</f>
        <v>--</v>
      </c>
      <c r="P103" s="217" t="str">
        <f>IFERROR(__xludf.DUMMYFUNCTION("""COMPUTED_VALUE"""),"Effect: You Slide 1m. ")</f>
        <v>Effect: You Slide 1m. </v>
      </c>
    </row>
    <row r="104">
      <c r="A104" s="214" t="str">
        <f>IFERROR(__xludf.DUMMYFUNCTION("""COMPUTED_VALUE"""),"Inspiring Order")</f>
        <v>Inspiring Order</v>
      </c>
      <c r="B104" s="214" t="str">
        <f>IFERROR(__xludf.DUMMYFUNCTION("""COMPUTED_VALUE"""),"None")</f>
        <v>None</v>
      </c>
      <c r="C104" s="214" t="str">
        <f>IFERROR(__xludf.DUMMYFUNCTION("""COMPUTED_VALUE"""),"At-Will - Reaction")</f>
        <v>At-Will - Reaction</v>
      </c>
      <c r="D104" s="214" t="str">
        <f>IFERROR(__xludf.DUMMYFUNCTION("""COMPUTED_VALUE"""),"Trigger - Your Pokemon would perform an Attack or Save Check
Effect - The Target gains a modifier to the Triggering Accuracy Check or Save Check equal to your Tier Level.  ")</f>
        <v>Trigger - Your Pokemon would perform an Attack or Save Check
Effect - The Target gains a modifier to the Triggering Accuracy Check or Save Check equal to your Tier Level.  </v>
      </c>
      <c r="E104" s="215"/>
      <c r="F104" s="216" t="str">
        <f>IFERROR(__xludf.DUMMYFUNCTION("""COMPUTED_VALUE"""),"Vicious Storm")</f>
        <v>Vicious Storm</v>
      </c>
      <c r="G104" s="216" t="str">
        <f>IFERROR(__xludf.DUMMYFUNCTION("""COMPUTED_VALUE"""),"Training Specialist - Signature Technique")</f>
        <v>Training Specialist - Signature Technique</v>
      </c>
      <c r="H104" s="216" t="str">
        <f>IFERROR(__xludf.DUMMYFUNCTION("""COMPUTED_VALUE"""),"Static")</f>
        <v>Static</v>
      </c>
      <c r="I104" s="216" t="str">
        <f>IFERROR(__xludf.DUMMYFUNCTION("""COMPUTED_VALUE"""),"The Attack gains the Smite Keyword. If the Attack is Status Category, instead, it’s AoE is increased by +1.")</f>
        <v>The Attack gains the Smite Keyword. If the Attack is Status Category, instead, it’s AoE is increased by +1.</v>
      </c>
      <c r="J104" s="215"/>
      <c r="K104" s="217" t="str">
        <f>IFERROR(__xludf.DUMMYFUNCTION("""COMPUTED_VALUE"""),"Help")</f>
        <v>Help</v>
      </c>
      <c r="L104" s="217" t="str">
        <f>IFERROR(__xludf.DUMMYFUNCTION("""COMPUTED_VALUE"""),"--")</f>
        <v>--</v>
      </c>
      <c r="M104" s="217" t="str">
        <f>IFERROR(__xludf.DUMMYFUNCTION("""COMPUTED_VALUE"""),"Swift")</f>
        <v>Swift</v>
      </c>
      <c r="N104" s="217" t="str">
        <f>IFERROR(__xludf.DUMMYFUNCTION("""COMPUTED_VALUE"""),"An Adjacent Ally")</f>
        <v>An Adjacent Ally</v>
      </c>
      <c r="O104" s="217" t="str">
        <f>IFERROR(__xludf.DUMMYFUNCTION("""COMPUTED_VALUE"""),"--")</f>
        <v>--</v>
      </c>
      <c r="P104" s="217" t="str">
        <f>IFERROR(__xludf.DUMMYFUNCTION("""COMPUTED_VALUE"""),"Effect: The Target may immediately make a Save Check to cure an Affliction as if it were the end of their Turn. The user cannot perform this Maneuver if they used a Damaging Attack this Turn and cannot use one for the rest of the Turn.")</f>
        <v>Effect: The Target may immediately make a Save Check to cure an Affliction as if it were the end of their Turn. The user cannot perform this Maneuver if they used a Damaging Attack this Turn and cannot use one for the rest of the Turn.</v>
      </c>
    </row>
    <row r="105">
      <c r="A105" s="214" t="str">
        <f>IFERROR(__xludf.DUMMYFUNCTION("""COMPUTED_VALUE"""),"Reactive Order")</f>
        <v>Reactive Order</v>
      </c>
      <c r="B105" s="214" t="str">
        <f>IFERROR(__xludf.DUMMYFUNCTION("""COMPUTED_VALUE"""),"None")</f>
        <v>None</v>
      </c>
      <c r="C105" s="214" t="str">
        <f>IFERROR(__xludf.DUMMYFUNCTION("""COMPUTED_VALUE"""),"At-Will - Reaction")</f>
        <v>At-Will - Reaction</v>
      </c>
      <c r="D105" s="214" t="str">
        <f>IFERROR(__xludf.DUMMYFUNCTION("""COMPUTED_VALUE"""),"Trigger - Your Pokemon is Targeted by an Attack or Maneuver before the Accuracy Check
Effect - The Target gains Evasion equal to your Tier Level against the Triggering Attack or Maneuver")</f>
        <v>Trigger - Your Pokemon is Targeted by an Attack or Maneuver before the Accuracy Check
Effect - The Target gains Evasion equal to your Tier Level against the Triggering Attack or Maneuver</v>
      </c>
      <c r="E105" s="215"/>
      <c r="F105" s="216" t="str">
        <f>IFERROR(__xludf.DUMMYFUNCTION("""COMPUTED_VALUE"""),"Guarding Strike")</f>
        <v>Guarding Strike</v>
      </c>
      <c r="G105" s="216" t="str">
        <f>IFERROR(__xludf.DUMMYFUNCTION("""COMPUTED_VALUE"""),"Training Specialist - Signature Technique")</f>
        <v>Training Specialist - Signature Technique</v>
      </c>
      <c r="H105" s="216" t="str">
        <f>IFERROR(__xludf.DUMMYFUNCTION("""COMPUTED_VALUE"""),"Static")</f>
        <v>Static</v>
      </c>
      <c r="I105" s="216" t="str">
        <f>IFERROR(__xludf.DUMMYFUNCTION("""COMPUTED_VALUE"""),"Whenever this Attack hits an Enemy, the next Attack that Enemy uses against the user becomes resisted by an additional Damage Step. Each Enemy can only be affected by this Effect once per Scene.")</f>
        <v>Whenever this Attack hits an Enemy, the next Attack that Enemy uses against the user becomes resisted by an additional Damage Step. Each Enemy can only be affected by this Effect once per Scene.</v>
      </c>
      <c r="J105" s="215"/>
      <c r="K105" s="217" t="str">
        <f>IFERROR(__xludf.DUMMYFUNCTION("""COMPUTED_VALUE"""),"Hide")</f>
        <v>Hide</v>
      </c>
      <c r="L105" s="217" t="str">
        <f>IFERROR(__xludf.DUMMYFUNCTION("""COMPUTED_VALUE"""),"--")</f>
        <v>--</v>
      </c>
      <c r="M105" s="217" t="str">
        <f>IFERROR(__xludf.DUMMYFUNCTION("""COMPUTED_VALUE"""),"Movement")</f>
        <v>Movement</v>
      </c>
      <c r="N105" s="217" t="str">
        <f>IFERROR(__xludf.DUMMYFUNCTION("""COMPUTED_VALUE"""),"Self")</f>
        <v>Self</v>
      </c>
      <c r="O105" s="217" t="str">
        <f>IFERROR(__xludf.DUMMYFUNCTION("""COMPUTED_VALUE"""),"--")</f>
        <v>--</v>
      </c>
      <c r="P105" s="217" t="str">
        <f>IFERROR(__xludf.DUMMYFUNCTION("""COMPUTED_VALUE"""),"Effect: Until the start of your next Turn, all Cover Terrain you’re Adjacent to is treated as Blocking Terrain and all Rough Terrain you’re standing in has its penalties double against Attackers.")</f>
        <v>Effect: Until the start of your next Turn, all Cover Terrain you’re Adjacent to is treated as Blocking Terrain and all Rough Terrain you’re standing in has its penalties double against Attackers.</v>
      </c>
    </row>
    <row r="106">
      <c r="A106" s="214" t="str">
        <f>IFERROR(__xludf.DUMMYFUNCTION("""COMPUTED_VALUE"""),"Tactical Order")</f>
        <v>Tactical Order</v>
      </c>
      <c r="B106" s="214" t="str">
        <f>IFERROR(__xludf.DUMMYFUNCTION("""COMPUTED_VALUE"""),"None")</f>
        <v>None</v>
      </c>
      <c r="C106" s="214" t="str">
        <f>IFERROR(__xludf.DUMMYFUNCTION("""COMPUTED_VALUE"""),"At-Will - Reaction")</f>
        <v>At-Will - Reaction</v>
      </c>
      <c r="D106" s="214" t="str">
        <f>IFERROR(__xludf.DUMMYFUNCTION("""COMPUTED_VALUE"""),"Trigger - Your Pokemon uses an Attack
Effect - The Target gains a modifier to the Triggering Attack’s Effect Range or Critical Hit Range equal to your Tier Level. ")</f>
        <v>Trigger - Your Pokemon uses an Attack
Effect - The Target gains a modifier to the Triggering Attack’s Effect Range or Critical Hit Range equal to your Tier Level. </v>
      </c>
      <c r="E106" s="215"/>
      <c r="F106" s="216" t="str">
        <f>IFERROR(__xludf.DUMMYFUNCTION("""COMPUTED_VALUE"""),"Reliable Attack")</f>
        <v>Reliable Attack</v>
      </c>
      <c r="G106" s="216" t="str">
        <f>IFERROR(__xludf.DUMMYFUNCTION("""COMPUTED_VALUE"""),"Training Specialist - Signature Technique")</f>
        <v>Training Specialist - Signature Technique</v>
      </c>
      <c r="H106" s="216" t="str">
        <f>IFERROR(__xludf.DUMMYFUNCTION("""COMPUTED_VALUE"""),"Static")</f>
        <v>Static</v>
      </c>
      <c r="I106" s="216" t="str">
        <f>IFERROR(__xludf.DUMMYFUNCTION("""COMPUTED_VALUE"""),"If the Target of this Attack is Flanked, or if the user uses a Swift Action, this Attack cannot miss. If the Attack would have multiple Accuracy Rolls such as Five Strike, this only applies to the first one. ")</f>
        <v>If the Target of this Attack is Flanked, or if the user uses a Swift Action, this Attack cannot miss. If the Attack would have multiple Accuracy Rolls such as Five Strike, this only applies to the first one. </v>
      </c>
      <c r="J106" s="215"/>
      <c r="K106" s="217" t="str">
        <f>IFERROR(__xludf.DUMMYFUNCTION("""COMPUTED_VALUE"""),"Intercept")</f>
        <v>Intercept</v>
      </c>
      <c r="L106" s="217" t="str">
        <f>IFERROR(__xludf.DUMMYFUNCTION("""COMPUTED_VALUE"""),"--")</f>
        <v>--</v>
      </c>
      <c r="M106" s="217" t="str">
        <f>IFERROR(__xludf.DUMMYFUNCTION("""COMPUTED_VALUE"""),"Reaction")</f>
        <v>Reaction</v>
      </c>
      <c r="N106" s="217" t="str">
        <f>IFERROR(__xludf.DUMMYFUNCTION("""COMPUTED_VALUE"""),"See Effect")</f>
        <v>See Effect</v>
      </c>
      <c r="O106" s="217" t="str">
        <f>IFERROR(__xludf.DUMMYFUNCTION("""COMPUTED_VALUE"""),"--")</f>
        <v>--</v>
      </c>
      <c r="P106" s="217" t="str">
        <f>IFERROR(__xludf.DUMMYFUNCTION("""COMPUTED_VALUE"""),"Trigger: An Ally within 3m would be hit by an Enemy’s Attack that doesn’t have the Social or Sureshot Keyword
Effect: As a Free Action, you move until you reach the space the Ally is in, or until you’re in a space that is directly between the source of th"&amp;"e Attack and the Targeted Ally. If you reach the space the Ally is in, they are Slid into an Adjacent space, then you move into the Space they were in. You are then hit by the Triggering Attack as if you were the original Target and it becomes one damage "&amp;"step more effective (Max 1.5x) or if you were Immune to the Triggering Attack, it is treated as Resisted instead. The Effectiveness does not increase if you expend a Standard Action.
» If an Attack is an Area of Effect, the Ally that was intercepted for"&amp;" resists it by an additional Damage Step if they would still be in Range.")</f>
        <v>Trigger: An Ally within 3m would be hit by an Enemy’s Attack that doesn’t have the Social or Sureshot Keyword
Effect: As a Free Action, you move until you reach the space the Ally is in, or until you’re in a space that is directly between the source of the Attack and the Targeted Ally. If you reach the space the Ally is in, they are Slid into an Adjacent space, then you move into the Space they were in. You are then hit by the Triggering Attack as if you were the original Target and it becomes one damage step more effective (Max 1.5x) or if you were Immune to the Triggering Attack, it is treated as Resisted instead. The Effectiveness does not increase if you expend a Standard Action.
» If an Attack is an Area of Effect, the Ally that was intercepted for resists it by an additional Damage Step if they would still be in Range.</v>
      </c>
    </row>
    <row r="107">
      <c r="A107" s="214"/>
      <c r="B107" s="214"/>
      <c r="C107" s="214"/>
      <c r="D107" s="214"/>
      <c r="E107" s="215"/>
      <c r="F107" s="216" t="str">
        <f>IFERROR(__xludf.DUMMYFUNCTION("""COMPUTED_VALUE"""),"Unbalancing Blow")</f>
        <v>Unbalancing Blow</v>
      </c>
      <c r="G107" s="216" t="str">
        <f>IFERROR(__xludf.DUMMYFUNCTION("""COMPUTED_VALUE"""),"Training Specialist - Signature Technique")</f>
        <v>Training Specialist - Signature Technique</v>
      </c>
      <c r="H107" s="216" t="str">
        <f>IFERROR(__xludf.DUMMYFUNCTION("""COMPUTED_VALUE"""),"Static")</f>
        <v>Static</v>
      </c>
      <c r="I107" s="216" t="str">
        <f>IFERROR(__xludf.DUMMYFUNCTION("""COMPUTED_VALUE"""),"The Target of this Attack cannot apply Evasion against the next Attack that Targets them.")</f>
        <v>The Target of this Attack cannot apply Evasion against the next Attack that Targets them.</v>
      </c>
      <c r="J107" s="215"/>
      <c r="K107" s="217" t="str">
        <f>IFERROR(__xludf.DUMMYFUNCTION("""COMPUTED_VALUE"""),"Jump")</f>
        <v>Jump</v>
      </c>
      <c r="L107" s="217" t="str">
        <f>IFERROR(__xludf.DUMMYFUNCTION("""COMPUTED_VALUE"""),"--")</f>
        <v>--</v>
      </c>
      <c r="M107" s="217" t="str">
        <f>IFERROR(__xludf.DUMMYFUNCTION("""COMPUTED_VALUE"""),"Movement")</f>
        <v>Movement</v>
      </c>
      <c r="N107" s="217" t="str">
        <f>IFERROR(__xludf.DUMMYFUNCTION("""COMPUTED_VALUE"""),"Self")</f>
        <v>Self</v>
      </c>
      <c r="O107" s="217" t="str">
        <f>IFERROR(__xludf.DUMMYFUNCTION("""COMPUTED_VALUE"""),"--")</f>
        <v>--</v>
      </c>
      <c r="P107" s="217" t="str">
        <f>IFERROR(__xludf.DUMMYFUNCTION("""COMPUTED_VALUE"""),"Effect: Move up to half your Movement Value in a straight line (diagonals are allowed), ignoring Effects or Penalties on Grounded Terrain that you moved over, including Hazards (Some Hazards like Smoke or Smog may still apply per GM Discretion). ")</f>
        <v>Effect: Move up to half your Movement Value in a straight line (diagonals are allowed), ignoring Effects or Penalties on Grounded Terrain that you moved over, including Hazards (Some Hazards like Smoke or Smog may still apply per GM Discretion). </v>
      </c>
    </row>
    <row r="108">
      <c r="A108" s="214"/>
      <c r="B108" s="214"/>
      <c r="C108" s="214"/>
      <c r="D108" s="214"/>
      <c r="E108" s="215"/>
      <c r="F108" s="216" t="str">
        <f>IFERROR(__xludf.DUMMYFUNCTION("""COMPUTED_VALUE"""),"Alternative Energy")</f>
        <v>Alternative Energy</v>
      </c>
      <c r="G108" s="216" t="str">
        <f>IFERROR(__xludf.DUMMYFUNCTION("""COMPUTED_VALUE"""),"Training Specialist - Signature Technique")</f>
        <v>Training Specialist - Signature Technique</v>
      </c>
      <c r="H108" s="216" t="str">
        <f>IFERROR(__xludf.DUMMYFUNCTION("""COMPUTED_VALUE"""),"Static")</f>
        <v>Static</v>
      </c>
      <c r="I108" s="216" t="str">
        <f>IFERROR(__xludf.DUMMYFUNCTION("""COMPUTED_VALUE"""),"The Category of the Attack is switched from Physical to Special or Vice Versa.")</f>
        <v>The Category of the Attack is switched from Physical to Special or Vice Versa.</v>
      </c>
      <c r="J108" s="215"/>
      <c r="K108" s="217" t="str">
        <f>IFERROR(__xludf.DUMMYFUNCTION("""COMPUTED_VALUE"""),"Respite")</f>
        <v>Respite</v>
      </c>
      <c r="L108" s="217" t="str">
        <f>IFERROR(__xludf.DUMMYFUNCTION("""COMPUTED_VALUE"""),"--")</f>
        <v>--</v>
      </c>
      <c r="M108" s="217" t="str">
        <f>IFERROR(__xludf.DUMMYFUNCTION("""COMPUTED_VALUE"""),"Full")</f>
        <v>Full</v>
      </c>
      <c r="N108" s="217" t="str">
        <f>IFERROR(__xludf.DUMMYFUNCTION("""COMPUTED_VALUE"""),"Self")</f>
        <v>Self</v>
      </c>
      <c r="O108" s="217" t="str">
        <f>IFERROR(__xludf.DUMMYFUNCTION("""COMPUTED_VALUE"""),"--")</f>
        <v>--</v>
      </c>
      <c r="P108" s="217" t="str">
        <f>IFERROR(__xludf.DUMMYFUNCTION("""COMPUTED_VALUE"""),"Effect: This maneuver cannot be used if there are any Enemies within 2m of the user. The user chooses two effects from the list below to apply, then all of their Stats with Positive CS are set to their Default Value. You may choose the same effect twice i"&amp;"f desired. 
» All of their Negative Combat Stages are reset to their Default Value.
» The user becomes cured of a Status Affliction. 
» The user becomes cured of a Condition that isn’t granted by an Affliction they have.
» The user may remove a Coat or M"&amp;"ark affecting them")</f>
        <v>Effect: This maneuver cannot be used if there are any Enemies within 2m of the user. The user chooses two effects from the list below to apply, then all of their Stats with Positive CS are set to their Default Value. You may choose the same effect twice if desired. 
» All of their Negative Combat Stages are reset to their Default Value.
» The user becomes cured of a Status Affliction. 
» The user becomes cured of a Condition that isn’t granted by an Affliction they have.
» The user may remove a Coat or Mark affecting them</v>
      </c>
    </row>
    <row r="109">
      <c r="A109" s="214"/>
      <c r="B109" s="214"/>
      <c r="C109" s="214"/>
      <c r="D109" s="214"/>
      <c r="E109" s="215"/>
      <c r="F109" s="216" t="str">
        <f>IFERROR(__xludf.DUMMYFUNCTION("""COMPUTED_VALUE"""),"Bloodied Rush")</f>
        <v>Bloodied Rush</v>
      </c>
      <c r="G109" s="216" t="str">
        <f>IFERROR(__xludf.DUMMYFUNCTION("""COMPUTED_VALUE"""),"Training Specialist - Signature Technique")</f>
        <v>Training Specialist - Signature Technique</v>
      </c>
      <c r="H109" s="216" t="str">
        <f>IFERROR(__xludf.DUMMYFUNCTION("""COMPUTED_VALUE"""),"Static")</f>
        <v>Static</v>
      </c>
      <c r="I109" s="216" t="str">
        <f>IFERROR(__xludf.DUMMYFUNCTION("""COMPUTED_VALUE"""),"This Attack gains the Priority Keyword. While you’re under 50% Hit Points, when used through the Priority Keyword, Targets cannot apply Physical or Special Evasion.")</f>
        <v>This Attack gains the Priority Keyword. While you’re under 50% Hit Points, when used through the Priority Keyword, Targets cannot apply Physical or Special Evasion.</v>
      </c>
      <c r="J109" s="215"/>
      <c r="K109" s="217" t="str">
        <f>IFERROR(__xludf.DUMMYFUNCTION("""COMPUTED_VALUE"""),"Riposte")</f>
        <v>Riposte</v>
      </c>
      <c r="L109" s="217" t="str">
        <f>IFERROR(__xludf.DUMMYFUNCTION("""COMPUTED_VALUE"""),"Field")</f>
        <v>Field</v>
      </c>
      <c r="M109" s="217" t="str">
        <f>IFERROR(__xludf.DUMMYFUNCTION("""COMPUTED_VALUE"""),"Standard + Reaction")</f>
        <v>Standard + Reaction</v>
      </c>
      <c r="N109" s="217" t="str">
        <f>IFERROR(__xludf.DUMMYFUNCTION("""COMPUTED_VALUE"""),"See Effect")</f>
        <v>See Effect</v>
      </c>
      <c r="O109" s="217">
        <f>IFERROR(__xludf.DUMMYFUNCTION("""COMPUTED_VALUE"""),4.0)</f>
        <v>4</v>
      </c>
      <c r="P109" s="217" t="str">
        <f>IFERROR(__xludf.DUMMYFUNCTION("""COMPUTED_VALUE"""),"Trigger: You or an Ally would be damaged by a 1-Target, Line or Blast Attack without the Sureshot Keyword
Effect: Choose a Damaging Attack and expend a usage of its Frequency, then perform this Maneuver. If it hits, perform a Damage Roll as if you used th"&amp;"e chosen Attack against the Triggering Enemy (Do not apply Damage Calculations). Subtract your Damage Roll result from the Triggering Attack’s Damage Roll (Before Damage Calculations) and if it results in 0 or below, the Triggering Attack instead misses a"&amp;"ll Targets and they are not affected by any of the Attack’s Effects. If the result is still positive it is the new Damage Roll for the Triggering Attack. If a Combatant succeeds this Maneuver, they cannot perform it for the rest of the Scene.
» You may p"&amp;"erform a Movement Action in order to use the Riposte Maneuver, but only for Movement.
» If the chosen Attack is Melee, the Combatant performing this Maneuver must be between the source of the Attack and the Target(s)
» If the Triggering Attack is Melee or"&amp;" Close Blast, the Combatant that uses the Riposte Maneuver must be Adjacent to them.
» If the Triggering Attack has multiple Targets or the chosen Attack is Resisted by or Immune to the Triggering Attack’s Type, your Damage Roll is halved before subtracti"&amp;"ng it from the Triggering Attack’s Damage Roll.
» If the Accuracy Roll for Riposte resulted in a Natural 20, perform the Damage Roll as if it were a Critical Hit. Then, if this occurs or the chosen Attack would be Super Effective against the Triggering At"&amp;"tack, the Triggering Attacker also loses Hit Points equal to the difference in damage rolls if it were to be subtracted to a negative value.")</f>
        <v>Trigger: You or an Ally would be damaged by a 1-Target, Line or Blast Attack without the Sureshot Keyword
Effect: Choose a Damaging Attack and expend a usage of its Frequency, then perform this Maneuver. If it hits, perform a Damage Roll as if you used the chosen Attack against the Triggering Enemy (Do not apply Damage Calculations). Subtract your Damage Roll result from the Triggering Attack’s Damage Roll (Before Damage Calculations) and if it results in 0 or below, the Triggering Attack instead misses all Targets and they are not affected by any of the Attack’s Effects. If the result is still positive it is the new Damage Roll for the Triggering Attack. If a Combatant succeeds this Maneuver, they cannot perform it for the rest of the Scene.
» You may perform a Movement Action in order to use the Riposte Maneuver, but only for Movement.
» If the chosen Attack is Melee, the Combatant performing this Maneuver must be between the source of the Attack and the Target(s)
» If the Triggering Attack is Melee or Close Blast, the Combatant that uses the Riposte Maneuver must be Adjacent to them.
» If the Triggering Attack has multiple Targets or the chosen Attack is Resisted by or Immune to the Triggering Attack’s Type, your Damage Roll is halved before subtracting it from the Triggering Attack’s Damage Roll.
» If the Accuracy Roll for Riposte resulted in a Natural 20, perform the Damage Roll as if it were a Critical Hit. Then, if this occurs or the chosen Attack would be Super Effective against the Triggering Attack, the Triggering Attacker also loses Hit Points equal to the difference in damage rolls if it were to be subtracted to a negative value.</v>
      </c>
    </row>
    <row r="110">
      <c r="A110" s="214"/>
      <c r="B110" s="214"/>
      <c r="C110" s="214"/>
      <c r="D110" s="214"/>
      <c r="E110" s="215"/>
      <c r="F110" s="216" t="str">
        <f>IFERROR(__xludf.DUMMYFUNCTION("""COMPUTED_VALUE"""),"Elemental Infusion")</f>
        <v>Elemental Infusion</v>
      </c>
      <c r="G110" s="216" t="str">
        <f>IFERROR(__xludf.DUMMYFUNCTION("""COMPUTED_VALUE"""),"Training Specialist - Signature Technique")</f>
        <v>Training Specialist - Signature Technique</v>
      </c>
      <c r="H110" s="216" t="str">
        <f>IFERROR(__xludf.DUMMYFUNCTION("""COMPUTED_VALUE"""),"Static")</f>
        <v>Static</v>
      </c>
      <c r="I110" s="216" t="str">
        <f>IFERROR(__xludf.DUMMYFUNCTION("""COMPUTED_VALUE"""),"As a Swift Action, the user may use this Attack as if its Type were one of the user’s Types instead.")</f>
        <v>As a Swift Action, the user may use this Attack as if its Type were one of the user’s Types instead.</v>
      </c>
      <c r="J110" s="215"/>
      <c r="K110" s="217" t="str">
        <f>IFERROR(__xludf.DUMMYFUNCTION("""COMPUTED_VALUE"""),"Sprint")</f>
        <v>Sprint</v>
      </c>
      <c r="L110" s="217" t="str">
        <f>IFERROR(__xludf.DUMMYFUNCTION("""COMPUTED_VALUE"""),"--")</f>
        <v>--</v>
      </c>
      <c r="M110" s="217" t="str">
        <f>IFERROR(__xludf.DUMMYFUNCTION("""COMPUTED_VALUE"""),"Standard or Swift")</f>
        <v>Standard or Swift</v>
      </c>
      <c r="N110" s="217" t="str">
        <f>IFERROR(__xludf.DUMMYFUNCTION("""COMPUTED_VALUE"""),"Self")</f>
        <v>Self</v>
      </c>
      <c r="O110" s="217" t="str">
        <f>IFERROR(__xludf.DUMMYFUNCTION("""COMPUTED_VALUE"""),"--")</f>
        <v>--</v>
      </c>
      <c r="P110" s="217" t="str">
        <f>IFERROR(__xludf.DUMMYFUNCTION("""COMPUTED_VALUE"""),"Effect: As a Standard Action, your Movement Value is doubled this Turn. As a Swift Action, your Movement Value is increased by +2 this Turn.")</f>
        <v>Effect: As a Standard Action, your Movement Value is doubled this Turn. As a Swift Action, your Movement Value is increased by +2 this Turn.</v>
      </c>
    </row>
    <row r="111">
      <c r="A111" s="214"/>
      <c r="B111" s="214"/>
      <c r="C111" s="214"/>
      <c r="D111" s="214"/>
      <c r="E111" s="215"/>
      <c r="F111" s="216" t="str">
        <f>IFERROR(__xludf.DUMMYFUNCTION("""COMPUTED_VALUE"""),"Adaptive Utility")</f>
        <v>Adaptive Utility</v>
      </c>
      <c r="G111" s="216" t="str">
        <f>IFERROR(__xludf.DUMMYFUNCTION("""COMPUTED_VALUE"""),"Training Specialist - Signature Technique")</f>
        <v>Training Specialist - Signature Technique</v>
      </c>
      <c r="H111" s="216" t="str">
        <f>IFERROR(__xludf.DUMMYFUNCTION("""COMPUTED_VALUE"""),"Static")</f>
        <v>Static</v>
      </c>
      <c r="I111" s="216" t="str">
        <f>IFERROR(__xludf.DUMMYFUNCTION("""COMPUTED_VALUE"""),"If the Attack is used with the Versatile Keyword, on a 15+, its Effect is replaced with its normal Effect. This Effect Range ignores Effect Range Modifiers and if the Attack has no Accuracy Roll, perform a Luck Roll instead.")</f>
        <v>If the Attack is used with the Versatile Keyword, on a 15+, its Effect is replaced with its normal Effect. This Effect Range ignores Effect Range Modifiers and if the Attack has no Accuracy Roll, perform a Luck Roll instead.</v>
      </c>
      <c r="J111" s="215"/>
      <c r="K111" s="217" t="str">
        <f>IFERROR(__xludf.DUMMYFUNCTION("""COMPUTED_VALUE"""),"Analyze")</f>
        <v>Analyze</v>
      </c>
      <c r="L111" s="217" t="str">
        <f>IFERROR(__xludf.DUMMYFUNCTION("""COMPUTED_VALUE"""),"6, 1 Target")</f>
        <v>6, 1 Target</v>
      </c>
      <c r="M111" s="217" t="str">
        <f>IFERROR(__xludf.DUMMYFUNCTION("""COMPUTED_VALUE"""),"Swift")</f>
        <v>Swift</v>
      </c>
      <c r="N111" s="217" t="str">
        <f>IFERROR(__xludf.DUMMYFUNCTION("""COMPUTED_VALUE"""),"--")</f>
        <v>--</v>
      </c>
      <c r="O111" s="217" t="str">
        <f>IFERROR(__xludf.DUMMYFUNCTION("""COMPUTED_VALUE"""),"None")</f>
        <v>None</v>
      </c>
      <c r="P111" s="217" t="str">
        <f>IFERROR(__xludf.DUMMYFUNCTION("""COMPUTED_VALUE"""),"Effect: Select a specific facet about the Target you wish to analyze and gain intel in. The GM will tell you any information you can surmise about the Target and the chosen facet. The GM may also request you make a Skill Check to gain more information or "&amp;"gain any information about the Target. If the facet cannot be ascertained by any means and you are unable to Analyze a Target, this Maneuver cannot be used and must be stated upon declaration.
Note: This Maneuver should only be used to gain intel for comb"&amp;"at relevant Information. If they’re gaining minor information, you may instead upgrade this to a Free Action")</f>
        <v>Effect: Select a specific facet about the Target you wish to analyze and gain intel in. The GM will tell you any information you can surmise about the Target and the chosen facet. The GM may also request you make a Skill Check to gain more information or gain any information about the Target. If the facet cannot be ascertained by any means and you are unable to Analyze a Target, this Maneuver cannot be used and must be stated upon declaration.
Note: This Maneuver should only be used to gain intel for combat relevant Information. If they’re gaining minor information, you may instead upgrade this to a Free Action</v>
      </c>
    </row>
    <row r="112">
      <c r="A112" s="214"/>
      <c r="B112" s="214"/>
      <c r="C112" s="214"/>
      <c r="D112" s="214"/>
      <c r="E112" s="215"/>
      <c r="F112" s="216" t="str">
        <f>IFERROR(__xludf.DUMMYFUNCTION("""COMPUTED_VALUE"""),"Double Curse")</f>
        <v>Double Curse</v>
      </c>
      <c r="G112" s="216" t="str">
        <f>IFERROR(__xludf.DUMMYFUNCTION("""COMPUTED_VALUE"""),"Training Specialist - Signature Technique")</f>
        <v>Training Specialist - Signature Technique</v>
      </c>
      <c r="H112" s="216" t="str">
        <f>IFERROR(__xludf.DUMMYFUNCTION("""COMPUTED_VALUE"""),"Static")</f>
        <v>Static</v>
      </c>
      <c r="I112" s="216" t="str">
        <f>IFERROR(__xludf.DUMMYFUNCTION("""COMPUTED_VALUE"""),"The user may Target an additional Enemy with this Attack. This Effect is ignored if the Attack is used through the Versatile Keyword. 
Note: This Technique can only be applied to a 1-Target Status Attack that doesn’t have the Self Keyword and does not all"&amp;"ow you to use Non-Status Attacks through it such as “Copycat”.")</f>
        <v>The user may Target an additional Enemy with this Attack. This Effect is ignored if the Attack is used through the Versatile Keyword. 
Note: This Technique can only be applied to a 1-Target Status Attack that doesn’t have the Self Keyword and does not allow you to use Non-Status Attacks through it such as “Copycat”.</v>
      </c>
      <c r="J112" s="215"/>
      <c r="K112" s="217" t="str">
        <f>IFERROR(__xludf.DUMMYFUNCTION("""COMPUTED_VALUE"""),"Distract")</f>
        <v>Distract</v>
      </c>
      <c r="L112" s="217" t="str">
        <f>IFERROR(__xludf.DUMMYFUNCTION("""COMPUTED_VALUE"""),"6, 1 Target")</f>
        <v>6, 1 Target</v>
      </c>
      <c r="M112" s="217" t="str">
        <f>IFERROR(__xludf.DUMMYFUNCTION("""COMPUTED_VALUE"""),"Swift")</f>
        <v>Swift</v>
      </c>
      <c r="N112" s="217" t="str">
        <f>IFERROR(__xludf.DUMMYFUNCTION("""COMPUTED_VALUE"""),"--")</f>
        <v>--</v>
      </c>
      <c r="O112" s="217">
        <f>IFERROR(__xludf.DUMMYFUNCTION("""COMPUTED_VALUE"""),6.0)</f>
        <v>6</v>
      </c>
      <c r="P112" s="217" t="str">
        <f>IFERROR(__xludf.DUMMYFUNCTION("""COMPUTED_VALUE"""),"Effect: Make a Guile or Stealth Check opposed by the Target’s Focus or Perception. If you win, the Target becomes Provoked by you or Dazed. Either of these Effects last until the end of their next Turn. Resistant.")</f>
        <v>Effect: Make a Guile or Stealth Check opposed by the Target’s Focus or Perception. If you win, the Target becomes Provoked by you or Dazed. Either of these Effects last until the end of their next Turn. Resistant.</v>
      </c>
    </row>
    <row r="113">
      <c r="A113" s="214"/>
      <c r="B113" s="214"/>
      <c r="C113" s="214"/>
      <c r="D113" s="214"/>
      <c r="E113" s="215"/>
      <c r="F113" s="216" t="str">
        <f>IFERROR(__xludf.DUMMYFUNCTION("""COMPUTED_VALUE"""),"Supreme Concentration")</f>
        <v>Supreme Concentration</v>
      </c>
      <c r="G113" s="216" t="str">
        <f>IFERROR(__xludf.DUMMYFUNCTION("""COMPUTED_VALUE"""),"Training Specialist - Signature Technique")</f>
        <v>Training Specialist - Signature Technique</v>
      </c>
      <c r="H113" s="216" t="str">
        <f>IFERROR(__xludf.DUMMYFUNCTION("""COMPUTED_VALUE"""),"Static")</f>
        <v>Static</v>
      </c>
      <c r="I113" s="216" t="str">
        <f>IFERROR(__xludf.DUMMYFUNCTION("""COMPUTED_VALUE"""),"When performing an Accuracy Roll for this Attack, roll twice and take the better result. This can only be applied to Attacks with an AC.")</f>
        <v>When performing an Accuracy Roll for this Attack, roll twice and take the better result. This can only be applied to Attacks with an AC.</v>
      </c>
      <c r="J113" s="215"/>
      <c r="K113" s="217" t="str">
        <f>IFERROR(__xludf.DUMMYFUNCTION("""COMPUTED_VALUE"""),"Intrigue")</f>
        <v>Intrigue</v>
      </c>
      <c r="L113" s="217" t="str">
        <f>IFERROR(__xludf.DUMMYFUNCTION("""COMPUTED_VALUE"""),"6, 1 Target")</f>
        <v>6, 1 Target</v>
      </c>
      <c r="M113" s="217" t="str">
        <f>IFERROR(__xludf.DUMMYFUNCTION("""COMPUTED_VALUE"""),"Swift")</f>
        <v>Swift</v>
      </c>
      <c r="N113" s="217" t="str">
        <f>IFERROR(__xludf.DUMMYFUNCTION("""COMPUTED_VALUE"""),"--")</f>
        <v>--</v>
      </c>
      <c r="O113" s="217">
        <f>IFERROR(__xludf.DUMMYFUNCTION("""COMPUTED_VALUE"""),6.0)</f>
        <v>6</v>
      </c>
      <c r="P113" s="217" t="str">
        <f>IFERROR(__xludf.DUMMYFUNCTION("""COMPUTED_VALUE"""),"Effect: Make a Charm or Command Check opposed by the Target’s Focus or Intuition. If you win, the Target becomes Entranced until the end of their next Turn. Resistant.")</f>
        <v>Effect: Make a Charm or Command Check opposed by the Target’s Focus or Intuition. If you win, the Target becomes Entranced until the end of their next Turn. Resistant.</v>
      </c>
    </row>
    <row r="114">
      <c r="A114" s="214"/>
      <c r="B114" s="214"/>
      <c r="C114" s="214"/>
      <c r="D114" s="214"/>
      <c r="E114" s="215"/>
      <c r="F114" s="216" t="str">
        <f>IFERROR(__xludf.DUMMYFUNCTION("""COMPUTED_VALUE"""),"Chitin Shield")</f>
        <v>Chitin Shield</v>
      </c>
      <c r="G114" s="216" t="str">
        <f>IFERROR(__xludf.DUMMYFUNCTION("""COMPUTED_VALUE"""),"Bug Specialist - Adaptation Technique")</f>
        <v>Bug Specialist - Adaptation Technique</v>
      </c>
      <c r="H114" s="216" t="str">
        <f>IFERROR(__xludf.DUMMYFUNCTION("""COMPUTED_VALUE"""),"Static")</f>
        <v>Static</v>
      </c>
      <c r="I114" s="216" t="str">
        <f>IFERROR(__xludf.DUMMYFUNCTION("""COMPUTED_VALUE"""),"The user has an Uncapped bonus to Evasion equal to your Tier Level against Status Attacks. If the user is Targeted by an Attack, the Attack has a penalty to Effect Ranges and Critical Hit Ranges equal to your Tier Level.")</f>
        <v>The user has an Uncapped bonus to Evasion equal to your Tier Level against Status Attacks. If the user is Targeted by an Attack, the Attack has a penalty to Effect Ranges and Critical Hit Ranges equal to your Tier Level.</v>
      </c>
      <c r="J114" s="215"/>
      <c r="K114" s="217" t="str">
        <f>IFERROR(__xludf.DUMMYFUNCTION("""COMPUTED_VALUE"""),"Provoke")</f>
        <v>Provoke</v>
      </c>
      <c r="L114" s="217" t="str">
        <f>IFERROR(__xludf.DUMMYFUNCTION("""COMPUTED_VALUE"""),"6, 1 Target")</f>
        <v>6, 1 Target</v>
      </c>
      <c r="M114" s="217" t="str">
        <f>IFERROR(__xludf.DUMMYFUNCTION("""COMPUTED_VALUE"""),"Swift")</f>
        <v>Swift</v>
      </c>
      <c r="N114" s="217" t="str">
        <f>IFERROR(__xludf.DUMMYFUNCTION("""COMPUTED_VALUE"""),"--")</f>
        <v>--</v>
      </c>
      <c r="O114" s="217">
        <f>IFERROR(__xludf.DUMMYFUNCTION("""COMPUTED_VALUE"""),2.0)</f>
        <v>2</v>
      </c>
      <c r="P114" s="217" t="str">
        <f>IFERROR(__xludf.DUMMYFUNCTION("""COMPUTED_VALUE"""),"Effect: The Target must make a CR (3) Focus Check. On a Failure, they’re Provoked by you until the end of their next Turn. If you've failed this Maneuver against the Target this Scene, the CR becomes (2) instead. Resistant.")</f>
        <v>Effect: The Target must make a CR (3) Focus Check. On a Failure, they’re Provoked by you until the end of their next Turn. If you've failed this Maneuver against the Target this Scene, the CR becomes (2) instead. Resistant.</v>
      </c>
    </row>
    <row r="115">
      <c r="A115" s="214"/>
      <c r="B115" s="214"/>
      <c r="C115" s="214"/>
      <c r="D115" s="214"/>
      <c r="E115" s="215"/>
      <c r="F115" s="216" t="str">
        <f>IFERROR(__xludf.DUMMYFUNCTION("""COMPUTED_VALUE"""),"Exoskeleton")</f>
        <v>Exoskeleton</v>
      </c>
      <c r="G115" s="216" t="str">
        <f>IFERROR(__xludf.DUMMYFUNCTION("""COMPUTED_VALUE"""),"Bug Specialist - Adaptation Technique")</f>
        <v>Bug Specialist - Adaptation Technique</v>
      </c>
      <c r="H115" s="216" t="str">
        <f>IFERROR(__xludf.DUMMYFUNCTION("""COMPUTED_VALUE"""),"Static")</f>
        <v>Static</v>
      </c>
      <c r="I115" s="216" t="str">
        <f>IFERROR(__xludf.DUMMYFUNCTION("""COMPUTED_VALUE"""),"The user has Damage Reduction against non-Melee Attacks equal to your Tier Value. ")</f>
        <v>The user has Damage Reduction against non-Melee Attacks equal to your Tier Value. </v>
      </c>
      <c r="J115" s="215"/>
      <c r="K115" s="217" t="str">
        <f>IFERROR(__xludf.DUMMYFUNCTION("""COMPUTED_VALUE"""),"Terrorize")</f>
        <v>Terrorize</v>
      </c>
      <c r="L115" s="217" t="str">
        <f>IFERROR(__xludf.DUMMYFUNCTION("""COMPUTED_VALUE"""),"6, 1 Target")</f>
        <v>6, 1 Target</v>
      </c>
      <c r="M115" s="217" t="str">
        <f>IFERROR(__xludf.DUMMYFUNCTION("""COMPUTED_VALUE"""),"Swift")</f>
        <v>Swift</v>
      </c>
      <c r="N115" s="217" t="str">
        <f>IFERROR(__xludf.DUMMYFUNCTION("""COMPUTED_VALUE"""),"--")</f>
        <v>--</v>
      </c>
      <c r="O115" s="217">
        <f>IFERROR(__xludf.DUMMYFUNCTION("""COMPUTED_VALUE"""),6.0)</f>
        <v>6</v>
      </c>
      <c r="P115" s="217" t="str">
        <f>IFERROR(__xludf.DUMMYFUNCTION("""COMPUTED_VALUE"""),"Effect: Make an Command or Intimidate Check opposed by the Target’s Intimidate or Focus. If you win, the Target becomes Suppressed until the end of their next Turn. Resistant.")</f>
        <v>Effect: Make an Command or Intimidate Check opposed by the Target’s Intimidate or Focus. If you win, the Target becomes Suppressed until the end of their next Turn. Resistant.</v>
      </c>
    </row>
    <row r="116">
      <c r="A116" s="214"/>
      <c r="B116" s="214"/>
      <c r="C116" s="214"/>
      <c r="D116" s="214"/>
      <c r="E116" s="215"/>
      <c r="F116" s="216" t="str">
        <f>IFERROR(__xludf.DUMMYFUNCTION("""COMPUTED_VALUE"""),"Nimble Speed")</f>
        <v>Nimble Speed</v>
      </c>
      <c r="G116" s="216" t="str">
        <f>IFERROR(__xludf.DUMMYFUNCTION("""COMPUTED_VALUE"""),"Bug Specialist - Adaptation Technique")</f>
        <v>Bug Specialist - Adaptation Technique</v>
      </c>
      <c r="H116" s="216" t="str">
        <f>IFERROR(__xludf.DUMMYFUNCTION("""COMPUTED_VALUE"""),"Static")</f>
        <v>Static</v>
      </c>
      <c r="I116" s="216" t="str">
        <f>IFERROR(__xludf.DUMMYFUNCTION("""COMPUTED_VALUE"""),"The user has a bonus to their Movement Value equal to double your Tier Level and cannot provoke Attacks of Opportunity via movement. ")</f>
        <v>The user has a bonus to their Movement Value equal to double your Tier Level and cannot provoke Attacks of Opportunity via movement. </v>
      </c>
      <c r="J116" s="215"/>
      <c r="K116" s="217" t="str">
        <f>IFERROR(__xludf.DUMMYFUNCTION("""COMPUTED_VALUE"""),"Attack of Opportunity")</f>
        <v>Attack of Opportunity</v>
      </c>
      <c r="L116" s="217"/>
      <c r="M116" s="217" t="str">
        <f>IFERROR(__xludf.DUMMYFUNCTION("""COMPUTED_VALUE"""),"Reaction")</f>
        <v>Reaction</v>
      </c>
      <c r="N116" s="217" t="str">
        <f>IFERROR(__xludf.DUMMYFUNCTION("""COMPUTED_VALUE"""),"See Effect")</f>
        <v>See Effect</v>
      </c>
      <c r="O116" s="217" t="str">
        <f>IFERROR(__xludf.DUMMYFUNCTION("""COMPUTED_VALUE"""),"--")</f>
        <v>--</v>
      </c>
      <c r="P116" s="217" t="str">
        <f>IFERROR(__xludf.DUMMYFUNCTION("""COMPUTED_VALUE"""),"Trigger: An Adjacent Enemy uses a Ranged Attack on a Combatant that isn’t Adjacent to them; or an Adjacent Enemy willingly moves into a Space that isn’t Adjacent to you. 
Effect: You may use a Basic Attack against the Triggering Enemy as a Free Action.")</f>
        <v>Trigger: An Adjacent Enemy uses a Ranged Attack on a Combatant that isn’t Adjacent to them; or an Adjacent Enemy willingly moves into a Space that isn’t Adjacent to you. 
Effect: You may use a Basic Attack against the Triggering Enemy as a Free Action.</v>
      </c>
    </row>
    <row r="117">
      <c r="A117" s="214"/>
      <c r="B117" s="214"/>
      <c r="C117" s="214"/>
      <c r="D117" s="214"/>
      <c r="E117" s="215"/>
      <c r="F117" s="216" t="str">
        <f>IFERROR(__xludf.DUMMYFUNCTION("""COMPUTED_VALUE"""),"Venomous Glands")</f>
        <v>Venomous Glands</v>
      </c>
      <c r="G117" s="216" t="str">
        <f>IFERROR(__xludf.DUMMYFUNCTION("""COMPUTED_VALUE"""),"Bug Specialist - Adaptation Technique")</f>
        <v>Bug Specialist - Adaptation Technique</v>
      </c>
      <c r="H117" s="216" t="str">
        <f>IFERROR(__xludf.DUMMYFUNCTION("""COMPUTED_VALUE"""),"Static")</f>
        <v>Static</v>
      </c>
      <c r="I117" s="216" t="str">
        <f>IFERROR(__xludf.DUMMYFUNCTION("""COMPUTED_VALUE"""),"The user’s Damaging Attacks have a 16+ Effect Range to Poison all Targets hit by the Attack. This extends existing Poison Effect Ranges by +2. The user may use any Bug Type Attack as if it were Poison Type. ")</f>
        <v>The user’s Damaging Attacks have a 16+ Effect Range to Poison all Targets hit by the Attack. This extends existing Poison Effect Ranges by +2. The user may use any Bug Type Attack as if it were Poison Type. </v>
      </c>
      <c r="J117" s="215"/>
      <c r="K117" s="217" t="str">
        <f>IFERROR(__xludf.DUMMYFUNCTION("""COMPUTED_VALUE"""),"Disarm")</f>
        <v>Disarm</v>
      </c>
      <c r="L117" s="217" t="str">
        <f>IFERROR(__xludf.DUMMYFUNCTION("""COMPUTED_VALUE"""),"Melee, 1 Target")</f>
        <v>Melee, 1 Target</v>
      </c>
      <c r="M117" s="217" t="str">
        <f>IFERROR(__xludf.DUMMYFUNCTION("""COMPUTED_VALUE"""),"Swift")</f>
        <v>Swift</v>
      </c>
      <c r="N117" s="217" t="str">
        <f>IFERROR(__xludf.DUMMYFUNCTION("""COMPUTED_VALUE"""),"--")</f>
        <v>--</v>
      </c>
      <c r="O117" s="217">
        <f>IFERROR(__xludf.DUMMYFUNCTION("""COMPUTED_VALUE"""),4.0)</f>
        <v>4</v>
      </c>
      <c r="P117" s="217" t="str">
        <f>IFERROR(__xludf.DUMMYFUNCTION("""COMPUTED_VALUE"""),"Effect: You and the Target make opposed Combat or Stealth Checks. If you win, choose an Item in their Inventory Slot to be removed from their Inventory and dropped to the ground. Alternatively you may choose an Item in their Equipment Slot to become Impai"&amp;"red. While Impaired, they cannot benefit from the Item’s Effects until the end of their next Turn or unless they use a Swift Action on their Turn to remove the Impaired condition. Resistant.")</f>
        <v>Effect: You and the Target make opposed Combat or Stealth Checks. If you win, choose an Item in their Inventory Slot to be removed from their Inventory and dropped to the ground. Alternatively you may choose an Item in their Equipment Slot to become Impaired. While Impaired, they cannot benefit from the Item’s Effects until the end of their next Turn or unless they use a Swift Action on their Turn to remove the Impaired condition. Resistant.</v>
      </c>
    </row>
    <row r="118">
      <c r="A118" s="214"/>
      <c r="B118" s="214"/>
      <c r="C118" s="214"/>
      <c r="D118" s="214"/>
      <c r="E118" s="215"/>
      <c r="F118" s="216" t="str">
        <f>IFERROR(__xludf.DUMMYFUNCTION("""COMPUTED_VALUE"""),"Piercing Power")</f>
        <v>Piercing Power</v>
      </c>
      <c r="G118" s="216" t="str">
        <f>IFERROR(__xludf.DUMMYFUNCTION("""COMPUTED_VALUE"""),"Bug Specialist - Adaptation Technique")</f>
        <v>Bug Specialist - Adaptation Technique</v>
      </c>
      <c r="H118" s="216" t="str">
        <f>IFERROR(__xludf.DUMMYFUNCTION("""COMPUTED_VALUE"""),"Static")</f>
        <v>Static</v>
      </c>
      <c r="I118" s="216" t="str">
        <f>IFERROR(__xludf.DUMMYFUNCTION("""COMPUTED_VALUE"""),"The user’s Bug Type Attacks cannot be resisted by Type Effectiveness. The user ignores Damage Reduction equal to your Tier Value. ")</f>
        <v>The user’s Bug Type Attacks cannot be resisted by Type Effectiveness. The user ignores Damage Reduction equal to your Tier Value. </v>
      </c>
      <c r="J118" s="215"/>
      <c r="K118" s="217" t="str">
        <f>IFERROR(__xludf.DUMMYFUNCTION("""COMPUTED_VALUE"""),"Hinder")</f>
        <v>Hinder</v>
      </c>
      <c r="L118" s="217" t="str">
        <f>IFERROR(__xludf.DUMMYFUNCTION("""COMPUTED_VALUE"""),"Melee, 1 Target")</f>
        <v>Melee, 1 Target</v>
      </c>
      <c r="M118" s="217" t="str">
        <f>IFERROR(__xludf.DUMMYFUNCTION("""COMPUTED_VALUE"""),"Swift")</f>
        <v>Swift</v>
      </c>
      <c r="N118" s="217" t="str">
        <f>IFERROR(__xludf.DUMMYFUNCTION("""COMPUTED_VALUE"""),"--")</f>
        <v>--</v>
      </c>
      <c r="O118" s="217">
        <f>IFERROR(__xludf.DUMMYFUNCTION("""COMPUTED_VALUE"""),4.0)</f>
        <v>4</v>
      </c>
      <c r="P118" s="217" t="str">
        <f>IFERROR(__xludf.DUMMYFUNCTION("""COMPUTED_VALUE"""),"Effect: You and the Target make opposed Athletics or Combat Checks. If you win, the Target becomes Vulnerable against the next Attack that targets them. Resistant.")</f>
        <v>Effect: You and the Target make opposed Athletics or Combat Checks. If you win, the Target becomes Vulnerable against the next Attack that targets them. Resistant.</v>
      </c>
    </row>
    <row r="119">
      <c r="A119" s="214"/>
      <c r="B119" s="214"/>
      <c r="C119" s="214"/>
      <c r="D119" s="214"/>
      <c r="E119" s="215"/>
      <c r="F119" s="216" t="str">
        <f>IFERROR(__xludf.DUMMYFUNCTION("""COMPUTED_VALUE"""),"Predator Senses")</f>
        <v>Predator Senses</v>
      </c>
      <c r="G119" s="216" t="str">
        <f>IFERROR(__xludf.DUMMYFUNCTION("""COMPUTED_VALUE"""),"Bug Specialist - Adaptation Technique")</f>
        <v>Bug Specialist - Adaptation Technique</v>
      </c>
      <c r="H119" s="216" t="str">
        <f>IFERROR(__xludf.DUMMYFUNCTION("""COMPUTED_VALUE"""),"Static")</f>
        <v>Static</v>
      </c>
      <c r="I119" s="216" t="str">
        <f>IFERROR(__xludf.DUMMYFUNCTION("""COMPUTED_VALUE"""),"The user can sense when an Enemy is 50% HP or lower. The user’s Bug Type and Melee Attacks have the Sureshot Keyword when Attacking Enemies that have less than 50% HP or have a Status Affliction. ")</f>
        <v>The user can sense when an Enemy is 50% HP or lower. The user’s Bug Type and Melee Attacks have the Sureshot Keyword when Attacking Enemies that have less than 50% HP or have a Status Affliction. </v>
      </c>
      <c r="J119" s="215"/>
      <c r="K119" s="217" t="str">
        <f>IFERROR(__xludf.DUMMYFUNCTION("""COMPUTED_VALUE"""),"Push")</f>
        <v>Push</v>
      </c>
      <c r="L119" s="217" t="str">
        <f>IFERROR(__xludf.DUMMYFUNCTION("""COMPUTED_VALUE"""),"Melee, 1 Target")</f>
        <v>Melee, 1 Target</v>
      </c>
      <c r="M119" s="217" t="str">
        <f>IFERROR(__xludf.DUMMYFUNCTION("""COMPUTED_VALUE"""),"Swift or Movement")</f>
        <v>Swift or Movement</v>
      </c>
      <c r="N119" s="217" t="str">
        <f>IFERROR(__xludf.DUMMYFUNCTION("""COMPUTED_VALUE"""),"--")</f>
        <v>--</v>
      </c>
      <c r="O119" s="217">
        <f>IFERROR(__xludf.DUMMYFUNCTION("""COMPUTED_VALUE"""),2.0)</f>
        <v>2</v>
      </c>
      <c r="P119" s="217" t="str">
        <f>IFERROR(__xludf.DUMMYFUNCTION("""COMPUTED_VALUE"""),"Effect: You are the Target make opposed Athletics or Combat Checks. If you win, the Target Slides up to X meters away from you, where X is the higher of your Athletics or Combat Rank subtracted by their Weight Class. Resistant.")</f>
        <v>Effect: You are the Target make opposed Athletics or Combat Checks. If you win, the Target Slides up to X meters away from you, where X is the higher of your Athletics or Combat Rank subtracted by their Weight Class. Resistant.</v>
      </c>
    </row>
    <row r="120">
      <c r="A120" s="214"/>
      <c r="B120" s="214"/>
      <c r="C120" s="214"/>
      <c r="D120" s="214"/>
      <c r="E120" s="215"/>
      <c r="F120" s="216" t="str">
        <f>IFERROR(__xludf.DUMMYFUNCTION("""COMPUTED_VALUE"""),"Strength Sapper")</f>
        <v>Strength Sapper</v>
      </c>
      <c r="G120" s="216" t="str">
        <f>IFERROR(__xludf.DUMMYFUNCTION("""COMPUTED_VALUE"""),"Bug Specialist - Adaptation Technique")</f>
        <v>Bug Specialist - Adaptation Technique</v>
      </c>
      <c r="H120" s="216" t="str">
        <f>IFERROR(__xludf.DUMMYFUNCTION("""COMPUTED_VALUE"""),"Static")</f>
        <v>Static</v>
      </c>
      <c r="I120" s="216" t="str">
        <f>IFERROR(__xludf.DUMMYFUNCTION("""COMPUTED_VALUE"""),"Whenever the user hits an Attack against a single Enemy used as a Standard Action, they lose -2 CS in a Stat of your choice. On a 14+, they gain +1 CS in the chosen Stat or gain a Tick of Temporary Hit Points. On a 19+, they instead gain +2 CS or two Tick"&amp;"s of Temporary HP.")</f>
        <v>Whenever the user hits an Attack against a single Enemy used as a Standard Action, they lose -2 CS in a Stat of your choice. On a 14+, they gain +1 CS in the chosen Stat or gain a Tick of Temporary Hit Points. On a 19+, they instead gain +2 CS or two Ticks of Temporary HP.</v>
      </c>
      <c r="J120" s="215"/>
      <c r="K120" s="217" t="str">
        <f>IFERROR(__xludf.DUMMYFUNCTION("""COMPUTED_VALUE"""),"Grapple")</f>
        <v>Grapple</v>
      </c>
      <c r="L120" s="217" t="str">
        <f>IFERROR(__xludf.DUMMYFUNCTION("""COMPUTED_VALUE"""),"Melee, 1 Target, Sureshot")</f>
        <v>Melee, 1 Target, Sureshot</v>
      </c>
      <c r="M120" s="217" t="str">
        <f>IFERROR(__xludf.DUMMYFUNCTION("""COMPUTED_VALUE"""),"Standard")</f>
        <v>Standard</v>
      </c>
      <c r="N120" s="217" t="str">
        <f>IFERROR(__xludf.DUMMYFUNCTION("""COMPUTED_VALUE"""),"--")</f>
        <v>--</v>
      </c>
      <c r="O120" s="217" t="str">
        <f>IFERROR(__xludf.DUMMYFUNCTION("""COMPUTED_VALUE"""),"None")</f>
        <v>None</v>
      </c>
      <c r="P120" s="217" t="str">
        <f>IFERROR(__xludf.DUMMYFUNCTION("""COMPUTED_VALUE"""),"Effect: You and the Target make opposed Athletics or Combat Checks as a Grapple Check. If you win, you both become Grappled and you gain Dominance in the Grapple. Combatants with Teleporter Speed or the Phasing Capability cannot become Grappled. Combatant"&amp;"s that are Grappled are Vulnerable, cannot take Movement Actions except for those listed below, and are Provoked by the Combatant they’re Grappled with. See the notes below for further info. Resistant.
» A Combatant with Dominance in the Grapple, on thei"&amp;"r Turn, may perform any of the following alongside normal legal Actions:
Drag: As a Movement Action, they may Shift and Slide the Combatant they’re grappling into an Adjacent space. Their Movement Value is lowered by the other grappler’s Weight Class
Stri"&amp;"ke: As a Full Action, they may perform an At-Will or EOT Attack against the other Grappler as if it had the Sureshot Keyword.
Secure: As a Movement or Swift Action, they gain a +2 Modifier to their next Grapple Check. As a Standard, they gain +5.
Cease: A"&amp;"s a Free Action they may end the Grapple.
» At the start of the Grappler’s Turn who doesn’t have Dominance, as a Standard Action, they may repeat the opposed Grapple Check. The winner gains Dominance in the Grapple and may choose to continue or end it.
» "&amp;"A Combatant who is at least two Size Categories larger than a Grapple Initiator automatically succeeds Grapple Checks")</f>
        <v>Effect: You and the Target make opposed Athletics or Combat Checks as a Grapple Check. If you win, you both become Grappled and you gain Dominance in the Grapple. Combatants with Teleporter Speed or the Phasing Capability cannot become Grappled. Combatants that are Grappled are Vulnerable, cannot take Movement Actions except for those listed below, and are Provoked by the Combatant they’re Grappled with. See the notes below for further info. Resistant.
» A Combatant with Dominance in the Grapple, on their Turn, may perform any of the following alongside normal legal Actions:
Drag: As a Movement Action, they may Shift and Slide the Combatant they’re grappling into an Adjacent space. Their Movement Value is lowered by the other grappler’s Weight Class
Strike: As a Full Action, they may perform an At-Will or EOT Attack against the other Grappler as if it had the Sureshot Keyword.
Secure: As a Movement or Swift Action, they gain a +2 Modifier to their next Grapple Check. As a Standard, they gain +5.
Cease: As a Free Action they may end the Grapple.
» At the start of the Grappler’s Turn who doesn’t have Dominance, as a Standard Action, they may repeat the opposed Grapple Check. The winner gains Dominance in the Grapple and may choose to continue or end it.
» A Combatant who is at least two Size Categories larger than a Grapple Initiator automatically succeeds Grapple Checks</v>
      </c>
    </row>
    <row r="121">
      <c r="A121" s="214"/>
      <c r="B121" s="214"/>
      <c r="C121" s="214"/>
      <c r="D121" s="214"/>
      <c r="E121" s="215"/>
      <c r="F121" s="216" t="str">
        <f>IFERROR(__xludf.DUMMYFUNCTION("""COMPUTED_VALUE"""),"Swarm Commander")</f>
        <v>Swarm Commander</v>
      </c>
      <c r="G121" s="216" t="str">
        <f>IFERROR(__xludf.DUMMYFUNCTION("""COMPUTED_VALUE"""),"Bug Specialist - Adaptation Technique")</f>
        <v>Bug Specialist - Adaptation Technique</v>
      </c>
      <c r="H121" s="216" t="str">
        <f>IFERROR(__xludf.DUMMYFUNCTION("""COMPUTED_VALUE"""),"Static")</f>
        <v>Static</v>
      </c>
      <c r="I121" s="216" t="str">
        <f>IFERROR(__xludf.DUMMYFUNCTION("""COMPUTED_VALUE"""),"Allies that Attack an Enemy that the user is Adjacent to have a bonus to Accuracy Rolls equal to your Tier Level. Allies within 2m may Intercept for the user as a Swift + Movement Action instead of a Standard + Shift. ")</f>
        <v>Allies that Attack an Enemy that the user is Adjacent to have a bonus to Accuracy Rolls equal to your Tier Level. Allies within 2m may Intercept for the user as a Swift + Movement Action instead of a Standard + Shift. </v>
      </c>
      <c r="J121" s="215"/>
      <c r="K121" s="217" t="str">
        <f>IFERROR(__xludf.DUMMYFUNCTION("""COMPUTED_VALUE"""),"Throw")</f>
        <v>Throw</v>
      </c>
      <c r="L121" s="217" t="str">
        <f>IFERROR(__xludf.DUMMYFUNCTION("""COMPUTED_VALUE"""),"See Effect")</f>
        <v>See Effect</v>
      </c>
      <c r="M121" s="217" t="str">
        <f>IFERROR(__xludf.DUMMYFUNCTION("""COMPUTED_VALUE"""),"Standard")</f>
        <v>Standard</v>
      </c>
      <c r="N121" s="217" t="str">
        <f>IFERROR(__xludf.DUMMYFUNCTION("""COMPUTED_VALUE"""),"--")</f>
        <v>--</v>
      </c>
      <c r="O121" s="217">
        <f>IFERROR(__xludf.DUMMYFUNCTION("""COMPUTED_VALUE"""),4.0)</f>
        <v>4</v>
      </c>
      <c r="P121" s="217" t="str">
        <f>IFERROR(__xludf.DUMMYFUNCTION("""COMPUTED_VALUE"""),"Effect: You throw an Item with the [Throwable] Keyword at a Target within Range. The Range of the Throw Maneuver is equal to 4 plus your Athletics Rank. If the Target is hit, the Item’s Effects are applied to the Target. If the Target is Adjacent to the u"&amp;"ser, this gains the Sureshot Keyword.")</f>
        <v>Effect: You throw an Item with the [Throwable] Keyword at a Target within Range. The Range of the Throw Maneuver is equal to 4 plus your Athletics Rank. If the Target is hit, the Item’s Effects are applied to the Target. If the Target is Adjacent to the user, this gains the Sureshot Keyword.</v>
      </c>
    </row>
    <row r="122">
      <c r="A122" s="214"/>
      <c r="B122" s="214"/>
      <c r="C122" s="214"/>
      <c r="D122" s="214"/>
      <c r="E122" s="215"/>
      <c r="F122" s="216" t="str">
        <f>IFERROR(__xludf.DUMMYFUNCTION("""COMPUTED_VALUE"""),"Symbiotic Strike")</f>
        <v>Symbiotic Strike</v>
      </c>
      <c r="G122" s="216" t="str">
        <f>IFERROR(__xludf.DUMMYFUNCTION("""COMPUTED_VALUE"""),"Empath - Battle Bond")</f>
        <v>Empath - Battle Bond</v>
      </c>
      <c r="H122" s="216" t="str">
        <f>IFERROR(__xludf.DUMMYFUNCTION("""COMPUTED_VALUE"""),"Static")</f>
        <v>Static</v>
      </c>
      <c r="I122" s="216" t="str">
        <f>IFERROR(__xludf.DUMMYFUNCTION("""COMPUTED_VALUE"""),"Cost: 1 SP
Effect: You or your Battle Bonded Pokemon may learn an Attack from the other’s Attack List until the end of the Scene. If the Attack is not At-Will or EoT, it costs 2 SP instead. ")</f>
        <v>Cost: 1 SP
Effect: You or your Battle Bonded Pokemon may learn an Attack from the other’s Attack List until the end of the Scene. If the Attack is not At-Will or EoT, it costs 2 SP instead. </v>
      </c>
      <c r="J122" s="215"/>
      <c r="K122" s="217" t="str">
        <f>IFERROR(__xludf.DUMMYFUNCTION("""COMPUTED_VALUE"""),"Trip")</f>
        <v>Trip</v>
      </c>
      <c r="L122" s="217" t="str">
        <f>IFERROR(__xludf.DUMMYFUNCTION("""COMPUTED_VALUE"""),"Melee, 1 Target")</f>
        <v>Melee, 1 Target</v>
      </c>
      <c r="M122" s="217" t="str">
        <f>IFERROR(__xludf.DUMMYFUNCTION("""COMPUTED_VALUE"""),"Standard")</f>
        <v>Standard</v>
      </c>
      <c r="N122" s="217" t="str">
        <f>IFERROR(__xludf.DUMMYFUNCTION("""COMPUTED_VALUE"""),"--")</f>
        <v>--</v>
      </c>
      <c r="O122" s="217">
        <f>IFERROR(__xludf.DUMMYFUNCTION("""COMPUTED_VALUE"""),4.0)</f>
        <v>4</v>
      </c>
      <c r="P122" s="217" t="str">
        <f>IFERROR(__xludf.DUMMYFUNCTION("""COMPUTED_VALUE"""),"Effect: You and the Target make opposed Combat or Acrobatics Checks. If you win, the Target becomes Tripped. Resistant.")</f>
        <v>Effect: You and the Target make opposed Combat or Acrobatics Checks. If you win, the Target becomes Tripped. Resistant.</v>
      </c>
    </row>
    <row r="123">
      <c r="A123" s="214"/>
      <c r="B123" s="214"/>
      <c r="C123" s="214"/>
      <c r="D123" s="214"/>
      <c r="E123" s="215"/>
      <c r="F123" s="216" t="str">
        <f>IFERROR(__xludf.DUMMYFUNCTION("""COMPUTED_VALUE"""),"Symbiotic Resilience")</f>
        <v>Symbiotic Resilience</v>
      </c>
      <c r="G123" s="216" t="str">
        <f>IFERROR(__xludf.DUMMYFUNCTION("""COMPUTED_VALUE"""),"Empath - Battle Bond")</f>
        <v>Empath - Battle Bond</v>
      </c>
      <c r="H123" s="216" t="str">
        <f>IFERROR(__xludf.DUMMYFUNCTION("""COMPUTED_VALUE"""),"Static")</f>
        <v>Static</v>
      </c>
      <c r="I123" s="216" t="str">
        <f>IFERROR(__xludf.DUMMYFUNCTION("""COMPUTED_VALUE"""),"Cost: 2 SP
Effect: When you are hit with an Attack, you may use this Technique to treat your Type as being the same as your Battle Bonded Pokemon’s Type, in regards to Type Effectiveness Calculations. ")</f>
        <v>Cost: 2 SP
Effect: When you are hit with an Attack, you may use this Technique to treat your Type as being the same as your Battle Bonded Pokemon’s Type, in regards to Type Effectiveness Calculations. </v>
      </c>
      <c r="J123" s="215"/>
      <c r="K123" s="217"/>
      <c r="L123" s="217"/>
      <c r="M123" s="217"/>
      <c r="N123" s="217"/>
      <c r="O123" s="217"/>
      <c r="P123" s="217"/>
    </row>
    <row r="124">
      <c r="A124" s="214"/>
      <c r="B124" s="214"/>
      <c r="C124" s="214"/>
      <c r="D124" s="214"/>
      <c r="E124" s="215"/>
      <c r="F124" s="216" t="str">
        <f>IFERROR(__xludf.DUMMYFUNCTION("""COMPUTED_VALUE"""),"Symbiotic Senses")</f>
        <v>Symbiotic Senses</v>
      </c>
      <c r="G124" s="216" t="str">
        <f>IFERROR(__xludf.DUMMYFUNCTION("""COMPUTED_VALUE"""),"Empath - Battle Bond")</f>
        <v>Empath - Battle Bond</v>
      </c>
      <c r="H124" s="216" t="str">
        <f>IFERROR(__xludf.DUMMYFUNCTION("""COMPUTED_VALUE"""),"Static")</f>
        <v>Static</v>
      </c>
      <c r="I124" s="216" t="str">
        <f>IFERROR(__xludf.DUMMYFUNCTION("""COMPUTED_VALUE"""),"Cost: 1 SP
Effect: Until the end of the Scene, you and the Bonded Pokemon share all of the following Capabilities if one or the other has it. Aura Reader, Blindsense, Darkvision, Dream Reader, Premonition, Soul Seer, Tracker, True Sight, Tremorsense, X-Ra"&amp;"y Vision. ")</f>
        <v>Cost: 1 SP
Effect: Until the end of the Scene, you and the Bonded Pokemon share all of the following Capabilities if one or the other has it. Aura Reader, Blindsense, Darkvision, Dream Reader, Premonition, Soul Seer, Tracker, True Sight, Tremorsense, X-Ray Vision. </v>
      </c>
      <c r="J124" s="215"/>
      <c r="K124" s="217"/>
      <c r="L124" s="217"/>
      <c r="M124" s="217"/>
      <c r="N124" s="217"/>
      <c r="O124" s="217"/>
      <c r="P124" s="217"/>
    </row>
    <row r="125">
      <c r="A125" s="214"/>
      <c r="B125" s="214"/>
      <c r="C125" s="214"/>
      <c r="D125" s="214"/>
      <c r="E125" s="215"/>
      <c r="F125" s="216" t="str">
        <f>IFERROR(__xludf.DUMMYFUNCTION("""COMPUTED_VALUE"""),"Symbiotic Defender")</f>
        <v>Symbiotic Defender</v>
      </c>
      <c r="G125" s="216" t="str">
        <f>IFERROR(__xludf.DUMMYFUNCTION("""COMPUTED_VALUE"""),"Empath - Battle Bond")</f>
        <v>Empath - Battle Bond</v>
      </c>
      <c r="H125" s="216" t="str">
        <f>IFERROR(__xludf.DUMMYFUNCTION("""COMPUTED_VALUE"""),"Static")</f>
        <v>Static</v>
      </c>
      <c r="I125" s="216" t="str">
        <f>IFERROR(__xludf.DUMMYFUNCTION("""COMPUTED_VALUE"""),"Cost: 1 SP
Effect: The Battle Bonded Pokemon may use the Intercept Maneuver as a Free Action and it doesn’t increase by one damage step. If they spend 2 SP instead, or if you’re the one they’re intercepting for, the Attack is additionally resisted by an a"&amp;"dditional step.")</f>
        <v>Cost: 1 SP
Effect: The Battle Bonded Pokemon may use the Intercept Maneuver as a Free Action and it doesn’t increase by one damage step. If they spend 2 SP instead, or if you’re the one they’re intercepting for, the Attack is additionally resisted by an additional step.</v>
      </c>
      <c r="J125" s="215"/>
      <c r="K125" s="217"/>
      <c r="L125" s="217"/>
      <c r="M125" s="217"/>
      <c r="N125" s="217"/>
      <c r="O125" s="217"/>
      <c r="P125" s="217"/>
    </row>
    <row r="126">
      <c r="A126" s="214"/>
      <c r="B126" s="214"/>
      <c r="C126" s="214"/>
      <c r="D126" s="214"/>
      <c r="E126" s="215"/>
      <c r="F126" s="216" t="str">
        <f>IFERROR(__xludf.DUMMYFUNCTION("""COMPUTED_VALUE"""),"Symbiotic Retaliation")</f>
        <v>Symbiotic Retaliation</v>
      </c>
      <c r="G126" s="216" t="str">
        <f>IFERROR(__xludf.DUMMYFUNCTION("""COMPUTED_VALUE"""),"Empath - Battle Bond")</f>
        <v>Empath - Battle Bond</v>
      </c>
      <c r="H126" s="216" t="str">
        <f>IFERROR(__xludf.DUMMYFUNCTION("""COMPUTED_VALUE"""),"Static")</f>
        <v>Static</v>
      </c>
      <c r="I126" s="216" t="str">
        <f>IFERROR(__xludf.DUMMYFUNCTION("""COMPUTED_VALUE"""),"Cost: 1 SP
Effect: When you or a Battle Bonded Pokemon are hit with an Attack, the other gains the Sureshot Keyword on their next Attack against the Triggering Enemy. ")</f>
        <v>Cost: 1 SP
Effect: When you or a Battle Bonded Pokemon are hit with an Attack, the other gains the Sureshot Keyword on their next Attack against the Triggering Enemy. </v>
      </c>
      <c r="J126" s="215"/>
      <c r="K126" s="217"/>
      <c r="L126" s="217"/>
      <c r="M126" s="217"/>
      <c r="N126" s="217"/>
      <c r="O126" s="217"/>
      <c r="P126" s="217"/>
    </row>
    <row r="127">
      <c r="A127" s="214"/>
      <c r="B127" s="214"/>
      <c r="C127" s="214"/>
      <c r="D127" s="214"/>
      <c r="E127" s="215"/>
      <c r="F127" s="216" t="str">
        <f>IFERROR(__xludf.DUMMYFUNCTION("""COMPUTED_VALUE"""),"Symbiotic Unity")</f>
        <v>Symbiotic Unity</v>
      </c>
      <c r="G127" s="216" t="str">
        <f>IFERROR(__xludf.DUMMYFUNCTION("""COMPUTED_VALUE"""),"Empath - Battle Bond")</f>
        <v>Empath - Battle Bond</v>
      </c>
      <c r="H127" s="216" t="str">
        <f>IFERROR(__xludf.DUMMYFUNCTION("""COMPUTED_VALUE"""),"Static")</f>
        <v>Static</v>
      </c>
      <c r="I127" s="216" t="str">
        <f>IFERROR(__xludf.DUMMYFUNCTION("""COMPUTED_VALUE"""),"Cost: 1 SP
Effect: Whenever you use an Attack, you may shift its type to match one of the Bonded Pokemon’s Types. If you have the Elemental Affinity Talent or a Type Specialist Class, the Bonded Pokemon may also use this to shift an Attack they use to tha"&amp;"t Type. ")</f>
        <v>Cost: 1 SP
Effect: Whenever you use an Attack, you may shift its type to match one of the Bonded Pokemon’s Types. If you have the Elemental Affinity Talent or a Type Specialist Class, the Bonded Pokemon may also use this to shift an Attack they use to that Type. </v>
      </c>
      <c r="J127" s="215"/>
      <c r="K127" s="217"/>
      <c r="L127" s="217"/>
      <c r="M127" s="217"/>
      <c r="N127" s="217"/>
      <c r="O127" s="217"/>
      <c r="P127" s="217"/>
    </row>
    <row r="128">
      <c r="A128" s="214"/>
      <c r="B128" s="214"/>
      <c r="C128" s="214"/>
      <c r="D128" s="214"/>
      <c r="E128" s="215"/>
      <c r="F128" s="216" t="str">
        <f>IFERROR(__xludf.DUMMYFUNCTION("""COMPUTED_VALUE"""),"Beguiling Rhythm")</f>
        <v>Beguiling Rhythm</v>
      </c>
      <c r="G128" s="216" t="str">
        <f>IFERROR(__xludf.DUMMYFUNCTION("""COMPUTED_VALUE"""),"Dancer - Basic Dance Techniques")</f>
        <v>Dancer - Basic Dance Techniques</v>
      </c>
      <c r="H128" s="216" t="str">
        <f>IFERROR(__xludf.DUMMYFUNCTION("""COMPUTED_VALUE"""),"At-Will - Swift or Movement Action")</f>
        <v>At-Will - Swift or Movement Action</v>
      </c>
      <c r="I128" s="216" t="str">
        <f>IFERROR(__xludf.DUMMYFUNCTION("""COMPUTED_VALUE"""),"Target: An Enemy within 5m
Effect: Choose a Stat for the Target to lose -2 CS in.")</f>
        <v>Target: An Enemy within 5m
Effect: Choose a Stat for the Target to lose -2 CS in.</v>
      </c>
      <c r="J128" s="215"/>
      <c r="K128" s="217"/>
      <c r="L128" s="217"/>
      <c r="M128" s="217"/>
      <c r="N128" s="217"/>
      <c r="O128" s="217"/>
      <c r="P128" s="217"/>
    </row>
    <row r="129">
      <c r="A129" s="214"/>
      <c r="B129" s="214"/>
      <c r="C129" s="214"/>
      <c r="D129" s="214"/>
      <c r="E129" s="215"/>
      <c r="F129" s="216" t="str">
        <f>IFERROR(__xludf.DUMMYFUNCTION("""COMPUTED_VALUE"""),"Charming Serenade")</f>
        <v>Charming Serenade</v>
      </c>
      <c r="G129" s="216" t="str">
        <f>IFERROR(__xludf.DUMMYFUNCTION("""COMPUTED_VALUE"""),"Dancer - Basic Dance Techniques")</f>
        <v>Dancer - Basic Dance Techniques</v>
      </c>
      <c r="H129" s="216" t="str">
        <f>IFERROR(__xludf.DUMMYFUNCTION("""COMPUTED_VALUE"""),"At-Will - Swift or Movement Action")</f>
        <v>At-Will - Swift or Movement Action</v>
      </c>
      <c r="I129" s="216" t="str">
        <f>IFERROR(__xludf.DUMMYFUNCTION("""COMPUTED_VALUE"""),"Target: An Enemy within 5m
Effect: You may perform the Distract or Intrigue Maneuver against the Target as a Free Action. You may use your choice of Charm or Guile instead of listed skills on the Maneuver. ")</f>
        <v>Target: An Enemy within 5m
Effect: You may perform the Distract or Intrigue Maneuver against the Target as a Free Action. You may use your choice of Charm or Guile instead of listed skills on the Maneuver. </v>
      </c>
      <c r="J129" s="215"/>
      <c r="K129" s="217"/>
      <c r="L129" s="217"/>
      <c r="M129" s="217"/>
      <c r="N129" s="217"/>
      <c r="O129" s="217"/>
      <c r="P129" s="217"/>
    </row>
    <row r="130">
      <c r="A130" s="214"/>
      <c r="B130" s="214"/>
      <c r="C130" s="214"/>
      <c r="D130" s="214"/>
      <c r="E130" s="215"/>
      <c r="F130" s="216" t="str">
        <f>IFERROR(__xludf.DUMMYFUNCTION("""COMPUTED_VALUE"""),"Duet's Momentum")</f>
        <v>Duet's Momentum</v>
      </c>
      <c r="G130" s="216" t="str">
        <f>IFERROR(__xludf.DUMMYFUNCTION("""COMPUTED_VALUE"""),"Dancer - Basic Dance Techniques")</f>
        <v>Dancer - Basic Dance Techniques</v>
      </c>
      <c r="H130" s="216" t="str">
        <f>IFERROR(__xludf.DUMMYFUNCTION("""COMPUTED_VALUE"""),"Scene x2 -  Reaction or Movement Action")</f>
        <v>Scene x2 -  Reaction or Movement Action</v>
      </c>
      <c r="I130" s="216" t="str">
        <f>IFERROR(__xludf.DUMMYFUNCTION("""COMPUTED_VALUE"""),"Trigger: You and an Ally gain Initiative
Effect: The Ally gains a bonus to Accuracy Rolls and Save Checks equal to your Tier Level until the end of this Initiative.")</f>
        <v>Trigger: You and an Ally gain Initiative
Effect: The Ally gains a bonus to Accuracy Rolls and Save Checks equal to your Tier Level until the end of this Initiative.</v>
      </c>
      <c r="J130" s="215"/>
      <c r="K130" s="217"/>
      <c r="L130" s="217"/>
      <c r="M130" s="217"/>
      <c r="N130" s="217"/>
      <c r="O130" s="217"/>
      <c r="P130" s="217"/>
    </row>
    <row r="131">
      <c r="A131" s="214"/>
      <c r="B131" s="214"/>
      <c r="C131" s="214"/>
      <c r="D131" s="214"/>
      <c r="E131" s="215"/>
      <c r="F131" s="216" t="str">
        <f>IFERROR(__xludf.DUMMYFUNCTION("""COMPUTED_VALUE"""),"Evasive Footwork")</f>
        <v>Evasive Footwork</v>
      </c>
      <c r="G131" s="216" t="str">
        <f>IFERROR(__xludf.DUMMYFUNCTION("""COMPUTED_VALUE"""),"Dancer - Basic Dance Techniques")</f>
        <v>Dancer - Basic Dance Techniques</v>
      </c>
      <c r="H131" s="216" t="str">
        <f>IFERROR(__xludf.DUMMYFUNCTION("""COMPUTED_VALUE"""),"Static")</f>
        <v>Static</v>
      </c>
      <c r="I131" s="216" t="str">
        <f>IFERROR(__xludf.DUMMYFUNCTION("""COMPUTED_VALUE"""),"Effect: You gain Evasion equal to your Tier Level.")</f>
        <v>Effect: You gain Evasion equal to your Tier Level.</v>
      </c>
      <c r="J131" s="215"/>
      <c r="K131" s="217"/>
      <c r="L131" s="217"/>
      <c r="M131" s="217"/>
      <c r="N131" s="217"/>
      <c r="O131" s="217"/>
      <c r="P131" s="217"/>
    </row>
    <row r="132">
      <c r="A132" s="214"/>
      <c r="B132" s="214"/>
      <c r="C132" s="214"/>
      <c r="D132" s="214"/>
      <c r="E132" s="215"/>
      <c r="F132" s="216" t="str">
        <f>IFERROR(__xludf.DUMMYFUNCTION("""COMPUTED_VALUE"""),"Invigorating Performance")</f>
        <v>Invigorating Performance</v>
      </c>
      <c r="G132" s="216" t="str">
        <f>IFERROR(__xludf.DUMMYFUNCTION("""COMPUTED_VALUE"""),"Dancer - Basic Dance Techniques")</f>
        <v>Dancer - Basic Dance Techniques</v>
      </c>
      <c r="H132" s="216" t="str">
        <f>IFERROR(__xludf.DUMMYFUNCTION("""COMPUTED_VALUE"""),"At-Will - Swift or Movement Action")</f>
        <v>At-Will - Swift or Movement Action</v>
      </c>
      <c r="I132" s="216" t="str">
        <f>IFERROR(__xludf.DUMMYFUNCTION("""COMPUTED_VALUE"""),"Target: An Ally within 3m
Effect: Choose Accuracy Rolls or Save Checks. The Target gains a bonus to their next Roll of that Type equal to your Tier Level.")</f>
        <v>Target: An Ally within 3m
Effect: Choose Accuracy Rolls or Save Checks. The Target gains a bonus to their next Roll of that Type equal to your Tier Level.</v>
      </c>
      <c r="J132" s="215"/>
      <c r="K132" s="217"/>
      <c r="L132" s="217"/>
      <c r="M132" s="217"/>
      <c r="N132" s="217"/>
      <c r="O132" s="217"/>
      <c r="P132" s="217"/>
    </row>
    <row r="133">
      <c r="A133" s="214"/>
      <c r="B133" s="214"/>
      <c r="C133" s="214"/>
      <c r="D133" s="214"/>
      <c r="E133" s="215"/>
      <c r="F133" s="216" t="str">
        <f>IFERROR(__xludf.DUMMYFUNCTION("""COMPUTED_VALUE"""),"Motivating Performance")</f>
        <v>Motivating Performance</v>
      </c>
      <c r="G133" s="216" t="str">
        <f>IFERROR(__xludf.DUMMYFUNCTION("""COMPUTED_VALUE"""),"Dancer - Basic Dance Techniques")</f>
        <v>Dancer - Basic Dance Techniques</v>
      </c>
      <c r="H133" s="216" t="str">
        <f>IFERROR(__xludf.DUMMYFUNCTION("""COMPUTED_VALUE"""),"At-Will - Swift or Movement Action")</f>
        <v>At-Will - Swift or Movement Action</v>
      </c>
      <c r="I133" s="216" t="str">
        <f>IFERROR(__xludf.DUMMYFUNCTION("""COMPUTED_VALUE"""),"Target: An Ally within 3m
Effect: Choose a Stat for the Target to gain +1 CS in.")</f>
        <v>Target: An Ally within 3m
Effect: Choose a Stat for the Target to gain +1 CS in.</v>
      </c>
      <c r="J133" s="215"/>
      <c r="K133" s="217"/>
      <c r="L133" s="217"/>
      <c r="M133" s="217"/>
      <c r="N133" s="217"/>
      <c r="O133" s="217"/>
      <c r="P133" s="217"/>
    </row>
    <row r="134">
      <c r="A134" s="214"/>
      <c r="B134" s="214"/>
      <c r="C134" s="214"/>
      <c r="D134" s="214"/>
      <c r="E134" s="215"/>
      <c r="F134" s="216" t="str">
        <f>IFERROR(__xludf.DUMMYFUNCTION("""COMPUTED_VALUE"""),"Performer's Stamina")</f>
        <v>Performer's Stamina</v>
      </c>
      <c r="G134" s="216" t="str">
        <f>IFERROR(__xludf.DUMMYFUNCTION("""COMPUTED_VALUE"""),"Dancer - Basic Dance Techniques")</f>
        <v>Dancer - Basic Dance Techniques</v>
      </c>
      <c r="H134" s="216" t="str">
        <f>IFERROR(__xludf.DUMMYFUNCTION("""COMPUTED_VALUE"""),"At-Will - Free Action")</f>
        <v>At-Will - Free Action</v>
      </c>
      <c r="I134" s="216" t="str">
        <f>IFERROR(__xludf.DUMMYFUNCTION("""COMPUTED_VALUE"""),"Trigger: You use an Action on a Dance Technique or move as a Movement Action
Effect: You gain a Tick of Temporary Hit Points or a bonus to your next Save Check equal to your Tier Level.")</f>
        <v>Trigger: You use an Action on a Dance Technique or move as a Movement Action
Effect: You gain a Tick of Temporary Hit Points or a bonus to your next Save Check equal to your Tier Level.</v>
      </c>
      <c r="J134" s="215"/>
      <c r="K134" s="217"/>
      <c r="L134" s="217"/>
      <c r="M134" s="217"/>
      <c r="N134" s="217"/>
      <c r="O134" s="217"/>
      <c r="P134" s="217"/>
    </row>
    <row r="135">
      <c r="A135" s="214"/>
      <c r="B135" s="214"/>
      <c r="C135" s="214"/>
      <c r="D135" s="214"/>
      <c r="E135" s="215"/>
      <c r="F135" s="216" t="str">
        <f>IFERROR(__xludf.DUMMYFUNCTION("""COMPUTED_VALUE"""),"Solo Performer")</f>
        <v>Solo Performer</v>
      </c>
      <c r="G135" s="216" t="str">
        <f>IFERROR(__xludf.DUMMYFUNCTION("""COMPUTED_VALUE"""),"Dancer - Basic Dance Techniques")</f>
        <v>Dancer - Basic Dance Techniques</v>
      </c>
      <c r="H135" s="216" t="str">
        <f>IFERROR(__xludf.DUMMYFUNCTION("""COMPUTED_VALUE"""),"Static")</f>
        <v>Static</v>
      </c>
      <c r="I135" s="216" t="str">
        <f>IFERROR(__xludf.DUMMYFUNCTION("""COMPUTED_VALUE"""),"Effect: Anytime you use a Dance that would Target an Ally, you may instead Target Yourself.")</f>
        <v>Effect: Anytime you use a Dance that would Target an Ally, you may instead Target Yourself.</v>
      </c>
      <c r="J135" s="215"/>
      <c r="K135" s="217"/>
      <c r="L135" s="217"/>
      <c r="M135" s="217"/>
      <c r="N135" s="217"/>
      <c r="O135" s="217"/>
      <c r="P135" s="217"/>
    </row>
    <row r="136">
      <c r="A136" s="214"/>
      <c r="B136" s="214"/>
      <c r="C136" s="214"/>
      <c r="D136" s="214"/>
      <c r="E136" s="215"/>
      <c r="F136" s="216" t="str">
        <f>IFERROR(__xludf.DUMMYFUNCTION("""COMPUTED_VALUE"""),"Taunting Flourish")</f>
        <v>Taunting Flourish</v>
      </c>
      <c r="G136" s="216" t="str">
        <f>IFERROR(__xludf.DUMMYFUNCTION("""COMPUTED_VALUE"""),"Dancer - Basic Dance Techniques")</f>
        <v>Dancer - Basic Dance Techniques</v>
      </c>
      <c r="H136" s="216" t="str">
        <f>IFERROR(__xludf.DUMMYFUNCTION("""COMPUTED_VALUE"""),"At-Will - Swift or Movement Action")</f>
        <v>At-Will - Swift or Movement Action</v>
      </c>
      <c r="I136" s="216" t="str">
        <f>IFERROR(__xludf.DUMMYFUNCTION("""COMPUTED_VALUE"""),"Target: An Enemy within 3m
Effect: The Target becomes Trapped by you. You may make a Command or Guile Check opposed by their Focus. If you succeed they become Provoked by you until the end of their next Turn.")</f>
        <v>Target: An Enemy within 3m
Effect: The Target becomes Trapped by you. You may make a Command or Guile Check opposed by their Focus. If you succeed they become Provoked by you until the end of their next Turn.</v>
      </c>
      <c r="J136" s="215"/>
      <c r="K136" s="217"/>
      <c r="L136" s="217"/>
      <c r="M136" s="217"/>
      <c r="N136" s="217"/>
      <c r="O136" s="217"/>
      <c r="P136" s="217"/>
    </row>
    <row r="137">
      <c r="A137" s="214"/>
      <c r="B137" s="214"/>
      <c r="C137" s="214"/>
      <c r="D137" s="214"/>
      <c r="E137" s="215"/>
      <c r="F137" s="216" t="str">
        <f>IFERROR(__xludf.DUMMYFUNCTION("""COMPUTED_VALUE"""),"Thrilling Performance")</f>
        <v>Thrilling Performance</v>
      </c>
      <c r="G137" s="216" t="str">
        <f>IFERROR(__xludf.DUMMYFUNCTION("""COMPUTED_VALUE"""),"Dancer - Basic Dance Techniques")</f>
        <v>Dancer - Basic Dance Techniques</v>
      </c>
      <c r="H137" s="216" t="str">
        <f>IFERROR(__xludf.DUMMYFUNCTION("""COMPUTED_VALUE"""),"At-Will - Swift or Movement Action")</f>
        <v>At-Will - Swift or Movement Action</v>
      </c>
      <c r="I137" s="216" t="str">
        <f>IFERROR(__xludf.DUMMYFUNCTION("""COMPUTED_VALUE"""),"Target: An Ally within 3m
Effect: Perform an Acrobatics, Charm or Guile Check. The Ally gains a bonus to their next Damage Roll equal to the result.")</f>
        <v>Target: An Ally within 3m
Effect: Perform an Acrobatics, Charm or Guile Check. The Ally gains a bonus to their next Damage Roll equal to the result.</v>
      </c>
      <c r="J137" s="215"/>
      <c r="K137" s="217"/>
      <c r="L137" s="217"/>
      <c r="M137" s="217"/>
      <c r="N137" s="217"/>
      <c r="O137" s="217"/>
      <c r="P137" s="217"/>
    </row>
    <row r="138">
      <c r="A138" s="214"/>
      <c r="B138" s="214"/>
      <c r="C138" s="214"/>
      <c r="D138" s="214"/>
      <c r="E138" s="215"/>
      <c r="F138" s="216" t="str">
        <f>IFERROR(__xludf.DUMMYFUNCTION("""COMPUTED_VALUE"""),"Dance of Devotion")</f>
        <v>Dance of Devotion</v>
      </c>
      <c r="G138" s="216" t="str">
        <f>IFERROR(__xludf.DUMMYFUNCTION("""COMPUTED_VALUE"""),"Dancer - Signature Dance Techniques")</f>
        <v>Dancer - Signature Dance Techniques</v>
      </c>
      <c r="H138" s="216" t="str">
        <f>IFERROR(__xludf.DUMMYFUNCTION("""COMPUTED_VALUE"""),"Scene- Movement Action")</f>
        <v>Scene- Movement Action</v>
      </c>
      <c r="I138" s="216" t="str">
        <f>IFERROR(__xludf.DUMMYFUNCTION("""COMPUTED_VALUE"""),"Trigger: An Adjacent Ally is Targeted by an Attack
Effect: You may use an Intercept Maneuver as a Free Action. You have Damage Reduction against it equal to triple your Acrobatics Rank.")</f>
        <v>Trigger: An Adjacent Ally is Targeted by an Attack
Effect: You may use an Intercept Maneuver as a Free Action. You have Damage Reduction against it equal to triple your Acrobatics Rank.</v>
      </c>
      <c r="J138" s="215"/>
      <c r="K138" s="217"/>
      <c r="L138" s="217"/>
      <c r="M138" s="217"/>
      <c r="N138" s="217"/>
      <c r="O138" s="217"/>
      <c r="P138" s="217"/>
    </row>
    <row r="139">
      <c r="A139" s="214"/>
      <c r="B139" s="214"/>
      <c r="C139" s="214"/>
      <c r="D139" s="214"/>
      <c r="E139" s="215"/>
      <c r="F139" s="216" t="str">
        <f>IFERROR(__xludf.DUMMYFUNCTION("""COMPUTED_VALUE"""),"Dance of Elegance")</f>
        <v>Dance of Elegance</v>
      </c>
      <c r="G139" s="216" t="str">
        <f>IFERROR(__xludf.DUMMYFUNCTION("""COMPUTED_VALUE"""),"Dancer - Signature Dance Techniques")</f>
        <v>Dancer - Signature Dance Techniques</v>
      </c>
      <c r="H139" s="216" t="str">
        <f>IFERROR(__xludf.DUMMYFUNCTION("""COMPUTED_VALUE"""),"Scene - Swift or Movement Action")</f>
        <v>Scene - Swift or Movement Action</v>
      </c>
      <c r="I139" s="216" t="str">
        <f>IFERROR(__xludf.DUMMYFUNCTION("""COMPUTED_VALUE"""),"Effect: Perform a Charm or Guile Check opposed by all Enemies within 3m and their Focus Check. Each Enemy that fails becomes Vulnerable until the end of the next Round")</f>
        <v>Effect: Perform a Charm or Guile Check opposed by all Enemies within 3m and their Focus Check. Each Enemy that fails becomes Vulnerable until the end of the next Round</v>
      </c>
      <c r="J139" s="215"/>
      <c r="K139" s="217"/>
      <c r="L139" s="217"/>
      <c r="M139" s="217"/>
      <c r="N139" s="217"/>
      <c r="O139" s="217"/>
      <c r="P139" s="217"/>
    </row>
    <row r="140">
      <c r="A140" s="214"/>
      <c r="B140" s="214"/>
      <c r="C140" s="214"/>
      <c r="D140" s="214"/>
      <c r="E140" s="215"/>
      <c r="F140" s="216" t="str">
        <f>IFERROR(__xludf.DUMMYFUNCTION("""COMPUTED_VALUE"""),"Dance of Elements")</f>
        <v>Dance of Elements</v>
      </c>
      <c r="G140" s="216" t="str">
        <f>IFERROR(__xludf.DUMMYFUNCTION("""COMPUTED_VALUE"""),"Dancer - Signature Dance Techniques")</f>
        <v>Dancer - Signature Dance Techniques</v>
      </c>
      <c r="H140" s="216" t="str">
        <f>IFERROR(__xludf.DUMMYFUNCTION("""COMPUTED_VALUE"""),"Scene - Swift or Movement Action")</f>
        <v>Scene - Swift or Movement Action</v>
      </c>
      <c r="I140" s="216" t="str">
        <f>IFERROR(__xludf.DUMMYFUNCTION("""COMPUTED_VALUE"""),"Target: Two Allies within 5m, one being a Pokemon
Effect: During this Scene, the second Target may use Damaging Attacks as if it’s Type was one of the Types belonging to the first Target.")</f>
        <v>Target: Two Allies within 5m, one being a Pokemon
Effect: During this Scene, the second Target may use Damaging Attacks as if it’s Type was one of the Types belonging to the first Target.</v>
      </c>
      <c r="J140" s="215"/>
      <c r="K140" s="217"/>
      <c r="L140" s="217"/>
      <c r="M140" s="217"/>
      <c r="N140" s="217"/>
      <c r="O140" s="217"/>
      <c r="P140" s="217"/>
    </row>
    <row r="141">
      <c r="A141" s="214"/>
      <c r="B141" s="214"/>
      <c r="C141" s="214"/>
      <c r="D141" s="214"/>
      <c r="E141" s="215"/>
      <c r="F141" s="216" t="str">
        <f>IFERROR(__xludf.DUMMYFUNCTION("""COMPUTED_VALUE"""),"Dance of Life")</f>
        <v>Dance of Life</v>
      </c>
      <c r="G141" s="216" t="str">
        <f>IFERROR(__xludf.DUMMYFUNCTION("""COMPUTED_VALUE"""),"Dancer - Signature Dance Techniques")</f>
        <v>Dancer - Signature Dance Techniques</v>
      </c>
      <c r="H141" s="216" t="str">
        <f>IFERROR(__xludf.DUMMYFUNCTION("""COMPUTED_VALUE"""),"Scene - Swift or Movement Action")</f>
        <v>Scene - Swift or Movement Action</v>
      </c>
      <c r="I141" s="216" t="str">
        <f>IFERROR(__xludf.DUMMYFUNCTION("""COMPUTED_VALUE"""),"Target: An Ally within 3m
Effect: The Target is cured of a Status Affliction.")</f>
        <v>Target: An Ally within 3m
Effect: The Target is cured of a Status Affliction.</v>
      </c>
      <c r="J141" s="215"/>
      <c r="K141" s="217"/>
      <c r="L141" s="217"/>
      <c r="M141" s="217"/>
      <c r="N141" s="217"/>
      <c r="O141" s="217"/>
      <c r="P141" s="217"/>
    </row>
    <row r="142">
      <c r="A142" s="214"/>
      <c r="B142" s="214"/>
      <c r="C142" s="214"/>
      <c r="D142" s="214"/>
      <c r="E142" s="215"/>
      <c r="F142" s="216" t="str">
        <f>IFERROR(__xludf.DUMMYFUNCTION("""COMPUTED_VALUE"""),"Dance of Spirits")</f>
        <v>Dance of Spirits</v>
      </c>
      <c r="G142" s="216" t="str">
        <f>IFERROR(__xludf.DUMMYFUNCTION("""COMPUTED_VALUE"""),"Dancer - Signature Dance Techniques")</f>
        <v>Dancer - Signature Dance Techniques</v>
      </c>
      <c r="H142" s="216" t="str">
        <f>IFERROR(__xludf.DUMMYFUNCTION("""COMPUTED_VALUE"""),"Scene - Swift or Movement Action")</f>
        <v>Scene - Swift or Movement Action</v>
      </c>
      <c r="I142" s="216" t="str">
        <f>IFERROR(__xludf.DUMMYFUNCTION("""COMPUTED_VALUE"""),"Target: An Enemy within 5m
Effect: Perform a Charm or Guile Check opposed by their Focus. If you succeed, the Target becomes Cursed or Suppressed")</f>
        <v>Target: An Enemy within 5m
Effect: Perform a Charm or Guile Check opposed by their Focus. If you succeed, the Target becomes Cursed or Suppressed</v>
      </c>
      <c r="J142" s="215"/>
      <c r="K142" s="217"/>
      <c r="L142" s="217"/>
      <c r="M142" s="217"/>
      <c r="N142" s="217"/>
      <c r="O142" s="217"/>
      <c r="P142" s="217"/>
    </row>
    <row r="143">
      <c r="A143" s="214"/>
      <c r="B143" s="214"/>
      <c r="C143" s="214"/>
      <c r="D143" s="214"/>
      <c r="E143" s="215"/>
      <c r="F143" s="216" t="str">
        <f>IFERROR(__xludf.DUMMYFUNCTION("""COMPUTED_VALUE"""),"Dance of War")</f>
        <v>Dance of War</v>
      </c>
      <c r="G143" s="216" t="str">
        <f>IFERROR(__xludf.DUMMYFUNCTION("""COMPUTED_VALUE"""),"Dancer - Signature Dance Techniques")</f>
        <v>Dancer - Signature Dance Techniques</v>
      </c>
      <c r="H143" s="216" t="str">
        <f>IFERROR(__xludf.DUMMYFUNCTION("""COMPUTED_VALUE"""),"Scene - Swift or Movement Action")</f>
        <v>Scene - Swift or Movement Action</v>
      </c>
      <c r="I143" s="216" t="str">
        <f>IFERROR(__xludf.DUMMYFUNCTION("""COMPUTED_VALUE"""),"Target: An Ally within 3m
Effect: The Target’s next Damaging Attack has a +2 bonus to Crit Range and gains the Smite Keyword.")</f>
        <v>Target: An Ally within 3m
Effect: The Target’s next Damaging Attack has a +2 bonus to Crit Range and gains the Smite Keyword.</v>
      </c>
      <c r="J143" s="215"/>
      <c r="K143" s="217"/>
      <c r="L143" s="217"/>
      <c r="M143" s="217"/>
      <c r="N143" s="217"/>
      <c r="O143" s="217"/>
      <c r="P143" s="217"/>
    </row>
    <row r="144">
      <c r="A144" s="214"/>
      <c r="B144" s="214"/>
      <c r="C144" s="214"/>
      <c r="D144" s="214"/>
      <c r="E144" s="215"/>
      <c r="F144" s="216" t="str">
        <f>IFERROR(__xludf.DUMMYFUNCTION("""COMPUTED_VALUE"""),"Braggart's Swagger")</f>
        <v>Braggart's Swagger</v>
      </c>
      <c r="G144" s="216" t="str">
        <f>IFERROR(__xludf.DUMMYFUNCTION("""COMPUTED_VALUE"""),"Swashbuckler - Swashbucker Techniques")</f>
        <v>Swashbuckler - Swashbucker Techniques</v>
      </c>
      <c r="H144" s="216" t="str">
        <f>IFERROR(__xludf.DUMMYFUNCTION("""COMPUTED_VALUE"""),"At-Will - Free Action")</f>
        <v>At-Will - Free Action</v>
      </c>
      <c r="I144" s="216" t="str">
        <f>IFERROR(__xludf.DUMMYFUNCTION("""COMPUTED_VALUE"""),"Trigger: You cause an Enemy to become Provoked by you or inflict a Mental Status Affliction
Effect: You gain a Panache Coat.")</f>
        <v>Trigger: You cause an Enemy to become Provoked by you or inflict a Mental Status Affliction
Effect: You gain a Panache Coat.</v>
      </c>
      <c r="J144" s="215"/>
      <c r="K144" s="217"/>
      <c r="L144" s="217"/>
      <c r="M144" s="217"/>
      <c r="N144" s="217"/>
      <c r="O144" s="217"/>
      <c r="P144" s="217"/>
    </row>
    <row r="145">
      <c r="A145" s="214"/>
      <c r="B145" s="214"/>
      <c r="C145" s="214"/>
      <c r="D145" s="214"/>
      <c r="E145" s="215"/>
      <c r="F145" s="216" t="str">
        <f>IFERROR(__xludf.DUMMYFUNCTION("""COMPUTED_VALUE"""),"Combat with Style")</f>
        <v>Combat with Style</v>
      </c>
      <c r="G145" s="216" t="str">
        <f>IFERROR(__xludf.DUMMYFUNCTION("""COMPUTED_VALUE"""),"Swashbuckler - Swashbucker Techniques")</f>
        <v>Swashbuckler - Swashbucker Techniques</v>
      </c>
      <c r="H145" s="216" t="str">
        <f>IFERROR(__xludf.DUMMYFUNCTION("""COMPUTED_VALUE"""),"Static")</f>
        <v>Static</v>
      </c>
      <c r="I145" s="216" t="str">
        <f>IFERROR(__xludf.DUMMYFUNCTION("""COMPUTED_VALUE"""),"Effect: Choose two Attacks from any combination of the following Feature’s Novice Attack Lists to learn. Once you have 4 Swashbuckler Features you may choose two more. Alluring Combat, Criminal Combat, Imposing Combat, Martial Combat, Nimble Combat")</f>
        <v>Effect: Choose two Attacks from any combination of the following Feature’s Novice Attack Lists to learn. Once you have 4 Swashbuckler Features you may choose two more. Alluring Combat, Criminal Combat, Imposing Combat, Martial Combat, Nimble Combat</v>
      </c>
      <c r="J145" s="215"/>
      <c r="K145" s="217"/>
      <c r="L145" s="217"/>
      <c r="M145" s="217"/>
      <c r="N145" s="217"/>
      <c r="O145" s="217"/>
      <c r="P145" s="217"/>
    </row>
    <row r="146">
      <c r="A146" s="214"/>
      <c r="B146" s="214"/>
      <c r="C146" s="214"/>
      <c r="D146" s="214"/>
      <c r="E146" s="215"/>
      <c r="F146" s="216" t="str">
        <f>IFERROR(__xludf.DUMMYFUNCTION("""COMPUTED_VALUE"""),"Feinting Strike")</f>
        <v>Feinting Strike</v>
      </c>
      <c r="G146" s="216" t="str">
        <f>IFERROR(__xludf.DUMMYFUNCTION("""COMPUTED_VALUE"""),"Swashbuckler - Swashbucker Techniques")</f>
        <v>Swashbuckler - Swashbucker Techniques</v>
      </c>
      <c r="H146" s="216" t="str">
        <f>IFERROR(__xludf.DUMMYFUNCTION("""COMPUTED_VALUE"""),"At-Will - Reaction")</f>
        <v>At-Will - Reaction</v>
      </c>
      <c r="I146" s="216" t="str">
        <f>IFERROR(__xludf.DUMMYFUNCTION("""COMPUTED_VALUE"""),"Trigger: An Enemy would Trigger an Attack or Ability in response to your Attack
Effect: You may expend a Panache Coat to ignore its effects but the Frequency and Action used are refunded.")</f>
        <v>Trigger: An Enemy would Trigger an Attack or Ability in response to your Attack
Effect: You may expend a Panache Coat to ignore its effects but the Frequency and Action used are refunded.</v>
      </c>
      <c r="J146" s="215"/>
      <c r="K146" s="217"/>
      <c r="L146" s="217"/>
      <c r="M146" s="217"/>
      <c r="N146" s="217"/>
      <c r="O146" s="217"/>
      <c r="P146" s="217"/>
    </row>
    <row r="147">
      <c r="A147" s="214"/>
      <c r="B147" s="214"/>
      <c r="C147" s="214"/>
      <c r="D147" s="214"/>
      <c r="E147" s="215"/>
      <c r="F147" s="216" t="str">
        <f>IFERROR(__xludf.DUMMYFUNCTION("""COMPUTED_VALUE"""),"Flamboyant Ego")</f>
        <v>Flamboyant Ego</v>
      </c>
      <c r="G147" s="216" t="str">
        <f>IFERROR(__xludf.DUMMYFUNCTION("""COMPUTED_VALUE"""),"Swashbuckler - Swashbucker Techniques")</f>
        <v>Swashbuckler - Swashbucker Techniques</v>
      </c>
      <c r="H147" s="216" t="str">
        <f>IFERROR(__xludf.DUMMYFUNCTION("""COMPUTED_VALUE"""),"Static")</f>
        <v>Static</v>
      </c>
      <c r="I147" s="216" t="str">
        <f>IFERROR(__xludf.DUMMYFUNCTION("""COMPUTED_VALUE"""),"Effect: While you have a Panache Coat, you cannot gain a Mental Status Affliction.")</f>
        <v>Effect: While you have a Panache Coat, you cannot gain a Mental Status Affliction.</v>
      </c>
      <c r="J147" s="215"/>
      <c r="K147" s="217"/>
      <c r="L147" s="217"/>
      <c r="M147" s="217"/>
      <c r="N147" s="217"/>
      <c r="O147" s="217"/>
      <c r="P147" s="217"/>
    </row>
    <row r="148">
      <c r="A148" s="214"/>
      <c r="B148" s="214"/>
      <c r="C148" s="214"/>
      <c r="D148" s="214"/>
      <c r="E148" s="215"/>
      <c r="F148" s="216" t="str">
        <f>IFERROR(__xludf.DUMMYFUNCTION("""COMPUTED_VALUE"""),"Humbling Reassessment")</f>
        <v>Humbling Reassessment</v>
      </c>
      <c r="G148" s="216" t="str">
        <f>IFERROR(__xludf.DUMMYFUNCTION("""COMPUTED_VALUE"""),"Swashbuckler - Swashbucker Techniques")</f>
        <v>Swashbuckler - Swashbucker Techniques</v>
      </c>
      <c r="H148" s="216" t="str">
        <f>IFERROR(__xludf.DUMMYFUNCTION("""COMPUTED_VALUE"""),"Scene - Reaction")</f>
        <v>Scene - Reaction</v>
      </c>
      <c r="I148" s="216" t="str">
        <f>IFERROR(__xludf.DUMMYFUNCTION("""COMPUTED_VALUE"""),"Trigger: You’re hit by a Critical Hit or gain a Status Affliction while you have a Panache Coat
Effect: The Panache Coat is still expended as normal, however the Triggering Attack is no longer a Critical Hit or you are immediately cured of the Affliction.")</f>
        <v>Trigger: You’re hit by a Critical Hit or gain a Status Affliction while you have a Panache Coat
Effect: The Panache Coat is still expended as normal, however the Triggering Attack is no longer a Critical Hit or you are immediately cured of the Affliction.</v>
      </c>
      <c r="J148" s="215"/>
      <c r="K148" s="217"/>
      <c r="L148" s="217"/>
      <c r="M148" s="217"/>
      <c r="N148" s="217"/>
      <c r="O148" s="217"/>
      <c r="P148" s="217"/>
    </row>
    <row r="149">
      <c r="A149" s="214"/>
      <c r="B149" s="214"/>
      <c r="C149" s="214"/>
      <c r="D149" s="214"/>
      <c r="E149" s="215"/>
      <c r="F149" s="216" t="str">
        <f>IFERROR(__xludf.DUMMYFUNCTION("""COMPUTED_VALUE"""),"Nimble Superiority")</f>
        <v>Nimble Superiority</v>
      </c>
      <c r="G149" s="216" t="str">
        <f>IFERROR(__xludf.DUMMYFUNCTION("""COMPUTED_VALUE"""),"Swashbuckler - Swashbucker Techniques")</f>
        <v>Swashbuckler - Swashbucker Techniques</v>
      </c>
      <c r="H149" s="216" t="str">
        <f>IFERROR(__xludf.DUMMYFUNCTION("""COMPUTED_VALUE"""),"At-Will - Free Action")</f>
        <v>At-Will - Free Action</v>
      </c>
      <c r="I149" s="216" t="str">
        <f>IFERROR(__xludf.DUMMYFUNCTION("""COMPUTED_VALUE"""),"Trigger: You’re Targeted by an Attack
Effect: You may expend a Panache Coat to have the Triggering Attacker perform the Accuracy Roll against you twice, taking the lower result. While you have a Panache Coat, you gain Evasion equal to your Tier Level.")</f>
        <v>Trigger: You’re Targeted by an Attack
Effect: You may expend a Panache Coat to have the Triggering Attacker perform the Accuracy Roll against you twice, taking the lower result. While you have a Panache Coat, you gain Evasion equal to your Tier Level.</v>
      </c>
      <c r="J149" s="215"/>
      <c r="K149" s="217"/>
      <c r="L149" s="217"/>
      <c r="M149" s="217"/>
      <c r="N149" s="217"/>
      <c r="O149" s="217"/>
      <c r="P149" s="217"/>
    </row>
    <row r="150">
      <c r="A150" s="214"/>
      <c r="B150" s="214"/>
      <c r="C150" s="214"/>
      <c r="D150" s="214"/>
      <c r="E150" s="215"/>
      <c r="F150" s="216" t="str">
        <f>IFERROR(__xludf.DUMMYFUNCTION("""COMPUTED_VALUE"""),"Outnumbered but never Outmatched")</f>
        <v>Outnumbered but never Outmatched</v>
      </c>
      <c r="G150" s="216" t="str">
        <f>IFERROR(__xludf.DUMMYFUNCTION("""COMPUTED_VALUE"""),"Swashbuckler - Swashbucker Techniques")</f>
        <v>Swashbuckler - Swashbucker Techniques</v>
      </c>
      <c r="H150" s="216" t="str">
        <f>IFERROR(__xludf.DUMMYFUNCTION("""COMPUTED_VALUE"""),"At-Will - Free Action")</f>
        <v>At-Will - Free Action</v>
      </c>
      <c r="I150" s="216" t="str">
        <f>IFERROR(__xludf.DUMMYFUNCTION("""COMPUTED_VALUE"""),"Condition: You are Flanked
Trigger: You hit a Damaging Attack against an Enemy that is Flanking you
Effect: You gain a Panache Coat.")</f>
        <v>Condition: You are Flanked
Trigger: You hit a Damaging Attack against an Enemy that is Flanking you
Effect: You gain a Panache Coat.</v>
      </c>
      <c r="J150" s="215"/>
      <c r="K150" s="217"/>
      <c r="L150" s="217"/>
      <c r="M150" s="217"/>
      <c r="N150" s="217"/>
      <c r="O150" s="217"/>
      <c r="P150" s="217"/>
    </row>
    <row r="151">
      <c r="A151" s="214"/>
      <c r="B151" s="214"/>
      <c r="C151" s="214"/>
      <c r="D151" s="214"/>
      <c r="E151" s="215"/>
      <c r="F151" s="216" t="str">
        <f>IFERROR(__xludf.DUMMYFUNCTION("""COMPUTED_VALUE"""),"Privateer's Prowess")</f>
        <v>Privateer's Prowess</v>
      </c>
      <c r="G151" s="216" t="str">
        <f>IFERROR(__xludf.DUMMYFUNCTION("""COMPUTED_VALUE"""),"Swashbuckler - Swashbucker Techniques")</f>
        <v>Swashbuckler - Swashbucker Techniques</v>
      </c>
      <c r="H151" s="216" t="str">
        <f>IFERROR(__xludf.DUMMYFUNCTION("""COMPUTED_VALUE"""),"Static")</f>
        <v>Static</v>
      </c>
      <c r="I151" s="216" t="str">
        <f>IFERROR(__xludf.DUMMYFUNCTION("""COMPUTED_VALUE"""),"Effect: Choose two Swashbuckler Skills to increase to the next Skill Rank, if you meet the prerequisites for that Rank.")</f>
        <v>Effect: Choose two Swashbuckler Skills to increase to the next Skill Rank, if you meet the prerequisites for that Rank.</v>
      </c>
      <c r="J151" s="215"/>
      <c r="K151" s="217"/>
      <c r="L151" s="217"/>
      <c r="M151" s="217"/>
      <c r="N151" s="217"/>
      <c r="O151" s="217"/>
      <c r="P151" s="217"/>
    </row>
    <row r="152">
      <c r="A152" s="214"/>
      <c r="B152" s="214"/>
      <c r="C152" s="214"/>
      <c r="D152" s="214"/>
      <c r="E152" s="215"/>
      <c r="F152" s="216" t="str">
        <f>IFERROR(__xludf.DUMMYFUNCTION("""COMPUTED_VALUE"""),"Stylish Attack")</f>
        <v>Stylish Attack</v>
      </c>
      <c r="G152" s="216" t="str">
        <f>IFERROR(__xludf.DUMMYFUNCTION("""COMPUTED_VALUE"""),"Swashbuckler - Swashbucker Techniques")</f>
        <v>Swashbuckler - Swashbucker Techniques</v>
      </c>
      <c r="H152" s="216" t="str">
        <f>IFERROR(__xludf.DUMMYFUNCTION("""COMPUTED_VALUE"""),"At-Will - Swift Action")</f>
        <v>At-Will - Swift Action</v>
      </c>
      <c r="I152" s="216" t="str">
        <f>IFERROR(__xludf.DUMMYFUNCTION("""COMPUTED_VALUE"""),"Trigger: You hit a Damaging Attack against an Enemy that is Flanked, Vulnerable or Unaware of your presence
Effect: You gain a Panache Coat after the Triggering Attack resolves.")</f>
        <v>Trigger: You hit a Damaging Attack against an Enemy that is Flanked, Vulnerable or Unaware of your presence
Effect: You gain a Panache Coat after the Triggering Attack resolves.</v>
      </c>
      <c r="J152" s="215"/>
      <c r="K152" s="217"/>
      <c r="L152" s="217"/>
      <c r="M152" s="217"/>
      <c r="N152" s="217"/>
      <c r="O152" s="217"/>
      <c r="P152" s="217"/>
    </row>
    <row r="153">
      <c r="A153" s="214"/>
      <c r="B153" s="214"/>
      <c r="C153" s="214"/>
      <c r="D153" s="214"/>
      <c r="E153" s="215"/>
      <c r="F153" s="216" t="str">
        <f>IFERROR(__xludf.DUMMYFUNCTION("""COMPUTED_VALUE"""),"Victorious Bravado")</f>
        <v>Victorious Bravado</v>
      </c>
      <c r="G153" s="216" t="str">
        <f>IFERROR(__xludf.DUMMYFUNCTION("""COMPUTED_VALUE"""),"Swashbuckler - Swashbucker Techniques")</f>
        <v>Swashbuckler - Swashbucker Techniques</v>
      </c>
      <c r="H153" s="216" t="str">
        <f>IFERROR(__xludf.DUMMYFUNCTION("""COMPUTED_VALUE"""),"At-Will - Free Action")</f>
        <v>At-Will - Free Action</v>
      </c>
      <c r="I153" s="216" t="str">
        <f>IFERROR(__xludf.DUMMYFUNCTION("""COMPUTED_VALUE"""),"Trigger: An Enemy faints
Effect: You gain a Panache Coat. If you already have one, you instead gain +1 CS in a Stat of your choice or a Tick of Temporary Hit Points")</f>
        <v>Trigger: An Enemy faints
Effect: You gain a Panache Coat. If you already have one, you instead gain +1 CS in a Stat of your choice or a Tick of Temporary Hit Points</v>
      </c>
      <c r="J153" s="215"/>
      <c r="K153" s="217"/>
      <c r="L153" s="217"/>
      <c r="M153" s="217"/>
      <c r="N153" s="217"/>
      <c r="O153" s="217"/>
      <c r="P153" s="217"/>
    </row>
    <row r="154">
      <c r="A154" s="214"/>
      <c r="B154" s="214"/>
      <c r="C154" s="214"/>
      <c r="D154" s="214"/>
      <c r="E154" s="215"/>
      <c r="F154" s="216" t="str">
        <f>IFERROR(__xludf.DUMMYFUNCTION("""COMPUTED_VALUE"""),"Immunity Module")</f>
        <v>Immunity Module</v>
      </c>
      <c r="G154" s="216" t="str">
        <f>IFERROR(__xludf.DUMMYFUNCTION("""COMPUTED_VALUE"""),"Jailbreaker - Pokeball Modifications")</f>
        <v>Jailbreaker - Pokeball Modifications</v>
      </c>
      <c r="H154" s="216" t="str">
        <f>IFERROR(__xludf.DUMMYFUNCTION("""COMPUTED_VALUE"""),"Static")</f>
        <v>Static</v>
      </c>
      <c r="I154" s="216" t="str">
        <f>IFERROR(__xludf.DUMMYFUNCTION("""COMPUTED_VALUE"""),"When this Modification is bound or as an Extended Action, choose a Status Affliction for the Pokemon to become Immune to.")</f>
        <v>When this Modification is bound or as an Extended Action, choose a Status Affliction for the Pokemon to become Immune to.</v>
      </c>
      <c r="J154" s="215"/>
      <c r="K154" s="217"/>
      <c r="L154" s="217"/>
      <c r="M154" s="217"/>
      <c r="N154" s="217"/>
      <c r="O154" s="217"/>
      <c r="P154" s="217"/>
    </row>
    <row r="155">
      <c r="A155" s="214"/>
      <c r="B155" s="214"/>
      <c r="C155" s="214"/>
      <c r="D155" s="214"/>
      <c r="E155" s="215"/>
      <c r="F155" s="216" t="str">
        <f>IFERROR(__xludf.DUMMYFUNCTION("""COMPUTED_VALUE"""),"Power Module")</f>
        <v>Power Module</v>
      </c>
      <c r="G155" s="216" t="str">
        <f>IFERROR(__xludf.DUMMYFUNCTION("""COMPUTED_VALUE"""),"Jailbreaker - Pokeball Modifications")</f>
        <v>Jailbreaker - Pokeball Modifications</v>
      </c>
      <c r="H155" s="216" t="str">
        <f>IFERROR(__xludf.DUMMYFUNCTION("""COMPUTED_VALUE"""),"Static")</f>
        <v>Static</v>
      </c>
      <c r="I155" s="216" t="str">
        <f>IFERROR(__xludf.DUMMYFUNCTION("""COMPUTED_VALUE"""),"Once per Round if they were to have a Combat Stage increased, increase it by +1 more")</f>
        <v>Once per Round if they were to have a Combat Stage increased, increase it by +1 more</v>
      </c>
      <c r="J155" s="215"/>
      <c r="K155" s="217"/>
      <c r="L155" s="217"/>
      <c r="M155" s="217"/>
      <c r="N155" s="217"/>
      <c r="O155" s="217"/>
      <c r="P155" s="217"/>
    </row>
    <row r="156">
      <c r="A156" s="214"/>
      <c r="B156" s="214"/>
      <c r="C156" s="214"/>
      <c r="D156" s="214"/>
      <c r="E156" s="215"/>
      <c r="F156" s="216" t="str">
        <f>IFERROR(__xludf.DUMMYFUNCTION("""COMPUTED_VALUE"""),"Recovery Module")</f>
        <v>Recovery Module</v>
      </c>
      <c r="G156" s="216" t="str">
        <f>IFERROR(__xludf.DUMMYFUNCTION("""COMPUTED_VALUE"""),"Jailbreaker - Pokeball Modifications")</f>
        <v>Jailbreaker - Pokeball Modifications</v>
      </c>
      <c r="H156" s="216" t="str">
        <f>IFERROR(__xludf.DUMMYFUNCTION("""COMPUTED_VALUE"""),"Static")</f>
        <v>Static</v>
      </c>
      <c r="I156" s="216" t="str">
        <f>IFERROR(__xludf.DUMMYFUNCTION("""COMPUTED_VALUE"""),"At the end of the Pokemon’s Turn, they recover a Tick of Hit Points. They also have a bonus to Save Checks equal to your Tier Level. ")</f>
        <v>At the end of the Pokemon’s Turn, they recover a Tick of Hit Points. They also have a bonus to Save Checks equal to your Tier Level. </v>
      </c>
      <c r="J156" s="215"/>
      <c r="K156" s="217"/>
      <c r="L156" s="217"/>
      <c r="M156" s="217"/>
      <c r="N156" s="217"/>
      <c r="O156" s="217"/>
      <c r="P156" s="217"/>
    </row>
    <row r="157">
      <c r="A157" s="214"/>
      <c r="B157" s="214"/>
      <c r="C157" s="214"/>
      <c r="D157" s="214"/>
      <c r="E157" s="215"/>
      <c r="F157" s="216" t="str">
        <f>IFERROR(__xludf.DUMMYFUNCTION("""COMPUTED_VALUE"""),"Resistance Module")</f>
        <v>Resistance Module</v>
      </c>
      <c r="G157" s="216" t="str">
        <f>IFERROR(__xludf.DUMMYFUNCTION("""COMPUTED_VALUE"""),"Jailbreaker - Pokeball Modifications")</f>
        <v>Jailbreaker - Pokeball Modifications</v>
      </c>
      <c r="H157" s="216" t="str">
        <f>IFERROR(__xludf.DUMMYFUNCTION("""COMPUTED_VALUE"""),"Static")</f>
        <v>Static</v>
      </c>
      <c r="I157" s="216" t="str">
        <f>IFERROR(__xludf.DUMMYFUNCTION("""COMPUTED_VALUE"""),"When this Modification is bound or as an Extended Action, choose a Type for the Pokemon to resist by an additional damage step.")</f>
        <v>When this Modification is bound or as an Extended Action, choose a Type for the Pokemon to resist by an additional damage step.</v>
      </c>
      <c r="J157" s="215"/>
      <c r="K157" s="217"/>
      <c r="L157" s="217"/>
      <c r="M157" s="217"/>
      <c r="N157" s="217"/>
      <c r="O157" s="217"/>
      <c r="P157" s="217"/>
    </row>
    <row r="158">
      <c r="A158" s="214"/>
      <c r="B158" s="214"/>
      <c r="C158" s="214"/>
      <c r="D158" s="214"/>
      <c r="E158" s="215"/>
      <c r="F158" s="216" t="str">
        <f>IFERROR(__xludf.DUMMYFUNCTION("""COMPUTED_VALUE"""),"Amplified Sorcery")</f>
        <v>Amplified Sorcery</v>
      </c>
      <c r="G158" s="216" t="str">
        <f>IFERROR(__xludf.DUMMYFUNCTION("""COMPUTED_VALUE"""),"Mystic - Mystic Techniques")</f>
        <v>Mystic - Mystic Techniques</v>
      </c>
      <c r="H158" s="216" t="str">
        <f>IFERROR(__xludf.DUMMYFUNCTION("""COMPUTED_VALUE"""),"Static")</f>
        <v>Static</v>
      </c>
      <c r="I158" s="216" t="str">
        <f>IFERROR(__xludf.DUMMYFUNCTION("""COMPUTED_VALUE"""),"Effect: The Attack’s area of Effect is increased by +1. If it is 1-Target, it instead becomes Ranged Blast 2. ")</f>
        <v>Effect: The Attack’s area of Effect is increased by +1. If it is 1-Target, it instead becomes Ranged Blast 2. </v>
      </c>
      <c r="J158" s="215"/>
      <c r="K158" s="217"/>
      <c r="L158" s="217"/>
      <c r="M158" s="217"/>
      <c r="N158" s="217"/>
      <c r="O158" s="217"/>
      <c r="P158" s="217"/>
    </row>
    <row r="159">
      <c r="A159" s="214"/>
      <c r="B159" s="214"/>
      <c r="C159" s="214"/>
      <c r="D159" s="214"/>
      <c r="E159" s="215"/>
      <c r="F159" s="216" t="str">
        <f>IFERROR(__xludf.DUMMYFUNCTION("""COMPUTED_VALUE"""),"Berserk Blast")</f>
        <v>Berserk Blast</v>
      </c>
      <c r="G159" s="216" t="str">
        <f>IFERROR(__xludf.DUMMYFUNCTION("""COMPUTED_VALUE"""),"Mystic - Mystic Techniques")</f>
        <v>Mystic - Mystic Techniques</v>
      </c>
      <c r="H159" s="216" t="str">
        <f>IFERROR(__xludf.DUMMYFUNCTION("""COMPUTED_VALUE"""),"Static")</f>
        <v>Static</v>
      </c>
      <c r="I159" s="216" t="str">
        <f>IFERROR(__xludf.DUMMYFUNCTION("""COMPUTED_VALUE"""),"Effect: The Triggering Attack has a bonus to Critical Hit Ranges equal to your Tier Level but its Effect Ranges are ignored. ")</f>
        <v>Effect: The Triggering Attack has a bonus to Critical Hit Ranges equal to your Tier Level but its Effect Ranges are ignored. </v>
      </c>
      <c r="J159" s="215"/>
      <c r="K159" s="217"/>
      <c r="L159" s="217"/>
      <c r="M159" s="217"/>
      <c r="N159" s="217"/>
      <c r="O159" s="217"/>
      <c r="P159" s="217"/>
    </row>
    <row r="160">
      <c r="A160" s="214"/>
      <c r="B160" s="214"/>
      <c r="C160" s="214"/>
      <c r="D160" s="214"/>
      <c r="E160" s="215"/>
      <c r="F160" s="216" t="str">
        <f>IFERROR(__xludf.DUMMYFUNCTION("""COMPUTED_VALUE"""),"Channeled Element")</f>
        <v>Channeled Element</v>
      </c>
      <c r="G160" s="216" t="str">
        <f>IFERROR(__xludf.DUMMYFUNCTION("""COMPUTED_VALUE"""),"Mystic - Mystic Techniques")</f>
        <v>Mystic - Mystic Techniques</v>
      </c>
      <c r="H160" s="216" t="str">
        <f>IFERROR(__xludf.DUMMYFUNCTION("""COMPUTED_VALUE"""),"Static")</f>
        <v>Static</v>
      </c>
      <c r="I160" s="216" t="str">
        <f>IFERROR(__xludf.DUMMYFUNCTION("""COMPUTED_VALUE"""),"Effect: Choose an adjacent willing Pokemon and one of their Types. The Triggering Attack is treated as that Type instead. The chosen Pokemon cannot apply Evasion against the next Attack that Targets them. ")</f>
        <v>Effect: Choose an adjacent willing Pokemon and one of their Types. The Triggering Attack is treated as that Type instead. The chosen Pokemon cannot apply Evasion against the next Attack that Targets them. </v>
      </c>
      <c r="J160" s="215"/>
      <c r="K160" s="217"/>
      <c r="L160" s="217"/>
      <c r="M160" s="217"/>
      <c r="N160" s="217"/>
      <c r="O160" s="217"/>
      <c r="P160" s="217"/>
    </row>
    <row r="161">
      <c r="A161" s="214"/>
      <c r="B161" s="214"/>
      <c r="C161" s="214"/>
      <c r="D161" s="214"/>
      <c r="E161" s="215"/>
      <c r="F161" s="216" t="str">
        <f>IFERROR(__xludf.DUMMYFUNCTION("""COMPUTED_VALUE"""),"Controlled Sorcery")</f>
        <v>Controlled Sorcery</v>
      </c>
      <c r="G161" s="216" t="str">
        <f>IFERROR(__xludf.DUMMYFUNCTION("""COMPUTED_VALUE"""),"Mystic - Mystic Techniques")</f>
        <v>Mystic - Mystic Techniques</v>
      </c>
      <c r="H161" s="216" t="str">
        <f>IFERROR(__xludf.DUMMYFUNCTION("""COMPUTED_VALUE"""),"Static")</f>
        <v>Static</v>
      </c>
      <c r="I161" s="216" t="str">
        <f>IFERROR(__xludf.DUMMYFUNCTION("""COMPUTED_VALUE"""),"Effect: The Triggering Attack gains the Friendly Keyword but it cannot deal Super Effective Damage via Type Effectiveness. ")</f>
        <v>Effect: The Triggering Attack gains the Friendly Keyword but it cannot deal Super Effective Damage via Type Effectiveness. </v>
      </c>
      <c r="J161" s="215"/>
      <c r="K161" s="217"/>
      <c r="L161" s="217"/>
      <c r="M161" s="217"/>
      <c r="N161" s="217"/>
      <c r="O161" s="217"/>
      <c r="P161" s="217"/>
    </row>
    <row r="162">
      <c r="A162" s="214"/>
      <c r="B162" s="214"/>
      <c r="C162" s="214"/>
      <c r="D162" s="214"/>
      <c r="E162" s="215"/>
      <c r="F162" s="216" t="str">
        <f>IFERROR(__xludf.DUMMYFUNCTION("""COMPUTED_VALUE"""),"Fated Spark")</f>
        <v>Fated Spark</v>
      </c>
      <c r="G162" s="216" t="str">
        <f>IFERROR(__xludf.DUMMYFUNCTION("""COMPUTED_VALUE"""),"Mystic - Mystic Techniques")</f>
        <v>Mystic - Mystic Techniques</v>
      </c>
      <c r="H162" s="216" t="str">
        <f>IFERROR(__xludf.DUMMYFUNCTION("""COMPUTED_VALUE"""),"Static")</f>
        <v>Static</v>
      </c>
      <c r="I162" s="216" t="str">
        <f>IFERROR(__xludf.DUMMYFUNCTION("""COMPUTED_VALUE"""),"Effect: The Triggering Attack cannot be Intercepted, Riposted, and Targets cannot Trigger any Effect that would cause them to resist the Triggering Attack or cause it to miss. ")</f>
        <v>Effect: The Triggering Attack cannot be Intercepted, Riposted, and Targets cannot Trigger any Effect that would cause them to resist the Triggering Attack or cause it to miss. </v>
      </c>
      <c r="J162" s="215"/>
      <c r="K162" s="217"/>
      <c r="L162" s="217"/>
      <c r="M162" s="217"/>
      <c r="N162" s="217"/>
      <c r="O162" s="217"/>
      <c r="P162" s="217"/>
    </row>
    <row r="163">
      <c r="A163" s="214"/>
      <c r="B163" s="214"/>
      <c r="C163" s="214"/>
      <c r="D163" s="214"/>
      <c r="E163" s="215"/>
      <c r="F163" s="216" t="str">
        <f>IFERROR(__xludf.DUMMYFUNCTION("""COMPUTED_VALUE"""),"Serene Spirit")</f>
        <v>Serene Spirit</v>
      </c>
      <c r="G163" s="216" t="str">
        <f>IFERROR(__xludf.DUMMYFUNCTION("""COMPUTED_VALUE"""),"Mystic - Mystic Techniques")</f>
        <v>Mystic - Mystic Techniques</v>
      </c>
      <c r="H163" s="216" t="str">
        <f>IFERROR(__xludf.DUMMYFUNCTION("""COMPUTED_VALUE"""),"Static")</f>
        <v>Static</v>
      </c>
      <c r="I163" s="216" t="str">
        <f>IFERROR(__xludf.DUMMYFUNCTION("""COMPUTED_VALUE"""),"Effect: The Triggering Attack has a bonus to Effect Ranges equal to your Tier Level and is treated as having the Spirit Surge Keyword, but it cannot become a Critical Hit. ")</f>
        <v>Effect: The Triggering Attack has a bonus to Effect Ranges equal to your Tier Level and is treated as having the Spirit Surge Keyword, but it cannot become a Critical Hit. </v>
      </c>
      <c r="J163" s="215"/>
      <c r="K163" s="217"/>
      <c r="L163" s="217"/>
      <c r="M163" s="217"/>
      <c r="N163" s="217"/>
      <c r="O163" s="217"/>
      <c r="P163" s="217"/>
    </row>
    <row r="164">
      <c r="A164" s="214"/>
      <c r="B164" s="214"/>
      <c r="C164" s="214"/>
      <c r="D164" s="214"/>
      <c r="E164" s="215"/>
      <c r="F164" s="216" t="str">
        <f>IFERROR(__xludf.DUMMYFUNCTION("""COMPUTED_VALUE"""),"Warped Energy")</f>
        <v>Warped Energy</v>
      </c>
      <c r="G164" s="216" t="str">
        <f>IFERROR(__xludf.DUMMYFUNCTION("""COMPUTED_VALUE"""),"Mystic - Mystic Techniques")</f>
        <v>Mystic - Mystic Techniques</v>
      </c>
      <c r="H164" s="216" t="str">
        <f>IFERROR(__xludf.DUMMYFUNCTION("""COMPUTED_VALUE"""),"Static")</f>
        <v>Static</v>
      </c>
      <c r="I164" s="216" t="str">
        <f>IFERROR(__xludf.DUMMYFUNCTION("""COMPUTED_VALUE"""),"Effect: Targets hit by the Triggering Attack subtract their Defense during Damage calculations instead of Special Defense. ")</f>
        <v>Effect: Targets hit by the Triggering Attack subtract their Defense during Damage calculations instead of Special Defense. </v>
      </c>
      <c r="J164" s="215"/>
      <c r="K164" s="217"/>
      <c r="L164" s="217"/>
      <c r="M164" s="217"/>
      <c r="N164" s="217"/>
      <c r="O164" s="217"/>
      <c r="P164" s="217"/>
    </row>
    <row r="165">
      <c r="A165" s="214"/>
      <c r="B165" s="214"/>
      <c r="C165" s="214"/>
      <c r="D165" s="214"/>
      <c r="E165" s="215"/>
      <c r="F165" s="216" t="str">
        <f>IFERROR(__xludf.DUMMYFUNCTION("""COMPUTED_VALUE"""),"Hex of Delusion")</f>
        <v>Hex of Delusion</v>
      </c>
      <c r="G165" s="216" t="str">
        <f>IFERROR(__xludf.DUMMYFUNCTION("""COMPUTED_VALUE"""),"Hex Maniac - Witchcraft Techniques")</f>
        <v>Hex Maniac - Witchcraft Techniques</v>
      </c>
      <c r="H165" s="216" t="str">
        <f>IFERROR(__xludf.DUMMYFUNCTION("""COMPUTED_VALUE"""),"Static")</f>
        <v>Static</v>
      </c>
      <c r="I165" s="216" t="str">
        <f>IFERROR(__xludf.DUMMYFUNCTION("""COMPUTED_VALUE"""),"Effect: If the Hexed Enemy becomes Dazed, they cannot Target their Allies with Attacks or Abilities and cannot perform Bolster Maneuvers as well. Whenever they become Cursed or Suppressed, you may instead have them become Dazed.
Curse: You gain Illusionis"&amp;"t Capability for the Duration of this Curse but only the Target sees them.")</f>
        <v>Effect: If the Hexed Enemy becomes Dazed, they cannot Target their Allies with Attacks or Abilities and cannot perform Bolster Maneuvers as well. Whenever they become Cursed or Suppressed, you may instead have them become Dazed.
Curse: You gain Illusionist Capability for the Duration of this Curse but only the Target sees them.</v>
      </c>
      <c r="J165" s="215"/>
      <c r="K165" s="217"/>
      <c r="L165" s="217"/>
      <c r="M165" s="217"/>
      <c r="N165" s="217"/>
      <c r="O165" s="217"/>
      <c r="P165" s="217"/>
    </row>
    <row r="166">
      <c r="A166" s="214"/>
      <c r="B166" s="214"/>
      <c r="C166" s="214"/>
      <c r="D166" s="214"/>
      <c r="E166" s="215"/>
      <c r="F166" s="216" t="str">
        <f>IFERROR(__xludf.DUMMYFUNCTION("""COMPUTED_VALUE"""),"Hex of Enchantment")</f>
        <v>Hex of Enchantment</v>
      </c>
      <c r="G166" s="216" t="str">
        <f>IFERROR(__xludf.DUMMYFUNCTION("""COMPUTED_VALUE"""),"Hex Maniac - Witchcraft Techniques")</f>
        <v>Hex Maniac - Witchcraft Techniques</v>
      </c>
      <c r="H166" s="216" t="str">
        <f>IFERROR(__xludf.DUMMYFUNCTION("""COMPUTED_VALUE"""),"Static")</f>
        <v>Static</v>
      </c>
      <c r="I166" s="216" t="str">
        <f>IFERROR(__xludf.DUMMYFUNCTION("""COMPUTED_VALUE"""),"Effect: If the Hexed Enemy becomes Entranced, you’re also treated as the Fixation. If you Entrance them, you may choose an additional Fixation for them to have. Whenever they become Cursed or Suppressed, you may instead have them become Entranced.
Curse: "&amp;"You have a Boon to Charm and Guile Checks against the Target for this duration. ")</f>
        <v>Effect: If the Hexed Enemy becomes Entranced, you’re also treated as the Fixation. If you Entrance them, you may choose an additional Fixation for them to have. Whenever they become Cursed or Suppressed, you may instead have them become Entranced.
Curse: You have a Boon to Charm and Guile Checks against the Target for this duration. </v>
      </c>
      <c r="J166" s="215"/>
      <c r="K166" s="217"/>
      <c r="L166" s="217"/>
      <c r="M166" s="217"/>
      <c r="N166" s="217"/>
      <c r="O166" s="217"/>
      <c r="P166" s="217"/>
    </row>
    <row r="167">
      <c r="A167" s="214"/>
      <c r="B167" s="214"/>
      <c r="C167" s="214"/>
      <c r="D167" s="214"/>
      <c r="E167" s="215"/>
      <c r="F167" s="216" t="str">
        <f>IFERROR(__xludf.DUMMYFUNCTION("""COMPUTED_VALUE"""),"Hex of Foresight")</f>
        <v>Hex of Foresight</v>
      </c>
      <c r="G167" s="216" t="str">
        <f>IFERROR(__xludf.DUMMYFUNCTION("""COMPUTED_VALUE"""),"Hex Maniac - Witchcraft Techniques")</f>
        <v>Hex Maniac - Witchcraft Techniques</v>
      </c>
      <c r="H167" s="216" t="str">
        <f>IFERROR(__xludf.DUMMYFUNCTION("""COMPUTED_VALUE"""),"Static")</f>
        <v>Static</v>
      </c>
      <c r="I167" s="216" t="str">
        <f>IFERROR(__xludf.DUMMYFUNCTION("""COMPUTED_VALUE"""),"Effect: Whenever the Hexed Enemy would Trigger an Effect that you or your Pokemon would need to use a Reaction to activate, it instead is a Free Action. You have a bonus to evasion against the Hexed Enemy equal to your Tier Level.
Curse: For this duration"&amp;", you are treated as having the Premonition Capability but only regarding actions involving the Target. ")</f>
        <v>Effect: Whenever the Hexed Enemy would Trigger an Effect that you or your Pokemon would need to use a Reaction to activate, it instead is a Free Action. You have a bonus to evasion against the Hexed Enemy equal to your Tier Level.
Curse: For this duration, you are treated as having the Premonition Capability but only regarding actions involving the Target. </v>
      </c>
      <c r="J167" s="215"/>
      <c r="K167" s="217"/>
      <c r="L167" s="217"/>
      <c r="M167" s="217"/>
      <c r="N167" s="217"/>
      <c r="O167" s="217"/>
      <c r="P167" s="217"/>
    </row>
    <row r="168">
      <c r="A168" s="214"/>
      <c r="B168" s="214"/>
      <c r="C168" s="214"/>
      <c r="D168" s="214"/>
      <c r="E168" s="215"/>
      <c r="F168" s="216" t="str">
        <f>IFERROR(__xludf.DUMMYFUNCTION("""COMPUTED_VALUE"""),"Hex of Insight")</f>
        <v>Hex of Insight</v>
      </c>
      <c r="G168" s="216" t="str">
        <f>IFERROR(__xludf.DUMMYFUNCTION("""COMPUTED_VALUE"""),"Hex Maniac - Witchcraft Techniques")</f>
        <v>Hex Maniac - Witchcraft Techniques</v>
      </c>
      <c r="H168" s="216" t="str">
        <f>IFERROR(__xludf.DUMMYFUNCTION("""COMPUTED_VALUE"""),"Static")</f>
        <v>Static</v>
      </c>
      <c r="I168" s="216" t="str">
        <f>IFERROR(__xludf.DUMMYFUNCTION("""COMPUTED_VALUE"""),"Effect: You learn 3 facts about them from the GM which may include their knowledge of their Abilities, Attacks, Progression choices, Equipped Items, etc. This is treated as using the Analyze Maneuver.
Curse: For this duration, you are treated as having t"&amp;"he Telepath Capability but only against the Target. If used as a Downtime Action, they ignore the 10m range to the Capability. ")</f>
        <v>Effect: You learn 3 facts about them from the GM which may include their knowledge of their Abilities, Attacks, Progression choices, Equipped Items, etc. This is treated as using the Analyze Maneuver.
Curse: For this duration, you are treated as having the Telepath Capability but only against the Target. If used as a Downtime Action, they ignore the 10m range to the Capability. </v>
      </c>
      <c r="J168" s="215"/>
      <c r="K168" s="217"/>
      <c r="L168" s="217"/>
      <c r="M168" s="217"/>
      <c r="N168" s="217"/>
      <c r="O168" s="217"/>
      <c r="P168" s="217"/>
    </row>
    <row r="169">
      <c r="A169" s="214"/>
      <c r="B169" s="214"/>
      <c r="C169" s="214"/>
      <c r="D169" s="214"/>
      <c r="E169" s="215"/>
      <c r="F169" s="216" t="str">
        <f>IFERROR(__xludf.DUMMYFUNCTION("""COMPUTED_VALUE"""),"Hex of Madness")</f>
        <v>Hex of Madness</v>
      </c>
      <c r="G169" s="216" t="str">
        <f>IFERROR(__xludf.DUMMYFUNCTION("""COMPUTED_VALUE"""),"Hex Maniac - Witchcraft Techniques")</f>
        <v>Hex Maniac - Witchcraft Techniques</v>
      </c>
      <c r="H169" s="216" t="str">
        <f>IFERROR(__xludf.DUMMYFUNCTION("""COMPUTED_VALUE"""),"Static")</f>
        <v>Static</v>
      </c>
      <c r="I169" s="216" t="str">
        <f>IFERROR(__xludf.DUMMYFUNCTION("""COMPUTED_VALUE"""),"Effect: The Hexed Enemy immediately becomes Enraged, however if they are cured of the Enraged Affliction, the Hexed Coat is also removed. While they’re Enraged this way, they cannot be cured of Afflictions other than Enraged. 
Curse: The Target’s mood be"&amp;"comes much more volatile and rash for this duration")</f>
        <v>Effect: The Hexed Enemy immediately becomes Enraged, however if they are cured of the Enraged Affliction, the Hexed Coat is also removed. While they’re Enraged this way, they cannot be cured of Afflictions other than Enraged. 
Curse: The Target’s mood becomes much more volatile and rash for this duration</v>
      </c>
      <c r="J169" s="215"/>
      <c r="K169" s="217"/>
      <c r="L169" s="217"/>
      <c r="M169" s="217"/>
      <c r="N169" s="217"/>
      <c r="O169" s="217"/>
      <c r="P169" s="217"/>
    </row>
    <row r="170">
      <c r="A170" s="214"/>
      <c r="B170" s="214"/>
      <c r="C170" s="214"/>
      <c r="D170" s="214"/>
      <c r="E170" s="215"/>
      <c r="F170" s="216" t="str">
        <f>IFERROR(__xludf.DUMMYFUNCTION("""COMPUTED_VALUE"""),"Hex of Sealing")</f>
        <v>Hex of Sealing</v>
      </c>
      <c r="G170" s="216" t="str">
        <f>IFERROR(__xludf.DUMMYFUNCTION("""COMPUTED_VALUE"""),"Hex Maniac - Witchcraft Techniques")</f>
        <v>Hex Maniac - Witchcraft Techniques</v>
      </c>
      <c r="H170" s="216" t="str">
        <f>IFERROR(__xludf.DUMMYFUNCTION("""COMPUTED_VALUE"""),"Static")</f>
        <v>Static</v>
      </c>
      <c r="I170" s="216" t="str">
        <f>IFERROR(__xludf.DUMMYFUNCTION("""COMPUTED_VALUE"""),"Effect: If the Hexed Enemy becomes Suppressed, all of their Attack Frequencies are treated as one step higher (At-Will to EOT)l. Whenever they become Cursed, you may instead have them become Suppressed.
Curse: Choose a Capability you know the Target has "&amp;"to become disabled for this duration.")</f>
        <v>Effect: If the Hexed Enemy becomes Suppressed, all of their Attack Frequencies are treated as one step higher (At-Will to EOT)l. Whenever they become Cursed, you may instead have them become Suppressed.
Curse: Choose a Capability you know the Target has to become disabled for this duration.</v>
      </c>
      <c r="J170" s="215"/>
      <c r="K170" s="217"/>
      <c r="L170" s="217"/>
      <c r="M170" s="217"/>
      <c r="N170" s="217"/>
      <c r="O170" s="217"/>
      <c r="P170" s="217"/>
    </row>
    <row r="171">
      <c r="A171" s="214"/>
      <c r="B171" s="214"/>
      <c r="C171" s="214"/>
      <c r="D171" s="214"/>
      <c r="E171" s="215"/>
      <c r="F171" s="216" t="str">
        <f>IFERROR(__xludf.DUMMYFUNCTION("""COMPUTED_VALUE"""),"Hex of Weakness")</f>
        <v>Hex of Weakness</v>
      </c>
      <c r="G171" s="216" t="str">
        <f>IFERROR(__xludf.DUMMYFUNCTION("""COMPUTED_VALUE"""),"Hex Maniac - Witchcraft Techniques")</f>
        <v>Hex Maniac - Witchcraft Techniques</v>
      </c>
      <c r="H171" s="216" t="str">
        <f>IFERROR(__xludf.DUMMYFUNCTION("""COMPUTED_VALUE"""),"Static")</f>
        <v>Static</v>
      </c>
      <c r="I171" s="216" t="str">
        <f>IFERROR(__xludf.DUMMYFUNCTION("""COMPUTED_VALUE"""),"Effect: While Hexed, choose a Type they currently resist or are Immune to. They treat the Effectiveness as Neutral instead. While they’re Hexed and affected by a Mental Affliction, they are Vulnerable.   
Curse: The Target has a Bane on all Skill Check fo"&amp;"r this Duration.")</f>
        <v>Effect: While Hexed, choose a Type they currently resist or are Immune to. They treat the Effectiveness as Neutral instead. While they’re Hexed and affected by a Mental Affliction, they are Vulnerable.   
Curse: The Target has a Bane on all Skill Check for this Duration.</v>
      </c>
      <c r="J171" s="215"/>
      <c r="K171" s="217"/>
      <c r="L171" s="217"/>
      <c r="M171" s="217"/>
      <c r="N171" s="217"/>
      <c r="O171" s="217"/>
      <c r="P171" s="217"/>
    </row>
    <row r="172">
      <c r="A172" s="214"/>
      <c r="B172" s="214"/>
      <c r="C172" s="214"/>
      <c r="D172" s="214"/>
      <c r="E172" s="215"/>
      <c r="F172" s="216" t="str">
        <f>IFERROR(__xludf.DUMMYFUNCTION("""COMPUTED_VALUE"""),"Poke Assist Chart")</f>
        <v>Poke Assist Chart</v>
      </c>
      <c r="G172" s="216" t="str">
        <f>IFERROR(__xludf.DUMMYFUNCTION("""COMPUTED_VALUE"""),"Ranger - Poke Assist")</f>
        <v>Ranger - Poke Assist</v>
      </c>
      <c r="H172" s="216" t="str">
        <f>IFERROR(__xludf.DUMMYFUNCTION("""COMPUTED_VALUE"""),"At-Will -Standard Action")</f>
        <v>At-Will -Standard Action</v>
      </c>
      <c r="I172" s="216" t="str">
        <f>IFERROR(__xludf.DUMMYFUNCTION("""COMPUTED_VALUE"""),"Bug: Sticky Web or String Shot
Dark: Gash or Torment
Dragon: Draconic Roar or Primal Energy
Electric: Eerie Impulse or Thunder Wave
Fairy: Fae Blessing or Sweet Kiss
Fighting: Coaching or Concentration
Fire: Fire Wall or Will-o-Wisp
Flying: Defog o"&amp;"r Whirlwind
Ghost: Confuse Ray or Curse
Grass: Aromatherapy or Leech Seed
Ground: Dust Cloud or Sand Pit
Ice: Haze or Mist
Normal: Helping Hand or Safeguard
Poison: Poison Powder or Toxic Spikes
Psychic: Light Screen or Reflect
Rock: Crystalize or"&amp;" Stealth Rock
Steel: Iron Spikes or Metal Sound
Water: Aqua Infusion or Life Dew")</f>
        <v>Bug: Sticky Web or String Shot
Dark: Gash or Torment
Dragon: Draconic Roar or Primal Energy
Electric: Eerie Impulse or Thunder Wave
Fairy: Fae Blessing or Sweet Kiss
Fighting: Coaching or Concentration
Fire: Fire Wall or Will-o-Wisp
Flying: Defog or Whirlwind
Ghost: Confuse Ray or Curse
Grass: Aromatherapy or Leech Seed
Ground: Dust Cloud or Sand Pit
Ice: Haze or Mist
Normal: Helping Hand or Safeguard
Poison: Poison Powder or Toxic Spikes
Psychic: Light Screen or Reflect
Rock: Crystalize or Stealth Rock
Steel: Iron Spikes or Metal Sound
Water: Aqua Infusion or Life Dew</v>
      </c>
      <c r="J172" s="215"/>
      <c r="K172" s="217"/>
      <c r="L172" s="217"/>
      <c r="M172" s="217"/>
      <c r="N172" s="217"/>
      <c r="O172" s="217"/>
      <c r="P172" s="217"/>
    </row>
    <row r="173">
      <c r="A173" s="214"/>
      <c r="B173" s="214"/>
      <c r="C173" s="214"/>
      <c r="D173" s="214"/>
      <c r="E173" s="215"/>
      <c r="F173" s="216" t="str">
        <f>IFERROR(__xludf.DUMMYFUNCTION("""COMPUTED_VALUE"""),"Call of the Wild")</f>
        <v>Call of the Wild</v>
      </c>
      <c r="G173" s="216" t="str">
        <f>IFERROR(__xludf.DUMMYFUNCTION("""COMPUTED_VALUE"""),"Ranger - Ranger Training")</f>
        <v>Ranger - Ranger Training</v>
      </c>
      <c r="H173" s="216" t="str">
        <f>IFERROR(__xludf.DUMMYFUNCTION("""COMPUTED_VALUE"""),"Scene x2 - Swift Action")</f>
        <v>Scene x2 - Swift Action</v>
      </c>
      <c r="I173" s="216" t="str">
        <f>IFERROR(__xludf.DUMMYFUNCTION("""COMPUTED_VALUE"""),"Effect: You gain a random Pokemon from the nearby area as a Companion Pokemon. If you expend another usage of this Technique, then you may choose the Pokemon instead from a list of available Pokemon the GM gives you (Or the GM Approves one you ask for). T"&amp;"his Technique can also be used once per Day as a Downtime Action if you pass Poke Edu or Nature Edu Skill Check with the DC determined by how difficult it would be for this Pokemon to be nearby.")</f>
        <v>Effect: You gain a random Pokemon from the nearby area as a Companion Pokemon. If you expend another usage of this Technique, then you may choose the Pokemon instead from a list of available Pokemon the GM gives you (Or the GM Approves one you ask for). This Technique can also be used once per Day as a Downtime Action if you pass Poke Edu or Nature Edu Skill Check with the DC determined by how difficult it would be for this Pokemon to be nearby.</v>
      </c>
      <c r="J173" s="215"/>
      <c r="K173" s="217"/>
      <c r="L173" s="217"/>
      <c r="M173" s="217"/>
      <c r="N173" s="217"/>
      <c r="O173" s="217"/>
      <c r="P173" s="217"/>
    </row>
    <row r="174">
      <c r="A174" s="214"/>
      <c r="B174" s="214"/>
      <c r="C174" s="214"/>
      <c r="D174" s="214"/>
      <c r="E174" s="215"/>
      <c r="F174" s="216" t="str">
        <f>IFERROR(__xludf.DUMMYFUNCTION("""COMPUTED_VALUE"""),"Companion Link")</f>
        <v>Companion Link</v>
      </c>
      <c r="G174" s="216" t="str">
        <f>IFERROR(__xludf.DUMMYFUNCTION("""COMPUTED_VALUE"""),"Ranger - Ranger Training")</f>
        <v>Ranger - Ranger Training</v>
      </c>
      <c r="H174" s="216" t="str">
        <f>IFERROR(__xludf.DUMMYFUNCTION("""COMPUTED_VALUE"""),"Static")</f>
        <v>Static</v>
      </c>
      <c r="I174" s="216" t="str">
        <f>IFERROR(__xludf.DUMMYFUNCTION("""COMPUTED_VALUE"""),"Effect: You gain a Boon to all Skill Checks against Pokemon who share a Type with a Companion Pokemon you currently have.")</f>
        <v>Effect: You gain a Boon to all Skill Checks against Pokemon who share a Type with a Companion Pokemon you currently have.</v>
      </c>
      <c r="J174" s="215"/>
      <c r="K174" s="217"/>
      <c r="L174" s="217"/>
      <c r="M174" s="217"/>
      <c r="N174" s="217"/>
      <c r="O174" s="217"/>
      <c r="P174" s="217"/>
    </row>
    <row r="175">
      <c r="A175" s="214"/>
      <c r="B175" s="214"/>
      <c r="C175" s="214"/>
      <c r="D175" s="214"/>
      <c r="E175" s="215"/>
      <c r="F175" s="216" t="str">
        <f>IFERROR(__xludf.DUMMYFUNCTION("""COMPUTED_VALUE"""),"Field Expertise")</f>
        <v>Field Expertise</v>
      </c>
      <c r="G175" s="216" t="str">
        <f>IFERROR(__xludf.DUMMYFUNCTION("""COMPUTED_VALUE"""),"Ranger - Ranger Training")</f>
        <v>Ranger - Ranger Training</v>
      </c>
      <c r="H175" s="216" t="str">
        <f>IFERROR(__xludf.DUMMYFUNCTION("""COMPUTED_VALUE"""),"Static")</f>
        <v>Static</v>
      </c>
      <c r="I175" s="216" t="str">
        <f>IFERROR(__xludf.DUMMYFUNCTION("""COMPUTED_VALUE"""),"Effect: Choose two Ranger Skills to increase to the next Skill Rank, if you meet the prerequisites for that Rank. This Technique may be taken up to two times. ")</f>
        <v>Effect: Choose two Ranger Skills to increase to the next Skill Rank, if you meet the prerequisites for that Rank. This Technique may be taken up to two times. </v>
      </c>
      <c r="J175" s="215"/>
      <c r="K175" s="217"/>
      <c r="L175" s="217"/>
      <c r="M175" s="217"/>
      <c r="N175" s="217"/>
      <c r="O175" s="217"/>
      <c r="P175" s="217"/>
    </row>
    <row r="176">
      <c r="A176" s="214"/>
      <c r="B176" s="214"/>
      <c r="C176" s="214"/>
      <c r="D176" s="214"/>
      <c r="E176" s="215"/>
      <c r="F176" s="216" t="str">
        <f>IFERROR(__xludf.DUMMYFUNCTION("""COMPUTED_VALUE"""),"Pack Leader")</f>
        <v>Pack Leader</v>
      </c>
      <c r="G176" s="216" t="str">
        <f>IFERROR(__xludf.DUMMYFUNCTION("""COMPUTED_VALUE"""),"Ranger - Ranger Training")</f>
        <v>Ranger - Ranger Training</v>
      </c>
      <c r="H176" s="216" t="str">
        <f>IFERROR(__xludf.DUMMYFUNCTION("""COMPUTED_VALUE"""),"Static")</f>
        <v>Static</v>
      </c>
      <c r="I176" s="216" t="str">
        <f>IFERROR(__xludf.DUMMYFUNCTION("""COMPUTED_VALUE"""),"Effect: You may have a number of Companion Pokemon equal to half your highest Ranger Skill Rank instead of being limited to one. You gain the Pack Mon Capability ")</f>
        <v>Effect: You may have a number of Companion Pokemon equal to half your highest Ranger Skill Rank instead of being limited to one. You gain the Pack Mon Capability </v>
      </c>
      <c r="J176" s="215"/>
      <c r="K176" s="217"/>
      <c r="L176" s="217"/>
      <c r="M176" s="217"/>
      <c r="N176" s="217"/>
      <c r="O176" s="217"/>
      <c r="P176" s="217"/>
    </row>
    <row r="177">
      <c r="A177" s="214"/>
      <c r="B177" s="214"/>
      <c r="C177" s="214"/>
      <c r="D177" s="214"/>
      <c r="E177" s="215"/>
      <c r="F177" s="216" t="str">
        <f>IFERROR(__xludf.DUMMYFUNCTION("""COMPUTED_VALUE"""),"Partner Pokemon")</f>
        <v>Partner Pokemon</v>
      </c>
      <c r="G177" s="216" t="str">
        <f>IFERROR(__xludf.DUMMYFUNCTION("""COMPUTED_VALUE"""),"Ranger - Ranger Training")</f>
        <v>Ranger - Ranger Training</v>
      </c>
      <c r="H177" s="216" t="str">
        <f>IFERROR(__xludf.DUMMYFUNCTION("""COMPUTED_VALUE"""),"Bind 1 - Extended Action")</f>
        <v>Bind 1 - Extended Action</v>
      </c>
      <c r="I177" s="216" t="str">
        <f>IFERROR(__xludf.DUMMYFUNCTION("""COMPUTED_VALUE"""),"Target: A Pokemon you own
Effect: While this Technique is bound, the Target is considered a “Companion” for anything that would reference it but cannot lose the Companion Title. This Pokemon cannot be targeted with the Officer Feature. ")</f>
        <v>Target: A Pokemon you own
Effect: While this Technique is bound, the Target is considered a “Companion” for anything that would reference it but cannot lose the Companion Title. This Pokemon cannot be targeted with the Officer Feature. </v>
      </c>
      <c r="J177" s="215"/>
      <c r="K177" s="217"/>
      <c r="L177" s="217"/>
      <c r="M177" s="217"/>
      <c r="N177" s="217"/>
      <c r="O177" s="217"/>
      <c r="P177" s="217"/>
    </row>
    <row r="178">
      <c r="A178" s="214"/>
      <c r="B178" s="214"/>
      <c r="C178" s="214"/>
      <c r="D178" s="214"/>
      <c r="E178" s="215"/>
      <c r="F178" s="216" t="str">
        <f>IFERROR(__xludf.DUMMYFUNCTION("""COMPUTED_VALUE"""),"Ranger Leadership")</f>
        <v>Ranger Leadership</v>
      </c>
      <c r="G178" s="216" t="str">
        <f>IFERROR(__xludf.DUMMYFUNCTION("""COMPUTED_VALUE"""),"Ranger - Ranger Training")</f>
        <v>Ranger - Ranger Training</v>
      </c>
      <c r="H178" s="216" t="str">
        <f>IFERROR(__xludf.DUMMYFUNCTION("""COMPUTED_VALUE"""),"Static")</f>
        <v>Static</v>
      </c>
      <c r="I178" s="216" t="str">
        <f>IFERROR(__xludf.DUMMYFUNCTION("""COMPUTED_VALUE"""),"Effect: You may use Basic Orders as if the Trigger was “An Allied Pokemon” instead of “Your Pokemon”. ")</f>
        <v>Effect: You may use Basic Orders as if the Trigger was “An Allied Pokemon” instead of “Your Pokemon”. </v>
      </c>
      <c r="J178" s="215"/>
      <c r="K178" s="217"/>
      <c r="L178" s="217"/>
      <c r="M178" s="217"/>
      <c r="N178" s="217"/>
      <c r="O178" s="217"/>
      <c r="P178" s="217"/>
    </row>
    <row r="179">
      <c r="A179" s="214"/>
      <c r="B179" s="214"/>
      <c r="C179" s="214"/>
      <c r="D179" s="214"/>
      <c r="E179" s="215"/>
      <c r="F179" s="216" t="str">
        <f>IFERROR(__xludf.DUMMYFUNCTION("""COMPUTED_VALUE"""),"Wild Commander")</f>
        <v>Wild Commander</v>
      </c>
      <c r="G179" s="216" t="str">
        <f>IFERROR(__xludf.DUMMYFUNCTION("""COMPUTED_VALUE"""),"Ranger - Ranger Training")</f>
        <v>Ranger - Ranger Training</v>
      </c>
      <c r="H179" s="216" t="str">
        <f>IFERROR(__xludf.DUMMYFUNCTION("""COMPUTED_VALUE"""),"Scene x2 - Free Action")</f>
        <v>Scene x2 - Free Action</v>
      </c>
      <c r="I179" s="216" t="str">
        <f>IFERROR(__xludf.DUMMYFUNCTION("""COMPUTED_VALUE"""),"Effect: You may use Poke Assist as if it were a Swift Action this Turn, however you must select an Attack with the Swift Action or Versatile Keyword and it is used with that Effect. After the Attack resolves, unless you have the Officer Feature, the chose"&amp;"n Companion Pokemon loses the Companion Title. ")</f>
        <v>Effect: You may use Poke Assist as if it were a Swift Action this Turn, however you must select an Attack with the Swift Action or Versatile Keyword and it is used with that Effect. After the Attack resolves, unless you have the Officer Feature, the chosen Companion Pokemon loses the Companion Title. </v>
      </c>
      <c r="J179" s="215"/>
      <c r="K179" s="217"/>
      <c r="L179" s="217"/>
      <c r="M179" s="217"/>
      <c r="N179" s="217"/>
      <c r="O179" s="217"/>
      <c r="P179" s="217"/>
    </row>
    <row r="180">
      <c r="A180" s="214"/>
      <c r="B180" s="214"/>
      <c r="C180" s="214"/>
      <c r="D180" s="214"/>
      <c r="E180" s="215"/>
      <c r="F180" s="216" t="str">
        <f>IFERROR(__xludf.DUMMYFUNCTION("""COMPUTED_VALUE"""),"Wilderness Bond")</f>
        <v>Wilderness Bond</v>
      </c>
      <c r="G180" s="216" t="str">
        <f>IFERROR(__xludf.DUMMYFUNCTION("""COMPUTED_VALUE"""),"Ranger - Ranger Training")</f>
        <v>Ranger - Ranger Training</v>
      </c>
      <c r="H180" s="216" t="str">
        <f>IFERROR(__xludf.DUMMYFUNCTION("""COMPUTED_VALUE"""),"Static")</f>
        <v>Static</v>
      </c>
      <c r="I180" s="216" t="str">
        <f>IFERROR(__xludf.DUMMYFUNCTION("""COMPUTED_VALUE"""),"Effect: You gain the Wild Companion Talent. If you already have the Talent or gain it in the Future, you may use any Ranger Skill instead of just Nature Edu for it. You also gain the Empath Capability but it only applies to Pokemon.")</f>
        <v>Effect: You gain the Wild Companion Talent. If you already have the Talent or gain it in the Future, you may use any Ranger Skill instead of just Nature Edu for it. You also gain the Empath Capability but it only applies to Pokemon.</v>
      </c>
      <c r="J180" s="215"/>
      <c r="K180" s="217"/>
      <c r="L180" s="217"/>
      <c r="M180" s="217"/>
      <c r="N180" s="217"/>
      <c r="O180" s="217"/>
      <c r="P180" s="217"/>
    </row>
    <row r="181">
      <c r="A181" s="214"/>
      <c r="B181" s="214"/>
      <c r="C181" s="214"/>
      <c r="D181" s="214"/>
      <c r="E181" s="215"/>
      <c r="F181" s="216" t="str">
        <f>IFERROR(__xludf.DUMMYFUNCTION("""COMPUTED_VALUE"""),"Companion Attack Chart")</f>
        <v>Companion Attack Chart</v>
      </c>
      <c r="G181" s="216" t="str">
        <f>IFERROR(__xludf.DUMMYFUNCTION("""COMPUTED_VALUE"""),"Officer - Assisting Strikes")</f>
        <v>Officer - Assisting Strikes</v>
      </c>
      <c r="H181" s="216" t="str">
        <f>IFERROR(__xludf.DUMMYFUNCTION("""COMPUTED_VALUE"""),"At-Will - Standard Action")</f>
        <v>At-Will - Standard Action</v>
      </c>
      <c r="I181" s="216" t="str">
        <f>IFERROR(__xludf.DUMMYFUNCTION("""COMPUTED_VALUE"""),"Bug: Fury Cutter (T1), Struggle Bug (T1), Lunge (T2), Signal Beam (T2), Megahorn (T3), Silver Cyclone (T3)
Dark: Bite (T1), Dark Waves (T1), Night Slash (T2), Dark Pulse (T2), Punishment (T3) Shadow Bolt (T3)
Dragon: Dragon Dash (T1), Dragon Breath (T1), "&amp;"Dragon Claw (T2), Breath Blast (T2), Dragon Dash (T3), Draco Meteor (T3)
Electric: Static Jolt (T1), Thunder Shock (T1), Thunder Punch (T2), Thunderbolt  (T2), Plasma Tail (T3) Thunder (T3)
Fairy: Snuggle (T1), Fairy Wind (T1), Play Rough (T2), Dazzling G"&amp;"leam (T2),  Sparkling Slam (T3), Moonblast (T3)
Fighting: Karate Chop (T1), Vacuum Wave (T1), Brick Break (T2), Aura Blast (T2), Close Combat (T3), Focus Blast (T3)  
Fire: Fire Claw (T1), Ember (T1), Fire Punch (T2), Flamethrower (T2), Flare Blitz (T3), "&amp;"Fire Blast (T3)
Flying: Peck (T1), Gust (T1), Drill Peck (T2), Air Slash (T2), Brave Bird (T3), Hurricane (T3)
Ghost: Shadow Sneak (T1), Haunted Breeze (T1), Shadow Claw (T2), Shadow Ball (T2), Wrathful Blitz (T3), Spectral Storm (T3)
Grass: Leafage (T1),"&amp;" Absorb (T1), Seed Bomb (T2), Energy Ball (T2), Power Whip (T3), Leaf Storm (T3)
Ground: Earth Shard (T1), Mud Hurl (T1), Drill Run (T2), Quicksand (T2), Earthquake (T3), Moving Soil (T3)
Ice: Ice Shard (T1), Powder Snow (T1), Ice Punch (T2), Ice Beam (T2"&amp;"), Arctic Quake (T3), Blizzard (T3)
Normal: Tackle (T1), Starbeam (T1), Take Down (T2), Swift (T2), Giga Impact (T3), Hyper Beam (T3)
Poison: Poison Dart (T1), Acid (T1), Cross Poison (T2), Sludge Bomb (T2), Gunk Shot (T3), Sludge Wave (T3)
Psychic: Force"&amp;" Dash (T1), Confusion (T1), Force Punch (T2), Psychic (T2), Mind Flay (T3), Psycho Boost (T3)
Rock: Rock Throw  (T1), Stygian Stone (T1),  Rock Slide (T2), Gleaming Ore (T2), Stone Edge (T3), Crystal Cyclone (T3)
Steel: Bullet Punch (T1), Alloy Beam (T1),"&amp;" Iron Head (T2), Flash Cannon (T2), Iron Tail (T3), Steel Beam (T3)
Water: Aqua Jet (T1), Water Gun (T1), Waterfall (T2), Bubblebeam (T2), Riptide (T3), Hydro Pump (T3)")</f>
        <v>Bug: Fury Cutter (T1), Struggle Bug (T1), Lunge (T2), Signal Beam (T2), Megahorn (T3), Silver Cyclone (T3)
Dark: Bite (T1), Dark Waves (T1), Night Slash (T2), Dark Pulse (T2), Punishment (T3) Shadow Bolt (T3)
Dragon: Dragon Dash (T1), Dragon Breath (T1), Dragon Claw (T2), Breath Blast (T2), Dragon Dash (T3), Draco Meteor (T3)
Electric: Static Jolt (T1), Thunder Shock (T1), Thunder Punch (T2), Thunderbolt  (T2), Plasma Tail (T3) Thunder (T3)
Fairy: Snuggle (T1), Fairy Wind (T1), Play Rough (T2), Dazzling Gleam (T2),  Sparkling Slam (T3), Moonblast (T3)
Fighting: Karate Chop (T1), Vacuum Wave (T1), Brick Break (T2), Aura Blast (T2), Close Combat (T3), Focus Blast (T3)  
Fire: Fire Claw (T1), Ember (T1), Fire Punch (T2), Flamethrower (T2), Flare Blitz (T3), Fire Blast (T3)
Flying: Peck (T1), Gust (T1), Drill Peck (T2), Air Slash (T2), Brave Bird (T3), Hurricane (T3)
Ghost: Shadow Sneak (T1), Haunted Breeze (T1), Shadow Claw (T2), Shadow Ball (T2), Wrathful Blitz (T3), Spectral Storm (T3)
Grass: Leafage (T1), Absorb (T1), Seed Bomb (T2), Energy Ball (T2), Power Whip (T3), Leaf Storm (T3)
Ground: Earth Shard (T1), Mud Hurl (T1), Drill Run (T2), Quicksand (T2), Earthquake (T3), Moving Soil (T3)
Ice: Ice Shard (T1), Powder Snow (T1), Ice Punch (T2), Ice Beam (T2), Arctic Quake (T3), Blizzard (T3)
Normal: Tackle (T1), Starbeam (T1), Take Down (T2), Swift (T2), Giga Impact (T3), Hyper Beam (T3)
Poison: Poison Dart (T1), Acid (T1), Cross Poison (T2), Sludge Bomb (T2), Gunk Shot (T3), Sludge Wave (T3)
Psychic: Force Dash (T1), Confusion (T1), Force Punch (T2), Psychic (T2), Mind Flay (T3), Psycho Boost (T3)
Rock: Rock Throw  (T1), Stygian Stone (T1),  Rock Slide (T2), Gleaming Ore (T2), Stone Edge (T3), Crystal Cyclone (T3)
Steel: Bullet Punch (T1), Alloy Beam (T1), Iron Head (T2), Flash Cannon (T2), Iron Tail (T3), Steel Beam (T3)
Water: Aqua Jet (T1), Water Gun (T1), Waterfall (T2), Bubblebeam (T2), Riptide (T3), Hydro Pump (T3)</v>
      </c>
      <c r="J181" s="215"/>
      <c r="K181" s="217"/>
      <c r="L181" s="217"/>
      <c r="M181" s="217"/>
      <c r="N181" s="217"/>
      <c r="O181" s="217"/>
      <c r="P181" s="217"/>
    </row>
    <row r="182">
      <c r="A182" s="214"/>
      <c r="B182" s="214"/>
      <c r="C182" s="214"/>
      <c r="D182" s="214"/>
      <c r="E182" s="215"/>
      <c r="F182" s="216" t="str">
        <f>IFERROR(__xludf.DUMMYFUNCTION("""COMPUTED_VALUE"""),"Aggression Nullifier")</f>
        <v>Aggression Nullifier</v>
      </c>
      <c r="G182" s="216" t="str">
        <f>IFERROR(__xludf.DUMMYFUNCTION("""COMPUTED_VALUE"""),"Operator - Activate Module!")</f>
        <v>Operator - Activate Module!</v>
      </c>
      <c r="H182" s="216" t="str">
        <f>IFERROR(__xludf.DUMMYFUNCTION("""COMPUTED_VALUE"""),"Static")</f>
        <v>Static</v>
      </c>
      <c r="I182" s="216" t="str">
        <f>IFERROR(__xludf.DUMMYFUNCTION("""COMPUTED_VALUE"""),"Effect: Whenever you succeed a Skill Check for the Pacify action on your Ranger Styler, their Damaging Attacks next Turn are treated as Resisted instead of resisted by an additional damage step and ignore Type Effectiveness. If you have the Advanced Modul"&amp;"e Feature, their Attack and Special Attack are also lowered by -2 CS, or -1 CS if used as a Swift Action")</f>
        <v>Effect: Whenever you succeed a Skill Check for the Pacify action on your Ranger Styler, their Damaging Attacks next Turn are treated as Resisted instead of resisted by an additional damage step and ignore Type Effectiveness. If you have the Advanced Module Feature, their Attack and Special Attack are also lowered by -2 CS, or -1 CS if used as a Swift Action</v>
      </c>
      <c r="J182" s="215"/>
      <c r="K182" s="217"/>
      <c r="L182" s="217"/>
      <c r="M182" s="217"/>
      <c r="N182" s="217"/>
      <c r="O182" s="217"/>
      <c r="P182" s="217"/>
    </row>
    <row r="183">
      <c r="A183" s="214"/>
      <c r="B183" s="214"/>
      <c r="C183" s="214"/>
      <c r="D183" s="214"/>
      <c r="E183" s="215"/>
      <c r="F183" s="216" t="str">
        <f>IFERROR(__xludf.DUMMYFUNCTION("""COMPUTED_VALUE"""),"Effect: Whenever you succeed a Skill check for the Restrain action on your Ranger Styler, the Target also becomes Slowed. If you have the Advanced Module Feature, the Slowed Affliction cannot be cured until the end of their next Turn.")</f>
        <v>Effect: Whenever you succeed a Skill check for the Restrain action on your Ranger Styler, the Target also becomes Slowed. If you have the Advanced Module Feature, the Slowed Affliction cannot be cured until the end of their next Turn.</v>
      </c>
      <c r="G183" s="216" t="str">
        <f>IFERROR(__xludf.DUMMYFUNCTION("""COMPUTED_VALUE"""),"Operator - Activate Module!")</f>
        <v>Operator - Activate Module!</v>
      </c>
      <c r="H183" s="216" t="str">
        <f>IFERROR(__xludf.DUMMYFUNCTION("""COMPUTED_VALUE"""),"Static")</f>
        <v>Static</v>
      </c>
      <c r="I183" s="216" t="str">
        <f>IFERROR(__xludf.DUMMYFUNCTION("""COMPUTED_VALUE"""),"Effect: Whenever you succeed a Skill check for the Restrain action on your Ranger Styler, the Target also becomes Slowed. If you have the Advanced Module Feature, the Slowed Affliction cannot be cured during their next Turn. ")</f>
        <v>Effect: Whenever you succeed a Skill check for the Restrain action on your Ranger Styler, the Target also becomes Slowed. If you have the Advanced Module Feature, the Slowed Affliction cannot be cured during their next Turn. </v>
      </c>
      <c r="J183" s="215"/>
      <c r="K183" s="217"/>
      <c r="L183" s="217"/>
      <c r="M183" s="217"/>
      <c r="N183" s="217"/>
      <c r="O183" s="217"/>
      <c r="P183" s="217"/>
    </row>
    <row r="184">
      <c r="A184" s="214"/>
      <c r="B184" s="214"/>
      <c r="C184" s="214"/>
      <c r="D184" s="214"/>
      <c r="E184" s="215"/>
      <c r="F184" s="216" t="str">
        <f>IFERROR(__xludf.DUMMYFUNCTION("""COMPUTED_VALUE"""),"Energy Amplifier")</f>
        <v>Energy Amplifier</v>
      </c>
      <c r="G184" s="216" t="str">
        <f>IFERROR(__xludf.DUMMYFUNCTION("""COMPUTED_VALUE"""),"Operator - Activate Module!")</f>
        <v>Operator - Activate Module!</v>
      </c>
      <c r="H184" s="216" t="str">
        <f>IFERROR(__xludf.DUMMYFUNCTION("""COMPUTED_VALUE"""),"Static")</f>
        <v>Static</v>
      </c>
      <c r="I184" s="216" t="str">
        <f>IFERROR(__xludf.DUMMYFUNCTION("""COMPUTED_VALUE"""),"Effect: While this Mod is active you gain the Helping Hand and Coaching Attack. If you have the Advanced Module Feature, you also gain the Moral Support and Heal Bell Attack. ")</f>
        <v>Effect: While this Mod is active you gain the Helping Hand and Coaching Attack. If you have the Advanced Module Feature, you also gain the Moral Support and Heal Bell Attack. </v>
      </c>
      <c r="J184" s="215"/>
      <c r="K184" s="217"/>
      <c r="L184" s="217"/>
      <c r="M184" s="217"/>
      <c r="N184" s="217"/>
      <c r="O184" s="217"/>
      <c r="P184" s="217"/>
    </row>
    <row r="185">
      <c r="A185" s="214"/>
      <c r="B185" s="214"/>
      <c r="C185" s="214"/>
      <c r="D185" s="214"/>
      <c r="E185" s="215"/>
      <c r="F185" s="216" t="str">
        <f>IFERROR(__xludf.DUMMYFUNCTION("""COMPUTED_VALUE"""),"Field Disruptor")</f>
        <v>Field Disruptor</v>
      </c>
      <c r="G185" s="216" t="str">
        <f>IFERROR(__xludf.DUMMYFUNCTION("""COMPUTED_VALUE"""),"Operator - Activate Module!")</f>
        <v>Operator - Activate Module!</v>
      </c>
      <c r="H185" s="216" t="str">
        <f>IFERROR(__xludf.DUMMYFUNCTION("""COMPUTED_VALUE"""),"Static")</f>
        <v>Static</v>
      </c>
      <c r="I185" s="216" t="str">
        <f>IFERROR(__xludf.DUMMYFUNCTION("""COMPUTED_VALUE"""),"Effect: Your Styler gains an additional Effect it can apply. 
» Disrupt - Choose a Maneuver, Attack you’ve seen the Target use, or an Ability you’ve seen the Target use. They cannot use it during their next Turn. If you have the Advanced Module Feature, "&amp;"it instead becomes Disabled. ")</f>
        <v>Effect: Your Styler gains an additional Effect it can apply. 
» Disrupt - Choose a Maneuver, Attack you’ve seen the Target use, or an Ability you’ve seen the Target use. They cannot use it during their next Turn. If you have the Advanced Module Feature, it instead becomes Disabled. </v>
      </c>
      <c r="J185" s="215"/>
      <c r="K185" s="217"/>
      <c r="L185" s="217"/>
      <c r="M185" s="217"/>
      <c r="N185" s="217"/>
      <c r="O185" s="217"/>
      <c r="P185" s="217"/>
    </row>
    <row r="186">
      <c r="A186" s="214"/>
      <c r="B186" s="214"/>
      <c r="C186" s="214"/>
      <c r="D186" s="214"/>
      <c r="E186" s="215"/>
      <c r="F186" s="216" t="str">
        <f>IFERROR(__xludf.DUMMYFUNCTION("""COMPUTED_VALUE"""),"Guard Shatterer")</f>
        <v>Guard Shatterer</v>
      </c>
      <c r="G186" s="216" t="str">
        <f>IFERROR(__xludf.DUMMYFUNCTION("""COMPUTED_VALUE"""),"Operator - Activate Module!")</f>
        <v>Operator - Activate Module!</v>
      </c>
      <c r="H186" s="216" t="str">
        <f>IFERROR(__xludf.DUMMYFUNCTION("""COMPUTED_VALUE"""),"Static")</f>
        <v>Static</v>
      </c>
      <c r="I186" s="216" t="str">
        <f>IFERROR(__xludf.DUMMYFUNCTION("""COMPUTED_VALUE"""),"Effect: Whenever you succeed a Skill Check for the Guard Break action on your Ranger Styler, its Effects apply to the next two Attacks instead of the next Attack. If you have the Advanced Module Feature, their Defense and Special Defense are also lowered "&amp;"by -2 CS, or -1 CS if used as a Swift Action.  ")</f>
        <v>Effect: Whenever you succeed a Skill Check for the Guard Break action on your Ranger Styler, its Effects apply to the next two Attacks instead of the next Attack. If you have the Advanced Module Feature, their Defense and Special Defense are also lowered by -2 CS, or -1 CS if used as a Swift Action.  </v>
      </c>
      <c r="J186" s="215"/>
      <c r="K186" s="217"/>
      <c r="L186" s="217"/>
      <c r="M186" s="217"/>
      <c r="N186" s="217"/>
      <c r="O186" s="217"/>
      <c r="P186" s="217"/>
    </row>
    <row r="187">
      <c r="A187" s="214"/>
      <c r="B187" s="214"/>
      <c r="C187" s="214"/>
      <c r="D187" s="214"/>
      <c r="E187" s="215"/>
      <c r="F187" s="216" t="str">
        <f>IFERROR(__xludf.DUMMYFUNCTION("""COMPUTED_VALUE"""),"Magnetic Pulser")</f>
        <v>Magnetic Pulser</v>
      </c>
      <c r="G187" s="216" t="str">
        <f>IFERROR(__xludf.DUMMYFUNCTION("""COMPUTED_VALUE"""),"Operator - Activate Module!")</f>
        <v>Operator - Activate Module!</v>
      </c>
      <c r="H187" s="216" t="str">
        <f>IFERROR(__xludf.DUMMYFUNCTION("""COMPUTED_VALUE"""),"Static")</f>
        <v>Static</v>
      </c>
      <c r="I187" s="216" t="str">
        <f>IFERROR(__xludf.DUMMYFUNCTION("""COMPUTED_VALUE"""),"Effect: Weapon Attacks used through your Ranger Styler may be treated as Electric Type instead. If you have the Advanced Module Feature, they also have a 16+ Effect Range to cause all Targets hit to become Paralyzed.")</f>
        <v>Effect: Weapon Attacks used through your Ranger Styler may be treated as Electric Type instead. If you have the Advanced Module Feature, they also have a 16+ Effect Range to cause all Targets hit to become Paralyzed.</v>
      </c>
      <c r="J187" s="215"/>
      <c r="K187" s="217"/>
      <c r="L187" s="217"/>
      <c r="M187" s="217"/>
      <c r="N187" s="217"/>
      <c r="O187" s="217"/>
      <c r="P187" s="217"/>
    </row>
    <row r="188">
      <c r="A188" s="214"/>
      <c r="B188" s="214"/>
      <c r="C188" s="214"/>
      <c r="D188" s="214"/>
      <c r="E188" s="215"/>
      <c r="F188" s="216" t="str">
        <f>IFERROR(__xludf.DUMMYFUNCTION("""COMPUTED_VALUE"""),"Sigil of Elements")</f>
        <v>Sigil of Elements</v>
      </c>
      <c r="G188" s="216" t="str">
        <f>IFERROR(__xludf.DUMMYFUNCTION("""COMPUTED_VALUE"""),"Signer - Guardian Sign")</f>
        <v>Signer - Guardian Sign</v>
      </c>
      <c r="H188" s="216" t="str">
        <f>IFERROR(__xludf.DUMMYFUNCTION("""COMPUTED_VALUE"""),"Special")</f>
        <v>Special</v>
      </c>
      <c r="I188" s="216" t="str">
        <f>IFERROR(__xludf.DUMMYFUNCTION("""COMPUTED_VALUE"""),"Effect: Choose an Attack that you or an Ally within 5m knows and a Type that one of your Guardians is. The Attack is treated as that Type until the end of the Scene. ")</f>
        <v>Effect: Choose an Attack that you or an Ally within 5m knows and a Type that one of your Guardians is. The Attack is treated as that Type until the end of the Scene. </v>
      </c>
      <c r="J188" s="215"/>
      <c r="K188" s="217"/>
      <c r="L188" s="217"/>
      <c r="M188" s="217"/>
      <c r="N188" s="217"/>
      <c r="O188" s="217"/>
      <c r="P188" s="217"/>
    </row>
    <row r="189">
      <c r="A189" s="214"/>
      <c r="B189" s="214"/>
      <c r="C189" s="214"/>
      <c r="D189" s="214"/>
      <c r="E189" s="215"/>
      <c r="F189" s="216" t="str">
        <f>IFERROR(__xludf.DUMMYFUNCTION("""COMPUTED_VALUE"""),"Sigil of Empowerment")</f>
        <v>Sigil of Empowerment</v>
      </c>
      <c r="G189" s="216" t="str">
        <f>IFERROR(__xludf.DUMMYFUNCTION("""COMPUTED_VALUE"""),"Signer - Guardian Sign")</f>
        <v>Signer - Guardian Sign</v>
      </c>
      <c r="H189" s="216" t="str">
        <f>IFERROR(__xludf.DUMMYFUNCTION("""COMPUTED_VALUE"""),"Special")</f>
        <v>Special</v>
      </c>
      <c r="I189" s="216" t="str">
        <f>IFERROR(__xludf.DUMMYFUNCTION("""COMPUTED_VALUE"""),"Effect: Choose you or an Ally within 5m and one of your Guardians. The chosen combatant gains +2 CS in any Stat, or +1 CS in your Guardian’s highest base stat if used as a Swift Action. ")</f>
        <v>Effect: Choose you or an Ally within 5m and one of your Guardians. The chosen combatant gains +2 CS in any Stat, or +1 CS in your Guardian’s highest base stat if used as a Swift Action. </v>
      </c>
      <c r="J189" s="215"/>
      <c r="K189" s="217"/>
      <c r="L189" s="217"/>
      <c r="M189" s="217"/>
      <c r="N189" s="217"/>
      <c r="O189" s="217"/>
      <c r="P189" s="217"/>
    </row>
    <row r="190">
      <c r="A190" s="214"/>
      <c r="B190" s="214"/>
      <c r="C190" s="214"/>
      <c r="D190" s="214"/>
      <c r="E190" s="215"/>
      <c r="F190" s="216" t="str">
        <f>IFERROR(__xludf.DUMMYFUNCTION("""COMPUTED_VALUE"""),"Sigil of Imbuement")</f>
        <v>Sigil of Imbuement</v>
      </c>
      <c r="G190" s="216" t="str">
        <f>IFERROR(__xludf.DUMMYFUNCTION("""COMPUTED_VALUE"""),"Signer - Guardian Sign")</f>
        <v>Signer - Guardian Sign</v>
      </c>
      <c r="H190" s="216" t="str">
        <f>IFERROR(__xludf.DUMMYFUNCTION("""COMPUTED_VALUE"""),"Special")</f>
        <v>Special</v>
      </c>
      <c r="I190" s="216" t="str">
        <f>IFERROR(__xludf.DUMMYFUNCTION("""COMPUTED_VALUE"""),"Effect: Choose you or an Ally within 5m and one of your Guardians. The chosen combatant gains one Attack the Guardian can learn until the end of the Scene, provided the combatant could legally learn it through Tutor Rules.")</f>
        <v>Effect: Choose you or an Ally within 5m and one of your Guardians. The chosen combatant gains one Attack the Guardian can learn until the end of the Scene, provided the combatant could legally learn it through Tutor Rules.</v>
      </c>
      <c r="J190" s="215"/>
      <c r="K190" s="217"/>
      <c r="L190" s="217"/>
      <c r="M190" s="217"/>
      <c r="N190" s="217"/>
      <c r="O190" s="217"/>
      <c r="P190" s="217"/>
    </row>
    <row r="191">
      <c r="A191" s="214"/>
      <c r="B191" s="214"/>
      <c r="C191" s="214"/>
      <c r="D191" s="214"/>
      <c r="E191" s="215"/>
      <c r="F191" s="216" t="str">
        <f>IFERROR(__xludf.DUMMYFUNCTION("""COMPUTED_VALUE"""),"Sigil of Protection")</f>
        <v>Sigil of Protection</v>
      </c>
      <c r="G191" s="216" t="str">
        <f>IFERROR(__xludf.DUMMYFUNCTION("""COMPUTED_VALUE"""),"Signer - Guardian Sign")</f>
        <v>Signer - Guardian Sign</v>
      </c>
      <c r="H191" s="216" t="str">
        <f>IFERROR(__xludf.DUMMYFUNCTION("""COMPUTED_VALUE"""),"Special")</f>
        <v>Special</v>
      </c>
      <c r="I191" s="216" t="str">
        <f>IFERROR(__xludf.DUMMYFUNCTION("""COMPUTED_VALUE"""),"Effect: Choose you or an Ally within 5m. The chosen Combatant gains 2 Ticks of Temporary Hit points. If used as a Standard Action, they also resist all attacks by an additional damage step until the start of your next Turn. ")</f>
        <v>Effect: Choose you or an Ally within 5m. The chosen Combatant gains 2 Ticks of Temporary Hit points. If used as a Standard Action, they also resist all attacks by an additional damage step until the start of your next Turn. </v>
      </c>
      <c r="J191" s="215"/>
      <c r="K191" s="217"/>
      <c r="L191" s="217"/>
      <c r="M191" s="217"/>
      <c r="N191" s="217"/>
      <c r="O191" s="217"/>
      <c r="P191" s="217"/>
    </row>
    <row r="192">
      <c r="A192" s="214"/>
      <c r="B192" s="214"/>
      <c r="C192" s="214"/>
      <c r="D192" s="214"/>
      <c r="E192" s="215"/>
      <c r="F192" s="216" t="str">
        <f>IFERROR(__xludf.DUMMYFUNCTION("""COMPUTED_VALUE"""),"Sigil of Restoration")</f>
        <v>Sigil of Restoration</v>
      </c>
      <c r="G192" s="216" t="str">
        <f>IFERROR(__xludf.DUMMYFUNCTION("""COMPUTED_VALUE"""),"Signer - Guardian Sign")</f>
        <v>Signer - Guardian Sign</v>
      </c>
      <c r="H192" s="216" t="str">
        <f>IFERROR(__xludf.DUMMYFUNCTION("""COMPUTED_VALUE"""),"Special")</f>
        <v>Special</v>
      </c>
      <c r="I192" s="216" t="str">
        <f>IFERROR(__xludf.DUMMYFUNCTION("""COMPUTED_VALUE"""),"Effect: Choose you or an Ally within 5m. If used as a Standard Action, the chosen combatant restores 5 Ticks of Hit Points or is cured of a Status Affliction. Otherwise, they restore 2 Ticks of Hit Points and have a +2 bonus to their next Save Check. A Co"&amp;"mbatant can only benefit from the Standard Action effect once per Scene. ")</f>
        <v>Effect: Choose you or an Ally within 5m. If used as a Standard Action, the chosen combatant restores 5 Ticks of Hit Points or is cured of a Status Affliction. Otherwise, they restore 2 Ticks of Hit Points and have a +2 bonus to their next Save Check. A Combatant can only benefit from the Standard Action effect once per Scene. </v>
      </c>
      <c r="J192" s="215"/>
      <c r="K192" s="217"/>
      <c r="L192" s="217"/>
      <c r="M192" s="217"/>
      <c r="N192" s="217"/>
      <c r="O192" s="217"/>
      <c r="P192" s="217"/>
    </row>
    <row r="193">
      <c r="A193" s="214"/>
      <c r="B193" s="214"/>
      <c r="C193" s="214"/>
      <c r="D193" s="214"/>
      <c r="E193" s="215"/>
      <c r="F193" s="216" t="str">
        <f>IFERROR(__xludf.DUMMYFUNCTION("""COMPUTED_VALUE"""),"Sigil of Authority")</f>
        <v>Sigil of Authority</v>
      </c>
      <c r="G193" s="216" t="str">
        <f>IFERROR(__xludf.DUMMYFUNCTION("""COMPUTED_VALUE"""),"Signer - Guardian Aspect")</f>
        <v>Signer - Guardian Aspect</v>
      </c>
      <c r="H193" s="216" t="str">
        <f>IFERROR(__xludf.DUMMYFUNCTION("""COMPUTED_VALUE"""),"Special")</f>
        <v>Special</v>
      </c>
      <c r="I193" s="216" t="str">
        <f>IFERROR(__xludf.DUMMYFUNCTION("""COMPUTED_VALUE"""),"Effect: Whenever you fail a Skill Check involving a Pokemon whose Type matches one of your Guardians, you may use this Aspect to reroll it. This Aspect may only be performed once per Skill Check.")</f>
        <v>Effect: Whenever you fail a Skill Check involving a Pokemon whose Type matches one of your Guardians, you may use this Aspect to reroll it. This Aspect may only be performed once per Skill Check.</v>
      </c>
      <c r="J193" s="215"/>
      <c r="K193" s="217"/>
      <c r="L193" s="217"/>
      <c r="M193" s="217"/>
      <c r="N193" s="217"/>
      <c r="O193" s="217"/>
      <c r="P193" s="217"/>
    </row>
    <row r="194">
      <c r="A194" s="214"/>
      <c r="B194" s="214"/>
      <c r="C194" s="214"/>
      <c r="D194" s="214"/>
      <c r="E194" s="215"/>
      <c r="F194" s="216" t="str">
        <f>IFERROR(__xludf.DUMMYFUNCTION("""COMPUTED_VALUE"""),"Sigil of Connection")</f>
        <v>Sigil of Connection</v>
      </c>
      <c r="G194" s="216" t="str">
        <f>IFERROR(__xludf.DUMMYFUNCTION("""COMPUTED_VALUE"""),"Signer - Guardian Aspect")</f>
        <v>Signer - Guardian Aspect</v>
      </c>
      <c r="H194" s="216" t="str">
        <f>IFERROR(__xludf.DUMMYFUNCTION("""COMPUTED_VALUE"""),"Special")</f>
        <v>Special</v>
      </c>
      <c r="I194" s="216" t="str">
        <f>IFERROR(__xludf.DUMMYFUNCTION("""COMPUTED_VALUE"""),"Effect: This Aspect may be used to have one of your Guardians assist you in some way that they are currently able. You must be within their domain of influence for this to work or what you ask of them must be within their power profile. Depending on the s"&amp;"cope of how they help, you may need to expend more than one Spirit Points. This cannot be used during Combat. ")</f>
        <v>Effect: This Aspect may be used to have one of your Guardians assist you in some way that they are currently able. You must be within their domain of influence for this to work or what you ask of them must be within their power profile. Depending on the scope of how they help, you may need to expend more than one Spirit Points. This cannot be used during Combat. </v>
      </c>
      <c r="J194" s="215"/>
      <c r="K194" s="217"/>
      <c r="L194" s="217"/>
      <c r="M194" s="217"/>
      <c r="N194" s="217"/>
      <c r="O194" s="217"/>
      <c r="P194" s="217"/>
    </row>
    <row r="195">
      <c r="A195" s="214"/>
      <c r="B195" s="214"/>
      <c r="C195" s="214"/>
      <c r="D195" s="214"/>
      <c r="E195" s="215"/>
      <c r="F195" s="216" t="str">
        <f>IFERROR(__xludf.DUMMYFUNCTION("""COMPUTED_VALUE"""),"Sigil of Insight")</f>
        <v>Sigil of Insight</v>
      </c>
      <c r="G195" s="216" t="str">
        <f>IFERROR(__xludf.DUMMYFUNCTION("""COMPUTED_VALUE"""),"Signer - Guardian Aspect")</f>
        <v>Signer - Guardian Aspect</v>
      </c>
      <c r="H195" s="216" t="str">
        <f>IFERROR(__xludf.DUMMYFUNCTION("""COMPUTED_VALUE"""),"Special")</f>
        <v>Special</v>
      </c>
      <c r="I195" s="216" t="str">
        <f>IFERROR(__xludf.DUMMYFUNCTION("""COMPUTED_VALUE"""),"Effect: Whenever you perform a Skill Check that one of your Guardians is Proficient or Mastered Rank in, you may use this Aspect to gain a Boon for it.")</f>
        <v>Effect: Whenever you perform a Skill Check that one of your Guardians is Proficient or Mastered Rank in, you may use this Aspect to gain a Boon for it.</v>
      </c>
      <c r="J195" s="215"/>
      <c r="K195" s="217"/>
      <c r="L195" s="217"/>
      <c r="M195" s="217"/>
      <c r="N195" s="217"/>
      <c r="O195" s="217"/>
      <c r="P195" s="217"/>
    </row>
    <row r="196">
      <c r="A196" s="214"/>
      <c r="B196" s="214"/>
      <c r="C196" s="214"/>
      <c r="D196" s="214"/>
      <c r="E196" s="215"/>
      <c r="F196" s="216" t="str">
        <f>IFERROR(__xludf.DUMMYFUNCTION("""COMPUTED_VALUE"""),"Sigil of Symbiosis")</f>
        <v>Sigil of Symbiosis</v>
      </c>
      <c r="G196" s="216" t="str">
        <f>IFERROR(__xludf.DUMMYFUNCTION("""COMPUTED_VALUE"""),"Signer - Guardian Aspect")</f>
        <v>Signer - Guardian Aspect</v>
      </c>
      <c r="H196" s="216" t="str">
        <f>IFERROR(__xludf.DUMMYFUNCTION("""COMPUTED_VALUE"""),"Special")</f>
        <v>Special</v>
      </c>
      <c r="I196" s="216" t="str">
        <f>IFERROR(__xludf.DUMMYFUNCTION("""COMPUTED_VALUE"""),"Effect: When this Aspect is used, choose one of your Guardians. For up to 10 minutes, either you or the chosen Guardian may spiritually enter the willing other’s body, as if they shared a consciousness. While in this state, they experience all senses of t"&amp;"he body they entered. If either participant takes damage for this duration, the connection is severed. ")</f>
        <v>Effect: When this Aspect is used, choose one of your Guardians. For up to 10 minutes, either you or the chosen Guardian may spiritually enter the willing other’s body, as if they shared a consciousness. While in this state, they experience all senses of the body they entered. If either participant takes damage for this duration, the connection is severed. </v>
      </c>
      <c r="J196" s="215"/>
      <c r="K196" s="217"/>
      <c r="L196" s="217"/>
      <c r="M196" s="217"/>
      <c r="N196" s="217"/>
      <c r="O196" s="217"/>
      <c r="P196" s="217"/>
    </row>
    <row r="197">
      <c r="A197" s="214"/>
      <c r="B197" s="214"/>
      <c r="C197" s="214"/>
      <c r="D197" s="214"/>
      <c r="E197" s="215"/>
      <c r="F197" s="216" t="str">
        <f>IFERROR(__xludf.DUMMYFUNCTION("""COMPUTED_VALUE"""),"Sigil of Unity")</f>
        <v>Sigil of Unity</v>
      </c>
      <c r="G197" s="216" t="str">
        <f>IFERROR(__xludf.DUMMYFUNCTION("""COMPUTED_VALUE"""),"Signer - Guardian Aspect")</f>
        <v>Signer - Guardian Aspect</v>
      </c>
      <c r="H197" s="216" t="str">
        <f>IFERROR(__xludf.DUMMYFUNCTION("""COMPUTED_VALUE"""),"Special")</f>
        <v>Special</v>
      </c>
      <c r="I197" s="216" t="str">
        <f>IFERROR(__xludf.DUMMYFUNCTION("""COMPUTED_VALUE"""),"Effect: Choose a Capability that one of your Guardians has. You gain that Capability until the end of the Day. ")</f>
        <v>Effect: Choose a Capability that one of your Guardians has. You gain that Capability until the end of the Day. </v>
      </c>
      <c r="J197" s="215"/>
      <c r="K197" s="217"/>
      <c r="L197" s="217"/>
      <c r="M197" s="217"/>
      <c r="N197" s="217"/>
      <c r="O197" s="217"/>
      <c r="P197" s="217"/>
    </row>
    <row r="198">
      <c r="A198" s="214"/>
      <c r="B198" s="214"/>
      <c r="C198" s="214"/>
      <c r="D198" s="214"/>
      <c r="E198" s="215"/>
      <c r="F198" s="216" t="str">
        <f>IFERROR(__xludf.DUMMYFUNCTION("""COMPUTED_VALUE"""),"Agile Aspect")</f>
        <v>Agile Aspect</v>
      </c>
      <c r="G198" s="216" t="str">
        <f>IFERROR(__xludf.DUMMYFUNCTION("""COMPUTED_VALUE"""),"Elementalism - Generic Elementalist Technique")</f>
        <v>Elementalism - Generic Elementalist Technique</v>
      </c>
      <c r="H198" s="216" t="str">
        <f>IFERROR(__xludf.DUMMYFUNCTION("""COMPUTED_VALUE"""),"Static")</f>
        <v>Static</v>
      </c>
      <c r="I198" s="216" t="str">
        <f>IFERROR(__xludf.DUMMYFUNCTION("""COMPUTED_VALUE"""),"Effect: You gain Evasion against Attacks equal to your Tier Level. When using Melee Attacks that match your Elemental Affinity, you may use your Speed as an Offensive Attack instead of the normal Stat.")</f>
        <v>Effect: You gain Evasion against Attacks equal to your Tier Level. When using Melee Attacks that match your Elemental Affinity, you may use your Speed as an Offensive Attack instead of the normal Stat.</v>
      </c>
      <c r="J198" s="215"/>
      <c r="K198" s="217"/>
      <c r="L198" s="217"/>
      <c r="M198" s="217"/>
      <c r="N198" s="217"/>
      <c r="O198" s="217"/>
      <c r="P198" s="217"/>
    </row>
    <row r="199">
      <c r="A199" s="214"/>
      <c r="B199" s="214"/>
      <c r="C199" s="214"/>
      <c r="D199" s="214"/>
      <c r="E199" s="215"/>
      <c r="F199" s="216" t="str">
        <f>IFERROR(__xludf.DUMMYFUNCTION("""COMPUTED_VALUE"""),"Armored Aspect")</f>
        <v>Armored Aspect</v>
      </c>
      <c r="G199" s="216" t="str">
        <f>IFERROR(__xludf.DUMMYFUNCTION("""COMPUTED_VALUE"""),"Elementalism - Generic Elementalist Technique")</f>
        <v>Elementalism - Generic Elementalist Technique</v>
      </c>
      <c r="H199" s="216" t="str">
        <f>IFERROR(__xludf.DUMMYFUNCTION("""COMPUTED_VALUE"""),"Static")</f>
        <v>Static</v>
      </c>
      <c r="I199" s="216" t="str">
        <f>IFERROR(__xludf.DUMMYFUNCTION("""COMPUTED_VALUE"""),"Effect: Choose Physical or Special. You gain 5 Damage Reduction and Evasion against Attacks of your chosen Category equal to your Tier Level. Evasion gained this way is Uncapped if the Attacker is Adjacent to you (If Physical) or at least 5m away from you"&amp;" (If Special)  ")</f>
        <v>Effect: Choose Physical or Special. You gain 5 Damage Reduction and Evasion against Attacks of your chosen Category equal to your Tier Level. Evasion gained this way is Uncapped if the Attacker is Adjacent to you (If Physical) or at least 5m away from you (If Special)  </v>
      </c>
      <c r="J199" s="215"/>
      <c r="K199" s="217"/>
      <c r="L199" s="217"/>
      <c r="M199" s="217"/>
      <c r="N199" s="217"/>
      <c r="O199" s="217"/>
      <c r="P199" s="217"/>
    </row>
    <row r="200">
      <c r="A200" s="214"/>
      <c r="B200" s="214"/>
      <c r="C200" s="214"/>
      <c r="D200" s="214"/>
      <c r="E200" s="215"/>
      <c r="F200" s="216" t="str">
        <f>IFERROR(__xludf.DUMMYFUNCTION("""COMPUTED_VALUE"""),"Brutal Aspect")</f>
        <v>Brutal Aspect</v>
      </c>
      <c r="G200" s="216" t="str">
        <f>IFERROR(__xludf.DUMMYFUNCTION("""COMPUTED_VALUE"""),"Elementalism - Generic Elementalist Technique")</f>
        <v>Elementalism - Generic Elementalist Technique</v>
      </c>
      <c r="H200" s="216" t="str">
        <f>IFERROR(__xludf.DUMMYFUNCTION("""COMPUTED_VALUE"""),"Static")</f>
        <v>Static</v>
      </c>
      <c r="I200" s="216" t="str">
        <f>IFERROR(__xludf.DUMMYFUNCTION("""COMPUTED_VALUE"""),"Effect: When using an Attack that matches your Affinity, on a Natural Roll of 15+, add your Tier Value as a bonus to the Damage Roll. If the Attack only had one Target, this applies on any hit, regardless of the Accuracy Roll result.")</f>
        <v>Effect: When using an Attack that matches your Affinity, on a Natural Roll of 15+, add your Tier Value as a bonus to the Damage Roll. If the Attack only had one Target, this applies on any hit, regardless of the Accuracy Roll result.</v>
      </c>
      <c r="J200" s="215"/>
      <c r="K200" s="217"/>
      <c r="L200" s="217"/>
      <c r="M200" s="217"/>
      <c r="N200" s="217"/>
      <c r="O200" s="217"/>
      <c r="P200" s="217"/>
    </row>
    <row r="201">
      <c r="A201" s="214"/>
      <c r="B201" s="214"/>
      <c r="C201" s="214"/>
      <c r="D201" s="214"/>
      <c r="E201" s="215"/>
      <c r="F201" s="216" t="str">
        <f>IFERROR(__xludf.DUMMYFUNCTION("""COMPUTED_VALUE"""),"Corrupting Aspect")</f>
        <v>Corrupting Aspect</v>
      </c>
      <c r="G201" s="216" t="str">
        <f>IFERROR(__xludf.DUMMYFUNCTION("""COMPUTED_VALUE"""),"Elementalism - Generic Elementalist Technique")</f>
        <v>Elementalism - Generic Elementalist Technique</v>
      </c>
      <c r="H201" s="216" t="str">
        <f>IFERROR(__xludf.DUMMYFUNCTION("""COMPUTED_VALUE"""),"At-Will - Swift Action")</f>
        <v>At-Will - Swift Action</v>
      </c>
      <c r="I201" s="216" t="str">
        <f>IFERROR(__xludf.DUMMYFUNCTION("""COMPUTED_VALUE"""),"Trigger: You hit an Attack that matches your Affinity Type
Effect: All Targets hit by the Triggering Attack lose -2 CS in a Stat of your choice or have a -X Penalty to a Combat Value of your choice until the end of their next Turn. X is equal to your Tier"&amp;" Level.")</f>
        <v>Trigger: You hit an Attack that matches your Affinity Type
Effect: All Targets hit by the Triggering Attack lose -2 CS in a Stat of your choice or have a -X Penalty to a Combat Value of your choice until the end of their next Turn. X is equal to your Tier Level.</v>
      </c>
      <c r="J201" s="215"/>
      <c r="K201" s="217"/>
      <c r="L201" s="217"/>
      <c r="M201" s="217"/>
      <c r="N201" s="217"/>
      <c r="O201" s="217"/>
      <c r="P201" s="217"/>
    </row>
    <row r="202">
      <c r="A202" s="214"/>
      <c r="B202" s="214"/>
      <c r="C202" s="214"/>
      <c r="D202" s="214"/>
      <c r="E202" s="215"/>
      <c r="F202" s="216" t="str">
        <f>IFERROR(__xludf.DUMMYFUNCTION("""COMPUTED_VALUE"""),"Explosive Aspect")</f>
        <v>Explosive Aspect</v>
      </c>
      <c r="G202" s="216" t="str">
        <f>IFERROR(__xludf.DUMMYFUNCTION("""COMPUTED_VALUE"""),"Elementalism - Generic Elementalist Technique")</f>
        <v>Elementalism - Generic Elementalist Technique</v>
      </c>
      <c r="H202" s="216" t="str">
        <f>IFERROR(__xludf.DUMMYFUNCTION("""COMPUTED_VALUE"""),"At-Will - Free Action")</f>
        <v>At-Will - Free Action</v>
      </c>
      <c r="I202" s="216" t="str">
        <f>IFERROR(__xludf.DUMMYFUNCTION("""COMPUTED_VALUE"""),"Trigger: A Round Starts
Effect: Create a 2x2 Zone and choose a Damaging Attack that matches your Affinity Type. At the end of the Round, the Attack is used as a Free Action, ignoring Frequency and Targets all Combatants in that zone. Instead of creating a"&amp;" Zone, you may also choose a [Breakable - Fragile] Object, then when the Attack is used, it Targets all Combatants in a Burst 1 originating from that Object, then the Object is destroyed.")</f>
        <v>Trigger: A Round Starts
Effect: Create a 2x2 Zone and choose a Damaging Attack that matches your Affinity Type. At the end of the Round, the Attack is used as a Free Action, ignoring Frequency and Targets all Combatants in that zone. Instead of creating a Zone, you may also choose a [Breakable - Fragile] Object, then when the Attack is used, it Targets all Combatants in a Burst 1 originating from that Object, then the Object is destroyed.</v>
      </c>
      <c r="J202" s="215"/>
      <c r="K202" s="217"/>
      <c r="L202" s="217"/>
      <c r="M202" s="217"/>
      <c r="N202" s="217"/>
      <c r="O202" s="217"/>
      <c r="P202" s="217"/>
    </row>
    <row r="203">
      <c r="A203" s="214"/>
      <c r="B203" s="214"/>
      <c r="C203" s="214"/>
      <c r="D203" s="214"/>
      <c r="E203" s="215"/>
      <c r="F203" s="216" t="str">
        <f>IFERROR(__xludf.DUMMYFUNCTION("""COMPUTED_VALUE"""),"Healing Aspect")</f>
        <v>Healing Aspect</v>
      </c>
      <c r="G203" s="216" t="str">
        <f>IFERROR(__xludf.DUMMYFUNCTION("""COMPUTED_VALUE"""),"Elementalism - Generic Elementalist Technique")</f>
        <v>Elementalism - Generic Elementalist Technique</v>
      </c>
      <c r="H203" s="216" t="str">
        <f>IFERROR(__xludf.DUMMYFUNCTION("""COMPUTED_VALUE"""),"Static")</f>
        <v>Static</v>
      </c>
      <c r="I203" s="216" t="str">
        <f>IFERROR(__xludf.DUMMYFUNCTION("""COMPUTED_VALUE"""),"Effect: You gain the Healer Ability and Mender Capability. At Level 5, Healer may Target an Ally within 5m instead.")</f>
        <v>Effect: You gain the Healer Ability and Mender Capability. At Level 5, Healer may Target an Ally within 5m instead.</v>
      </c>
      <c r="J203" s="215"/>
      <c r="K203" s="217"/>
      <c r="L203" s="217"/>
      <c r="M203" s="217"/>
      <c r="N203" s="217"/>
      <c r="O203" s="217"/>
      <c r="P203" s="217"/>
    </row>
    <row r="204">
      <c r="A204" s="214"/>
      <c r="B204" s="214"/>
      <c r="C204" s="214"/>
      <c r="D204" s="214"/>
      <c r="E204" s="215"/>
      <c r="F204" s="216" t="str">
        <f>IFERROR(__xludf.DUMMYFUNCTION("""COMPUTED_VALUE"""),"Kinesis Aspect")</f>
        <v>Kinesis Aspect</v>
      </c>
      <c r="G204" s="216" t="str">
        <f>IFERROR(__xludf.DUMMYFUNCTION("""COMPUTED_VALUE"""),"Elementalism - Generic Elementalist Technique")</f>
        <v>Elementalism - Generic Elementalist Technique</v>
      </c>
      <c r="H204" s="216" t="str">
        <f>IFERROR(__xludf.DUMMYFUNCTION("""COMPUTED_VALUE"""),"At-Will - Reaction")</f>
        <v>At-Will - Reaction</v>
      </c>
      <c r="I204" s="216" t="str">
        <f>IFERROR(__xludf.DUMMYFUNCTION("""COMPUTED_VALUE"""),"Trigger: You or an Ally miss a 1-Target Ranged Attack that matches your Affinity Type.
Effect: The Triggering Attacker may choose another Enemy within 3m of the Target and perform the Attack again as a Free Action.")</f>
        <v>Trigger: You or an Ally miss a 1-Target Ranged Attack that matches your Affinity Type.
Effect: The Triggering Attacker may choose another Enemy within 3m of the Target and perform the Attack again as a Free Action.</v>
      </c>
      <c r="J204" s="215"/>
      <c r="K204" s="217"/>
      <c r="L204" s="217"/>
      <c r="M204" s="217"/>
      <c r="N204" s="217"/>
      <c r="O204" s="217"/>
      <c r="P204" s="217"/>
    </row>
    <row r="205">
      <c r="A205" s="214"/>
      <c r="B205" s="214"/>
      <c r="C205" s="214"/>
      <c r="D205" s="214"/>
      <c r="E205" s="215"/>
      <c r="F205" s="216" t="str">
        <f>IFERROR(__xludf.DUMMYFUNCTION("""COMPUTED_VALUE"""),"Projectile Aspect")</f>
        <v>Projectile Aspect</v>
      </c>
      <c r="G205" s="216" t="str">
        <f>IFERROR(__xludf.DUMMYFUNCTION("""COMPUTED_VALUE"""),"Elementalism - Generic Elementalist Technique")</f>
        <v>Elementalism - Generic Elementalist Technique</v>
      </c>
      <c r="H205" s="216" t="str">
        <f>IFERROR(__xludf.DUMMYFUNCTION("""COMPUTED_VALUE"""),"Scene x2 - Free Action")</f>
        <v>Scene x2 - Free Action</v>
      </c>
      <c r="I205" s="216" t="str">
        <f>IFERROR(__xludf.DUMMYFUNCTION("""COMPUTED_VALUE"""),"Effect: During this Turn, you may use Damaging Attacks that match your Affinity Type as if their Range was changed. Any Attack may be used as if it were 6, 1 Target. If the Attack was Line 5 or less, Blast 2, or Burst 1, the Attack may be used as if it we"&amp;"re 4, 2 Targets. If the Attack was Line 6+, Blast 3+, or Burst 2+, the Attack may be used as if it were 4, 3 Targets.")</f>
        <v>Effect: During this Turn, you may use Damaging Attacks that match your Affinity Type as if their Range was changed. Any Attack may be used as if it were 6, 1 Target. If the Attack was Line 5 or less, Blast 2, or Burst 1, the Attack may be used as if it were 4, 2 Targets. If the Attack was Line 6+, Blast 3+, or Burst 2+, the Attack may be used as if it were 4, 3 Targets.</v>
      </c>
      <c r="J205" s="215"/>
      <c r="K205" s="217"/>
      <c r="L205" s="217"/>
      <c r="M205" s="217"/>
      <c r="N205" s="217"/>
      <c r="O205" s="217"/>
      <c r="P205" s="217"/>
    </row>
    <row r="206">
      <c r="A206" s="214"/>
      <c r="B206" s="214"/>
      <c r="C206" s="214"/>
      <c r="D206" s="214"/>
      <c r="E206" s="215"/>
      <c r="F206" s="216" t="str">
        <f>IFERROR(__xludf.DUMMYFUNCTION("""COMPUTED_VALUE"""),"Purifying Aspect")</f>
        <v>Purifying Aspect</v>
      </c>
      <c r="G206" s="216" t="str">
        <f>IFERROR(__xludf.DUMMYFUNCTION("""COMPUTED_VALUE"""),"Elementalism - Generic Elementalist Technique")</f>
        <v>Elementalism - Generic Elementalist Technique</v>
      </c>
      <c r="H206" s="216" t="str">
        <f>IFERROR(__xludf.DUMMYFUNCTION("""COMPUTED_VALUE"""),"At-Will - Swift Action")</f>
        <v>At-Will - Swift Action</v>
      </c>
      <c r="I206" s="216" t="str">
        <f>IFERROR(__xludf.DUMMYFUNCTION("""COMPUTED_VALUE"""),"Trigger: An Ally is Targeted by an Attack you use that matches your Affinity Type
Effect: They restore Hit Points equal to the Damage Roll, or half of it if the Attack also Targeted Enemies. They ignore all other Effects of the Triggering Attack including"&amp;" Damage. An Ally may only be affected by this Technique once per Scene.")</f>
        <v>Trigger: An Ally is Targeted by an Attack you use that matches your Affinity Type
Effect: They restore Hit Points equal to the Damage Roll, or half of it if the Attack also Targeted Enemies. They ignore all other Effects of the Triggering Attack including Damage. An Ally may only be affected by this Technique once per Scene.</v>
      </c>
      <c r="J206" s="215"/>
      <c r="K206" s="217"/>
      <c r="L206" s="217"/>
      <c r="M206" s="217"/>
      <c r="N206" s="217"/>
      <c r="O206" s="217"/>
      <c r="P206" s="217"/>
    </row>
    <row r="207">
      <c r="A207" s="214"/>
      <c r="B207" s="214"/>
      <c r="C207" s="214"/>
      <c r="D207" s="214"/>
      <c r="E207" s="215"/>
      <c r="F207" s="216" t="str">
        <f>IFERROR(__xludf.DUMMYFUNCTION("""COMPUTED_VALUE"""),"Range Aspect")</f>
        <v>Range Aspect</v>
      </c>
      <c r="G207" s="216" t="str">
        <f>IFERROR(__xludf.DUMMYFUNCTION("""COMPUTED_VALUE"""),"Elementalism - Generic Elementalist Technique")</f>
        <v>Elementalism - Generic Elementalist Technique</v>
      </c>
      <c r="H207" s="216" t="str">
        <f>IFERROR(__xludf.DUMMYFUNCTION("""COMPUTED_VALUE"""),"Static")</f>
        <v>Static</v>
      </c>
      <c r="I207" s="216" t="str">
        <f>IFERROR(__xludf.DUMMYFUNCTION("""COMPUTED_VALUE"""),"Effect: Upon gaining this choose a condition that could affect the Field, within GM discretion. While the Field meets that condition during a Scene, you may originate attacks that match your Affinity Type from anywhere on the field (Or spaces that match y"&amp;"our condition) instead of from the space you occupy.")</f>
        <v>Effect: Upon gaining this choose a condition that could affect the Field, within GM discretion. While the Field meets that condition during a Scene, you may originate attacks that match your Affinity Type from anywhere on the field (Or spaces that match your condition) instead of from the space you occupy.</v>
      </c>
      <c r="J207" s="215"/>
      <c r="K207" s="217"/>
      <c r="L207" s="217"/>
      <c r="M207" s="217"/>
      <c r="N207" s="217"/>
      <c r="O207" s="217"/>
      <c r="P207" s="217"/>
    </row>
    <row r="208">
      <c r="A208" s="214"/>
      <c r="B208" s="214"/>
      <c r="C208" s="214"/>
      <c r="D208" s="214"/>
      <c r="E208" s="215"/>
      <c r="F208" s="216" t="str">
        <f>IFERROR(__xludf.DUMMYFUNCTION("""COMPUTED_VALUE"""),"Reckless Aspect")</f>
        <v>Reckless Aspect</v>
      </c>
      <c r="G208" s="216" t="str">
        <f>IFERROR(__xludf.DUMMYFUNCTION("""COMPUTED_VALUE"""),"Elementalism - Generic Elementalist Technique")</f>
        <v>Elementalism - Generic Elementalist Technique</v>
      </c>
      <c r="H208" s="216" t="str">
        <f>IFERROR(__xludf.DUMMYFUNCTION("""COMPUTED_VALUE"""),"Scene x2 - Swift Action")</f>
        <v>Scene x2 - Swift Action</v>
      </c>
      <c r="I208" s="216" t="str">
        <f>IFERROR(__xludf.DUMMYFUNCTION("""COMPUTED_VALUE"""),"Trigger: You use a Damaging Attack that matches your Affinity Type
Effect: The Triggering Attack gains the Recoil 1/2 Keyword and Smite Keyword. Additionally it gains a modifier to Critical Hit Ranges equal to your Tier Level. If the Triggering Attack onl"&amp;"y has one Target, it gains the Sureshot Keyword instead of the Smite Keyword.")</f>
        <v>Trigger: You use a Damaging Attack that matches your Affinity Type
Effect: The Triggering Attack gains the Recoil 1/2 Keyword and Smite Keyword. Additionally it gains a modifier to Critical Hit Ranges equal to your Tier Level. If the Triggering Attack only has one Target, it gains the Sureshot Keyword instead of the Smite Keyword.</v>
      </c>
      <c r="J208" s="215"/>
      <c r="K208" s="217"/>
      <c r="L208" s="217"/>
      <c r="M208" s="217"/>
      <c r="N208" s="217"/>
      <c r="O208" s="217"/>
      <c r="P208" s="217"/>
    </row>
    <row r="209">
      <c r="A209" s="214"/>
      <c r="B209" s="214"/>
      <c r="C209" s="214"/>
      <c r="D209" s="214"/>
      <c r="E209" s="215"/>
      <c r="F209" s="216" t="str">
        <f>IFERROR(__xludf.DUMMYFUNCTION("""COMPUTED_VALUE"""),"Refreshing Aspect")</f>
        <v>Refreshing Aspect</v>
      </c>
      <c r="G209" s="216" t="str">
        <f>IFERROR(__xludf.DUMMYFUNCTION("""COMPUTED_VALUE"""),"Elementalism - Generic Elementalist Technique")</f>
        <v>Elementalism - Generic Elementalist Technique</v>
      </c>
      <c r="H209" s="216" t="str">
        <f>IFERROR(__xludf.DUMMYFUNCTION("""COMPUTED_VALUE"""),"Scene - Swift Action")</f>
        <v>Scene - Swift Action</v>
      </c>
      <c r="I209" s="216" t="str">
        <f>IFERROR(__xludf.DUMMYFUNCTION("""COMPUTED_VALUE"""),"Effect: You are cured of one Affliction of your chosen category.
Note: When you gain this Technique, choose Physical or Mental to determine the type of Afflictions you can cure through this effect.")</f>
        <v>Effect: You are cured of one Affliction of your chosen category.
Note: When you gain this Technique, choose Physical or Mental to determine the type of Afflictions you can cure through this effect.</v>
      </c>
      <c r="J209" s="215"/>
      <c r="K209" s="217"/>
      <c r="L209" s="217"/>
      <c r="M209" s="217"/>
      <c r="N209" s="217"/>
      <c r="O209" s="217"/>
      <c r="P209" s="217"/>
    </row>
    <row r="210">
      <c r="A210" s="214"/>
      <c r="B210" s="214"/>
      <c r="C210" s="214"/>
      <c r="D210" s="214"/>
      <c r="E210" s="215"/>
      <c r="F210" s="216" t="str">
        <f>IFERROR(__xludf.DUMMYFUNCTION("""COMPUTED_VALUE"""),"Shielding Aspect")</f>
        <v>Shielding Aspect</v>
      </c>
      <c r="G210" s="216" t="str">
        <f>IFERROR(__xludf.DUMMYFUNCTION("""COMPUTED_VALUE"""),"Elementalism - Generic Elementalist Technique")</f>
        <v>Elementalism - Generic Elementalist Technique</v>
      </c>
      <c r="H210" s="216" t="str">
        <f>IFERROR(__xludf.DUMMYFUNCTION("""COMPUTED_VALUE"""),"Scene - Free Action")</f>
        <v>Scene - Free Action</v>
      </c>
      <c r="I210" s="216" t="str">
        <f>IFERROR(__xludf.DUMMYFUNCTION("""COMPUTED_VALUE"""),"Trigger: You or an Ally are hit by a Damaging Attack
Effect: All Targets have their Type Effectiveness against the Triggering Attack treated as if their Type was one of your Affinity Types.
Bonus: At Level 10, this becomes Scene x2 instead.")</f>
        <v>Trigger: You or an Ally are hit by a Damaging Attack
Effect: All Targets have their Type Effectiveness against the Triggering Attack treated as if their Type was one of your Affinity Types.
Bonus: At Level 10, this becomes Scene x2 instead.</v>
      </c>
      <c r="J210" s="215"/>
      <c r="K210" s="217"/>
      <c r="L210" s="217"/>
      <c r="M210" s="217"/>
      <c r="N210" s="217"/>
      <c r="O210" s="217"/>
      <c r="P210" s="217"/>
    </row>
    <row r="211">
      <c r="A211" s="214"/>
      <c r="B211" s="214"/>
      <c r="C211" s="214"/>
      <c r="D211" s="214"/>
      <c r="E211" s="215"/>
      <c r="F211" s="216" t="str">
        <f>IFERROR(__xludf.DUMMYFUNCTION("""COMPUTED_VALUE"""),"Terrain Aspect")</f>
        <v>Terrain Aspect</v>
      </c>
      <c r="G211" s="216" t="str">
        <f>IFERROR(__xludf.DUMMYFUNCTION("""COMPUTED_VALUE"""),"Elementalism - Generic Elementalist Technique")</f>
        <v>Elementalism - Generic Elementalist Technique</v>
      </c>
      <c r="H211" s="216" t="str">
        <f>IFERROR(__xludf.DUMMYFUNCTION("""COMPUTED_VALUE"""),"At-Will - Swift Action")</f>
        <v>At-Will - Swift Action</v>
      </c>
      <c r="I211" s="216" t="str">
        <f>IFERROR(__xludf.DUMMYFUNCTION("""COMPUTED_VALUE"""),"Effect: Choose up to 5 Connected Unoccupied Spaces within 5m to create [Breakable] Cover Terrain or Blocking Terrain in. This Terrain is [Fragile] until you are at least Level 10, then it becomes [Dense]. If it is Cover Terrain, it applies to any Combatan"&amp;"t that is Medium Size or smaller.")</f>
        <v>Effect: Choose up to 5 Connected Unoccupied Spaces within 5m to create [Breakable] Cover Terrain or Blocking Terrain in. This Terrain is [Fragile] until you are at least Level 10, then it becomes [Dense]. If it is Cover Terrain, it applies to any Combatant that is Medium Size or smaller.</v>
      </c>
      <c r="J211" s="215"/>
      <c r="K211" s="217"/>
      <c r="L211" s="217"/>
      <c r="M211" s="217"/>
      <c r="N211" s="217"/>
      <c r="O211" s="217"/>
      <c r="P211" s="217"/>
    </row>
    <row r="212">
      <c r="A212" s="214"/>
      <c r="B212" s="214"/>
      <c r="C212" s="214"/>
      <c r="D212" s="214"/>
      <c r="E212" s="215"/>
      <c r="F212" s="216" t="str">
        <f>IFERROR(__xludf.DUMMYFUNCTION("""COMPUTED_VALUE"""),"Veiled Aspect")</f>
        <v>Veiled Aspect</v>
      </c>
      <c r="G212" s="216" t="str">
        <f>IFERROR(__xludf.DUMMYFUNCTION("""COMPUTED_VALUE"""),"Elementalism - Generic Elementalist Technique")</f>
        <v>Elementalism - Generic Elementalist Technique</v>
      </c>
      <c r="H212" s="216" t="str">
        <f>IFERROR(__xludf.DUMMYFUNCTION("""COMPUTED_VALUE"""),"Scene x2 - Reaction")</f>
        <v>Scene x2 - Reaction</v>
      </c>
      <c r="I212" s="216" t="str">
        <f>IFERROR(__xludf.DUMMYFUNCTION("""COMPUTED_VALUE"""),"Trigger: You’re targeted with an attack by an adjacent enemy
Effect: The Attacker gains the chosen Affliction.
Note: When you gain this Technique, choose a Status Affliction based on your Affinity Type.")</f>
        <v>Trigger: You’re targeted with an attack by an adjacent enemy
Effect: The Attacker gains the chosen Affliction.
Note: When you gain this Technique, choose a Status Affliction based on your Affinity Type.</v>
      </c>
      <c r="J212" s="215"/>
      <c r="K212" s="217"/>
      <c r="L212" s="217"/>
      <c r="M212" s="217"/>
      <c r="N212" s="217"/>
      <c r="O212" s="217"/>
      <c r="P212" s="217"/>
    </row>
    <row r="213">
      <c r="A213" s="214"/>
      <c r="B213" s="214"/>
      <c r="C213" s="214"/>
      <c r="D213" s="214"/>
      <c r="E213" s="215"/>
      <c r="F213" s="216" t="str">
        <f>IFERROR(__xludf.DUMMYFUNCTION("""COMPUTED_VALUE"""),"Warding Aspect")</f>
        <v>Warding Aspect</v>
      </c>
      <c r="G213" s="216" t="str">
        <f>IFERROR(__xludf.DUMMYFUNCTION("""COMPUTED_VALUE"""),"Elementalism - Generic Elementalist Technique")</f>
        <v>Elementalism - Generic Elementalist Technique</v>
      </c>
      <c r="H213" s="216" t="str">
        <f>IFERROR(__xludf.DUMMYFUNCTION("""COMPUTED_VALUE"""),"Scene - Special")</f>
        <v>Scene - Special</v>
      </c>
      <c r="I213" s="216" t="str">
        <f>IFERROR(__xludf.DUMMYFUNCTION("""COMPUTED_VALUE"""),"Trigger: An Enemy uses a Damaging Attack that matches your qualifying affinity
Effect: As a Swift Action, the Triggering Attack is resisted by an additional Damage step for all Targets. At Level 10, you may also use this Feature as a Full Action in order "&amp;"to have the Triggering Attack miss instead.
Bonus: You treat your Affinity Types as if they were Resisted Effectiveness.")</f>
        <v>Trigger: An Enemy uses a Damaging Attack that matches your qualifying affinity
Effect: As a Swift Action, the Triggering Attack is resisted by an additional Damage step for all Targets. At Level 10, you may also use this Feature as a Full Action in order to have the Triggering Attack miss instead.
Bonus: You treat your Affinity Types as if they were Resisted Effectiveness.</v>
      </c>
      <c r="J213" s="215"/>
      <c r="K213" s="217"/>
      <c r="L213" s="217"/>
      <c r="M213" s="217"/>
      <c r="N213" s="217"/>
      <c r="O213" s="217"/>
      <c r="P213" s="217"/>
    </row>
    <row r="214">
      <c r="A214" s="214"/>
      <c r="B214" s="214"/>
      <c r="C214" s="214"/>
      <c r="D214" s="214"/>
      <c r="E214" s="215"/>
      <c r="F214" s="216" t="str">
        <f>IFERROR(__xludf.DUMMYFUNCTION("""COMPUTED_VALUE"""),"Weaponry Aspect")</f>
        <v>Weaponry Aspect</v>
      </c>
      <c r="G214" s="216" t="str">
        <f>IFERROR(__xludf.DUMMYFUNCTION("""COMPUTED_VALUE"""),"Elementalism - Generic Elementalist Technique")</f>
        <v>Elementalism - Generic Elementalist Technique</v>
      </c>
      <c r="H214" s="216" t="str">
        <f>IFERROR(__xludf.DUMMYFUNCTION("""COMPUTED_VALUE"""),"At-Will - Swift Action")</f>
        <v>At-Will - Swift Action</v>
      </c>
      <c r="I214" s="216" t="str">
        <f>IFERROR(__xludf.DUMMYFUNCTION("""COMPUTED_VALUE"""),"Trigger: You use a Damaging Weapon Attack 
Effect: The Triggering Attack deals Damage as if it were one of the Types of your Elemental Affinities. At Level 10, this may instead be used as a Free Action.")</f>
        <v>Trigger: You use a Damaging Weapon Attack 
Effect: The Triggering Attack deals Damage as if it were one of the Types of your Elemental Affinities. At Level 10, this may instead be used as a Free Action.</v>
      </c>
      <c r="J214" s="215"/>
      <c r="K214" s="217"/>
      <c r="L214" s="217"/>
      <c r="M214" s="217"/>
      <c r="N214" s="217"/>
      <c r="O214" s="217"/>
      <c r="P214" s="217"/>
    </row>
    <row r="215">
      <c r="A215" s="214"/>
      <c r="B215" s="214"/>
      <c r="C215" s="214"/>
      <c r="D215" s="214"/>
      <c r="E215" s="215"/>
      <c r="F215" s="216" t="str">
        <f>IFERROR(__xludf.DUMMYFUNCTION("""COMPUTED_VALUE"""),"Weather Aspect")</f>
        <v>Weather Aspect</v>
      </c>
      <c r="G215" s="216" t="str">
        <f>IFERROR(__xludf.DUMMYFUNCTION("""COMPUTED_VALUE"""),"Elementalism - Generic Elementalist Technique")</f>
        <v>Elementalism - Generic Elementalist Technique</v>
      </c>
      <c r="H215" s="216" t="str">
        <f>IFERROR(__xludf.DUMMYFUNCTION("""COMPUTED_VALUE"""),"Scene - Swift Action")</f>
        <v>Scene - Swift Action</v>
      </c>
      <c r="I215" s="216" t="str">
        <f>IFERROR(__xludf.DUMMYFUNCTION("""COMPUTED_VALUE"""),"Effect: The chosen Weather is created on the Field. At Level 10, this becomes a Free Action. At Level 15, this Weather cannot be removed from the Field outside of GM discretion.
Note: When you gain this Technique, choose a Weather Type based on your Affin"&amp;"ity.")</f>
        <v>Effect: The chosen Weather is created on the Field. At Level 10, this becomes a Free Action. At Level 15, this Weather cannot be removed from the Field outside of GM discretion.
Note: When you gain this Technique, choose a Weather Type based on your Affinity.</v>
      </c>
      <c r="J215" s="215"/>
      <c r="K215" s="217"/>
      <c r="L215" s="217"/>
      <c r="M215" s="217"/>
      <c r="N215" s="217"/>
      <c r="O215" s="217"/>
      <c r="P215" s="217"/>
    </row>
    <row r="216">
      <c r="A216" s="214"/>
      <c r="B216" s="214"/>
      <c r="C216" s="214"/>
      <c r="D216" s="214"/>
      <c r="E216" s="215"/>
      <c r="F216" s="216" t="str">
        <f>IFERROR(__xludf.DUMMYFUNCTION("""COMPUTED_VALUE"""),"Multi-Limbed")</f>
        <v>Multi-Limbed</v>
      </c>
      <c r="G216" s="216" t="str">
        <f>IFERROR(__xludf.DUMMYFUNCTION("""COMPUTED_VALUE"""),"Elementalism - Bug Elementalist")</f>
        <v>Elementalism - Bug Elementalist</v>
      </c>
      <c r="H216" s="216" t="str">
        <f>IFERROR(__xludf.DUMMYFUNCTION("""COMPUTED_VALUE"""),"At-Will - Extended Action")</f>
        <v>At-Will - Extended Action</v>
      </c>
      <c r="I216" s="216" t="str">
        <f>IFERROR(__xludf.DUMMYFUNCTION("""COMPUTED_VALUE"""),"Target: A Small Equipment Item in your Inventory
Effect: The Target is considered to be Equipped, despite not being in an Equipment Slot. Only one Item may be affected this way at a time.")</f>
        <v>Target: A Small Equipment Item in your Inventory
Effect: The Target is considered to be Equipped, despite not being in an Equipment Slot. Only one Item may be affected this way at a time.</v>
      </c>
      <c r="J216" s="215"/>
      <c r="K216" s="217"/>
      <c r="L216" s="217"/>
      <c r="M216" s="217"/>
      <c r="N216" s="217"/>
      <c r="O216" s="217"/>
      <c r="P216" s="217"/>
    </row>
    <row r="217">
      <c r="A217" s="214"/>
      <c r="B217" s="214"/>
      <c r="C217" s="214"/>
      <c r="D217" s="214"/>
      <c r="E217" s="215"/>
      <c r="F217" s="216" t="str">
        <f>IFERROR(__xludf.DUMMYFUNCTION("""COMPUTED_VALUE"""),"Pheromone Sprayer")</f>
        <v>Pheromone Sprayer</v>
      </c>
      <c r="G217" s="216" t="str">
        <f>IFERROR(__xludf.DUMMYFUNCTION("""COMPUTED_VALUE"""),"Elementalism - Bug Elementalist")</f>
        <v>Elementalism - Bug Elementalist</v>
      </c>
      <c r="H217" s="216" t="str">
        <f>IFERROR(__xludf.DUMMYFUNCTION("""COMPUTED_VALUE"""),"At-Will - Free Action")</f>
        <v>At-Will - Free Action</v>
      </c>
      <c r="I217" s="216" t="str">
        <f>IFERROR(__xludf.DUMMYFUNCTION("""COMPUTED_VALUE"""),"Trigger: You hit with a Bug Type attack
Effect: All Targets gain a Pheromone Coat. The user and all allies have a +2 bonus to Effect Ranges against enemies with a Pheromone Coat. When an Effect Range is Triggered against an Enemy with this Coat, it is exp"&amp;"ended. ")</f>
        <v>Trigger: You hit with a Bug Type attack
Effect: All Targets gain a Pheromone Coat. The user and all allies have a +2 bonus to Effect Ranges against enemies with a Pheromone Coat. When an Effect Range is Triggered against an Enemy with this Coat, it is expended. </v>
      </c>
      <c r="J217" s="215"/>
      <c r="K217" s="217"/>
      <c r="L217" s="217"/>
      <c r="M217" s="217"/>
      <c r="N217" s="217"/>
      <c r="O217" s="217"/>
      <c r="P217" s="217"/>
    </row>
    <row r="218">
      <c r="A218" s="214"/>
      <c r="B218" s="214"/>
      <c r="C218" s="214"/>
      <c r="D218" s="214"/>
      <c r="E218" s="215"/>
      <c r="F218" s="216" t="str">
        <f>IFERROR(__xludf.DUMMYFUNCTION("""COMPUTED_VALUE"""),"Swarm Leader")</f>
        <v>Swarm Leader</v>
      </c>
      <c r="G218" s="216" t="str">
        <f>IFERROR(__xludf.DUMMYFUNCTION("""COMPUTED_VALUE"""),"Elementalism - Bug Elementalist")</f>
        <v>Elementalism - Bug Elementalist</v>
      </c>
      <c r="H218" s="216" t="str">
        <f>IFERROR(__xludf.DUMMYFUNCTION("""COMPUTED_VALUE"""),"Static")</f>
        <v>Static</v>
      </c>
      <c r="I218" s="216" t="str">
        <f>IFERROR(__xludf.DUMMYFUNCTION("""COMPUTED_VALUE"""),"Effect: As a Swift Action or on a natural 16+ with a Bug Type Attack, grant a Swarm Coat to a Combatant within 3m, which is expended next time they use an Attack to gain an Accuracy Modifier equal to your Tier Level. If it was an Enemy, it becomes a Penal"&amp;"ty. If it was an Ally, it becomes a bonus.")</f>
        <v>Effect: As a Swift Action or on a natural 16+ with a Bug Type Attack, grant a Swarm Coat to a Combatant within 3m, which is expended next time they use an Attack to gain an Accuracy Modifier equal to your Tier Level. If it was an Enemy, it becomes a Penalty. If it was an Ally, it becomes a bonus.</v>
      </c>
      <c r="J218" s="215"/>
      <c r="K218" s="217"/>
      <c r="L218" s="217"/>
      <c r="M218" s="217"/>
      <c r="N218" s="217"/>
      <c r="O218" s="217"/>
      <c r="P218" s="217"/>
    </row>
    <row r="219">
      <c r="A219" s="214"/>
      <c r="B219" s="214"/>
      <c r="C219" s="214"/>
      <c r="D219" s="214"/>
      <c r="E219" s="215"/>
      <c r="F219" s="216" t="str">
        <f>IFERROR(__xludf.DUMMYFUNCTION("""COMPUTED_VALUE"""),"Venom Stinger")</f>
        <v>Venom Stinger</v>
      </c>
      <c r="G219" s="216" t="str">
        <f>IFERROR(__xludf.DUMMYFUNCTION("""COMPUTED_VALUE"""),"Elementalism - Bug Elementalist")</f>
        <v>Elementalism - Bug Elementalist</v>
      </c>
      <c r="H219" s="216" t="str">
        <f>IFERROR(__xludf.DUMMYFUNCTION("""COMPUTED_VALUE"""),"At-Will - Free Action")</f>
        <v>At-Will - Free Action</v>
      </c>
      <c r="I219" s="216" t="str">
        <f>IFERROR(__xludf.DUMMYFUNCTION("""COMPUTED_VALUE"""),"Trigger: You inflict an Affliction
Effect: You may instead inflict Paralyzed or Poisoned. 
Bonus: Your Bug Type Attacks cannot be resisted by Poisoned or Paralyzed Enemies.")</f>
        <v>Trigger: You inflict an Affliction
Effect: You may instead inflict Paralyzed or Poisoned. 
Bonus: Your Bug Type Attacks cannot be resisted by Poisoned or Paralyzed Enemies.</v>
      </c>
      <c r="J219" s="215"/>
      <c r="K219" s="217"/>
      <c r="L219" s="217"/>
      <c r="M219" s="217"/>
      <c r="N219" s="217"/>
      <c r="O219" s="217"/>
      <c r="P219" s="217"/>
    </row>
    <row r="220">
      <c r="A220" s="214"/>
      <c r="B220" s="214"/>
      <c r="C220" s="214"/>
      <c r="D220" s="214"/>
      <c r="E220" s="215"/>
      <c r="F220" s="216" t="str">
        <f>IFERROR(__xludf.DUMMYFUNCTION("""COMPUTED_VALUE"""),"Web Master")</f>
        <v>Web Master</v>
      </c>
      <c r="G220" s="216" t="str">
        <f>IFERROR(__xludf.DUMMYFUNCTION("""COMPUTED_VALUE"""),"Elementalism - Bug Elementalist")</f>
        <v>Elementalism - Bug Elementalist</v>
      </c>
      <c r="H220" s="216" t="str">
        <f>IFERROR(__xludf.DUMMYFUNCTION("""COMPUTED_VALUE"""),"Static")</f>
        <v>Static</v>
      </c>
      <c r="I220" s="216" t="str">
        <f>IFERROR(__xludf.DUMMYFUNCTION("""COMPUTED_VALUE"""),"Effect: You gain the Threaded Capability and Sticky Web Attack. Web Hazards you create are not
destroyed by Moving on them.")</f>
        <v>Effect: You gain the Threaded Capability and Sticky Web Attack. Web Hazards you create are not
destroyed by Moving on them.</v>
      </c>
      <c r="J220" s="215"/>
      <c r="K220" s="217"/>
      <c r="L220" s="217"/>
      <c r="M220" s="217"/>
      <c r="N220" s="217"/>
      <c r="O220" s="217"/>
      <c r="P220" s="217"/>
    </row>
    <row r="221">
      <c r="A221" s="214"/>
      <c r="B221" s="214"/>
      <c r="C221" s="214"/>
      <c r="D221" s="214"/>
      <c r="E221" s="215"/>
      <c r="F221" s="216" t="str">
        <f>IFERROR(__xludf.DUMMYFUNCTION("""COMPUTED_VALUE"""),"Dark Aura")</f>
        <v>Dark Aura</v>
      </c>
      <c r="G221" s="216" t="str">
        <f>IFERROR(__xludf.DUMMYFUNCTION("""COMPUTED_VALUE"""),"Elementalism - Dark Elementalist")</f>
        <v>Elementalism - Dark Elementalist</v>
      </c>
      <c r="H221" s="216" t="str">
        <f>IFERROR(__xludf.DUMMYFUNCTION("""COMPUTED_VALUE"""),"At-Will - Free Action")</f>
        <v>At-Will - Free Action</v>
      </c>
      <c r="I221" s="216" t="str">
        <f>IFERROR(__xludf.DUMMYFUNCTION("""COMPUTED_VALUE"""),"Trigger: You suppress an Enemy or an Enemy ends their turn within 2m of you
Effect: If they were Suppressed, they lose -2 CS in a Stat of your choice. If they ended their turn within 2m of you, they lose -1 CS in a Stat of your choice.")</f>
        <v>Trigger: You suppress an Enemy or an Enemy ends their turn within 2m of you
Effect: If they were Suppressed, they lose -2 CS in a Stat of your choice. If they ended their turn within 2m of you, they lose -1 CS in a Stat of your choice.</v>
      </c>
      <c r="J221" s="215"/>
      <c r="K221" s="217"/>
      <c r="L221" s="217"/>
      <c r="M221" s="217"/>
      <c r="N221" s="217"/>
      <c r="O221" s="217"/>
      <c r="P221" s="217"/>
    </row>
    <row r="222">
      <c r="A222" s="214"/>
      <c r="B222" s="214"/>
      <c r="C222" s="214"/>
      <c r="D222" s="214"/>
      <c r="E222" s="215"/>
      <c r="F222" s="216" t="str">
        <f>IFERROR(__xludf.DUMMYFUNCTION("""COMPUTED_VALUE"""),"Malicious Energy")</f>
        <v>Malicious Energy</v>
      </c>
      <c r="G222" s="216" t="str">
        <f>IFERROR(__xludf.DUMMYFUNCTION("""COMPUTED_VALUE"""),"Elementalism - Dark Elementalist")</f>
        <v>Elementalism - Dark Elementalist</v>
      </c>
      <c r="H222" s="216" t="str">
        <f>IFERROR(__xludf.DUMMYFUNCTION("""COMPUTED_VALUE"""),"Static")</f>
        <v>Static</v>
      </c>
      <c r="I222" s="216" t="str">
        <f>IFERROR(__xludf.DUMMYFUNCTION("""COMPUTED_VALUE"""),"Effect: Your Dark Type Damaging Attacks have a 18+ Effect Range to Suppress all Targets if they don’t already have one. As a Swift Action or at the end of the Round, you gain +1 Energy Counter (Max 6) that grants you a +1 Modifier to Suppression Effect Ra"&amp;"nges. Whenever you Suppress an Enemy you lose all Energy Counters.")</f>
        <v>Effect: Your Dark Type Damaging Attacks have a 18+ Effect Range to Suppress all Targets if they don’t already have one. As a Swift Action or at the end of the Round, you gain +1 Energy Counter (Max 6) that grants you a +1 Modifier to Suppression Effect Ranges. Whenever you Suppress an Enemy you lose all Energy Counters.</v>
      </c>
      <c r="J222" s="215"/>
      <c r="K222" s="217"/>
      <c r="L222" s="217"/>
      <c r="M222" s="217"/>
      <c r="N222" s="217"/>
      <c r="O222" s="217"/>
      <c r="P222" s="217"/>
    </row>
    <row r="223">
      <c r="A223" s="214"/>
      <c r="B223" s="214"/>
      <c r="C223" s="214"/>
      <c r="D223" s="214"/>
      <c r="E223" s="215"/>
      <c r="F223" s="216" t="str">
        <f>IFERROR(__xludf.DUMMYFUNCTION("""COMPUTED_VALUE"""),"Midnight Lurker")</f>
        <v>Midnight Lurker</v>
      </c>
      <c r="G223" s="216" t="str">
        <f>IFERROR(__xludf.DUMMYFUNCTION("""COMPUTED_VALUE"""),"Elementalism - Dark Elementalist")</f>
        <v>Elementalism - Dark Elementalist</v>
      </c>
      <c r="H223" s="216" t="str">
        <f>IFERROR(__xludf.DUMMYFUNCTION("""COMPUTED_VALUE"""),"Static")</f>
        <v>Static</v>
      </c>
      <c r="I223" s="216" t="str">
        <f>IFERROR(__xludf.DUMMYFUNCTION("""COMPUTED_VALUE"""),"Effect: Whenever you use a Dark Type Attack against an Enemy you’re Flanking, they can’t apply Evasion against it. Whenever you use an Attack against a single Enemy you’re Flanking, they can’t trigger Interrupts or Reactions in response to it.")</f>
        <v>Effect: Whenever you use a Dark Type Attack against an Enemy you’re Flanking, they can’t apply Evasion against it. Whenever you use an Attack against a single Enemy you’re Flanking, they can’t trigger Interrupts or Reactions in response to it.</v>
      </c>
      <c r="J223" s="215"/>
      <c r="K223" s="217"/>
      <c r="L223" s="217"/>
      <c r="M223" s="217"/>
      <c r="N223" s="217"/>
      <c r="O223" s="217"/>
      <c r="P223" s="217"/>
    </row>
    <row r="224">
      <c r="A224" s="214"/>
      <c r="B224" s="214"/>
      <c r="C224" s="214"/>
      <c r="D224" s="214"/>
      <c r="E224" s="215"/>
      <c r="F224" s="216" t="str">
        <f>IFERROR(__xludf.DUMMYFUNCTION("""COMPUTED_VALUE"""),"Shadow Soul")</f>
        <v>Shadow Soul</v>
      </c>
      <c r="G224" s="216" t="str">
        <f>IFERROR(__xludf.DUMMYFUNCTION("""COMPUTED_VALUE"""),"Elementalism - Dark Elementalist")</f>
        <v>Elementalism - Dark Elementalist</v>
      </c>
      <c r="H224" s="216" t="str">
        <f>IFERROR(__xludf.DUMMYFUNCTION("""COMPUTED_VALUE"""),"At-Will - Swift Action")</f>
        <v>At-Will - Swift Action</v>
      </c>
      <c r="I224" s="216" t="str">
        <f>IFERROR(__xludf.DUMMYFUNCTION("""COMPUTED_VALUE"""),"Effect: As a Swift Action, make a 3x3 Zone within 10m to turn into Shadow Terrain. Shadow Terrain has the effect of the Low Vision Environmental Effect. While you’re occupying a space with Low Vision, your Attacks have the Unstoppable Keyword.")</f>
        <v>Effect: As a Swift Action, make a 3x3 Zone within 10m to turn into Shadow Terrain. Shadow Terrain has the effect of the Low Vision Environmental Effect. While you’re occupying a space with Low Vision, your Attacks have the Unstoppable Keyword.</v>
      </c>
      <c r="J224" s="215"/>
      <c r="K224" s="217"/>
      <c r="L224" s="217"/>
      <c r="M224" s="217"/>
      <c r="N224" s="217"/>
      <c r="O224" s="217"/>
      <c r="P224" s="217"/>
    </row>
    <row r="225">
      <c r="A225" s="214"/>
      <c r="B225" s="214"/>
      <c r="C225" s="214"/>
      <c r="D225" s="214"/>
      <c r="E225" s="215"/>
      <c r="F225" s="216" t="str">
        <f>IFERROR(__xludf.DUMMYFUNCTION("""COMPUTED_VALUE"""),"Umbral Stealth")</f>
        <v>Umbral Stealth</v>
      </c>
      <c r="G225" s="216" t="str">
        <f>IFERROR(__xludf.DUMMYFUNCTION("""COMPUTED_VALUE"""),"Elementalism - Dark Elementalist")</f>
        <v>Elementalism - Dark Elementalist</v>
      </c>
      <c r="H225" s="216" t="str">
        <f>IFERROR(__xludf.DUMMYFUNCTION("""COMPUTED_VALUE"""),"At-Will - Special")</f>
        <v>At-Will - Special</v>
      </c>
      <c r="I225" s="216" t="str">
        <f>IFERROR(__xludf.DUMMYFUNCTION("""COMPUTED_VALUE"""),"Trigger: You use a Dark Type Attack, end your Turn in Foggy Weather or end your Turn in a space with Low Lighting.  
Effect: As a Free Action, you gain Evasion equal to your Tier Level until the start of your next Turn. This may also be used as a Swift A"&amp;"ction to make the Evasion Uncapped. ")</f>
        <v>Trigger: You use a Dark Type Attack, end your Turn in Foggy Weather or end your Turn in a space with Low Lighting.  
Effect: As a Free Action, you gain Evasion equal to your Tier Level until the start of your next Turn. This may also be used as a Swift Action to make the Evasion Uncapped. </v>
      </c>
      <c r="J225" s="215"/>
      <c r="K225" s="217"/>
      <c r="L225" s="217"/>
      <c r="M225" s="217"/>
      <c r="N225" s="217"/>
      <c r="O225" s="217"/>
      <c r="P225" s="217"/>
    </row>
    <row r="226">
      <c r="A226" s="214"/>
      <c r="B226" s="214"/>
      <c r="C226" s="214"/>
      <c r="D226" s="214"/>
      <c r="E226" s="215"/>
      <c r="F226" s="216" t="str">
        <f>IFERROR(__xludf.DUMMYFUNCTION("""COMPUTED_VALUE"""),"Ancient Bloodline")</f>
        <v>Ancient Bloodline</v>
      </c>
      <c r="G226" s="216" t="str">
        <f>IFERROR(__xludf.DUMMYFUNCTION("""COMPUTED_VALUE"""),"Elementalism - Dragon Elementalist")</f>
        <v>Elementalism - Dragon Elementalist</v>
      </c>
      <c r="H226" s="216" t="str">
        <f>IFERROR(__xludf.DUMMYFUNCTION("""COMPUTED_VALUE"""),"Static")</f>
        <v>Static</v>
      </c>
      <c r="I226" s="216" t="str">
        <f>IFERROR(__xludf.DUMMYFUNCTION("""COMPUTED_VALUE"""),"Effect: You have a bonus to Save Checks equal to your Tier Level. Whenever you use a Dragon Type Attack, if you were to make a Save Check at the end of your turn, perform it twice, taking the higher result.")</f>
        <v>Effect: You have a bonus to Save Checks equal to your Tier Level. Whenever you use a Dragon Type Attack, if you were to make a Save Check at the end of your turn, perform it twice, taking the higher result.</v>
      </c>
      <c r="J226" s="215"/>
      <c r="K226" s="217"/>
      <c r="L226" s="217"/>
      <c r="M226" s="217"/>
      <c r="N226" s="217"/>
      <c r="O226" s="217"/>
      <c r="P226" s="217"/>
    </row>
    <row r="227">
      <c r="A227" s="214"/>
      <c r="B227" s="214"/>
      <c r="C227" s="214"/>
      <c r="D227" s="214"/>
      <c r="E227" s="215"/>
      <c r="F227" s="216" t="str">
        <f>IFERROR(__xludf.DUMMYFUNCTION("""COMPUTED_VALUE"""),"Bellowing Breath")</f>
        <v>Bellowing Breath</v>
      </c>
      <c r="G227" s="216" t="str">
        <f>IFERROR(__xludf.DUMMYFUNCTION("""COMPUTED_VALUE"""),"Elementalism - Dragon Elementalist")</f>
        <v>Elementalism - Dragon Elementalist</v>
      </c>
      <c r="H227" s="216" t="str">
        <f>IFERROR(__xludf.DUMMYFUNCTION("""COMPUTED_VALUE"""),"Static")</f>
        <v>Static</v>
      </c>
      <c r="I227" s="216" t="str">
        <f>IFERROR(__xludf.DUMMYFUNCTION("""COMPUTED_VALUE"""),"Effect: You may use Dragon Type Attacks as if they were Close Blast 2; 5, Ranged Blast 2, or Line 4
Range. If the Attack is already an Area of Effect, you may instead increase it by +1.")</f>
        <v>Effect: You may use Dragon Type Attacks as if they were Close Blast 2; 5, Ranged Blast 2, or Line 4
Range. If the Attack is already an Area of Effect, you may instead increase it by +1.</v>
      </c>
      <c r="J227" s="215"/>
      <c r="K227" s="217"/>
      <c r="L227" s="217"/>
      <c r="M227" s="217"/>
      <c r="N227" s="217"/>
      <c r="O227" s="217"/>
      <c r="P227" s="217"/>
    </row>
    <row r="228">
      <c r="A228" s="214"/>
      <c r="B228" s="214"/>
      <c r="C228" s="214"/>
      <c r="D228" s="214"/>
      <c r="E228" s="215"/>
      <c r="F228" s="216" t="str">
        <f>IFERROR(__xludf.DUMMYFUNCTION("""COMPUTED_VALUE"""),"Draconic Lineage")</f>
        <v>Draconic Lineage</v>
      </c>
      <c r="G228" s="216" t="str">
        <f>IFERROR(__xludf.DUMMYFUNCTION("""COMPUTED_VALUE"""),"Elementalism - Dragon Elementalist")</f>
        <v>Elementalism - Dragon Elementalist</v>
      </c>
      <c r="H228" s="216" t="str">
        <f>IFERROR(__xludf.DUMMYFUNCTION("""COMPUTED_VALUE"""),"At-Will - Swift Action")</f>
        <v>At-Will - Swift Action</v>
      </c>
      <c r="I228" s="216" t="str">
        <f>IFERROR(__xludf.DUMMYFUNCTION("""COMPUTED_VALUE"""),"Trigger: You use a Dragon Type Attack
Effect: You treat the Triggering Attack as if it were your chosen Type instead.
Bonus: When you gain this Technique, choose a Type other than Dragon. At Level 5, you treat the chosen Type as Resisted Effectiveness. ")</f>
        <v>Trigger: You use a Dragon Type Attack
Effect: You treat the Triggering Attack as if it were your chosen Type instead.
Bonus: When you gain this Technique, choose a Type other than Dragon. At Level 5, you treat the chosen Type as Resisted Effectiveness. </v>
      </c>
      <c r="J228" s="215"/>
      <c r="K228" s="217"/>
      <c r="L228" s="217"/>
      <c r="M228" s="217"/>
      <c r="N228" s="217"/>
      <c r="O228" s="217"/>
      <c r="P228" s="217"/>
    </row>
    <row r="229">
      <c r="A229" s="214"/>
      <c r="B229" s="214"/>
      <c r="C229" s="214"/>
      <c r="D229" s="214"/>
      <c r="E229" s="215"/>
      <c r="F229" s="216" t="str">
        <f>IFERROR(__xludf.DUMMYFUNCTION("""COMPUTED_VALUE"""),"Primal Strength")</f>
        <v>Primal Strength</v>
      </c>
      <c r="G229" s="216" t="str">
        <f>IFERROR(__xludf.DUMMYFUNCTION("""COMPUTED_VALUE"""),"Elementalism - Dragon Elementalist")</f>
        <v>Elementalism - Dragon Elementalist</v>
      </c>
      <c r="H229" s="216" t="str">
        <f>IFERROR(__xludf.DUMMYFUNCTION("""COMPUTED_VALUE"""),"At-Will - Swift Action")</f>
        <v>At-Will - Swift Action</v>
      </c>
      <c r="I229" s="216" t="str">
        <f>IFERROR(__xludf.DUMMYFUNCTION("""COMPUTED_VALUE"""),"Trigger: You use a Dragon Type Attack
Effect: After resolving the Triggering Attack, you gain +1 CS in a Stat of your choice or a +1 Modifier to a Combat Value. When you are at least Level 10, you gain both instead. ")</f>
        <v>Trigger: You use a Dragon Type Attack
Effect: After resolving the Triggering Attack, you gain +1 CS in a Stat of your choice or a +1 Modifier to a Combat Value. When you are at least Level 10, you gain both instead. </v>
      </c>
      <c r="J229" s="215"/>
      <c r="K229" s="217"/>
      <c r="L229" s="217"/>
      <c r="M229" s="217"/>
      <c r="N229" s="217"/>
      <c r="O229" s="217"/>
      <c r="P229" s="217"/>
    </row>
    <row r="230">
      <c r="A230" s="214"/>
      <c r="B230" s="214"/>
      <c r="C230" s="214"/>
      <c r="D230" s="214"/>
      <c r="E230" s="215"/>
      <c r="F230" s="216" t="str">
        <f>IFERROR(__xludf.DUMMYFUNCTION("""COMPUTED_VALUE"""),"Wyvern Claws")</f>
        <v>Wyvern Claws</v>
      </c>
      <c r="G230" s="216" t="str">
        <f>IFERROR(__xludf.DUMMYFUNCTION("""COMPUTED_VALUE"""),"Elementalism - Dragon Elementalist")</f>
        <v>Elementalism - Dragon Elementalist</v>
      </c>
      <c r="H230" s="216" t="str">
        <f>IFERROR(__xludf.DUMMYFUNCTION("""COMPUTED_VALUE"""),"At-Will - Free Action")</f>
        <v>At-Will - Free Action</v>
      </c>
      <c r="I230" s="216" t="str">
        <f>IFERROR(__xludf.DUMMYFUNCTION("""COMPUTED_VALUE"""),"Trigger: You hit a Melee Attack
Effect: After Damage Resolution, the Target loses -X Defense CS where X is your Tier Level. 
Bonus: Whenever you use a Dragon Damaging Attack against an Enemy with negative CS in the corresponding Defense Stat, as a Swift A"&amp;"ction, its damage step is increased by one step (Max 1.5x) ")</f>
        <v>Trigger: You hit a Melee Attack
Effect: After Damage Resolution, the Target loses -X Defense CS where X is your Tier Level. 
Bonus: Whenever you use a Dragon Damaging Attack against an Enemy with negative CS in the corresponding Defense Stat, as a Swift Action, its damage step is increased by one step (Max 1.5x) </v>
      </c>
      <c r="J230" s="215"/>
      <c r="K230" s="217"/>
      <c r="L230" s="217"/>
      <c r="M230" s="217"/>
      <c r="N230" s="217"/>
      <c r="O230" s="217"/>
      <c r="P230" s="217"/>
    </row>
    <row r="231">
      <c r="A231" s="214"/>
      <c r="B231" s="214"/>
      <c r="C231" s="214"/>
      <c r="D231" s="214"/>
      <c r="E231" s="215"/>
      <c r="F231" s="216" t="str">
        <f>IFERROR(__xludf.DUMMYFUNCTION("""COMPUTED_VALUE"""),"Energy Drain")</f>
        <v>Energy Drain</v>
      </c>
      <c r="G231" s="216" t="str">
        <f>IFERROR(__xludf.DUMMYFUNCTION("""COMPUTED_VALUE"""),"Elementalism - Electric Elementalist")</f>
        <v>Elementalism - Electric Elementalist</v>
      </c>
      <c r="H231" s="216" t="str">
        <f>IFERROR(__xludf.DUMMYFUNCTION("""COMPUTED_VALUE"""),"Scene x2 - Swift Action")</f>
        <v>Scene x2 - Swift Action</v>
      </c>
      <c r="I231" s="216" t="str">
        <f>IFERROR(__xludf.DUMMYFUNCTION("""COMPUTED_VALUE"""),"Trigger: You hit a Paralyzed Enemy with an Electric or Adjacent Attack
Effect: Their Paralyzed Affliction is cured. If cured, you restore 5 Ticks of Hit Points, gain 3 Ticks of Temporary Hit points, Reset all their Stats to their Default Value or cure all"&amp;" Status Afflictions you have.")</f>
        <v>Trigger: You hit a Paralyzed Enemy with an Electric or Adjacent Attack
Effect: Their Paralyzed Affliction is cured. If cured, you restore 5 Ticks of Hit Points, gain 3 Ticks of Temporary Hit points, Reset all their Stats to their Default Value or cure all Status Afflictions you have.</v>
      </c>
      <c r="J231" s="215"/>
      <c r="K231" s="217"/>
      <c r="L231" s="217"/>
      <c r="M231" s="217"/>
      <c r="N231" s="217"/>
      <c r="O231" s="217"/>
      <c r="P231" s="217"/>
    </row>
    <row r="232">
      <c r="A232" s="214"/>
      <c r="B232" s="214"/>
      <c r="C232" s="214"/>
      <c r="D232" s="214"/>
      <c r="E232" s="215"/>
      <c r="F232" s="216" t="str">
        <f>IFERROR(__xludf.DUMMYFUNCTION("""COMPUTED_VALUE"""),"Ionic Flux")</f>
        <v>Ionic Flux</v>
      </c>
      <c r="G232" s="216" t="str">
        <f>IFERROR(__xludf.DUMMYFUNCTION("""COMPUTED_VALUE"""),"Elementalism - Electric Elementalist")</f>
        <v>Elementalism - Electric Elementalist</v>
      </c>
      <c r="H232" s="216" t="str">
        <f>IFERROR(__xludf.DUMMYFUNCTION("""COMPUTED_VALUE"""),"At-Will - Free Action")</f>
        <v>At-Will - Free Action</v>
      </c>
      <c r="I232" s="216" t="str">
        <f>IFERROR(__xludf.DUMMYFUNCTION("""COMPUTED_VALUE"""),"Trigger: You resolve an Electric Type Attack
Effect: An Ally within 3m of you gains +1 CS in a Stat of your choice or sets a Stat to its Default Value. This may only trigger once per Round.
Bonus: Whenever you Paralyze an Enemy, they lose -3 CS in a Stat "&amp;"of your choice.")</f>
        <v>Trigger: You resolve an Electric Type Attack
Effect: An Ally within 3m of you gains +1 CS in a Stat of your choice or sets a Stat to its Default Value. This may only trigger once per Round.
Bonus: Whenever you Paralyze an Enemy, they lose -3 CS in a Stat of your choice.</v>
      </c>
      <c r="J232" s="215"/>
      <c r="K232" s="217"/>
      <c r="L232" s="217"/>
      <c r="M232" s="217"/>
      <c r="N232" s="217"/>
      <c r="O232" s="217"/>
      <c r="P232" s="217"/>
    </row>
    <row r="233">
      <c r="A233" s="214"/>
      <c r="B233" s="214"/>
      <c r="C233" s="214"/>
      <c r="D233" s="214"/>
      <c r="E233" s="215"/>
      <c r="F233" s="216" t="str">
        <f>IFERROR(__xludf.DUMMYFUNCTION("""COMPUTED_VALUE"""),"Lightning Arc")</f>
        <v>Lightning Arc</v>
      </c>
      <c r="G233" s="216" t="str">
        <f>IFERROR(__xludf.DUMMYFUNCTION("""COMPUTED_VALUE"""),"Elementalism - Electric Elementalist")</f>
        <v>Elementalism - Electric Elementalist</v>
      </c>
      <c r="H233" s="216" t="str">
        <f>IFERROR(__xludf.DUMMYFUNCTION("""COMPUTED_VALUE"""),"At-Will - Swift Action")</f>
        <v>At-Will - Swift Action</v>
      </c>
      <c r="I233" s="216" t="str">
        <f>IFERROR(__xludf.DUMMYFUNCTION("""COMPUTED_VALUE"""),"Trigger: You use an Electric Attack
Effect: Any Enemies that are adjacent to a Target of the Triggering Attack also become a Target despite not being in range, however the Attack has a -2 penalty against them. ")</f>
        <v>Trigger: You use an Electric Attack
Effect: Any Enemies that are adjacent to a Target of the Triggering Attack also become a Target despite not being in range, however the Attack has a -2 penalty against them. </v>
      </c>
      <c r="J233" s="215"/>
      <c r="K233" s="217"/>
      <c r="L233" s="217"/>
      <c r="M233" s="217"/>
      <c r="N233" s="217"/>
      <c r="O233" s="217"/>
      <c r="P233" s="217"/>
    </row>
    <row r="234">
      <c r="A234" s="214"/>
      <c r="B234" s="214"/>
      <c r="C234" s="214"/>
      <c r="D234" s="214"/>
      <c r="E234" s="215"/>
      <c r="F234" s="216" t="str">
        <f>IFERROR(__xludf.DUMMYFUNCTION("""COMPUTED_VALUE"""),"Lightning Speed")</f>
        <v>Lightning Speed</v>
      </c>
      <c r="G234" s="216" t="str">
        <f>IFERROR(__xludf.DUMMYFUNCTION("""COMPUTED_VALUE"""),"Elementalism - Electric Elementalist")</f>
        <v>Elementalism - Electric Elementalist</v>
      </c>
      <c r="H234" s="216" t="str">
        <f>IFERROR(__xludf.DUMMYFUNCTION("""COMPUTED_VALUE"""),"At-Will - Swift Action")</f>
        <v>At-Will - Swift Action</v>
      </c>
      <c r="I234" s="216" t="str">
        <f>IFERROR(__xludf.DUMMYFUNCTION("""COMPUTED_VALUE"""),"Trigger: You use an Electric Attack
Effect: All Targets cannot apply their Speed Evasion against the Triggering Attack. If the Weather is Thunderstorm, it also gains the Smite Keyword.")</f>
        <v>Trigger: You use an Electric Attack
Effect: All Targets cannot apply their Speed Evasion against the Triggering Attack. If the Weather is Thunderstorm, it also gains the Smite Keyword.</v>
      </c>
      <c r="J234" s="215"/>
      <c r="K234" s="217"/>
      <c r="L234" s="217"/>
      <c r="M234" s="217"/>
      <c r="N234" s="217"/>
      <c r="O234" s="217"/>
      <c r="P234" s="217"/>
    </row>
    <row r="235">
      <c r="A235" s="214"/>
      <c r="B235" s="214"/>
      <c r="C235" s="214"/>
      <c r="D235" s="214"/>
      <c r="E235" s="215"/>
      <c r="F235" s="216" t="str">
        <f>IFERROR(__xludf.DUMMYFUNCTION("""COMPUTED_VALUE"""),"Static Charge")</f>
        <v>Static Charge</v>
      </c>
      <c r="G235" s="216" t="str">
        <f>IFERROR(__xludf.DUMMYFUNCTION("""COMPUTED_VALUE"""),"Elementalism - Electric Elementalist")</f>
        <v>Elementalism - Electric Elementalist</v>
      </c>
      <c r="H235" s="216" t="str">
        <f>IFERROR(__xludf.DUMMYFUNCTION("""COMPUTED_VALUE"""),"Static")</f>
        <v>Static</v>
      </c>
      <c r="I235" s="216" t="str">
        <f>IFERROR(__xludf.DUMMYFUNCTION("""COMPUTED_VALUE"""),"Effect: Up to twice per Round whenever you meet a following condition, gain +1 CS in a Stat of your choice or gain a Tick of Temporary Hit Points. You start your Turn in a Thunderstorm or with an Electric Attack affecting the Field. You use an Electric At"&amp;"tack which results in a Critical Hit or missing all Targets. A Paralyzed Enemy ends their turn within 3m of you.")</f>
        <v>Effect: Up to twice per Round whenever you meet a following condition, gain +1 CS in a Stat of your choice or gain a Tick of Temporary Hit Points. You start your Turn in a Thunderstorm or with an Electric Attack affecting the Field. You use an Electric Attack which results in a Critical Hit or missing all Targets. A Paralyzed Enemy ends their turn within 3m of you.</v>
      </c>
      <c r="J235" s="215"/>
      <c r="K235" s="217"/>
      <c r="L235" s="217"/>
      <c r="M235" s="217"/>
      <c r="N235" s="217"/>
      <c r="O235" s="217"/>
      <c r="P235" s="217"/>
    </row>
    <row r="236">
      <c r="A236" s="214"/>
      <c r="B236" s="214"/>
      <c r="C236" s="214"/>
      <c r="D236" s="214"/>
      <c r="E236" s="215"/>
      <c r="F236" s="216" t="str">
        <f>IFERROR(__xludf.DUMMYFUNCTION("""COMPUTED_VALUE"""),"Celestial Blessing")</f>
        <v>Celestial Blessing</v>
      </c>
      <c r="G236" s="216" t="str">
        <f>IFERROR(__xludf.DUMMYFUNCTION("""COMPUTED_VALUE"""),"Elementalism - Fairy Elementalist")</f>
        <v>Elementalism - Fairy Elementalist</v>
      </c>
      <c r="H236" s="216" t="str">
        <f>IFERROR(__xludf.DUMMYFUNCTION("""COMPUTED_VALUE"""),"At-Will - Free Action")</f>
        <v>At-Will - Free Action</v>
      </c>
      <c r="I236" s="216" t="str">
        <f>IFERROR(__xludf.DUMMYFUNCTION("""COMPUTED_VALUE"""),"Trigger: You use a Fairy Type Attack on yourself or an Ally
Effect: They gain a Celestial Coat. A combatant can only gain a Celestial Coat once per Scene, or twice if you're at least Level 10. A Celestial Coat can be expended as a Swift Action to become c"&amp;"ured of a Status Affliction or as a Free Action if they would gain a Status Affliction to instead not gain it")</f>
        <v>Trigger: You use a Fairy Type Attack on yourself or an Ally
Effect: They gain a Celestial Coat. A combatant can only gain a Celestial Coat once per Scene, or twice if you're at least Level 10. A Celestial Coat can be expended as a Swift Action to become cured of a Status Affliction or as a Free Action if they would gain a Status Affliction to instead not gain it</v>
      </c>
      <c r="J236" s="215"/>
      <c r="K236" s="217"/>
      <c r="L236" s="217"/>
      <c r="M236" s="217"/>
      <c r="N236" s="217"/>
      <c r="O236" s="217"/>
      <c r="P236" s="217"/>
    </row>
    <row r="237">
      <c r="A237" s="214"/>
      <c r="B237" s="214"/>
      <c r="C237" s="214"/>
      <c r="D237" s="214"/>
      <c r="E237" s="215"/>
      <c r="F237" s="216" t="str">
        <f>IFERROR(__xludf.DUMMYFUNCTION("""COMPUTED_VALUE"""),"Enchanting Allure")</f>
        <v>Enchanting Allure</v>
      </c>
      <c r="G237" s="216" t="str">
        <f>IFERROR(__xludf.DUMMYFUNCTION("""COMPUTED_VALUE"""),"Elementalism - Fairy Elementalist")</f>
        <v>Elementalism - Fairy Elementalist</v>
      </c>
      <c r="H237" s="216" t="str">
        <f>IFERROR(__xludf.DUMMYFUNCTION("""COMPUTED_VALUE"""),"At-Will - Free Action")</f>
        <v>At-Will - Free Action</v>
      </c>
      <c r="I237" s="216" t="str">
        <f>IFERROR(__xludf.DUMMYFUNCTION("""COMPUTED_VALUE"""),"Trigger: You inflict a Mental Affliction
Effect: You may instead inflict Entranced. 
Bonus: As a Swift Action you may Target an Entranced Enemy within 5m and Slide them up to 3m towards you or have them become Provoked by you until the end of their next T"&amp;"urn. When Provoked this way, ignoring the restrictions of Entranced.")</f>
        <v>Trigger: You inflict a Mental Affliction
Effect: You may instead inflict Entranced. 
Bonus: As a Swift Action you may Target an Entranced Enemy within 5m and Slide them up to 3m towards you or have them become Provoked by you until the end of their next Turn. When Provoked this way, ignoring the restrictions of Entranced.</v>
      </c>
      <c r="J237" s="215"/>
      <c r="K237" s="217"/>
      <c r="L237" s="217"/>
      <c r="M237" s="217"/>
      <c r="N237" s="217"/>
      <c r="O237" s="217"/>
      <c r="P237" s="217"/>
    </row>
    <row r="238">
      <c r="A238" s="214"/>
      <c r="B238" s="214"/>
      <c r="C238" s="214"/>
      <c r="D238" s="214"/>
      <c r="E238" s="215"/>
      <c r="F238" s="216" t="str">
        <f>IFERROR(__xludf.DUMMYFUNCTION("""COMPUTED_VALUE"""),"Fairy Law")</f>
        <v>Fairy Law</v>
      </c>
      <c r="G238" s="216" t="str">
        <f>IFERROR(__xludf.DUMMYFUNCTION("""COMPUTED_VALUE"""),"Elementalism - Fairy Elementalist")</f>
        <v>Elementalism - Fairy Elementalist</v>
      </c>
      <c r="H238" s="216" t="str">
        <f>IFERROR(__xludf.DUMMYFUNCTION("""COMPUTED_VALUE"""),"At-Will - Swift Action")</f>
        <v>At-Will - Swift Action</v>
      </c>
      <c r="I238" s="216" t="str">
        <f>IFERROR(__xludf.DUMMYFUNCTION("""COMPUTED_VALUE"""),"Trigger: You hit a Fairy Type Attack
Effect: One Target hit by the Triggering Attack becomes Marked by a Judgment Mark. Enemies affected by a Judgment Mark cannot perform a specific Action, declared by you upon being marked. This action can only be using "&amp;"a specific Attack Type, using a specific Ability, using a Category of Maneuvers or using Attacks with a specific Attack Keyword. At Level 10, up to two Enemies may have this Mark at a time.")</f>
        <v>Trigger: You hit a Fairy Type Attack
Effect: One Target hit by the Triggering Attack becomes Marked by a Judgment Mark. Enemies affected by a Judgment Mark cannot perform a specific Action, declared by you upon being marked. This action can only be using a specific Attack Type, using a specific Ability, using a Category of Maneuvers or using Attacks with a specific Attack Keyword. At Level 10, up to two Enemies may have this Mark at a time.</v>
      </c>
      <c r="J238" s="215"/>
      <c r="K238" s="217"/>
      <c r="L238" s="217"/>
      <c r="M238" s="217"/>
      <c r="N238" s="217"/>
      <c r="O238" s="217"/>
      <c r="P238" s="217"/>
    </row>
    <row r="239">
      <c r="A239" s="214"/>
      <c r="B239" s="214"/>
      <c r="C239" s="214"/>
      <c r="D239" s="214"/>
      <c r="E239" s="215"/>
      <c r="F239" s="216" t="str">
        <f>IFERROR(__xludf.DUMMYFUNCTION("""COMPUTED_VALUE"""),"Magical Transformation")</f>
        <v>Magical Transformation</v>
      </c>
      <c r="G239" s="216" t="str">
        <f>IFERROR(__xludf.DUMMYFUNCTION("""COMPUTED_VALUE"""),"Elementalism - Fairy Elementalist")</f>
        <v>Elementalism - Fairy Elementalist</v>
      </c>
      <c r="H239" s="216" t="str">
        <f>IFERROR(__xludf.DUMMYFUNCTION("""COMPUTED_VALUE"""),"At-Will - Swift Action")</f>
        <v>At-Will - Swift Action</v>
      </c>
      <c r="I239" s="216" t="str">
        <f>IFERROR(__xludf.DUMMYFUNCTION("""COMPUTED_VALUE"""),"Effect: You change into an alternative form indicative of your Fairy Affinity. When you do so, you gain a Tick of Temporary Hit Points and benefit from a bonus effect while in this form. You revert forms when you fall below 50% HP and cannot use this Tech"&amp;"nique while under 50%. This bonus effect is negotiated with the GM upon gaining this technique but should have the impact of gaining an Ability.")</f>
        <v>Effect: You change into an alternative form indicative of your Fairy Affinity. When you do so, you gain a Tick of Temporary Hit Points and benefit from a bonus effect while in this form. You revert forms when you fall below 50% HP and cannot use this Technique while under 50%. This bonus effect is negotiated with the GM upon gaining this technique but should have the impact of gaining an Ability.</v>
      </c>
      <c r="J239" s="215"/>
      <c r="K239" s="217"/>
      <c r="L239" s="217"/>
      <c r="M239" s="217"/>
      <c r="N239" s="217"/>
      <c r="O239" s="217"/>
      <c r="P239" s="217"/>
    </row>
    <row r="240">
      <c r="A240" s="214"/>
      <c r="B240" s="214"/>
      <c r="C240" s="214"/>
      <c r="D240" s="214"/>
      <c r="E240" s="215"/>
      <c r="F240" s="216" t="str">
        <f>IFERROR(__xludf.DUMMYFUNCTION("""COMPUTED_VALUE"""),"Pixie Misdirection")</f>
        <v>Pixie Misdirection</v>
      </c>
      <c r="G240" s="216" t="str">
        <f>IFERROR(__xludf.DUMMYFUNCTION("""COMPUTED_VALUE"""),"Elementalism - Fairy Elementalist")</f>
        <v>Elementalism - Fairy Elementalist</v>
      </c>
      <c r="H240" s="216" t="str">
        <f>IFERROR(__xludf.DUMMYFUNCTION("""COMPUTED_VALUE"""),"At-Will - Free Action")</f>
        <v>At-Will - Free Action</v>
      </c>
      <c r="I240" s="216" t="str">
        <f>IFERROR(__xludf.DUMMYFUNCTION("""COMPUTED_VALUE"""),"Trigger: You inflict a Status Affliction with a Fairy Type Attack
Effect: You may instead inflict Dazed. 
Bonus: You learn the Ally Switch and Teleport Attack and gain the Teleporter Capability.")</f>
        <v>Trigger: You inflict a Status Affliction with a Fairy Type Attack
Effect: You may instead inflict Dazed. 
Bonus: You learn the Ally Switch and Teleport Attack and gain the Teleporter Capability.</v>
      </c>
      <c r="J240" s="215"/>
      <c r="K240" s="217"/>
      <c r="L240" s="217"/>
      <c r="M240" s="217"/>
      <c r="N240" s="217"/>
      <c r="O240" s="217"/>
      <c r="P240" s="217"/>
    </row>
    <row r="241">
      <c r="A241" s="214"/>
      <c r="B241" s="214"/>
      <c r="C241" s="214"/>
      <c r="D241" s="214"/>
      <c r="E241" s="215"/>
      <c r="F241" s="216" t="str">
        <f>IFERROR(__xludf.DUMMYFUNCTION("""COMPUTED_VALUE"""),"Aura User")</f>
        <v>Aura User</v>
      </c>
      <c r="G241" s="216" t="str">
        <f>IFERROR(__xludf.DUMMYFUNCTION("""COMPUTED_VALUE"""),"Elementalism - Fighting Elementalist")</f>
        <v>Elementalism - Fighting Elementalist</v>
      </c>
      <c r="H241" s="216" t="str">
        <f>IFERROR(__xludf.DUMMYFUNCTION("""COMPUTED_VALUE"""),"Static")</f>
        <v>Static</v>
      </c>
      <c r="I241" s="216" t="str">
        <f>IFERROR(__xludf.DUMMYFUNCTION("""COMPUTED_VALUE"""),"Effect: You gain the Aura Reader Capability. Your Fighting Type attacks all gain the Aura Keyword. When you use an Attack that already had the Aura Keyword naturally, you have a bonus to Critical Hit Ranges equal to your Tier Level.")</f>
        <v>Effect: You gain the Aura Reader Capability. Your Fighting Type attacks all gain the Aura Keyword. When you use an Attack that already had the Aura Keyword naturally, you have a bonus to Critical Hit Ranges equal to your Tier Level.</v>
      </c>
      <c r="J241" s="215"/>
      <c r="K241" s="217"/>
      <c r="L241" s="217"/>
      <c r="M241" s="217"/>
      <c r="N241" s="217"/>
      <c r="O241" s="217"/>
      <c r="P241" s="217"/>
    </row>
    <row r="242">
      <c r="A242" s="214"/>
      <c r="B242" s="214"/>
      <c r="C242" s="214"/>
      <c r="D242" s="214"/>
      <c r="E242" s="215"/>
      <c r="F242" s="216" t="str">
        <f>IFERROR(__xludf.DUMMYFUNCTION("""COMPUTED_VALUE"""),"High Stamina")</f>
        <v>High Stamina</v>
      </c>
      <c r="G242" s="216" t="str">
        <f>IFERROR(__xludf.DUMMYFUNCTION("""COMPUTED_VALUE"""),"Elementalism - Fighting Elementalist")</f>
        <v>Elementalism - Fighting Elementalist</v>
      </c>
      <c r="H242" s="216" t="str">
        <f>IFERROR(__xludf.DUMMYFUNCTION("""COMPUTED_VALUE"""),"At-Will - Free Action")</f>
        <v>At-Will - Free Action</v>
      </c>
      <c r="I242" s="216" t="str">
        <f>IFERROR(__xludf.DUMMYFUNCTION("""COMPUTED_VALUE"""),"Trigger: You use a Fighting Type Attack
Effect: You gain +1 CS in Defense, Special Defense or a Tick of Temporary Hit Points. This can only be Triggered once per Round. 
Bonus: You learn the Endure Attack.")</f>
        <v>Trigger: You use a Fighting Type Attack
Effect: You gain +1 CS in Defense, Special Defense or a Tick of Temporary Hit Points. This can only be Triggered once per Round. 
Bonus: You learn the Endure Attack.</v>
      </c>
      <c r="J242" s="215"/>
      <c r="K242" s="217"/>
      <c r="L242" s="217"/>
      <c r="M242" s="217"/>
      <c r="N242" s="217"/>
      <c r="O242" s="217"/>
      <c r="P242" s="217"/>
    </row>
    <row r="243">
      <c r="A243" s="214"/>
      <c r="B243" s="214"/>
      <c r="C243" s="214"/>
      <c r="D243" s="214"/>
      <c r="E243" s="215"/>
      <c r="F243" s="216" t="str">
        <f>IFERROR(__xludf.DUMMYFUNCTION("""COMPUTED_VALUE"""),"Ki Empowered")</f>
        <v>Ki Empowered</v>
      </c>
      <c r="G243" s="216" t="str">
        <f>IFERROR(__xludf.DUMMYFUNCTION("""COMPUTED_VALUE"""),"Elementalism - Fighting Elementalist")</f>
        <v>Elementalism - Fighting Elementalist</v>
      </c>
      <c r="H243" s="216" t="str">
        <f>IFERROR(__xludf.DUMMYFUNCTION("""COMPUTED_VALUE"""),"Static")</f>
        <v>Static</v>
      </c>
      <c r="I243" s="216" t="str">
        <f>IFERROR(__xludf.DUMMYFUNCTION("""COMPUTED_VALUE"""),"Effect: At the start of each Round you gain 3 Ki Counters (Max 3). Ki Counters may be expended for the following. To gain a modifier to Accuracy or Save Checks equal to your Tier Level per Counter until the start of your next Turn. To gain Evasion against"&amp;" an Attack equal to your Tier Level per Counter (Triggers After Accuracy Roll). To gain a modifier to a non-Knowledge Skill Check in combat equal to double your Tier Level per Counter.")</f>
        <v>Effect: At the start of each Round you gain 3 Ki Counters (Max 3). Ki Counters may be expended for the following. To gain a modifier to Accuracy or Save Checks equal to your Tier Level per Counter until the start of your next Turn. To gain Evasion against an Attack equal to your Tier Level per Counter (Triggers After Accuracy Roll). To gain a modifier to a non-Knowledge Skill Check in combat equal to double your Tier Level per Counter.</v>
      </c>
      <c r="J243" s="215"/>
      <c r="K243" s="217"/>
      <c r="L243" s="217"/>
      <c r="M243" s="217"/>
      <c r="N243" s="217"/>
      <c r="O243" s="217"/>
      <c r="P243" s="217"/>
    </row>
    <row r="244">
      <c r="A244" s="214"/>
      <c r="B244" s="214"/>
      <c r="C244" s="214"/>
      <c r="D244" s="214"/>
      <c r="E244" s="215"/>
      <c r="F244" s="216" t="str">
        <f>IFERROR(__xludf.DUMMYFUNCTION("""COMPUTED_VALUE"""),"Martial User")</f>
        <v>Martial User</v>
      </c>
      <c r="G244" s="216" t="str">
        <f>IFERROR(__xludf.DUMMYFUNCTION("""COMPUTED_VALUE"""),"Elementalism - Fighting Elementalist")</f>
        <v>Elementalism - Fighting Elementalist</v>
      </c>
      <c r="H244" s="216" t="str">
        <f>IFERROR(__xludf.DUMMYFUNCTION("""COMPUTED_VALUE"""),"At-Will - Free Action")</f>
        <v>At-Will - Free Action</v>
      </c>
      <c r="I244" s="216" t="str">
        <f>IFERROR(__xludf.DUMMYFUNCTION("""COMPUTED_VALUE"""),"Trigger: An Adjacent Enemy misses an Attack against you
Effect: You may use a Tactic Maneuver against them as a Free Action other than Throw or you may use an Attack of Opportunity against them. This may only be triggered once per Round.")</f>
        <v>Trigger: An Adjacent Enemy misses an Attack against you
Effect: You may use a Tactic Maneuver against them as a Free Action other than Throw or you may use an Attack of Opportunity against them. This may only be triggered once per Round.</v>
      </c>
      <c r="J244" s="215"/>
      <c r="K244" s="217"/>
      <c r="L244" s="217"/>
      <c r="M244" s="217"/>
      <c r="N244" s="217"/>
      <c r="O244" s="217"/>
      <c r="P244" s="217"/>
    </row>
    <row r="245">
      <c r="A245" s="214"/>
      <c r="B245" s="214"/>
      <c r="C245" s="214"/>
      <c r="D245" s="214"/>
      <c r="E245" s="215"/>
      <c r="F245" s="216" t="str">
        <f>IFERROR(__xludf.DUMMYFUNCTION("""COMPUTED_VALUE"""),"Strength Training")</f>
        <v>Strength Training</v>
      </c>
      <c r="G245" s="216" t="str">
        <f>IFERROR(__xludf.DUMMYFUNCTION("""COMPUTED_VALUE"""),"Elementalism - Fighting Elementalist")</f>
        <v>Elementalism - Fighting Elementalist</v>
      </c>
      <c r="H245" s="216" t="str">
        <f>IFERROR(__xludf.DUMMYFUNCTION("""COMPUTED_VALUE"""),"Static")</f>
        <v>Static</v>
      </c>
      <c r="I245" s="216" t="str">
        <f>IFERROR(__xludf.DUMMYFUNCTION("""COMPUTED_VALUE"""),"Effect: Your Melee Fighting Type Attacks ignore Physical and Special Stat Evasion equal to double your Tier Level.")</f>
        <v>Effect: Your Melee Fighting Type Attacks ignore Physical and Special Stat Evasion equal to double your Tier Level.</v>
      </c>
      <c r="J245" s="215"/>
      <c r="K245" s="217"/>
      <c r="L245" s="217"/>
      <c r="M245" s="217"/>
      <c r="N245" s="217"/>
      <c r="O245" s="217"/>
      <c r="P245" s="217"/>
    </row>
    <row r="246">
      <c r="A246" s="214"/>
      <c r="B246" s="214"/>
      <c r="C246" s="214"/>
      <c r="D246" s="214"/>
      <c r="E246" s="215"/>
      <c r="F246" s="216" t="str">
        <f>IFERROR(__xludf.DUMMYFUNCTION("""COMPUTED_VALUE"""),"Blazing Terrain")</f>
        <v>Blazing Terrain</v>
      </c>
      <c r="G246" s="216" t="str">
        <f>IFERROR(__xludf.DUMMYFUNCTION("""COMPUTED_VALUE"""),"Elementalism - Fire Elementalist")</f>
        <v>Elementalism - Fire Elementalist</v>
      </c>
      <c r="H246" s="216" t="str">
        <f>IFERROR(__xludf.DUMMYFUNCTION("""COMPUTED_VALUE"""),"At-Will - Free Action")</f>
        <v>At-Will - Free Action</v>
      </c>
      <c r="I246" s="216" t="str">
        <f>IFERROR(__xludf.DUMMYFUNCTION("""COMPUTED_VALUE"""),"Trigger: You use a Fire Attack that isn't 1-Target
Effect: Create Fire Hazards in all spaces of the Triggering Attack's Range.
Bonus: You learn the Fire Wall Attack")</f>
        <v>Trigger: You use a Fire Attack that isn't 1-Target
Effect: Create Fire Hazards in all spaces of the Triggering Attack's Range.
Bonus: You learn the Fire Wall Attack</v>
      </c>
      <c r="J246" s="215"/>
      <c r="K246" s="217"/>
      <c r="L246" s="217"/>
      <c r="M246" s="217"/>
      <c r="N246" s="217"/>
      <c r="O246" s="217"/>
      <c r="P246" s="217"/>
    </row>
    <row r="247">
      <c r="A247" s="214"/>
      <c r="B247" s="214"/>
      <c r="C247" s="214"/>
      <c r="D247" s="214"/>
      <c r="E247" s="215"/>
      <c r="F247" s="216" t="str">
        <f>IFERROR(__xludf.DUMMYFUNCTION("""COMPUTED_VALUE"""),"Fiery Soul")</f>
        <v>Fiery Soul</v>
      </c>
      <c r="G247" s="216" t="str">
        <f>IFERROR(__xludf.DUMMYFUNCTION("""COMPUTED_VALUE"""),"Elementalism - Fire Elementalist")</f>
        <v>Elementalism - Fire Elementalist</v>
      </c>
      <c r="H247" s="216" t="str">
        <f>IFERROR(__xludf.DUMMYFUNCTION("""COMPUTED_VALUE"""),"Static")</f>
        <v>Static</v>
      </c>
      <c r="I247" s="216" t="str">
        <f>IFERROR(__xludf.DUMMYFUNCTION("""COMPUTED_VALUE"""),"Effect: While you’re under 50% Hit Points or affected by a Status Affliction, your Fire Type Attacks have a Bonus to Accuracy, Crit Range and Effect Range equal to your Tier Level. If both conditions are met the bonuses don’t stack unless you are at least"&amp;" Level 10.")</f>
        <v>Effect: While you’re under 50% Hit Points or affected by a Status Affliction, your Fire Type Attacks have a Bonus to Accuracy, Crit Range and Effect Range equal to your Tier Level. If both conditions are met the bonuses don’t stack unless you are at least Level 10.</v>
      </c>
      <c r="J247" s="215"/>
      <c r="K247" s="217"/>
      <c r="L247" s="217"/>
      <c r="M247" s="217"/>
      <c r="N247" s="217"/>
      <c r="O247" s="217"/>
      <c r="P247" s="217"/>
    </row>
    <row r="248">
      <c r="A248" s="214"/>
      <c r="B248" s="214"/>
      <c r="C248" s="214"/>
      <c r="D248" s="214"/>
      <c r="E248" s="215"/>
      <c r="F248" s="216" t="str">
        <f>IFERROR(__xludf.DUMMYFUNCTION("""COMPUTED_VALUE"""),"Instant Combustion")</f>
        <v>Instant Combustion</v>
      </c>
      <c r="G248" s="216" t="str">
        <f>IFERROR(__xludf.DUMMYFUNCTION("""COMPUTED_VALUE"""),"Elementalism - Fire Elementalist")</f>
        <v>Elementalism - Fire Elementalist</v>
      </c>
      <c r="H248" s="216" t="str">
        <f>IFERROR(__xludf.DUMMYFUNCTION("""COMPUTED_VALUE"""),"At-Will - Swift Action")</f>
        <v>At-Will - Swift Action</v>
      </c>
      <c r="I248" s="216" t="str">
        <f>IFERROR(__xludf.DUMMYFUNCTION("""COMPUTED_VALUE"""),"Trigger: You hit a Fire Damaging Attack on a Burned Enemy
Effect: The Target is cured of the Burned Affliction. The Triggering Attack becomes a Critical Hit against them. An Enemy can only be affected by this Technique once per Scene.")</f>
        <v>Trigger: You hit a Fire Damaging Attack on a Burned Enemy
Effect: The Target is cured of the Burned Affliction. The Triggering Attack becomes a Critical Hit against them. An Enemy can only be affected by this Technique once per Scene.</v>
      </c>
      <c r="J248" s="215"/>
      <c r="K248" s="217"/>
      <c r="L248" s="217"/>
      <c r="M248" s="217"/>
      <c r="N248" s="217"/>
      <c r="O248" s="217"/>
      <c r="P248" s="217"/>
    </row>
    <row r="249">
      <c r="A249" s="214"/>
      <c r="B249" s="214"/>
      <c r="C249" s="214"/>
      <c r="D249" s="214"/>
      <c r="E249" s="215"/>
      <c r="F249" s="216" t="str">
        <f>IFERROR(__xludf.DUMMYFUNCTION("""COMPUTED_VALUE"""),"Scorched Defenses")</f>
        <v>Scorched Defenses</v>
      </c>
      <c r="G249" s="216" t="str">
        <f>IFERROR(__xludf.DUMMYFUNCTION("""COMPUTED_VALUE"""),"Elementalism - Fire Elementalist")</f>
        <v>Elementalism - Fire Elementalist</v>
      </c>
      <c r="H249" s="216" t="str">
        <f>IFERROR(__xludf.DUMMYFUNCTION("""COMPUTED_VALUE"""),"At-Will - Free Action")</f>
        <v>At-Will - Free Action</v>
      </c>
      <c r="I249" s="216" t="str">
        <f>IFERROR(__xludf.DUMMYFUNCTION("""COMPUTED_VALUE"""),"Trigger: You hit a Fire Damaging Attack
Effect: All Targets hit by the Triggering Attack lose -2 CS in Defense or Special Defense after Damage Resolution. If the Stat you chose is already negative, they become Burned as well. 
Bonus: While an Enemy is aff"&amp;"ected by the Burned Affliction, inflicted by you, they're also Vulnerable.")</f>
        <v>Trigger: You hit a Fire Damaging Attack
Effect: All Targets hit by the Triggering Attack lose -2 CS in Defense or Special Defense after Damage Resolution. If the Stat you chose is already negative, they become Burned as well. 
Bonus: While an Enemy is affected by the Burned Affliction, inflicted by you, they're also Vulnerable.</v>
      </c>
      <c r="J249" s="215"/>
      <c r="K249" s="217"/>
      <c r="L249" s="217"/>
      <c r="M249" s="217"/>
      <c r="N249" s="217"/>
      <c r="O249" s="217"/>
      <c r="P249" s="217"/>
    </row>
    <row r="250">
      <c r="A250" s="214"/>
      <c r="B250" s="214"/>
      <c r="C250" s="214"/>
      <c r="D250" s="214"/>
      <c r="E250" s="215"/>
      <c r="F250" s="216" t="str">
        <f>IFERROR(__xludf.DUMMYFUNCTION("""COMPUTED_VALUE"""),"Solar Conversion")</f>
        <v>Solar Conversion</v>
      </c>
      <c r="G250" s="216" t="str">
        <f>IFERROR(__xludf.DUMMYFUNCTION("""COMPUTED_VALUE"""),"Elementalism - Fire Elementalist")</f>
        <v>Elementalism - Fire Elementalist</v>
      </c>
      <c r="H250" s="216" t="str">
        <f>IFERROR(__xludf.DUMMYFUNCTION("""COMPUTED_VALUE"""),"At-Will - Swift Action")</f>
        <v>At-Will - Swift Action</v>
      </c>
      <c r="I250" s="216" t="str">
        <f>IFERROR(__xludf.DUMMYFUNCTION("""COMPUTED_VALUE"""),"Effect: Choose one of the following Effects to apply, or two different Effects if the Weather is Sunny or you used a Fire Type Attack as a Standard Action this Turn. If the Field has no exposure to sun, this Technique cannot be used
&gt; You restore a Tick "&amp;"of Hit Points | You gain a Tick of Temporary Hit Points | You gain +1 CS to a Stat of your Choice | You gain a +1 Modifier to a Combat Value of your choice")</f>
        <v>Effect: Choose one of the following Effects to apply, or two different Effects if the Weather is Sunny or you used a Fire Type Attack as a Standard Action this Turn. If the Field has no exposure to sun, this Technique cannot be used
&gt; You restore a Tick of Hit Points | You gain a Tick of Temporary Hit Points | You gain +1 CS to a Stat of your Choice | You gain a +1 Modifier to a Combat Value of your choice</v>
      </c>
      <c r="J250" s="215"/>
      <c r="K250" s="217"/>
      <c r="L250" s="217"/>
      <c r="M250" s="217"/>
      <c r="N250" s="217"/>
      <c r="O250" s="217"/>
      <c r="P250" s="217"/>
    </row>
    <row r="251">
      <c r="A251" s="214"/>
      <c r="B251" s="214"/>
      <c r="C251" s="214"/>
      <c r="D251" s="214"/>
      <c r="E251" s="215"/>
      <c r="F251" s="216" t="str">
        <f>IFERROR(__xludf.DUMMYFUNCTION("""COMPUTED_VALUE"""),"Aerokineticist")</f>
        <v>Aerokineticist</v>
      </c>
      <c r="G251" s="216" t="str">
        <f>IFERROR(__xludf.DUMMYFUNCTION("""COMPUTED_VALUE"""),"Elementalism - Flying Elementalist")</f>
        <v>Elementalism - Flying Elementalist</v>
      </c>
      <c r="H251" s="216" t="str">
        <f>IFERROR(__xludf.DUMMYFUNCTION("""COMPUTED_VALUE"""),"At-Will - Swift Action")</f>
        <v>At-Will - Swift Action</v>
      </c>
      <c r="I251" s="216" t="str">
        <f>IFERROR(__xludf.DUMMYFUNCTION("""COMPUTED_VALUE"""),"Trigger: You hit a Flying Type Attack against a single Enemy
Effect: Perform one of the following. Slide them 3m in any direction. Perform a Disarm, Hinder or Trip Maneuver against them ignoring range as a Free Action using Focus for your opposed checks.")</f>
        <v>Trigger: You hit a Flying Type Attack against a single Enemy
Effect: Perform one of the following. Slide them 3m in any direction. Perform a Disarm, Hinder or Trip Maneuver against them ignoring range as a Free Action using Focus for your opposed checks.</v>
      </c>
      <c r="J251" s="215"/>
      <c r="K251" s="217"/>
      <c r="L251" s="217"/>
      <c r="M251" s="217"/>
      <c r="N251" s="217"/>
      <c r="O251" s="217"/>
      <c r="P251" s="217"/>
    </row>
    <row r="252">
      <c r="A252" s="214"/>
      <c r="B252" s="214"/>
      <c r="C252" s="214"/>
      <c r="D252" s="214"/>
      <c r="E252" s="215"/>
      <c r="F252" s="216" t="str">
        <f>IFERROR(__xludf.DUMMYFUNCTION("""COMPUTED_VALUE"""),"Flowing Current")</f>
        <v>Flowing Current</v>
      </c>
      <c r="G252" s="216" t="str">
        <f>IFERROR(__xludf.DUMMYFUNCTION("""COMPUTED_VALUE"""),"Elementalism - Flying Elementalist")</f>
        <v>Elementalism - Flying Elementalist</v>
      </c>
      <c r="H252" s="216" t="str">
        <f>IFERROR(__xludf.DUMMYFUNCTION("""COMPUTED_VALUE"""),"At-Will - Reaction")</f>
        <v>At-Will - Reaction</v>
      </c>
      <c r="I252" s="216" t="str">
        <f>IFERROR(__xludf.DUMMYFUNCTION("""COMPUTED_VALUE"""),"Trigger: You or an Ally within 3m is targeted with a 1-Target Ranged Attack
Effect: Choose a different ally within 3m or yourself to become the new Target. At Level 10, this treat both instances of 3m as if they were 5m instead. This may only be triggered"&amp;" once per Round.")</f>
        <v>Trigger: You or an Ally within 3m is targeted with a 1-Target Ranged Attack
Effect: Choose a different ally within 3m or yourself to become the new Target. At Level 10, this treat both instances of 3m as if they were 5m instead. This may only be triggered once per Round.</v>
      </c>
      <c r="J252" s="215"/>
      <c r="K252" s="217"/>
      <c r="L252" s="217"/>
      <c r="M252" s="217"/>
      <c r="N252" s="217"/>
      <c r="O252" s="217"/>
      <c r="P252" s="217"/>
    </row>
    <row r="253">
      <c r="A253" s="214"/>
      <c r="B253" s="214"/>
      <c r="C253" s="214"/>
      <c r="D253" s="214"/>
      <c r="E253" s="215"/>
      <c r="F253" s="216" t="str">
        <f>IFERROR(__xludf.DUMMYFUNCTION("""COMPUTED_VALUE"""),"Swift Windstep")</f>
        <v>Swift Windstep</v>
      </c>
      <c r="G253" s="216" t="str">
        <f>IFERROR(__xludf.DUMMYFUNCTION("""COMPUTED_VALUE"""),"Elementalism - Flying Elementalist")</f>
        <v>Elementalism - Flying Elementalist</v>
      </c>
      <c r="H253" s="216" t="str">
        <f>IFERROR(__xludf.DUMMYFUNCTION("""COMPUTED_VALUE"""),"Static")</f>
        <v>Static</v>
      </c>
      <c r="I253" s="216" t="str">
        <f>IFERROR(__xludf.DUMMYFUNCTION("""COMPUTED_VALUE"""),"Effect: You cannot provoke Attacks of Opportunity by Moving. All of your Melee Attacks gain the Pass Keyword. If they already had the Pass Keyword and are Flying Type, they gain the Smite Keyword.")</f>
        <v>Effect: You cannot provoke Attacks of Opportunity by Moving. All of your Melee Attacks gain the Pass Keyword. If they already had the Pass Keyword and are Flying Type, they gain the Smite Keyword.</v>
      </c>
      <c r="J253" s="215"/>
      <c r="K253" s="217"/>
      <c r="L253" s="217"/>
      <c r="M253" s="217"/>
      <c r="N253" s="217"/>
      <c r="O253" s="217"/>
      <c r="P253" s="217"/>
    </row>
    <row r="254">
      <c r="A254" s="214"/>
      <c r="B254" s="214"/>
      <c r="C254" s="214"/>
      <c r="D254" s="214"/>
      <c r="E254" s="215"/>
      <c r="F254" s="216" t="str">
        <f>IFERROR(__xludf.DUMMYFUNCTION("""COMPUTED_VALUE"""),"Tempest Weaver")</f>
        <v>Tempest Weaver</v>
      </c>
      <c r="G254" s="216" t="str">
        <f>IFERROR(__xludf.DUMMYFUNCTION("""COMPUTED_VALUE"""),"Elementalism - Flying Elementalist")</f>
        <v>Elementalism - Flying Elementalist</v>
      </c>
      <c r="H254" s="216" t="str">
        <f>IFERROR(__xludf.DUMMYFUNCTION("""COMPUTED_VALUE"""),"Static")</f>
        <v>Static</v>
      </c>
      <c r="I254" s="216" t="str">
        <f>IFERROR(__xludf.DUMMYFUNCTION("""COMPUTED_VALUE"""),"Effect:You gain the Tempest Attack. Tempest Hazards created this way aren’t removed when you use a Movement Action but are always removed at the start of your Turn unless you spend a Swift Action. Tempest becomes an At-Will Frequency.")</f>
        <v>Effect:You gain the Tempest Attack. Tempest Hazards created this way aren’t removed when you use a Movement Action but are always removed at the start of your Turn unless you spend a Swift Action. Tempest becomes an At-Will Frequency.</v>
      </c>
      <c r="J254" s="215"/>
      <c r="K254" s="217"/>
      <c r="L254" s="217"/>
      <c r="M254" s="217"/>
      <c r="N254" s="217"/>
      <c r="O254" s="217"/>
      <c r="P254" s="217"/>
    </row>
    <row r="255">
      <c r="A255" s="214"/>
      <c r="B255" s="214"/>
      <c r="C255" s="214"/>
      <c r="D255" s="214"/>
      <c r="E255" s="215"/>
      <c r="F255" s="216" t="str">
        <f>IFERROR(__xludf.DUMMYFUNCTION("""COMPUTED_VALUE"""),"Wind Control")</f>
        <v>Wind Control</v>
      </c>
      <c r="G255" s="216" t="str">
        <f>IFERROR(__xludf.DUMMYFUNCTION("""COMPUTED_VALUE"""),"Elementalism - Flying Elementalist")</f>
        <v>Elementalism - Flying Elementalist</v>
      </c>
      <c r="H255" s="216" t="str">
        <f>IFERROR(__xludf.DUMMYFUNCTION("""COMPUTED_VALUE"""),"Static")</f>
        <v>Static</v>
      </c>
      <c r="I255" s="216" t="str">
        <f>IFERROR(__xludf.DUMMYFUNCTION("""COMPUTED_VALUE"""),"Effect: You learn the Wind Shift Attack. You and all Adjacent Allies have an Uncapped Evasion against Enemies equal to their distance from you in meters divided by 3 (Rounded Down). If the Weather is Windy, this applies to all Allies within 3m instead of "&amp;"just Adjacent ")</f>
        <v>Effect: You learn the Wind Shift Attack. You and all Adjacent Allies have an Uncapped Evasion against Enemies equal to their distance from you in meters divided by 3 (Rounded Down). If the Weather is Windy, this applies to all Allies within 3m instead of just Adjacent </v>
      </c>
      <c r="J255" s="215"/>
      <c r="K255" s="217"/>
      <c r="L255" s="217"/>
      <c r="M255" s="217"/>
      <c r="N255" s="217"/>
      <c r="O255" s="217"/>
      <c r="P255" s="217"/>
    </row>
    <row r="256">
      <c r="A256" s="214"/>
      <c r="B256" s="214"/>
      <c r="C256" s="214"/>
      <c r="D256" s="214"/>
      <c r="E256" s="215"/>
      <c r="F256" s="216" t="str">
        <f>IFERROR(__xludf.DUMMYFUNCTION("""COMPUTED_VALUE"""),"Haunting Presence")</f>
        <v>Haunting Presence</v>
      </c>
      <c r="G256" s="216" t="str">
        <f>IFERROR(__xludf.DUMMYFUNCTION("""COMPUTED_VALUE"""),"Elementalism - Ghost Elementalist")</f>
        <v>Elementalism - Ghost Elementalist</v>
      </c>
      <c r="H256" s="216" t="str">
        <f>IFERROR(__xludf.DUMMYFUNCTION("""COMPUTED_VALUE"""),"Static")</f>
        <v>Static</v>
      </c>
      <c r="I256" s="216" t="str">
        <f>IFERROR(__xludf.DUMMYFUNCTION("""COMPUTED_VALUE"""),"Effect: Enemies within 2m of you have a Penalty to Save Checks, Accuracy and Evasion equal to your Tier Level and cannot have the Cursed or Suppressed Affliction cured by their Allies.")</f>
        <v>Effect: Enemies within 2m of you have a Penalty to Save Checks, Accuracy and Evasion equal to your Tier Level and cannot have the Cursed or Suppressed Affliction cured by their Allies.</v>
      </c>
      <c r="J256" s="215"/>
      <c r="K256" s="217"/>
      <c r="L256" s="217"/>
      <c r="M256" s="217"/>
      <c r="N256" s="217"/>
      <c r="O256" s="217"/>
      <c r="P256" s="217"/>
    </row>
    <row r="257">
      <c r="A257" s="214"/>
      <c r="B257" s="214"/>
      <c r="C257" s="214"/>
      <c r="D257" s="214"/>
      <c r="E257" s="215"/>
      <c r="F257" s="216" t="str">
        <f>IFERROR(__xludf.DUMMYFUNCTION("""COMPUTED_VALUE"""),"Life Drain")</f>
        <v>Life Drain</v>
      </c>
      <c r="G257" s="216" t="str">
        <f>IFERROR(__xludf.DUMMYFUNCTION("""COMPUTED_VALUE"""),"Elementalism - Ghost Elementalist")</f>
        <v>Elementalism - Ghost Elementalist</v>
      </c>
      <c r="H257" s="216" t="str">
        <f>IFERROR(__xludf.DUMMYFUNCTION("""COMPUTED_VALUE"""),"At-Will - Free Action")</f>
        <v>At-Will - Free Action</v>
      </c>
      <c r="I257" s="216" t="str">
        <f>IFERROR(__xludf.DUMMYFUNCTION("""COMPUTED_VALUE"""),"Trigger: You hit a Ghost Type Attack
Effect: All Targets hit by the Triggering Attack lose a Tick of Hit Points or lose -1 CS in a Stat of your choice. If they lost a Tick of Hit Points, you gain one. If this Effect is Triggered and they lose CS, as a Swi"&amp;"ft Action you gain +1 CS in the Stat they lost CS in (You only gain one even if there were multiple Targets). ")</f>
        <v>Trigger: You hit a Ghost Type Attack
Effect: All Targets hit by the Triggering Attack lose a Tick of Hit Points or lose -1 CS in a Stat of your choice. If they lost a Tick of Hit Points, you gain one. If this Effect is Triggered and they lose CS, as a Swift Action you gain +1 CS in the Stat they lost CS in (You only gain one even if there were multiple Targets). </v>
      </c>
      <c r="J257" s="215"/>
      <c r="K257" s="217"/>
      <c r="L257" s="217"/>
      <c r="M257" s="217"/>
      <c r="N257" s="217"/>
      <c r="O257" s="217"/>
      <c r="P257" s="217"/>
    </row>
    <row r="258">
      <c r="A258" s="214"/>
      <c r="B258" s="214"/>
      <c r="C258" s="214"/>
      <c r="D258" s="214"/>
      <c r="E258" s="215"/>
      <c r="F258" s="216" t="str">
        <f>IFERROR(__xludf.DUMMYFUNCTION("""COMPUTED_VALUE"""),"Malicious Misfortune")</f>
        <v>Malicious Misfortune</v>
      </c>
      <c r="G258" s="216" t="str">
        <f>IFERROR(__xludf.DUMMYFUNCTION("""COMPUTED_VALUE"""),"Elementalism - Ghost Elementalist")</f>
        <v>Elementalism - Ghost Elementalist</v>
      </c>
      <c r="H258" s="216" t="str">
        <f>IFERROR(__xludf.DUMMYFUNCTION("""COMPUTED_VALUE"""),"At-Will - Swift Action")</f>
        <v>At-Will - Swift Action</v>
      </c>
      <c r="I258" s="216" t="str">
        <f>IFERROR(__xludf.DUMMYFUNCTION("""COMPUTED_VALUE"""),"Trigger: You hit a Ghost Type Attack against an Enemy with Negative CS
Effect: Their Stats with Negative CS are reset to their Default Value, then they gain the Cursed Affliction.")</f>
        <v>Trigger: You hit a Ghost Type Attack against an Enemy with Negative CS
Effect: Their Stats with Negative CS are reset to their Default Value, then they gain the Cursed Affliction.</v>
      </c>
      <c r="J258" s="215"/>
      <c r="K258" s="217"/>
      <c r="L258" s="217"/>
      <c r="M258" s="217"/>
      <c r="N258" s="217"/>
      <c r="O258" s="217"/>
      <c r="P258" s="217"/>
    </row>
    <row r="259">
      <c r="A259" s="214"/>
      <c r="B259" s="214"/>
      <c r="C259" s="214"/>
      <c r="D259" s="214"/>
      <c r="E259" s="215"/>
      <c r="F259" s="216" t="str">
        <f>IFERROR(__xludf.DUMMYFUNCTION("""COMPUTED_VALUE"""),"Phantom Pain")</f>
        <v>Phantom Pain</v>
      </c>
      <c r="G259" s="216" t="str">
        <f>IFERROR(__xludf.DUMMYFUNCTION("""COMPUTED_VALUE"""),"Elementalism - Ghost Elementalist")</f>
        <v>Elementalism - Ghost Elementalist</v>
      </c>
      <c r="H259" s="216" t="str">
        <f>IFERROR(__xludf.DUMMYFUNCTION("""COMPUTED_VALUE"""),"At-Will - Free Action")</f>
        <v>At-Will - Free Action</v>
      </c>
      <c r="I259" s="216" t="str">
        <f>IFERROR(__xludf.DUMMYFUNCTION("""COMPUTED_VALUE"""),"Trigger: You hit a Ghost Type Attack
Effect: Choose one Target that was hit by the Triggering Attack to become Marked with a Shackle Mark until the start of your next Turn. 
Bonus: Once per Round if you lose HP, gain a Status Affliction, or lose CS, you m"&amp;"ay have the same effect apply to the Enemy with the Shackle Mark. (If you take 60 Damage, so do they)")</f>
        <v>Trigger: You hit a Ghost Type Attack
Effect: Choose one Target that was hit by the Triggering Attack to become Marked with a Shackle Mark until the start of your next Turn. 
Bonus: Once per Round if you lose HP, gain a Status Affliction, or lose CS, you may have the same effect apply to the Enemy with the Shackle Mark. (If you take 60 Damage, so do they)</v>
      </c>
      <c r="J259" s="215"/>
      <c r="K259" s="217"/>
      <c r="L259" s="217"/>
      <c r="M259" s="217"/>
      <c r="N259" s="217"/>
      <c r="O259" s="217"/>
      <c r="P259" s="217"/>
    </row>
    <row r="260">
      <c r="A260" s="214"/>
      <c r="B260" s="214"/>
      <c r="C260" s="214"/>
      <c r="D260" s="214"/>
      <c r="E260" s="215"/>
      <c r="F260" s="216" t="str">
        <f>IFERROR(__xludf.DUMMYFUNCTION("""COMPUTED_VALUE"""),"Spectral Chains")</f>
        <v>Spectral Chains</v>
      </c>
      <c r="G260" s="216" t="str">
        <f>IFERROR(__xludf.DUMMYFUNCTION("""COMPUTED_VALUE"""),"Elementalism - Ghost Elementalist")</f>
        <v>Elementalism - Ghost Elementalist</v>
      </c>
      <c r="H260" s="216" t="str">
        <f>IFERROR(__xludf.DUMMYFUNCTION("""COMPUTED_VALUE"""),"At-Will - Swift Action ")</f>
        <v>At-Will - Swift Action </v>
      </c>
      <c r="I260" s="216" t="str">
        <f>IFERROR(__xludf.DUMMYFUNCTION("""COMPUTED_VALUE"""),"Target: An Enemy within 5m
Effect: Apply one of the following effects. They become Trapped by an ally or yourself if they’re within 3m of them. If they have a Mental Affliction, they’re Provoked by an Ally (or yourself) within 3m of them until the Afflict"&amp;"ion is cured.")</f>
        <v>Target: An Enemy within 5m
Effect: Apply one of the following effects. They become Trapped by an ally or yourself if they’re within 3m of them. If they have a Mental Affliction, they’re Provoked by an Ally (or yourself) within 3m of them until the Affliction is cured.</v>
      </c>
      <c r="J260" s="215"/>
      <c r="K260" s="217"/>
      <c r="L260" s="217"/>
      <c r="M260" s="217"/>
      <c r="N260" s="217"/>
      <c r="O260" s="217"/>
      <c r="P260" s="217"/>
    </row>
    <row r="261">
      <c r="A261" s="214"/>
      <c r="B261" s="214"/>
      <c r="C261" s="214"/>
      <c r="D261" s="214"/>
      <c r="E261" s="215"/>
      <c r="F261" s="216" t="str">
        <f>IFERROR(__xludf.DUMMYFUNCTION("""COMPUTED_VALUE"""),"Force of Nature")</f>
        <v>Force of Nature</v>
      </c>
      <c r="G261" s="216" t="str">
        <f>IFERROR(__xludf.DUMMYFUNCTION("""COMPUTED_VALUE"""),"Elementalism - Grass Elementalist")</f>
        <v>Elementalism - Grass Elementalist</v>
      </c>
      <c r="H261" s="216" t="str">
        <f>IFERROR(__xludf.DUMMYFUNCTION("""COMPUTED_VALUE"""),"At-Will - Swift Action")</f>
        <v>At-Will - Swift Action</v>
      </c>
      <c r="I261" s="216" t="str">
        <f>IFERROR(__xludf.DUMMYFUNCTION("""COMPUTED_VALUE"""),"Trigger: You use a Grass Damaging Attack against an Enemy with a Physical Affliction
Effect: The Type Effectiveness for the Triggering Attack is treated as Super Effective but it cannot exceed 1.5x effectiveness. 
Bonus: While you’re in Forest Terrain, yo"&amp;"ur Grass Type Attacks cannot be Resisted.")</f>
        <v>Trigger: You use a Grass Damaging Attack against an Enemy with a Physical Affliction
Effect: The Type Effectiveness for the Triggering Attack is treated as Super Effective but it cannot exceed 1.5x effectiveness. 
Bonus: While you’re in Forest Terrain, your Grass Type Attacks cannot be Resisted.</v>
      </c>
      <c r="J261" s="215"/>
      <c r="K261" s="217"/>
      <c r="L261" s="217"/>
      <c r="M261" s="217"/>
      <c r="N261" s="217"/>
      <c r="O261" s="217"/>
      <c r="P261" s="217"/>
    </row>
    <row r="262">
      <c r="A262" s="214"/>
      <c r="B262" s="214"/>
      <c r="C262" s="214"/>
      <c r="D262" s="214"/>
      <c r="E262" s="215"/>
      <c r="F262" s="216" t="str">
        <f>IFERROR(__xludf.DUMMYFUNCTION("""COMPUTED_VALUE"""),"Gracidea Shroud")</f>
        <v>Gracidea Shroud</v>
      </c>
      <c r="G262" s="216" t="str">
        <f>IFERROR(__xludf.DUMMYFUNCTION("""COMPUTED_VALUE"""),"Elementalism - Grass Elementalist")</f>
        <v>Elementalism - Grass Elementalist</v>
      </c>
      <c r="H262" s="216" t="str">
        <f>IFERROR(__xludf.DUMMYFUNCTION("""COMPUTED_VALUE"""),"At-Will - Free Action")</f>
        <v>At-Will - Free Action</v>
      </c>
      <c r="I262" s="216" t="str">
        <f>IFERROR(__xludf.DUMMYFUNCTION("""COMPUTED_VALUE"""),"Trigger: You use a Grass Type Attack
Effect: You and all Allies within 2m restore a Tick of Hit Points or gain a Tick of Temporary Hit Points. 
Bonus: You and Allies within 3m of you have a bonus to Save Checks equal to your Tier Level.")</f>
        <v>Trigger: You use a Grass Type Attack
Effect: You and all Allies within 2m restore a Tick of Hit Points or gain a Tick of Temporary Hit Points. 
Bonus: You and Allies within 3m of you have a bonus to Save Checks equal to your Tier Level.</v>
      </c>
      <c r="J262" s="215"/>
      <c r="K262" s="217"/>
      <c r="L262" s="217"/>
      <c r="M262" s="217"/>
      <c r="N262" s="217"/>
      <c r="O262" s="217"/>
      <c r="P262" s="217"/>
    </row>
    <row r="263">
      <c r="A263" s="214"/>
      <c r="B263" s="214"/>
      <c r="C263" s="214"/>
      <c r="D263" s="214"/>
      <c r="E263" s="215"/>
      <c r="F263" s="216" t="str">
        <f>IFERROR(__xludf.DUMMYFUNCTION("""COMPUTED_VALUE"""),"Lingering Powder")</f>
        <v>Lingering Powder</v>
      </c>
      <c r="G263" s="216" t="str">
        <f>IFERROR(__xludf.DUMMYFUNCTION("""COMPUTED_VALUE"""),"Elementalism - Grass Elementalist")</f>
        <v>Elementalism - Grass Elementalist</v>
      </c>
      <c r="H263" s="216" t="str">
        <f>IFERROR(__xludf.DUMMYFUNCTION("""COMPUTED_VALUE"""),"At-Will - Free Action")</f>
        <v>At-Will - Free Action</v>
      </c>
      <c r="I263" s="216" t="str">
        <f>IFERROR(__xludf.DUMMYFUNCTION("""COMPUTED_VALUE"""),"Trigger: You use a non-Self Grass Type Status Attack
Effect: Create a 2x2 Zone of Powder Hazard where at least one Target of the Triggering Attack is within the Zone. Whenever a Combatant enters a space with a Powder Hazard, they’re affected by the Effect"&amp;"s of the triggering Status Attack as if it hit. All Powder Hazards are removed at the end of the Round. This Technique may only be used once per Round.")</f>
        <v>Trigger: You use a non-Self Grass Type Status Attack
Effect: Create a 2x2 Zone of Powder Hazard where at least one Target of the Triggering Attack is within the Zone. Whenever a Combatant enters a space with a Powder Hazard, they’re affected by the Effects of the triggering Status Attack as if it hit. All Powder Hazards are removed at the end of the Round. This Technique may only be used once per Round.</v>
      </c>
      <c r="J263" s="215"/>
      <c r="K263" s="217"/>
      <c r="L263" s="217"/>
      <c r="M263" s="217"/>
      <c r="N263" s="217"/>
      <c r="O263" s="217"/>
      <c r="P263" s="217"/>
    </row>
    <row r="264">
      <c r="A264" s="214"/>
      <c r="B264" s="214"/>
      <c r="C264" s="214"/>
      <c r="D264" s="214"/>
      <c r="E264" s="215"/>
      <c r="F264" s="216" t="str">
        <f>IFERROR(__xludf.DUMMYFUNCTION("""COMPUTED_VALUE"""),"Parasitic Spores")</f>
        <v>Parasitic Spores</v>
      </c>
      <c r="G264" s="216" t="str">
        <f>IFERROR(__xludf.DUMMYFUNCTION("""COMPUTED_VALUE"""),"Elementalism - Grass Elementalist")</f>
        <v>Elementalism - Grass Elementalist</v>
      </c>
      <c r="H264" s="216" t="str">
        <f>IFERROR(__xludf.DUMMYFUNCTION("""COMPUTED_VALUE"""),"At-Will - Swift Action ")</f>
        <v>At-Will - Swift Action </v>
      </c>
      <c r="I264" s="216" t="str">
        <f>IFERROR(__xludf.DUMMYFUNCTION("""COMPUTED_VALUE"""),"Effect: Create Spore Hazards in a 2x2 Zone within 3m of you. Enemies that enter this space become Poisoned, Paralyzed or Burned of your choice")</f>
        <v>Effect: Create Spore Hazards in a 2x2 Zone within 3m of you. Enemies that enter this space become Poisoned, Paralyzed or Burned of your choice</v>
      </c>
      <c r="J264" s="215"/>
      <c r="K264" s="217"/>
      <c r="L264" s="217"/>
      <c r="M264" s="217"/>
      <c r="N264" s="217"/>
      <c r="O264" s="217"/>
      <c r="P264" s="217"/>
    </row>
    <row r="265">
      <c r="A265" s="214"/>
      <c r="B265" s="214"/>
      <c r="C265" s="214"/>
      <c r="D265" s="214"/>
      <c r="E265" s="215"/>
      <c r="F265" s="216" t="str">
        <f>IFERROR(__xludf.DUMMYFUNCTION("""COMPUTED_VALUE"""),"Woodland Overgrowth")</f>
        <v>Woodland Overgrowth</v>
      </c>
      <c r="G265" s="216" t="str">
        <f>IFERROR(__xludf.DUMMYFUNCTION("""COMPUTED_VALUE"""),"Elementalism - Grass Elementalist")</f>
        <v>Elementalism - Grass Elementalist</v>
      </c>
      <c r="H265" s="216" t="str">
        <f>IFERROR(__xludf.DUMMYFUNCTION("""COMPUTED_VALUE"""),"At-Will - Swift Action")</f>
        <v>At-Will - Swift Action</v>
      </c>
      <c r="I265" s="216" t="str">
        <f>IFERROR(__xludf.DUMMYFUNCTION("""COMPUTED_VALUE"""),"Trigger: You hit a Grass Type Attack against a single Enemy
Effect: The Target becomes Slowed after the Attack's Resolution. While Slowed this way, they are treated as Grass Type only for the sake of calculating Weaknesses and Resistances. If they are hit"&amp;" with a Super Effective Attack, they may immediately perform a Save Check as if it were the end of their Turn (But can only cure Slowed).")</f>
        <v>Trigger: You hit a Grass Type Attack against a single Enemy
Effect: The Target becomes Slowed after the Attack's Resolution. While Slowed this way, they are treated as Grass Type only for the sake of calculating Weaknesses and Resistances. If they are hit with a Super Effective Attack, they may immediately perform a Save Check as if it were the end of their Turn (But can only cure Slowed).</v>
      </c>
      <c r="J265" s="215"/>
      <c r="K265" s="217"/>
      <c r="L265" s="217"/>
      <c r="M265" s="217"/>
      <c r="N265" s="217"/>
      <c r="O265" s="217"/>
      <c r="P265" s="217"/>
    </row>
    <row r="266">
      <c r="A266" s="214"/>
      <c r="B266" s="214"/>
      <c r="C266" s="214"/>
      <c r="D266" s="214"/>
      <c r="E266" s="215"/>
      <c r="F266" s="216" t="str">
        <f>IFERROR(__xludf.DUMMYFUNCTION("""COMPUTED_VALUE"""),"Controlled Quakes")</f>
        <v>Controlled Quakes</v>
      </c>
      <c r="G266" s="216" t="str">
        <f>IFERROR(__xludf.DUMMYFUNCTION("""COMPUTED_VALUE"""),"Elementalism - Ground Elementalist")</f>
        <v>Elementalism - Ground Elementalist</v>
      </c>
      <c r="H266" s="216" t="str">
        <f>IFERROR(__xludf.DUMMYFUNCTION("""COMPUTED_VALUE"""),"At-Will - Swift or Movement Action")</f>
        <v>At-Will - Swift or Movement Action</v>
      </c>
      <c r="I266" s="216" t="str">
        <f>IFERROR(__xludf.DUMMYFUNCTION("""COMPUTED_VALUE"""),"Trigger: You use a Ground Type Attack
Effect: You can treat the Triggering Attack as if it had the Friendly Keyword. If the Attack isn’t At-Will or EOT, it requires a Swift and Movement Action unless you are at least Level 15.")</f>
        <v>Trigger: You use a Ground Type Attack
Effect: You can treat the Triggering Attack as if it had the Friendly Keyword. If the Attack isn’t At-Will or EOT, it requires a Swift and Movement Action unless you are at least Level 15.</v>
      </c>
      <c r="J266" s="215"/>
      <c r="K266" s="217"/>
      <c r="L266" s="217"/>
      <c r="M266" s="217"/>
      <c r="N266" s="217"/>
      <c r="O266" s="217"/>
      <c r="P266" s="217"/>
    </row>
    <row r="267">
      <c r="A267" s="214"/>
      <c r="B267" s="214"/>
      <c r="C267" s="214"/>
      <c r="D267" s="214"/>
      <c r="E267" s="215"/>
      <c r="F267" s="216" t="str">
        <f>IFERROR(__xludf.DUMMYFUNCTION("""COMPUTED_VALUE"""),"Desert Storm")</f>
        <v>Desert Storm</v>
      </c>
      <c r="G267" s="216" t="str">
        <f>IFERROR(__xludf.DUMMYFUNCTION("""COMPUTED_VALUE"""),"Elementalism - Ground Elementalist")</f>
        <v>Elementalism - Ground Elementalist</v>
      </c>
      <c r="H267" s="216" t="str">
        <f>IFERROR(__xludf.DUMMYFUNCTION("""COMPUTED_VALUE"""),"At-Will - Free Action")</f>
        <v>At-Will - Free Action</v>
      </c>
      <c r="I267" s="216" t="str">
        <f>IFERROR(__xludf.DUMMYFUNCTION("""COMPUTED_VALUE"""),"Trigger: You use a Ground Type Attack
Effect: You create a 2x2 Zone within 5m. Enemies without the Naturewalk (Desert) Capability that enter this Zone lose a Tick of HIt Points (Max 1 per Round)ies treat spaces within this Zone as if they were in Sandstor"&amp;"m Weather.")</f>
        <v>Trigger: You use a Ground Type Attack
Effect: You create a 2x2 Zone within 5m. Enemies without the Naturewalk (Desert) Capability that enter this Zone lose a Tick of HIt Points (Max 1 per Round)ies treat spaces within this Zone as if they were in Sandstorm Weather.</v>
      </c>
      <c r="J267" s="215"/>
      <c r="K267" s="217"/>
      <c r="L267" s="217"/>
      <c r="M267" s="217"/>
      <c r="N267" s="217"/>
      <c r="O267" s="217"/>
      <c r="P267" s="217"/>
    </row>
    <row r="268">
      <c r="A268" s="214"/>
      <c r="B268" s="214"/>
      <c r="C268" s="214"/>
      <c r="D268" s="214"/>
      <c r="E268" s="215"/>
      <c r="F268" s="216" t="str">
        <f>IFERROR(__xludf.DUMMYFUNCTION("""COMPUTED_VALUE"""),"Earth Weaver")</f>
        <v>Earth Weaver</v>
      </c>
      <c r="G268" s="216" t="str">
        <f>IFERROR(__xludf.DUMMYFUNCTION("""COMPUTED_VALUE"""),"Elementalism - Ground Elementalist")</f>
        <v>Elementalism - Ground Elementalist</v>
      </c>
      <c r="H268" s="216" t="str">
        <f>IFERROR(__xludf.DUMMYFUNCTION("""COMPUTED_VALUE"""),"Static")</f>
        <v>Static</v>
      </c>
      <c r="I268" s="216" t="str">
        <f>IFERROR(__xludf.DUMMYFUNCTION("""COMPUTED_VALUE"""),"Effect: You gain the Groundshaper Capability and the Terrain Aspect Technique. You may use Groundshaper as a Free Action instead of Swift. Once per Round you may use the Terrain Aspect Technique as a Free Action, but you can only affect 2 Spaces instead o"&amp;"f 5.")</f>
        <v>Effect: You gain the Groundshaper Capability and the Terrain Aspect Technique. You may use Groundshaper as a Free Action instead of Swift. Once per Round you may use the Terrain Aspect Technique as a Free Action, but you can only affect 2 Spaces instead of 5.</v>
      </c>
      <c r="J268" s="215"/>
      <c r="K268" s="217"/>
      <c r="L268" s="217"/>
      <c r="M268" s="217"/>
      <c r="N268" s="217"/>
      <c r="O268" s="217"/>
      <c r="P268" s="217"/>
    </row>
    <row r="269">
      <c r="A269" s="214"/>
      <c r="B269" s="214"/>
      <c r="C269" s="214"/>
      <c r="D269" s="214"/>
      <c r="E269" s="215"/>
      <c r="F269" s="216" t="str">
        <f>IFERROR(__xludf.DUMMYFUNCTION("""COMPUTED_VALUE"""),"Seismic Shaker")</f>
        <v>Seismic Shaker</v>
      </c>
      <c r="G269" s="216" t="str">
        <f>IFERROR(__xludf.DUMMYFUNCTION("""COMPUTED_VALUE"""),"Elementalism - Ground Elementalist")</f>
        <v>Elementalism - Ground Elementalist</v>
      </c>
      <c r="H269" s="216" t="str">
        <f>IFERROR(__xludf.DUMMYFUNCTION("""COMPUTED_VALUE"""),"At-Will - Free Action")</f>
        <v>At-Will - Free Action</v>
      </c>
      <c r="I269" s="216" t="str">
        <f>IFERROR(__xludf.DUMMYFUNCTION("""COMPUTED_VALUE"""),"Trigger: You hit a Ground Type Attack
Effect: You may Slide Targets hit by the Triggering Attack 2m in any direction. 
Bonus: Your Ground Damaging Attacks have a 16+ Effect Range to cause the target to become Tripped.")</f>
        <v>Trigger: You hit a Ground Type Attack
Effect: You may Slide Targets hit by the Triggering Attack 2m in any direction. 
Bonus: Your Ground Damaging Attacks have a 16+ Effect Range to cause the target to become Tripped.</v>
      </c>
      <c r="J269" s="215"/>
      <c r="K269" s="217"/>
      <c r="L269" s="217"/>
      <c r="M269" s="217"/>
      <c r="N269" s="217"/>
      <c r="O269" s="217"/>
      <c r="P269" s="217"/>
    </row>
    <row r="270">
      <c r="A270" s="214"/>
      <c r="B270" s="214"/>
      <c r="C270" s="214"/>
      <c r="D270" s="214"/>
      <c r="E270" s="215"/>
      <c r="F270" s="216" t="str">
        <f>IFERROR(__xludf.DUMMYFUNCTION("""COMPUTED_VALUE"""),"Terrain Link")</f>
        <v>Terrain Link</v>
      </c>
      <c r="G270" s="216" t="str">
        <f>IFERROR(__xludf.DUMMYFUNCTION("""COMPUTED_VALUE"""),"Elementalism - Ground Elementalist")</f>
        <v>Elementalism - Ground Elementalist</v>
      </c>
      <c r="H270" s="216" t="str">
        <f>IFERROR(__xludf.DUMMYFUNCTION("""COMPUTED_VALUE"""),"At-Will - Swift Action")</f>
        <v>At-Will - Swift Action</v>
      </c>
      <c r="I270" s="216" t="str">
        <f>IFERROR(__xludf.DUMMYFUNCTION("""COMPUTED_VALUE"""),"Trigger: You use a Ground Type Attack
Effect: You may change the Triggering Attack's Type based on the Terrain of the Field, approved by GM Discretion. (If there’s a Lake nearby, Sand Cannon could be Water Type. If there is a Fire Hazard near the range, E"&amp;"arthquake could be Fire Type, Grass Type in a Forest, etc)")</f>
        <v>Trigger: You use a Ground Type Attack
Effect: You may change the Triggering Attack's Type based on the Terrain of the Field, approved by GM Discretion. (If there’s a Lake nearby, Sand Cannon could be Water Type. If there is a Fire Hazard near the range, Earthquake could be Fire Type, Grass Type in a Forest, etc)</v>
      </c>
      <c r="J270" s="215"/>
      <c r="K270" s="217"/>
      <c r="L270" s="217"/>
      <c r="M270" s="217"/>
      <c r="N270" s="217"/>
      <c r="O270" s="217"/>
      <c r="P270" s="217"/>
    </row>
    <row r="271">
      <c r="A271" s="214"/>
      <c r="B271" s="214"/>
      <c r="C271" s="214"/>
      <c r="D271" s="214"/>
      <c r="E271" s="215"/>
      <c r="F271" s="216" t="str">
        <f>IFERROR(__xludf.DUMMYFUNCTION("""COMPUTED_VALUE"""),"Aurora Weaver")</f>
        <v>Aurora Weaver</v>
      </c>
      <c r="G271" s="216" t="str">
        <f>IFERROR(__xludf.DUMMYFUNCTION("""COMPUTED_VALUE"""),"Elementalism - Ice Elementalist")</f>
        <v>Elementalism - Ice Elementalist</v>
      </c>
      <c r="H271" s="216" t="str">
        <f>IFERROR(__xludf.DUMMYFUNCTION("""COMPUTED_VALUE"""),"Static")</f>
        <v>Static</v>
      </c>
      <c r="I271" s="216" t="str">
        <f>IFERROR(__xludf.DUMMYFUNCTION("""COMPUTED_VALUE"""),"Effect: You may learn any Blessings from the Ice, Psychic and Normal Elementalist Attack Lists as if they were Tier 1 Attacks. (You may also change the choices made with the first two attacks from Ice Elementalist if desired) Once per Blessing, if the tri"&amp;"ggering ally (or yourself triggering it) is under 50% Hit Points, an Activation is not expended when the Blessing is used.")</f>
        <v>Effect: You may learn any Blessings from the Ice, Psychic and Normal Elementalist Attack Lists as if they were Tier 1 Attacks. (You may also change the choices made with the first two attacks from Ice Elementalist if desired) Once per Blessing, if the triggering ally (or yourself triggering it) is under 50% Hit Points, an Activation is not expended when the Blessing is used.</v>
      </c>
      <c r="J271" s="215"/>
      <c r="K271" s="217"/>
      <c r="L271" s="217"/>
      <c r="M271" s="217"/>
      <c r="N271" s="217"/>
      <c r="O271" s="217"/>
      <c r="P271" s="217"/>
    </row>
    <row r="272">
      <c r="A272" s="214"/>
      <c r="B272" s="214"/>
      <c r="C272" s="214"/>
      <c r="D272" s="214"/>
      <c r="E272" s="215"/>
      <c r="F272" s="216" t="str">
        <f>IFERROR(__xludf.DUMMYFUNCTION("""COMPUTED_VALUE"""),"Cryostasis Recovery")</f>
        <v>Cryostasis Recovery</v>
      </c>
      <c r="G272" s="216" t="str">
        <f>IFERROR(__xludf.DUMMYFUNCTION("""COMPUTED_VALUE"""),"Elementalism - Ice Elementalist")</f>
        <v>Elementalism - Ice Elementalist</v>
      </c>
      <c r="H272" s="216" t="str">
        <f>IFERROR(__xludf.DUMMYFUNCTION("""COMPUTED_VALUE"""),"Scene - Full Action")</f>
        <v>Scene - Full Action</v>
      </c>
      <c r="I272" s="216" t="str">
        <f>IFERROR(__xludf.DUMMYFUNCTION("""COMPUTED_VALUE"""),"Effect: You become Chilled. It cannot be cured until the start of your next Turn. If you become Chilled this way, you restore 5 Ticks of Hit Points, are cured of all other Status Afflictions, remove any Coats or Marked Conditions, and reset all your negat"&amp;"ive CS to its Default Value.")</f>
        <v>Effect: You become Chilled. It cannot be cured until the start of your next Turn. If you become Chilled this way, you restore 5 Ticks of Hit Points, are cured of all other Status Afflictions, remove any Coats or Marked Conditions, and reset all your negative CS to its Default Value.</v>
      </c>
      <c r="J272" s="215"/>
      <c r="K272" s="217"/>
      <c r="L272" s="217"/>
      <c r="M272" s="217"/>
      <c r="N272" s="217"/>
      <c r="O272" s="217"/>
      <c r="P272" s="217"/>
    </row>
    <row r="273">
      <c r="A273" s="214"/>
      <c r="B273" s="214"/>
      <c r="C273" s="214"/>
      <c r="D273" s="214"/>
      <c r="E273" s="215"/>
      <c r="F273" s="216" t="str">
        <f>IFERROR(__xludf.DUMMYFUNCTION("""COMPUTED_VALUE"""),"Frost Assault")</f>
        <v>Frost Assault</v>
      </c>
      <c r="G273" s="216" t="str">
        <f>IFERROR(__xludf.DUMMYFUNCTION("""COMPUTED_VALUE"""),"Elementalism - Ice Elementalist")</f>
        <v>Elementalism - Ice Elementalist</v>
      </c>
      <c r="H273" s="216" t="str">
        <f>IFERROR(__xludf.DUMMYFUNCTION("""COMPUTED_VALUE"""),"At-Will - Swift Action")</f>
        <v>At-Will - Swift Action</v>
      </c>
      <c r="I273" s="216" t="str">
        <f>IFERROR(__xludf.DUMMYFUNCTION("""COMPUTED_VALUE"""),"Trigger: You hit an Ice Type Attack
Effect: All Targets gain a Frost Coat. A Frost Coat is expended when hit by an Ice Type Attack that rolled a natural 15+ to cause the Target to become Chilled. A Frost Coat can also be expended when hit by a Fire Damagi"&amp;"ng Attack to treat it as if it were Super Effective. ")</f>
        <v>Trigger: You hit an Ice Type Attack
Effect: All Targets gain a Frost Coat. A Frost Coat is expended when hit by an Ice Type Attack that rolled a natural 15+ to cause the Target to become Chilled. A Frost Coat can also be expended when hit by a Fire Damaging Attack to treat it as if it were Super Effective. </v>
      </c>
      <c r="J273" s="215"/>
      <c r="K273" s="217"/>
      <c r="L273" s="217"/>
      <c r="M273" s="217"/>
      <c r="N273" s="217"/>
      <c r="O273" s="217"/>
      <c r="P273" s="217"/>
    </row>
    <row r="274">
      <c r="A274" s="214"/>
      <c r="B274" s="214"/>
      <c r="C274" s="214"/>
      <c r="D274" s="214"/>
      <c r="E274" s="215"/>
      <c r="F274" s="216" t="str">
        <f>IFERROR(__xludf.DUMMYFUNCTION("""COMPUTED_VALUE"""),"Glacial Vigor")</f>
        <v>Glacial Vigor</v>
      </c>
      <c r="G274" s="216" t="str">
        <f>IFERROR(__xludf.DUMMYFUNCTION("""COMPUTED_VALUE"""),"Elementalism - Ice Elementalist")</f>
        <v>Elementalism - Ice Elementalist</v>
      </c>
      <c r="H274" s="216" t="str">
        <f>IFERROR(__xludf.DUMMYFUNCTION("""COMPUTED_VALUE"""),"Static")</f>
        <v>Static</v>
      </c>
      <c r="I274" s="216" t="str">
        <f>IFERROR(__xludf.DUMMYFUNCTION("""COMPUTED_VALUE"""),"Effect: Whenever you end your Turn in a Snowstorm, Tundra Terrain or with an Ice Attack affecting the Field, you gain a Tick of Temporary Hit Points. Once per Turn when you use an Ice Attack, you restore a Tick of Hit Points or gain +1 CS in Defense or Sp"&amp;"ecial Defense.")</f>
        <v>Effect: Whenever you end your Turn in a Snowstorm, Tundra Terrain or with an Ice Attack affecting the Field, you gain a Tick of Temporary Hit Points. Once per Turn when you use an Ice Attack, you restore a Tick of Hit Points or gain +1 CS in Defense or Special Defense.</v>
      </c>
      <c r="J274" s="215"/>
      <c r="K274" s="217"/>
      <c r="L274" s="217"/>
      <c r="M274" s="217"/>
      <c r="N274" s="217"/>
      <c r="O274" s="217"/>
      <c r="P274" s="217"/>
    </row>
    <row r="275">
      <c r="A275" s="214"/>
      <c r="B275" s="214"/>
      <c r="C275" s="214"/>
      <c r="D275" s="214"/>
      <c r="E275" s="215"/>
      <c r="F275" s="216" t="str">
        <f>IFERROR(__xludf.DUMMYFUNCTION("""COMPUTED_VALUE"""),"Rime Surge")</f>
        <v>Rime Surge</v>
      </c>
      <c r="G275" s="216" t="str">
        <f>IFERROR(__xludf.DUMMYFUNCTION("""COMPUTED_VALUE"""),"Elementalism - Ice Elementalist")</f>
        <v>Elementalism - Ice Elementalist</v>
      </c>
      <c r="H275" s="216" t="str">
        <f>IFERROR(__xludf.DUMMYFUNCTION("""COMPUTED_VALUE"""),"At-Will - Swift Action")</f>
        <v>At-Will - Swift Action</v>
      </c>
      <c r="I275" s="216" t="str">
        <f>IFERROR(__xludf.DUMMYFUNCTION("""COMPUTED_VALUE"""),"Trigger: You hit an Ice Type Damaging Attack against a Chilled or Ice Type Enemy. 
Effect: The Attack is treated as Super Effective, ignoring Type Effectiveness, but cannot exceed 1.5x Effectiveness.")</f>
        <v>Trigger: You hit an Ice Type Damaging Attack against a Chilled or Ice Type Enemy. 
Effect: The Attack is treated as Super Effective, ignoring Type Effectiveness, but cannot exceed 1.5x Effectiveness.</v>
      </c>
      <c r="J275" s="215"/>
      <c r="K275" s="217"/>
      <c r="L275" s="217"/>
      <c r="M275" s="217"/>
      <c r="N275" s="217"/>
      <c r="O275" s="217"/>
      <c r="P275" s="217"/>
    </row>
    <row r="276">
      <c r="A276" s="214"/>
      <c r="B276" s="214"/>
      <c r="C276" s="214"/>
      <c r="D276" s="214"/>
      <c r="E276" s="215"/>
      <c r="F276" s="216" t="str">
        <f>IFERROR(__xludf.DUMMYFUNCTION("""COMPUTED_VALUE"""),"Brute Strength")</f>
        <v>Brute Strength</v>
      </c>
      <c r="G276" s="216" t="str">
        <f>IFERROR(__xludf.DUMMYFUNCTION("""COMPUTED_VALUE"""),"Elementalism - Normal Elementalist")</f>
        <v>Elementalism - Normal Elementalist</v>
      </c>
      <c r="H276" s="216" t="str">
        <f>IFERROR(__xludf.DUMMYFUNCTION("""COMPUTED_VALUE"""),"At-Will - Swift Action")</f>
        <v>At-Will - Swift Action</v>
      </c>
      <c r="I276" s="216" t="str">
        <f>IFERROR(__xludf.DUMMYFUNCTION("""COMPUTED_VALUE"""),"Trigger: You use a Melee Normal Type Attack against an Enemy with Negative CS of the corresponding Defense Stat
Effect: The Attack is treated as Super Effective, ignoring normal Type Effectiveness.")</f>
        <v>Trigger: You use a Melee Normal Type Attack against an Enemy with Negative CS of the corresponding Defense Stat
Effect: The Attack is treated as Super Effective, ignoring normal Type Effectiveness.</v>
      </c>
      <c r="J276" s="215"/>
      <c r="K276" s="217"/>
      <c r="L276" s="217"/>
      <c r="M276" s="217"/>
      <c r="N276" s="217"/>
      <c r="O276" s="217"/>
      <c r="P276" s="217"/>
    </row>
    <row r="277">
      <c r="A277" s="214"/>
      <c r="B277" s="214"/>
      <c r="C277" s="214"/>
      <c r="D277" s="214"/>
      <c r="E277" s="215"/>
      <c r="F277" s="216" t="str">
        <f>IFERROR(__xludf.DUMMYFUNCTION("""COMPUTED_VALUE"""),"Elemental Void")</f>
        <v>Elemental Void</v>
      </c>
      <c r="G277" s="216" t="str">
        <f>IFERROR(__xludf.DUMMYFUNCTION("""COMPUTED_VALUE"""),"Elementalism - Normal Elementalist")</f>
        <v>Elementalism - Normal Elementalist</v>
      </c>
      <c r="H277" s="216" t="str">
        <f>IFERROR(__xludf.DUMMYFUNCTION("""COMPUTED_VALUE"""),"At-Will - Free Action")</f>
        <v>At-Will - Free Action</v>
      </c>
      <c r="I277" s="216" t="str">
        <f>IFERROR(__xludf.DUMMYFUNCTION("""COMPUTED_VALUE"""),"Trigger: You're hit with an Attack
Effect: After the Triggering Attack's Resolution, the Attacker is Marked by a Void Mark.
Bonus: Whenever you’re hit by an Attack whose Type matches the combatant with a Void Mark, you resist it an additional step. Whenev"&amp;"er you use a Normal Attack, its Type may be changed to a Type that matches the combatant with a Void Mark as a Swift Action. ")</f>
        <v>Trigger: You're hit with an Attack
Effect: After the Triggering Attack's Resolution, the Attacker is Marked by a Void Mark.
Bonus: Whenever you’re hit by an Attack whose Type matches the combatant with a Void Mark, you resist it an additional step. Whenever you use a Normal Attack, its Type may be changed to a Type that matches the combatant with a Void Mark as a Swift Action. </v>
      </c>
      <c r="J277" s="215"/>
      <c r="K277" s="217"/>
      <c r="L277" s="217"/>
      <c r="M277" s="217"/>
      <c r="N277" s="217"/>
      <c r="O277" s="217"/>
      <c r="P277" s="217"/>
    </row>
    <row r="278">
      <c r="A278" s="214"/>
      <c r="B278" s="214"/>
      <c r="C278" s="214"/>
      <c r="D278" s="214"/>
      <c r="E278" s="215"/>
      <c r="F278" s="216" t="str">
        <f>IFERROR(__xludf.DUMMYFUNCTION("""COMPUTED_VALUE"""),"Field Connection")</f>
        <v>Field Connection</v>
      </c>
      <c r="G278" s="216" t="str">
        <f>IFERROR(__xludf.DUMMYFUNCTION("""COMPUTED_VALUE"""),"Elementalism - Normal Elementalist")</f>
        <v>Elementalism - Normal Elementalist</v>
      </c>
      <c r="H278" s="216" t="str">
        <f>IFERROR(__xludf.DUMMYFUNCTION("""COMPUTED_VALUE"""),"At-Will - Swift Action")</f>
        <v>At-Will - Swift Action</v>
      </c>
      <c r="I278" s="216" t="str">
        <f>IFERROR(__xludf.DUMMYFUNCTION("""COMPUTED_VALUE"""),"Condition: A Field, Blessing or Weather Attack is affecting the Field
Trigger: You use a Normal Type Attack
Effect: The Triggering Attack is treated as a Type corresponding to the qualifying Condition. (Ex: Reflect can turn a Hyper Beam into Psychic Type)")</f>
        <v>Condition: A Field, Blessing or Weather Attack is affecting the Field
Trigger: You use a Normal Type Attack
Effect: The Triggering Attack is treated as a Type corresponding to the qualifying Condition. (Ex: Reflect can turn a Hyper Beam into Psychic Type)</v>
      </c>
      <c r="J278" s="215"/>
      <c r="K278" s="217"/>
      <c r="L278" s="217"/>
      <c r="M278" s="217"/>
      <c r="N278" s="217"/>
      <c r="O278" s="217"/>
      <c r="P278" s="217"/>
    </row>
    <row r="279">
      <c r="A279" s="214"/>
      <c r="B279" s="214"/>
      <c r="C279" s="214"/>
      <c r="D279" s="214"/>
      <c r="E279" s="215"/>
      <c r="F279" s="216" t="str">
        <f>IFERROR(__xludf.DUMMYFUNCTION("""COMPUTED_VALUE"""),"Mundane Penalty")</f>
        <v>Mundane Penalty</v>
      </c>
      <c r="G279" s="216" t="str">
        <f>IFERROR(__xludf.DUMMYFUNCTION("""COMPUTED_VALUE"""),"Elementalism - Normal Elementalist")</f>
        <v>Elementalism - Normal Elementalist</v>
      </c>
      <c r="H279" s="216" t="str">
        <f>IFERROR(__xludf.DUMMYFUNCTION("""COMPUTED_VALUE"""),"At-Will - Swift Action")</f>
        <v>At-Will - Swift Action</v>
      </c>
      <c r="I279" s="216" t="str">
        <f>IFERROR(__xludf.DUMMYFUNCTION("""COMPUTED_VALUE"""),"Trigger: You hit a Normal Attack against a single Enemy
Effect: Apply one of the following effects to them (An Enemy may only be affected by each effect once per Scene). A random Attack is Disabled. A random Ability is disabled. A Stat with Positive CS is"&amp;" set to 0. Their next Damaging Attack become Neutral Effectiveness, ignoring Type Effectiveness.")</f>
        <v>Trigger: You hit a Normal Attack against a single Enemy
Effect: Apply one of the following effects to them (An Enemy may only be affected by each effect once per Scene). A random Attack is Disabled. A random Ability is disabled. A Stat with Positive CS is set to 0. Their next Damaging Attack become Neutral Effectiveness, ignoring Type Effectiveness.</v>
      </c>
      <c r="J279" s="215"/>
      <c r="K279" s="217"/>
      <c r="L279" s="217"/>
      <c r="M279" s="217"/>
      <c r="N279" s="217"/>
      <c r="O279" s="217"/>
      <c r="P279" s="217"/>
    </row>
    <row r="280">
      <c r="A280" s="214"/>
      <c r="B280" s="214"/>
      <c r="C280" s="214"/>
      <c r="D280" s="214"/>
      <c r="E280" s="215"/>
      <c r="F280" s="216" t="str">
        <f>IFERROR(__xludf.DUMMYFUNCTION("""COMPUTED_VALUE"""),"Lux Spectrum")</f>
        <v>Lux Spectrum</v>
      </c>
      <c r="G280" s="216" t="str">
        <f>IFERROR(__xludf.DUMMYFUNCTION("""COMPUTED_VALUE"""),"Elementalism - Normal Elementalist")</f>
        <v>Elementalism - Normal Elementalist</v>
      </c>
      <c r="H280" s="216" t="str">
        <f>IFERROR(__xludf.DUMMYFUNCTION("""COMPUTED_VALUE"""),"At-Will - Swift Action")</f>
        <v>At-Will - Swift Action</v>
      </c>
      <c r="I280" s="216" t="str">
        <f>IFERROR(__xludf.DUMMYFUNCTION("""COMPUTED_VALUE"""),"Trigger: You use a Special Normal Attack
Target: A Blinded Pokemon within 5m
Effect: The Triggering Attack is treated as one of the Target's Types.
Bonus: Whenever you inflict the Blinded Condition, it instead is treated as if it were a Physical Afflictio"&amp;"n instead of its listed duration ")</f>
        <v>Trigger: You use a Special Normal Attack
Target: A Blinded Pokemon within 5m
Effect: The Triggering Attack is treated as one of the Target's Types.
Bonus: Whenever you inflict the Blinded Condition, it instead is treated as if it were a Physical Affliction instead of its listed duration </v>
      </c>
      <c r="J280" s="215"/>
      <c r="K280" s="217"/>
      <c r="L280" s="217"/>
      <c r="M280" s="217"/>
      <c r="N280" s="217"/>
      <c r="O280" s="217"/>
      <c r="P280" s="217"/>
    </row>
    <row r="281">
      <c r="A281" s="214"/>
      <c r="B281" s="214"/>
      <c r="C281" s="214"/>
      <c r="D281" s="214"/>
      <c r="E281" s="215"/>
      <c r="F281" s="216" t="str">
        <f>IFERROR(__xludf.DUMMYFUNCTION("""COMPUTED_VALUE"""),"Field Pollutant")</f>
        <v>Field Pollutant</v>
      </c>
      <c r="G281" s="216" t="str">
        <f>IFERROR(__xludf.DUMMYFUNCTION("""COMPUTED_VALUE"""),"Elementalism - Poison Elementalist")</f>
        <v>Elementalism - Poison Elementalist</v>
      </c>
      <c r="H281" s="216" t="str">
        <f>IFERROR(__xludf.DUMMYFUNCTION("""COMPUTED_VALUE"""),"Static")</f>
        <v>Static</v>
      </c>
      <c r="I281" s="216" t="str">
        <f>IFERROR(__xludf.DUMMYFUNCTION("""COMPUTED_VALUE"""),"Effect: Once per Round you may use a Poison Status Attack without expending its Frequency or ignoring it. Once per Scene you may use a Poison Status Attack as if its Action cost was one step cheaper (Swift becomes Free). Both of these effects cannot apply"&amp;" to the same attack at the same time. At Level 10, you may perform the second effect twice per Scene instead.")</f>
        <v>Effect: Once per Round you may use a Poison Status Attack without expending its Frequency or ignoring it. Once per Scene you may use a Poison Status Attack as if its Action cost was one step cheaper (Swift becomes Free). Both of these effects cannot apply to the same attack at the same time. At Level 10, you may perform the second effect twice per Scene instead.</v>
      </c>
      <c r="J281" s="215"/>
      <c r="K281" s="217"/>
      <c r="L281" s="217"/>
      <c r="M281" s="217"/>
      <c r="N281" s="217"/>
      <c r="O281" s="217"/>
      <c r="P281" s="217"/>
    </row>
    <row r="282">
      <c r="A282" s="214"/>
      <c r="B282" s="214"/>
      <c r="C282" s="214"/>
      <c r="D282" s="214"/>
      <c r="E282" s="215"/>
      <c r="F282" s="216" t="str">
        <f>IFERROR(__xludf.DUMMYFUNCTION("""COMPUTED_VALUE"""),"Plague Spreader")</f>
        <v>Plague Spreader</v>
      </c>
      <c r="G282" s="216" t="str">
        <f>IFERROR(__xludf.DUMMYFUNCTION("""COMPUTED_VALUE"""),"Elementalism - Poison Elementalist")</f>
        <v>Elementalism - Poison Elementalist</v>
      </c>
      <c r="H282" s="216" t="str">
        <f>IFERROR(__xludf.DUMMYFUNCTION("""COMPUTED_VALUE"""),"At-Will - Free Action")</f>
        <v>At-Will - Free Action</v>
      </c>
      <c r="I282" s="216" t="str">
        <f>IFERROR(__xludf.DUMMYFUNCTION("""COMPUTED_VALUE"""),"Trigger: A Poisoned Enemy faints 
Target: An Enemy within 2m of the Triggering Enemy
Effect: The Target becomes Poisoned.
Bonus: Whenever an Enemy ends their Turn Adjacent to an Enemy that is Poisoned because of you they must pass a CR 4 Athletics Check o"&amp;"r become Poisoned.")</f>
        <v>Trigger: A Poisoned Enemy faints 
Target: An Enemy within 2m of the Triggering Enemy
Effect: The Target becomes Poisoned.
Bonus: Whenever an Enemy ends their Turn Adjacent to an Enemy that is Poisoned because of you they must pass a CR 4 Athletics Check or become Poisoned.</v>
      </c>
      <c r="J282" s="215"/>
      <c r="K282" s="217"/>
      <c r="L282" s="217"/>
      <c r="M282" s="217"/>
      <c r="N282" s="217"/>
      <c r="O282" s="217"/>
      <c r="P282" s="217"/>
    </row>
    <row r="283">
      <c r="A283" s="214"/>
      <c r="B283" s="214"/>
      <c r="C283" s="214"/>
      <c r="D283" s="214"/>
      <c r="E283" s="215"/>
      <c r="F283" s="216" t="str">
        <f>IFERROR(__xludf.DUMMYFUNCTION("""COMPUTED_VALUE"""),"Toxic Decay")</f>
        <v>Toxic Decay</v>
      </c>
      <c r="G283" s="216" t="str">
        <f>IFERROR(__xludf.DUMMYFUNCTION("""COMPUTED_VALUE"""),"Elementalism - Poison Elementalist")</f>
        <v>Elementalism - Poison Elementalist</v>
      </c>
      <c r="H283" s="216" t="str">
        <f>IFERROR(__xludf.DUMMYFUNCTION("""COMPUTED_VALUE"""),"At-Will - Swift Action")</f>
        <v>At-Will - Swift Action</v>
      </c>
      <c r="I283" s="216" t="str">
        <f>IFERROR(__xludf.DUMMYFUNCTION("""COMPUTED_VALUE"""),"Trigger: You Poison an Enemy that is already Poisoned or land a Critical Hit on a Poisoned Enemy
Effect: They become Weakened or Vulnerable of your choice until the end of the next Round.
Bonus: Enemies that are Poisoned by you cannot gain Combat Stages. ")</f>
        <v>Trigger: You Poison an Enemy that is already Poisoned or land a Critical Hit on a Poisoned Enemy
Effect: They become Weakened or Vulnerable of your choice until the end of the next Round.
Bonus: Enemies that are Poisoned by you cannot gain Combat Stages. </v>
      </c>
      <c r="J283" s="215"/>
      <c r="K283" s="217"/>
      <c r="L283" s="217"/>
      <c r="M283" s="217"/>
      <c r="N283" s="217"/>
      <c r="O283" s="217"/>
      <c r="P283" s="217"/>
    </row>
    <row r="284">
      <c r="A284" s="214"/>
      <c r="B284" s="214"/>
      <c r="C284" s="214"/>
      <c r="D284" s="214"/>
      <c r="E284" s="215"/>
      <c r="F284" s="216" t="str">
        <f>IFERROR(__xludf.DUMMYFUNCTION("""COMPUTED_VALUE"""),"Versatile Toxin")</f>
        <v>Versatile Toxin</v>
      </c>
      <c r="G284" s="216" t="str">
        <f>IFERROR(__xludf.DUMMYFUNCTION("""COMPUTED_VALUE"""),"Elementalism - Poison Elementalist")</f>
        <v>Elementalism - Poison Elementalist</v>
      </c>
      <c r="H284" s="216" t="str">
        <f>IFERROR(__xludf.DUMMYFUNCTION("""COMPUTED_VALUE"""),"At-Will - Free Action")</f>
        <v>At-Will - Free Action</v>
      </c>
      <c r="I284" s="216" t="str">
        <f>IFERROR(__xludf.DUMMYFUNCTION("""COMPUTED_VALUE"""),"Trigger: You inflict the Poisoned Affliction
Effect: You instead inflict any of the following. Burned, Paralyzed, Slowed, Dazed, Enraged, Entranced, Suppressed.")</f>
        <v>Trigger: You inflict the Poisoned Affliction
Effect: You instead inflict any of the following. Burned, Paralyzed, Slowed, Dazed, Enraged, Entranced, Suppressed.</v>
      </c>
      <c r="J284" s="215"/>
      <c r="K284" s="217"/>
      <c r="L284" s="217"/>
      <c r="M284" s="217"/>
      <c r="N284" s="217"/>
      <c r="O284" s="217"/>
      <c r="P284" s="217"/>
    </row>
    <row r="285">
      <c r="A285" s="214"/>
      <c r="B285" s="214"/>
      <c r="C285" s="214"/>
      <c r="D285" s="214"/>
      <c r="E285" s="215"/>
      <c r="F285" s="216" t="str">
        <f>IFERROR(__xludf.DUMMYFUNCTION("""COMPUTED_VALUE"""),"Venomous Strike")</f>
        <v>Venomous Strike</v>
      </c>
      <c r="G285" s="216" t="str">
        <f>IFERROR(__xludf.DUMMYFUNCTION("""COMPUTED_VALUE"""),"Elementalism - Poison Elementalist")</f>
        <v>Elementalism - Poison Elementalist</v>
      </c>
      <c r="H285" s="216" t="str">
        <f>IFERROR(__xludf.DUMMYFUNCTION("""COMPUTED_VALUE"""),"Static")</f>
        <v>Static</v>
      </c>
      <c r="I285" s="216" t="str">
        <f>IFERROR(__xludf.DUMMYFUNCTION("""COMPUTED_VALUE"""),"Effect: Your Poison Attacks ignore the Evasion of Poisoned Enemies. Your Poison Effect Ranges are increased by +2.")</f>
        <v>Effect: Your Poison Attacks ignore the Evasion of Poisoned Enemies. Your Poison Effect Ranges are increased by +2.</v>
      </c>
      <c r="J285" s="215"/>
      <c r="K285" s="217"/>
      <c r="L285" s="217"/>
      <c r="M285" s="217"/>
      <c r="N285" s="217"/>
      <c r="O285" s="217"/>
      <c r="P285" s="217"/>
    </row>
    <row r="286">
      <c r="A286" s="214"/>
      <c r="B286" s="214"/>
      <c r="C286" s="214"/>
      <c r="D286" s="214"/>
      <c r="E286" s="215"/>
      <c r="F286" s="216" t="str">
        <f>IFERROR(__xludf.DUMMYFUNCTION("""COMPUTED_VALUE"""),"Energy Barrier")</f>
        <v>Energy Barrier</v>
      </c>
      <c r="G286" s="216" t="str">
        <f>IFERROR(__xludf.DUMMYFUNCTION("""COMPUTED_VALUE"""),"Elementalism - Psychic Elementalist")</f>
        <v>Elementalism - Psychic Elementalist</v>
      </c>
      <c r="H286" s="216" t="str">
        <f>IFERROR(__xludf.DUMMYFUNCTION("""COMPUTED_VALUE"""),"At-Will - Free Action")</f>
        <v>At-Will - Free Action</v>
      </c>
      <c r="I286" s="216" t="str">
        <f>IFERROR(__xludf.DUMMYFUNCTION("""COMPUTED_VALUE"""),"Trigger: An Ally within X meters of you is hit by a Special Attack
Effect: The Triggering Ally may use your Special Defense for Damage Calculations instead of their own. X is equal to your Tier Level. Once per Scene as a Reaction, you may apply this Effec"&amp;"t regardless if they're in range of you. ")</f>
        <v>Trigger: An Ally within X meters of you is hit by a Special Attack
Effect: The Triggering Ally may use your Special Defense for Damage Calculations instead of their own. X is equal to your Tier Level. Once per Scene as a Reaction, you may apply this Effect regardless if they're in range of you. </v>
      </c>
      <c r="J286" s="215"/>
      <c r="K286" s="217"/>
      <c r="L286" s="217"/>
      <c r="M286" s="217"/>
      <c r="N286" s="217"/>
      <c r="O286" s="217"/>
      <c r="P286" s="217"/>
    </row>
    <row r="287">
      <c r="A287" s="214"/>
      <c r="B287" s="214"/>
      <c r="C287" s="214"/>
      <c r="D287" s="214"/>
      <c r="E287" s="215"/>
      <c r="F287" s="216" t="str">
        <f>IFERROR(__xludf.DUMMYFUNCTION("""COMPUTED_VALUE"""),"Kineticist")</f>
        <v>Kineticist</v>
      </c>
      <c r="G287" s="216" t="str">
        <f>IFERROR(__xludf.DUMMYFUNCTION("""COMPUTED_VALUE"""),"Elementalism - Psychic Elementalist")</f>
        <v>Elementalism - Psychic Elementalist</v>
      </c>
      <c r="H287" s="216" t="str">
        <f>IFERROR(__xludf.DUMMYFUNCTION("""COMPUTED_VALUE"""),"Static")</f>
        <v>Static</v>
      </c>
      <c r="I287" s="216" t="str">
        <f>IFERROR(__xludf.DUMMYFUNCTION("""COMPUTED_VALUE"""),"Effect: You gain the Telekinetic Capability and the Kinesis Aspect Technique. The Trigger for the Technique becomes “You or an Ally miss a 1-Target Ranged Attack”, instead of its listed Trigger.")</f>
        <v>Effect: You gain the Telekinetic Capability and the Kinesis Aspect Technique. The Trigger for the Technique becomes “You or an Ally miss a 1-Target Ranged Attack”, instead of its listed Trigger.</v>
      </c>
      <c r="J287" s="215"/>
      <c r="K287" s="217"/>
      <c r="L287" s="217"/>
      <c r="M287" s="217"/>
      <c r="N287" s="217"/>
      <c r="O287" s="217"/>
      <c r="P287" s="217"/>
    </row>
    <row r="288">
      <c r="A288" s="214"/>
      <c r="B288" s="214"/>
      <c r="C288" s="214"/>
      <c r="D288" s="214"/>
      <c r="E288" s="215"/>
      <c r="F288" s="216" t="str">
        <f>IFERROR(__xludf.DUMMYFUNCTION("""COMPUTED_VALUE"""),"Mind Reader")</f>
        <v>Mind Reader</v>
      </c>
      <c r="G288" s="216" t="str">
        <f>IFERROR(__xludf.DUMMYFUNCTION("""COMPUTED_VALUE"""),"Elementalism - Psychic Elementalist")</f>
        <v>Elementalism - Psychic Elementalist</v>
      </c>
      <c r="H288" s="216" t="str">
        <f>IFERROR(__xludf.DUMMYFUNCTION("""COMPUTED_VALUE"""),"Static")</f>
        <v>Static</v>
      </c>
      <c r="I288" s="216" t="str">
        <f>IFERROR(__xludf.DUMMYFUNCTION("""COMPUTED_VALUE"""),"Effect: You gain the Telepath Capability. At the start of each round choose an Enemy within 5m to read their thoughts. The GM will then tell you what Action they’re most likely to perform on their next turn. This action will occur unless something happens"&amp;" before then that prevents that action from being logical to enact anymore.")</f>
        <v>Effect: You gain the Telepath Capability. At the start of each round choose an Enemy within 5m to read their thoughts. The GM will then tell you what Action they’re most likely to perform on their next turn. This action will occur unless something happens before then that prevents that action from being logical to enact anymore.</v>
      </c>
      <c r="J288" s="215"/>
      <c r="K288" s="217"/>
      <c r="L288" s="217"/>
      <c r="M288" s="217"/>
      <c r="N288" s="217"/>
      <c r="O288" s="217"/>
      <c r="P288" s="217"/>
    </row>
    <row r="289">
      <c r="A289" s="214"/>
      <c r="B289" s="214"/>
      <c r="C289" s="214"/>
      <c r="D289" s="214"/>
      <c r="E289" s="215"/>
      <c r="F289" s="216" t="str">
        <f>IFERROR(__xludf.DUMMYFUNCTION("""COMPUTED_VALUE"""),"Psionic Prowess")</f>
        <v>Psionic Prowess</v>
      </c>
      <c r="G289" s="216" t="str">
        <f>IFERROR(__xludf.DUMMYFUNCTION("""COMPUTED_VALUE"""),"Elementalism - Psychic Elementalist")</f>
        <v>Elementalism - Psychic Elementalist</v>
      </c>
      <c r="H289" s="216" t="str">
        <f>IFERROR(__xludf.DUMMYFUNCTION("""COMPUTED_VALUE"""),"Special - Free Action")</f>
        <v>Special - Free Action</v>
      </c>
      <c r="I289" s="216" t="str">
        <f>IFERROR(__xludf.DUMMYFUNCTION("""COMPUTED_VALUE"""),"Effect: You may activate this Technique a number of times per Scene equal to your Tier Level. When activated, during this Turn you ignore the penalties and restrictions from the Versatile Keyword when using Psychic Status Attacks in that way.")</f>
        <v>Effect: You may activate this Technique a number of times per Scene equal to your Tier Level. When activated, during this Turn you ignore the penalties and restrictions from the Versatile Keyword when using Psychic Status Attacks in that way.</v>
      </c>
      <c r="J289" s="215"/>
      <c r="K289" s="217"/>
      <c r="L289" s="217"/>
      <c r="M289" s="217"/>
      <c r="N289" s="217"/>
      <c r="O289" s="217"/>
      <c r="P289" s="217"/>
    </row>
    <row r="290">
      <c r="A290" s="214"/>
      <c r="B290" s="214"/>
      <c r="C290" s="214"/>
      <c r="D290" s="214"/>
      <c r="E290" s="215"/>
      <c r="F290" s="216" t="str">
        <f>IFERROR(__xludf.DUMMYFUNCTION("""COMPUTED_VALUE"""),"Supernatural Force")</f>
        <v>Supernatural Force</v>
      </c>
      <c r="G290" s="216" t="str">
        <f>IFERROR(__xludf.DUMMYFUNCTION("""COMPUTED_VALUE"""),"Elementalism - Psychic Elementalist")</f>
        <v>Elementalism - Psychic Elementalist</v>
      </c>
      <c r="H290" s="216" t="str">
        <f>IFERROR(__xludf.DUMMYFUNCTION("""COMPUTED_VALUE"""),"At-Will - Swift Action")</f>
        <v>At-Will - Swift Action</v>
      </c>
      <c r="I290" s="216" t="str">
        <f>IFERROR(__xludf.DUMMYFUNCTION("""COMPUTED_VALUE"""),"Trigger: You use a Damaging Psychic Type Attack
Effect: You may change the Triggering Attack from Physical to Special Category or vice versa. 
Bonus: Whenever you use a Damaging Psychic Type Attack, the Offensive Stat used is the higher of your Attack or "&amp;"Special Attack, ignoring its category.")</f>
        <v>Trigger: You use a Damaging Psychic Type Attack
Effect: You may change the Triggering Attack from Physical to Special Category or vice versa. 
Bonus: Whenever you use a Damaging Psychic Type Attack, the Offensive Stat used is the higher of your Attack or Special Attack, ignoring its category.</v>
      </c>
      <c r="J290" s="215"/>
      <c r="K290" s="217"/>
      <c r="L290" s="217"/>
      <c r="M290" s="217"/>
      <c r="N290" s="217"/>
      <c r="O290" s="217"/>
      <c r="P290" s="217"/>
    </row>
    <row r="291">
      <c r="A291" s="214"/>
      <c r="B291" s="214"/>
      <c r="C291" s="214"/>
      <c r="D291" s="214"/>
      <c r="E291" s="215"/>
      <c r="F291" s="216" t="str">
        <f>IFERROR(__xludf.DUMMYFUNCTION("""COMPUTED_VALUE"""),"Crystal Control")</f>
        <v>Crystal Control</v>
      </c>
      <c r="G291" s="216" t="str">
        <f>IFERROR(__xludf.DUMMYFUNCTION("""COMPUTED_VALUE"""),"Elementalism - Rock Elementalist")</f>
        <v>Elementalism - Rock Elementalist</v>
      </c>
      <c r="H291" s="216" t="str">
        <f>IFERROR(__xludf.DUMMYFUNCTION("""COMPUTED_VALUE"""),"At-Will - Swift Action")</f>
        <v>At-Will - Swift Action</v>
      </c>
      <c r="I291" s="216" t="str">
        <f>IFERROR(__xludf.DUMMYFUNCTION("""COMPUTED_VALUE"""),"Trigger: You use a Rock Type Attack
Effect: Expend a Shard in your Inventory to change the Trigger Attack's Type to one associated with the Shard. If you have any [Equipment] Item that is specific to a type (Such as Type Bracer) currently equipped, you ma"&amp;"y choose that instead and it isn’t expended. 
Bonus: Whenever you roll a Natural 16+ on a Rock Type Attack, you gain a Shard of a random color.")</f>
        <v>Trigger: You use a Rock Type Attack
Effect: Expend a Shard in your Inventory to change the Trigger Attack's Type to one associated with the Shard. If you have any [Equipment] Item that is specific to a type (Such as Type Bracer) currently equipped, you may choose that instead and it isn’t expended. 
Bonus: Whenever you roll a Natural 16+ on a Rock Type Attack, you gain a Shard of a random color.</v>
      </c>
      <c r="J291" s="215"/>
      <c r="K291" s="217"/>
      <c r="L291" s="217"/>
      <c r="M291" s="217"/>
      <c r="N291" s="217"/>
      <c r="O291" s="217"/>
      <c r="P291" s="217"/>
    </row>
    <row r="292">
      <c r="A292" s="214"/>
      <c r="B292" s="214"/>
      <c r="C292" s="214"/>
      <c r="D292" s="214"/>
      <c r="E292" s="215"/>
      <c r="F292" s="216" t="str">
        <f>IFERROR(__xludf.DUMMYFUNCTION("""COMPUTED_VALUE"""),"Prehistoric Form")</f>
        <v>Prehistoric Form</v>
      </c>
      <c r="G292" s="216" t="str">
        <f>IFERROR(__xludf.DUMMYFUNCTION("""COMPUTED_VALUE"""),"Elementalism - Rock Elementalist")</f>
        <v>Elementalism - Rock Elementalist</v>
      </c>
      <c r="H292" s="216" t="str">
        <f>IFERROR(__xludf.DUMMYFUNCTION("""COMPUTED_VALUE"""),"Static")</f>
        <v>Static</v>
      </c>
      <c r="I292" s="216" t="str">
        <f>IFERROR(__xludf.DUMMYFUNCTION("""COMPUTED_VALUE"""),"Effect: Choose one of the following forms to gain its associated Ability and Capability. Ammonite Form (Shell Armor + Gilled). Avian Form (Levitate + Flier), Bastion Form (Absorb Force + Mindlock), Predator Form (Conqueror + Tracker), Tyrant Form (Pressur"&amp;"e + Power increased by +3)")</f>
        <v>Effect: Choose one of the following forms to gain its associated Ability and Capability. Ammonite Form (Shell Armor + Gilled). Avian Form (Levitate + Flier), Bastion Form (Absorb Force + Mindlock), Predator Form (Conqueror + Tracker), Tyrant Form (Pressure + Power increased by +3)</v>
      </c>
      <c r="J292" s="215"/>
      <c r="K292" s="217"/>
      <c r="L292" s="217"/>
      <c r="M292" s="217"/>
      <c r="N292" s="217"/>
      <c r="O292" s="217"/>
      <c r="P292" s="217"/>
    </row>
    <row r="293">
      <c r="A293" s="214"/>
      <c r="B293" s="214"/>
      <c r="C293" s="214"/>
      <c r="D293" s="214"/>
      <c r="E293" s="215"/>
      <c r="F293" s="216" t="str">
        <f>IFERROR(__xludf.DUMMYFUNCTION("""COMPUTED_VALUE"""),"Rugged Rocks")</f>
        <v>Rugged Rocks</v>
      </c>
      <c r="G293" s="216" t="str">
        <f>IFERROR(__xludf.DUMMYFUNCTION("""COMPUTED_VALUE"""),"Elementalism - Rock Elementalist")</f>
        <v>Elementalism - Rock Elementalist</v>
      </c>
      <c r="H293" s="216" t="str">
        <f>IFERROR(__xludf.DUMMYFUNCTION("""COMPUTED_VALUE"""),"At-Will - Free Action")</f>
        <v>At-Will - Free Action</v>
      </c>
      <c r="I293" s="216" t="str">
        <f>IFERROR(__xludf.DUMMYFUNCTION("""COMPUTED_VALUE"""),"Trigger: You or an Ally are hit with a Damaging Attack and have at least two Stealth Rock Hazards within 2m of them
Effect: All Stealth Rock Hazards are destroyed within 2m of the Triggering Ally or yourself, then they gain Damage Reduction against the Tr"&amp;"iggering Attack equal to your Tier Value.
Bonus: You learn the Stealth Rock Attack and its Frequency becomes EOT.")</f>
        <v>Trigger: You or an Ally are hit with a Damaging Attack and have at least two Stealth Rock Hazards within 2m of them
Effect: All Stealth Rock Hazards are destroyed within 2m of the Triggering Ally or yourself, then they gain Damage Reduction against the Triggering Attack equal to your Tier Value.
Bonus: You learn the Stealth Rock Attack and its Frequency becomes EOT.</v>
      </c>
      <c r="J293" s="215"/>
      <c r="K293" s="217"/>
      <c r="L293" s="217"/>
      <c r="M293" s="217"/>
      <c r="N293" s="217"/>
      <c r="O293" s="217"/>
      <c r="P293" s="217"/>
    </row>
    <row r="294">
      <c r="A294" s="214"/>
      <c r="B294" s="214"/>
      <c r="C294" s="214"/>
      <c r="D294" s="214"/>
      <c r="E294" s="215"/>
      <c r="F294" s="216" t="str">
        <f>IFERROR(__xludf.DUMMYFUNCTION("""COMPUTED_VALUE"""),"Scatter Shot")</f>
        <v>Scatter Shot</v>
      </c>
      <c r="G294" s="216" t="str">
        <f>IFERROR(__xludf.DUMMYFUNCTION("""COMPUTED_VALUE"""),"Elementalism - Rock Elementalist")</f>
        <v>Elementalism - Rock Elementalist</v>
      </c>
      <c r="H294" s="216" t="str">
        <f>IFERROR(__xludf.DUMMYFUNCTION("""COMPUTED_VALUE"""),"At-Will - Free Action")</f>
        <v>At-Will - Free Action</v>
      </c>
      <c r="I294" s="216" t="str">
        <f>IFERROR(__xludf.DUMMYFUNCTION("""COMPUTED_VALUE"""),"Trigger: You miss a Rock Type Attack
Effect: Up to 3 Stealth Rock Hazards are created in unoccupied spaces adjacent to a missed Target. 
Bonus: As a Swift Action when using a Rock Attack on a single Enemy, you may destroy 3 Stealth Rocks within 2m of you "&amp;"or the Target to give the Attack the Sureshot Keyword. You learn the Stealth Rock Attack.")</f>
        <v>Trigger: You miss a Rock Type Attack
Effect: Up to 3 Stealth Rock Hazards are created in unoccupied spaces adjacent to a missed Target. 
Bonus: As a Swift Action when using a Rock Attack on a single Enemy, you may destroy 3 Stealth Rocks within 2m of you or the Target to give the Attack the Sureshot Keyword. You learn the Stealth Rock Attack.</v>
      </c>
      <c r="J294" s="215"/>
      <c r="K294" s="217"/>
      <c r="L294" s="217"/>
      <c r="M294" s="217"/>
      <c r="N294" s="217"/>
      <c r="O294" s="217"/>
      <c r="P294" s="217"/>
    </row>
    <row r="295">
      <c r="A295" s="214"/>
      <c r="B295" s="214"/>
      <c r="C295" s="214"/>
      <c r="D295" s="214"/>
      <c r="E295" s="215"/>
      <c r="F295" s="216" t="str">
        <f>IFERROR(__xludf.DUMMYFUNCTION("""COMPUTED_VALUE"""),"Stone Sculptor")</f>
        <v>Stone Sculptor</v>
      </c>
      <c r="G295" s="216" t="str">
        <f>IFERROR(__xludf.DUMMYFUNCTION("""COMPUTED_VALUE"""),"Elementalism - Rock Elementalist")</f>
        <v>Elementalism - Rock Elementalist</v>
      </c>
      <c r="H295" s="216" t="str">
        <f>IFERROR(__xludf.DUMMYFUNCTION("""COMPUTED_VALUE"""),"Static")</f>
        <v>Static</v>
      </c>
      <c r="I295" s="216" t="str">
        <f>IFERROR(__xludf.DUMMYFUNCTION("""COMPUTED_VALUE"""),"Effect: You learn the Sentry Units Ability. Whenever you use the Sentry Units Ability you can choose any Unoccupied Space within 5m, instead of only being limited to Adjacent spaces.")</f>
        <v>Effect: You learn the Sentry Units Ability. Whenever you use the Sentry Units Ability you can choose any Unoccupied Space within 5m, instead of only being limited to Adjacent spaces.</v>
      </c>
      <c r="J295" s="215"/>
      <c r="K295" s="217"/>
      <c r="L295" s="217"/>
      <c r="M295" s="217"/>
      <c r="N295" s="217"/>
      <c r="O295" s="217"/>
      <c r="P295" s="217"/>
    </row>
    <row r="296">
      <c r="A296" s="214"/>
      <c r="B296" s="214"/>
      <c r="C296" s="214"/>
      <c r="D296" s="214"/>
      <c r="E296" s="215"/>
      <c r="F296" s="216" t="str">
        <f>IFERROR(__xludf.DUMMYFUNCTION("""COMPUTED_VALUE"""),"Adaptive Metal")</f>
        <v>Adaptive Metal</v>
      </c>
      <c r="G296" s="216" t="str">
        <f>IFERROR(__xludf.DUMMYFUNCTION("""COMPUTED_VALUE"""),"Elementalism - Steel Elementalist")</f>
        <v>Elementalism - Steel Elementalist</v>
      </c>
      <c r="H296" s="216" t="str">
        <f>IFERROR(__xludf.DUMMYFUNCTION("""COMPUTED_VALUE"""),"At-Will - Swift Action")</f>
        <v>At-Will - Swift Action</v>
      </c>
      <c r="I296" s="216" t="str">
        <f>IFERROR(__xludf.DUMMYFUNCTION("""COMPUTED_VALUE"""),"Trigger: You're Targeted by an Attack
Effect: Choose two Stats and switch their values until the end of the Round. 
Bonus: This Technique may be used on your Turn, ignoring the Trigger.")</f>
        <v>Trigger: You're Targeted by an Attack
Effect: Choose two Stats and switch their values until the end of the Round. 
Bonus: This Technique may be used on your Turn, ignoring the Trigger.</v>
      </c>
      <c r="J296" s="215"/>
      <c r="K296" s="217"/>
      <c r="L296" s="217"/>
      <c r="M296" s="217"/>
      <c r="N296" s="217"/>
      <c r="O296" s="217"/>
      <c r="P296" s="217"/>
    </row>
    <row r="297">
      <c r="A297" s="214"/>
      <c r="B297" s="214"/>
      <c r="C297" s="214"/>
      <c r="D297" s="214"/>
      <c r="E297" s="215"/>
      <c r="F297" s="216" t="str">
        <f>IFERROR(__xludf.DUMMYFUNCTION("""COMPUTED_VALUE"""),"Allomatic Shield")</f>
        <v>Allomatic Shield</v>
      </c>
      <c r="G297" s="216" t="str">
        <f>IFERROR(__xludf.DUMMYFUNCTION("""COMPUTED_VALUE"""),"Elementalism - Steel Elementalist")</f>
        <v>Elementalism - Steel Elementalist</v>
      </c>
      <c r="H297" s="216" t="str">
        <f>IFERROR(__xludf.DUMMYFUNCTION("""COMPUTED_VALUE"""),"At-Will - Free Action")</f>
        <v>At-Will - Free Action</v>
      </c>
      <c r="I297" s="216" t="str">
        <f>IFERROR(__xludf.DUMMYFUNCTION("""COMPUTED_VALUE"""),"Trigger: An Ally within X meters of you is hit by a Physical Attack
Effect: The Triggering Ally may use your Defense for Damage Calculations instead of their own. X is equal to your Tier Level. Once per Scene as a Reaction, you may apply this Effect regar"&amp;"dless if they're in range of you. ")</f>
        <v>Trigger: An Ally within X meters of you is hit by a Physical Attack
Effect: The Triggering Ally may use your Defense for Damage Calculations instead of their own. X is equal to your Tier Level. Once per Scene as a Reaction, you may apply this Effect regardless if they're in range of you. </v>
      </c>
      <c r="J297" s="215"/>
      <c r="K297" s="217"/>
      <c r="L297" s="217"/>
      <c r="M297" s="217"/>
      <c r="N297" s="217"/>
      <c r="O297" s="217"/>
      <c r="P297" s="217"/>
    </row>
    <row r="298">
      <c r="A298" s="214"/>
      <c r="B298" s="214"/>
      <c r="C298" s="214"/>
      <c r="D298" s="214"/>
      <c r="E298" s="215"/>
      <c r="F298" s="216" t="str">
        <f>IFERROR(__xludf.DUMMYFUNCTION("""COMPUTED_VALUE"""),"Electromagnetic Disruptor")</f>
        <v>Electromagnetic Disruptor</v>
      </c>
      <c r="G298" s="216" t="str">
        <f>IFERROR(__xludf.DUMMYFUNCTION("""COMPUTED_VALUE"""),"Elementalism - Steel Elementalist")</f>
        <v>Elementalism - Steel Elementalist</v>
      </c>
      <c r="H298" s="216" t="str">
        <f>IFERROR(__xludf.DUMMYFUNCTION("""COMPUTED_VALUE"""),"Static")</f>
        <v>Static</v>
      </c>
      <c r="I298" s="216" t="str">
        <f>IFERROR(__xludf.DUMMYFUNCTION("""COMPUTED_VALUE"""),"Effect: You gain the Ionic Charge Ability and a Status Attack from any Tier in the Electric Elementalist Attack List. The Ionic Charge Ability can also Trigger when you hit with a Steel Type Attack.")</f>
        <v>Effect: You gain the Ionic Charge Ability and a Status Attack from any Tier in the Electric Elementalist Attack List. The Ionic Charge Ability can also Trigger when you hit with a Steel Type Attack.</v>
      </c>
      <c r="J298" s="215"/>
      <c r="K298" s="217"/>
      <c r="L298" s="217"/>
      <c r="M298" s="217"/>
      <c r="N298" s="217"/>
      <c r="O298" s="217"/>
      <c r="P298" s="217"/>
    </row>
    <row r="299">
      <c r="A299" s="214"/>
      <c r="B299" s="214"/>
      <c r="C299" s="214"/>
      <c r="D299" s="214"/>
      <c r="E299" s="215"/>
      <c r="F299" s="216" t="str">
        <f>IFERROR(__xludf.DUMMYFUNCTION("""COMPUTED_VALUE"""),"Piercing Strike")</f>
        <v>Piercing Strike</v>
      </c>
      <c r="G299" s="216" t="str">
        <f>IFERROR(__xludf.DUMMYFUNCTION("""COMPUTED_VALUE"""),"Elementalism - Steel Elementalist")</f>
        <v>Elementalism - Steel Elementalist</v>
      </c>
      <c r="H299" s="216" t="str">
        <f>IFERROR(__xludf.DUMMYFUNCTION("""COMPUTED_VALUE"""),"At-Will - Swift Action")</f>
        <v>At-Will - Swift Action</v>
      </c>
      <c r="I299" s="216" t="str">
        <f>IFERROR(__xludf.DUMMYFUNCTION("""COMPUTED_VALUE"""),"Trigger: You hit Damaging Steel Type Attack against a single Enemy
Effect: Their relevant Defense Stat is lowered by -2 CS after Damage Resolution. If it is already negative, you may instead inflict the Wounded Affliction. An Enemy can only gain Wounded t"&amp;"his way once per Scene.")</f>
        <v>Trigger: You hit Damaging Steel Type Attack against a single Enemy
Effect: Their relevant Defense Stat is lowered by -2 CS after Damage Resolution. If it is already negative, you may instead inflict the Wounded Affliction. An Enemy can only gain Wounded this way once per Scene.</v>
      </c>
      <c r="J299" s="215"/>
      <c r="K299" s="217"/>
      <c r="L299" s="217"/>
      <c r="M299" s="217"/>
      <c r="N299" s="217"/>
      <c r="O299" s="217"/>
      <c r="P299" s="217"/>
    </row>
    <row r="300">
      <c r="A300" s="214"/>
      <c r="B300" s="214"/>
      <c r="C300" s="214"/>
      <c r="D300" s="214"/>
      <c r="E300" s="215"/>
      <c r="F300" s="216" t="str">
        <f>IFERROR(__xludf.DUMMYFUNCTION("""COMPUTED_VALUE"""),"Polarity Flux")</f>
        <v>Polarity Flux</v>
      </c>
      <c r="G300" s="216" t="str">
        <f>IFERROR(__xludf.DUMMYFUNCTION("""COMPUTED_VALUE"""),"Elementalism - Steel Elementalist")</f>
        <v>Elementalism - Steel Elementalist</v>
      </c>
      <c r="H300" s="216" t="str">
        <f>IFERROR(__xludf.DUMMYFUNCTION("""COMPUTED_VALUE"""),"At-Will - Free Action")</f>
        <v>At-Will - Free Action</v>
      </c>
      <c r="I300" s="216" t="str">
        <f>IFERROR(__xludf.DUMMYFUNCTION("""COMPUTED_VALUE"""),"Target: Yourself or a Combatant within 3m
Effect: Choose a Stat. If the Target has Negative CS in the Stat, they gain +2 CS. If they have Positive CS, they lose -2 CS. This Technique may only be used once per Round.
Bonus: As a Swift Action, you can Targe"&amp;"t any Ally within 3m and reset a Stat to its Default Value.")</f>
        <v>Target: Yourself or a Combatant within 3m
Effect: Choose a Stat. If the Target has Negative CS in the Stat, they gain +2 CS. If they have Positive CS, they lose -2 CS. This Technique may only be used once per Round.
Bonus: As a Swift Action, you can Target any Ally within 3m and reset a Stat to its Default Value.</v>
      </c>
      <c r="J300" s="215"/>
      <c r="K300" s="217"/>
      <c r="L300" s="217"/>
      <c r="M300" s="217"/>
      <c r="N300" s="217"/>
      <c r="O300" s="217"/>
      <c r="P300" s="217"/>
    </row>
    <row r="301">
      <c r="A301" s="214"/>
      <c r="B301" s="214"/>
      <c r="C301" s="214"/>
      <c r="D301" s="214"/>
      <c r="E301" s="215"/>
      <c r="F301" s="216" t="str">
        <f>IFERROR(__xludf.DUMMYFUNCTION("""COMPUTED_VALUE"""),"Arctic Freeze")</f>
        <v>Arctic Freeze</v>
      </c>
      <c r="G301" s="216" t="str">
        <f>IFERROR(__xludf.DUMMYFUNCTION("""COMPUTED_VALUE"""),"Elementalism - Water Elementalist")</f>
        <v>Elementalism - Water Elementalist</v>
      </c>
      <c r="H301" s="216" t="str">
        <f>IFERROR(__xludf.DUMMYFUNCTION("""COMPUTED_VALUE"""),"At-Will - Swift Action")</f>
        <v>At-Will - Swift Action</v>
      </c>
      <c r="I301" s="216" t="str">
        <f>IFERROR(__xludf.DUMMYFUNCTION("""COMPUTED_VALUE"""),"Trigger: You use a Water Type Damaging Attack agaiinst a Chilled or Ice Type Enemy
Effect: The Triggering Attack is treated as Super Effective but cannot exceed 1.5x Effectiveness. 
Bonus: Your Water Type Attacks gain a 18+ Effect Range to cause Targets t"&amp;"o become Chilled.")</f>
        <v>Trigger: You use a Water Type Damaging Attack agaiinst a Chilled or Ice Type Enemy
Effect: The Triggering Attack is treated as Super Effective but cannot exceed 1.5x Effectiveness. 
Bonus: Your Water Type Attacks gain a 18+ Effect Range to cause Targets to become Chilled.</v>
      </c>
      <c r="J301" s="215"/>
      <c r="K301" s="217"/>
      <c r="L301" s="217"/>
      <c r="M301" s="217"/>
      <c r="N301" s="217"/>
      <c r="O301" s="217"/>
      <c r="P301" s="217"/>
    </row>
    <row r="302">
      <c r="A302" s="214"/>
      <c r="B302" s="214"/>
      <c r="C302" s="214"/>
      <c r="D302" s="214"/>
      <c r="E302" s="215"/>
      <c r="F302" s="216" t="str">
        <f>IFERROR(__xludf.DUMMYFUNCTION("""COMPUTED_VALUE"""),"Aqua Surge")</f>
        <v>Aqua Surge</v>
      </c>
      <c r="G302" s="216" t="str">
        <f>IFERROR(__xludf.DUMMYFUNCTION("""COMPUTED_VALUE"""),"Elementalism - Water Elementalist")</f>
        <v>Elementalism - Water Elementalist</v>
      </c>
      <c r="H302" s="216" t="str">
        <f>IFERROR(__xludf.DUMMYFUNCTION("""COMPUTED_VALUE"""),"At-Will - Special")</f>
        <v>At-Will - Special</v>
      </c>
      <c r="I302" s="216" t="str">
        <f>IFERROR(__xludf.DUMMYFUNCTION("""COMPUTED_VALUE"""),"Effect: As a Free Action when you use a Status Water Attack or as a Swift Action, choose yourself or an Ally within 3m to grant a Hydro Coat until the end of your next Turn. While affected by a Hydro Coat, you are considered to be in Rainy Weather. Whenev"&amp;"er you would gain a Physical Affliction, you may expend the Hydro Coat to instead not gain it.")</f>
        <v>Effect: As a Free Action when you use a Status Water Attack or as a Swift Action, choose yourself or an Ally within 3m to grant a Hydro Coat until the end of your next Turn. While affected by a Hydro Coat, you are considered to be in Rainy Weather. Whenever you would gain a Physical Affliction, you may expend the Hydro Coat to instead not gain it.</v>
      </c>
      <c r="J302" s="215"/>
      <c r="K302" s="217"/>
      <c r="L302" s="217"/>
      <c r="M302" s="217"/>
      <c r="N302" s="217"/>
      <c r="O302" s="217"/>
      <c r="P302" s="217"/>
    </row>
    <row r="303">
      <c r="A303" s="214"/>
      <c r="B303" s="214"/>
      <c r="C303" s="214"/>
      <c r="D303" s="214"/>
      <c r="E303" s="215"/>
      <c r="F303" s="216" t="str">
        <f>IFERROR(__xludf.DUMMYFUNCTION("""COMPUTED_VALUE"""),"Pressurized Stream")</f>
        <v>Pressurized Stream</v>
      </c>
      <c r="G303" s="216" t="str">
        <f>IFERROR(__xludf.DUMMYFUNCTION("""COMPUTED_VALUE"""),"Elementalism - Water Elementalist")</f>
        <v>Elementalism - Water Elementalist</v>
      </c>
      <c r="H303" s="216" t="str">
        <f>IFERROR(__xludf.DUMMYFUNCTION("""COMPUTED_VALUE"""),"Static")</f>
        <v>Static</v>
      </c>
      <c r="I303" s="216" t="str">
        <f>IFERROR(__xludf.DUMMYFUNCTION("""COMPUTED_VALUE"""),"Effect: Your Damaging Water Attacks have a 16+ Effect Range to cause Targets to become Burned, or extend existing Burn Ranges by +2. Whenever you use a Water Attack on a Burned Target, it is treated as Super Effective, ignoring Type Effectiveness.")</f>
        <v>Effect: Your Damaging Water Attacks have a 16+ Effect Range to cause Targets to become Burned, or extend existing Burn Ranges by +2. Whenever you use a Water Attack on a Burned Target, it is treated as Super Effective, ignoring Type Effectiveness.</v>
      </c>
      <c r="J303" s="215"/>
      <c r="K303" s="217"/>
      <c r="L303" s="217"/>
      <c r="M303" s="217"/>
      <c r="N303" s="217"/>
      <c r="O303" s="217"/>
      <c r="P303" s="217"/>
    </row>
    <row r="304">
      <c r="A304" s="214"/>
      <c r="B304" s="214"/>
      <c r="C304" s="214"/>
      <c r="D304" s="214"/>
      <c r="E304" s="215"/>
      <c r="F304" s="216" t="str">
        <f>IFERROR(__xludf.DUMMYFUNCTION("""COMPUTED_VALUE"""),"Torrential Wave")</f>
        <v>Torrential Wave</v>
      </c>
      <c r="G304" s="216" t="str">
        <f>IFERROR(__xludf.DUMMYFUNCTION("""COMPUTED_VALUE"""),"Elementalism - Water Elementalist")</f>
        <v>Elementalism - Water Elementalist</v>
      </c>
      <c r="H304" s="216" t="str">
        <f>IFERROR(__xludf.DUMMYFUNCTION("""COMPUTED_VALUE"""),"At-Will - Free Action")</f>
        <v>At-Will - Free Action</v>
      </c>
      <c r="I304" s="216" t="str">
        <f>IFERROR(__xludf.DUMMYFUNCTION("""COMPUTED_VALUE"""),"Trigger: You use a non-Melee Water Attack against an Adjacent Enemy
Effect: The Triggering Attack gains the Sureshot Keyword. If the Weather is Rainy, they also have the Unstoppable Keyword.")</f>
        <v>Trigger: You use a non-Melee Water Attack against an Adjacent Enemy
Effect: The Triggering Attack gains the Sureshot Keyword. If the Weather is Rainy, they also have the Unstoppable Keyword.</v>
      </c>
      <c r="J304" s="215"/>
      <c r="K304" s="217"/>
      <c r="L304" s="217"/>
      <c r="M304" s="217"/>
      <c r="N304" s="217"/>
      <c r="O304" s="217"/>
      <c r="P304" s="217"/>
    </row>
    <row r="305">
      <c r="A305" s="214"/>
      <c r="B305" s="214"/>
      <c r="C305" s="214"/>
      <c r="D305" s="214"/>
      <c r="E305" s="215"/>
      <c r="F305" s="216" t="str">
        <f>IFERROR(__xludf.DUMMYFUNCTION("""COMPUTED_VALUE"""),"Vicious Whirlpool")</f>
        <v>Vicious Whirlpool</v>
      </c>
      <c r="G305" s="216" t="str">
        <f>IFERROR(__xludf.DUMMYFUNCTION("""COMPUTED_VALUE"""),"Elementalism - Water Elementalist")</f>
        <v>Elementalism - Water Elementalist</v>
      </c>
      <c r="H305" s="216" t="str">
        <f>IFERROR(__xludf.DUMMYFUNCTION("""COMPUTED_VALUE"""),"At-Will - Swift Action")</f>
        <v>At-Will - Swift Action</v>
      </c>
      <c r="I305" s="216" t="str">
        <f>IFERROR(__xludf.DUMMYFUNCTION("""COMPUTED_VALUE"""),"Trigger: You hit a Water Type Attack
Effect: Choose a Target hit by the Triggering Attack and create a Whirlpool Hazard in the Space they occupy. All combatants within 3m of the Hazard are Trapped while it is on the Field unless they pass a CR 5 Athletics"&amp;" Check. Unless the Weather is Rainy, the Hazard is removed at the end of the Round. ")</f>
        <v>Trigger: You hit a Water Type Attack
Effect: Choose a Target hit by the Triggering Attack and create a Whirlpool Hazard in the Space they occupy. All combatants within 3m of the Hazard are Trapped while it is on the Field unless they pass a CR 5 Athletics Check. Unless the Weather is Rainy, the Hazard is removed at the end of the Round. </v>
      </c>
      <c r="J305" s="215"/>
      <c r="K305" s="217"/>
      <c r="L305" s="217"/>
      <c r="M305" s="217"/>
      <c r="N305" s="217"/>
      <c r="O305" s="217"/>
      <c r="P305" s="217"/>
    </row>
    <row r="306">
      <c r="A306" s="214"/>
      <c r="B306" s="214"/>
      <c r="C306" s="214"/>
      <c r="D306" s="214"/>
      <c r="E306" s="215"/>
      <c r="F306" s="216" t="str">
        <f>IFERROR(__xludf.DUMMYFUNCTION("""COMPUTED_VALUE"""),"Showmanship")</f>
        <v>Showmanship</v>
      </c>
      <c r="G306" s="216" t="str">
        <f>IFERROR(__xludf.DUMMYFUNCTION("""COMPUTED_VALUE"""),"Performer - Performer Techniques")</f>
        <v>Performer - Performer Techniques</v>
      </c>
      <c r="H306" s="216" t="str">
        <f>IFERROR(__xludf.DUMMYFUNCTION("""COMPUTED_VALUE"""),"At-Will - Free Action")</f>
        <v>At-Will - Free Action</v>
      </c>
      <c r="I306" s="216" t="str">
        <f>IFERROR(__xludf.DUMMYFUNCTION("""COMPUTED_VALUE"""),"Trigger: You or your Pokemon perform an Opposed Check in Combat
Effect: Add a 1d6 to the Triggering Roll for each Flair Token expended.  
Bonus: You may also use this as a Swift Action to ignore the Trigger. If you do so, Target yourself or one of your Po"&amp;"kemon within 3m and they add the modifier to their next Skill Check used this Combat. ")</f>
        <v>Trigger: You or your Pokemon perform an Opposed Check in Combat
Effect: Add a 1d6 to the Triggering Roll for each Flair Token expended.  
Bonus: You may also use this as a Swift Action to ignore the Trigger. If you do so, Target yourself or one of your Pokemon within 3m and they add the modifier to their next Skill Check used this Combat. </v>
      </c>
      <c r="J306" s="215"/>
      <c r="K306" s="217"/>
      <c r="L306" s="217"/>
      <c r="M306" s="217"/>
      <c r="N306" s="217"/>
      <c r="O306" s="217"/>
      <c r="P306" s="217"/>
    </row>
    <row r="307">
      <c r="A307" s="214"/>
      <c r="B307" s="214"/>
      <c r="C307" s="214"/>
      <c r="D307" s="214"/>
      <c r="E307" s="215"/>
      <c r="F307" s="216" t="str">
        <f>IFERROR(__xludf.DUMMYFUNCTION("""COMPUTED_VALUE"""),"Guaranteed Appeal")</f>
        <v>Guaranteed Appeal</v>
      </c>
      <c r="G307" s="216" t="str">
        <f>IFERROR(__xludf.DUMMYFUNCTION("""COMPUTED_VALUE"""),"Performer - Performer Techniques")</f>
        <v>Performer - Performer Techniques</v>
      </c>
      <c r="H307" s="216" t="str">
        <f>IFERROR(__xludf.DUMMYFUNCTION("""COMPUTED_VALUE"""),"At-Will - Free Action")</f>
        <v>At-Will - Free Action</v>
      </c>
      <c r="I307" s="216" t="str">
        <f>IFERROR(__xludf.DUMMYFUNCTION("""COMPUTED_VALUE"""),"Trigger: You or Your Pokemon hit an Attack with an Effect Range 
Effect: One Effect Range of the Triggering Attack automatically applies, regardless of the Accuracy Roll. A specific Attack can only Trigger this once per Scene.")</f>
        <v>Trigger: You or Your Pokemon hit an Attack with an Effect Range 
Effect: One Effect Range of the Triggering Attack automatically applies, regardless of the Accuracy Roll. A specific Attack can only Trigger this once per Scene.</v>
      </c>
      <c r="J307" s="215"/>
      <c r="K307" s="217"/>
      <c r="L307" s="217"/>
      <c r="M307" s="217"/>
      <c r="N307" s="217"/>
      <c r="O307" s="217"/>
      <c r="P307" s="217"/>
    </row>
    <row r="308">
      <c r="A308" s="214"/>
      <c r="B308" s="214"/>
      <c r="C308" s="214"/>
      <c r="D308" s="214"/>
      <c r="E308" s="215"/>
      <c r="F308" s="216" t="str">
        <f>IFERROR(__xludf.DUMMYFUNCTION("""COMPUTED_VALUE"""),"Drum Up Excitement")</f>
        <v>Drum Up Excitement</v>
      </c>
      <c r="G308" s="216" t="str">
        <f>IFERROR(__xludf.DUMMYFUNCTION("""COMPUTED_VALUE"""),"Performer - Performer Techniques")</f>
        <v>Performer - Performer Techniques</v>
      </c>
      <c r="H308" s="216" t="str">
        <f>IFERROR(__xludf.DUMMYFUNCTION("""COMPUTED_VALUE"""),"At-Will - Swift Action")</f>
        <v>At-Will - Swift Action</v>
      </c>
      <c r="I308" s="216" t="str">
        <f>IFERROR(__xludf.DUMMYFUNCTION("""COMPUTED_VALUE"""),"Effect: All Allies within a Burst X Range gain one Tick of Temporary Hit Points and gain +1 CS in a Stat of their choice.")</f>
        <v>Effect: All Allies within a Burst X Range gain one Tick of Temporary Hit Points and gain +1 CS in a Stat of their choice.</v>
      </c>
      <c r="J308" s="215"/>
      <c r="K308" s="217"/>
      <c r="L308" s="217"/>
      <c r="M308" s="217"/>
      <c r="N308" s="217"/>
      <c r="O308" s="217"/>
      <c r="P308" s="217"/>
    </row>
    <row r="309">
      <c r="A309" s="214"/>
      <c r="B309" s="214"/>
      <c r="C309" s="214"/>
      <c r="D309" s="214"/>
      <c r="E309" s="215"/>
      <c r="F309" s="216" t="str">
        <f>IFERROR(__xludf.DUMMYFUNCTION("""COMPUTED_VALUE"""),"Shift The Limelight")</f>
        <v>Shift The Limelight</v>
      </c>
      <c r="G309" s="216" t="str">
        <f>IFERROR(__xludf.DUMMYFUNCTION("""COMPUTED_VALUE"""),"Performer - Performer Techniques")</f>
        <v>Performer - Performer Techniques</v>
      </c>
      <c r="H309" s="216" t="str">
        <f>IFERROR(__xludf.DUMMYFUNCTION("""COMPUTED_VALUE"""),"At-Will - Swift Action")</f>
        <v>At-Will - Swift Action</v>
      </c>
      <c r="I309" s="216" t="str">
        <f>IFERROR(__xludf.DUMMYFUNCTION("""COMPUTED_VALUE"""),"Target: An Enemy Combatant within 5m.
Effect: During each ally’s next Turn, they ignore Evasion on the Target and they gain a Boon to any Opposed Checks involving the Target.")</f>
        <v>Target: An Enemy Combatant within 5m.
Effect: During each ally’s next Turn, they ignore Evasion on the Target and they gain a Boon to any Opposed Checks involving the Target.</v>
      </c>
      <c r="J309" s="215"/>
      <c r="K309" s="217"/>
      <c r="L309" s="217"/>
      <c r="M309" s="217"/>
      <c r="N309" s="217"/>
      <c r="O309" s="217"/>
      <c r="P309" s="217"/>
    </row>
    <row r="310">
      <c r="A310" s="214"/>
      <c r="B310" s="214"/>
      <c r="C310" s="214"/>
      <c r="D310" s="214"/>
      <c r="E310" s="215"/>
      <c r="F310" s="216" t="str">
        <f>IFERROR(__xludf.DUMMYFUNCTION("""COMPUTED_VALUE"""),"Coordinated Choreography")</f>
        <v>Coordinated Choreography</v>
      </c>
      <c r="G310" s="216" t="str">
        <f>IFERROR(__xludf.DUMMYFUNCTION("""COMPUTED_VALUE"""),"Performer - Performer Techniques")</f>
        <v>Performer - Performer Techniques</v>
      </c>
      <c r="H310" s="216" t="str">
        <f>IFERROR(__xludf.DUMMYFUNCTION("""COMPUTED_VALUE"""),"At-Will - Free Action")</f>
        <v>At-Will - Free Action</v>
      </c>
      <c r="I310" s="216" t="str">
        <f>IFERROR(__xludf.DUMMYFUNCTION("""COMPUTED_VALUE"""),"Target: An Enemy within 5m
Effect: The Target becomes Marked by a Performer Mark until the end of this Initiative. You and the Ally acting alongside you this Initiative become Provoked by the Enemy with your Performer Mark, however your Attacks have the S"&amp;"mite and Spirit Surge Keyword against them. ")</f>
        <v>Target: An Enemy within 5m
Effect: The Target becomes Marked by a Performer Mark until the end of this Initiative. You and the Ally acting alongside you this Initiative become Provoked by the Enemy with your Performer Mark, however your Attacks have the Smite and Spirit Surge Keyword against them. </v>
      </c>
      <c r="J310" s="215"/>
      <c r="K310" s="217"/>
      <c r="L310" s="217"/>
      <c r="M310" s="217"/>
      <c r="N310" s="217"/>
      <c r="O310" s="217"/>
      <c r="P310" s="217"/>
    </row>
    <row r="311">
      <c r="A311" s="214"/>
      <c r="B311" s="214"/>
      <c r="C311" s="214"/>
      <c r="D311" s="214"/>
      <c r="E311" s="215"/>
      <c r="F311" s="216" t="str">
        <f>IFERROR(__xludf.DUMMYFUNCTION("""COMPUTED_VALUE"""),"Skilled Performer")</f>
        <v>Skilled Performer</v>
      </c>
      <c r="G311" s="216" t="str">
        <f>IFERROR(__xludf.DUMMYFUNCTION("""COMPUTED_VALUE"""),"Performer - Performer Techniques")</f>
        <v>Performer - Performer Techniques</v>
      </c>
      <c r="H311" s="216" t="str">
        <f>IFERROR(__xludf.DUMMYFUNCTION("""COMPUTED_VALUE"""),"Static")</f>
        <v>Static</v>
      </c>
      <c r="I311" s="216" t="str">
        <f>IFERROR(__xludf.DUMMYFUNCTION("""COMPUTED_VALUE"""),"Effect: Choose two of the options below to gain. You may pick the same option multiple times. You may take this Technique up to two times. 
&gt; Gain the Skill Specialty Talent. The Specialty you pick must be related to your ability to perform. 
&gt; Choose a"&amp;" Skill to Rank Up if you meet the Level Prerequisites.
")</f>
        <v>Effect: Choose two of the options below to gain. You may pick the same option multiple times. You may take this Technique up to two times. 
&gt; Gain the Skill Specialty Talent. The Specialty you pick must be related to your ability to perform. 
&gt; Choose a Skill to Rank Up if you meet the Level Prerequisites.
</v>
      </c>
      <c r="J311" s="215"/>
      <c r="K311" s="217"/>
      <c r="L311" s="217"/>
      <c r="M311" s="217"/>
      <c r="N311" s="217"/>
      <c r="O311" s="217"/>
      <c r="P311" s="217"/>
    </row>
    <row r="312">
      <c r="A312" s="214"/>
      <c r="B312" s="214"/>
      <c r="C312" s="214"/>
      <c r="D312" s="214"/>
      <c r="E312" s="215"/>
      <c r="F312" s="216" t="str">
        <f>IFERROR(__xludf.DUMMYFUNCTION("""COMPUTED_VALUE"""),"Captivating Strike")</f>
        <v>Captivating Strike</v>
      </c>
      <c r="G312" s="216" t="str">
        <f>IFERROR(__xludf.DUMMYFUNCTION("""COMPUTED_VALUE"""),"Coordinator - Beauty - Innovation Technique")</f>
        <v>Coordinator - Beauty - Innovation Technique</v>
      </c>
      <c r="H312" s="216" t="str">
        <f>IFERROR(__xludf.DUMMYFUNCTION("""COMPUTED_VALUE"""),"Static")</f>
        <v>Static</v>
      </c>
      <c r="I312" s="216" t="str">
        <f>IFERROR(__xludf.DUMMYFUNCTION("""COMPUTED_VALUE"""),"Prerequisites: This Attack is 1-Target
Effect: After the Attack’s Resolution, the Target becomes Provoked or Entranced by the User. An Enemy can only gain an Affliction this way once per Scene. ")</f>
        <v>Prerequisites: This Attack is 1-Target
Effect: After the Attack’s Resolution, the Target becomes Provoked or Entranced by the User. An Enemy can only gain an Affliction this way once per Scene. </v>
      </c>
      <c r="J312" s="215"/>
      <c r="K312" s="217"/>
      <c r="L312" s="217"/>
      <c r="M312" s="217"/>
      <c r="N312" s="217"/>
      <c r="O312" s="217"/>
      <c r="P312" s="217"/>
    </row>
    <row r="313">
      <c r="A313" s="214"/>
      <c r="B313" s="214"/>
      <c r="C313" s="214"/>
      <c r="D313" s="214"/>
      <c r="E313" s="215"/>
      <c r="F313" s="216" t="str">
        <f>IFERROR(__xludf.DUMMYFUNCTION("""COMPUTED_VALUE"""),"Elegant Perfection")</f>
        <v>Elegant Perfection</v>
      </c>
      <c r="G313" s="216" t="str">
        <f>IFERROR(__xludf.DUMMYFUNCTION("""COMPUTED_VALUE"""),"Coordinator - Beauty - Innovation Technique")</f>
        <v>Coordinator - Beauty - Innovation Technique</v>
      </c>
      <c r="H313" s="216" t="str">
        <f>IFERROR(__xludf.DUMMYFUNCTION("""COMPUTED_VALUE"""),"Static")</f>
        <v>Static</v>
      </c>
      <c r="I313" s="216" t="str">
        <f>IFERROR(__xludf.DUMMYFUNCTION("""COMPUTED_VALUE"""),"Prerequisites: None
Effect: If all Targets of this Attack have a Mental Affliction or are Provoked by you, this Attack gains the Sureshot Keyword.")</f>
        <v>Prerequisites: None
Effect: If all Targets of this Attack have a Mental Affliction or are Provoked by you, this Attack gains the Sureshot Keyword.</v>
      </c>
      <c r="J313" s="215"/>
      <c r="K313" s="217"/>
      <c r="L313" s="217"/>
      <c r="M313" s="217"/>
      <c r="N313" s="217"/>
      <c r="O313" s="217"/>
      <c r="P313" s="217"/>
    </row>
    <row r="314">
      <c r="A314" s="214"/>
      <c r="B314" s="214"/>
      <c r="C314" s="214"/>
      <c r="D314" s="214"/>
      <c r="E314" s="215"/>
      <c r="F314" s="216" t="str">
        <f>IFERROR(__xludf.DUMMYFUNCTION("""COMPUTED_VALUE"""),"Stunning Serenity")</f>
        <v>Stunning Serenity</v>
      </c>
      <c r="G314" s="216" t="str">
        <f>IFERROR(__xludf.DUMMYFUNCTION("""COMPUTED_VALUE"""),"Coordinator - Beauty - Innovation Technique")</f>
        <v>Coordinator - Beauty - Innovation Technique</v>
      </c>
      <c r="H314" s="216" t="str">
        <f>IFERROR(__xludf.DUMMYFUNCTION("""COMPUTED_VALUE"""),"Static")</f>
        <v>Static</v>
      </c>
      <c r="I314" s="216" t="str">
        <f>IFERROR(__xludf.DUMMYFUNCTION("""COMPUTED_VALUE"""),"Prerequisites: This Attack has an Effect Range
Effect: This Attack cannot Critical Hit. This Attack gains the Spirit Surge Keyword and if it hits, the Effect Range automatically triggers. ")</f>
        <v>Prerequisites: This Attack has an Effect Range
Effect: This Attack cannot Critical Hit. This Attack gains the Spirit Surge Keyword and if it hits, the Effect Range automatically triggers. </v>
      </c>
      <c r="J314" s="215"/>
      <c r="K314" s="217"/>
      <c r="L314" s="217"/>
      <c r="M314" s="217"/>
      <c r="N314" s="217"/>
      <c r="O314" s="217"/>
      <c r="P314" s="217"/>
    </row>
    <row r="315">
      <c r="A315" s="214"/>
      <c r="B315" s="214"/>
      <c r="C315" s="214"/>
      <c r="D315" s="214"/>
      <c r="E315" s="215"/>
      <c r="F315" s="216" t="str">
        <f>IFERROR(__xludf.DUMMYFUNCTION("""COMPUTED_VALUE"""),"Awesome Strike")</f>
        <v>Awesome Strike</v>
      </c>
      <c r="G315" s="216" t="str">
        <f>IFERROR(__xludf.DUMMYFUNCTION("""COMPUTED_VALUE"""),"Coordinator - Cool - Innovation Technique")</f>
        <v>Coordinator - Cool - Innovation Technique</v>
      </c>
      <c r="H315" s="216" t="str">
        <f>IFERROR(__xludf.DUMMYFUNCTION("""COMPUTED_VALUE"""),"Static")</f>
        <v>Static</v>
      </c>
      <c r="I315" s="216" t="str">
        <f>IFERROR(__xludf.DUMMYFUNCTION("""COMPUTED_VALUE"""),"Prerequisites: This Attack is Damaging
Effect: The Attack gains the Smite Keyword and has a Critical Hit Modifier equal to your Tier Level.")</f>
        <v>Prerequisites: This Attack is Damaging
Effect: The Attack gains the Smite Keyword and has a Critical Hit Modifier equal to your Tier Level.</v>
      </c>
      <c r="J315" s="215"/>
      <c r="K315" s="217"/>
      <c r="L315" s="217"/>
      <c r="M315" s="217"/>
      <c r="N315" s="217"/>
      <c r="O315" s="217"/>
      <c r="P315" s="217"/>
    </row>
    <row r="316">
      <c r="A316" s="214"/>
      <c r="B316" s="214"/>
      <c r="C316" s="214"/>
      <c r="D316" s="214"/>
      <c r="E316" s="215"/>
      <c r="F316" s="216" t="str">
        <f>IFERROR(__xludf.DUMMYFUNCTION("""COMPUTED_VALUE"""),"Flashy Performance")</f>
        <v>Flashy Performance</v>
      </c>
      <c r="G316" s="216" t="str">
        <f>IFERROR(__xludf.DUMMYFUNCTION("""COMPUTED_VALUE"""),"Coordinator - Cool - Innovation Technique")</f>
        <v>Coordinator - Cool - Innovation Technique</v>
      </c>
      <c r="H316" s="216" t="str">
        <f>IFERROR(__xludf.DUMMYFUNCTION("""COMPUTED_VALUE"""),"Static")</f>
        <v>Static</v>
      </c>
      <c r="I316" s="216" t="str">
        <f>IFERROR(__xludf.DUMMYFUNCTION("""COMPUTED_VALUE"""),"Prerequisites: None
Effect: This Attack has a 14+ Effect Range to increase a Stat of your choice by +1 CS.")</f>
        <v>Prerequisites: None
Effect: This Attack has a 14+ Effect Range to increase a Stat of your choice by +1 CS.</v>
      </c>
      <c r="J316" s="215"/>
      <c r="K316" s="217"/>
      <c r="L316" s="217"/>
      <c r="M316" s="217"/>
      <c r="N316" s="217"/>
      <c r="O316" s="217"/>
      <c r="P316" s="217"/>
    </row>
    <row r="317">
      <c r="A317" s="214"/>
      <c r="B317" s="214"/>
      <c r="C317" s="214"/>
      <c r="D317" s="214"/>
      <c r="E317" s="215"/>
      <c r="F317" s="216" t="str">
        <f>IFERROR(__xludf.DUMMYFUNCTION("""COMPUTED_VALUE"""),"Ricochet Maneuver")</f>
        <v>Ricochet Maneuver</v>
      </c>
      <c r="G317" s="216" t="str">
        <f>IFERROR(__xludf.DUMMYFUNCTION("""COMPUTED_VALUE"""),"Coordinator - Cool - Innovation Technique")</f>
        <v>Coordinator - Cool - Innovation Technique</v>
      </c>
      <c r="H317" s="216" t="str">
        <f>IFERROR(__xludf.DUMMYFUNCTION("""COMPUTED_VALUE"""),"Static")</f>
        <v>Static</v>
      </c>
      <c r="I317" s="216" t="str">
        <f>IFERROR(__xludf.DUMMYFUNCTION("""COMPUTED_VALUE"""),"Prerequisites: This Attack is 1-Target
Effect: Choose an additional Enemy to become a Target of this Attack within 2m of the first Target. ")</f>
        <v>Prerequisites: This Attack is 1-Target
Effect: Choose an additional Enemy to become a Target of this Attack within 2m of the first Target. </v>
      </c>
      <c r="J317" s="215"/>
      <c r="K317" s="217"/>
      <c r="L317" s="217"/>
      <c r="M317" s="217"/>
      <c r="N317" s="217"/>
      <c r="O317" s="217"/>
      <c r="P317" s="217"/>
    </row>
    <row r="318">
      <c r="A318" s="214"/>
      <c r="B318" s="214"/>
      <c r="C318" s="214"/>
      <c r="D318" s="214"/>
      <c r="E318" s="215"/>
      <c r="F318" s="216" t="str">
        <f>IFERROR(__xludf.DUMMYFUNCTION("""COMPUTED_VALUE"""),"Adorable Aura")</f>
        <v>Adorable Aura</v>
      </c>
      <c r="G318" s="216" t="str">
        <f>IFERROR(__xludf.DUMMYFUNCTION("""COMPUTED_VALUE"""),"Coordinator - Cute - Innovation Technique")</f>
        <v>Coordinator - Cute - Innovation Technique</v>
      </c>
      <c r="H318" s="216" t="str">
        <f>IFERROR(__xludf.DUMMYFUNCTION("""COMPUTED_VALUE"""),"Static")</f>
        <v>Static</v>
      </c>
      <c r="I318" s="216" t="str">
        <f>IFERROR(__xludf.DUMMYFUNCTION("""COMPUTED_VALUE"""),"Prerequisites: This is a Status Attack
Effect: The user cannot be Targeted by 1-Target Attacks until the start of their next Turn unless there are no other legal targets. ")</f>
        <v>Prerequisites: This is a Status Attack
Effect: The user cannot be Targeted by 1-Target Attacks until the start of their next Turn unless there are no other legal targets. </v>
      </c>
      <c r="J318" s="215"/>
      <c r="K318" s="217"/>
      <c r="L318" s="217"/>
      <c r="M318" s="217"/>
      <c r="N318" s="217"/>
      <c r="O318" s="217"/>
      <c r="P318" s="217"/>
    </row>
    <row r="319">
      <c r="A319" s="214"/>
      <c r="B319" s="214"/>
      <c r="C319" s="214"/>
      <c r="D319" s="214"/>
      <c r="E319" s="215"/>
      <c r="F319" s="216" t="str">
        <f>IFERROR(__xludf.DUMMYFUNCTION("""COMPUTED_VALUE"""),"Dazzling Strike")</f>
        <v>Dazzling Strike</v>
      </c>
      <c r="G319" s="216" t="str">
        <f>IFERROR(__xludf.DUMMYFUNCTION("""COMPUTED_VALUE"""),"Coordinator - Cute - Innovation Technique")</f>
        <v>Coordinator - Cute - Innovation Technique</v>
      </c>
      <c r="H319" s="216" t="str">
        <f>IFERROR(__xludf.DUMMYFUNCTION("""COMPUTED_VALUE"""),"Static")</f>
        <v>Static</v>
      </c>
      <c r="I319" s="216" t="str">
        <f>IFERROR(__xludf.DUMMYFUNCTION("""COMPUTED_VALUE"""),"Prerequisites: This Attack is 1-Target
Effect: After the Attack’s Resolution, the Target becomes Dazed or Entranced by the User. An Enemy can only gain an Affliction this way once per Scene. ")</f>
        <v>Prerequisites: This Attack is 1-Target
Effect: After the Attack’s Resolution, the Target becomes Dazed or Entranced by the User. An Enemy can only gain an Affliction this way once per Scene. </v>
      </c>
      <c r="J319" s="215"/>
      <c r="K319" s="217"/>
      <c r="L319" s="217"/>
      <c r="M319" s="217"/>
      <c r="N319" s="217"/>
      <c r="O319" s="217"/>
      <c r="P319" s="217"/>
    </row>
    <row r="320">
      <c r="A320" s="214"/>
      <c r="B320" s="214"/>
      <c r="C320" s="214"/>
      <c r="D320" s="214"/>
      <c r="E320" s="215"/>
      <c r="F320" s="216" t="str">
        <f>IFERROR(__xludf.DUMMYFUNCTION("""COMPUTED_VALUE"""),"Inspiring Performance")</f>
        <v>Inspiring Performance</v>
      </c>
      <c r="G320" s="216" t="str">
        <f>IFERROR(__xludf.DUMMYFUNCTION("""COMPUTED_VALUE"""),"Coordinator - Cute - Innovation Technique")</f>
        <v>Coordinator - Cute - Innovation Technique</v>
      </c>
      <c r="H320" s="216" t="str">
        <f>IFERROR(__xludf.DUMMYFUNCTION("""COMPUTED_VALUE"""),"Static")</f>
        <v>Static</v>
      </c>
      <c r="I320" s="216" t="str">
        <f>IFERROR(__xludf.DUMMYFUNCTION("""COMPUTED_VALUE"""),"Prerequisites: None
Effect: After this Attack’s resolution, choose an Ally within 2m of the User to gain a Modifier to their next Accuracy Roll or Save Check of your choice equal to your Tier Level. ")</f>
        <v>Prerequisites: None
Effect: After this Attack’s resolution, choose an Ally within 2m of the User to gain a Modifier to their next Accuracy Roll or Save Check of your choice equal to your Tier Level. </v>
      </c>
      <c r="J320" s="215"/>
      <c r="K320" s="217"/>
      <c r="L320" s="217"/>
      <c r="M320" s="217"/>
      <c r="N320" s="217"/>
      <c r="O320" s="217"/>
      <c r="P320" s="217"/>
    </row>
    <row r="321">
      <c r="A321" s="214"/>
      <c r="B321" s="214"/>
      <c r="C321" s="214"/>
      <c r="D321" s="214"/>
      <c r="E321" s="215"/>
      <c r="F321" s="216" t="str">
        <f>IFERROR(__xludf.DUMMYFUNCTION("""COMPUTED_VALUE"""),"Analyzed Strike")</f>
        <v>Analyzed Strike</v>
      </c>
      <c r="G321" s="216" t="str">
        <f>IFERROR(__xludf.DUMMYFUNCTION("""COMPUTED_VALUE"""),"Coordinator - Smart - Innovation Technique")</f>
        <v>Coordinator - Smart - Innovation Technique</v>
      </c>
      <c r="H321" s="216" t="str">
        <f>IFERROR(__xludf.DUMMYFUNCTION("""COMPUTED_VALUE"""),"Static")</f>
        <v>Static</v>
      </c>
      <c r="I321" s="216" t="str">
        <f>IFERROR(__xludf.DUMMYFUNCTION("""COMPUTED_VALUE"""),"Prerequisites: None
Effect: If a Target of this Attack is Flanked, this gains the Sureshot Keyword. ")</f>
        <v>Prerequisites: None
Effect: If a Target of this Attack is Flanked, this gains the Sureshot Keyword. </v>
      </c>
      <c r="J321" s="215"/>
      <c r="K321" s="217"/>
      <c r="L321" s="217"/>
      <c r="M321" s="217"/>
      <c r="N321" s="217"/>
      <c r="O321" s="217"/>
      <c r="P321" s="217"/>
    </row>
    <row r="322">
      <c r="A322" s="214"/>
      <c r="B322" s="214"/>
      <c r="C322" s="214"/>
      <c r="D322" s="214"/>
      <c r="E322" s="215"/>
      <c r="F322" s="216" t="str">
        <f>IFERROR(__xludf.DUMMYFUNCTION("""COMPUTED_VALUE"""),"Distracting Tactic")</f>
        <v>Distracting Tactic</v>
      </c>
      <c r="G322" s="216" t="str">
        <f>IFERROR(__xludf.DUMMYFUNCTION("""COMPUTED_VALUE"""),"Coordinator - Smart - Innovation Technique")</f>
        <v>Coordinator - Smart - Innovation Technique</v>
      </c>
      <c r="H322" s="216" t="str">
        <f>IFERROR(__xludf.DUMMYFUNCTION("""COMPUTED_VALUE"""),"Static")</f>
        <v>Static</v>
      </c>
      <c r="I322" s="216" t="str">
        <f>IFERROR(__xludf.DUMMYFUNCTION("""COMPUTED_VALUE"""),"Prerequisites: None
Effect: After this Attack resolves, the user may use a Manipulate or Tactic Maneuver against one Target of the Attack as a Free Action (Other than attack of opportunity or throw). If the Attack missed, the Maneuver automatically hits."&amp;" ")</f>
        <v>Prerequisites: None
Effect: After this Attack resolves, the user may use a Manipulate or Tactic Maneuver against one Target of the Attack as a Free Action (Other than attack of opportunity or throw). If the Attack missed, the Maneuver automatically hits. </v>
      </c>
      <c r="J322" s="215"/>
      <c r="K322" s="217"/>
      <c r="L322" s="217"/>
      <c r="M322" s="217"/>
      <c r="N322" s="217"/>
      <c r="O322" s="217"/>
      <c r="P322" s="217"/>
    </row>
    <row r="323">
      <c r="A323" s="214"/>
      <c r="B323" s="214"/>
      <c r="C323" s="214"/>
      <c r="D323" s="214"/>
      <c r="E323" s="215"/>
      <c r="F323" s="216" t="str">
        <f>IFERROR(__xludf.DUMMYFUNCTION("""COMPUTED_VALUE"""),"Tactical Shot")</f>
        <v>Tactical Shot</v>
      </c>
      <c r="G323" s="216" t="str">
        <f>IFERROR(__xludf.DUMMYFUNCTION("""COMPUTED_VALUE"""),"Coordinator - Smart - Innovation Technique")</f>
        <v>Coordinator - Smart - Innovation Technique</v>
      </c>
      <c r="H323" s="216" t="str">
        <f>IFERROR(__xludf.DUMMYFUNCTION("""COMPUTED_VALUE"""),"Static")</f>
        <v>Static</v>
      </c>
      <c r="I323" s="216" t="str">
        <f>IFERROR(__xludf.DUMMYFUNCTION("""COMPUTED_VALUE"""),"Prerequisite: This Attack is Damaging
Effect: This Attack is resisted one less damage step and gains the Unstoppable Keyword. ")</f>
        <v>Prerequisite: This Attack is Damaging
Effect: This Attack is resisted one less damage step and gains the Unstoppable Keyword. </v>
      </c>
      <c r="J323" s="215"/>
      <c r="K323" s="217"/>
      <c r="L323" s="217"/>
      <c r="M323" s="217"/>
      <c r="N323" s="217"/>
      <c r="O323" s="217"/>
      <c r="P323" s="217"/>
    </row>
    <row r="324">
      <c r="A324" s="214"/>
      <c r="B324" s="214"/>
      <c r="C324" s="214"/>
      <c r="D324" s="214"/>
      <c r="E324" s="215"/>
      <c r="F324" s="216" t="str">
        <f>IFERROR(__xludf.DUMMYFUNCTION("""COMPUTED_VALUE"""),"Armor Up")</f>
        <v>Armor Up</v>
      </c>
      <c r="G324" s="216" t="str">
        <f>IFERROR(__xludf.DUMMYFUNCTION("""COMPUTED_VALUE"""),"Coordinator - Tough - Innovation Technique")</f>
        <v>Coordinator - Tough - Innovation Technique</v>
      </c>
      <c r="H324" s="216" t="str">
        <f>IFERROR(__xludf.DUMMYFUNCTION("""COMPUTED_VALUE"""),"Static")</f>
        <v>Static</v>
      </c>
      <c r="I324" s="216" t="str">
        <f>IFERROR(__xludf.DUMMYFUNCTION("""COMPUTED_VALUE"""),"Prerequisites: This is a Status Attack
Effect: After this Attack is used, the user gains Damage Reduction equal to their Trainer’s Tier Value against the next Attack that hits them. If it was used as a non-Standard Action, they instead gain half the amou"&amp;"nt (Rounded Up)")</f>
        <v>Prerequisites: This is a Status Attack
Effect: After this Attack is used, the user gains Damage Reduction equal to their Trainer’s Tier Value against the next Attack that hits them. If it was used as a non-Standard Action, they instead gain half the amount (Rounded Up)</v>
      </c>
      <c r="J324" s="215"/>
      <c r="K324" s="217"/>
      <c r="L324" s="217"/>
      <c r="M324" s="217"/>
      <c r="N324" s="217"/>
      <c r="O324" s="217"/>
      <c r="P324" s="217"/>
    </row>
    <row r="325">
      <c r="A325" s="214"/>
      <c r="B325" s="214"/>
      <c r="C325" s="214"/>
      <c r="D325" s="214"/>
      <c r="E325" s="215"/>
      <c r="F325" s="216" t="str">
        <f>IFERROR(__xludf.DUMMYFUNCTION("""COMPUTED_VALUE"""),"Resilient Strike")</f>
        <v>Resilient Strike</v>
      </c>
      <c r="G325" s="216" t="str">
        <f>IFERROR(__xludf.DUMMYFUNCTION("""COMPUTED_VALUE"""),"Coordinator - Tough - Innovation Technique")</f>
        <v>Coordinator - Tough - Innovation Technique</v>
      </c>
      <c r="H325" s="216" t="str">
        <f>IFERROR(__xludf.DUMMYFUNCTION("""COMPUTED_VALUE"""),"Static")</f>
        <v>Static</v>
      </c>
      <c r="I325" s="216" t="str">
        <f>IFERROR(__xludf.DUMMYFUNCTION("""COMPUTED_VALUE"""),"Prerequisite: This is a non At-Will Damaging Attack
Effect: The Targeted Attack becomes a Full Action. If the Attack is Physical, its Offensive Stat becomes Defense. If the Attack is Special, its Offensive Stat becomes Special Defense. ")</f>
        <v>Prerequisite: This is a non At-Will Damaging Attack
Effect: The Targeted Attack becomes a Full Action. If the Attack is Physical, its Offensive Stat becomes Defense. If the Attack is Special, its Offensive Stat becomes Special Defense. </v>
      </c>
      <c r="J325" s="215"/>
      <c r="K325" s="217"/>
      <c r="L325" s="217"/>
      <c r="M325" s="217"/>
      <c r="N325" s="217"/>
      <c r="O325" s="217"/>
      <c r="P325" s="217"/>
    </row>
    <row r="326">
      <c r="A326" s="214"/>
      <c r="B326" s="214"/>
      <c r="C326" s="214"/>
      <c r="D326" s="214"/>
      <c r="E326" s="215"/>
      <c r="F326" s="216" t="str">
        <f>IFERROR(__xludf.DUMMYFUNCTION("""COMPUTED_VALUE"""),"Stylish Stamina")</f>
        <v>Stylish Stamina</v>
      </c>
      <c r="G326" s="216" t="str">
        <f>IFERROR(__xludf.DUMMYFUNCTION("""COMPUTED_VALUE"""),"Coordinator - Tough - Innovation Technique")</f>
        <v>Coordinator - Tough - Innovation Technique</v>
      </c>
      <c r="H326" s="216" t="str">
        <f>IFERROR(__xludf.DUMMYFUNCTION("""COMPUTED_VALUE"""),"Static")</f>
        <v>Static</v>
      </c>
      <c r="I326" s="216" t="str">
        <f>IFERROR(__xludf.DUMMYFUNCTION("""COMPUTED_VALUE"""),"Prerequisites: None
Effect: After the Attack’s Resolution, the user gains a Tick of Temporary Hit Points. If it was a Status Attack used as a Standard Action, they instead gain two. ")</f>
        <v>Prerequisites: None
Effect: After the Attack’s Resolution, the user gains a Tick of Temporary Hit Points. If it was a Status Attack used as a Standard Action, they instead gain two. </v>
      </c>
      <c r="J326" s="215"/>
      <c r="K326" s="217"/>
      <c r="L326" s="217"/>
      <c r="M326" s="217"/>
      <c r="N326" s="217"/>
      <c r="O326" s="217"/>
      <c r="P326" s="217"/>
    </row>
    <row r="327">
      <c r="A327" s="214"/>
      <c r="B327" s="214"/>
      <c r="C327" s="214"/>
      <c r="D327" s="214"/>
      <c r="E327" s="215"/>
      <c r="F327" s="216" t="str">
        <f>IFERROR(__xludf.DUMMYFUNCTION("""COMPUTED_VALUE"""),"Donned Disguise ")</f>
        <v>Donned Disguise </v>
      </c>
      <c r="G327" s="216" t="str">
        <f>IFERROR(__xludf.DUMMYFUNCTION("""COMPUTED_VALUE"""),"Imposter - Imposter Techniques")</f>
        <v>Imposter - Imposter Techniques</v>
      </c>
      <c r="H327" s="216" t="str">
        <f>IFERROR(__xludf.DUMMYFUNCTION("""COMPUTED_VALUE"""),"Bind 1 - Extended Action ")</f>
        <v>Bind 1 - Extended Action </v>
      </c>
      <c r="I327" s="216" t="str">
        <f>IFERROR(__xludf.DUMMYFUNCTION("""COMPUTED_VALUE"""),"Target: A [Small] Disguise you own
Effect: While bound to this Feature, the Target Item gains the [Trinket] Keyword. When you have 4 Imposter Features you may instead Target a [Large] Disguise you own.")</f>
        <v>Target: A [Small] Disguise you own
Effect: While bound to this Feature, the Target Item gains the [Trinket] Keyword. When you have 4 Imposter Features you may instead Target a [Large] Disguise you own.</v>
      </c>
      <c r="J327" s="215"/>
      <c r="K327" s="217"/>
      <c r="L327" s="217"/>
      <c r="M327" s="217"/>
      <c r="N327" s="217"/>
      <c r="O327" s="217"/>
      <c r="P327" s="217"/>
    </row>
    <row r="328">
      <c r="A328" s="214"/>
      <c r="B328" s="214"/>
      <c r="C328" s="214"/>
      <c r="D328" s="214"/>
      <c r="E328" s="215"/>
      <c r="F328" s="216" t="str">
        <f>IFERROR(__xludf.DUMMYFUNCTION("""COMPUTED_VALUE"""),"Voice Training")</f>
        <v>Voice Training</v>
      </c>
      <c r="G328" s="216" t="str">
        <f>IFERROR(__xludf.DUMMYFUNCTION("""COMPUTED_VALUE"""),"Imposter - Imposter Techniques")</f>
        <v>Imposter - Imposter Techniques</v>
      </c>
      <c r="H328" s="216" t="str">
        <f>IFERROR(__xludf.DUMMYFUNCTION("""COMPUTED_VALUE"""),"Static")</f>
        <v>Static</v>
      </c>
      <c r="I328" s="216" t="str">
        <f>IFERROR(__xludf.DUMMYFUNCTION("""COMPUTED_VALUE"""),"Effect: As a TN 15 Downtime Research Action (Uses Guile or Stealth for the default skill), you may permanently learn to mimic the voice of any specific Pokemon or Person you have heard. With a CR 4 Guile or Stealth Check, you may learn to mimic a voice un"&amp;"til the end of a Scene, not needing a Downtime Action. Enemies have no reason to suspect that your mimic’d voice is unauthentic, if successful. ")</f>
        <v>Effect: As a TN 15 Downtime Research Action (Uses Guile or Stealth for the default skill), you may permanently learn to mimic the voice of any specific Pokemon or Person you have heard. With a CR 4 Guile or Stealth Check, you may learn to mimic a voice until the end of a Scene, not needing a Downtime Action. Enemies have no reason to suspect that your mimic’d voice is unauthentic, if successful. </v>
      </c>
      <c r="J328" s="215"/>
      <c r="K328" s="217"/>
      <c r="L328" s="217"/>
      <c r="M328" s="217"/>
      <c r="N328" s="217"/>
      <c r="O328" s="217"/>
      <c r="P328" s="217"/>
    </row>
    <row r="329">
      <c r="A329" s="214"/>
      <c r="B329" s="214"/>
      <c r="C329" s="214"/>
      <c r="D329" s="214"/>
      <c r="E329" s="215"/>
      <c r="F329" s="216" t="str">
        <f>IFERROR(__xludf.DUMMYFUNCTION("""COMPUTED_VALUE"""),"Armored Apparel")</f>
        <v>Armored Apparel</v>
      </c>
      <c r="G329" s="216" t="str">
        <f>IFERROR(__xludf.DUMMYFUNCTION("""COMPUTED_VALUE"""),"Imposter - Imposter Techniques")</f>
        <v>Imposter - Imposter Techniques</v>
      </c>
      <c r="H329" s="216" t="str">
        <f>IFERROR(__xludf.DUMMYFUNCTION("""COMPUTED_VALUE"""),"Bind 1 - Extended Action")</f>
        <v>Bind 1 - Extended Action</v>
      </c>
      <c r="I329" s="216" t="str">
        <f>IFERROR(__xludf.DUMMYFUNCTION("""COMPUTED_VALUE"""),"Target: A Disguise you own; An [Armor] Item of the same size
Effect: While this Technique is bound, the Targeted Disguise Item also has the Effect of the Targeted [Armor] Item.")</f>
        <v>Target: A Disguise you own; An [Armor] Item of the same size
Effect: While this Technique is bound, the Targeted Disguise Item also has the Effect of the Targeted [Armor] Item.</v>
      </c>
      <c r="J329" s="215"/>
      <c r="K329" s="217"/>
      <c r="L329" s="217"/>
      <c r="M329" s="217"/>
      <c r="N329" s="217"/>
      <c r="O329" s="217"/>
      <c r="P329" s="217"/>
    </row>
    <row r="330">
      <c r="A330" s="214"/>
      <c r="B330" s="214"/>
      <c r="C330" s="214"/>
      <c r="D330" s="214"/>
      <c r="E330" s="215"/>
      <c r="F330" s="216" t="str">
        <f>IFERROR(__xludf.DUMMYFUNCTION("""COMPUTED_VALUE"""),"Costume Change")</f>
        <v>Costume Change</v>
      </c>
      <c r="G330" s="216" t="str">
        <f>IFERROR(__xludf.DUMMYFUNCTION("""COMPUTED_VALUE"""),"Imposter - Imposter Techniques")</f>
        <v>Imposter - Imposter Techniques</v>
      </c>
      <c r="H330" s="216" t="str">
        <f>IFERROR(__xludf.DUMMYFUNCTION("""COMPUTED_VALUE"""),"Scene x2 - Free Action ")</f>
        <v>Scene x2 - Free Action </v>
      </c>
      <c r="I330" s="216" t="str">
        <f>IFERROR(__xludf.DUMMYFUNCTION("""COMPUTED_VALUE"""),"Target: Yourself or an Adjacent Ally 
Effect: The Target may unequip any number of Items in their Equipment Slot and add them to their or your Inventory. The Target may then equip any number of non-Weapon Items from their Inventory or yours. ")</f>
        <v>Target: Yourself or an Adjacent Ally 
Effect: The Target may unequip any number of Items in their Equipment Slot and add them to their or your Inventory. The Target may then equip any number of non-Weapon Items from their Inventory or yours. </v>
      </c>
      <c r="J330" s="215"/>
      <c r="K330" s="217"/>
      <c r="L330" s="217"/>
      <c r="M330" s="217"/>
      <c r="N330" s="217"/>
      <c r="O330" s="217"/>
      <c r="P330" s="217"/>
    </row>
    <row r="331">
      <c r="A331" s="214"/>
      <c r="B331" s="214"/>
      <c r="C331" s="214"/>
      <c r="D331" s="214"/>
      <c r="E331" s="215"/>
      <c r="F331" s="216" t="str">
        <f>IFERROR(__xludf.DUMMYFUNCTION("""COMPUTED_VALUE"""),"Memorized Tactics")</f>
        <v>Memorized Tactics</v>
      </c>
      <c r="G331" s="216" t="str">
        <f>IFERROR(__xludf.DUMMYFUNCTION("""COMPUTED_VALUE"""),"Imposter - Imposter Techniques")</f>
        <v>Imposter - Imposter Techniques</v>
      </c>
      <c r="H331" s="216" t="str">
        <f>IFERROR(__xludf.DUMMYFUNCTION("""COMPUTED_VALUE"""),"Bind 2 - Extended Action ")</f>
        <v>Bind 2 - Extended Action </v>
      </c>
      <c r="I331" s="216" t="str">
        <f>IFERROR(__xludf.DUMMYFUNCTION("""COMPUTED_VALUE"""),"Trigger: You perform a Training Downtime Action on yourself
Target: A Willing Ally
Effect: Choose up to two At-Will or EOT Attacks that the Target knows and add them to your Attack list or swap them out with any Bound Attacks you learned this way previo"&amp;"usly. You may only have up to 2 Attacks learned this way on your Attack List  at a time.")</f>
        <v>Trigger: You perform a Training Downtime Action on yourself
Target: A Willing Ally
Effect: Choose up to two At-Will or EOT Attacks that the Target knows and add them to your Attack list or swap them out with any Bound Attacks you learned this way previously. You may only have up to 2 Attacks learned this way on your Attack List  at a time.</v>
      </c>
      <c r="J331" s="215"/>
      <c r="K331" s="217"/>
      <c r="L331" s="217"/>
      <c r="M331" s="217"/>
      <c r="N331" s="217"/>
      <c r="O331" s="217"/>
      <c r="P331" s="217"/>
    </row>
    <row r="332">
      <c r="A332" s="214"/>
      <c r="B332" s="214"/>
      <c r="C332" s="214"/>
      <c r="D332" s="214"/>
      <c r="E332" s="215"/>
      <c r="F332" s="216" t="str">
        <f>IFERROR(__xludf.DUMMYFUNCTION("""COMPUTED_VALUE"""),"Illusory Tactics")</f>
        <v>Illusory Tactics</v>
      </c>
      <c r="G332" s="216" t="str">
        <f>IFERROR(__xludf.DUMMYFUNCTION("""COMPUTED_VALUE"""),"Imposter - Imposter Techniques")</f>
        <v>Imposter - Imposter Techniques</v>
      </c>
      <c r="H332" s="216" t="str">
        <f>IFERROR(__xludf.DUMMYFUNCTION("""COMPUTED_VALUE"""),"Static")</f>
        <v>Static</v>
      </c>
      <c r="I332" s="216" t="str">
        <f>IFERROR(__xludf.DUMMYFUNCTION("""COMPUTED_VALUE"""),"Effect: You learn the Double Team Attack. Whenever you use its Versatile Effect, the Frequency is ignored and not expended.  ")</f>
        <v>Effect: You learn the Double Team Attack. Whenever you use its Versatile Effect, the Frequency is ignored and not expended.  </v>
      </c>
      <c r="J332" s="215"/>
      <c r="K332" s="217"/>
      <c r="L332" s="217"/>
      <c r="M332" s="217"/>
      <c r="N332" s="217"/>
      <c r="O332" s="217"/>
      <c r="P332" s="217"/>
    </row>
    <row r="333">
      <c r="A333" s="214"/>
      <c r="B333" s="214"/>
      <c r="C333" s="214"/>
      <c r="D333" s="214"/>
      <c r="E333" s="215"/>
      <c r="F333" s="216" t="str">
        <f>IFERROR(__xludf.DUMMYFUNCTION("""COMPUTED_VALUE"""),"I’m You But Better")</f>
        <v>I’m You But Better</v>
      </c>
      <c r="G333" s="216" t="str">
        <f>IFERROR(__xludf.DUMMYFUNCTION("""COMPUTED_VALUE"""),"Imposter - Imposter Techniques")</f>
        <v>Imposter - Imposter Techniques</v>
      </c>
      <c r="H333" s="216" t="str">
        <f>IFERROR(__xludf.DUMMYFUNCTION("""COMPUTED_VALUE"""),"At-Will - Reaction")</f>
        <v>At-Will - Reaction</v>
      </c>
      <c r="I333" s="216" t="str">
        <f>IFERROR(__xludf.DUMMYFUNCTION("""COMPUTED_VALUE"""),"Trigger: An Enemy Targets you with an Attack 
Effect: The Triggering Attack is added to your Attack list until the end of the Scene. 
Bonus: Whenever you add an Attack to your Attack List, you may mark the source with a Mimic Mark. Whenever you Attack an "&amp;"Enemy with a Mimic Mark with an Attack you gained from them, they cannot apply Evasion against it. ")</f>
        <v>Trigger: An Enemy Targets you with an Attack 
Effect: The Triggering Attack is added to your Attack list until the end of the Scene. 
Bonus: Whenever you add an Attack to your Attack List, you may mark the source with a Mimic Mark. Whenever you Attack an Enemy with a Mimic Mark with an Attack you gained from them, they cannot apply Evasion against it. </v>
      </c>
      <c r="J333" s="215"/>
      <c r="K333" s="217"/>
      <c r="L333" s="217"/>
      <c r="M333" s="217"/>
      <c r="N333" s="217"/>
      <c r="O333" s="217"/>
      <c r="P333" s="217"/>
    </row>
    <row r="334">
      <c r="A334" s="214"/>
      <c r="B334" s="214"/>
      <c r="C334" s="214"/>
      <c r="D334" s="214"/>
      <c r="E334" s="215"/>
      <c r="F334" s="216" t="str">
        <f>IFERROR(__xludf.DUMMYFUNCTION("""COMPUTED_VALUE"""),"Take Center Stage!")</f>
        <v>Take Center Stage!</v>
      </c>
      <c r="G334" s="216" t="str">
        <f>IFERROR(__xludf.DUMMYFUNCTION("""COMPUTED_VALUE"""),"Performer - Performer Techniques")</f>
        <v>Performer - Performer Techniques</v>
      </c>
      <c r="H334" s="216" t="str">
        <f>IFERROR(__xludf.DUMMYFUNCTION("""COMPUTED_VALUE"""),"At-Will - Free Action")</f>
        <v>At-Will - Free Action</v>
      </c>
      <c r="I334" s="216" t="str">
        <f>IFERROR(__xludf.DUMMYFUNCTION("""COMPUTED_VALUE"""),"Trigger: A Party passes Initiative
Target: A Combatant within 5m who hasn’t Acted this Round yet
Effect: If the Target does not take their Turn the next time their Party gains Initiative, they become Suppressed. If the Target is an Ally and they do take t"&amp;"heir Turn the next time your Party has Initiative they gain a bonus to all d20’s equal to your Tier Level until the end of their Turn.. ")</f>
        <v>Trigger: A Party passes Initiative
Target: A Combatant within 5m who hasn’t Acted this Round yet
Effect: If the Target does not take their Turn the next time their Party gains Initiative, they become Suppressed. If the Target is an Ally and they do take their Turn the next time your Party has Initiative they gain a bonus to all d20’s equal to your Tier Level until the end of their Turn.. </v>
      </c>
      <c r="J334" s="215"/>
      <c r="K334" s="217"/>
      <c r="L334" s="217"/>
      <c r="M334" s="217"/>
      <c r="N334" s="217"/>
      <c r="O334" s="217"/>
      <c r="P334" s="217"/>
    </row>
    <row r="335">
      <c r="A335" s="214"/>
      <c r="B335" s="214"/>
      <c r="C335" s="214"/>
      <c r="D335" s="214"/>
      <c r="E335" s="215"/>
      <c r="F335" s="216" t="str">
        <f>IFERROR(__xludf.DUMMYFUNCTION("""COMPUTED_VALUE"""),"Accelerate [Occult]")</f>
        <v>Accelerate [Occult]</v>
      </c>
      <c r="G335" s="216" t="str">
        <f>IFERROR(__xludf.DUMMYFUNCTION("""COMPUTED_VALUE"""),"Chronomancer - Temporal Techniques")</f>
        <v>Chronomancer - Temporal Techniques</v>
      </c>
      <c r="H335" s="216" t="str">
        <f>IFERROR(__xludf.DUMMYFUNCTION("""COMPUTED_VALUE"""),"At-Will - Free Action")</f>
        <v>At-Will - Free Action</v>
      </c>
      <c r="I335" s="216" t="str">
        <f>IFERROR(__xludf.DUMMYFUNCTION("""COMPUTED_VALUE"""),"Cost: 1 Temporal Token
Trigger: You or an Ally within 5m declare an Attack
Effect: Targets of the Attack cannot apply Stat Evasion against it, nor can Reactions be used in response.")</f>
        <v>Cost: 1 Temporal Token
Trigger: You or an Ally within 5m declare an Attack
Effect: Targets of the Attack cannot apply Stat Evasion against it, nor can Reactions be used in response.</v>
      </c>
      <c r="J335" s="215"/>
      <c r="K335" s="217"/>
      <c r="L335" s="217"/>
      <c r="M335" s="217"/>
      <c r="N335" s="217"/>
      <c r="O335" s="217"/>
      <c r="P335" s="217"/>
    </row>
    <row r="336">
      <c r="A336" s="214"/>
      <c r="B336" s="214"/>
      <c r="C336" s="214"/>
      <c r="D336" s="214"/>
      <c r="E336" s="215"/>
      <c r="F336" s="216" t="str">
        <f>IFERROR(__xludf.DUMMYFUNCTION("""COMPUTED_VALUE"""),"Decelerate [Occult]")</f>
        <v>Decelerate [Occult]</v>
      </c>
      <c r="G336" s="216" t="str">
        <f>IFERROR(__xludf.DUMMYFUNCTION("""COMPUTED_VALUE"""),"Chronomancer - Temporal Techniques")</f>
        <v>Chronomancer - Temporal Techniques</v>
      </c>
      <c r="H336" s="216" t="str">
        <f>IFERROR(__xludf.DUMMYFUNCTION("""COMPUTED_VALUE"""),"At-Will - Swift Action")</f>
        <v>At-Will - Swift Action</v>
      </c>
      <c r="I336" s="216" t="str">
        <f>IFERROR(__xludf.DUMMYFUNCTION("""COMPUTED_VALUE"""),"Cost: 1 Temporal Token
Target: An Enemy within 3m
Effect: The Target becomes Slowed")</f>
        <v>Cost: 1 Temporal Token
Target: An Enemy within 3m
Effect: The Target becomes Slowed</v>
      </c>
      <c r="J336" s="215"/>
      <c r="K336" s="217"/>
      <c r="L336" s="217"/>
      <c r="M336" s="217"/>
      <c r="N336" s="217"/>
      <c r="O336" s="217"/>
      <c r="P336" s="217"/>
    </row>
    <row r="337">
      <c r="A337" s="214"/>
      <c r="B337" s="214"/>
      <c r="C337" s="214"/>
      <c r="D337" s="214"/>
      <c r="E337" s="215"/>
      <c r="F337" s="216" t="str">
        <f>IFERROR(__xludf.DUMMYFUNCTION("""COMPUTED_VALUE"""),"Rewind [Occult]")</f>
        <v>Rewind [Occult]</v>
      </c>
      <c r="G337" s="216" t="str">
        <f>IFERROR(__xludf.DUMMYFUNCTION("""COMPUTED_VALUE"""),"Chronomancer - Temporal Techniques")</f>
        <v>Chronomancer - Temporal Techniques</v>
      </c>
      <c r="H337" s="216" t="str">
        <f>IFERROR(__xludf.DUMMYFUNCTION("""COMPUTED_VALUE"""),"At-Will - Reaction")</f>
        <v>At-Will - Reaction</v>
      </c>
      <c r="I337" s="216" t="str">
        <f>IFERROR(__xludf.DUMMYFUNCTION("""COMPUTED_VALUE"""),"Cost: 2 Temporal Tokens
Trigger: You or an Ally within 5m fail an Accuracy Roll or Save Check
Effect: The Triggering Roll is performed again.")</f>
        <v>Cost: 2 Temporal Tokens
Trigger: You or an Ally within 5m fail an Accuracy Roll or Save Check
Effect: The Triggering Roll is performed again.</v>
      </c>
      <c r="J337" s="215"/>
      <c r="K337" s="217"/>
      <c r="L337" s="217"/>
      <c r="M337" s="217"/>
      <c r="N337" s="217"/>
      <c r="O337" s="217"/>
      <c r="P337" s="217"/>
    </row>
    <row r="338">
      <c r="A338" s="214"/>
      <c r="B338" s="214"/>
      <c r="C338" s="214"/>
      <c r="D338" s="214"/>
      <c r="E338" s="215"/>
      <c r="F338" s="216" t="str">
        <f>IFERROR(__xludf.DUMMYFUNCTION("""COMPUTED_VALUE"""),"Flash-forward [Occult]")</f>
        <v>Flash-forward [Occult]</v>
      </c>
      <c r="G338" s="216" t="str">
        <f>IFERROR(__xludf.DUMMYFUNCTION("""COMPUTED_VALUE"""),"Chronomancer - Temporal Techniques")</f>
        <v>Chronomancer - Temporal Techniques</v>
      </c>
      <c r="H338" s="216" t="str">
        <f>IFERROR(__xludf.DUMMYFUNCTION("""COMPUTED_VALUE"""),"At-Will - Free Action")</f>
        <v>At-Will - Free Action</v>
      </c>
      <c r="I338" s="216" t="str">
        <f>IFERROR(__xludf.DUMMYFUNCTION("""COMPUTED_VALUE"""),"Cost: 1 Temporal Token
Trigger: An Enemy within 5m declares an Attack
Target: You or an Ally within 5m
Effect: The Target may immediately take their entire turn with Priority. After they’ve ended their Turn, the Triggering Attack resolves. If the Triggeri"&amp;"ng Enemy would faint during this time, the Attack no longer resolves.")</f>
        <v>Cost: 1 Temporal Token
Trigger: An Enemy within 5m declares an Attack
Target: You or an Ally within 5m
Effect: The Target may immediately take their entire turn with Priority. After they’ve ended their Turn, the Triggering Attack resolves. If the Triggering Enemy would faint during this time, the Attack no longer resolves.</v>
      </c>
      <c r="J338" s="215"/>
      <c r="K338" s="217"/>
      <c r="L338" s="217"/>
      <c r="M338" s="217"/>
      <c r="N338" s="217"/>
      <c r="O338" s="217"/>
      <c r="P338" s="217"/>
    </row>
    <row r="339">
      <c r="A339" s="214"/>
      <c r="B339" s="214"/>
      <c r="C339" s="214"/>
      <c r="D339" s="214"/>
      <c r="E339" s="215"/>
      <c r="F339" s="216" t="str">
        <f>IFERROR(__xludf.DUMMYFUNCTION("""COMPUTED_VALUE"""),"Time Blink [Occult]")</f>
        <v>Time Blink [Occult]</v>
      </c>
      <c r="G339" s="216" t="str">
        <f>IFERROR(__xludf.DUMMYFUNCTION("""COMPUTED_VALUE"""),"Chronomancer - Temporal Techniques")</f>
        <v>Chronomancer - Temporal Techniques</v>
      </c>
      <c r="H339" s="216" t="str">
        <f>IFERROR(__xludf.DUMMYFUNCTION("""COMPUTED_VALUE"""),"At-Will - Movement Action")</f>
        <v>At-Will - Movement Action</v>
      </c>
      <c r="I339" s="216" t="str">
        <f>IFERROR(__xludf.DUMMYFUNCTION("""COMPUTED_VALUE"""),"Cost: 1 Temporal Token
Trigger: You start your Turn
Effect: You disappear and reappear in any unoccupied space within 6m as if you used the Teleporter Capability. This cannot result in you bypassing terrain that would otherwise block your movement.")</f>
        <v>Cost: 1 Temporal Token
Trigger: You start your Turn
Effect: You disappear and reappear in any unoccupied space within 6m as if you used the Teleporter Capability. This cannot result in you bypassing terrain that would otherwise block your movement.</v>
      </c>
      <c r="J339" s="215"/>
      <c r="K339" s="217"/>
      <c r="L339" s="217"/>
      <c r="M339" s="217"/>
      <c r="N339" s="217"/>
      <c r="O339" s="217"/>
      <c r="P339" s="217"/>
    </row>
    <row r="340">
      <c r="A340" s="214"/>
      <c r="B340" s="214"/>
      <c r="C340" s="214"/>
      <c r="D340" s="214"/>
      <c r="E340" s="215"/>
      <c r="F340" s="216" t="str">
        <f>IFERROR(__xludf.DUMMYFUNCTION("""COMPUTED_VALUE"""),"Time Skip [Occult]")</f>
        <v>Time Skip [Occult]</v>
      </c>
      <c r="G340" s="216" t="str">
        <f>IFERROR(__xludf.DUMMYFUNCTION("""COMPUTED_VALUE"""),"Chronomancer - Temporal Techniques")</f>
        <v>Chronomancer - Temporal Techniques</v>
      </c>
      <c r="H340" s="216" t="str">
        <f>IFERROR(__xludf.DUMMYFUNCTION("""COMPUTED_VALUE"""),"At-Will - Free Action")</f>
        <v>At-Will - Free Action</v>
      </c>
      <c r="I340" s="216" t="str">
        <f>IFERROR(__xludf.DUMMYFUNCTION("""COMPUTED_VALUE"""),"Cost: 1 Temporal Token
Trigger: You or an Ally would be able to Trigger something but don’t have an available Action to use it.
Effect: The Triggering Combatant may use the Triggering instance as a Free Action. During the next Round, the Action they shoul"&amp;"d have used is removed from their set of Actions. A Combatant can only be affected by this once per Round.")</f>
        <v>Cost: 1 Temporal Token
Trigger: You or an Ally would be able to Trigger something but don’t have an available Action to use it.
Effect: The Triggering Combatant may use the Triggering instance as a Free Action. During the next Round, the Action they should have used is removed from their set of Actions. A Combatant can only be affected by this once per Round.</v>
      </c>
      <c r="J340" s="215"/>
      <c r="K340" s="217"/>
      <c r="L340" s="217"/>
      <c r="M340" s="217"/>
      <c r="N340" s="217"/>
      <c r="O340" s="217"/>
      <c r="P340" s="217"/>
    </row>
    <row r="341">
      <c r="A341" s="214"/>
      <c r="B341" s="214"/>
      <c r="C341" s="214"/>
      <c r="D341" s="214"/>
      <c r="E341" s="215"/>
      <c r="F341" s="216" t="str">
        <f>IFERROR(__xludf.DUMMYFUNCTION("""COMPUTED_VALUE"""),"Stasis Bubble [Occult]")</f>
        <v>Stasis Bubble [Occult]</v>
      </c>
      <c r="G341" s="216" t="str">
        <f>IFERROR(__xludf.DUMMYFUNCTION("""COMPUTED_VALUE"""),"Chronomancer - Temporal Techniques")</f>
        <v>Chronomancer - Temporal Techniques</v>
      </c>
      <c r="H341" s="216" t="str">
        <f>IFERROR(__xludf.DUMMYFUNCTION("""COMPUTED_VALUE"""),"At-Will - Swift Action")</f>
        <v>At-Will - Swift Action</v>
      </c>
      <c r="I341" s="216" t="str">
        <f>IFERROR(__xludf.DUMMYFUNCTION("""COMPUTED_VALUE"""),"Cost: 1 Temporal Token
Target: An Ally within 3m
Effect: The Target becomes Untargetable until the end of the Round. They cannot use Actions for this duration.")</f>
        <v>Cost: 1 Temporal Token
Target: An Ally within 3m
Effect: The Target becomes Untargetable until the end of the Round. They cannot use Actions for this duration.</v>
      </c>
      <c r="J341" s="215"/>
      <c r="K341" s="217"/>
      <c r="L341" s="217"/>
      <c r="M341" s="217"/>
      <c r="N341" s="217"/>
      <c r="O341" s="217"/>
      <c r="P341" s="217"/>
    </row>
    <row r="342">
      <c r="A342" s="214"/>
      <c r="B342" s="214"/>
      <c r="C342" s="214"/>
      <c r="D342" s="214"/>
      <c r="E342" s="215"/>
      <c r="F342" s="216" t="str">
        <f>IFERROR(__xludf.DUMMYFUNCTION("""COMPUTED_VALUE"""),"Timeline Split [Occult]")</f>
        <v>Timeline Split [Occult]</v>
      </c>
      <c r="G342" s="216" t="str">
        <f>IFERROR(__xludf.DUMMYFUNCTION("""COMPUTED_VALUE"""),"Chronomancer - Temporal Techniques")</f>
        <v>Chronomancer - Temporal Techniques</v>
      </c>
      <c r="H342" s="216" t="str">
        <f>IFERROR(__xludf.DUMMYFUNCTION("""COMPUTED_VALUE"""),"At-Will - Free Action")</f>
        <v>At-Will - Free Action</v>
      </c>
      <c r="I342" s="216" t="str">
        <f>IFERROR(__xludf.DUMMYFUNCTION("""COMPUTED_VALUE"""),"Cost: 1 Temporal Token
Trigger: An Enemy starts their Turn
Effect: The GM will tell you two possible actions that the Triggering Enemy can take using their Standard Action. You may choose which action they decide to perform.")</f>
        <v>Cost: 1 Temporal Token
Trigger: An Enemy starts their Turn
Effect: The GM will tell you two possible actions that the Triggering Enemy can take using their Standard Action. You may choose which action they decide to perform.</v>
      </c>
      <c r="J342" s="215"/>
      <c r="K342" s="217"/>
      <c r="L342" s="217"/>
      <c r="M342" s="217"/>
      <c r="N342" s="217"/>
      <c r="O342" s="217"/>
      <c r="P342" s="217"/>
    </row>
    <row r="343">
      <c r="A343" s="214"/>
      <c r="B343" s="214"/>
      <c r="C343" s="214"/>
      <c r="D343" s="214"/>
      <c r="E343" s="215"/>
      <c r="F343" s="216" t="str">
        <f>IFERROR(__xludf.DUMMYFUNCTION("""COMPUTED_VALUE"""),"Temporal Reflexes [Occult]")</f>
        <v>Temporal Reflexes [Occult]</v>
      </c>
      <c r="G343" s="216" t="str">
        <f>IFERROR(__xludf.DUMMYFUNCTION("""COMPUTED_VALUE"""),"Chronomancer - Temporal Techniques")</f>
        <v>Chronomancer - Temporal Techniques</v>
      </c>
      <c r="H343" s="216" t="str">
        <f>IFERROR(__xludf.DUMMYFUNCTION("""COMPUTED_VALUE"""),"At-Will - Free Action")</f>
        <v>At-Will - Free Action</v>
      </c>
      <c r="I343" s="216" t="str">
        <f>IFERROR(__xludf.DUMMYFUNCTION("""COMPUTED_VALUE"""),"Cost: 2 Temporal Token
Trigger: You would use a Reaction that was Triggered by an Enemy
Effect: It is instead treated as a Free Action.")</f>
        <v>Cost: 2 Temporal Token
Trigger: You would use a Reaction that was Triggered by an Enemy
Effect: It is instead treated as a Free Action.</v>
      </c>
      <c r="J343" s="215"/>
      <c r="K343" s="217"/>
      <c r="L343" s="217"/>
      <c r="M343" s="217"/>
      <c r="N343" s="217"/>
      <c r="O343" s="217"/>
      <c r="P343" s="217"/>
    </row>
    <row r="344">
      <c r="A344" s="214"/>
      <c r="B344" s="214"/>
      <c r="C344" s="214"/>
      <c r="D344" s="214"/>
      <c r="E344" s="215"/>
      <c r="F344" s="216" t="str">
        <f>IFERROR(__xludf.DUMMYFUNCTION("""COMPUTED_VALUE"""),"Temporal Evasion [Occult]")</f>
        <v>Temporal Evasion [Occult]</v>
      </c>
      <c r="G344" s="216" t="str">
        <f>IFERROR(__xludf.DUMMYFUNCTION("""COMPUTED_VALUE"""),"Chronomancer - Temporal Techniques")</f>
        <v>Chronomancer - Temporal Techniques</v>
      </c>
      <c r="H344" s="216" t="str">
        <f>IFERROR(__xludf.DUMMYFUNCTION("""COMPUTED_VALUE"""),"At-Will - Reaction + Movement Action")</f>
        <v>At-Will - Reaction + Movement Action</v>
      </c>
      <c r="I344" s="216" t="str">
        <f>IFERROR(__xludf.DUMMYFUNCTION("""COMPUTED_VALUE"""),"Cost: 2 Temporal Token
Trigger: You would be hit by a non-Adjacent Attack
Effect: The Attack instead misses you.")</f>
        <v>Cost: 2 Temporal Token
Trigger: You would be hit by a non-Adjacent Attack
Effect: The Attack instead misses you.</v>
      </c>
      <c r="J344" s="215"/>
      <c r="K344" s="217"/>
      <c r="L344" s="217"/>
      <c r="M344" s="217"/>
      <c r="N344" s="217"/>
      <c r="O344" s="217"/>
      <c r="P344" s="217"/>
    </row>
    <row r="345">
      <c r="A345" s="214"/>
      <c r="B345" s="214"/>
      <c r="C345" s="214"/>
      <c r="D345" s="214"/>
      <c r="E345" s="215"/>
      <c r="F345" s="216" t="str">
        <f>IFERROR(__xludf.DUMMYFUNCTION("""COMPUTED_VALUE"""),"Cognitive Phantasm [Occult]")</f>
        <v>Cognitive Phantasm [Occult]</v>
      </c>
      <c r="G345" s="216" t="str">
        <f>IFERROR(__xludf.DUMMYFUNCTION("""COMPUTED_VALUE"""),"Illusionist - Illusion Techniques")</f>
        <v>Illusionist - Illusion Techniques</v>
      </c>
      <c r="H345" s="216" t="str">
        <f>IFERROR(__xludf.DUMMYFUNCTION("""COMPUTED_VALUE"""),"Static")</f>
        <v>Static</v>
      </c>
      <c r="I345" s="216" t="str">
        <f>IFERROR(__xludf.DUMMYFUNCTION("""COMPUTED_VALUE"""),"Effect: When created, choose an affliction from Dazed, Enraged, Entranced or Suppressed and an Enemy within 2m of it. The Targeted Enemy  must make an Illusion Check. On a Failure,  they gain the chosen Affliction. Afflictions gained this way are cured if"&amp;" this Hazard is destroyed or they become Immune to your Phantasms (along with additional methods of curing afflictions). ")</f>
        <v>Effect: When created, choose an affliction from Dazed, Enraged, Entranced or Suppressed and an Enemy within 2m of it. The Targeted Enemy  must make an Illusion Check. On a Failure,  they gain the chosen Affliction. Afflictions gained this way are cured if this Hazard is destroyed or they become Immune to your Phantasms (along with additional methods of curing afflictions). </v>
      </c>
      <c r="J345" s="215"/>
      <c r="K345" s="217"/>
      <c r="L345" s="217"/>
      <c r="M345" s="217"/>
      <c r="N345" s="217"/>
      <c r="O345" s="217"/>
      <c r="P345" s="217"/>
    </row>
    <row r="346">
      <c r="A346" s="214"/>
      <c r="B346" s="214"/>
      <c r="C346" s="214"/>
      <c r="D346" s="214"/>
      <c r="E346" s="215"/>
      <c r="F346" s="216" t="str">
        <f>IFERROR(__xludf.DUMMYFUNCTION("""COMPUTED_VALUE"""),"Phantasm Clone [Occult]")</f>
        <v>Phantasm Clone [Occult]</v>
      </c>
      <c r="G346" s="216" t="str">
        <f>IFERROR(__xludf.DUMMYFUNCTION("""COMPUTED_VALUE"""),"Illusionist - Illusion Techniques")</f>
        <v>Illusionist - Illusion Techniques</v>
      </c>
      <c r="H346" s="216" t="str">
        <f>IFERROR(__xludf.DUMMYFUNCTION("""COMPUTED_VALUE"""),"Static")</f>
        <v>Static</v>
      </c>
      <c r="I346" s="216" t="str">
        <f>IFERROR(__xludf.DUMMYFUNCTION("""COMPUTED_VALUE"""),"Effect: When created, choose a Medium Sized or smaller Combatant within 2m of the Phantasm. The
Phantasm takes the appearance of the chosen Combatant. Whenever an Enemy would desire to Target the chosen Combatant, they must make an Illusion Check. Upon f"&amp;"ailing, they treat the Phantasm as if they were the real one. ")</f>
        <v>Effect: When created, choose a Medium Sized or smaller Combatant within 2m of the Phantasm. The
Phantasm takes the appearance of the chosen Combatant. Whenever an Enemy would desire to Target the chosen Combatant, they must make an Illusion Check. Upon failing, they treat the Phantasm as if they were the real one. </v>
      </c>
      <c r="J346" s="215"/>
      <c r="K346" s="217"/>
      <c r="L346" s="217"/>
      <c r="M346" s="217"/>
      <c r="N346" s="217"/>
      <c r="O346" s="217"/>
      <c r="P346" s="217"/>
    </row>
    <row r="347">
      <c r="A347" s="214"/>
      <c r="B347" s="214"/>
      <c r="C347" s="214"/>
      <c r="D347" s="214"/>
      <c r="E347" s="215"/>
      <c r="F347" s="216" t="str">
        <f>IFERROR(__xludf.DUMMYFUNCTION("""COMPUTED_VALUE"""),"Environmental Phantasm [Occult]")</f>
        <v>Environmental Phantasm [Occult]</v>
      </c>
      <c r="G347" s="216" t="str">
        <f>IFERROR(__xludf.DUMMYFUNCTION("""COMPUTED_VALUE"""),"Illusionist - Illusion Techniques")</f>
        <v>Illusionist - Illusion Techniques</v>
      </c>
      <c r="H347" s="216" t="str">
        <f>IFERROR(__xludf.DUMMYFUNCTION("""COMPUTED_VALUE"""),"Static")</f>
        <v>Static</v>
      </c>
      <c r="I347" s="216" t="str">
        <f>IFERROR(__xludf.DUMMYFUNCTION("""COMPUTED_VALUE"""),"Effect: The Phantasm instead may occupy 4 unoccupied contiguous spaces. In these spaces you may create Blocking Terrain, Rough Terrain or Slow Terrain of any kind. Enemies treat these Hazards as if they were actually that Terrain and act accordingly unles"&amp;"s they Target this with an Illusion Check and pass or are immune to your Phantasms.  ")</f>
        <v>Effect: The Phantasm instead may occupy 4 unoccupied contiguous spaces. In these spaces you may create Blocking Terrain, Rough Terrain or Slow Terrain of any kind. Enemies treat these Hazards as if they were actually that Terrain and act accordingly unless they Target this with an Illusion Check and pass or are immune to your Phantasms.  </v>
      </c>
      <c r="J347" s="215"/>
      <c r="K347" s="217"/>
      <c r="L347" s="217"/>
      <c r="M347" s="217"/>
      <c r="N347" s="217"/>
      <c r="O347" s="217"/>
      <c r="P347" s="217"/>
    </row>
    <row r="348">
      <c r="A348" s="214"/>
      <c r="B348" s="214"/>
      <c r="C348" s="214"/>
      <c r="D348" s="214"/>
      <c r="E348" s="215"/>
      <c r="F348" s="216" t="str">
        <f>IFERROR(__xludf.DUMMYFUNCTION("""COMPUTED_VALUE"""),"Spirit Parter [Bramblin] [Occult]")</f>
        <v>Spirit Parter [Bramblin] [Occult]</v>
      </c>
      <c r="G348" s="216" t="str">
        <f>IFERROR(__xludf.DUMMYFUNCTION("""COMPUTED_VALUE"""),"Spirit Caller - Spirit Partner")</f>
        <v>Spirit Caller - Spirit Partner</v>
      </c>
      <c r="H348" s="216" t="str">
        <f>IFERROR(__xludf.DUMMYFUNCTION("""COMPUTED_VALUE"""),"Static")</f>
        <v>Static</v>
      </c>
      <c r="I348" s="216" t="str">
        <f>IFERROR(__xludf.DUMMYFUNCTION("""COMPUTED_VALUE"""),"Attacks: Curse, Dust Cloud, Spite, Spikes, (Signature - Horn Leech or Siphon Life)
Partner Bonus: Whenever you use an Attack gained through Spirit Caller you may Slide up to 3m. If you do, you then restore a Tick of Hit Points for each Suppressed or Curse"&amp;"d Enemy you are adjacent to. You may only restore Hit Points this way once per Round.")</f>
        <v>Attacks: Curse, Dust Cloud, Spite, Spikes, (Signature - Horn Leech or Siphon Life)
Partner Bonus: Whenever you use an Attack gained through Spirit Caller you may Slide up to 3m. If you do, you then restore a Tick of Hit Points for each Suppressed or Cursed Enemy you are adjacent to. You may only restore Hit Points this way once per Round.</v>
      </c>
      <c r="J348" s="215"/>
      <c r="K348" s="217"/>
      <c r="L348" s="217"/>
      <c r="M348" s="217"/>
      <c r="N348" s="217"/>
      <c r="O348" s="217"/>
      <c r="P348" s="217"/>
    </row>
    <row r="349">
      <c r="A349" s="214"/>
      <c r="B349" s="214"/>
      <c r="C349" s="214"/>
      <c r="D349" s="214"/>
      <c r="E349" s="215"/>
      <c r="F349" s="216" t="str">
        <f>IFERROR(__xludf.DUMMYFUNCTION("""COMPUTED_VALUE"""),"Spirit Parter [Dhelmise] [Occult]")</f>
        <v>Spirit Parter [Dhelmise] [Occult]</v>
      </c>
      <c r="G349" s="216" t="str">
        <f>IFERROR(__xludf.DUMMYFUNCTION("""COMPUTED_VALUE"""),"Spirit Caller - Spirit Partner")</f>
        <v>Spirit Caller - Spirit Partner</v>
      </c>
      <c r="H349" s="216" t="str">
        <f>IFERROR(__xludf.DUMMYFUNCTION("""COMPUTED_VALUE"""),"Static")</f>
        <v>Static</v>
      </c>
      <c r="I349" s="216" t="str">
        <f>IFERROR(__xludf.DUMMYFUNCTION("""COMPUTED_VALUE"""),"Attacks: Block, Metal Sound, Spite, Wide Guard, (Signature - Anchor Shot or Energy Ball)
Partner Bonus: When you create a Spirit Hazard, choose an enemy within 3m of it to become Trapped while it’s on the Field. As a Swift Action you can choose a Spirit H"&amp;"azard then Slide it and it’s Trapped Enemy up to 3m towards you.")</f>
        <v>Attacks: Block, Metal Sound, Spite, Wide Guard, (Signature - Anchor Shot or Energy Ball)
Partner Bonus: When you create a Spirit Hazard, choose an enemy within 3m of it to become Trapped while it’s on the Field. As a Swift Action you can choose a Spirit Hazard then Slide it and it’s Trapped Enemy up to 3m towards you.</v>
      </c>
      <c r="J349" s="215"/>
      <c r="K349" s="217"/>
      <c r="L349" s="217"/>
      <c r="M349" s="217"/>
      <c r="N349" s="217"/>
      <c r="O349" s="217"/>
      <c r="P349" s="217"/>
    </row>
    <row r="350">
      <c r="A350" s="214"/>
      <c r="B350" s="214"/>
      <c r="C350" s="214"/>
      <c r="D350" s="214"/>
      <c r="E350" s="215"/>
      <c r="F350" s="216" t="str">
        <f>IFERROR(__xludf.DUMMYFUNCTION("""COMPUTED_VALUE"""),"Spirit Parter [Dreepy] [Occult]")</f>
        <v>Spirit Parter [Dreepy] [Occult]</v>
      </c>
      <c r="G350" s="216" t="str">
        <f>IFERROR(__xludf.DUMMYFUNCTION("""COMPUTED_VALUE"""),"Spirit Caller - Spirit Partner")</f>
        <v>Spirit Caller - Spirit Partner</v>
      </c>
      <c r="H350" s="216" t="str">
        <f>IFERROR(__xludf.DUMMYFUNCTION("""COMPUTED_VALUE"""),"Static")</f>
        <v>Static</v>
      </c>
      <c r="I350" s="216" t="str">
        <f>IFERROR(__xludf.DUMMYFUNCTION("""COMPUTED_VALUE"""),"Attacks: Confuse Ray, Double Team, Helping Hand, Lock-On, (Signature - Dragon Pulse or Dragon Darts)
Partner Bonus: You gain the Missile Launch Ability.")</f>
        <v>Attacks: Confuse Ray, Double Team, Helping Hand, Lock-On, (Signature - Dragon Pulse or Dragon Darts)
Partner Bonus: You gain the Missile Launch Ability.</v>
      </c>
      <c r="J350" s="215"/>
      <c r="K350" s="217"/>
      <c r="L350" s="217"/>
      <c r="M350" s="217"/>
      <c r="N350" s="217"/>
      <c r="O350" s="217"/>
      <c r="P350" s="217"/>
    </row>
    <row r="351">
      <c r="A351" s="214"/>
      <c r="B351" s="214"/>
      <c r="C351" s="214"/>
      <c r="D351" s="214"/>
      <c r="E351" s="215"/>
      <c r="F351" s="216" t="str">
        <f>IFERROR(__xludf.DUMMYFUNCTION("""COMPUTED_VALUE"""),"Spirit Parter [Drifloon] [Occult]")</f>
        <v>Spirit Parter [Drifloon] [Occult]</v>
      </c>
      <c r="G351" s="216" t="str">
        <f>IFERROR(__xludf.DUMMYFUNCTION("""COMPUTED_VALUE"""),"Spirit Caller - Spirit Partner")</f>
        <v>Spirit Caller - Spirit Partner</v>
      </c>
      <c r="H351" s="216" t="str">
        <f>IFERROR(__xludf.DUMMYFUNCTION("""COMPUTED_VALUE"""),"Static")</f>
        <v>Static</v>
      </c>
      <c r="I351" s="216" t="str">
        <f>IFERROR(__xludf.DUMMYFUNCTION("""COMPUTED_VALUE"""),"Attacks: Confuse Ray, Defog, Haze, Whirlwind, (Signature - Cyclone or Shadow Ball)
Partner Bonus: You have the Telekinesis Attack (But don’t gain the capability). Whenever an Enemy gains the Lifted Mark this way, instead of opposed Focus Checks, it requir"&amp;"es their Athletics or Combat opposed by your Occult Edu or Poke Edu.")</f>
        <v>Attacks: Confuse Ray, Defog, Haze, Whirlwind, (Signature - Cyclone or Shadow Ball)
Partner Bonus: You have the Telekinesis Attack (But don’t gain the capability). Whenever an Enemy gains the Lifted Mark this way, instead of opposed Focus Checks, it requires their Athletics or Combat opposed by your Occult Edu or Poke Edu.</v>
      </c>
      <c r="J351" s="215"/>
      <c r="K351" s="217"/>
      <c r="L351" s="217"/>
      <c r="M351" s="217"/>
      <c r="N351" s="217"/>
      <c r="O351" s="217"/>
      <c r="P351" s="217"/>
    </row>
    <row r="352">
      <c r="A352" s="214"/>
      <c r="B352" s="214"/>
      <c r="C352" s="214"/>
      <c r="D352" s="214"/>
      <c r="E352" s="215"/>
      <c r="F352" s="216" t="str">
        <f>IFERROR(__xludf.DUMMYFUNCTION("""COMPUTED_VALUE"""),"Spirit Parter [Duskull] [Occult]")</f>
        <v>Spirit Parter [Duskull] [Occult]</v>
      </c>
      <c r="G352" s="216" t="str">
        <f>IFERROR(__xludf.DUMMYFUNCTION("""COMPUTED_VALUE"""),"Spirit Caller - Spirit Partner")</f>
        <v>Spirit Caller - Spirit Partner</v>
      </c>
      <c r="H352" s="216" t="str">
        <f>IFERROR(__xludf.DUMMYFUNCTION("""COMPUTED_VALUE"""),"Static")</f>
        <v>Static</v>
      </c>
      <c r="I352" s="216" t="str">
        <f>IFERROR(__xludf.DUMMYFUNCTION("""COMPUTED_VALUE"""),"Attacks: Block, Curse, Mean Look, Taunt, (Signature - Spirit Shackle or Dark Pulse)
Partner Bonus: While you’re Adjacent to an Enemy you Trapped, they cannot enter a Space that isn’t Adjacent to you. Whenever you hit an Enemy within 3m with a Ghost Type A"&amp;"ttack, you may have them become Trapped as a Swift Action")</f>
        <v>Attacks: Block, Curse, Mean Look, Taunt, (Signature - Spirit Shackle or Dark Pulse)
Partner Bonus: While you’re Adjacent to an Enemy you Trapped, they cannot enter a Space that isn’t Adjacent to you. Whenever you hit an Enemy within 3m with a Ghost Type Attack, you may have them become Trapped as a Swift Action</v>
      </c>
      <c r="J352" s="215"/>
      <c r="K352" s="217"/>
      <c r="L352" s="217"/>
      <c r="M352" s="217"/>
      <c r="N352" s="217"/>
      <c r="O352" s="217"/>
      <c r="P352" s="217"/>
    </row>
    <row r="353">
      <c r="A353" s="214"/>
      <c r="B353" s="214"/>
      <c r="C353" s="214"/>
      <c r="D353" s="214"/>
      <c r="E353" s="215"/>
      <c r="F353" s="216" t="str">
        <f>IFERROR(__xludf.DUMMYFUNCTION("""COMPUTED_VALUE"""),"Spirit Parter [Frillish] [Occult]")</f>
        <v>Spirit Parter [Frillish] [Occult]</v>
      </c>
      <c r="G353" s="216" t="str">
        <f>IFERROR(__xludf.DUMMYFUNCTION("""COMPUTED_VALUE"""),"Spirit Caller - Spirit Partner")</f>
        <v>Spirit Caller - Spirit Partner</v>
      </c>
      <c r="H353" s="216" t="str">
        <f>IFERROR(__xludf.DUMMYFUNCTION("""COMPUTED_VALUE"""),"Static")</f>
        <v>Static</v>
      </c>
      <c r="I353" s="216" t="str">
        <f>IFERROR(__xludf.DUMMYFUNCTION("""COMPUTED_VALUE"""),"Attacks: Aqua Infusion, Confuse Ray, Curse, Life Dew, (Signature - Spiral Drain or Whirlpool)
Partner Bonus: Whenever you hit an Enemy with an Attack, the Target cannot restore Hit Points until the end of their next Turn.")</f>
        <v>Attacks: Aqua Infusion, Confuse Ray, Curse, Life Dew, (Signature - Spiral Drain or Whirlpool)
Partner Bonus: Whenever you hit an Enemy with an Attack, the Target cannot restore Hit Points until the end of their next Turn.</v>
      </c>
      <c r="J353" s="215"/>
      <c r="K353" s="217"/>
      <c r="L353" s="217"/>
      <c r="M353" s="217"/>
      <c r="N353" s="217"/>
      <c r="O353" s="217"/>
      <c r="P353" s="217"/>
    </row>
    <row r="354">
      <c r="A354" s="214"/>
      <c r="B354" s="214"/>
      <c r="C354" s="214"/>
      <c r="D354" s="214"/>
      <c r="E354" s="215"/>
      <c r="F354" s="216" t="str">
        <f>IFERROR(__xludf.DUMMYFUNCTION("""COMPUTED_VALUE"""),"Spirit Parter [Galarian Corsola] [Occult]")</f>
        <v>Spirit Parter [Galarian Corsola] [Occult]</v>
      </c>
      <c r="G354" s="216" t="str">
        <f>IFERROR(__xludf.DUMMYFUNCTION("""COMPUTED_VALUE"""),"Spirit Caller - Spirit Partner")</f>
        <v>Spirit Caller - Spirit Partner</v>
      </c>
      <c r="H354" s="216" t="str">
        <f>IFERROR(__xludf.DUMMYFUNCTION("""COMPUTED_VALUE"""),"Static")</f>
        <v>Static</v>
      </c>
      <c r="I354" s="216" t="str">
        <f>IFERROR(__xludf.DUMMYFUNCTION("""COMPUTED_VALUE"""),"Attacks: Curse, Destiny Bond, Malice, Spite, (Signature - Soul Drain or Strength Sap)
Partner Bonus: Whenever you’re hit with an Attack, the Attacker gains a Wither Counter. At the end of the round, all Enemies lose a Tick of Hit Points per Wither Counter"&amp;" they have. If an Enemy with Wither Tokens faints, you lose a Tick of Hit Points per Wither Token they had.")</f>
        <v>Attacks: Curse, Destiny Bond, Malice, Spite, (Signature - Soul Drain or Strength Sap)
Partner Bonus: Whenever you’re hit with an Attack, the Attacker gains a Wither Counter. At the end of the round, all Enemies lose a Tick of Hit Points per Wither Counter they have. If an Enemy with Wither Tokens faints, you lose a Tick of Hit Points per Wither Token they had.</v>
      </c>
      <c r="J354" s="215"/>
      <c r="K354" s="217"/>
      <c r="L354" s="217"/>
      <c r="M354" s="217"/>
      <c r="N354" s="217"/>
      <c r="O354" s="217"/>
      <c r="P354" s="217"/>
    </row>
    <row r="355">
      <c r="A355" s="214"/>
      <c r="B355" s="214"/>
      <c r="C355" s="214"/>
      <c r="D355" s="214"/>
      <c r="E355" s="215"/>
      <c r="F355" s="216" t="str">
        <f>IFERROR(__xludf.DUMMYFUNCTION("""COMPUTED_VALUE"""),"Spirit Parter [Galarian Yamask] [Occult]")</f>
        <v>Spirit Parter [Galarian Yamask] [Occult]</v>
      </c>
      <c r="G355" s="216" t="str">
        <f>IFERROR(__xludf.DUMMYFUNCTION("""COMPUTED_VALUE"""),"Spirit Caller - Spirit Partner")</f>
        <v>Spirit Caller - Spirit Partner</v>
      </c>
      <c r="H355" s="216" t="str">
        <f>IFERROR(__xludf.DUMMYFUNCTION("""COMPUTED_VALUE"""),"Static")</f>
        <v>Static</v>
      </c>
      <c r="I355" s="216" t="str">
        <f>IFERROR(__xludf.DUMMYFUNCTION("""COMPUTED_VALUE"""),"Attacks: Curse, Disable, Imprison, Mean Look (Signature - Spirit Shackle or Earth Power)
Partner Bonus: Once per Round, whenever you cause an Enemy to become Trapped or Disabled, they lose -2 CS in a Stat with Positive CS")</f>
        <v>Attacks: Curse, Disable, Imprison, Mean Look (Signature - Spirit Shackle or Earth Power)
Partner Bonus: Once per Round, whenever you cause an Enemy to become Trapped or Disabled, they lose -2 CS in a Stat with Positive CS</v>
      </c>
      <c r="J355" s="215"/>
      <c r="K355" s="217"/>
      <c r="L355" s="217"/>
      <c r="M355" s="217"/>
      <c r="N355" s="217"/>
      <c r="O355" s="217"/>
      <c r="P355" s="217"/>
    </row>
    <row r="356">
      <c r="A356" s="214"/>
      <c r="B356" s="214"/>
      <c r="C356" s="214"/>
      <c r="D356" s="214"/>
      <c r="E356" s="215"/>
      <c r="F356" s="216" t="str">
        <f>IFERROR(__xludf.DUMMYFUNCTION("""COMPUTED_VALUE"""),"Spirit Parter [Gastly] [Occult]")</f>
        <v>Spirit Parter [Gastly] [Occult]</v>
      </c>
      <c r="G356" s="216" t="str">
        <f>IFERROR(__xludf.DUMMYFUNCTION("""COMPUTED_VALUE"""),"Spirit Caller - Spirit Partner")</f>
        <v>Spirit Caller - Spirit Partner</v>
      </c>
      <c r="H356" s="216" t="str">
        <f>IFERROR(__xludf.DUMMYFUNCTION("""COMPUTED_VALUE"""),"Static")</f>
        <v>Static</v>
      </c>
      <c r="I356" s="216" t="str">
        <f>IFERROR(__xludf.DUMMYFUNCTION("""COMPUTED_VALUE"""),"Attacks: Confuse Ray, Curse, Poison Gas, Smokescreen, (Signature - Shadow Ball or Siphon Life)
Partner Bonus: Whenever an Enemy ends their Turn in a Hazard you created through a Spirit Caller Attack, they become Dazed or Cursed.")</f>
        <v>Attacks: Confuse Ray, Curse, Poison Gas, Smokescreen, (Signature - Shadow Ball or Siphon Life)
Partner Bonus: Whenever an Enemy ends their Turn in a Hazard you created through a Spirit Caller Attack, they become Dazed or Cursed.</v>
      </c>
      <c r="J356" s="215"/>
      <c r="K356" s="217"/>
      <c r="L356" s="217"/>
      <c r="M356" s="217"/>
      <c r="N356" s="217"/>
      <c r="O356" s="217"/>
      <c r="P356" s="217"/>
    </row>
    <row r="357">
      <c r="A357" s="214"/>
      <c r="B357" s="214"/>
      <c r="C357" s="214"/>
      <c r="D357" s="214"/>
      <c r="E357" s="215"/>
      <c r="F357" s="216" t="str">
        <f>IFERROR(__xludf.DUMMYFUNCTION("""COMPUTED_VALUE"""),"Spirit Parter [Gimmighoul] [Occult]")</f>
        <v>Spirit Parter [Gimmighoul] [Occult]</v>
      </c>
      <c r="G357" s="216" t="str">
        <f>IFERROR(__xludf.DUMMYFUNCTION("""COMPUTED_VALUE"""),"Spirit Caller - Spirit Partner")</f>
        <v>Spirit Caller - Spirit Partner</v>
      </c>
      <c r="H357" s="216" t="str">
        <f>IFERROR(__xludf.DUMMYFUNCTION("""COMPUTED_VALUE"""),"Static")</f>
        <v>Static</v>
      </c>
      <c r="I357" s="216" t="str">
        <f>IFERROR(__xludf.DUMMYFUNCTION("""COMPUTED_VALUE"""),"Attacks: Smokescreen, Snatch, Switcheroo, Trick, (Signature - Flash Cannon or Metal Burst)
Partner Bonus: At the start of each Round, roll 1d3. Your GM then places a number of Coin Hazards equal to the result. Each Hazard cannot be within 3m of any Combat"&amp;"ant. Whenever an Enemy moves on this Hazard, it is destroyed and they lose a Tick of HP. If you or an Ally move on this Hazard, it is destroyed and they have a +2 Bonus to Accuracy and Save Checks until the end of the Round.")</f>
        <v>Attacks: Smokescreen, Snatch, Switcheroo, Trick, (Signature - Flash Cannon or Metal Burst)
Partner Bonus: At the start of each Round, roll 1d3. Your GM then places a number of Coin Hazards equal to the result. Each Hazard cannot be within 3m of any Combatant. Whenever an Enemy moves on this Hazard, it is destroyed and they lose a Tick of HP. If you or an Ally move on this Hazard, it is destroyed and they have a +2 Bonus to Accuracy and Save Checks until the end of the Round.</v>
      </c>
      <c r="J357" s="215"/>
      <c r="K357" s="217"/>
      <c r="L357" s="217"/>
      <c r="M357" s="217"/>
      <c r="N357" s="217"/>
      <c r="O357" s="217"/>
      <c r="P357" s="217"/>
    </row>
    <row r="358">
      <c r="A358" s="214"/>
      <c r="B358" s="214"/>
      <c r="C358" s="214"/>
      <c r="D358" s="214"/>
      <c r="E358" s="215"/>
      <c r="F358" s="216" t="str">
        <f>IFERROR(__xludf.DUMMYFUNCTION("""COMPUTED_VALUE"""),"Spirit Parter [Golett] [Occult]")</f>
        <v>Spirit Parter [Golett] [Occult]</v>
      </c>
      <c r="G358" s="216" t="str">
        <f>IFERROR(__xludf.DUMMYFUNCTION("""COMPUTED_VALUE"""),"Spirit Caller - Spirit Partner")</f>
        <v>Spirit Caller - Spirit Partner</v>
      </c>
      <c r="H358" s="216" t="str">
        <f>IFERROR(__xludf.DUMMYFUNCTION("""COMPUTED_VALUE"""),"Static")</f>
        <v>Static</v>
      </c>
      <c r="I358" s="216" t="str">
        <f>IFERROR(__xludf.DUMMYFUNCTION("""COMPUTED_VALUE"""),"Attacks: Block, Bulk Up, Helping Hand, Work Up, (Signature - Shadow Punch or Force Punch)
Partner Bonus: Whenever an Ally within 2m is hit with a Damaging Attack, the Attacker gains a Vengeance Coat until the end of the Round. Whenever you use a Damaging "&amp;"Attack on an Enemy with a Vengeance Coat, it is expended and the Attack gains Sureshot.")</f>
        <v>Attacks: Block, Bulk Up, Helping Hand, Work Up, (Signature - Shadow Punch or Force Punch)
Partner Bonus: Whenever an Ally within 2m is hit with a Damaging Attack, the Attacker gains a Vengeance Coat until the end of the Round. Whenever you use a Damaging Attack on an Enemy with a Vengeance Coat, it is expended and the Attack gains Sureshot.</v>
      </c>
      <c r="J358" s="215"/>
      <c r="K358" s="217"/>
      <c r="L358" s="217"/>
      <c r="M358" s="217"/>
      <c r="N358" s="217"/>
      <c r="O358" s="217"/>
      <c r="P358" s="217"/>
    </row>
    <row r="359">
      <c r="A359" s="214"/>
      <c r="B359" s="214"/>
      <c r="C359" s="214"/>
      <c r="D359" s="214"/>
      <c r="E359" s="215"/>
      <c r="F359" s="216" t="str">
        <f>IFERROR(__xludf.DUMMYFUNCTION("""COMPUTED_VALUE"""),"Spirit Parter [Greavard] [Occult]")</f>
        <v>Spirit Parter [Greavard] [Occult]</v>
      </c>
      <c r="G359" s="216" t="str">
        <f>IFERROR(__xludf.DUMMYFUNCTION("""COMPUTED_VALUE"""),"Spirit Caller - Spirit Partner")</f>
        <v>Spirit Caller - Spirit Partner</v>
      </c>
      <c r="H359" s="216" t="str">
        <f>IFERROR(__xludf.DUMMYFUNCTION("""COMPUTED_VALUE"""),"Static")</f>
        <v>Static</v>
      </c>
      <c r="I359" s="216" t="str">
        <f>IFERROR(__xludf.DUMMYFUNCTION("""COMPUTED_VALUE"""),"Attacks: Howl, Savage Roar, Taunt, Wide Guard, (Signature - Shadow Bone or Vengeance)
Partner Bonus: At the start of the Scene you gain 1 Loyalty Counter (Max 1). As a Reaction when you or an Ally within 3m are hit with an Attack, you may expend a Loyalty"&amp;" Counter to reduce it by an additional Damage Step. Whenever an Ally Faints, you gain a Loyalty Counter.")</f>
        <v>Attacks: Howl, Savage Roar, Taunt, Wide Guard, (Signature - Shadow Bone or Vengeance)
Partner Bonus: At the start of the Scene you gain 1 Loyalty Counter (Max 1). As a Reaction when you or an Ally within 3m are hit with an Attack, you may expend a Loyalty Counter to reduce it by an additional Damage Step. Whenever an Ally Faints, you gain a Loyalty Counter.</v>
      </c>
      <c r="J359" s="215"/>
      <c r="K359" s="217"/>
      <c r="L359" s="217"/>
      <c r="M359" s="217"/>
      <c r="N359" s="217"/>
      <c r="O359" s="217"/>
      <c r="P359" s="217"/>
    </row>
    <row r="360">
      <c r="A360" s="214"/>
      <c r="B360" s="214"/>
      <c r="C360" s="214"/>
      <c r="D360" s="214"/>
      <c r="E360" s="215"/>
      <c r="F360" s="216" t="str">
        <f>IFERROR(__xludf.DUMMYFUNCTION("""COMPUTED_VALUE"""),"Spirit Parter [Hisuian Zorua] [Occult]")</f>
        <v>Spirit Parter [Hisuian Zorua] [Occult]</v>
      </c>
      <c r="G360" s="216" t="str">
        <f>IFERROR(__xludf.DUMMYFUNCTION("""COMPUTED_VALUE"""),"Spirit Caller - Spirit Partner")</f>
        <v>Spirit Caller - Spirit Partner</v>
      </c>
      <c r="H360" s="216" t="str">
        <f>IFERROR(__xludf.DUMMYFUNCTION("""COMPUTED_VALUE"""),"Static")</f>
        <v>Static</v>
      </c>
      <c r="I360" s="216" t="str">
        <f>IFERROR(__xludf.DUMMYFUNCTION("""COMPUTED_VALUE"""),"Attacks: Curse, Malice, Spite, Tearful Look, (Signature - Baneful Claw or Haunting Visage)
Partner Bonus: You gain the Illusionist Capability. As a Swift Action, when you use a Melee Damaging Attack this Turn, it gains the Sureshot and Recoil 1/2 Keyword.")</f>
        <v>Attacks: Curse, Malice, Spite, Tearful Look, (Signature - Baneful Claw or Haunting Visage)
Partner Bonus: You gain the Illusionist Capability. As a Swift Action, when you use a Melee Damaging Attack this Turn, it gains the Sureshot and Recoil 1/2 Keyword.</v>
      </c>
      <c r="J360" s="215"/>
      <c r="K360" s="217"/>
      <c r="L360" s="217"/>
      <c r="M360" s="217"/>
      <c r="N360" s="217"/>
      <c r="O360" s="217"/>
      <c r="P360" s="217"/>
    </row>
    <row r="361">
      <c r="A361" s="214"/>
      <c r="B361" s="214"/>
      <c r="C361" s="214"/>
      <c r="D361" s="214"/>
      <c r="E361" s="215"/>
      <c r="F361" s="216" t="str">
        <f>IFERROR(__xludf.DUMMYFUNCTION("""COMPUTED_VALUE"""),"Spirit Parter [Honedge] [Occult]")</f>
        <v>Spirit Parter [Honedge] [Occult]</v>
      </c>
      <c r="G361" s="216" t="str">
        <f>IFERROR(__xludf.DUMMYFUNCTION("""COMPUTED_VALUE"""),"Spirit Caller - Spirit Partner")</f>
        <v>Spirit Caller - Spirit Partner</v>
      </c>
      <c r="H361" s="216" t="str">
        <f>IFERROR(__xludf.DUMMYFUNCTION("""COMPUTED_VALUE"""),"Static")</f>
        <v>Static</v>
      </c>
      <c r="I361" s="216" t="str">
        <f>IFERROR(__xludf.DUMMYFUNCTION("""COMPUTED_VALUE"""),"Attacks: Block, Focus Energy, Swords Dance, Wide Guard, (Signature - Shadow Claw or Smart Strike)
Partner Bonus: At the start of the Scene, choose Offensive Stance or Defensive Stance, which may be swapped as a Reaction. While in Offensive Stance, your Me"&amp;"lee Attacks have an Accuracy Bonus equal to your Tier Level. While in Defensive Stance, you have Damage Reduction against Melee Attacks equal to your Tier Value.")</f>
        <v>Attacks: Block, Focus Energy, Swords Dance, Wide Guard, (Signature - Shadow Claw or Smart Strike)
Partner Bonus: At the start of the Scene, choose Offensive Stance or Defensive Stance, which may be swapped as a Reaction. While in Offensive Stance, your Melee Attacks have an Accuracy Bonus equal to your Tier Level. While in Defensive Stance, you have Damage Reduction against Melee Attacks equal to your Tier Value.</v>
      </c>
      <c r="J361" s="215"/>
      <c r="K361" s="217"/>
      <c r="L361" s="217"/>
      <c r="M361" s="217"/>
      <c r="N361" s="217"/>
      <c r="O361" s="217"/>
      <c r="P361" s="217"/>
    </row>
    <row r="362">
      <c r="A362" s="214"/>
      <c r="B362" s="214"/>
      <c r="C362" s="214"/>
      <c r="D362" s="214"/>
      <c r="E362" s="215"/>
      <c r="F362" s="216" t="str">
        <f>IFERROR(__xludf.DUMMYFUNCTION("""COMPUTED_VALUE"""),"Spirit Parter [Litwick] [Occult]")</f>
        <v>Spirit Parter [Litwick] [Occult]</v>
      </c>
      <c r="G362" s="216" t="str">
        <f>IFERROR(__xludf.DUMMYFUNCTION("""COMPUTED_VALUE"""),"Spirit Caller - Spirit Partner")</f>
        <v>Spirit Caller - Spirit Partner</v>
      </c>
      <c r="H362" s="216" t="str">
        <f>IFERROR(__xludf.DUMMYFUNCTION("""COMPUTED_VALUE"""),"Static")</f>
        <v>Static</v>
      </c>
      <c r="I362" s="216" t="str">
        <f>IFERROR(__xludf.DUMMYFUNCTION("""COMPUTED_VALUE"""),"Attacks: Confuse Ray, Flash, Heat Veil, Will-o-Wisp, (Signature - Spectral Flame or Cleansing Flames)
Partner Bonus: Whenever a Combatant Faints you gain a Wisp Counter (Max 3). You may expend a Wisp Counter to gain a Spirit Token (When you have Spectral "&amp;"Swarm) or to give a +2 Accuracy and Effect Range bonus to any Attack gained through Spirit Caller.")</f>
        <v>Attacks: Confuse Ray, Flash, Heat Veil, Will-o-Wisp, (Signature - Spectral Flame or Cleansing Flames)
Partner Bonus: Whenever a Combatant Faints you gain a Wisp Counter (Max 3). You may expend a Wisp Counter to gain a Spirit Token (When you have Spectral Swarm) or to give a +2 Accuracy and Effect Range bonus to any Attack gained through Spirit Caller.</v>
      </c>
      <c r="J362" s="215"/>
      <c r="K362" s="217"/>
      <c r="L362" s="217"/>
      <c r="M362" s="217"/>
      <c r="N362" s="217"/>
      <c r="O362" s="217"/>
      <c r="P362" s="217"/>
    </row>
    <row r="363">
      <c r="A363" s="214"/>
      <c r="B363" s="214"/>
      <c r="C363" s="214"/>
      <c r="D363" s="214"/>
      <c r="E363" s="215"/>
      <c r="F363" s="216" t="str">
        <f>IFERROR(__xludf.DUMMYFUNCTION("""COMPUTED_VALUE"""),"Spirit Parter [Mimikyu] [Occult]")</f>
        <v>Spirit Parter [Mimikyu] [Occult]</v>
      </c>
      <c r="G363" s="216" t="str">
        <f>IFERROR(__xludf.DUMMYFUNCTION("""COMPUTED_VALUE"""),"Spirit Caller - Spirit Partner")</f>
        <v>Spirit Caller - Spirit Partner</v>
      </c>
      <c r="H363" s="216" t="str">
        <f>IFERROR(__xludf.DUMMYFUNCTION("""COMPUTED_VALUE"""),"Static")</f>
        <v>Static</v>
      </c>
      <c r="I363" s="216" t="str">
        <f>IFERROR(__xludf.DUMMYFUNCTION("""COMPUTED_VALUE"""),"Attacks: Baby-Doll Eyes, Charm, Curse, Snatch, (Signature - Play Rough or Shadow Claw)
Partner Bonus: Enemies cannot apply Evasion or use Reactions against Attacks derived from this Spirit Partner if they have a Mental Affliction")</f>
        <v>Attacks: Baby-Doll Eyes, Charm, Curse, Snatch, (Signature - Play Rough or Shadow Claw)
Partner Bonus: Enemies cannot apply Evasion or use Reactions against Attacks derived from this Spirit Partner if they have a Mental Affliction</v>
      </c>
      <c r="J363" s="215"/>
      <c r="K363" s="217"/>
      <c r="L363" s="217"/>
      <c r="M363" s="217"/>
      <c r="N363" s="217"/>
      <c r="O363" s="217"/>
      <c r="P363" s="217"/>
    </row>
    <row r="364">
      <c r="A364" s="214"/>
      <c r="B364" s="214"/>
      <c r="C364" s="214"/>
      <c r="D364" s="214"/>
      <c r="E364" s="215"/>
      <c r="F364" s="216" t="str">
        <f>IFERROR(__xludf.DUMMYFUNCTION("""COMPUTED_VALUE"""),"Spirit Parter [Misdreavus] [Occult]")</f>
        <v>Spirit Parter [Misdreavus] [Occult]</v>
      </c>
      <c r="G364" s="216" t="str">
        <f>IFERROR(__xludf.DUMMYFUNCTION("""COMPUTED_VALUE"""),"Spirit Caller - Spirit Partner")</f>
        <v>Spirit Caller - Spirit Partner</v>
      </c>
      <c r="H364" s="216" t="str">
        <f>IFERROR(__xludf.DUMMYFUNCTION("""COMPUTED_VALUE"""),"Static")</f>
        <v>Static</v>
      </c>
      <c r="I364" s="216" t="str">
        <f>IFERROR(__xludf.DUMMYFUNCTION("""COMPUTED_VALUE"""),"Attacks: Confuse Ray, Curse, Fake Tears, Hypnosis, (Signature - Alluring Voice or Shadow Ball)
Partner Bonus: You gain the Interference Ability. If the Triggering Ally is Adjacent to one of your Spirit Hazards, it may be used as a Free Action instead of a"&amp;" Reaction.")</f>
        <v>Attacks: Confuse Ray, Curse, Fake Tears, Hypnosis, (Signature - Alluring Voice or Shadow Ball)
Partner Bonus: You gain the Interference Ability. If the Triggering Ally is Adjacent to one of your Spirit Hazards, it may be used as a Free Action instead of a Reaction.</v>
      </c>
      <c r="J364" s="215"/>
      <c r="K364" s="217"/>
      <c r="L364" s="217"/>
      <c r="M364" s="217"/>
      <c r="N364" s="217"/>
      <c r="O364" s="217"/>
      <c r="P364" s="217"/>
    </row>
    <row r="365">
      <c r="A365" s="214"/>
      <c r="B365" s="214"/>
      <c r="C365" s="214"/>
      <c r="D365" s="214"/>
      <c r="E365" s="215"/>
      <c r="F365" s="216" t="str">
        <f>IFERROR(__xludf.DUMMYFUNCTION("""COMPUTED_VALUE"""),"Spirit Parter [Phantump] [Occult]")</f>
        <v>Spirit Parter [Phantump] [Occult]</v>
      </c>
      <c r="G365" s="216" t="str">
        <f>IFERROR(__xludf.DUMMYFUNCTION("""COMPUTED_VALUE"""),"Spirit Caller - Spirit Partner")</f>
        <v>Spirit Caller - Spirit Partner</v>
      </c>
      <c r="H365" s="216" t="str">
        <f>IFERROR(__xludf.DUMMYFUNCTION("""COMPUTED_VALUE"""),"Static")</f>
        <v>Static</v>
      </c>
      <c r="I365" s="216" t="str">
        <f>IFERROR(__xludf.DUMMYFUNCTION("""COMPUTED_VALUE"""),"Attacks: Confuse Ray, Curse, Ingrain, Leech Seed, (Signature - Forest’s Curse or Energy Ball)
Partner Bonus: As a Swift Action you may create 3 Root Hazards, starting in a space that is Adjacent to you or a Spirit Hazard. Any Enemy that Triggers this must"&amp;" pass a CR 4 Acrobatics Check or else the Hazard becomes destroyed, then they roll a d3. On a 1, they’re Slowed. On a 2, they’re Cursed. On a 3, they’re Tripped.")</f>
        <v>Attacks: Confuse Ray, Curse, Ingrain, Leech Seed, (Signature - Forest’s Curse or Energy Ball)
Partner Bonus: As a Swift Action you may create 3 Root Hazards, starting in a space that is Adjacent to you or a Spirit Hazard. Any Enemy that Triggers this must pass a CR 4 Acrobatics Check or else the Hazard becomes destroyed, then they roll a d3. On a 1, they’re Slowed. On a 2, they’re Cursed. On a 3, they’re Tripped.</v>
      </c>
      <c r="J365" s="215"/>
      <c r="K365" s="217"/>
      <c r="L365" s="217"/>
      <c r="M365" s="217"/>
      <c r="N365" s="217"/>
      <c r="O365" s="217"/>
      <c r="P365" s="217"/>
    </row>
    <row r="366">
      <c r="A366" s="214"/>
      <c r="B366" s="214"/>
      <c r="C366" s="214"/>
      <c r="D366" s="214"/>
      <c r="E366" s="215"/>
      <c r="F366" s="216" t="str">
        <f>IFERROR(__xludf.DUMMYFUNCTION("""COMPUTED_VALUE"""),"Spirit Parter [Poltchageist] [Occult]")</f>
        <v>Spirit Parter [Poltchageist] [Occult]</v>
      </c>
      <c r="G366" s="216" t="str">
        <f>IFERROR(__xludf.DUMMYFUNCTION("""COMPUTED_VALUE"""),"Spirit Caller - Spirit Partner")</f>
        <v>Spirit Caller - Spirit Partner</v>
      </c>
      <c r="H366" s="216" t="str">
        <f>IFERROR(__xludf.DUMMYFUNCTION("""COMPUTED_VALUE"""),"Static")</f>
        <v>Static</v>
      </c>
      <c r="I366" s="216" t="str">
        <f>IFERROR(__xludf.DUMMYFUNCTION("""COMPUTED_VALUE"""),"Attacks: Aromatherapy, Life Dew, Poison Powder, Poltergeist (Signature - Teatime or Scald)
Partner Bonus: Up to twice per Scene, You and Allied Combatants that are Adjacent to you or a Spirit Hazard may cure any Status Affliction as a Swift Action, howeve"&amp;"r they then become Burned.")</f>
        <v>Attacks: Aromatherapy, Life Dew, Poison Powder, Poltergeist (Signature - Teatime or Scald)
Partner Bonus: Up to twice per Scene, You and Allied Combatants that are Adjacent to you or a Spirit Hazard may cure any Status Affliction as a Swift Action, however they then become Burned.</v>
      </c>
      <c r="J366" s="215"/>
      <c r="K366" s="217"/>
      <c r="L366" s="217"/>
      <c r="M366" s="217"/>
      <c r="N366" s="217"/>
      <c r="O366" s="217"/>
      <c r="P366" s="217"/>
    </row>
    <row r="367">
      <c r="A367" s="214"/>
      <c r="B367" s="214"/>
      <c r="C367" s="214"/>
      <c r="D367" s="214"/>
      <c r="E367" s="215"/>
      <c r="F367" s="216" t="str">
        <f>IFERROR(__xludf.DUMMYFUNCTION("""COMPUTED_VALUE"""),"Spirit Parter [Pumpkaboo] [Occult]")</f>
        <v>Spirit Parter [Pumpkaboo] [Occult]</v>
      </c>
      <c r="G367" s="216" t="str">
        <f>IFERROR(__xludf.DUMMYFUNCTION("""COMPUTED_VALUE"""),"Spirit Caller - Spirit Partner")</f>
        <v>Spirit Caller - Spirit Partner</v>
      </c>
      <c r="H367" s="216" t="str">
        <f>IFERROR(__xludf.DUMMYFUNCTION("""COMPUTED_VALUE"""),"Static")</f>
        <v>Static</v>
      </c>
      <c r="I367" s="216" t="str">
        <f>IFERROR(__xludf.DUMMYFUNCTION("""COMPUTED_VALUE"""),"Attacks: Ingrain, Leech Seed, Will-o-Wisp, Worry Seed, (Signature - Trick-or-Treat or Seed Bomb) 
Partner Bonus: At the start of the Scene, roll a d4. If the die resulted in a 4, all Attacks used through Spirit Caller gain the Sureshot Keyword. If the die"&amp;" resulted in 3, they have a +2 Accuracy Bonus. Whenever you place a Spirit Hazard you may roll again if desired, however it only overrides the one you rolled at the beginning of the Scene while it’s on the Field.")</f>
        <v>Attacks: Ingrain, Leech Seed, Will-o-Wisp, Worry Seed, (Signature - Trick-or-Treat or Seed Bomb) 
Partner Bonus: At the start of the Scene, roll a d4. If the die resulted in a 4, all Attacks used through Spirit Caller gain the Sureshot Keyword. If the die resulted in 3, they have a +2 Accuracy Bonus. Whenever you place a Spirit Hazard you may roll again if desired, however it only overrides the one you rolled at the beginning of the Scene while it’s on the Field.</v>
      </c>
      <c r="J367" s="215"/>
      <c r="K367" s="217"/>
      <c r="L367" s="217"/>
      <c r="M367" s="217"/>
      <c r="N367" s="217"/>
      <c r="O367" s="217"/>
      <c r="P367" s="217"/>
    </row>
    <row r="368">
      <c r="A368" s="214"/>
      <c r="B368" s="214"/>
      <c r="C368" s="214"/>
      <c r="D368" s="214"/>
      <c r="E368" s="215"/>
      <c r="F368" s="216" t="str">
        <f>IFERROR(__xludf.DUMMYFUNCTION("""COMPUTED_VALUE"""),"Spirit Parter [Rotom] [Occult]")</f>
        <v>Spirit Parter [Rotom] [Occult]</v>
      </c>
      <c r="G368" s="216" t="str">
        <f>IFERROR(__xludf.DUMMYFUNCTION("""COMPUTED_VALUE"""),"Spirit Caller - Spirit Partner")</f>
        <v>Spirit Caller - Spirit Partner</v>
      </c>
      <c r="H368" s="216" t="str">
        <f>IFERROR(__xludf.DUMMYFUNCTION("""COMPUTED_VALUE"""),"Static")</f>
        <v>Static</v>
      </c>
      <c r="I368" s="216" t="str">
        <f>IFERROR(__xludf.DUMMYFUNCTION("""COMPUTED_VALUE"""),"Attacks: Eerie Impulse, Ion Deluge, Poltergeist, Thunder Wave, (Signature - Shadow Ball or Ominous Wind)
Partner Bonus: Spirit Summon becomes an At-Will Frequency but only one can be on the Field at a time. Whenever you create a Spirit Hazard, you may pla"&amp;"ce it on any space that is occupied by an electrical or mechanized object, with GM’s approval. If you do, your Ghost Attacks that originate from that Hazard can have their Type altered based on what object it is.")</f>
        <v>Attacks: Eerie Impulse, Ion Deluge, Poltergeist, Thunder Wave, (Signature - Shadow Ball or Ominous Wind)
Partner Bonus: Spirit Summon becomes an At-Will Frequency but only one can be on the Field at a time. Whenever you create a Spirit Hazard, you may place it on any space that is occupied by an electrical or mechanized object, with GM’s approval. If you do, your Ghost Attacks that originate from that Hazard can have their Type altered based on what object it is.</v>
      </c>
      <c r="J368" s="215"/>
      <c r="K368" s="217"/>
      <c r="L368" s="217"/>
      <c r="M368" s="217"/>
      <c r="N368" s="217"/>
      <c r="O368" s="217"/>
      <c r="P368" s="217"/>
    </row>
    <row r="369">
      <c r="A369" s="214"/>
      <c r="B369" s="214"/>
      <c r="C369" s="214"/>
      <c r="D369" s="214"/>
      <c r="E369" s="215"/>
      <c r="F369" s="216" t="str">
        <f>IFERROR(__xludf.DUMMYFUNCTION("""COMPUTED_VALUE"""),"Spirit Parter [Sableye] [Occult]")</f>
        <v>Spirit Parter [Sableye] [Occult]</v>
      </c>
      <c r="G369" s="216" t="str">
        <f>IFERROR(__xludf.DUMMYFUNCTION("""COMPUTED_VALUE"""),"Spirit Caller - Spirit Partner")</f>
        <v>Spirit Caller - Spirit Partner</v>
      </c>
      <c r="H369" s="216" t="str">
        <f>IFERROR(__xludf.DUMMYFUNCTION("""COMPUTED_VALUE"""),"Static")</f>
        <v>Static</v>
      </c>
      <c r="I369" s="216" t="str">
        <f>IFERROR(__xludf.DUMMYFUNCTION("""COMPUTED_VALUE"""),"Attacks: Flatter, Snatch, Taunt, Torment, (Signature - Cackle or Shadow Claw)
Partner Bonus: You have a Boon for all Manipulate and Tactics Combat Maneuver Skill Checks. You have +3 Evasion against Enemies that are Provoked by you.")</f>
        <v>Attacks: Flatter, Snatch, Taunt, Torment, (Signature - Cackle or Shadow Claw)
Partner Bonus: You have a Boon for all Manipulate and Tactics Combat Maneuver Skill Checks. You have +3 Evasion against Enemies that are Provoked by you.</v>
      </c>
      <c r="J369" s="215"/>
      <c r="K369" s="217"/>
      <c r="L369" s="217"/>
      <c r="M369" s="217"/>
      <c r="N369" s="217"/>
      <c r="O369" s="217"/>
      <c r="P369" s="217"/>
    </row>
    <row r="370">
      <c r="A370" s="214"/>
      <c r="B370" s="214"/>
      <c r="C370" s="214"/>
      <c r="D370" s="214"/>
      <c r="E370" s="215"/>
      <c r="F370" s="216" t="str">
        <f>IFERROR(__xludf.DUMMYFUNCTION("""COMPUTED_VALUE"""),"Spirit Parter [Sandygast] [Occult]")</f>
        <v>Spirit Parter [Sandygast] [Occult]</v>
      </c>
      <c r="G370" s="216" t="str">
        <f>IFERROR(__xludf.DUMMYFUNCTION("""COMPUTED_VALUE"""),"Spirit Caller - Spirit Partner")</f>
        <v>Spirit Caller - Spirit Partner</v>
      </c>
      <c r="H370" s="216" t="str">
        <f>IFERROR(__xludf.DUMMYFUNCTION("""COMPUTED_VALUE"""),"Static")</f>
        <v>Static</v>
      </c>
      <c r="I370" s="216" t="str">
        <f>IFERROR(__xludf.DUMMYFUNCTION("""COMPUTED_VALUE"""),"Attacks: Confuse Ray, Sand-Attack, Sand Pit, Sinkhole, (Signature - Quicksand or Scorching Sands)
Partner Bonus: Whenever an Enemy ends their Turn in a Sinking Hazard or adjacent to your Spirit Hazard, you restore a Tick of Hit Points and may Slide them u"&amp;"p to 2m.")</f>
        <v>Attacks: Confuse Ray, Sand-Attack, Sand Pit, Sinkhole, (Signature - Quicksand or Scorching Sands)
Partner Bonus: Whenever an Enemy ends their Turn in a Sinking Hazard or adjacent to your Spirit Hazard, you restore a Tick of Hit Points and may Slide them up to 2m.</v>
      </c>
      <c r="J370" s="215"/>
      <c r="K370" s="217"/>
      <c r="L370" s="217"/>
      <c r="M370" s="217"/>
      <c r="N370" s="217"/>
      <c r="O370" s="217"/>
      <c r="P370" s="217"/>
    </row>
    <row r="371">
      <c r="A371" s="214"/>
      <c r="B371" s="214"/>
      <c r="C371" s="214"/>
      <c r="D371" s="214"/>
      <c r="E371" s="215"/>
      <c r="F371" s="216" t="str">
        <f>IFERROR(__xludf.DUMMYFUNCTION("""COMPUTED_VALUE"""),"Spirit Parter [Shuppet] [Occult]")</f>
        <v>Spirit Parter [Shuppet] [Occult]</v>
      </c>
      <c r="G371" s="216" t="str">
        <f>IFERROR(__xludf.DUMMYFUNCTION("""COMPUTED_VALUE"""),"Spirit Caller - Spirit Partner")</f>
        <v>Spirit Caller - Spirit Partner</v>
      </c>
      <c r="H371" s="216" t="str">
        <f>IFERROR(__xludf.DUMMYFUNCTION("""COMPUTED_VALUE"""),"Static")</f>
        <v>Static</v>
      </c>
      <c r="I371" s="216" t="str">
        <f>IFERROR(__xludf.DUMMYFUNCTION("""COMPUTED_VALUE"""),"Attacks: Curse, Haunting Aura, Malice, Spite (Signature - Lash Out or Vengeance)
Partner Bonus: Whenever an Enemy hits you with an Attack, they gain a Vengeance Counter (Max 3). Whenever you hit a Damaging Attack, Targets with Vengeance Counters take addi"&amp;"tional damage equal to their Vengeance Counters multiplied by your Tier Value.")</f>
        <v>Attacks: Curse, Haunting Aura, Malice, Spite (Signature - Lash Out or Vengeance)
Partner Bonus: Whenever an Enemy hits you with an Attack, they gain a Vengeance Counter (Max 3). Whenever you hit a Damaging Attack, Targets with Vengeance Counters take additional damage equal to their Vengeance Counters multiplied by your Tier Value.</v>
      </c>
      <c r="J371" s="215"/>
      <c r="K371" s="217"/>
      <c r="L371" s="217"/>
      <c r="M371" s="217"/>
      <c r="N371" s="217"/>
      <c r="O371" s="217"/>
      <c r="P371" s="217"/>
    </row>
    <row r="372">
      <c r="A372" s="214"/>
      <c r="B372" s="214"/>
      <c r="C372" s="214"/>
      <c r="D372" s="214"/>
      <c r="E372" s="215"/>
      <c r="F372" s="216" t="str">
        <f>IFERROR(__xludf.DUMMYFUNCTION("""COMPUTED_VALUE"""),"Spirit Parter [Sinistea] [Occult]")</f>
        <v>Spirit Parter [Sinistea] [Occult]</v>
      </c>
      <c r="G372" s="216" t="str">
        <f>IFERROR(__xludf.DUMMYFUNCTION("""COMPUTED_VALUE"""),"Spirit Caller - Spirit Partner")</f>
        <v>Spirit Caller - Spirit Partner</v>
      </c>
      <c r="H372" s="216" t="str">
        <f>IFERROR(__xludf.DUMMYFUNCTION("""COMPUTED_VALUE"""),"Static")</f>
        <v>Static</v>
      </c>
      <c r="I372" s="216" t="str">
        <f>IFERROR(__xludf.DUMMYFUNCTION("""COMPUTED_VALUE"""),"Attacks: Aromatherapy, Life Dew, Poison Powder, Poltergeist (Signature - Teatime or Scald)
Partner Bonus: Up to Twice per Scene, You and Allied Combatants that are Adjacent to you or a Spirit Hazard may cure any Status Affliction as a Swift Action, howeve"&amp;"r they then become Poisoned.")</f>
        <v>Attacks: Aromatherapy, Life Dew, Poison Powder, Poltergeist (Signature - Teatime or Scald)
Partner Bonus: Up to Twice per Scene, You and Allied Combatants that are Adjacent to you or a Spirit Hazard may cure any Status Affliction as a Swift Action, however they then become Poisoned.</v>
      </c>
      <c r="J372" s="215"/>
      <c r="K372" s="217"/>
      <c r="L372" s="217"/>
      <c r="M372" s="217"/>
      <c r="N372" s="217"/>
      <c r="O372" s="217"/>
      <c r="P372" s="217"/>
    </row>
    <row r="373">
      <c r="A373" s="214"/>
      <c r="B373" s="214"/>
      <c r="C373" s="214"/>
      <c r="D373" s="214"/>
      <c r="E373" s="215"/>
      <c r="F373" s="216" t="str">
        <f>IFERROR(__xludf.DUMMYFUNCTION("""COMPUTED_VALUE"""),"Spirit Parter [Spiritomb] [Occult]")</f>
        <v>Spirit Parter [Spiritomb] [Occult]</v>
      </c>
      <c r="G373" s="216" t="str">
        <f>IFERROR(__xludf.DUMMYFUNCTION("""COMPUTED_VALUE"""),"Spirit Caller - Spirit Partner")</f>
        <v>Spirit Caller - Spirit Partner</v>
      </c>
      <c r="H373" s="216" t="str">
        <f>IFERROR(__xludf.DUMMYFUNCTION("""COMPUTED_VALUE"""),"Static")</f>
        <v>Static</v>
      </c>
      <c r="I373" s="216" t="str">
        <f>IFERROR(__xludf.DUMMYFUNCTION("""COMPUTED_VALUE"""),"Attacks: Curse, Hypnosis, Malice, Spite, (Signature - Dark Pulse or Shadow Ball)
Partner Bonus: Whenever a Combatant Faints, you gain a Soul Counter. You or any Ally that is Adjacent to you or a Spirit Hazard may expend any number of Soul Counters as a Fr"&amp;"ee Action to restore a Tick of Hit Points per Counter expended.")</f>
        <v>Attacks: Curse, Hypnosis, Malice, Spite, (Signature - Dark Pulse or Shadow Ball)
Partner Bonus: Whenever a Combatant Faints, you gain a Soul Counter. You or any Ally that is Adjacent to you or a Spirit Hazard may expend any number of Soul Counters as a Free Action to restore a Tick of Hit Points per Counter expended.</v>
      </c>
      <c r="J373" s="215"/>
      <c r="K373" s="217"/>
      <c r="L373" s="217"/>
      <c r="M373" s="217"/>
      <c r="N373" s="217"/>
      <c r="O373" s="217"/>
      <c r="P373" s="217"/>
    </row>
    <row r="374">
      <c r="A374" s="214"/>
      <c r="B374" s="214"/>
      <c r="C374" s="214"/>
      <c r="D374" s="214"/>
      <c r="E374" s="215"/>
      <c r="F374" s="216" t="str">
        <f>IFERROR(__xludf.DUMMYFUNCTION("""COMPUTED_VALUE"""),"Spirit Parter [Yamask] [Occult]")</f>
        <v>Spirit Parter [Yamask] [Occult]</v>
      </c>
      <c r="G374" s="216" t="str">
        <f>IFERROR(__xludf.DUMMYFUNCTION("""COMPUTED_VALUE"""),"Spirit Caller - Spirit Partner")</f>
        <v>Spirit Caller - Spirit Partner</v>
      </c>
      <c r="H374" s="216" t="str">
        <f>IFERROR(__xludf.DUMMYFUNCTION("""COMPUTED_VALUE"""),"Static")</f>
        <v>Static</v>
      </c>
      <c r="I374" s="216" t="str">
        <f>IFERROR(__xludf.DUMMYFUNCTION("""COMPUTED_VALUE"""),"Attacks: Crafty Shield, Curse, Disable, Mean Look, (Signature - Spirit Shackle or Shadow Snare)
Partner Bonus: If an Enemy is Cursed or Suppressed, they are also Trapped by you whenever you are within 3m of them.")</f>
        <v>Attacks: Crafty Shield, Curse, Disable, Mean Look, (Signature - Spirit Shackle or Shadow Snare)
Partner Bonus: If an Enemy is Cursed or Suppressed, they are also Trapped by you whenever you are within 3m of them.</v>
      </c>
      <c r="J374" s="215"/>
      <c r="K374" s="217"/>
      <c r="L374" s="217"/>
      <c r="M374" s="217"/>
      <c r="N374" s="217"/>
      <c r="O374" s="217"/>
      <c r="P374" s="217"/>
    </row>
    <row r="375">
      <c r="A375" s="214"/>
      <c r="B375" s="214"/>
      <c r="C375" s="214"/>
      <c r="D375" s="214"/>
      <c r="E375" s="215"/>
      <c r="F375" s="216"/>
      <c r="G375" s="216"/>
      <c r="H375" s="216"/>
      <c r="I375" s="216"/>
      <c r="J375" s="215"/>
      <c r="K375" s="217"/>
      <c r="L375" s="217"/>
      <c r="M375" s="217"/>
      <c r="N375" s="217"/>
      <c r="O375" s="217"/>
      <c r="P375" s="217"/>
    </row>
    <row r="376">
      <c r="A376" s="214"/>
      <c r="B376" s="214"/>
      <c r="C376" s="214"/>
      <c r="D376" s="214"/>
      <c r="E376" s="215"/>
      <c r="F376" s="216"/>
      <c r="G376" s="216"/>
      <c r="H376" s="216"/>
      <c r="I376" s="216"/>
      <c r="J376" s="215"/>
      <c r="K376" s="217"/>
      <c r="L376" s="217"/>
      <c r="M376" s="217"/>
      <c r="N376" s="217"/>
      <c r="O376" s="217"/>
      <c r="P376" s="217"/>
    </row>
    <row r="377">
      <c r="A377" s="214"/>
      <c r="B377" s="214"/>
      <c r="C377" s="214"/>
      <c r="D377" s="214"/>
      <c r="E377" s="215"/>
      <c r="F377" s="216"/>
      <c r="G377" s="216"/>
      <c r="H377" s="216"/>
      <c r="I377" s="216"/>
      <c r="J377" s="215"/>
      <c r="K377" s="217"/>
      <c r="L377" s="217"/>
      <c r="M377" s="217"/>
      <c r="N377" s="217"/>
      <c r="O377" s="217"/>
      <c r="P377" s="217"/>
    </row>
    <row r="378">
      <c r="A378" s="214"/>
      <c r="B378" s="214"/>
      <c r="C378" s="214"/>
      <c r="D378" s="214"/>
      <c r="E378" s="215"/>
      <c r="F378" s="216"/>
      <c r="G378" s="216"/>
      <c r="H378" s="216"/>
      <c r="I378" s="216"/>
      <c r="J378" s="215"/>
      <c r="K378" s="217"/>
      <c r="L378" s="217"/>
      <c r="M378" s="217"/>
      <c r="N378" s="217"/>
      <c r="O378" s="217"/>
      <c r="P378" s="217"/>
    </row>
    <row r="379">
      <c r="A379" s="214"/>
      <c r="B379" s="214"/>
      <c r="C379" s="214"/>
      <c r="D379" s="214"/>
      <c r="E379" s="215"/>
      <c r="F379" s="216"/>
      <c r="G379" s="216"/>
      <c r="H379" s="216"/>
      <c r="I379" s="216"/>
      <c r="J379" s="215"/>
      <c r="K379" s="217"/>
      <c r="L379" s="217"/>
      <c r="M379" s="217"/>
      <c r="N379" s="217"/>
      <c r="O379" s="217"/>
      <c r="P379" s="217"/>
    </row>
    <row r="380">
      <c r="A380" s="214"/>
      <c r="B380" s="214"/>
      <c r="C380" s="214"/>
      <c r="D380" s="214"/>
      <c r="E380" s="215"/>
      <c r="F380" s="216"/>
      <c r="G380" s="216"/>
      <c r="H380" s="216"/>
      <c r="I380" s="216"/>
      <c r="J380" s="215"/>
      <c r="K380" s="217"/>
      <c r="L380" s="217"/>
      <c r="M380" s="217"/>
      <c r="N380" s="217"/>
      <c r="O380" s="217"/>
      <c r="P380" s="217"/>
    </row>
    <row r="381">
      <c r="A381" s="214"/>
      <c r="B381" s="214"/>
      <c r="C381" s="214"/>
      <c r="D381" s="214"/>
      <c r="E381" s="215"/>
      <c r="F381" s="216"/>
      <c r="G381" s="216"/>
      <c r="H381" s="216"/>
      <c r="I381" s="216"/>
      <c r="J381" s="215"/>
      <c r="K381" s="217"/>
      <c r="L381" s="217"/>
      <c r="M381" s="217"/>
      <c r="N381" s="217"/>
      <c r="O381" s="217"/>
      <c r="P381" s="217"/>
    </row>
    <row r="382">
      <c r="A382" s="214"/>
      <c r="B382" s="214"/>
      <c r="C382" s="214"/>
      <c r="D382" s="214"/>
      <c r="E382" s="215"/>
      <c r="F382" s="216"/>
      <c r="G382" s="216"/>
      <c r="H382" s="216"/>
      <c r="I382" s="216"/>
      <c r="J382" s="215"/>
      <c r="K382" s="217"/>
      <c r="L382" s="217"/>
      <c r="M382" s="217"/>
      <c r="N382" s="217"/>
      <c r="O382" s="217"/>
      <c r="P382" s="217"/>
    </row>
    <row r="383">
      <c r="A383" s="214"/>
      <c r="B383" s="214"/>
      <c r="C383" s="214"/>
      <c r="D383" s="214"/>
      <c r="E383" s="215"/>
      <c r="F383" s="216"/>
      <c r="G383" s="216"/>
      <c r="H383" s="216"/>
      <c r="I383" s="216"/>
      <c r="J383" s="215"/>
      <c r="K383" s="217"/>
      <c r="L383" s="217"/>
      <c r="M383" s="217"/>
      <c r="N383" s="217"/>
      <c r="O383" s="217"/>
      <c r="P383" s="217"/>
    </row>
    <row r="384">
      <c r="A384" s="214"/>
      <c r="B384" s="214"/>
      <c r="C384" s="214"/>
      <c r="D384" s="214"/>
      <c r="E384" s="215"/>
      <c r="F384" s="216"/>
      <c r="G384" s="216"/>
      <c r="H384" s="216"/>
      <c r="I384" s="216"/>
      <c r="J384" s="215"/>
      <c r="K384" s="217"/>
      <c r="L384" s="217"/>
      <c r="M384" s="217"/>
      <c r="N384" s="217"/>
      <c r="O384" s="217"/>
      <c r="P384" s="217"/>
    </row>
    <row r="385">
      <c r="A385" s="214"/>
      <c r="B385" s="214"/>
      <c r="C385" s="214"/>
      <c r="D385" s="214"/>
      <c r="E385" s="215"/>
      <c r="F385" s="216"/>
      <c r="G385" s="216"/>
      <c r="H385" s="216"/>
      <c r="I385" s="216"/>
      <c r="J385" s="215"/>
      <c r="K385" s="217"/>
      <c r="L385" s="217"/>
      <c r="M385" s="217"/>
      <c r="N385" s="217"/>
      <c r="O385" s="217"/>
      <c r="P385" s="217"/>
    </row>
    <row r="386">
      <c r="A386" s="214"/>
      <c r="B386" s="214"/>
      <c r="C386" s="214"/>
      <c r="D386" s="214"/>
      <c r="E386" s="215"/>
      <c r="F386" s="216"/>
      <c r="G386" s="216"/>
      <c r="H386" s="216"/>
      <c r="I386" s="216"/>
      <c r="J386" s="215"/>
      <c r="K386" s="217"/>
      <c r="L386" s="217"/>
      <c r="M386" s="217"/>
      <c r="N386" s="217"/>
      <c r="O386" s="217"/>
      <c r="P386" s="217"/>
    </row>
    <row r="387">
      <c r="A387" s="214"/>
      <c r="B387" s="214"/>
      <c r="C387" s="214"/>
      <c r="D387" s="214"/>
      <c r="E387" s="215"/>
      <c r="F387" s="216"/>
      <c r="G387" s="216"/>
      <c r="H387" s="216"/>
      <c r="I387" s="216"/>
      <c r="J387" s="215"/>
      <c r="K387" s="217"/>
      <c r="L387" s="217"/>
      <c r="M387" s="217"/>
      <c r="N387" s="217"/>
      <c r="O387" s="217"/>
      <c r="P387" s="217"/>
    </row>
    <row r="388">
      <c r="A388" s="214"/>
      <c r="B388" s="214"/>
      <c r="C388" s="214"/>
      <c r="D388" s="214"/>
      <c r="E388" s="215"/>
      <c r="F388" s="216"/>
      <c r="G388" s="216"/>
      <c r="H388" s="216"/>
      <c r="I388" s="216"/>
      <c r="J388" s="215"/>
      <c r="K388" s="217"/>
      <c r="L388" s="217"/>
      <c r="M388" s="217"/>
      <c r="N388" s="217"/>
      <c r="O388" s="217"/>
      <c r="P388" s="217"/>
    </row>
    <row r="389">
      <c r="A389" s="214"/>
      <c r="B389" s="214"/>
      <c r="C389" s="214"/>
      <c r="D389" s="214"/>
      <c r="E389" s="215"/>
      <c r="F389" s="216"/>
      <c r="G389" s="216"/>
      <c r="H389" s="216"/>
      <c r="I389" s="216"/>
      <c r="J389" s="215"/>
      <c r="K389" s="217"/>
      <c r="L389" s="217"/>
      <c r="M389" s="217"/>
      <c r="N389" s="217"/>
      <c r="O389" s="217"/>
      <c r="P389" s="217"/>
    </row>
    <row r="390">
      <c r="A390" s="214"/>
      <c r="B390" s="214"/>
      <c r="C390" s="214"/>
      <c r="D390" s="214"/>
      <c r="E390" s="215"/>
      <c r="F390" s="216"/>
      <c r="G390" s="216"/>
      <c r="H390" s="216"/>
      <c r="I390" s="216"/>
      <c r="J390" s="215"/>
      <c r="K390" s="217"/>
      <c r="L390" s="217"/>
      <c r="M390" s="217"/>
      <c r="N390" s="217"/>
      <c r="O390" s="217"/>
      <c r="P390" s="217"/>
    </row>
    <row r="391">
      <c r="A391" s="214"/>
      <c r="B391" s="214"/>
      <c r="C391" s="214"/>
      <c r="D391" s="214"/>
      <c r="E391" s="215"/>
      <c r="F391" s="216"/>
      <c r="G391" s="216"/>
      <c r="H391" s="216"/>
      <c r="I391" s="216"/>
      <c r="J391" s="215"/>
      <c r="K391" s="217"/>
      <c r="L391" s="217"/>
      <c r="M391" s="217"/>
      <c r="N391" s="217"/>
      <c r="O391" s="217"/>
      <c r="P391" s="217"/>
    </row>
    <row r="392">
      <c r="A392" s="214"/>
      <c r="B392" s="214"/>
      <c r="C392" s="214"/>
      <c r="D392" s="214"/>
      <c r="E392" s="215"/>
      <c r="F392" s="216"/>
      <c r="G392" s="216"/>
      <c r="H392" s="216"/>
      <c r="I392" s="216"/>
      <c r="J392" s="215"/>
      <c r="K392" s="217"/>
      <c r="L392" s="217"/>
      <c r="M392" s="217"/>
      <c r="N392" s="217"/>
      <c r="O392" s="217"/>
      <c r="P392" s="217"/>
    </row>
    <row r="393">
      <c r="A393" s="214"/>
      <c r="B393" s="214"/>
      <c r="C393" s="214"/>
      <c r="D393" s="214"/>
      <c r="E393" s="215"/>
      <c r="F393" s="216"/>
      <c r="G393" s="216"/>
      <c r="H393" s="216"/>
      <c r="I393" s="216"/>
      <c r="J393" s="215"/>
      <c r="K393" s="217"/>
      <c r="L393" s="217"/>
      <c r="M393" s="217"/>
      <c r="N393" s="217"/>
      <c r="O393" s="217"/>
      <c r="P393" s="217"/>
    </row>
    <row r="394">
      <c r="A394" s="214"/>
      <c r="B394" s="214"/>
      <c r="C394" s="214"/>
      <c r="D394" s="214"/>
      <c r="E394" s="215"/>
      <c r="F394" s="216"/>
      <c r="G394" s="216"/>
      <c r="H394" s="216"/>
      <c r="I394" s="216"/>
      <c r="J394" s="215"/>
      <c r="K394" s="217"/>
      <c r="L394" s="217"/>
      <c r="M394" s="217"/>
      <c r="N394" s="217"/>
      <c r="O394" s="217"/>
      <c r="P394" s="217"/>
    </row>
    <row r="395">
      <c r="A395" s="214"/>
      <c r="B395" s="214"/>
      <c r="C395" s="214"/>
      <c r="D395" s="214"/>
      <c r="E395" s="215"/>
      <c r="F395" s="216"/>
      <c r="G395" s="216"/>
      <c r="H395" s="216"/>
      <c r="I395" s="216"/>
      <c r="J395" s="215"/>
      <c r="K395" s="217"/>
      <c r="L395" s="217"/>
      <c r="M395" s="217"/>
      <c r="N395" s="217"/>
      <c r="O395" s="217"/>
      <c r="P395" s="217"/>
    </row>
    <row r="396">
      <c r="A396" s="214"/>
      <c r="B396" s="214"/>
      <c r="C396" s="214"/>
      <c r="D396" s="214"/>
      <c r="E396" s="215"/>
      <c r="F396" s="216"/>
      <c r="G396" s="216"/>
      <c r="H396" s="216"/>
      <c r="I396" s="216"/>
      <c r="J396" s="215"/>
      <c r="K396" s="217"/>
      <c r="L396" s="217"/>
      <c r="M396" s="217"/>
      <c r="N396" s="217"/>
      <c r="O396" s="217"/>
      <c r="P396" s="217"/>
    </row>
    <row r="397">
      <c r="A397" s="214"/>
      <c r="B397" s="214"/>
      <c r="C397" s="214"/>
      <c r="D397" s="214"/>
      <c r="E397" s="215"/>
      <c r="F397" s="216"/>
      <c r="G397" s="216"/>
      <c r="H397" s="216"/>
      <c r="I397" s="216"/>
      <c r="J397" s="215"/>
      <c r="K397" s="217"/>
      <c r="L397" s="217"/>
      <c r="M397" s="217"/>
      <c r="N397" s="217"/>
      <c r="O397" s="217"/>
      <c r="P397" s="217"/>
    </row>
    <row r="398">
      <c r="A398" s="214"/>
      <c r="B398" s="214"/>
      <c r="C398" s="214"/>
      <c r="D398" s="214"/>
      <c r="E398" s="215"/>
      <c r="F398" s="216"/>
      <c r="G398" s="216"/>
      <c r="H398" s="216"/>
      <c r="I398" s="216"/>
      <c r="J398" s="215"/>
      <c r="K398" s="217"/>
      <c r="L398" s="217"/>
      <c r="M398" s="217"/>
      <c r="N398" s="217"/>
      <c r="O398" s="217"/>
      <c r="P398" s="217"/>
    </row>
    <row r="399">
      <c r="A399" s="214"/>
      <c r="B399" s="214"/>
      <c r="C399" s="214"/>
      <c r="D399" s="214"/>
      <c r="E399" s="215"/>
      <c r="F399" s="216"/>
      <c r="G399" s="216"/>
      <c r="H399" s="216"/>
      <c r="I399" s="216"/>
      <c r="J399" s="215"/>
      <c r="K399" s="217"/>
      <c r="L399" s="217"/>
      <c r="M399" s="217"/>
      <c r="N399" s="217"/>
      <c r="O399" s="217"/>
      <c r="P399" s="217"/>
    </row>
    <row r="400">
      <c r="A400" s="214"/>
      <c r="B400" s="214"/>
      <c r="C400" s="214"/>
      <c r="D400" s="214"/>
      <c r="E400" s="215"/>
      <c r="F400" s="216"/>
      <c r="G400" s="216"/>
      <c r="H400" s="216"/>
      <c r="I400" s="216"/>
      <c r="J400" s="215"/>
      <c r="K400" s="217"/>
      <c r="L400" s="217"/>
      <c r="M400" s="217"/>
      <c r="N400" s="217"/>
      <c r="O400" s="217"/>
      <c r="P400" s="217"/>
    </row>
    <row r="401">
      <c r="A401" s="214"/>
      <c r="B401" s="214"/>
      <c r="C401" s="214"/>
      <c r="D401" s="214"/>
      <c r="E401" s="215"/>
      <c r="F401" s="216"/>
      <c r="G401" s="216"/>
      <c r="H401" s="216"/>
      <c r="I401" s="216"/>
      <c r="J401" s="215"/>
      <c r="K401" s="217"/>
      <c r="L401" s="217"/>
      <c r="M401" s="217"/>
      <c r="N401" s="217"/>
      <c r="O401" s="217"/>
      <c r="P401" s="217"/>
    </row>
    <row r="402">
      <c r="A402" s="214"/>
      <c r="B402" s="214"/>
      <c r="C402" s="214"/>
      <c r="D402" s="214"/>
      <c r="E402" s="215"/>
      <c r="F402" s="216"/>
      <c r="G402" s="216"/>
      <c r="H402" s="216"/>
      <c r="I402" s="216"/>
      <c r="J402" s="215"/>
      <c r="K402" s="217"/>
      <c r="L402" s="217"/>
      <c r="M402" s="217"/>
      <c r="N402" s="217"/>
      <c r="O402" s="217"/>
      <c r="P402" s="217"/>
    </row>
    <row r="403">
      <c r="A403" s="214"/>
      <c r="B403" s="214"/>
      <c r="C403" s="214"/>
      <c r="D403" s="214"/>
      <c r="E403" s="215"/>
      <c r="F403" s="216"/>
      <c r="G403" s="216"/>
      <c r="H403" s="216"/>
      <c r="I403" s="216"/>
      <c r="J403" s="215"/>
      <c r="K403" s="217"/>
      <c r="L403" s="217"/>
      <c r="M403" s="217"/>
      <c r="N403" s="217"/>
      <c r="O403" s="217"/>
      <c r="P403" s="217"/>
    </row>
    <row r="404">
      <c r="A404" s="214"/>
      <c r="B404" s="214"/>
      <c r="C404" s="214"/>
      <c r="D404" s="214"/>
      <c r="E404" s="215"/>
      <c r="F404" s="216"/>
      <c r="G404" s="216"/>
      <c r="H404" s="216"/>
      <c r="I404" s="216"/>
      <c r="J404" s="215"/>
      <c r="K404" s="217"/>
      <c r="L404" s="217"/>
      <c r="M404" s="217"/>
      <c r="N404" s="217"/>
      <c r="O404" s="217"/>
      <c r="P404" s="217"/>
    </row>
    <row r="405">
      <c r="A405" s="214"/>
      <c r="B405" s="214"/>
      <c r="C405" s="214"/>
      <c r="D405" s="214"/>
      <c r="E405" s="215"/>
      <c r="F405" s="216"/>
      <c r="G405" s="216"/>
      <c r="H405" s="216"/>
      <c r="I405" s="216"/>
      <c r="J405" s="215"/>
      <c r="K405" s="217"/>
      <c r="L405" s="217"/>
      <c r="M405" s="217"/>
      <c r="N405" s="217"/>
      <c r="O405" s="217"/>
      <c r="P405" s="217"/>
    </row>
    <row r="406">
      <c r="A406" s="214"/>
      <c r="B406" s="214"/>
      <c r="C406" s="214"/>
      <c r="D406" s="214"/>
      <c r="E406" s="215"/>
      <c r="F406" s="216"/>
      <c r="G406" s="216"/>
      <c r="H406" s="216"/>
      <c r="I406" s="216"/>
      <c r="J406" s="215"/>
      <c r="K406" s="217"/>
      <c r="L406" s="217"/>
      <c r="M406" s="217"/>
      <c r="N406" s="217"/>
      <c r="O406" s="217"/>
      <c r="P406" s="217"/>
    </row>
    <row r="407">
      <c r="A407" s="214"/>
      <c r="B407" s="214"/>
      <c r="C407" s="214"/>
      <c r="D407" s="214"/>
      <c r="E407" s="215"/>
      <c r="F407" s="216"/>
      <c r="G407" s="216"/>
      <c r="H407" s="216"/>
      <c r="I407" s="216"/>
      <c r="J407" s="215"/>
      <c r="K407" s="217"/>
      <c r="L407" s="217"/>
      <c r="M407" s="217"/>
      <c r="N407" s="217"/>
      <c r="O407" s="217"/>
      <c r="P407" s="217"/>
    </row>
    <row r="408">
      <c r="A408" s="214"/>
      <c r="B408" s="214"/>
      <c r="C408" s="214"/>
      <c r="D408" s="214"/>
      <c r="E408" s="215"/>
      <c r="F408" s="216"/>
      <c r="G408" s="216"/>
      <c r="H408" s="216"/>
      <c r="I408" s="216"/>
      <c r="J408" s="215"/>
      <c r="K408" s="217"/>
      <c r="L408" s="217"/>
      <c r="M408" s="217"/>
      <c r="N408" s="217"/>
      <c r="O408" s="217"/>
      <c r="P408" s="217"/>
    </row>
    <row r="409">
      <c r="A409" s="214"/>
      <c r="B409" s="214"/>
      <c r="C409" s="214"/>
      <c r="D409" s="214"/>
      <c r="E409" s="215"/>
      <c r="F409" s="216"/>
      <c r="G409" s="216"/>
      <c r="H409" s="216"/>
      <c r="I409" s="216"/>
      <c r="J409" s="215"/>
      <c r="K409" s="217"/>
      <c r="L409" s="217"/>
      <c r="M409" s="217"/>
      <c r="N409" s="217"/>
      <c r="O409" s="217"/>
      <c r="P409" s="217"/>
    </row>
    <row r="410">
      <c r="A410" s="214"/>
      <c r="B410" s="214"/>
      <c r="C410" s="214"/>
      <c r="D410" s="214"/>
      <c r="E410" s="215"/>
      <c r="F410" s="216"/>
      <c r="G410" s="216"/>
      <c r="H410" s="216"/>
      <c r="I410" s="216"/>
      <c r="J410" s="215"/>
      <c r="K410" s="217"/>
      <c r="L410" s="217"/>
      <c r="M410" s="217"/>
      <c r="N410" s="217"/>
      <c r="O410" s="217"/>
      <c r="P410" s="217"/>
    </row>
    <row r="411">
      <c r="A411" s="214"/>
      <c r="B411" s="214"/>
      <c r="C411" s="214"/>
      <c r="D411" s="214"/>
      <c r="E411" s="215"/>
      <c r="F411" s="216"/>
      <c r="G411" s="216"/>
      <c r="H411" s="216"/>
      <c r="I411" s="216"/>
      <c r="J411" s="215"/>
      <c r="K411" s="217"/>
      <c r="L411" s="217"/>
      <c r="M411" s="217"/>
      <c r="N411" s="217"/>
      <c r="O411" s="217"/>
      <c r="P411" s="217"/>
    </row>
    <row r="412">
      <c r="A412" s="214"/>
      <c r="B412" s="214"/>
      <c r="C412" s="214"/>
      <c r="D412" s="214"/>
      <c r="E412" s="215"/>
      <c r="F412" s="216"/>
      <c r="G412" s="216"/>
      <c r="H412" s="216"/>
      <c r="I412" s="216"/>
      <c r="J412" s="215"/>
      <c r="K412" s="217"/>
      <c r="L412" s="217"/>
      <c r="M412" s="217"/>
      <c r="N412" s="217"/>
      <c r="O412" s="217"/>
      <c r="P412" s="217"/>
    </row>
    <row r="413">
      <c r="A413" s="214"/>
      <c r="B413" s="214"/>
      <c r="C413" s="214"/>
      <c r="D413" s="214"/>
      <c r="E413" s="215"/>
      <c r="F413" s="216"/>
      <c r="G413" s="216"/>
      <c r="H413" s="216"/>
      <c r="I413" s="216"/>
      <c r="J413" s="215"/>
      <c r="K413" s="217"/>
      <c r="L413" s="217"/>
      <c r="M413" s="217"/>
      <c r="N413" s="217"/>
      <c r="O413" s="217"/>
      <c r="P413" s="217"/>
    </row>
    <row r="414">
      <c r="A414" s="214"/>
      <c r="B414" s="214"/>
      <c r="C414" s="214"/>
      <c r="D414" s="214"/>
      <c r="E414" s="215"/>
      <c r="F414" s="216"/>
      <c r="G414" s="216"/>
      <c r="H414" s="216"/>
      <c r="I414" s="216"/>
      <c r="J414" s="215"/>
      <c r="K414" s="217"/>
      <c r="L414" s="217"/>
      <c r="M414" s="217"/>
      <c r="N414" s="217"/>
      <c r="O414" s="217"/>
      <c r="P414" s="217"/>
    </row>
    <row r="415">
      <c r="A415" s="214"/>
      <c r="B415" s="214"/>
      <c r="C415" s="214"/>
      <c r="D415" s="214"/>
      <c r="E415" s="215"/>
      <c r="F415" s="216"/>
      <c r="G415" s="216"/>
      <c r="H415" s="216"/>
      <c r="I415" s="216"/>
      <c r="J415" s="215"/>
      <c r="K415" s="217"/>
      <c r="L415" s="217"/>
      <c r="M415" s="217"/>
      <c r="N415" s="217"/>
      <c r="O415" s="217"/>
      <c r="P415" s="217"/>
    </row>
    <row r="416">
      <c r="A416" s="214"/>
      <c r="B416" s="214"/>
      <c r="C416" s="214"/>
      <c r="D416" s="214"/>
      <c r="E416" s="215"/>
      <c r="F416" s="216"/>
      <c r="G416" s="216"/>
      <c r="H416" s="216"/>
      <c r="I416" s="216"/>
      <c r="J416" s="215"/>
      <c r="K416" s="217"/>
      <c r="L416" s="217"/>
      <c r="M416" s="217"/>
      <c r="N416" s="217"/>
      <c r="O416" s="217"/>
      <c r="P416" s="217"/>
    </row>
    <row r="417">
      <c r="A417" s="214"/>
      <c r="B417" s="214"/>
      <c r="C417" s="214"/>
      <c r="D417" s="214"/>
      <c r="E417" s="215"/>
      <c r="F417" s="216"/>
      <c r="G417" s="216"/>
      <c r="H417" s="216"/>
      <c r="I417" s="216"/>
      <c r="J417" s="215"/>
      <c r="K417" s="217"/>
      <c r="L417" s="217"/>
      <c r="M417" s="217"/>
      <c r="N417" s="217"/>
      <c r="O417" s="217"/>
      <c r="P417" s="217"/>
    </row>
    <row r="418">
      <c r="A418" s="214"/>
      <c r="B418" s="214"/>
      <c r="C418" s="214"/>
      <c r="D418" s="214"/>
      <c r="E418" s="215"/>
      <c r="F418" s="216"/>
      <c r="G418" s="216"/>
      <c r="H418" s="216"/>
      <c r="I418" s="216"/>
      <c r="J418" s="215"/>
      <c r="K418" s="217"/>
      <c r="L418" s="217"/>
      <c r="M418" s="217"/>
      <c r="N418" s="217"/>
      <c r="O418" s="217"/>
      <c r="P418" s="217"/>
    </row>
    <row r="419">
      <c r="A419" s="214"/>
      <c r="B419" s="214"/>
      <c r="C419" s="214"/>
      <c r="D419" s="214"/>
      <c r="E419" s="215"/>
      <c r="F419" s="216"/>
      <c r="G419" s="216"/>
      <c r="H419" s="216"/>
      <c r="I419" s="216"/>
      <c r="J419" s="215"/>
      <c r="K419" s="217"/>
      <c r="L419" s="217"/>
      <c r="M419" s="217"/>
      <c r="N419" s="217"/>
      <c r="O419" s="217"/>
      <c r="P419" s="217"/>
    </row>
    <row r="420">
      <c r="A420" s="214"/>
      <c r="B420" s="214"/>
      <c r="C420" s="214"/>
      <c r="D420" s="214"/>
      <c r="E420" s="215"/>
      <c r="F420" s="216"/>
      <c r="G420" s="216"/>
      <c r="H420" s="216"/>
      <c r="I420" s="216"/>
      <c r="J420" s="215"/>
      <c r="K420" s="217"/>
      <c r="L420" s="217"/>
      <c r="M420" s="217"/>
      <c r="N420" s="217"/>
      <c r="O420" s="217"/>
      <c r="P420" s="217"/>
    </row>
    <row r="421">
      <c r="A421" s="214"/>
      <c r="B421" s="214"/>
      <c r="C421" s="214"/>
      <c r="D421" s="214"/>
      <c r="E421" s="215"/>
      <c r="F421" s="216"/>
      <c r="G421" s="216"/>
      <c r="H421" s="216"/>
      <c r="I421" s="216"/>
      <c r="J421" s="215"/>
      <c r="K421" s="217"/>
      <c r="L421" s="217"/>
      <c r="M421" s="217"/>
      <c r="N421" s="217"/>
      <c r="O421" s="217"/>
      <c r="P421" s="217"/>
    </row>
    <row r="422">
      <c r="A422" s="214"/>
      <c r="B422" s="214"/>
      <c r="C422" s="214"/>
      <c r="D422" s="214"/>
      <c r="E422" s="215"/>
      <c r="F422" s="216"/>
      <c r="G422" s="216"/>
      <c r="H422" s="216"/>
      <c r="I422" s="216"/>
      <c r="J422" s="215"/>
      <c r="K422" s="217"/>
      <c r="L422" s="217"/>
      <c r="M422" s="217"/>
      <c r="N422" s="217"/>
      <c r="O422" s="217"/>
      <c r="P422" s="217"/>
    </row>
    <row r="423">
      <c r="A423" s="214"/>
      <c r="B423" s="214"/>
      <c r="C423" s="214"/>
      <c r="D423" s="214"/>
      <c r="E423" s="215"/>
      <c r="F423" s="216"/>
      <c r="G423" s="216"/>
      <c r="H423" s="216"/>
      <c r="I423" s="216"/>
      <c r="J423" s="215"/>
      <c r="K423" s="217"/>
      <c r="L423" s="217"/>
      <c r="M423" s="217"/>
      <c r="N423" s="217"/>
      <c r="O423" s="217"/>
      <c r="P423" s="217"/>
    </row>
    <row r="424">
      <c r="A424" s="214"/>
      <c r="B424" s="214"/>
      <c r="C424" s="214"/>
      <c r="D424" s="214"/>
      <c r="E424" s="215"/>
      <c r="F424" s="216"/>
      <c r="G424" s="216"/>
      <c r="H424" s="216"/>
      <c r="I424" s="216"/>
      <c r="J424" s="215"/>
      <c r="K424" s="217"/>
      <c r="L424" s="217"/>
      <c r="M424" s="217"/>
      <c r="N424" s="217"/>
      <c r="O424" s="217"/>
      <c r="P424" s="217"/>
    </row>
    <row r="425">
      <c r="A425" s="214"/>
      <c r="B425" s="214"/>
      <c r="C425" s="214"/>
      <c r="D425" s="214"/>
      <c r="E425" s="215"/>
      <c r="F425" s="216"/>
      <c r="G425" s="216"/>
      <c r="H425" s="216"/>
      <c r="I425" s="216"/>
      <c r="J425" s="215"/>
      <c r="K425" s="217"/>
      <c r="L425" s="217"/>
      <c r="M425" s="217"/>
      <c r="N425" s="217"/>
      <c r="O425" s="217"/>
      <c r="P425" s="217"/>
    </row>
    <row r="426">
      <c r="A426" s="214"/>
      <c r="B426" s="214"/>
      <c r="C426" s="214"/>
      <c r="D426" s="214"/>
      <c r="E426" s="215"/>
      <c r="F426" s="216"/>
      <c r="G426" s="216"/>
      <c r="H426" s="216"/>
      <c r="I426" s="216"/>
      <c r="J426" s="215"/>
      <c r="K426" s="217"/>
      <c r="L426" s="217"/>
      <c r="M426" s="217"/>
      <c r="N426" s="217"/>
      <c r="O426" s="217"/>
      <c r="P426" s="217"/>
    </row>
    <row r="427">
      <c r="A427" s="214"/>
      <c r="B427" s="214"/>
      <c r="C427" s="214"/>
      <c r="D427" s="214"/>
      <c r="E427" s="215"/>
      <c r="F427" s="216"/>
      <c r="G427" s="216"/>
      <c r="H427" s="216"/>
      <c r="I427" s="216"/>
      <c r="J427" s="215"/>
      <c r="K427" s="217"/>
      <c r="L427" s="217"/>
      <c r="M427" s="217"/>
      <c r="N427" s="217"/>
      <c r="O427" s="217"/>
      <c r="P427" s="217"/>
    </row>
    <row r="428">
      <c r="A428" s="214"/>
      <c r="B428" s="214"/>
      <c r="C428" s="214"/>
      <c r="D428" s="214"/>
      <c r="E428" s="215"/>
      <c r="F428" s="216"/>
      <c r="G428" s="216"/>
      <c r="H428" s="216"/>
      <c r="I428" s="216"/>
      <c r="J428" s="215"/>
      <c r="K428" s="217"/>
      <c r="L428" s="217"/>
      <c r="M428" s="217"/>
      <c r="N428" s="217"/>
      <c r="O428" s="217"/>
      <c r="P428" s="217"/>
    </row>
    <row r="429">
      <c r="A429" s="214"/>
      <c r="B429" s="214"/>
      <c r="C429" s="214"/>
      <c r="D429" s="214"/>
      <c r="E429" s="215"/>
      <c r="F429" s="216"/>
      <c r="G429" s="216"/>
      <c r="H429" s="216"/>
      <c r="I429" s="216"/>
      <c r="J429" s="215"/>
      <c r="K429" s="217"/>
      <c r="L429" s="217"/>
      <c r="M429" s="217"/>
      <c r="N429" s="217"/>
      <c r="O429" s="217"/>
      <c r="P429" s="217"/>
    </row>
    <row r="430">
      <c r="A430" s="214"/>
      <c r="B430" s="214"/>
      <c r="C430" s="214"/>
      <c r="D430" s="214"/>
      <c r="E430" s="215"/>
      <c r="F430" s="216"/>
      <c r="G430" s="216"/>
      <c r="H430" s="216"/>
      <c r="I430" s="216"/>
      <c r="J430" s="215"/>
      <c r="K430" s="217"/>
      <c r="L430" s="217"/>
      <c r="M430" s="217"/>
      <c r="N430" s="217"/>
      <c r="O430" s="217"/>
      <c r="P430" s="217"/>
    </row>
    <row r="431">
      <c r="A431" s="214"/>
      <c r="B431" s="214"/>
      <c r="C431" s="214"/>
      <c r="D431" s="214"/>
      <c r="E431" s="215"/>
      <c r="F431" s="216"/>
      <c r="G431" s="216"/>
      <c r="H431" s="216"/>
      <c r="I431" s="216"/>
      <c r="J431" s="215"/>
      <c r="K431" s="217"/>
      <c r="L431" s="217"/>
      <c r="M431" s="217"/>
      <c r="N431" s="217"/>
      <c r="O431" s="217"/>
      <c r="P431" s="217"/>
    </row>
    <row r="432">
      <c r="A432" s="214"/>
      <c r="B432" s="214"/>
      <c r="C432" s="214"/>
      <c r="D432" s="214"/>
      <c r="E432" s="215"/>
      <c r="F432" s="216"/>
      <c r="G432" s="216"/>
      <c r="H432" s="216"/>
      <c r="I432" s="216"/>
      <c r="J432" s="215"/>
      <c r="K432" s="217"/>
      <c r="L432" s="217"/>
      <c r="M432" s="217"/>
      <c r="N432" s="217"/>
      <c r="O432" s="217"/>
      <c r="P432" s="217"/>
    </row>
    <row r="433">
      <c r="A433" s="214"/>
      <c r="B433" s="214"/>
      <c r="C433" s="214"/>
      <c r="D433" s="214"/>
      <c r="E433" s="215"/>
      <c r="F433" s="216"/>
      <c r="G433" s="216"/>
      <c r="H433" s="216"/>
      <c r="I433" s="216"/>
      <c r="J433" s="215"/>
      <c r="K433" s="217"/>
      <c r="L433" s="217"/>
      <c r="M433" s="217"/>
      <c r="N433" s="217"/>
      <c r="O433" s="217"/>
      <c r="P433" s="217"/>
    </row>
    <row r="434">
      <c r="A434" s="214"/>
      <c r="B434" s="214"/>
      <c r="C434" s="214"/>
      <c r="D434" s="214"/>
      <c r="E434" s="215"/>
      <c r="F434" s="216"/>
      <c r="G434" s="216"/>
      <c r="H434" s="216"/>
      <c r="I434" s="216"/>
      <c r="J434" s="215"/>
      <c r="K434" s="217"/>
      <c r="L434" s="217"/>
      <c r="M434" s="217"/>
      <c r="N434" s="217"/>
      <c r="O434" s="217"/>
      <c r="P434" s="217"/>
    </row>
    <row r="435">
      <c r="A435" s="214"/>
      <c r="B435" s="214"/>
      <c r="C435" s="214"/>
      <c r="D435" s="214"/>
      <c r="E435" s="215"/>
      <c r="F435" s="216"/>
      <c r="G435" s="216"/>
      <c r="H435" s="216"/>
      <c r="I435" s="216"/>
      <c r="J435" s="215"/>
      <c r="K435" s="217"/>
      <c r="L435" s="217"/>
      <c r="M435" s="217"/>
      <c r="N435" s="217"/>
      <c r="O435" s="217"/>
      <c r="P435" s="217"/>
    </row>
    <row r="436">
      <c r="A436" s="214"/>
      <c r="B436" s="214"/>
      <c r="C436" s="214"/>
      <c r="D436" s="214"/>
      <c r="E436" s="215"/>
      <c r="F436" s="216"/>
      <c r="G436" s="216"/>
      <c r="H436" s="216"/>
      <c r="I436" s="216"/>
      <c r="J436" s="215"/>
      <c r="K436" s="217"/>
      <c r="L436" s="217"/>
      <c r="M436" s="217"/>
      <c r="N436" s="217"/>
      <c r="O436" s="217"/>
      <c r="P436" s="217"/>
    </row>
    <row r="437">
      <c r="A437" s="214"/>
      <c r="B437" s="214"/>
      <c r="C437" s="214"/>
      <c r="D437" s="214"/>
      <c r="E437" s="215"/>
      <c r="F437" s="216"/>
      <c r="G437" s="216"/>
      <c r="H437" s="216"/>
      <c r="I437" s="216"/>
      <c r="J437" s="215"/>
      <c r="K437" s="217"/>
      <c r="L437" s="217"/>
      <c r="M437" s="217"/>
      <c r="N437" s="217"/>
      <c r="O437" s="217"/>
      <c r="P437" s="217"/>
    </row>
    <row r="438">
      <c r="A438" s="214"/>
      <c r="B438" s="214"/>
      <c r="C438" s="214"/>
      <c r="D438" s="214"/>
      <c r="E438" s="215"/>
      <c r="F438" s="216"/>
      <c r="G438" s="216"/>
      <c r="H438" s="216"/>
      <c r="I438" s="216"/>
      <c r="J438" s="215"/>
      <c r="K438" s="217"/>
      <c r="L438" s="217"/>
      <c r="M438" s="217"/>
      <c r="N438" s="217"/>
      <c r="O438" s="217"/>
      <c r="P438" s="217"/>
    </row>
    <row r="439">
      <c r="A439" s="214"/>
      <c r="B439" s="214"/>
      <c r="C439" s="214"/>
      <c r="D439" s="214"/>
      <c r="E439" s="215"/>
      <c r="F439" s="216"/>
      <c r="G439" s="216"/>
      <c r="H439" s="216"/>
      <c r="I439" s="216"/>
      <c r="J439" s="215"/>
      <c r="K439" s="217"/>
      <c r="L439" s="217"/>
      <c r="M439" s="217"/>
      <c r="N439" s="217"/>
      <c r="O439" s="217"/>
      <c r="P439" s="217"/>
    </row>
    <row r="440">
      <c r="A440" s="214"/>
      <c r="B440" s="214"/>
      <c r="C440" s="214"/>
      <c r="D440" s="214"/>
      <c r="E440" s="215"/>
      <c r="F440" s="216"/>
      <c r="G440" s="216"/>
      <c r="H440" s="216"/>
      <c r="I440" s="216"/>
      <c r="J440" s="215"/>
      <c r="K440" s="217"/>
      <c r="L440" s="217"/>
      <c r="M440" s="217"/>
      <c r="N440" s="217"/>
      <c r="O440" s="217"/>
      <c r="P440" s="217"/>
    </row>
    <row r="441">
      <c r="A441" s="214"/>
      <c r="B441" s="214"/>
      <c r="C441" s="214"/>
      <c r="D441" s="214"/>
      <c r="E441" s="215"/>
      <c r="F441" s="216"/>
      <c r="G441" s="216"/>
      <c r="H441" s="216"/>
      <c r="I441" s="216"/>
      <c r="J441" s="215"/>
      <c r="K441" s="217"/>
      <c r="L441" s="217"/>
      <c r="M441" s="217"/>
      <c r="N441" s="217"/>
      <c r="O441" s="217"/>
      <c r="P441" s="217"/>
    </row>
    <row r="442">
      <c r="A442" s="214"/>
      <c r="B442" s="214"/>
      <c r="C442" s="214"/>
      <c r="D442" s="214"/>
      <c r="E442" s="215"/>
      <c r="F442" s="216"/>
      <c r="G442" s="216"/>
      <c r="H442" s="216"/>
      <c r="I442" s="216"/>
      <c r="J442" s="215"/>
      <c r="K442" s="217"/>
      <c r="L442" s="217"/>
      <c r="M442" s="217"/>
      <c r="N442" s="217"/>
      <c r="O442" s="217"/>
      <c r="P442" s="217"/>
    </row>
    <row r="443">
      <c r="A443" s="214"/>
      <c r="B443" s="214"/>
      <c r="C443" s="214"/>
      <c r="D443" s="214"/>
      <c r="E443" s="215"/>
      <c r="F443" s="216"/>
      <c r="G443" s="216"/>
      <c r="H443" s="216"/>
      <c r="I443" s="216"/>
      <c r="J443" s="215"/>
      <c r="K443" s="217"/>
      <c r="L443" s="217"/>
      <c r="M443" s="217"/>
      <c r="N443" s="217"/>
      <c r="O443" s="217"/>
      <c r="P443" s="217"/>
    </row>
    <row r="444">
      <c r="A444" s="214"/>
      <c r="B444" s="214"/>
      <c r="C444" s="214"/>
      <c r="D444" s="214"/>
      <c r="E444" s="215"/>
      <c r="F444" s="216"/>
      <c r="G444" s="216"/>
      <c r="H444" s="216"/>
      <c r="I444" s="216"/>
      <c r="J444" s="215"/>
      <c r="K444" s="217"/>
      <c r="L444" s="217"/>
      <c r="M444" s="217"/>
      <c r="N444" s="217"/>
      <c r="O444" s="217"/>
      <c r="P444" s="217"/>
    </row>
    <row r="445">
      <c r="A445" s="214"/>
      <c r="B445" s="214"/>
      <c r="C445" s="214"/>
      <c r="D445" s="214"/>
      <c r="E445" s="215"/>
      <c r="F445" s="216"/>
      <c r="G445" s="216"/>
      <c r="H445" s="216"/>
      <c r="I445" s="216"/>
      <c r="J445" s="215"/>
      <c r="K445" s="217"/>
      <c r="L445" s="217"/>
      <c r="M445" s="217"/>
      <c r="N445" s="217"/>
      <c r="O445" s="217"/>
      <c r="P445" s="217"/>
    </row>
    <row r="446">
      <c r="A446" s="214"/>
      <c r="B446" s="214"/>
      <c r="C446" s="214"/>
      <c r="D446" s="214"/>
      <c r="E446" s="215"/>
      <c r="F446" s="216"/>
      <c r="G446" s="216"/>
      <c r="H446" s="216"/>
      <c r="I446" s="216"/>
      <c r="J446" s="215"/>
      <c r="K446" s="217"/>
      <c r="L446" s="217"/>
      <c r="M446" s="217"/>
      <c r="N446" s="217"/>
      <c r="O446" s="217"/>
      <c r="P446" s="217"/>
    </row>
    <row r="447">
      <c r="A447" s="214"/>
      <c r="B447" s="214"/>
      <c r="C447" s="214"/>
      <c r="D447" s="214"/>
      <c r="E447" s="215"/>
      <c r="F447" s="216"/>
      <c r="G447" s="216"/>
      <c r="H447" s="216"/>
      <c r="I447" s="216"/>
      <c r="J447" s="215"/>
      <c r="K447" s="217"/>
      <c r="L447" s="217"/>
      <c r="M447" s="217"/>
      <c r="N447" s="217"/>
      <c r="O447" s="217"/>
      <c r="P447" s="217"/>
    </row>
    <row r="448">
      <c r="A448" s="214"/>
      <c r="B448" s="214"/>
      <c r="C448" s="214"/>
      <c r="D448" s="214"/>
      <c r="E448" s="215"/>
      <c r="F448" s="216"/>
      <c r="G448" s="216"/>
      <c r="H448" s="216"/>
      <c r="I448" s="216"/>
      <c r="J448" s="215"/>
      <c r="K448" s="217"/>
      <c r="L448" s="217"/>
      <c r="M448" s="217"/>
      <c r="N448" s="217"/>
      <c r="O448" s="217"/>
      <c r="P448" s="217"/>
    </row>
    <row r="449">
      <c r="A449" s="214"/>
      <c r="B449" s="214"/>
      <c r="C449" s="214"/>
      <c r="D449" s="214"/>
      <c r="E449" s="215"/>
      <c r="F449" s="216"/>
      <c r="G449" s="216"/>
      <c r="H449" s="216"/>
      <c r="I449" s="216"/>
      <c r="J449" s="215"/>
      <c r="K449" s="217"/>
      <c r="L449" s="217"/>
      <c r="M449" s="217"/>
      <c r="N449" s="217"/>
      <c r="O449" s="217"/>
      <c r="P449" s="217"/>
    </row>
    <row r="450">
      <c r="A450" s="214"/>
      <c r="B450" s="214"/>
      <c r="C450" s="214"/>
      <c r="D450" s="214"/>
      <c r="E450" s="215"/>
      <c r="F450" s="216"/>
      <c r="G450" s="216"/>
      <c r="H450" s="216"/>
      <c r="I450" s="216"/>
      <c r="J450" s="215"/>
      <c r="K450" s="217"/>
      <c r="L450" s="217"/>
      <c r="M450" s="217"/>
      <c r="N450" s="217"/>
      <c r="O450" s="217"/>
      <c r="P450" s="217"/>
    </row>
    <row r="451">
      <c r="A451" s="214"/>
      <c r="B451" s="214"/>
      <c r="C451" s="214"/>
      <c r="D451" s="214"/>
      <c r="E451" s="215"/>
      <c r="F451" s="216"/>
      <c r="G451" s="216"/>
      <c r="H451" s="216"/>
      <c r="I451" s="216"/>
      <c r="J451" s="215"/>
      <c r="K451" s="217"/>
      <c r="L451" s="217"/>
      <c r="M451" s="217"/>
      <c r="N451" s="217"/>
      <c r="O451" s="217"/>
      <c r="P451" s="217"/>
    </row>
    <row r="452">
      <c r="A452" s="214"/>
      <c r="B452" s="214"/>
      <c r="C452" s="214"/>
      <c r="D452" s="214"/>
      <c r="E452" s="215"/>
      <c r="F452" s="216"/>
      <c r="G452" s="216"/>
      <c r="H452" s="216"/>
      <c r="I452" s="216"/>
      <c r="J452" s="215"/>
      <c r="K452" s="217"/>
      <c r="L452" s="217"/>
      <c r="M452" s="217"/>
      <c r="N452" s="217"/>
      <c r="O452" s="217"/>
      <c r="P452" s="217"/>
    </row>
    <row r="453">
      <c r="A453" s="214"/>
      <c r="B453" s="214"/>
      <c r="C453" s="214"/>
      <c r="D453" s="214"/>
      <c r="E453" s="215"/>
      <c r="F453" s="216"/>
      <c r="G453" s="216"/>
      <c r="H453" s="216"/>
      <c r="I453" s="216"/>
      <c r="J453" s="215"/>
      <c r="K453" s="217"/>
      <c r="L453" s="217"/>
      <c r="M453" s="217"/>
      <c r="N453" s="217"/>
      <c r="O453" s="217"/>
      <c r="P453" s="217"/>
    </row>
    <row r="454">
      <c r="A454" s="214"/>
      <c r="B454" s="214"/>
      <c r="C454" s="214"/>
      <c r="D454" s="214"/>
      <c r="E454" s="215"/>
      <c r="F454" s="216"/>
      <c r="G454" s="216"/>
      <c r="H454" s="216"/>
      <c r="I454" s="216"/>
      <c r="J454" s="215"/>
      <c r="K454" s="217"/>
      <c r="L454" s="217"/>
      <c r="M454" s="217"/>
      <c r="N454" s="217"/>
      <c r="O454" s="217"/>
      <c r="P454" s="217"/>
    </row>
    <row r="455">
      <c r="A455" s="214"/>
      <c r="B455" s="214"/>
      <c r="C455" s="214"/>
      <c r="D455" s="214"/>
      <c r="E455" s="215"/>
      <c r="F455" s="216"/>
      <c r="G455" s="216"/>
      <c r="H455" s="216"/>
      <c r="I455" s="216"/>
      <c r="J455" s="215"/>
      <c r="K455" s="217"/>
      <c r="L455" s="217"/>
      <c r="M455" s="217"/>
      <c r="N455" s="217"/>
      <c r="O455" s="217"/>
      <c r="P455" s="217"/>
    </row>
    <row r="456">
      <c r="A456" s="214"/>
      <c r="B456" s="214"/>
      <c r="C456" s="214"/>
      <c r="D456" s="214"/>
      <c r="E456" s="215"/>
      <c r="F456" s="216"/>
      <c r="G456" s="216"/>
      <c r="H456" s="216"/>
      <c r="I456" s="216"/>
      <c r="J456" s="215"/>
      <c r="K456" s="217"/>
      <c r="L456" s="217"/>
      <c r="M456" s="217"/>
      <c r="N456" s="217"/>
      <c r="O456" s="217"/>
      <c r="P456" s="217"/>
    </row>
    <row r="457">
      <c r="A457" s="214"/>
      <c r="B457" s="214"/>
      <c r="C457" s="214"/>
      <c r="D457" s="214"/>
      <c r="E457" s="215"/>
      <c r="F457" s="216"/>
      <c r="G457" s="216"/>
      <c r="H457" s="216"/>
      <c r="I457" s="216"/>
      <c r="J457" s="215"/>
      <c r="K457" s="217"/>
      <c r="L457" s="217"/>
      <c r="M457" s="217"/>
      <c r="N457" s="217"/>
      <c r="O457" s="217"/>
      <c r="P457" s="217"/>
    </row>
    <row r="458">
      <c r="A458" s="214"/>
      <c r="B458" s="214"/>
      <c r="C458" s="214"/>
      <c r="D458" s="214"/>
      <c r="E458" s="215"/>
      <c r="F458" s="216"/>
      <c r="G458" s="216"/>
      <c r="H458" s="216"/>
      <c r="I458" s="216"/>
      <c r="J458" s="215"/>
      <c r="K458" s="217"/>
      <c r="L458" s="217"/>
      <c r="M458" s="217"/>
      <c r="N458" s="217"/>
      <c r="O458" s="217"/>
      <c r="P458" s="217"/>
    </row>
    <row r="459">
      <c r="A459" s="214"/>
      <c r="B459" s="214"/>
      <c r="C459" s="214"/>
      <c r="D459" s="214"/>
      <c r="E459" s="215"/>
      <c r="F459" s="216"/>
      <c r="G459" s="216"/>
      <c r="H459" s="216"/>
      <c r="I459" s="216"/>
      <c r="J459" s="215"/>
      <c r="K459" s="217"/>
      <c r="L459" s="217"/>
      <c r="M459" s="217"/>
      <c r="N459" s="217"/>
      <c r="O459" s="217"/>
      <c r="P459" s="217"/>
    </row>
    <row r="460">
      <c r="A460" s="214"/>
      <c r="B460" s="214"/>
      <c r="C460" s="214"/>
      <c r="D460" s="214"/>
      <c r="E460" s="215"/>
      <c r="F460" s="216"/>
      <c r="G460" s="216"/>
      <c r="H460" s="216"/>
      <c r="I460" s="216"/>
      <c r="J460" s="215"/>
      <c r="K460" s="217"/>
      <c r="L460" s="217"/>
      <c r="M460" s="217"/>
      <c r="N460" s="217"/>
      <c r="O460" s="217"/>
      <c r="P460" s="217"/>
    </row>
    <row r="461">
      <c r="A461" s="214"/>
      <c r="B461" s="214"/>
      <c r="C461" s="214"/>
      <c r="D461" s="214"/>
      <c r="E461" s="215"/>
      <c r="F461" s="216"/>
      <c r="G461" s="216"/>
      <c r="H461" s="216"/>
      <c r="I461" s="216"/>
      <c r="J461" s="215"/>
      <c r="K461" s="217"/>
      <c r="L461" s="217"/>
      <c r="M461" s="217"/>
      <c r="N461" s="217"/>
      <c r="O461" s="217"/>
      <c r="P461" s="217"/>
    </row>
    <row r="462">
      <c r="A462" s="214"/>
      <c r="B462" s="214"/>
      <c r="C462" s="214"/>
      <c r="D462" s="214"/>
      <c r="E462" s="215"/>
      <c r="F462" s="216"/>
      <c r="G462" s="216"/>
      <c r="H462" s="216"/>
      <c r="I462" s="216"/>
      <c r="J462" s="215"/>
      <c r="K462" s="217"/>
      <c r="L462" s="217"/>
      <c r="M462" s="217"/>
      <c r="N462" s="217"/>
      <c r="O462" s="217"/>
      <c r="P462" s="217"/>
    </row>
    <row r="463">
      <c r="A463" s="214"/>
      <c r="B463" s="214"/>
      <c r="C463" s="214"/>
      <c r="D463" s="214"/>
      <c r="E463" s="215"/>
      <c r="F463" s="216"/>
      <c r="G463" s="216"/>
      <c r="H463" s="216"/>
      <c r="I463" s="216"/>
      <c r="J463" s="215"/>
      <c r="K463" s="217"/>
      <c r="L463" s="217"/>
      <c r="M463" s="217"/>
      <c r="N463" s="217"/>
      <c r="O463" s="217"/>
      <c r="P463" s="217"/>
    </row>
    <row r="464">
      <c r="A464" s="214"/>
      <c r="B464" s="214"/>
      <c r="C464" s="214"/>
      <c r="D464" s="214"/>
      <c r="E464" s="215"/>
      <c r="F464" s="216"/>
      <c r="G464" s="216"/>
      <c r="H464" s="216"/>
      <c r="I464" s="216"/>
      <c r="J464" s="215"/>
      <c r="K464" s="217"/>
      <c r="L464" s="217"/>
      <c r="M464" s="217"/>
      <c r="N464" s="217"/>
      <c r="O464" s="217"/>
      <c r="P464" s="217"/>
    </row>
    <row r="465">
      <c r="A465" s="214"/>
      <c r="B465" s="214"/>
      <c r="C465" s="214"/>
      <c r="D465" s="214"/>
      <c r="E465" s="215"/>
      <c r="F465" s="216"/>
      <c r="G465" s="216"/>
      <c r="H465" s="216"/>
      <c r="I465" s="216"/>
      <c r="J465" s="215"/>
      <c r="K465" s="217"/>
      <c r="L465" s="217"/>
      <c r="M465" s="217"/>
      <c r="N465" s="217"/>
      <c r="O465" s="217"/>
      <c r="P465" s="217"/>
    </row>
    <row r="466">
      <c r="A466" s="214"/>
      <c r="B466" s="214"/>
      <c r="C466" s="214"/>
      <c r="D466" s="214"/>
      <c r="E466" s="215"/>
      <c r="F466" s="216"/>
      <c r="G466" s="216"/>
      <c r="H466" s="216"/>
      <c r="I466" s="216"/>
      <c r="J466" s="215"/>
      <c r="K466" s="217"/>
      <c r="L466" s="217"/>
      <c r="M466" s="217"/>
      <c r="N466" s="217"/>
      <c r="O466" s="217"/>
      <c r="P466" s="217"/>
    </row>
    <row r="467">
      <c r="A467" s="214"/>
      <c r="B467" s="214"/>
      <c r="C467" s="214"/>
      <c r="D467" s="214"/>
      <c r="E467" s="215"/>
      <c r="F467" s="216"/>
      <c r="G467" s="216"/>
      <c r="H467" s="216"/>
      <c r="I467" s="216"/>
      <c r="J467" s="215"/>
      <c r="K467" s="217"/>
      <c r="L467" s="217"/>
      <c r="M467" s="217"/>
      <c r="N467" s="217"/>
      <c r="O467" s="217"/>
      <c r="P467" s="217"/>
    </row>
    <row r="468">
      <c r="A468" s="214"/>
      <c r="B468" s="214"/>
      <c r="C468" s="214"/>
      <c r="D468" s="214"/>
      <c r="E468" s="215"/>
      <c r="F468" s="216"/>
      <c r="G468" s="216"/>
      <c r="H468" s="216"/>
      <c r="I468" s="216"/>
      <c r="J468" s="215"/>
      <c r="K468" s="217"/>
      <c r="L468" s="217"/>
      <c r="M468" s="217"/>
      <c r="N468" s="217"/>
      <c r="O468" s="217"/>
      <c r="P468" s="217"/>
    </row>
    <row r="469">
      <c r="A469" s="214"/>
      <c r="B469" s="214"/>
      <c r="C469" s="214"/>
      <c r="D469" s="214"/>
      <c r="E469" s="215"/>
      <c r="F469" s="216"/>
      <c r="G469" s="216"/>
      <c r="H469" s="216"/>
      <c r="I469" s="216"/>
      <c r="J469" s="215"/>
      <c r="K469" s="217"/>
      <c r="L469" s="217"/>
      <c r="M469" s="217"/>
      <c r="N469" s="217"/>
      <c r="O469" s="217"/>
      <c r="P469" s="217"/>
    </row>
    <row r="470">
      <c r="A470" s="214"/>
      <c r="B470" s="214"/>
      <c r="C470" s="214"/>
      <c r="D470" s="214"/>
      <c r="E470" s="215"/>
      <c r="F470" s="216"/>
      <c r="G470" s="216"/>
      <c r="H470" s="216"/>
      <c r="I470" s="216"/>
      <c r="J470" s="215"/>
      <c r="K470" s="217"/>
      <c r="L470" s="217"/>
      <c r="M470" s="217"/>
      <c r="N470" s="217"/>
      <c r="O470" s="217"/>
      <c r="P470" s="217"/>
    </row>
    <row r="471">
      <c r="A471" s="214"/>
      <c r="B471" s="214"/>
      <c r="C471" s="214"/>
      <c r="D471" s="214"/>
      <c r="E471" s="215"/>
      <c r="F471" s="216"/>
      <c r="G471" s="216"/>
      <c r="H471" s="216"/>
      <c r="I471" s="216"/>
      <c r="J471" s="215"/>
      <c r="K471" s="217"/>
      <c r="L471" s="217"/>
      <c r="M471" s="217"/>
      <c r="N471" s="217"/>
      <c r="O471" s="217"/>
      <c r="P471" s="217"/>
    </row>
    <row r="472">
      <c r="A472" s="214"/>
      <c r="B472" s="214"/>
      <c r="C472" s="214"/>
      <c r="D472" s="214"/>
      <c r="E472" s="215"/>
      <c r="F472" s="216"/>
      <c r="G472" s="216"/>
      <c r="H472" s="216"/>
      <c r="I472" s="216"/>
      <c r="J472" s="215"/>
      <c r="K472" s="217"/>
      <c r="L472" s="217"/>
      <c r="M472" s="217"/>
      <c r="N472" s="217"/>
      <c r="O472" s="217"/>
      <c r="P472" s="217"/>
    </row>
    <row r="473">
      <c r="A473" s="214"/>
      <c r="B473" s="214"/>
      <c r="C473" s="214"/>
      <c r="D473" s="214"/>
      <c r="E473" s="215"/>
      <c r="F473" s="216"/>
      <c r="G473" s="216"/>
      <c r="H473" s="216"/>
      <c r="I473" s="216"/>
      <c r="J473" s="215"/>
      <c r="K473" s="217"/>
      <c r="L473" s="217"/>
      <c r="M473" s="217"/>
      <c r="N473" s="217"/>
      <c r="O473" s="217"/>
      <c r="P473" s="217"/>
    </row>
    <row r="474">
      <c r="A474" s="214"/>
      <c r="B474" s="214"/>
      <c r="C474" s="214"/>
      <c r="D474" s="214"/>
      <c r="E474" s="215"/>
      <c r="F474" s="216"/>
      <c r="G474" s="216"/>
      <c r="H474" s="216"/>
      <c r="I474" s="216"/>
      <c r="J474" s="215"/>
      <c r="K474" s="217"/>
      <c r="L474" s="217"/>
      <c r="M474" s="217"/>
      <c r="N474" s="217"/>
      <c r="O474" s="217"/>
      <c r="P474" s="217"/>
    </row>
    <row r="475">
      <c r="A475" s="214"/>
      <c r="B475" s="214"/>
      <c r="C475" s="214"/>
      <c r="D475" s="214"/>
      <c r="E475" s="215"/>
      <c r="F475" s="216"/>
      <c r="G475" s="216"/>
      <c r="H475" s="216"/>
      <c r="I475" s="216"/>
      <c r="J475" s="215"/>
      <c r="K475" s="217"/>
      <c r="L475" s="217"/>
      <c r="M475" s="217"/>
      <c r="N475" s="217"/>
      <c r="O475" s="217"/>
      <c r="P475" s="217"/>
    </row>
    <row r="476">
      <c r="A476" s="214"/>
      <c r="B476" s="214"/>
      <c r="C476" s="214"/>
      <c r="D476" s="214"/>
      <c r="E476" s="215"/>
      <c r="F476" s="216"/>
      <c r="G476" s="216"/>
      <c r="H476" s="216"/>
      <c r="I476" s="216"/>
      <c r="J476" s="215"/>
      <c r="K476" s="217"/>
      <c r="L476" s="217"/>
      <c r="M476" s="217"/>
      <c r="N476" s="217"/>
      <c r="O476" s="217"/>
      <c r="P476" s="217"/>
    </row>
    <row r="477">
      <c r="A477" s="214"/>
      <c r="B477" s="214"/>
      <c r="C477" s="214"/>
      <c r="D477" s="214"/>
      <c r="E477" s="215"/>
      <c r="F477" s="216"/>
      <c r="G477" s="216"/>
      <c r="H477" s="216"/>
      <c r="I477" s="216"/>
      <c r="J477" s="215"/>
      <c r="K477" s="217"/>
      <c r="L477" s="217"/>
      <c r="M477" s="217"/>
      <c r="N477" s="217"/>
      <c r="O477" s="217"/>
      <c r="P477" s="217"/>
    </row>
    <row r="478">
      <c r="A478" s="214"/>
      <c r="B478" s="214"/>
      <c r="C478" s="214"/>
      <c r="D478" s="214"/>
      <c r="E478" s="215"/>
      <c r="F478" s="216"/>
      <c r="G478" s="216"/>
      <c r="H478" s="216"/>
      <c r="I478" s="216"/>
      <c r="J478" s="215"/>
      <c r="K478" s="217"/>
      <c r="L478" s="217"/>
      <c r="M478" s="217"/>
      <c r="N478" s="217"/>
      <c r="O478" s="217"/>
      <c r="P478" s="217"/>
    </row>
    <row r="479">
      <c r="A479" s="214"/>
      <c r="B479" s="214"/>
      <c r="C479" s="214"/>
      <c r="D479" s="214"/>
      <c r="E479" s="215"/>
      <c r="F479" s="216"/>
      <c r="G479" s="216"/>
      <c r="H479" s="216"/>
      <c r="I479" s="216"/>
      <c r="J479" s="215"/>
      <c r="K479" s="217"/>
      <c r="L479" s="217"/>
      <c r="M479" s="217"/>
      <c r="N479" s="217"/>
      <c r="O479" s="217"/>
      <c r="P479" s="217"/>
    </row>
    <row r="480">
      <c r="A480" s="214"/>
      <c r="B480" s="214"/>
      <c r="C480" s="214"/>
      <c r="D480" s="214"/>
      <c r="E480" s="215"/>
      <c r="F480" s="216"/>
      <c r="G480" s="216"/>
      <c r="H480" s="216"/>
      <c r="I480" s="216"/>
      <c r="J480" s="215"/>
      <c r="K480" s="217"/>
      <c r="L480" s="217"/>
      <c r="M480" s="217"/>
      <c r="N480" s="217"/>
      <c r="O480" s="217"/>
      <c r="P480" s="217"/>
    </row>
    <row r="481">
      <c r="A481" s="214"/>
      <c r="B481" s="214"/>
      <c r="C481" s="214"/>
      <c r="D481" s="214"/>
      <c r="E481" s="215"/>
      <c r="F481" s="216"/>
      <c r="G481" s="216"/>
      <c r="H481" s="216"/>
      <c r="I481" s="216"/>
      <c r="J481" s="215"/>
      <c r="K481" s="217"/>
      <c r="L481" s="217"/>
      <c r="M481" s="217"/>
      <c r="N481" s="217"/>
      <c r="O481" s="217"/>
      <c r="P481" s="217"/>
    </row>
    <row r="482">
      <c r="A482" s="214"/>
      <c r="B482" s="214"/>
      <c r="C482" s="214"/>
      <c r="D482" s="214"/>
      <c r="E482" s="215"/>
      <c r="F482" s="216"/>
      <c r="G482" s="216"/>
      <c r="H482" s="216"/>
      <c r="I482" s="216"/>
      <c r="J482" s="215"/>
      <c r="K482" s="217"/>
      <c r="L482" s="217"/>
      <c r="M482" s="217"/>
      <c r="N482" s="217"/>
      <c r="O482" s="217"/>
      <c r="P482" s="217"/>
    </row>
    <row r="483">
      <c r="A483" s="214"/>
      <c r="B483" s="214"/>
      <c r="C483" s="214"/>
      <c r="D483" s="214"/>
      <c r="E483" s="215"/>
      <c r="F483" s="216"/>
      <c r="G483" s="216"/>
      <c r="H483" s="216"/>
      <c r="I483" s="216"/>
      <c r="J483" s="215"/>
      <c r="K483" s="217"/>
      <c r="L483" s="217"/>
      <c r="M483" s="217"/>
      <c r="N483" s="217"/>
      <c r="O483" s="217"/>
      <c r="P483" s="217"/>
    </row>
    <row r="484">
      <c r="A484" s="214"/>
      <c r="B484" s="214"/>
      <c r="C484" s="214"/>
      <c r="D484" s="214"/>
      <c r="E484" s="215"/>
      <c r="F484" s="216"/>
      <c r="G484" s="216"/>
      <c r="H484" s="216"/>
      <c r="I484" s="216"/>
      <c r="J484" s="215"/>
      <c r="K484" s="217"/>
      <c r="L484" s="217"/>
      <c r="M484" s="217"/>
      <c r="N484" s="217"/>
      <c r="O484" s="217"/>
      <c r="P484" s="217"/>
    </row>
    <row r="485">
      <c r="A485" s="214"/>
      <c r="B485" s="214"/>
      <c r="C485" s="214"/>
      <c r="D485" s="214"/>
      <c r="E485" s="215"/>
      <c r="F485" s="216"/>
      <c r="G485" s="216"/>
      <c r="H485" s="216"/>
      <c r="I485" s="216"/>
      <c r="J485" s="215"/>
      <c r="K485" s="217"/>
      <c r="L485" s="217"/>
      <c r="M485" s="217"/>
      <c r="N485" s="217"/>
      <c r="O485" s="217"/>
      <c r="P485" s="217"/>
    </row>
    <row r="486">
      <c r="A486" s="214"/>
      <c r="B486" s="214"/>
      <c r="C486" s="214"/>
      <c r="D486" s="214"/>
      <c r="E486" s="215"/>
      <c r="F486" s="216"/>
      <c r="G486" s="216"/>
      <c r="H486" s="216"/>
      <c r="I486" s="216"/>
      <c r="J486" s="215"/>
      <c r="K486" s="217"/>
      <c r="L486" s="217"/>
      <c r="M486" s="217"/>
      <c r="N486" s="217"/>
      <c r="O486" s="217"/>
      <c r="P486" s="217"/>
    </row>
    <row r="487">
      <c r="A487" s="214"/>
      <c r="B487" s="214"/>
      <c r="C487" s="214"/>
      <c r="D487" s="214"/>
      <c r="E487" s="215"/>
      <c r="F487" s="216"/>
      <c r="G487" s="216"/>
      <c r="H487" s="216"/>
      <c r="I487" s="216"/>
      <c r="J487" s="215"/>
      <c r="K487" s="217"/>
      <c r="L487" s="217"/>
      <c r="M487" s="217"/>
      <c r="N487" s="217"/>
      <c r="O487" s="217"/>
      <c r="P487" s="217"/>
    </row>
    <row r="488">
      <c r="A488" s="214"/>
      <c r="B488" s="214"/>
      <c r="C488" s="214"/>
      <c r="D488" s="214"/>
      <c r="E488" s="215"/>
      <c r="F488" s="216"/>
      <c r="G488" s="216"/>
      <c r="H488" s="216"/>
      <c r="I488" s="216"/>
      <c r="J488" s="215"/>
      <c r="K488" s="217"/>
      <c r="L488" s="217"/>
      <c r="M488" s="217"/>
      <c r="N488" s="217"/>
      <c r="O488" s="217"/>
      <c r="P488" s="217"/>
    </row>
    <row r="489">
      <c r="A489" s="214"/>
      <c r="B489" s="214"/>
      <c r="C489" s="214"/>
      <c r="D489" s="214"/>
      <c r="E489" s="215"/>
      <c r="F489" s="216"/>
      <c r="G489" s="216"/>
      <c r="H489" s="216"/>
      <c r="I489" s="216"/>
      <c r="J489" s="215"/>
      <c r="K489" s="217"/>
      <c r="L489" s="217"/>
      <c r="M489" s="217"/>
      <c r="N489" s="217"/>
      <c r="O489" s="217"/>
      <c r="P489" s="217"/>
    </row>
    <row r="490">
      <c r="A490" s="214"/>
      <c r="B490" s="214"/>
      <c r="C490" s="214"/>
      <c r="D490" s="214"/>
      <c r="E490" s="215"/>
      <c r="F490" s="216"/>
      <c r="G490" s="216"/>
      <c r="H490" s="216"/>
      <c r="I490" s="216"/>
      <c r="J490" s="215"/>
      <c r="K490" s="217"/>
      <c r="L490" s="217"/>
      <c r="M490" s="217"/>
      <c r="N490" s="217"/>
      <c r="O490" s="217"/>
      <c r="P490" s="217"/>
    </row>
    <row r="491">
      <c r="A491" s="214"/>
      <c r="B491" s="214"/>
      <c r="C491" s="214"/>
      <c r="D491" s="214"/>
      <c r="E491" s="215"/>
      <c r="F491" s="216"/>
      <c r="G491" s="216"/>
      <c r="H491" s="216"/>
      <c r="I491" s="216"/>
      <c r="J491" s="215"/>
      <c r="K491" s="217"/>
      <c r="L491" s="217"/>
      <c r="M491" s="217"/>
      <c r="N491" s="217"/>
      <c r="O491" s="217"/>
      <c r="P491" s="217"/>
    </row>
    <row r="492">
      <c r="A492" s="214"/>
      <c r="B492" s="214"/>
      <c r="C492" s="214"/>
      <c r="D492" s="214"/>
      <c r="E492" s="215"/>
      <c r="F492" s="216"/>
      <c r="G492" s="216"/>
      <c r="H492" s="216"/>
      <c r="I492" s="216"/>
      <c r="J492" s="215"/>
      <c r="K492" s="217"/>
      <c r="L492" s="217"/>
      <c r="M492" s="217"/>
      <c r="N492" s="217"/>
      <c r="O492" s="217"/>
      <c r="P492" s="217"/>
    </row>
    <row r="493">
      <c r="A493" s="214"/>
      <c r="B493" s="214"/>
      <c r="C493" s="214"/>
      <c r="D493" s="214"/>
      <c r="E493" s="215"/>
      <c r="F493" s="216"/>
      <c r="G493" s="216"/>
      <c r="H493" s="216"/>
      <c r="I493" s="216"/>
      <c r="J493" s="215"/>
      <c r="K493" s="217"/>
      <c r="L493" s="217"/>
      <c r="M493" s="217"/>
      <c r="N493" s="217"/>
      <c r="O493" s="217"/>
      <c r="P493" s="217"/>
    </row>
    <row r="494">
      <c r="A494" s="214"/>
      <c r="B494" s="214"/>
      <c r="C494" s="214"/>
      <c r="D494" s="214"/>
      <c r="E494" s="215"/>
      <c r="F494" s="216"/>
      <c r="G494" s="216"/>
      <c r="H494" s="216"/>
      <c r="I494" s="216"/>
      <c r="J494" s="215"/>
      <c r="K494" s="217"/>
      <c r="L494" s="217"/>
      <c r="M494" s="217"/>
      <c r="N494" s="217"/>
      <c r="O494" s="217"/>
      <c r="P494" s="217"/>
    </row>
    <row r="495">
      <c r="A495" s="214"/>
      <c r="B495" s="214"/>
      <c r="C495" s="214"/>
      <c r="D495" s="214"/>
      <c r="E495" s="215"/>
      <c r="F495" s="216"/>
      <c r="G495" s="216"/>
      <c r="H495" s="216"/>
      <c r="I495" s="216"/>
      <c r="J495" s="215"/>
      <c r="K495" s="217"/>
      <c r="L495" s="217"/>
      <c r="M495" s="217"/>
      <c r="N495" s="217"/>
      <c r="O495" s="217"/>
      <c r="P495" s="217"/>
    </row>
    <row r="496">
      <c r="A496" s="214"/>
      <c r="B496" s="214"/>
      <c r="C496" s="214"/>
      <c r="D496" s="214"/>
      <c r="E496" s="215"/>
      <c r="F496" s="216"/>
      <c r="G496" s="216"/>
      <c r="H496" s="216"/>
      <c r="I496" s="216"/>
      <c r="J496" s="215"/>
      <c r="K496" s="217"/>
      <c r="L496" s="217"/>
      <c r="M496" s="217"/>
      <c r="N496" s="217"/>
      <c r="O496" s="217"/>
      <c r="P496" s="217"/>
    </row>
    <row r="497">
      <c r="A497" s="214"/>
      <c r="B497" s="214"/>
      <c r="C497" s="214"/>
      <c r="D497" s="214"/>
      <c r="E497" s="215"/>
      <c r="F497" s="216"/>
      <c r="G497" s="216"/>
      <c r="H497" s="216"/>
      <c r="I497" s="216"/>
      <c r="J497" s="215"/>
      <c r="K497" s="217"/>
      <c r="L497" s="217"/>
      <c r="M497" s="217"/>
      <c r="N497" s="217"/>
      <c r="O497" s="217"/>
      <c r="P497" s="217"/>
    </row>
    <row r="498">
      <c r="A498" s="214"/>
      <c r="B498" s="214"/>
      <c r="C498" s="214"/>
      <c r="D498" s="214"/>
      <c r="E498" s="215"/>
      <c r="F498" s="216"/>
      <c r="G498" s="216"/>
      <c r="H498" s="216"/>
      <c r="I498" s="216"/>
      <c r="J498" s="215"/>
      <c r="K498" s="217"/>
      <c r="L498" s="217"/>
      <c r="M498" s="217"/>
      <c r="N498" s="217"/>
      <c r="O498" s="217"/>
      <c r="P498" s="217"/>
    </row>
    <row r="499">
      <c r="A499" s="214"/>
      <c r="B499" s="214"/>
      <c r="C499" s="214"/>
      <c r="D499" s="214"/>
      <c r="E499" s="215"/>
      <c r="F499" s="216"/>
      <c r="G499" s="216"/>
      <c r="H499" s="216"/>
      <c r="I499" s="216"/>
      <c r="J499" s="215"/>
      <c r="K499" s="217"/>
      <c r="L499" s="217"/>
      <c r="M499" s="217"/>
      <c r="N499" s="217"/>
      <c r="O499" s="217"/>
      <c r="P499" s="217"/>
    </row>
    <row r="500">
      <c r="A500" s="214"/>
      <c r="B500" s="214"/>
      <c r="C500" s="214"/>
      <c r="D500" s="214"/>
      <c r="E500" s="215"/>
      <c r="F500" s="216"/>
      <c r="G500" s="216"/>
      <c r="H500" s="216"/>
      <c r="I500" s="216"/>
      <c r="J500" s="215"/>
      <c r="K500" s="217"/>
      <c r="L500" s="217"/>
      <c r="M500" s="217"/>
      <c r="N500" s="217"/>
      <c r="O500" s="217"/>
      <c r="P500" s="217"/>
    </row>
    <row r="501">
      <c r="A501" s="214"/>
      <c r="B501" s="214"/>
      <c r="C501" s="214"/>
      <c r="D501" s="214"/>
      <c r="E501" s="215"/>
      <c r="F501" s="216"/>
      <c r="G501" s="216"/>
      <c r="H501" s="216"/>
      <c r="I501" s="216"/>
      <c r="J501" s="215"/>
      <c r="K501" s="217"/>
      <c r="L501" s="217"/>
      <c r="M501" s="217"/>
      <c r="N501" s="217"/>
      <c r="O501" s="217"/>
      <c r="P501" s="217"/>
    </row>
    <row r="502">
      <c r="A502" s="214"/>
      <c r="B502" s="214"/>
      <c r="C502" s="214"/>
      <c r="D502" s="214"/>
      <c r="E502" s="215"/>
      <c r="F502" s="216"/>
      <c r="G502" s="216"/>
      <c r="H502" s="216"/>
      <c r="I502" s="216"/>
      <c r="J502" s="215"/>
      <c r="K502" s="217"/>
      <c r="L502" s="217"/>
      <c r="M502" s="217"/>
      <c r="N502" s="217"/>
      <c r="O502" s="217"/>
      <c r="P502" s="217"/>
    </row>
    <row r="503">
      <c r="A503" s="214"/>
      <c r="B503" s="214"/>
      <c r="C503" s="214"/>
      <c r="D503" s="214"/>
      <c r="E503" s="215"/>
      <c r="F503" s="216"/>
      <c r="G503" s="216"/>
      <c r="H503" s="216"/>
      <c r="I503" s="216"/>
      <c r="J503" s="215"/>
      <c r="K503" s="217"/>
      <c r="L503" s="217"/>
      <c r="M503" s="217"/>
      <c r="N503" s="217"/>
      <c r="O503" s="217"/>
      <c r="P503" s="217"/>
    </row>
    <row r="504">
      <c r="A504" s="214"/>
      <c r="B504" s="214"/>
      <c r="C504" s="214"/>
      <c r="D504" s="214"/>
      <c r="E504" s="215"/>
      <c r="F504" s="216"/>
      <c r="G504" s="216"/>
      <c r="H504" s="216"/>
      <c r="I504" s="216"/>
      <c r="J504" s="215"/>
      <c r="K504" s="217"/>
      <c r="L504" s="217"/>
      <c r="M504" s="217"/>
      <c r="N504" s="217"/>
      <c r="O504" s="217"/>
      <c r="P504" s="217"/>
    </row>
    <row r="505">
      <c r="A505" s="214"/>
      <c r="B505" s="214"/>
      <c r="C505" s="214"/>
      <c r="D505" s="214"/>
      <c r="E505" s="215"/>
      <c r="F505" s="216"/>
      <c r="G505" s="216"/>
      <c r="H505" s="216"/>
      <c r="I505" s="216"/>
      <c r="J505" s="215"/>
      <c r="K505" s="217"/>
      <c r="L505" s="217"/>
      <c r="M505" s="217"/>
      <c r="N505" s="217"/>
      <c r="O505" s="217"/>
      <c r="P505" s="217"/>
    </row>
    <row r="506">
      <c r="A506" s="214"/>
      <c r="B506" s="214"/>
      <c r="C506" s="214"/>
      <c r="D506" s="214"/>
      <c r="E506" s="215"/>
      <c r="F506" s="216"/>
      <c r="G506" s="216"/>
      <c r="H506" s="216"/>
      <c r="I506" s="216"/>
      <c r="J506" s="215"/>
      <c r="K506" s="217"/>
      <c r="L506" s="217"/>
      <c r="M506" s="217"/>
      <c r="N506" s="217"/>
      <c r="O506" s="217"/>
      <c r="P506" s="217"/>
    </row>
    <row r="507">
      <c r="A507" s="214"/>
      <c r="B507" s="214"/>
      <c r="C507" s="214"/>
      <c r="D507" s="214"/>
      <c r="E507" s="215"/>
      <c r="F507" s="216"/>
      <c r="G507" s="216"/>
      <c r="H507" s="216"/>
      <c r="I507" s="216"/>
      <c r="J507" s="215"/>
      <c r="K507" s="217"/>
      <c r="L507" s="217"/>
      <c r="M507" s="217"/>
      <c r="N507" s="217"/>
      <c r="O507" s="217"/>
      <c r="P507" s="217"/>
    </row>
    <row r="508">
      <c r="A508" s="214"/>
      <c r="B508" s="214"/>
      <c r="C508" s="214"/>
      <c r="D508" s="214"/>
      <c r="E508" s="215"/>
      <c r="F508" s="216"/>
      <c r="G508" s="216"/>
      <c r="H508" s="216"/>
      <c r="I508" s="216"/>
      <c r="J508" s="215"/>
      <c r="K508" s="217"/>
      <c r="L508" s="217"/>
      <c r="M508" s="217"/>
      <c r="N508" s="217"/>
      <c r="O508" s="217"/>
      <c r="P508" s="217"/>
    </row>
    <row r="509">
      <c r="A509" s="214"/>
      <c r="B509" s="214"/>
      <c r="C509" s="214"/>
      <c r="D509" s="214"/>
      <c r="E509" s="215"/>
      <c r="F509" s="216"/>
      <c r="G509" s="216"/>
      <c r="H509" s="216"/>
      <c r="I509" s="216"/>
      <c r="J509" s="215"/>
      <c r="K509" s="217"/>
      <c r="L509" s="217"/>
      <c r="M509" s="217"/>
      <c r="N509" s="217"/>
      <c r="O509" s="217"/>
      <c r="P509" s="217"/>
    </row>
    <row r="510">
      <c r="A510" s="214"/>
      <c r="B510" s="214"/>
      <c r="C510" s="214"/>
      <c r="D510" s="214"/>
      <c r="E510" s="215"/>
      <c r="F510" s="216"/>
      <c r="G510" s="216"/>
      <c r="H510" s="216"/>
      <c r="I510" s="216"/>
      <c r="J510" s="215"/>
      <c r="K510" s="217"/>
      <c r="L510" s="217"/>
      <c r="M510" s="217"/>
      <c r="N510" s="217"/>
      <c r="O510" s="217"/>
      <c r="P510" s="217"/>
    </row>
    <row r="511">
      <c r="A511" s="214"/>
      <c r="B511" s="214"/>
      <c r="C511" s="214"/>
      <c r="D511" s="214"/>
      <c r="E511" s="215"/>
      <c r="F511" s="216"/>
      <c r="G511" s="216"/>
      <c r="H511" s="216"/>
      <c r="I511" s="216"/>
      <c r="J511" s="215"/>
      <c r="K511" s="217"/>
      <c r="L511" s="217"/>
      <c r="M511" s="217"/>
      <c r="N511" s="217"/>
      <c r="O511" s="217"/>
      <c r="P511" s="217"/>
    </row>
    <row r="512">
      <c r="A512" s="214"/>
      <c r="B512" s="214"/>
      <c r="C512" s="214"/>
      <c r="D512" s="214"/>
      <c r="E512" s="215"/>
      <c r="F512" s="216"/>
      <c r="G512" s="216"/>
      <c r="H512" s="216"/>
      <c r="I512" s="216"/>
      <c r="J512" s="215"/>
      <c r="K512" s="217"/>
      <c r="L512" s="217"/>
      <c r="M512" s="217"/>
      <c r="N512" s="217"/>
      <c r="O512" s="217"/>
      <c r="P512" s="217"/>
    </row>
    <row r="513">
      <c r="A513" s="214"/>
      <c r="B513" s="214"/>
      <c r="C513" s="214"/>
      <c r="D513" s="214"/>
      <c r="E513" s="215"/>
      <c r="F513" s="216"/>
      <c r="G513" s="216"/>
      <c r="H513" s="216"/>
      <c r="I513" s="216"/>
      <c r="J513" s="215"/>
      <c r="K513" s="217"/>
      <c r="L513" s="217"/>
      <c r="M513" s="217"/>
      <c r="N513" s="217"/>
      <c r="O513" s="217"/>
      <c r="P513" s="217"/>
    </row>
    <row r="514">
      <c r="A514" s="214"/>
      <c r="B514" s="214"/>
      <c r="C514" s="214"/>
      <c r="D514" s="214"/>
      <c r="E514" s="215"/>
      <c r="F514" s="216"/>
      <c r="G514" s="216"/>
      <c r="H514" s="216"/>
      <c r="I514" s="216"/>
      <c r="J514" s="215"/>
      <c r="K514" s="217"/>
      <c r="L514" s="217"/>
      <c r="M514" s="217"/>
      <c r="N514" s="217"/>
      <c r="O514" s="217"/>
      <c r="P514" s="217"/>
    </row>
    <row r="515">
      <c r="A515" s="214"/>
      <c r="B515" s="214"/>
      <c r="C515" s="214"/>
      <c r="D515" s="214"/>
      <c r="E515" s="215"/>
      <c r="F515" s="216"/>
      <c r="G515" s="216"/>
      <c r="H515" s="216"/>
      <c r="I515" s="216"/>
      <c r="J515" s="215"/>
      <c r="K515" s="217"/>
      <c r="L515" s="217"/>
      <c r="M515" s="217"/>
      <c r="N515" s="217"/>
      <c r="O515" s="217"/>
      <c r="P515" s="217"/>
    </row>
    <row r="516">
      <c r="A516" s="214"/>
      <c r="B516" s="214"/>
      <c r="C516" s="214"/>
      <c r="D516" s="214"/>
      <c r="E516" s="215"/>
      <c r="F516" s="216"/>
      <c r="G516" s="216"/>
      <c r="H516" s="216"/>
      <c r="I516" s="216"/>
      <c r="J516" s="215"/>
      <c r="K516" s="217"/>
      <c r="L516" s="217"/>
      <c r="M516" s="217"/>
      <c r="N516" s="217"/>
      <c r="O516" s="217"/>
      <c r="P516" s="217"/>
    </row>
    <row r="517">
      <c r="A517" s="214"/>
      <c r="B517" s="214"/>
      <c r="C517" s="214"/>
      <c r="D517" s="214"/>
      <c r="E517" s="215"/>
      <c r="F517" s="216"/>
      <c r="G517" s="216"/>
      <c r="H517" s="216"/>
      <c r="I517" s="216"/>
      <c r="J517" s="215"/>
      <c r="K517" s="217"/>
      <c r="L517" s="217"/>
      <c r="M517" s="217"/>
      <c r="N517" s="217"/>
      <c r="O517" s="217"/>
      <c r="P517" s="217"/>
    </row>
    <row r="518">
      <c r="A518" s="214"/>
      <c r="B518" s="214"/>
      <c r="C518" s="214"/>
      <c r="D518" s="214"/>
      <c r="E518" s="215"/>
      <c r="F518" s="216"/>
      <c r="G518" s="216"/>
      <c r="H518" s="216"/>
      <c r="I518" s="216"/>
      <c r="J518" s="215"/>
      <c r="K518" s="217"/>
      <c r="L518" s="217"/>
      <c r="M518" s="217"/>
      <c r="N518" s="217"/>
      <c r="O518" s="217"/>
      <c r="P518" s="217"/>
    </row>
    <row r="519">
      <c r="A519" s="214"/>
      <c r="B519" s="214"/>
      <c r="C519" s="214"/>
      <c r="D519" s="214"/>
      <c r="E519" s="215"/>
      <c r="F519" s="216"/>
      <c r="G519" s="216"/>
      <c r="H519" s="216"/>
      <c r="I519" s="216"/>
      <c r="J519" s="215"/>
      <c r="K519" s="217"/>
      <c r="L519" s="217"/>
      <c r="M519" s="217"/>
      <c r="N519" s="217"/>
      <c r="O519" s="217"/>
      <c r="P519" s="217"/>
    </row>
    <row r="520">
      <c r="A520" s="214"/>
      <c r="B520" s="214"/>
      <c r="C520" s="214"/>
      <c r="D520" s="214"/>
      <c r="E520" s="215"/>
      <c r="F520" s="216"/>
      <c r="G520" s="216"/>
      <c r="H520" s="216"/>
      <c r="I520" s="216"/>
      <c r="J520" s="215"/>
      <c r="K520" s="217"/>
      <c r="L520" s="217"/>
      <c r="M520" s="217"/>
      <c r="N520" s="217"/>
      <c r="O520" s="217"/>
      <c r="P520" s="217"/>
    </row>
    <row r="521">
      <c r="A521" s="214"/>
      <c r="B521" s="214"/>
      <c r="C521" s="214"/>
      <c r="D521" s="214"/>
      <c r="E521" s="215"/>
      <c r="F521" s="216"/>
      <c r="G521" s="216"/>
      <c r="H521" s="216"/>
      <c r="I521" s="216"/>
      <c r="J521" s="215"/>
      <c r="K521" s="217"/>
      <c r="L521" s="217"/>
      <c r="M521" s="217"/>
      <c r="N521" s="217"/>
      <c r="O521" s="217"/>
      <c r="P521" s="217"/>
    </row>
    <row r="522">
      <c r="A522" s="214"/>
      <c r="B522" s="214"/>
      <c r="C522" s="214"/>
      <c r="D522" s="214"/>
      <c r="E522" s="215"/>
      <c r="F522" s="216"/>
      <c r="G522" s="216"/>
      <c r="H522" s="216"/>
      <c r="I522" s="216"/>
      <c r="J522" s="215"/>
      <c r="K522" s="217"/>
      <c r="L522" s="217"/>
      <c r="M522" s="217"/>
      <c r="N522" s="217"/>
      <c r="O522" s="217"/>
      <c r="P522" s="217"/>
    </row>
    <row r="523">
      <c r="A523" s="214"/>
      <c r="B523" s="214"/>
      <c r="C523" s="214"/>
      <c r="D523" s="214"/>
      <c r="E523" s="215"/>
      <c r="F523" s="216"/>
      <c r="G523" s="216"/>
      <c r="H523" s="216"/>
      <c r="I523" s="216"/>
      <c r="J523" s="215"/>
      <c r="K523" s="217"/>
      <c r="L523" s="217"/>
      <c r="M523" s="217"/>
      <c r="N523" s="217"/>
      <c r="O523" s="217"/>
      <c r="P523" s="217"/>
    </row>
    <row r="524">
      <c r="A524" s="214"/>
      <c r="B524" s="214"/>
      <c r="C524" s="214"/>
      <c r="D524" s="214"/>
      <c r="E524" s="215"/>
      <c r="F524" s="216"/>
      <c r="G524" s="216"/>
      <c r="H524" s="216"/>
      <c r="I524" s="216"/>
      <c r="J524" s="215"/>
      <c r="K524" s="217"/>
      <c r="L524" s="217"/>
      <c r="M524" s="217"/>
      <c r="N524" s="217"/>
      <c r="O524" s="217"/>
      <c r="P524" s="217"/>
    </row>
    <row r="525">
      <c r="A525" s="214"/>
      <c r="B525" s="214"/>
      <c r="C525" s="214"/>
      <c r="D525" s="214"/>
      <c r="E525" s="215"/>
      <c r="F525" s="216"/>
      <c r="G525" s="216"/>
      <c r="H525" s="216"/>
      <c r="I525" s="216"/>
      <c r="J525" s="215"/>
      <c r="K525" s="217"/>
      <c r="L525" s="217"/>
      <c r="M525" s="217"/>
      <c r="N525" s="217"/>
      <c r="O525" s="217"/>
      <c r="P525" s="217"/>
    </row>
    <row r="526">
      <c r="A526" s="214"/>
      <c r="B526" s="214"/>
      <c r="C526" s="214"/>
      <c r="D526" s="214"/>
      <c r="E526" s="215"/>
      <c r="F526" s="216"/>
      <c r="G526" s="216"/>
      <c r="H526" s="216"/>
      <c r="I526" s="216"/>
      <c r="J526" s="215"/>
      <c r="K526" s="217"/>
      <c r="L526" s="217"/>
      <c r="M526" s="217"/>
      <c r="N526" s="217"/>
      <c r="O526" s="217"/>
      <c r="P526" s="217"/>
    </row>
    <row r="527">
      <c r="A527" s="214"/>
      <c r="B527" s="214"/>
      <c r="C527" s="214"/>
      <c r="D527" s="214"/>
      <c r="E527" s="215"/>
      <c r="F527" s="216"/>
      <c r="G527" s="216"/>
      <c r="H527" s="216"/>
      <c r="I527" s="216"/>
      <c r="J527" s="215"/>
      <c r="K527" s="217"/>
      <c r="L527" s="217"/>
      <c r="M527" s="217"/>
      <c r="N527" s="217"/>
      <c r="O527" s="217"/>
      <c r="P527" s="217"/>
    </row>
    <row r="528">
      <c r="A528" s="214"/>
      <c r="B528" s="214"/>
      <c r="C528" s="214"/>
      <c r="D528" s="214"/>
      <c r="E528" s="215"/>
      <c r="F528" s="216"/>
      <c r="G528" s="216"/>
      <c r="H528" s="216"/>
      <c r="I528" s="216"/>
      <c r="J528" s="215"/>
      <c r="K528" s="217"/>
      <c r="L528" s="217"/>
      <c r="M528" s="217"/>
      <c r="N528" s="217"/>
      <c r="O528" s="217"/>
      <c r="P528" s="217"/>
    </row>
    <row r="529">
      <c r="A529" s="214"/>
      <c r="B529" s="214"/>
      <c r="C529" s="214"/>
      <c r="D529" s="214"/>
      <c r="E529" s="215"/>
      <c r="F529" s="216"/>
      <c r="G529" s="216"/>
      <c r="H529" s="216"/>
      <c r="I529" s="216"/>
      <c r="J529" s="215"/>
      <c r="K529" s="217"/>
      <c r="L529" s="217"/>
      <c r="M529" s="217"/>
      <c r="N529" s="217"/>
      <c r="O529" s="217"/>
      <c r="P529" s="217"/>
    </row>
    <row r="530">
      <c r="A530" s="214"/>
      <c r="B530" s="214"/>
      <c r="C530" s="214"/>
      <c r="D530" s="214"/>
      <c r="E530" s="215"/>
      <c r="F530" s="216"/>
      <c r="G530" s="216"/>
      <c r="H530" s="216"/>
      <c r="I530" s="216"/>
      <c r="J530" s="215"/>
      <c r="K530" s="217"/>
      <c r="L530" s="217"/>
      <c r="M530" s="217"/>
      <c r="N530" s="217"/>
      <c r="O530" s="217"/>
      <c r="P530" s="217"/>
    </row>
    <row r="531">
      <c r="A531" s="214"/>
      <c r="B531" s="214"/>
      <c r="C531" s="214"/>
      <c r="D531" s="214"/>
      <c r="E531" s="215"/>
      <c r="F531" s="216"/>
      <c r="G531" s="216"/>
      <c r="H531" s="216"/>
      <c r="I531" s="216"/>
      <c r="J531" s="215"/>
      <c r="K531" s="217"/>
      <c r="L531" s="217"/>
      <c r="M531" s="217"/>
      <c r="N531" s="217"/>
      <c r="O531" s="217"/>
      <c r="P531" s="217"/>
    </row>
    <row r="532">
      <c r="A532" s="214"/>
      <c r="B532" s="214"/>
      <c r="C532" s="214"/>
      <c r="D532" s="214"/>
      <c r="E532" s="215"/>
      <c r="F532" s="216"/>
      <c r="G532" s="216"/>
      <c r="H532" s="216"/>
      <c r="I532" s="216"/>
      <c r="J532" s="215"/>
      <c r="K532" s="217"/>
      <c r="L532" s="217"/>
      <c r="M532" s="217"/>
      <c r="N532" s="217"/>
      <c r="O532" s="217"/>
      <c r="P532" s="217"/>
    </row>
    <row r="533">
      <c r="A533" s="214"/>
      <c r="B533" s="214"/>
      <c r="C533" s="214"/>
      <c r="D533" s="214"/>
      <c r="E533" s="215"/>
      <c r="F533" s="216"/>
      <c r="G533" s="216"/>
      <c r="H533" s="216"/>
      <c r="I533" s="216"/>
      <c r="J533" s="215"/>
      <c r="K533" s="217"/>
      <c r="L533" s="217"/>
      <c r="M533" s="217"/>
      <c r="N533" s="217"/>
      <c r="O533" s="217"/>
      <c r="P533" s="217"/>
    </row>
    <row r="534">
      <c r="A534" s="214"/>
      <c r="B534" s="214"/>
      <c r="C534" s="214"/>
      <c r="D534" s="214"/>
      <c r="E534" s="215"/>
      <c r="F534" s="216"/>
      <c r="G534" s="216"/>
      <c r="H534" s="216"/>
      <c r="I534" s="216"/>
      <c r="J534" s="215"/>
      <c r="K534" s="217"/>
      <c r="L534" s="217"/>
      <c r="M534" s="217"/>
      <c r="N534" s="217"/>
      <c r="O534" s="217"/>
      <c r="P534" s="217"/>
    </row>
    <row r="535">
      <c r="A535" s="214"/>
      <c r="B535" s="214"/>
      <c r="C535" s="214"/>
      <c r="D535" s="214"/>
      <c r="E535" s="215"/>
      <c r="F535" s="216"/>
      <c r="G535" s="216"/>
      <c r="H535" s="216"/>
      <c r="I535" s="216"/>
      <c r="J535" s="215"/>
      <c r="K535" s="217"/>
      <c r="L535" s="217"/>
      <c r="M535" s="217"/>
      <c r="N535" s="217"/>
      <c r="O535" s="217"/>
      <c r="P535" s="217"/>
    </row>
    <row r="536">
      <c r="A536" s="214"/>
      <c r="B536" s="214"/>
      <c r="C536" s="214"/>
      <c r="D536" s="214"/>
      <c r="E536" s="215"/>
      <c r="F536" s="216"/>
      <c r="G536" s="216"/>
      <c r="H536" s="216"/>
      <c r="I536" s="216"/>
      <c r="J536" s="215"/>
      <c r="K536" s="217"/>
      <c r="L536" s="217"/>
      <c r="M536" s="217"/>
      <c r="N536" s="217"/>
      <c r="O536" s="217"/>
      <c r="P536" s="217"/>
    </row>
    <row r="537">
      <c r="A537" s="214"/>
      <c r="B537" s="214"/>
      <c r="C537" s="214"/>
      <c r="D537" s="214"/>
      <c r="E537" s="215"/>
      <c r="F537" s="216"/>
      <c r="G537" s="216"/>
      <c r="H537" s="216"/>
      <c r="I537" s="216"/>
      <c r="J537" s="215"/>
      <c r="K537" s="217"/>
      <c r="L537" s="217"/>
      <c r="M537" s="217"/>
      <c r="N537" s="217"/>
      <c r="O537" s="217"/>
      <c r="P537" s="217"/>
    </row>
    <row r="538">
      <c r="A538" s="214"/>
      <c r="B538" s="214"/>
      <c r="C538" s="214"/>
      <c r="D538" s="214"/>
      <c r="E538" s="215"/>
      <c r="F538" s="216"/>
      <c r="G538" s="216"/>
      <c r="H538" s="216"/>
      <c r="I538" s="216"/>
      <c r="J538" s="215"/>
      <c r="K538" s="217"/>
      <c r="L538" s="217"/>
      <c r="M538" s="217"/>
      <c r="N538" s="217"/>
      <c r="O538" s="217"/>
      <c r="P538" s="217"/>
    </row>
    <row r="539">
      <c r="A539" s="214"/>
      <c r="B539" s="214"/>
      <c r="C539" s="214"/>
      <c r="D539" s="214"/>
      <c r="E539" s="215"/>
      <c r="F539" s="216"/>
      <c r="G539" s="216"/>
      <c r="H539" s="216"/>
      <c r="I539" s="216"/>
      <c r="J539" s="215"/>
      <c r="K539" s="217"/>
      <c r="L539" s="217"/>
      <c r="M539" s="217"/>
      <c r="N539" s="217"/>
      <c r="O539" s="217"/>
      <c r="P539" s="217"/>
    </row>
    <row r="540">
      <c r="A540" s="214"/>
      <c r="B540" s="214"/>
      <c r="C540" s="214"/>
      <c r="D540" s="214"/>
      <c r="E540" s="215"/>
      <c r="F540" s="216"/>
      <c r="G540" s="216"/>
      <c r="H540" s="216"/>
      <c r="I540" s="216"/>
      <c r="J540" s="215"/>
      <c r="K540" s="217"/>
      <c r="L540" s="217"/>
      <c r="M540" s="217"/>
      <c r="N540" s="217"/>
      <c r="O540" s="217"/>
      <c r="P540" s="217"/>
    </row>
    <row r="541">
      <c r="A541" s="214"/>
      <c r="B541" s="214"/>
      <c r="C541" s="214"/>
      <c r="D541" s="214"/>
      <c r="E541" s="215"/>
      <c r="F541" s="216"/>
      <c r="G541" s="216"/>
      <c r="H541" s="216"/>
      <c r="I541" s="216"/>
      <c r="J541" s="215"/>
      <c r="K541" s="217"/>
      <c r="L541" s="217"/>
      <c r="M541" s="217"/>
      <c r="N541" s="217"/>
      <c r="O541" s="217"/>
      <c r="P541" s="217"/>
    </row>
    <row r="542">
      <c r="A542" s="214"/>
      <c r="B542" s="214"/>
      <c r="C542" s="214"/>
      <c r="D542" s="214"/>
      <c r="E542" s="215"/>
      <c r="F542" s="216"/>
      <c r="G542" s="216"/>
      <c r="H542" s="216"/>
      <c r="I542" s="216"/>
      <c r="J542" s="215"/>
      <c r="K542" s="217"/>
      <c r="L542" s="217"/>
      <c r="M542" s="217"/>
      <c r="N542" s="217"/>
      <c r="O542" s="217"/>
      <c r="P542" s="217"/>
    </row>
    <row r="543">
      <c r="A543" s="214"/>
      <c r="B543" s="214"/>
      <c r="C543" s="214"/>
      <c r="D543" s="214"/>
      <c r="E543" s="215"/>
      <c r="F543" s="216"/>
      <c r="G543" s="216"/>
      <c r="H543" s="216"/>
      <c r="I543" s="216"/>
      <c r="J543" s="215"/>
      <c r="K543" s="217"/>
      <c r="L543" s="217"/>
      <c r="M543" s="217"/>
      <c r="N543" s="217"/>
      <c r="O543" s="217"/>
      <c r="P543" s="217"/>
    </row>
    <row r="544">
      <c r="A544" s="214"/>
      <c r="B544" s="214"/>
      <c r="C544" s="214"/>
      <c r="D544" s="214"/>
      <c r="E544" s="215"/>
      <c r="F544" s="216"/>
      <c r="G544" s="216"/>
      <c r="H544" s="216"/>
      <c r="I544" s="216"/>
      <c r="J544" s="215"/>
      <c r="K544" s="217"/>
      <c r="L544" s="217"/>
      <c r="M544" s="217"/>
      <c r="N544" s="217"/>
      <c r="O544" s="217"/>
      <c r="P544" s="217"/>
    </row>
    <row r="545">
      <c r="A545" s="214"/>
      <c r="B545" s="214"/>
      <c r="C545" s="214"/>
      <c r="D545" s="214"/>
      <c r="E545" s="215"/>
      <c r="F545" s="216"/>
      <c r="G545" s="216"/>
      <c r="H545" s="216"/>
      <c r="I545" s="216"/>
      <c r="J545" s="215"/>
      <c r="K545" s="217"/>
      <c r="L545" s="217"/>
      <c r="M545" s="217"/>
      <c r="N545" s="217"/>
      <c r="O545" s="217"/>
      <c r="P545" s="217"/>
    </row>
    <row r="546">
      <c r="A546" s="214"/>
      <c r="B546" s="214"/>
      <c r="C546" s="214"/>
      <c r="D546" s="214"/>
      <c r="E546" s="215"/>
      <c r="F546" s="216"/>
      <c r="G546" s="216"/>
      <c r="H546" s="216"/>
      <c r="I546" s="216"/>
      <c r="J546" s="215"/>
      <c r="K546" s="217"/>
      <c r="L546" s="217"/>
      <c r="M546" s="217"/>
      <c r="N546" s="217"/>
      <c r="O546" s="217"/>
      <c r="P546" s="217"/>
    </row>
    <row r="547">
      <c r="A547" s="214"/>
      <c r="B547" s="214"/>
      <c r="C547" s="214"/>
      <c r="D547" s="214"/>
      <c r="E547" s="215"/>
      <c r="F547" s="216"/>
      <c r="G547" s="216"/>
      <c r="H547" s="216"/>
      <c r="I547" s="216"/>
      <c r="J547" s="215"/>
      <c r="K547" s="217"/>
      <c r="L547" s="217"/>
      <c r="M547" s="217"/>
      <c r="N547" s="217"/>
      <c r="O547" s="217"/>
      <c r="P547" s="217"/>
    </row>
    <row r="548">
      <c r="A548" s="214"/>
      <c r="B548" s="214"/>
      <c r="C548" s="214"/>
      <c r="D548" s="214"/>
      <c r="E548" s="215"/>
      <c r="F548" s="216"/>
      <c r="G548" s="216"/>
      <c r="H548" s="216"/>
      <c r="I548" s="216"/>
      <c r="J548" s="215"/>
      <c r="K548" s="217"/>
      <c r="L548" s="217"/>
      <c r="M548" s="217"/>
      <c r="N548" s="217"/>
      <c r="O548" s="217"/>
      <c r="P548" s="217"/>
    </row>
    <row r="549">
      <c r="A549" s="214"/>
      <c r="B549" s="214"/>
      <c r="C549" s="214"/>
      <c r="D549" s="214"/>
      <c r="E549" s="215"/>
      <c r="F549" s="216"/>
      <c r="G549" s="216"/>
      <c r="H549" s="216"/>
      <c r="I549" s="216"/>
      <c r="J549" s="215"/>
      <c r="K549" s="217"/>
      <c r="L549" s="217"/>
      <c r="M549" s="217"/>
      <c r="N549" s="217"/>
      <c r="O549" s="217"/>
      <c r="P549" s="217"/>
    </row>
    <row r="550">
      <c r="A550" s="214"/>
      <c r="B550" s="214"/>
      <c r="C550" s="214"/>
      <c r="D550" s="214"/>
      <c r="E550" s="215"/>
      <c r="F550" s="216"/>
      <c r="G550" s="216"/>
      <c r="H550" s="216"/>
      <c r="I550" s="216"/>
      <c r="J550" s="215"/>
      <c r="K550" s="217"/>
      <c r="L550" s="217"/>
      <c r="M550" s="217"/>
      <c r="N550" s="217"/>
      <c r="O550" s="217"/>
      <c r="P550" s="217"/>
    </row>
    <row r="551">
      <c r="A551" s="214"/>
      <c r="B551" s="214"/>
      <c r="C551" s="214"/>
      <c r="D551" s="214"/>
      <c r="E551" s="215"/>
      <c r="F551" s="216"/>
      <c r="G551" s="216"/>
      <c r="H551" s="216"/>
      <c r="I551" s="216"/>
      <c r="J551" s="215"/>
      <c r="K551" s="217"/>
      <c r="L551" s="217"/>
      <c r="M551" s="217"/>
      <c r="N551" s="217"/>
      <c r="O551" s="217"/>
      <c r="P551" s="217"/>
    </row>
    <row r="552">
      <c r="A552" s="214"/>
      <c r="B552" s="214"/>
      <c r="C552" s="214"/>
      <c r="D552" s="214"/>
      <c r="E552" s="215"/>
      <c r="F552" s="216"/>
      <c r="G552" s="216"/>
      <c r="H552" s="216"/>
      <c r="I552" s="216"/>
      <c r="J552" s="215"/>
      <c r="K552" s="217"/>
      <c r="L552" s="217"/>
      <c r="M552" s="217"/>
      <c r="N552" s="217"/>
      <c r="O552" s="217"/>
      <c r="P552" s="217"/>
    </row>
    <row r="553">
      <c r="A553" s="214"/>
      <c r="B553" s="214"/>
      <c r="C553" s="214"/>
      <c r="D553" s="214"/>
      <c r="E553" s="215"/>
      <c r="F553" s="216"/>
      <c r="G553" s="216"/>
      <c r="H553" s="216"/>
      <c r="I553" s="216"/>
      <c r="J553" s="215"/>
      <c r="K553" s="217"/>
      <c r="L553" s="217"/>
      <c r="M553" s="217"/>
      <c r="N553" s="217"/>
      <c r="O553" s="217"/>
      <c r="P553" s="217"/>
    </row>
    <row r="554">
      <c r="A554" s="214"/>
      <c r="B554" s="214"/>
      <c r="C554" s="214"/>
      <c r="D554" s="214"/>
      <c r="E554" s="215"/>
      <c r="F554" s="216"/>
      <c r="G554" s="216"/>
      <c r="H554" s="216"/>
      <c r="I554" s="216"/>
      <c r="J554" s="215"/>
      <c r="K554" s="217"/>
      <c r="L554" s="217"/>
      <c r="M554" s="217"/>
      <c r="N554" s="217"/>
      <c r="O554" s="217"/>
      <c r="P554" s="217"/>
    </row>
    <row r="555">
      <c r="A555" s="214"/>
      <c r="B555" s="214"/>
      <c r="C555" s="214"/>
      <c r="D555" s="214"/>
      <c r="E555" s="215"/>
      <c r="F555" s="216"/>
      <c r="G555" s="216"/>
      <c r="H555" s="216"/>
      <c r="I555" s="216"/>
      <c r="J555" s="215"/>
      <c r="K555" s="217"/>
      <c r="L555" s="217"/>
      <c r="M555" s="217"/>
      <c r="N555" s="217"/>
      <c r="O555" s="217"/>
      <c r="P555" s="217"/>
    </row>
    <row r="556">
      <c r="A556" s="214"/>
      <c r="B556" s="214"/>
      <c r="C556" s="214"/>
      <c r="D556" s="214"/>
      <c r="E556" s="215"/>
      <c r="F556" s="216"/>
      <c r="G556" s="216"/>
      <c r="H556" s="216"/>
      <c r="I556" s="216"/>
      <c r="J556" s="215"/>
      <c r="K556" s="217"/>
      <c r="L556" s="217"/>
      <c r="M556" s="217"/>
      <c r="N556" s="217"/>
      <c r="O556" s="217"/>
      <c r="P556" s="217"/>
    </row>
    <row r="557">
      <c r="A557" s="214"/>
      <c r="B557" s="214"/>
      <c r="C557" s="214"/>
      <c r="D557" s="214"/>
      <c r="E557" s="215"/>
      <c r="F557" s="216"/>
      <c r="G557" s="216"/>
      <c r="H557" s="216"/>
      <c r="I557" s="216"/>
      <c r="J557" s="215"/>
      <c r="K557" s="217"/>
      <c r="L557" s="217"/>
      <c r="M557" s="217"/>
      <c r="N557" s="217"/>
      <c r="O557" s="217"/>
      <c r="P557" s="217"/>
    </row>
    <row r="558">
      <c r="A558" s="214"/>
      <c r="B558" s="214"/>
      <c r="C558" s="214"/>
      <c r="D558" s="214"/>
      <c r="E558" s="215"/>
      <c r="F558" s="216"/>
      <c r="G558" s="216"/>
      <c r="H558" s="216"/>
      <c r="I558" s="216"/>
      <c r="J558" s="215"/>
      <c r="K558" s="217"/>
      <c r="L558" s="217"/>
      <c r="M558" s="217"/>
      <c r="N558" s="217"/>
      <c r="O558" s="217"/>
      <c r="P558" s="217"/>
    </row>
    <row r="559">
      <c r="A559" s="214"/>
      <c r="B559" s="214"/>
      <c r="C559" s="214"/>
      <c r="D559" s="214"/>
      <c r="E559" s="215"/>
      <c r="F559" s="216"/>
      <c r="G559" s="216"/>
      <c r="H559" s="216"/>
      <c r="I559" s="216"/>
      <c r="J559" s="215"/>
      <c r="K559" s="217"/>
      <c r="L559" s="217"/>
      <c r="M559" s="217"/>
      <c r="N559" s="217"/>
      <c r="O559" s="217"/>
      <c r="P559" s="217"/>
    </row>
    <row r="560">
      <c r="A560" s="214"/>
      <c r="B560" s="214"/>
      <c r="C560" s="214"/>
      <c r="D560" s="214"/>
      <c r="E560" s="215"/>
      <c r="F560" s="216"/>
      <c r="G560" s="216"/>
      <c r="H560" s="216"/>
      <c r="I560" s="216"/>
      <c r="J560" s="215"/>
      <c r="K560" s="217"/>
      <c r="L560" s="217"/>
      <c r="M560" s="217"/>
      <c r="N560" s="217"/>
      <c r="O560" s="217"/>
      <c r="P560" s="217"/>
    </row>
    <row r="561">
      <c r="A561" s="214"/>
      <c r="B561" s="214"/>
      <c r="C561" s="214"/>
      <c r="D561" s="214"/>
      <c r="E561" s="215"/>
      <c r="F561" s="216"/>
      <c r="G561" s="216"/>
      <c r="H561" s="216"/>
      <c r="I561" s="216"/>
      <c r="J561" s="215"/>
      <c r="K561" s="217"/>
      <c r="L561" s="217"/>
      <c r="M561" s="217"/>
      <c r="N561" s="217"/>
      <c r="O561" s="217"/>
      <c r="P561" s="217"/>
    </row>
    <row r="562">
      <c r="A562" s="214"/>
      <c r="B562" s="214"/>
      <c r="C562" s="214"/>
      <c r="D562" s="214"/>
      <c r="E562" s="215"/>
      <c r="F562" s="216"/>
      <c r="G562" s="216"/>
      <c r="H562" s="216"/>
      <c r="I562" s="216"/>
      <c r="J562" s="215"/>
      <c r="K562" s="217"/>
      <c r="L562" s="217"/>
      <c r="M562" s="217"/>
      <c r="N562" s="217"/>
      <c r="O562" s="217"/>
      <c r="P562" s="217"/>
    </row>
    <row r="563">
      <c r="A563" s="214"/>
      <c r="B563" s="214"/>
      <c r="C563" s="214"/>
      <c r="D563" s="214"/>
      <c r="E563" s="215"/>
      <c r="F563" s="216"/>
      <c r="G563" s="216"/>
      <c r="H563" s="216"/>
      <c r="I563" s="216"/>
      <c r="J563" s="215"/>
      <c r="K563" s="217"/>
      <c r="L563" s="217"/>
      <c r="M563" s="217"/>
      <c r="N563" s="217"/>
      <c r="O563" s="217"/>
      <c r="P563" s="217"/>
    </row>
    <row r="564">
      <c r="A564" s="214"/>
      <c r="B564" s="214"/>
      <c r="C564" s="214"/>
      <c r="D564" s="214"/>
      <c r="E564" s="215"/>
      <c r="F564" s="216"/>
      <c r="G564" s="216"/>
      <c r="H564" s="216"/>
      <c r="I564" s="216"/>
      <c r="J564" s="215"/>
      <c r="K564" s="217"/>
      <c r="L564" s="217"/>
      <c r="M564" s="217"/>
      <c r="N564" s="217"/>
      <c r="O564" s="217"/>
      <c r="P564" s="217"/>
    </row>
    <row r="565">
      <c r="A565" s="214"/>
      <c r="B565" s="214"/>
      <c r="C565" s="214"/>
      <c r="D565" s="214"/>
      <c r="E565" s="215"/>
      <c r="F565" s="216"/>
      <c r="G565" s="216"/>
      <c r="H565" s="216"/>
      <c r="I565" s="216"/>
      <c r="J565" s="215"/>
      <c r="K565" s="217"/>
      <c r="L565" s="217"/>
      <c r="M565" s="217"/>
      <c r="N565" s="217"/>
      <c r="O565" s="217"/>
      <c r="P565" s="217"/>
    </row>
    <row r="566">
      <c r="A566" s="214"/>
      <c r="B566" s="214"/>
      <c r="C566" s="214"/>
      <c r="D566" s="214"/>
      <c r="E566" s="215"/>
      <c r="F566" s="216"/>
      <c r="G566" s="216"/>
      <c r="H566" s="216"/>
      <c r="I566" s="216"/>
      <c r="J566" s="215"/>
      <c r="K566" s="217"/>
      <c r="L566" s="217"/>
      <c r="M566" s="217"/>
      <c r="N566" s="217"/>
      <c r="O566" s="217"/>
      <c r="P566" s="217"/>
    </row>
    <row r="567">
      <c r="A567" s="214"/>
      <c r="B567" s="214"/>
      <c r="C567" s="214"/>
      <c r="D567" s="214"/>
      <c r="E567" s="215"/>
      <c r="F567" s="216"/>
      <c r="G567" s="216"/>
      <c r="H567" s="216"/>
      <c r="I567" s="216"/>
      <c r="J567" s="215"/>
      <c r="K567" s="217"/>
      <c r="L567" s="217"/>
      <c r="M567" s="217"/>
      <c r="N567" s="217"/>
      <c r="O567" s="217"/>
      <c r="P567" s="217"/>
    </row>
    <row r="568">
      <c r="A568" s="214"/>
      <c r="B568" s="214"/>
      <c r="C568" s="214"/>
      <c r="D568" s="214"/>
      <c r="E568" s="215"/>
      <c r="F568" s="216"/>
      <c r="G568" s="216"/>
      <c r="H568" s="216"/>
      <c r="I568" s="216"/>
      <c r="J568" s="215"/>
      <c r="K568" s="217"/>
      <c r="L568" s="217"/>
      <c r="M568" s="217"/>
      <c r="N568" s="217"/>
      <c r="O568" s="217"/>
      <c r="P568" s="217"/>
    </row>
    <row r="569">
      <c r="A569" s="214"/>
      <c r="B569" s="214"/>
      <c r="C569" s="214"/>
      <c r="D569" s="214"/>
      <c r="E569" s="215"/>
      <c r="F569" s="216"/>
      <c r="G569" s="216"/>
      <c r="H569" s="216"/>
      <c r="I569" s="216"/>
      <c r="J569" s="215"/>
      <c r="K569" s="217"/>
      <c r="L569" s="217"/>
      <c r="M569" s="217"/>
      <c r="N569" s="217"/>
      <c r="O569" s="217"/>
      <c r="P569" s="217"/>
    </row>
    <row r="570">
      <c r="A570" s="214"/>
      <c r="B570" s="214"/>
      <c r="C570" s="214"/>
      <c r="D570" s="214"/>
      <c r="E570" s="215"/>
      <c r="F570" s="216"/>
      <c r="G570" s="216"/>
      <c r="H570" s="216"/>
      <c r="I570" s="216"/>
      <c r="J570" s="215"/>
      <c r="K570" s="217"/>
      <c r="L570" s="217"/>
      <c r="M570" s="217"/>
      <c r="N570" s="217"/>
      <c r="O570" s="217"/>
      <c r="P570" s="217"/>
    </row>
    <row r="571">
      <c r="A571" s="214"/>
      <c r="B571" s="214"/>
      <c r="C571" s="214"/>
      <c r="D571" s="214"/>
      <c r="E571" s="215"/>
      <c r="F571" s="216"/>
      <c r="G571" s="216"/>
      <c r="H571" s="216"/>
      <c r="I571" s="216"/>
      <c r="J571" s="215"/>
      <c r="K571" s="217"/>
      <c r="L571" s="217"/>
      <c r="M571" s="217"/>
      <c r="N571" s="217"/>
      <c r="O571" s="217"/>
      <c r="P571" s="217"/>
    </row>
    <row r="572">
      <c r="A572" s="214"/>
      <c r="B572" s="214"/>
      <c r="C572" s="214"/>
      <c r="D572" s="214"/>
      <c r="E572" s="215"/>
      <c r="F572" s="216"/>
      <c r="G572" s="216"/>
      <c r="H572" s="216"/>
      <c r="I572" s="216"/>
      <c r="J572" s="215"/>
      <c r="K572" s="217"/>
      <c r="L572" s="217"/>
      <c r="M572" s="217"/>
      <c r="N572" s="217"/>
      <c r="O572" s="217"/>
      <c r="P572" s="217"/>
    </row>
    <row r="573">
      <c r="A573" s="214"/>
      <c r="B573" s="214"/>
      <c r="C573" s="214"/>
      <c r="D573" s="214"/>
      <c r="E573" s="215"/>
      <c r="F573" s="216"/>
      <c r="G573" s="216"/>
      <c r="H573" s="216"/>
      <c r="I573" s="216"/>
      <c r="J573" s="215"/>
      <c r="K573" s="217"/>
      <c r="L573" s="217"/>
      <c r="M573" s="217"/>
      <c r="N573" s="217"/>
      <c r="O573" s="217"/>
      <c r="P573" s="217"/>
    </row>
    <row r="574">
      <c r="A574" s="214"/>
      <c r="B574" s="214"/>
      <c r="C574" s="214"/>
      <c r="D574" s="214"/>
      <c r="E574" s="215"/>
      <c r="F574" s="216"/>
      <c r="G574" s="216"/>
      <c r="H574" s="216"/>
      <c r="I574" s="216"/>
      <c r="J574" s="215"/>
      <c r="K574" s="217"/>
      <c r="L574" s="217"/>
      <c r="M574" s="217"/>
      <c r="N574" s="217"/>
      <c r="O574" s="217"/>
      <c r="P574" s="217"/>
    </row>
    <row r="575">
      <c r="A575" s="214"/>
      <c r="B575" s="214"/>
      <c r="C575" s="214"/>
      <c r="D575" s="214"/>
      <c r="E575" s="215"/>
      <c r="F575" s="216"/>
      <c r="G575" s="216"/>
      <c r="H575" s="216"/>
      <c r="I575" s="216"/>
      <c r="J575" s="215"/>
      <c r="K575" s="217"/>
      <c r="L575" s="217"/>
      <c r="M575" s="217"/>
      <c r="N575" s="217"/>
      <c r="O575" s="217"/>
      <c r="P575" s="217"/>
    </row>
    <row r="576">
      <c r="A576" s="214"/>
      <c r="B576" s="214"/>
      <c r="C576" s="214"/>
      <c r="D576" s="214"/>
      <c r="E576" s="215"/>
      <c r="F576" s="216"/>
      <c r="G576" s="216"/>
      <c r="H576" s="216"/>
      <c r="I576" s="216"/>
      <c r="J576" s="215"/>
      <c r="K576" s="217"/>
      <c r="L576" s="217"/>
      <c r="M576" s="217"/>
      <c r="N576" s="217"/>
      <c r="O576" s="217"/>
      <c r="P576" s="217"/>
    </row>
    <row r="577">
      <c r="A577" s="214"/>
      <c r="B577" s="214"/>
      <c r="C577" s="214"/>
      <c r="D577" s="214"/>
      <c r="E577" s="215"/>
      <c r="F577" s="216"/>
      <c r="G577" s="216"/>
      <c r="H577" s="216"/>
      <c r="I577" s="216"/>
      <c r="J577" s="215"/>
      <c r="K577" s="217"/>
      <c r="L577" s="217"/>
      <c r="M577" s="217"/>
      <c r="N577" s="217"/>
      <c r="O577" s="217"/>
      <c r="P577" s="217"/>
    </row>
    <row r="578">
      <c r="A578" s="214"/>
      <c r="B578" s="214"/>
      <c r="C578" s="214"/>
      <c r="D578" s="214"/>
      <c r="E578" s="215"/>
      <c r="F578" s="216"/>
      <c r="G578" s="216"/>
      <c r="H578" s="216"/>
      <c r="I578" s="216"/>
      <c r="J578" s="215"/>
      <c r="K578" s="217"/>
      <c r="L578" s="217"/>
      <c r="M578" s="217"/>
      <c r="N578" s="217"/>
      <c r="O578" s="217"/>
      <c r="P578" s="217"/>
    </row>
    <row r="579">
      <c r="A579" s="214"/>
      <c r="B579" s="214"/>
      <c r="C579" s="214"/>
      <c r="D579" s="214"/>
      <c r="E579" s="215"/>
      <c r="F579" s="216"/>
      <c r="G579" s="216"/>
      <c r="H579" s="216"/>
      <c r="I579" s="216"/>
      <c r="J579" s="215"/>
      <c r="K579" s="217"/>
      <c r="L579" s="217"/>
      <c r="M579" s="217"/>
      <c r="N579" s="217"/>
      <c r="O579" s="217"/>
      <c r="P579" s="217"/>
    </row>
    <row r="580">
      <c r="A580" s="214"/>
      <c r="B580" s="214"/>
      <c r="C580" s="214"/>
      <c r="D580" s="214"/>
      <c r="E580" s="215"/>
      <c r="F580" s="216"/>
      <c r="G580" s="216"/>
      <c r="H580" s="216"/>
      <c r="I580" s="216"/>
      <c r="J580" s="215"/>
      <c r="K580" s="217"/>
      <c r="L580" s="217"/>
      <c r="M580" s="217"/>
      <c r="N580" s="217"/>
      <c r="O580" s="217"/>
      <c r="P580" s="217"/>
    </row>
    <row r="581">
      <c r="A581" s="214"/>
      <c r="B581" s="214"/>
      <c r="C581" s="214"/>
      <c r="D581" s="214"/>
      <c r="E581" s="215"/>
      <c r="F581" s="216"/>
      <c r="G581" s="216"/>
      <c r="H581" s="216"/>
      <c r="I581" s="216"/>
      <c r="J581" s="215"/>
      <c r="K581" s="217"/>
      <c r="L581" s="217"/>
      <c r="M581" s="217"/>
      <c r="N581" s="217"/>
      <c r="O581" s="217"/>
      <c r="P581" s="217"/>
    </row>
    <row r="582">
      <c r="A582" s="214"/>
      <c r="B582" s="214"/>
      <c r="C582" s="214"/>
      <c r="D582" s="214"/>
      <c r="E582" s="215"/>
      <c r="F582" s="216"/>
      <c r="G582" s="216"/>
      <c r="H582" s="216"/>
      <c r="I582" s="216"/>
      <c r="J582" s="215"/>
      <c r="K582" s="217"/>
      <c r="L582" s="217"/>
      <c r="M582" s="217"/>
      <c r="N582" s="217"/>
      <c r="O582" s="217"/>
      <c r="P582" s="217"/>
    </row>
    <row r="583">
      <c r="A583" s="214"/>
      <c r="B583" s="214"/>
      <c r="C583" s="214"/>
      <c r="D583" s="214"/>
      <c r="E583" s="215"/>
      <c r="F583" s="216"/>
      <c r="G583" s="216"/>
      <c r="H583" s="216"/>
      <c r="I583" s="216"/>
      <c r="J583" s="215"/>
      <c r="K583" s="217"/>
      <c r="L583" s="217"/>
      <c r="M583" s="217"/>
      <c r="N583" s="217"/>
      <c r="O583" s="217"/>
      <c r="P583" s="217"/>
    </row>
    <row r="584">
      <c r="A584" s="214"/>
      <c r="B584" s="214"/>
      <c r="C584" s="214"/>
      <c r="D584" s="214"/>
      <c r="E584" s="215"/>
      <c r="F584" s="216"/>
      <c r="G584" s="216"/>
      <c r="H584" s="216"/>
      <c r="I584" s="216"/>
      <c r="J584" s="215"/>
      <c r="K584" s="217"/>
      <c r="L584" s="217"/>
      <c r="M584" s="217"/>
      <c r="N584" s="217"/>
      <c r="O584" s="217"/>
      <c r="P584" s="217"/>
    </row>
    <row r="585">
      <c r="A585" s="214"/>
      <c r="B585" s="214"/>
      <c r="C585" s="214"/>
      <c r="D585" s="214"/>
      <c r="E585" s="215"/>
      <c r="F585" s="216"/>
      <c r="G585" s="216"/>
      <c r="H585" s="216"/>
      <c r="I585" s="216"/>
      <c r="J585" s="215"/>
      <c r="K585" s="217"/>
      <c r="L585" s="217"/>
      <c r="M585" s="217"/>
      <c r="N585" s="217"/>
      <c r="O585" s="217"/>
      <c r="P585" s="217"/>
    </row>
    <row r="586">
      <c r="A586" s="214"/>
      <c r="B586" s="214"/>
      <c r="C586" s="214"/>
      <c r="D586" s="214"/>
      <c r="E586" s="215"/>
      <c r="F586" s="216"/>
      <c r="G586" s="216"/>
      <c r="H586" s="216"/>
      <c r="I586" s="216"/>
      <c r="J586" s="215"/>
      <c r="K586" s="217"/>
      <c r="L586" s="217"/>
      <c r="M586" s="217"/>
      <c r="N586" s="217"/>
      <c r="O586" s="217"/>
      <c r="P586" s="217"/>
    </row>
    <row r="587">
      <c r="A587" s="214"/>
      <c r="B587" s="214"/>
      <c r="C587" s="214"/>
      <c r="D587" s="214"/>
      <c r="E587" s="215"/>
      <c r="F587" s="216"/>
      <c r="G587" s="216"/>
      <c r="H587" s="216"/>
      <c r="I587" s="216"/>
      <c r="J587" s="215"/>
      <c r="K587" s="217"/>
      <c r="L587" s="217"/>
      <c r="M587" s="217"/>
      <c r="N587" s="217"/>
      <c r="O587" s="217"/>
      <c r="P587" s="217"/>
    </row>
    <row r="588">
      <c r="A588" s="214"/>
      <c r="B588" s="214"/>
      <c r="C588" s="214"/>
      <c r="D588" s="214"/>
      <c r="E588" s="215"/>
      <c r="F588" s="216"/>
      <c r="G588" s="216"/>
      <c r="H588" s="216"/>
      <c r="I588" s="216"/>
      <c r="J588" s="215"/>
      <c r="K588" s="217"/>
      <c r="L588" s="217"/>
      <c r="M588" s="217"/>
      <c r="N588" s="217"/>
      <c r="O588" s="217"/>
      <c r="P588" s="217"/>
    </row>
    <row r="589">
      <c r="A589" s="214"/>
      <c r="B589" s="214"/>
      <c r="C589" s="214"/>
      <c r="D589" s="214"/>
      <c r="E589" s="215"/>
      <c r="F589" s="216"/>
      <c r="G589" s="216"/>
      <c r="H589" s="216"/>
      <c r="I589" s="216"/>
      <c r="J589" s="215"/>
      <c r="K589" s="217"/>
      <c r="L589" s="217"/>
      <c r="M589" s="217"/>
      <c r="N589" s="217"/>
      <c r="O589" s="217"/>
      <c r="P589" s="217"/>
    </row>
    <row r="590">
      <c r="A590" s="214"/>
      <c r="B590" s="214"/>
      <c r="C590" s="214"/>
      <c r="D590" s="214"/>
      <c r="E590" s="215"/>
      <c r="F590" s="216"/>
      <c r="G590" s="216"/>
      <c r="H590" s="216"/>
      <c r="I590" s="216"/>
      <c r="J590" s="215"/>
      <c r="K590" s="217"/>
      <c r="L590" s="217"/>
      <c r="M590" s="217"/>
      <c r="N590" s="217"/>
      <c r="O590" s="217"/>
      <c r="P590" s="217"/>
    </row>
    <row r="591">
      <c r="A591" s="214"/>
      <c r="B591" s="214"/>
      <c r="C591" s="214"/>
      <c r="D591" s="214"/>
      <c r="E591" s="215"/>
      <c r="F591" s="216"/>
      <c r="G591" s="216"/>
      <c r="H591" s="216"/>
      <c r="I591" s="216"/>
      <c r="J591" s="215"/>
      <c r="K591" s="217"/>
      <c r="L591" s="217"/>
      <c r="M591" s="217"/>
      <c r="N591" s="217"/>
      <c r="O591" s="217"/>
      <c r="P591" s="217"/>
    </row>
    <row r="592">
      <c r="A592" s="214"/>
      <c r="B592" s="214"/>
      <c r="C592" s="214"/>
      <c r="D592" s="214"/>
      <c r="E592" s="215"/>
      <c r="F592" s="216"/>
      <c r="G592" s="216"/>
      <c r="H592" s="216"/>
      <c r="I592" s="216"/>
      <c r="J592" s="215"/>
      <c r="K592" s="217"/>
      <c r="L592" s="217"/>
      <c r="M592" s="217"/>
      <c r="N592" s="217"/>
      <c r="O592" s="217"/>
      <c r="P592" s="217"/>
    </row>
    <row r="593">
      <c r="A593" s="214"/>
      <c r="B593" s="214"/>
      <c r="C593" s="214"/>
      <c r="D593" s="214"/>
      <c r="E593" s="215"/>
      <c r="F593" s="216"/>
      <c r="G593" s="216"/>
      <c r="H593" s="216"/>
      <c r="I593" s="216"/>
      <c r="J593" s="215"/>
      <c r="K593" s="217"/>
      <c r="L593" s="217"/>
      <c r="M593" s="217"/>
      <c r="N593" s="217"/>
      <c r="O593" s="217"/>
      <c r="P593" s="217"/>
    </row>
    <row r="594">
      <c r="A594" s="214"/>
      <c r="B594" s="214"/>
      <c r="C594" s="214"/>
      <c r="D594" s="214"/>
      <c r="E594" s="215"/>
      <c r="F594" s="216"/>
      <c r="G594" s="216"/>
      <c r="H594" s="216"/>
      <c r="I594" s="216"/>
      <c r="J594" s="215"/>
      <c r="K594" s="217"/>
      <c r="L594" s="217"/>
      <c r="M594" s="217"/>
      <c r="N594" s="217"/>
      <c r="O594" s="217"/>
      <c r="P594" s="217"/>
    </row>
    <row r="595">
      <c r="A595" s="214"/>
      <c r="B595" s="214"/>
      <c r="C595" s="214"/>
      <c r="D595" s="214"/>
      <c r="E595" s="215"/>
      <c r="F595" s="216"/>
      <c r="G595" s="216"/>
      <c r="H595" s="216"/>
      <c r="I595" s="216"/>
      <c r="J595" s="215"/>
      <c r="K595" s="217"/>
      <c r="L595" s="217"/>
      <c r="M595" s="217"/>
      <c r="N595" s="217"/>
      <c r="O595" s="217"/>
      <c r="P595" s="217"/>
    </row>
    <row r="596">
      <c r="A596" s="214"/>
      <c r="B596" s="214"/>
      <c r="C596" s="214"/>
      <c r="D596" s="214"/>
      <c r="E596" s="215"/>
      <c r="F596" s="216"/>
      <c r="G596" s="216"/>
      <c r="H596" s="216"/>
      <c r="I596" s="216"/>
      <c r="J596" s="215"/>
      <c r="K596" s="217"/>
      <c r="L596" s="217"/>
      <c r="M596" s="217"/>
      <c r="N596" s="217"/>
      <c r="O596" s="217"/>
      <c r="P596" s="217"/>
    </row>
    <row r="597">
      <c r="A597" s="214"/>
      <c r="B597" s="214"/>
      <c r="C597" s="214"/>
      <c r="D597" s="214"/>
      <c r="E597" s="215"/>
      <c r="F597" s="216"/>
      <c r="G597" s="216"/>
      <c r="H597" s="216"/>
      <c r="I597" s="216"/>
      <c r="J597" s="215"/>
      <c r="K597" s="217"/>
      <c r="L597" s="217"/>
      <c r="M597" s="217"/>
      <c r="N597" s="217"/>
      <c r="O597" s="217"/>
      <c r="P597" s="217"/>
    </row>
    <row r="598">
      <c r="A598" s="214"/>
      <c r="B598" s="214"/>
      <c r="C598" s="214"/>
      <c r="D598" s="214"/>
      <c r="E598" s="215"/>
      <c r="F598" s="216"/>
      <c r="G598" s="216"/>
      <c r="H598" s="216"/>
      <c r="I598" s="216"/>
      <c r="J598" s="215"/>
      <c r="K598" s="217"/>
      <c r="L598" s="217"/>
      <c r="M598" s="217"/>
      <c r="N598" s="217"/>
      <c r="O598" s="217"/>
      <c r="P598" s="217"/>
    </row>
    <row r="599">
      <c r="A599" s="214"/>
      <c r="B599" s="214"/>
      <c r="C599" s="214"/>
      <c r="D599" s="214"/>
      <c r="E599" s="215"/>
      <c r="F599" s="216"/>
      <c r="G599" s="216"/>
      <c r="H599" s="216"/>
      <c r="I599" s="216"/>
      <c r="J599" s="215"/>
      <c r="K599" s="217"/>
      <c r="L599" s="217"/>
      <c r="M599" s="217"/>
      <c r="N599" s="217"/>
      <c r="O599" s="217"/>
      <c r="P599" s="217"/>
    </row>
    <row r="600">
      <c r="A600" s="214"/>
      <c r="B600" s="214"/>
      <c r="C600" s="214"/>
      <c r="D600" s="214"/>
      <c r="E600" s="215"/>
      <c r="F600" s="216"/>
      <c r="G600" s="216"/>
      <c r="H600" s="216"/>
      <c r="I600" s="216"/>
      <c r="J600" s="215"/>
      <c r="K600" s="217"/>
      <c r="L600" s="217"/>
      <c r="M600" s="217"/>
      <c r="N600" s="217"/>
      <c r="O600" s="217"/>
      <c r="P600" s="217"/>
    </row>
    <row r="601">
      <c r="A601" s="214"/>
      <c r="B601" s="214"/>
      <c r="C601" s="214"/>
      <c r="D601" s="214"/>
      <c r="E601" s="215"/>
      <c r="F601" s="216"/>
      <c r="G601" s="216"/>
      <c r="H601" s="216"/>
      <c r="I601" s="216"/>
      <c r="J601" s="215"/>
      <c r="K601" s="217"/>
      <c r="L601" s="217"/>
      <c r="M601" s="217"/>
      <c r="N601" s="217"/>
      <c r="O601" s="217"/>
      <c r="P601" s="217"/>
    </row>
    <row r="602">
      <c r="A602" s="214"/>
      <c r="B602" s="214"/>
      <c r="C602" s="214"/>
      <c r="D602" s="214"/>
      <c r="E602" s="215"/>
      <c r="F602" s="216"/>
      <c r="G602" s="216"/>
      <c r="H602" s="216"/>
      <c r="I602" s="216"/>
      <c r="J602" s="215"/>
      <c r="K602" s="217"/>
      <c r="L602" s="217"/>
      <c r="M602" s="217"/>
      <c r="N602" s="217"/>
      <c r="O602" s="217"/>
      <c r="P602" s="217"/>
    </row>
    <row r="603">
      <c r="A603" s="214"/>
      <c r="B603" s="214"/>
      <c r="C603" s="214"/>
      <c r="D603" s="214"/>
      <c r="E603" s="215"/>
      <c r="F603" s="216"/>
      <c r="G603" s="216"/>
      <c r="H603" s="216"/>
      <c r="I603" s="216"/>
      <c r="J603" s="215"/>
      <c r="K603" s="217"/>
      <c r="L603" s="217"/>
      <c r="M603" s="217"/>
      <c r="N603" s="217"/>
      <c r="O603" s="217"/>
      <c r="P603" s="217"/>
    </row>
    <row r="604">
      <c r="A604" s="214"/>
      <c r="B604" s="214"/>
      <c r="C604" s="214"/>
      <c r="D604" s="214"/>
      <c r="E604" s="215"/>
      <c r="F604" s="216"/>
      <c r="G604" s="216"/>
      <c r="H604" s="216"/>
      <c r="I604" s="216"/>
      <c r="J604" s="215"/>
      <c r="K604" s="217"/>
      <c r="L604" s="217"/>
      <c r="M604" s="217"/>
      <c r="N604" s="217"/>
      <c r="O604" s="217"/>
      <c r="P604" s="217"/>
    </row>
    <row r="605">
      <c r="A605" s="214"/>
      <c r="B605" s="214"/>
      <c r="C605" s="214"/>
      <c r="D605" s="214"/>
      <c r="E605" s="215"/>
      <c r="F605" s="216"/>
      <c r="G605" s="216"/>
      <c r="H605" s="216"/>
      <c r="I605" s="216"/>
      <c r="J605" s="215"/>
      <c r="K605" s="217"/>
      <c r="L605" s="217"/>
      <c r="M605" s="217"/>
      <c r="N605" s="217"/>
      <c r="O605" s="217"/>
      <c r="P605" s="217"/>
    </row>
    <row r="606">
      <c r="A606" s="214"/>
      <c r="B606" s="214"/>
      <c r="C606" s="214"/>
      <c r="D606" s="214"/>
      <c r="E606" s="215"/>
      <c r="F606" s="216"/>
      <c r="G606" s="216"/>
      <c r="H606" s="216"/>
      <c r="I606" s="216"/>
      <c r="J606" s="215"/>
      <c r="K606" s="217"/>
      <c r="L606" s="217"/>
      <c r="M606" s="217"/>
      <c r="N606" s="217"/>
      <c r="O606" s="217"/>
      <c r="P606" s="217"/>
    </row>
    <row r="607">
      <c r="A607" s="214"/>
      <c r="B607" s="214"/>
      <c r="C607" s="214"/>
      <c r="D607" s="214"/>
      <c r="E607" s="215"/>
      <c r="F607" s="216"/>
      <c r="G607" s="216"/>
      <c r="H607" s="216"/>
      <c r="I607" s="216"/>
      <c r="J607" s="215"/>
      <c r="K607" s="217"/>
      <c r="L607" s="217"/>
      <c r="M607" s="217"/>
      <c r="N607" s="217"/>
      <c r="O607" s="217"/>
      <c r="P607" s="217"/>
    </row>
    <row r="608">
      <c r="A608" s="214"/>
      <c r="B608" s="214"/>
      <c r="C608" s="214"/>
      <c r="D608" s="214"/>
      <c r="E608" s="215"/>
      <c r="F608" s="216"/>
      <c r="G608" s="216"/>
      <c r="H608" s="216"/>
      <c r="I608" s="216"/>
      <c r="J608" s="215"/>
      <c r="K608" s="217"/>
      <c r="L608" s="217"/>
      <c r="M608" s="217"/>
      <c r="N608" s="217"/>
      <c r="O608" s="217"/>
      <c r="P608" s="217"/>
    </row>
    <row r="609">
      <c r="A609" s="214"/>
      <c r="B609" s="214"/>
      <c r="C609" s="214"/>
      <c r="D609" s="214"/>
      <c r="E609" s="215"/>
      <c r="F609" s="216"/>
      <c r="G609" s="216"/>
      <c r="H609" s="216"/>
      <c r="I609" s="216"/>
      <c r="J609" s="215"/>
      <c r="K609" s="217"/>
      <c r="L609" s="217"/>
      <c r="M609" s="217"/>
      <c r="N609" s="217"/>
      <c r="O609" s="217"/>
      <c r="P609" s="217"/>
    </row>
    <row r="610">
      <c r="A610" s="214"/>
      <c r="B610" s="214"/>
      <c r="C610" s="214"/>
      <c r="D610" s="214"/>
      <c r="E610" s="215"/>
      <c r="F610" s="216"/>
      <c r="G610" s="216"/>
      <c r="H610" s="216"/>
      <c r="I610" s="216"/>
      <c r="J610" s="215"/>
      <c r="K610" s="217"/>
      <c r="L610" s="217"/>
      <c r="M610" s="217"/>
      <c r="N610" s="217"/>
      <c r="O610" s="217"/>
      <c r="P610" s="217"/>
    </row>
    <row r="611">
      <c r="A611" s="214"/>
      <c r="B611" s="214"/>
      <c r="C611" s="214"/>
      <c r="D611" s="214"/>
      <c r="E611" s="215"/>
      <c r="F611" s="216"/>
      <c r="G611" s="216"/>
      <c r="H611" s="216"/>
      <c r="I611" s="216"/>
      <c r="J611" s="215"/>
      <c r="K611" s="217"/>
      <c r="L611" s="217"/>
      <c r="M611" s="217"/>
      <c r="N611" s="217"/>
      <c r="O611" s="217"/>
      <c r="P611" s="217"/>
    </row>
    <row r="612">
      <c r="A612" s="214"/>
      <c r="B612" s="214"/>
      <c r="C612" s="214"/>
      <c r="D612" s="214"/>
      <c r="E612" s="215"/>
      <c r="F612" s="216"/>
      <c r="G612" s="216"/>
      <c r="H612" s="216"/>
      <c r="I612" s="216"/>
      <c r="J612" s="215"/>
      <c r="K612" s="217"/>
      <c r="L612" s="217"/>
      <c r="M612" s="217"/>
      <c r="N612" s="217"/>
      <c r="O612" s="217"/>
      <c r="P612" s="217"/>
    </row>
    <row r="613">
      <c r="A613" s="214"/>
      <c r="B613" s="214"/>
      <c r="C613" s="214"/>
      <c r="D613" s="214"/>
      <c r="E613" s="215"/>
      <c r="F613" s="216"/>
      <c r="G613" s="216"/>
      <c r="H613" s="216"/>
      <c r="I613" s="216"/>
      <c r="J613" s="215"/>
      <c r="K613" s="217"/>
      <c r="L613" s="217"/>
      <c r="M613" s="217"/>
      <c r="N613" s="217"/>
      <c r="O613" s="217"/>
      <c r="P613" s="217"/>
    </row>
    <row r="614">
      <c r="A614" s="214"/>
      <c r="B614" s="214"/>
      <c r="C614" s="214"/>
      <c r="D614" s="214"/>
      <c r="E614" s="215"/>
      <c r="F614" s="216"/>
      <c r="G614" s="216"/>
      <c r="H614" s="216"/>
      <c r="I614" s="216"/>
      <c r="J614" s="215"/>
      <c r="K614" s="217"/>
      <c r="L614" s="217"/>
      <c r="M614" s="217"/>
      <c r="N614" s="217"/>
      <c r="O614" s="217"/>
      <c r="P614" s="217"/>
    </row>
    <row r="615">
      <c r="A615" s="214"/>
      <c r="B615" s="214"/>
      <c r="C615" s="214"/>
      <c r="D615" s="214"/>
      <c r="E615" s="215"/>
      <c r="F615" s="216"/>
      <c r="G615" s="216"/>
      <c r="H615" s="216"/>
      <c r="I615" s="216"/>
      <c r="J615" s="215"/>
      <c r="K615" s="217"/>
      <c r="L615" s="217"/>
      <c r="M615" s="217"/>
      <c r="N615" s="217"/>
      <c r="O615" s="217"/>
      <c r="P615" s="217"/>
    </row>
    <row r="616">
      <c r="A616" s="214"/>
      <c r="B616" s="214"/>
      <c r="C616" s="214"/>
      <c r="D616" s="214"/>
      <c r="E616" s="215"/>
      <c r="F616" s="216"/>
      <c r="G616" s="216"/>
      <c r="H616" s="216"/>
      <c r="I616" s="216"/>
      <c r="J616" s="215"/>
      <c r="K616" s="217"/>
      <c r="L616" s="217"/>
      <c r="M616" s="217"/>
      <c r="N616" s="217"/>
      <c r="O616" s="217"/>
      <c r="P616" s="217"/>
    </row>
    <row r="617">
      <c r="A617" s="214"/>
      <c r="B617" s="214"/>
      <c r="C617" s="214"/>
      <c r="D617" s="214"/>
      <c r="E617" s="215"/>
      <c r="F617" s="216"/>
      <c r="G617" s="216"/>
      <c r="H617" s="216"/>
      <c r="I617" s="216"/>
      <c r="J617" s="215"/>
      <c r="K617" s="217"/>
      <c r="L617" s="217"/>
      <c r="M617" s="217"/>
      <c r="N617" s="217"/>
      <c r="O617" s="217"/>
      <c r="P617" s="217"/>
    </row>
    <row r="618">
      <c r="A618" s="214"/>
      <c r="B618" s="214"/>
      <c r="C618" s="214"/>
      <c r="D618" s="214"/>
      <c r="E618" s="215"/>
      <c r="F618" s="216"/>
      <c r="G618" s="216"/>
      <c r="H618" s="216"/>
      <c r="I618" s="216"/>
      <c r="J618" s="215"/>
      <c r="K618" s="217"/>
      <c r="L618" s="217"/>
      <c r="M618" s="217"/>
      <c r="N618" s="217"/>
      <c r="O618" s="217"/>
      <c r="P618" s="217"/>
    </row>
    <row r="619">
      <c r="A619" s="214"/>
      <c r="B619" s="214"/>
      <c r="C619" s="214"/>
      <c r="D619" s="214"/>
      <c r="E619" s="215"/>
      <c r="F619" s="216"/>
      <c r="G619" s="216"/>
      <c r="H619" s="216"/>
      <c r="I619" s="216"/>
      <c r="J619" s="215"/>
      <c r="K619" s="217"/>
      <c r="L619" s="217"/>
      <c r="M619" s="217"/>
      <c r="N619" s="217"/>
      <c r="O619" s="217"/>
      <c r="P619" s="217"/>
    </row>
    <row r="620">
      <c r="A620" s="214"/>
      <c r="B620" s="214"/>
      <c r="C620" s="214"/>
      <c r="D620" s="214"/>
      <c r="E620" s="215"/>
      <c r="F620" s="216"/>
      <c r="G620" s="216"/>
      <c r="H620" s="216"/>
      <c r="I620" s="216"/>
      <c r="J620" s="215"/>
      <c r="K620" s="217"/>
      <c r="L620" s="217"/>
      <c r="M620" s="217"/>
      <c r="N620" s="217"/>
      <c r="O620" s="217"/>
      <c r="P620" s="217"/>
    </row>
    <row r="621">
      <c r="A621" s="214"/>
      <c r="B621" s="214"/>
      <c r="C621" s="214"/>
      <c r="D621" s="214"/>
      <c r="E621" s="215"/>
      <c r="F621" s="216"/>
      <c r="G621" s="216"/>
      <c r="H621" s="216"/>
      <c r="I621" s="216"/>
      <c r="J621" s="215"/>
      <c r="K621" s="217"/>
      <c r="L621" s="217"/>
      <c r="M621" s="217"/>
      <c r="N621" s="217"/>
      <c r="O621" s="217"/>
      <c r="P621" s="217"/>
    </row>
    <row r="622">
      <c r="A622" s="214"/>
      <c r="B622" s="214"/>
      <c r="C622" s="214"/>
      <c r="D622" s="214"/>
      <c r="E622" s="215"/>
      <c r="F622" s="216"/>
      <c r="G622" s="216"/>
      <c r="H622" s="216"/>
      <c r="I622" s="216"/>
      <c r="J622" s="215"/>
      <c r="K622" s="217"/>
      <c r="L622" s="217"/>
      <c r="M622" s="217"/>
      <c r="N622" s="217"/>
      <c r="O622" s="217"/>
      <c r="P622" s="217"/>
    </row>
    <row r="623">
      <c r="A623" s="214"/>
      <c r="B623" s="214"/>
      <c r="C623" s="214"/>
      <c r="D623" s="214"/>
      <c r="E623" s="215"/>
      <c r="F623" s="216"/>
      <c r="G623" s="216"/>
      <c r="H623" s="216"/>
      <c r="I623" s="216"/>
      <c r="J623" s="215"/>
      <c r="K623" s="217"/>
      <c r="L623" s="217"/>
      <c r="M623" s="217"/>
      <c r="N623" s="217"/>
      <c r="O623" s="217"/>
      <c r="P623" s="217"/>
    </row>
    <row r="624">
      <c r="A624" s="214"/>
      <c r="B624" s="214"/>
      <c r="C624" s="214"/>
      <c r="D624" s="214"/>
      <c r="E624" s="215"/>
      <c r="F624" s="216"/>
      <c r="G624" s="216"/>
      <c r="H624" s="216"/>
      <c r="I624" s="216"/>
      <c r="J624" s="215"/>
      <c r="K624" s="217"/>
      <c r="L624" s="217"/>
      <c r="M624" s="217"/>
      <c r="N624" s="217"/>
      <c r="O624" s="217"/>
      <c r="P624" s="217"/>
    </row>
    <row r="625">
      <c r="A625" s="214"/>
      <c r="B625" s="214"/>
      <c r="C625" s="214"/>
      <c r="D625" s="214"/>
      <c r="E625" s="215"/>
      <c r="F625" s="216"/>
      <c r="G625" s="216"/>
      <c r="H625" s="216"/>
      <c r="I625" s="216"/>
      <c r="J625" s="215"/>
      <c r="K625" s="217"/>
      <c r="L625" s="217"/>
      <c r="M625" s="217"/>
      <c r="N625" s="217"/>
      <c r="O625" s="217"/>
      <c r="P625" s="217"/>
    </row>
    <row r="626">
      <c r="A626" s="214"/>
      <c r="B626" s="214"/>
      <c r="C626" s="214"/>
      <c r="D626" s="214"/>
      <c r="E626" s="215"/>
      <c r="F626" s="216"/>
      <c r="G626" s="216"/>
      <c r="H626" s="216"/>
      <c r="I626" s="216"/>
      <c r="J626" s="215"/>
      <c r="K626" s="217"/>
      <c r="L626" s="217"/>
      <c r="M626" s="217"/>
      <c r="N626" s="217"/>
      <c r="O626" s="217"/>
      <c r="P626" s="217"/>
    </row>
    <row r="627">
      <c r="A627" s="214"/>
      <c r="B627" s="214"/>
      <c r="C627" s="214"/>
      <c r="D627" s="214"/>
      <c r="E627" s="215"/>
      <c r="F627" s="216"/>
      <c r="G627" s="216"/>
      <c r="H627" s="216"/>
      <c r="I627" s="216"/>
      <c r="J627" s="215"/>
      <c r="K627" s="217"/>
      <c r="L627" s="217"/>
      <c r="M627" s="217"/>
      <c r="N627" s="217"/>
      <c r="O627" s="217"/>
      <c r="P627" s="217"/>
    </row>
    <row r="628">
      <c r="A628" s="214"/>
      <c r="B628" s="214"/>
      <c r="C628" s="214"/>
      <c r="D628" s="214"/>
      <c r="E628" s="215"/>
      <c r="F628" s="216"/>
      <c r="G628" s="216"/>
      <c r="H628" s="216"/>
      <c r="I628" s="216"/>
      <c r="J628" s="215"/>
      <c r="K628" s="217"/>
      <c r="L628" s="217"/>
      <c r="M628" s="217"/>
      <c r="N628" s="217"/>
      <c r="O628" s="217"/>
      <c r="P628" s="217"/>
    </row>
    <row r="629">
      <c r="A629" s="214"/>
      <c r="B629" s="214"/>
      <c r="C629" s="214"/>
      <c r="D629" s="214"/>
      <c r="E629" s="215"/>
      <c r="F629" s="216"/>
      <c r="G629" s="216"/>
      <c r="H629" s="216"/>
      <c r="I629" s="216"/>
      <c r="J629" s="215"/>
      <c r="K629" s="217"/>
      <c r="L629" s="217"/>
      <c r="M629" s="217"/>
      <c r="N629" s="217"/>
      <c r="O629" s="217"/>
      <c r="P629" s="217"/>
    </row>
    <row r="630">
      <c r="A630" s="214"/>
      <c r="B630" s="214"/>
      <c r="C630" s="214"/>
      <c r="D630" s="214"/>
      <c r="E630" s="215"/>
      <c r="F630" s="216"/>
      <c r="G630" s="216"/>
      <c r="H630" s="216"/>
      <c r="I630" s="216"/>
      <c r="J630" s="215"/>
      <c r="K630" s="217"/>
      <c r="L630" s="217"/>
      <c r="M630" s="217"/>
      <c r="N630" s="217"/>
      <c r="O630" s="217"/>
      <c r="P630" s="217"/>
    </row>
    <row r="631">
      <c r="A631" s="214"/>
      <c r="B631" s="214"/>
      <c r="C631" s="214"/>
      <c r="D631" s="214"/>
      <c r="E631" s="215"/>
      <c r="F631" s="216"/>
      <c r="G631" s="216"/>
      <c r="H631" s="216"/>
      <c r="I631" s="216"/>
      <c r="J631" s="215"/>
      <c r="K631" s="217"/>
      <c r="L631" s="217"/>
      <c r="M631" s="217"/>
      <c r="N631" s="217"/>
      <c r="O631" s="217"/>
      <c r="P631" s="217"/>
    </row>
    <row r="632">
      <c r="A632" s="214"/>
      <c r="B632" s="214"/>
      <c r="C632" s="214"/>
      <c r="D632" s="214"/>
      <c r="E632" s="215"/>
      <c r="F632" s="216"/>
      <c r="G632" s="216"/>
      <c r="H632" s="216"/>
      <c r="I632" s="216"/>
      <c r="J632" s="215"/>
      <c r="K632" s="217"/>
      <c r="L632" s="217"/>
      <c r="M632" s="217"/>
      <c r="N632" s="217"/>
      <c r="O632" s="217"/>
      <c r="P632" s="217"/>
    </row>
    <row r="633">
      <c r="A633" s="214"/>
      <c r="B633" s="214"/>
      <c r="C633" s="214"/>
      <c r="D633" s="214"/>
      <c r="E633" s="215"/>
      <c r="F633" s="216"/>
      <c r="G633" s="216"/>
      <c r="H633" s="216"/>
      <c r="I633" s="216"/>
      <c r="J633" s="215"/>
      <c r="K633" s="217"/>
      <c r="L633" s="217"/>
      <c r="M633" s="217"/>
      <c r="N633" s="217"/>
      <c r="O633" s="217"/>
      <c r="P633" s="217"/>
    </row>
    <row r="634">
      <c r="A634" s="214"/>
      <c r="B634" s="214"/>
      <c r="C634" s="214"/>
      <c r="D634" s="214"/>
      <c r="E634" s="215"/>
      <c r="F634" s="216"/>
      <c r="G634" s="216"/>
      <c r="H634" s="216"/>
      <c r="I634" s="216"/>
      <c r="J634" s="215"/>
      <c r="K634" s="217"/>
      <c r="L634" s="217"/>
      <c r="M634" s="217"/>
      <c r="N634" s="217"/>
      <c r="O634" s="217"/>
      <c r="P634" s="217"/>
    </row>
    <row r="635">
      <c r="A635" s="214"/>
      <c r="B635" s="214"/>
      <c r="C635" s="214"/>
      <c r="D635" s="214"/>
      <c r="E635" s="215"/>
      <c r="F635" s="216"/>
      <c r="G635" s="216"/>
      <c r="H635" s="216"/>
      <c r="I635" s="216"/>
      <c r="J635" s="215"/>
      <c r="K635" s="217"/>
      <c r="L635" s="217"/>
      <c r="M635" s="217"/>
      <c r="N635" s="217"/>
      <c r="O635" s="217"/>
      <c r="P635" s="217"/>
    </row>
    <row r="636">
      <c r="A636" s="214"/>
      <c r="B636" s="214"/>
      <c r="C636" s="214"/>
      <c r="D636" s="214"/>
      <c r="E636" s="215"/>
      <c r="F636" s="216"/>
      <c r="G636" s="216"/>
      <c r="H636" s="216"/>
      <c r="I636" s="216"/>
      <c r="J636" s="215"/>
      <c r="K636" s="217"/>
      <c r="L636" s="217"/>
      <c r="M636" s="217"/>
      <c r="N636" s="217"/>
      <c r="O636" s="217"/>
      <c r="P636" s="217"/>
    </row>
    <row r="637">
      <c r="A637" s="214"/>
      <c r="B637" s="214"/>
      <c r="C637" s="214"/>
      <c r="D637" s="214"/>
      <c r="E637" s="215"/>
      <c r="F637" s="216"/>
      <c r="G637" s="216"/>
      <c r="H637" s="216"/>
      <c r="I637" s="216"/>
      <c r="J637" s="215"/>
      <c r="K637" s="217"/>
      <c r="L637" s="217"/>
      <c r="M637" s="217"/>
      <c r="N637" s="217"/>
      <c r="O637" s="217"/>
      <c r="P637" s="217"/>
    </row>
    <row r="638">
      <c r="A638" s="214"/>
      <c r="B638" s="214"/>
      <c r="C638" s="214"/>
      <c r="D638" s="214"/>
      <c r="E638" s="215"/>
      <c r="F638" s="216"/>
      <c r="G638" s="216"/>
      <c r="H638" s="216"/>
      <c r="I638" s="216"/>
      <c r="J638" s="215"/>
      <c r="K638" s="217"/>
      <c r="L638" s="217"/>
      <c r="M638" s="217"/>
      <c r="N638" s="217"/>
      <c r="O638" s="217"/>
      <c r="P638" s="217"/>
    </row>
    <row r="639">
      <c r="A639" s="214"/>
      <c r="B639" s="214"/>
      <c r="C639" s="214"/>
      <c r="D639" s="214"/>
      <c r="E639" s="215"/>
      <c r="F639" s="216"/>
      <c r="G639" s="216"/>
      <c r="H639" s="216"/>
      <c r="I639" s="216"/>
      <c r="J639" s="215"/>
      <c r="K639" s="217"/>
      <c r="L639" s="217"/>
      <c r="M639" s="217"/>
      <c r="N639" s="217"/>
      <c r="O639" s="217"/>
      <c r="P639" s="217"/>
    </row>
    <row r="640">
      <c r="A640" s="214"/>
      <c r="B640" s="214"/>
      <c r="C640" s="214"/>
      <c r="D640" s="214"/>
      <c r="E640" s="215"/>
      <c r="F640" s="216"/>
      <c r="G640" s="216"/>
      <c r="H640" s="216"/>
      <c r="I640" s="216"/>
      <c r="J640" s="215"/>
      <c r="K640" s="217"/>
      <c r="L640" s="217"/>
      <c r="M640" s="217"/>
      <c r="N640" s="217"/>
      <c r="O640" s="217"/>
      <c r="P640" s="217"/>
    </row>
    <row r="641">
      <c r="A641" s="214"/>
      <c r="B641" s="214"/>
      <c r="C641" s="214"/>
      <c r="D641" s="214"/>
      <c r="E641" s="215"/>
      <c r="F641" s="216"/>
      <c r="G641" s="216"/>
      <c r="H641" s="216"/>
      <c r="I641" s="216"/>
      <c r="J641" s="215"/>
      <c r="K641" s="217"/>
      <c r="L641" s="217"/>
      <c r="M641" s="217"/>
      <c r="N641" s="217"/>
      <c r="O641" s="217"/>
      <c r="P641" s="217"/>
    </row>
    <row r="642">
      <c r="A642" s="214"/>
      <c r="B642" s="214"/>
      <c r="C642" s="214"/>
      <c r="D642" s="214"/>
      <c r="E642" s="215"/>
      <c r="F642" s="216"/>
      <c r="G642" s="216"/>
      <c r="H642" s="216"/>
      <c r="I642" s="216"/>
      <c r="J642" s="215"/>
      <c r="K642" s="217"/>
      <c r="L642" s="217"/>
      <c r="M642" s="217"/>
      <c r="N642" s="217"/>
      <c r="O642" s="217"/>
      <c r="P642" s="217"/>
    </row>
    <row r="643">
      <c r="A643" s="214"/>
      <c r="B643" s="214"/>
      <c r="C643" s="214"/>
      <c r="D643" s="214"/>
      <c r="E643" s="215"/>
      <c r="F643" s="216"/>
      <c r="G643" s="216"/>
      <c r="H643" s="216"/>
      <c r="I643" s="216"/>
      <c r="J643" s="215"/>
      <c r="K643" s="217"/>
      <c r="L643" s="217"/>
      <c r="M643" s="217"/>
      <c r="N643" s="217"/>
      <c r="O643" s="217"/>
      <c r="P643" s="217"/>
    </row>
    <row r="644">
      <c r="A644" s="214"/>
      <c r="B644" s="214"/>
      <c r="C644" s="214"/>
      <c r="D644" s="214"/>
      <c r="E644" s="215"/>
      <c r="F644" s="216"/>
      <c r="G644" s="216"/>
      <c r="H644" s="216"/>
      <c r="I644" s="216"/>
      <c r="J644" s="215"/>
      <c r="K644" s="217"/>
      <c r="L644" s="217"/>
      <c r="M644" s="217"/>
      <c r="N644" s="217"/>
      <c r="O644" s="217"/>
      <c r="P644" s="217"/>
    </row>
    <row r="645">
      <c r="A645" s="214"/>
      <c r="B645" s="214"/>
      <c r="C645" s="214"/>
      <c r="D645" s="214"/>
      <c r="E645" s="215"/>
      <c r="F645" s="216"/>
      <c r="G645" s="216"/>
      <c r="H645" s="216"/>
      <c r="I645" s="216"/>
      <c r="J645" s="215"/>
      <c r="K645" s="217"/>
      <c r="L645" s="217"/>
      <c r="M645" s="217"/>
      <c r="N645" s="217"/>
      <c r="O645" s="217"/>
      <c r="P645" s="217"/>
    </row>
    <row r="646">
      <c r="A646" s="214"/>
      <c r="B646" s="214"/>
      <c r="C646" s="214"/>
      <c r="D646" s="214"/>
      <c r="E646" s="215"/>
      <c r="F646" s="216"/>
      <c r="G646" s="216"/>
      <c r="H646" s="216"/>
      <c r="I646" s="216"/>
      <c r="J646" s="215"/>
      <c r="K646" s="217"/>
      <c r="L646" s="217"/>
      <c r="M646" s="217"/>
      <c r="N646" s="217"/>
      <c r="O646" s="217"/>
      <c r="P646" s="217"/>
    </row>
    <row r="647">
      <c r="A647" s="214"/>
      <c r="B647" s="214"/>
      <c r="C647" s="214"/>
      <c r="D647" s="214"/>
      <c r="E647" s="215"/>
      <c r="F647" s="216"/>
      <c r="G647" s="216"/>
      <c r="H647" s="216"/>
      <c r="I647" s="216"/>
      <c r="J647" s="215"/>
      <c r="K647" s="217"/>
      <c r="L647" s="217"/>
      <c r="M647" s="217"/>
      <c r="N647" s="217"/>
      <c r="O647" s="217"/>
      <c r="P647" s="217"/>
    </row>
    <row r="648">
      <c r="A648" s="214"/>
      <c r="B648" s="214"/>
      <c r="C648" s="214"/>
      <c r="D648" s="214"/>
      <c r="E648" s="215"/>
      <c r="F648" s="216"/>
      <c r="G648" s="216"/>
      <c r="H648" s="216"/>
      <c r="I648" s="216"/>
      <c r="J648" s="215"/>
      <c r="K648" s="217"/>
      <c r="L648" s="217"/>
      <c r="M648" s="217"/>
      <c r="N648" s="217"/>
      <c r="O648" s="217"/>
      <c r="P648" s="217"/>
    </row>
    <row r="649">
      <c r="A649" s="214"/>
      <c r="B649" s="214"/>
      <c r="C649" s="214"/>
      <c r="D649" s="214"/>
      <c r="E649" s="215"/>
      <c r="F649" s="216"/>
      <c r="G649" s="216"/>
      <c r="H649" s="216"/>
      <c r="I649" s="216"/>
      <c r="J649" s="215"/>
      <c r="K649" s="217"/>
      <c r="L649" s="217"/>
      <c r="M649" s="217"/>
      <c r="N649" s="217"/>
      <c r="O649" s="217"/>
      <c r="P649" s="217"/>
    </row>
    <row r="650">
      <c r="A650" s="214"/>
      <c r="B650" s="214"/>
      <c r="C650" s="214"/>
      <c r="D650" s="214"/>
      <c r="E650" s="215"/>
      <c r="F650" s="216"/>
      <c r="G650" s="216"/>
      <c r="H650" s="216"/>
      <c r="I650" s="216"/>
      <c r="J650" s="215"/>
      <c r="K650" s="217"/>
      <c r="L650" s="217"/>
      <c r="M650" s="217"/>
      <c r="N650" s="217"/>
      <c r="O650" s="217"/>
      <c r="P650" s="217"/>
    </row>
    <row r="651">
      <c r="A651" s="214"/>
      <c r="B651" s="214"/>
      <c r="C651" s="214"/>
      <c r="D651" s="214"/>
      <c r="E651" s="215"/>
      <c r="F651" s="216"/>
      <c r="G651" s="216"/>
      <c r="H651" s="216"/>
      <c r="I651" s="216"/>
      <c r="J651" s="215"/>
      <c r="K651" s="217"/>
      <c r="L651" s="217"/>
      <c r="M651" s="217"/>
      <c r="N651" s="217"/>
      <c r="O651" s="217"/>
      <c r="P651" s="217"/>
    </row>
    <row r="652">
      <c r="A652" s="214"/>
      <c r="B652" s="214"/>
      <c r="C652" s="214"/>
      <c r="D652" s="214"/>
      <c r="E652" s="215"/>
      <c r="F652" s="216"/>
      <c r="G652" s="216"/>
      <c r="H652" s="216"/>
      <c r="I652" s="216"/>
      <c r="J652" s="215"/>
      <c r="K652" s="217"/>
      <c r="L652" s="217"/>
      <c r="M652" s="217"/>
      <c r="N652" s="217"/>
      <c r="O652" s="217"/>
      <c r="P652" s="217"/>
    </row>
    <row r="653">
      <c r="A653" s="214"/>
      <c r="B653" s="214"/>
      <c r="C653" s="214"/>
      <c r="D653" s="214"/>
      <c r="E653" s="215"/>
      <c r="F653" s="216"/>
      <c r="G653" s="216"/>
      <c r="H653" s="216"/>
      <c r="I653" s="216"/>
      <c r="J653" s="215"/>
      <c r="K653" s="217"/>
      <c r="L653" s="217"/>
      <c r="M653" s="217"/>
      <c r="N653" s="217"/>
      <c r="O653" s="217"/>
      <c r="P653" s="217"/>
    </row>
    <row r="654">
      <c r="A654" s="214"/>
      <c r="B654" s="214"/>
      <c r="C654" s="214"/>
      <c r="D654" s="214"/>
      <c r="E654" s="215"/>
      <c r="F654" s="216"/>
      <c r="G654" s="216"/>
      <c r="H654" s="216"/>
      <c r="I654" s="216"/>
      <c r="J654" s="215"/>
      <c r="K654" s="217"/>
      <c r="L654" s="217"/>
      <c r="M654" s="217"/>
      <c r="N654" s="217"/>
      <c r="O654" s="217"/>
      <c r="P654" s="217"/>
    </row>
    <row r="655">
      <c r="A655" s="214"/>
      <c r="B655" s="214"/>
      <c r="C655" s="214"/>
      <c r="D655" s="214"/>
      <c r="E655" s="215"/>
      <c r="F655" s="216"/>
      <c r="G655" s="216"/>
      <c r="H655" s="216"/>
      <c r="I655" s="216"/>
      <c r="J655" s="215"/>
      <c r="K655" s="217"/>
      <c r="L655" s="217"/>
      <c r="M655" s="217"/>
      <c r="N655" s="217"/>
      <c r="O655" s="217"/>
      <c r="P655" s="217"/>
    </row>
    <row r="656">
      <c r="A656" s="214"/>
      <c r="B656" s="214"/>
      <c r="C656" s="214"/>
      <c r="D656" s="214"/>
      <c r="E656" s="215"/>
      <c r="F656" s="216"/>
      <c r="G656" s="216"/>
      <c r="H656" s="216"/>
      <c r="I656" s="216"/>
      <c r="J656" s="215"/>
      <c r="K656" s="217"/>
      <c r="L656" s="217"/>
      <c r="M656" s="217"/>
      <c r="N656" s="217"/>
      <c r="O656" s="217"/>
      <c r="P656" s="217"/>
    </row>
    <row r="657">
      <c r="A657" s="214"/>
      <c r="B657" s="214"/>
      <c r="C657" s="214"/>
      <c r="D657" s="214"/>
      <c r="E657" s="215"/>
      <c r="F657" s="216"/>
      <c r="G657" s="216"/>
      <c r="H657" s="216"/>
      <c r="I657" s="216"/>
      <c r="J657" s="215"/>
      <c r="K657" s="217"/>
      <c r="L657" s="217"/>
      <c r="M657" s="217"/>
      <c r="N657" s="217"/>
      <c r="O657" s="217"/>
      <c r="P657" s="217"/>
    </row>
    <row r="658">
      <c r="A658" s="214"/>
      <c r="B658" s="214"/>
      <c r="C658" s="214"/>
      <c r="D658" s="214"/>
      <c r="E658" s="215"/>
      <c r="F658" s="216"/>
      <c r="G658" s="216"/>
      <c r="H658" s="216"/>
      <c r="I658" s="216"/>
      <c r="J658" s="215"/>
      <c r="K658" s="217"/>
      <c r="L658" s="217"/>
      <c r="M658" s="217"/>
      <c r="N658" s="217"/>
      <c r="O658" s="217"/>
      <c r="P658" s="217"/>
    </row>
    <row r="659">
      <c r="A659" s="214"/>
      <c r="B659" s="214"/>
      <c r="C659" s="214"/>
      <c r="D659" s="214"/>
      <c r="E659" s="215"/>
      <c r="F659" s="216"/>
      <c r="G659" s="216"/>
      <c r="H659" s="216"/>
      <c r="I659" s="216"/>
      <c r="J659" s="215"/>
      <c r="K659" s="217"/>
      <c r="L659" s="217"/>
      <c r="M659" s="217"/>
      <c r="N659" s="217"/>
      <c r="O659" s="217"/>
      <c r="P659" s="217"/>
    </row>
    <row r="660">
      <c r="A660" s="214"/>
      <c r="B660" s="214"/>
      <c r="C660" s="214"/>
      <c r="D660" s="214"/>
      <c r="E660" s="215"/>
      <c r="F660" s="216"/>
      <c r="G660" s="216"/>
      <c r="H660" s="216"/>
      <c r="I660" s="216"/>
      <c r="J660" s="215"/>
      <c r="K660" s="217"/>
      <c r="L660" s="217"/>
      <c r="M660" s="217"/>
      <c r="N660" s="217"/>
      <c r="O660" s="217"/>
      <c r="P660" s="217"/>
    </row>
    <row r="661">
      <c r="A661" s="214"/>
      <c r="B661" s="214"/>
      <c r="C661" s="214"/>
      <c r="D661" s="214"/>
      <c r="E661" s="215"/>
      <c r="F661" s="216"/>
      <c r="G661" s="216"/>
      <c r="H661" s="216"/>
      <c r="I661" s="216"/>
      <c r="J661" s="215"/>
      <c r="K661" s="217"/>
      <c r="L661" s="217"/>
      <c r="M661" s="217"/>
      <c r="N661" s="217"/>
      <c r="O661" s="217"/>
      <c r="P661" s="217"/>
    </row>
    <row r="662">
      <c r="A662" s="214"/>
      <c r="B662" s="214"/>
      <c r="C662" s="214"/>
      <c r="D662" s="214"/>
      <c r="E662" s="215"/>
      <c r="F662" s="216"/>
      <c r="G662" s="216"/>
      <c r="H662" s="216"/>
      <c r="I662" s="216"/>
      <c r="J662" s="215"/>
      <c r="K662" s="217"/>
      <c r="L662" s="217"/>
      <c r="M662" s="217"/>
      <c r="N662" s="217"/>
      <c r="O662" s="217"/>
      <c r="P662" s="217"/>
    </row>
    <row r="663">
      <c r="A663" s="214"/>
      <c r="B663" s="214"/>
      <c r="C663" s="214"/>
      <c r="D663" s="214"/>
      <c r="E663" s="215"/>
      <c r="F663" s="216"/>
      <c r="G663" s="216"/>
      <c r="H663" s="216"/>
      <c r="I663" s="216"/>
      <c r="J663" s="215"/>
      <c r="K663" s="217"/>
      <c r="L663" s="217"/>
      <c r="M663" s="217"/>
      <c r="N663" s="217"/>
      <c r="O663" s="217"/>
      <c r="P663" s="217"/>
    </row>
    <row r="664">
      <c r="A664" s="214"/>
      <c r="B664" s="214"/>
      <c r="C664" s="214"/>
      <c r="D664" s="214"/>
      <c r="E664" s="215"/>
      <c r="F664" s="216"/>
      <c r="G664" s="216"/>
      <c r="H664" s="216"/>
      <c r="I664" s="216"/>
      <c r="J664" s="215"/>
      <c r="K664" s="217"/>
      <c r="L664" s="217"/>
      <c r="M664" s="217"/>
      <c r="N664" s="217"/>
      <c r="O664" s="217"/>
      <c r="P664" s="217"/>
    </row>
    <row r="665">
      <c r="A665" s="214"/>
      <c r="B665" s="214"/>
      <c r="C665" s="214"/>
      <c r="D665" s="214"/>
      <c r="E665" s="215"/>
      <c r="F665" s="216"/>
      <c r="G665" s="216"/>
      <c r="H665" s="216"/>
      <c r="I665" s="216"/>
      <c r="J665" s="215"/>
      <c r="K665" s="217"/>
      <c r="L665" s="217"/>
      <c r="M665" s="217"/>
      <c r="N665" s="217"/>
      <c r="O665" s="217"/>
      <c r="P665" s="217"/>
    </row>
    <row r="666">
      <c r="A666" s="214"/>
      <c r="B666" s="214"/>
      <c r="C666" s="214"/>
      <c r="D666" s="214"/>
      <c r="E666" s="215"/>
      <c r="F666" s="216"/>
      <c r="G666" s="216"/>
      <c r="H666" s="216"/>
      <c r="I666" s="216"/>
      <c r="J666" s="215"/>
      <c r="K666" s="217"/>
      <c r="L666" s="217"/>
      <c r="M666" s="217"/>
      <c r="N666" s="217"/>
      <c r="O666" s="217"/>
      <c r="P666" s="217"/>
    </row>
    <row r="667">
      <c r="A667" s="214"/>
      <c r="B667" s="214"/>
      <c r="C667" s="214"/>
      <c r="D667" s="214"/>
      <c r="E667" s="215"/>
      <c r="F667" s="216"/>
      <c r="G667" s="216"/>
      <c r="H667" s="216"/>
      <c r="I667" s="216"/>
      <c r="J667" s="215"/>
      <c r="K667" s="217"/>
      <c r="L667" s="217"/>
      <c r="M667" s="217"/>
      <c r="N667" s="217"/>
      <c r="O667" s="217"/>
      <c r="P667" s="217"/>
    </row>
    <row r="668">
      <c r="A668" s="214"/>
      <c r="B668" s="214"/>
      <c r="C668" s="214"/>
      <c r="D668" s="214"/>
      <c r="E668" s="215"/>
      <c r="F668" s="216"/>
      <c r="G668" s="216"/>
      <c r="H668" s="216"/>
      <c r="I668" s="216"/>
      <c r="J668" s="215"/>
      <c r="K668" s="217"/>
      <c r="L668" s="217"/>
      <c r="M668" s="217"/>
      <c r="N668" s="217"/>
      <c r="O668" s="217"/>
      <c r="P668" s="217"/>
    </row>
    <row r="669">
      <c r="A669" s="214"/>
      <c r="B669" s="214"/>
      <c r="C669" s="214"/>
      <c r="D669" s="214"/>
      <c r="E669" s="215"/>
      <c r="F669" s="216"/>
      <c r="G669" s="216"/>
      <c r="H669" s="216"/>
      <c r="I669" s="216"/>
      <c r="J669" s="215"/>
      <c r="K669" s="217"/>
      <c r="L669" s="217"/>
      <c r="M669" s="217"/>
      <c r="N669" s="217"/>
      <c r="O669" s="217"/>
      <c r="P669" s="217"/>
    </row>
    <row r="670">
      <c r="A670" s="214"/>
      <c r="B670" s="214"/>
      <c r="C670" s="214"/>
      <c r="D670" s="214"/>
      <c r="E670" s="215"/>
      <c r="F670" s="216"/>
      <c r="G670" s="216"/>
      <c r="H670" s="216"/>
      <c r="I670" s="216"/>
      <c r="J670" s="215"/>
      <c r="K670" s="217"/>
      <c r="L670" s="217"/>
      <c r="M670" s="217"/>
      <c r="N670" s="217"/>
      <c r="O670" s="217"/>
      <c r="P670" s="217"/>
    </row>
    <row r="671">
      <c r="A671" s="214"/>
      <c r="B671" s="214"/>
      <c r="C671" s="214"/>
      <c r="D671" s="214"/>
      <c r="E671" s="215"/>
      <c r="F671" s="216"/>
      <c r="G671" s="216"/>
      <c r="H671" s="216"/>
      <c r="I671" s="216"/>
      <c r="J671" s="215"/>
      <c r="K671" s="217"/>
      <c r="L671" s="217"/>
      <c r="M671" s="217"/>
      <c r="N671" s="217"/>
      <c r="O671" s="217"/>
      <c r="P671" s="217"/>
    </row>
    <row r="672">
      <c r="A672" s="214"/>
      <c r="B672" s="214"/>
      <c r="C672" s="214"/>
      <c r="D672" s="214"/>
      <c r="E672" s="215"/>
      <c r="F672" s="216"/>
      <c r="G672" s="216"/>
      <c r="H672" s="216"/>
      <c r="I672" s="216"/>
      <c r="J672" s="215"/>
      <c r="K672" s="217"/>
      <c r="L672" s="217"/>
      <c r="M672" s="217"/>
      <c r="N672" s="217"/>
      <c r="O672" s="217"/>
      <c r="P672" s="217"/>
    </row>
    <row r="673">
      <c r="A673" s="214"/>
      <c r="B673" s="214"/>
      <c r="C673" s="214"/>
      <c r="D673" s="214"/>
      <c r="E673" s="215"/>
      <c r="F673" s="216"/>
      <c r="G673" s="216"/>
      <c r="H673" s="216"/>
      <c r="I673" s="216"/>
      <c r="J673" s="215"/>
      <c r="K673" s="217"/>
      <c r="L673" s="217"/>
      <c r="M673" s="217"/>
      <c r="N673" s="217"/>
      <c r="O673" s="217"/>
      <c r="P673" s="217"/>
    </row>
    <row r="674">
      <c r="A674" s="214"/>
      <c r="B674" s="214"/>
      <c r="C674" s="214"/>
      <c r="D674" s="214"/>
      <c r="E674" s="215"/>
      <c r="F674" s="216"/>
      <c r="G674" s="216"/>
      <c r="H674" s="216"/>
      <c r="I674" s="216"/>
      <c r="J674" s="215"/>
      <c r="K674" s="217"/>
      <c r="L674" s="217"/>
      <c r="M674" s="217"/>
      <c r="N674" s="217"/>
      <c r="O674" s="217"/>
      <c r="P674" s="217"/>
    </row>
    <row r="675">
      <c r="A675" s="214"/>
      <c r="B675" s="214"/>
      <c r="C675" s="214"/>
      <c r="D675" s="214"/>
      <c r="E675" s="215"/>
      <c r="F675" s="216"/>
      <c r="G675" s="216"/>
      <c r="H675" s="216"/>
      <c r="I675" s="216"/>
      <c r="J675" s="215"/>
      <c r="K675" s="217"/>
      <c r="L675" s="217"/>
      <c r="M675" s="217"/>
      <c r="N675" s="217"/>
      <c r="O675" s="217"/>
      <c r="P675" s="217"/>
    </row>
    <row r="676">
      <c r="A676" s="214"/>
      <c r="B676" s="214"/>
      <c r="C676" s="214"/>
      <c r="D676" s="214"/>
      <c r="E676" s="215"/>
      <c r="F676" s="216"/>
      <c r="G676" s="216"/>
      <c r="H676" s="216"/>
      <c r="I676" s="216"/>
      <c r="J676" s="215"/>
      <c r="K676" s="217"/>
      <c r="L676" s="217"/>
      <c r="M676" s="217"/>
      <c r="N676" s="217"/>
      <c r="O676" s="217"/>
      <c r="P676" s="217"/>
    </row>
    <row r="677">
      <c r="A677" s="214"/>
      <c r="B677" s="214"/>
      <c r="C677" s="214"/>
      <c r="D677" s="214"/>
      <c r="E677" s="215"/>
      <c r="F677" s="216"/>
      <c r="G677" s="216"/>
      <c r="H677" s="216"/>
      <c r="I677" s="216"/>
      <c r="J677" s="215"/>
      <c r="K677" s="217"/>
      <c r="L677" s="217"/>
      <c r="M677" s="217"/>
      <c r="N677" s="217"/>
      <c r="O677" s="217"/>
      <c r="P677" s="217"/>
    </row>
    <row r="678">
      <c r="A678" s="214"/>
      <c r="B678" s="214"/>
      <c r="C678" s="214"/>
      <c r="D678" s="214"/>
      <c r="E678" s="215"/>
      <c r="F678" s="216"/>
      <c r="G678" s="216"/>
      <c r="H678" s="216"/>
      <c r="I678" s="216"/>
      <c r="J678" s="215"/>
      <c r="K678" s="217"/>
      <c r="L678" s="217"/>
      <c r="M678" s="217"/>
      <c r="N678" s="217"/>
      <c r="O678" s="217"/>
      <c r="P678" s="217"/>
    </row>
    <row r="679">
      <c r="A679" s="214"/>
      <c r="B679" s="214"/>
      <c r="C679" s="214"/>
      <c r="D679" s="214"/>
      <c r="E679" s="215"/>
      <c r="F679" s="216"/>
      <c r="G679" s="216"/>
      <c r="H679" s="216"/>
      <c r="I679" s="216"/>
      <c r="J679" s="215"/>
      <c r="K679" s="217"/>
      <c r="L679" s="217"/>
      <c r="M679" s="217"/>
      <c r="N679" s="217"/>
      <c r="O679" s="217"/>
      <c r="P679" s="217"/>
    </row>
    <row r="680">
      <c r="A680" s="214"/>
      <c r="B680" s="214"/>
      <c r="C680" s="214"/>
      <c r="D680" s="214"/>
      <c r="E680" s="215"/>
      <c r="F680" s="216"/>
      <c r="G680" s="216"/>
      <c r="H680" s="216"/>
      <c r="I680" s="216"/>
      <c r="J680" s="215"/>
      <c r="K680" s="217"/>
      <c r="L680" s="217"/>
      <c r="M680" s="217"/>
      <c r="N680" s="217"/>
      <c r="O680" s="217"/>
      <c r="P680" s="217"/>
    </row>
    <row r="681">
      <c r="A681" s="214"/>
      <c r="B681" s="214"/>
      <c r="C681" s="214"/>
      <c r="D681" s="214"/>
      <c r="E681" s="215"/>
      <c r="F681" s="216"/>
      <c r="G681" s="216"/>
      <c r="H681" s="216"/>
      <c r="I681" s="216"/>
      <c r="J681" s="215"/>
      <c r="K681" s="217"/>
      <c r="L681" s="217"/>
      <c r="M681" s="217"/>
      <c r="N681" s="217"/>
      <c r="O681" s="217"/>
      <c r="P681" s="217"/>
    </row>
    <row r="682">
      <c r="A682" s="214"/>
      <c r="B682" s="214"/>
      <c r="C682" s="214"/>
      <c r="D682" s="214"/>
      <c r="E682" s="215"/>
      <c r="F682" s="216"/>
      <c r="G682" s="216"/>
      <c r="H682" s="216"/>
      <c r="I682" s="216"/>
      <c r="J682" s="215"/>
      <c r="K682" s="217"/>
      <c r="L682" s="217"/>
      <c r="M682" s="217"/>
      <c r="N682" s="217"/>
      <c r="O682" s="217"/>
      <c r="P682" s="217"/>
    </row>
    <row r="683">
      <c r="A683" s="214"/>
      <c r="B683" s="214"/>
      <c r="C683" s="214"/>
      <c r="D683" s="214"/>
      <c r="E683" s="215"/>
      <c r="F683" s="216"/>
      <c r="G683" s="216"/>
      <c r="H683" s="216"/>
      <c r="I683" s="216"/>
      <c r="J683" s="215"/>
      <c r="K683" s="217"/>
      <c r="L683" s="217"/>
      <c r="M683" s="217"/>
      <c r="N683" s="217"/>
      <c r="O683" s="217"/>
      <c r="P683" s="217"/>
    </row>
    <row r="684">
      <c r="A684" s="214"/>
      <c r="B684" s="214"/>
      <c r="C684" s="214"/>
      <c r="D684" s="214"/>
      <c r="E684" s="215"/>
      <c r="F684" s="216"/>
      <c r="G684" s="216"/>
      <c r="H684" s="216"/>
      <c r="I684" s="216"/>
      <c r="J684" s="215"/>
      <c r="K684" s="217"/>
      <c r="L684" s="217"/>
      <c r="M684" s="217"/>
      <c r="N684" s="217"/>
      <c r="O684" s="217"/>
      <c r="P684" s="217"/>
    </row>
    <row r="685">
      <c r="A685" s="214"/>
      <c r="B685" s="214"/>
      <c r="C685" s="214"/>
      <c r="D685" s="214"/>
      <c r="E685" s="215"/>
      <c r="F685" s="216"/>
      <c r="G685" s="216"/>
      <c r="H685" s="216"/>
      <c r="I685" s="216"/>
      <c r="J685" s="215"/>
      <c r="K685" s="217"/>
      <c r="L685" s="217"/>
      <c r="M685" s="217"/>
      <c r="N685" s="217"/>
      <c r="O685" s="217"/>
      <c r="P685" s="217"/>
    </row>
    <row r="686">
      <c r="A686" s="214"/>
      <c r="B686" s="214"/>
      <c r="C686" s="214"/>
      <c r="D686" s="214"/>
      <c r="E686" s="215"/>
      <c r="F686" s="216"/>
      <c r="G686" s="216"/>
      <c r="H686" s="216"/>
      <c r="I686" s="216"/>
      <c r="J686" s="215"/>
      <c r="K686" s="217"/>
      <c r="L686" s="217"/>
      <c r="M686" s="217"/>
      <c r="N686" s="217"/>
      <c r="O686" s="217"/>
      <c r="P686" s="217"/>
    </row>
    <row r="687">
      <c r="A687" s="214"/>
      <c r="B687" s="214"/>
      <c r="C687" s="214"/>
      <c r="D687" s="214"/>
      <c r="E687" s="215"/>
      <c r="F687" s="216"/>
      <c r="G687" s="216"/>
      <c r="H687" s="216"/>
      <c r="I687" s="216"/>
      <c r="J687" s="215"/>
      <c r="K687" s="217"/>
      <c r="L687" s="217"/>
      <c r="M687" s="217"/>
      <c r="N687" s="217"/>
      <c r="O687" s="217"/>
      <c r="P687" s="217"/>
    </row>
    <row r="688">
      <c r="A688" s="214"/>
      <c r="B688" s="214"/>
      <c r="C688" s="214"/>
      <c r="D688" s="214"/>
      <c r="E688" s="215"/>
      <c r="F688" s="216"/>
      <c r="G688" s="216"/>
      <c r="H688" s="216"/>
      <c r="I688" s="216"/>
      <c r="J688" s="215"/>
      <c r="K688" s="217"/>
      <c r="L688" s="217"/>
      <c r="M688" s="217"/>
      <c r="N688" s="217"/>
      <c r="O688" s="217"/>
      <c r="P688" s="217"/>
    </row>
    <row r="689">
      <c r="A689" s="214"/>
      <c r="B689" s="214"/>
      <c r="C689" s="214"/>
      <c r="D689" s="214"/>
      <c r="E689" s="215"/>
      <c r="F689" s="216"/>
      <c r="G689" s="216"/>
      <c r="H689" s="216"/>
      <c r="I689" s="216"/>
      <c r="J689" s="215"/>
      <c r="K689" s="217"/>
      <c r="L689" s="217"/>
      <c r="M689" s="217"/>
      <c r="N689" s="217"/>
      <c r="O689" s="217"/>
      <c r="P689" s="217"/>
    </row>
    <row r="690">
      <c r="A690" s="214"/>
      <c r="B690" s="214"/>
      <c r="C690" s="214"/>
      <c r="D690" s="214"/>
      <c r="E690" s="215"/>
      <c r="F690" s="216"/>
      <c r="G690" s="216"/>
      <c r="H690" s="216"/>
      <c r="I690" s="216"/>
      <c r="J690" s="215"/>
      <c r="K690" s="217"/>
      <c r="L690" s="217"/>
      <c r="M690" s="217"/>
      <c r="N690" s="217"/>
      <c r="O690" s="217"/>
      <c r="P690" s="217"/>
    </row>
    <row r="691">
      <c r="A691" s="214"/>
      <c r="B691" s="214"/>
      <c r="C691" s="214"/>
      <c r="D691" s="214"/>
      <c r="E691" s="215"/>
      <c r="F691" s="216"/>
      <c r="G691" s="216"/>
      <c r="H691" s="216"/>
      <c r="I691" s="216"/>
      <c r="J691" s="215"/>
      <c r="K691" s="217"/>
      <c r="L691" s="217"/>
      <c r="M691" s="217"/>
      <c r="N691" s="217"/>
      <c r="O691" s="217"/>
      <c r="P691" s="217"/>
    </row>
    <row r="692">
      <c r="A692" s="214"/>
      <c r="B692" s="214"/>
      <c r="C692" s="214"/>
      <c r="D692" s="214"/>
      <c r="E692" s="215"/>
      <c r="F692" s="216"/>
      <c r="G692" s="216"/>
      <c r="H692" s="216"/>
      <c r="I692" s="216"/>
      <c r="J692" s="215"/>
      <c r="K692" s="217"/>
      <c r="L692" s="217"/>
      <c r="M692" s="217"/>
      <c r="N692" s="217"/>
      <c r="O692" s="217"/>
      <c r="P692" s="217"/>
    </row>
    <row r="693">
      <c r="A693" s="214"/>
      <c r="B693" s="214"/>
      <c r="C693" s="214"/>
      <c r="D693" s="214"/>
      <c r="E693" s="215"/>
      <c r="F693" s="216"/>
      <c r="G693" s="216"/>
      <c r="H693" s="216"/>
      <c r="I693" s="216"/>
      <c r="J693" s="215"/>
      <c r="K693" s="217"/>
      <c r="L693" s="217"/>
      <c r="M693" s="217"/>
      <c r="N693" s="217"/>
      <c r="O693" s="217"/>
      <c r="P693" s="217"/>
    </row>
    <row r="694">
      <c r="A694" s="214"/>
      <c r="B694" s="214"/>
      <c r="C694" s="214"/>
      <c r="D694" s="214"/>
      <c r="E694" s="215"/>
      <c r="F694" s="216"/>
      <c r="G694" s="216"/>
      <c r="H694" s="216"/>
      <c r="I694" s="216"/>
      <c r="J694" s="215"/>
      <c r="K694" s="217"/>
      <c r="L694" s="217"/>
      <c r="M694" s="217"/>
      <c r="N694" s="217"/>
      <c r="O694" s="217"/>
      <c r="P694" s="217"/>
    </row>
    <row r="695">
      <c r="A695" s="214"/>
      <c r="B695" s="214"/>
      <c r="C695" s="214"/>
      <c r="D695" s="214"/>
      <c r="E695" s="215"/>
      <c r="F695" s="216"/>
      <c r="G695" s="216"/>
      <c r="H695" s="216"/>
      <c r="I695" s="216"/>
      <c r="J695" s="215"/>
      <c r="K695" s="217"/>
      <c r="L695" s="217"/>
      <c r="M695" s="217"/>
      <c r="N695" s="217"/>
      <c r="O695" s="217"/>
      <c r="P695" s="217"/>
    </row>
    <row r="696">
      <c r="A696" s="214"/>
      <c r="B696" s="214"/>
      <c r="C696" s="214"/>
      <c r="D696" s="214"/>
      <c r="E696" s="215"/>
      <c r="F696" s="216"/>
      <c r="G696" s="216"/>
      <c r="H696" s="216"/>
      <c r="I696" s="216"/>
      <c r="J696" s="215"/>
      <c r="K696" s="217"/>
      <c r="L696" s="217"/>
      <c r="M696" s="217"/>
      <c r="N696" s="217"/>
      <c r="O696" s="217"/>
      <c r="P696" s="217"/>
    </row>
    <row r="697">
      <c r="A697" s="214"/>
      <c r="B697" s="214"/>
      <c r="C697" s="214"/>
      <c r="D697" s="214"/>
      <c r="E697" s="215"/>
      <c r="F697" s="216"/>
      <c r="G697" s="216"/>
      <c r="H697" s="216"/>
      <c r="I697" s="216"/>
      <c r="J697" s="215"/>
      <c r="K697" s="217"/>
      <c r="L697" s="217"/>
      <c r="M697" s="217"/>
      <c r="N697" s="217"/>
      <c r="O697" s="217"/>
      <c r="P697" s="217"/>
    </row>
    <row r="698">
      <c r="A698" s="214"/>
      <c r="B698" s="214"/>
      <c r="C698" s="214"/>
      <c r="D698" s="214"/>
      <c r="E698" s="215"/>
      <c r="F698" s="216"/>
      <c r="G698" s="216"/>
      <c r="H698" s="216"/>
      <c r="I698" s="216"/>
      <c r="J698" s="215"/>
      <c r="K698" s="217"/>
      <c r="L698" s="217"/>
      <c r="M698" s="217"/>
      <c r="N698" s="217"/>
      <c r="O698" s="217"/>
      <c r="P698" s="217"/>
    </row>
    <row r="699">
      <c r="A699" s="214"/>
      <c r="B699" s="214"/>
      <c r="C699" s="214"/>
      <c r="D699" s="214"/>
      <c r="E699" s="215"/>
      <c r="F699" s="216"/>
      <c r="G699" s="216"/>
      <c r="H699" s="216"/>
      <c r="I699" s="216"/>
      <c r="J699" s="215"/>
      <c r="K699" s="217"/>
      <c r="L699" s="217"/>
      <c r="M699" s="217"/>
      <c r="N699" s="217"/>
      <c r="O699" s="217"/>
      <c r="P699" s="217"/>
    </row>
    <row r="700">
      <c r="A700" s="214"/>
      <c r="B700" s="214"/>
      <c r="C700" s="214"/>
      <c r="D700" s="214"/>
      <c r="E700" s="215"/>
      <c r="F700" s="216"/>
      <c r="G700" s="216"/>
      <c r="H700" s="216"/>
      <c r="I700" s="216"/>
      <c r="J700" s="215"/>
      <c r="K700" s="217"/>
      <c r="L700" s="217"/>
      <c r="M700" s="217"/>
      <c r="N700" s="217"/>
      <c r="O700" s="217"/>
      <c r="P700" s="217"/>
    </row>
    <row r="701">
      <c r="A701" s="214"/>
      <c r="B701" s="214"/>
      <c r="C701" s="214"/>
      <c r="D701" s="214"/>
      <c r="E701" s="215"/>
      <c r="F701" s="216"/>
      <c r="G701" s="216"/>
      <c r="H701" s="216"/>
      <c r="I701" s="216"/>
      <c r="J701" s="215"/>
      <c r="K701" s="217"/>
      <c r="L701" s="217"/>
      <c r="M701" s="217"/>
      <c r="N701" s="217"/>
      <c r="O701" s="217"/>
      <c r="P701" s="217"/>
    </row>
    <row r="702">
      <c r="A702" s="214"/>
      <c r="B702" s="214"/>
      <c r="C702" s="214"/>
      <c r="D702" s="214"/>
      <c r="E702" s="215"/>
      <c r="F702" s="216"/>
      <c r="G702" s="216"/>
      <c r="H702" s="216"/>
      <c r="I702" s="216"/>
      <c r="J702" s="215"/>
      <c r="K702" s="217"/>
      <c r="L702" s="217"/>
      <c r="M702" s="217"/>
      <c r="N702" s="217"/>
      <c r="O702" s="217"/>
      <c r="P702" s="217"/>
    </row>
    <row r="703">
      <c r="A703" s="214"/>
      <c r="B703" s="214"/>
      <c r="C703" s="214"/>
      <c r="D703" s="214"/>
      <c r="E703" s="215"/>
      <c r="F703" s="216"/>
      <c r="G703" s="216"/>
      <c r="H703" s="216"/>
      <c r="I703" s="216"/>
      <c r="J703" s="215"/>
      <c r="K703" s="217"/>
      <c r="L703" s="217"/>
      <c r="M703" s="217"/>
      <c r="N703" s="217"/>
      <c r="O703" s="217"/>
      <c r="P703" s="217"/>
    </row>
    <row r="704">
      <c r="A704" s="214"/>
      <c r="B704" s="214"/>
      <c r="C704" s="214"/>
      <c r="D704" s="214"/>
      <c r="E704" s="215"/>
      <c r="F704" s="216"/>
      <c r="G704" s="216"/>
      <c r="H704" s="216"/>
      <c r="I704" s="216"/>
      <c r="J704" s="215"/>
      <c r="K704" s="217"/>
      <c r="L704" s="217"/>
      <c r="M704" s="217"/>
      <c r="N704" s="217"/>
      <c r="O704" s="217"/>
      <c r="P704" s="217"/>
    </row>
    <row r="705">
      <c r="A705" s="214"/>
      <c r="B705" s="214"/>
      <c r="C705" s="214"/>
      <c r="D705" s="214"/>
      <c r="E705" s="215"/>
      <c r="F705" s="216"/>
      <c r="G705" s="216"/>
      <c r="H705" s="216"/>
      <c r="I705" s="216"/>
      <c r="J705" s="215"/>
      <c r="K705" s="217"/>
      <c r="L705" s="217"/>
      <c r="M705" s="217"/>
      <c r="N705" s="217"/>
      <c r="O705" s="217"/>
      <c r="P705" s="217"/>
    </row>
    <row r="706">
      <c r="A706" s="214"/>
      <c r="B706" s="214"/>
      <c r="C706" s="214"/>
      <c r="D706" s="214"/>
      <c r="E706" s="215"/>
      <c r="F706" s="216"/>
      <c r="G706" s="216"/>
      <c r="H706" s="216"/>
      <c r="I706" s="216"/>
      <c r="J706" s="215"/>
      <c r="K706" s="217"/>
      <c r="L706" s="217"/>
      <c r="M706" s="217"/>
      <c r="N706" s="217"/>
      <c r="O706" s="217"/>
      <c r="P706" s="217"/>
    </row>
    <row r="707">
      <c r="A707" s="214"/>
      <c r="B707" s="214"/>
      <c r="C707" s="214"/>
      <c r="D707" s="214"/>
      <c r="E707" s="215"/>
      <c r="F707" s="216"/>
      <c r="G707" s="216"/>
      <c r="H707" s="216"/>
      <c r="I707" s="216"/>
      <c r="J707" s="215"/>
      <c r="K707" s="217"/>
      <c r="L707" s="217"/>
      <c r="M707" s="217"/>
      <c r="N707" s="217"/>
      <c r="O707" s="217"/>
      <c r="P707" s="217"/>
    </row>
    <row r="708">
      <c r="A708" s="214"/>
      <c r="B708" s="214"/>
      <c r="C708" s="214"/>
      <c r="D708" s="214"/>
      <c r="E708" s="215"/>
      <c r="F708" s="216"/>
      <c r="G708" s="216"/>
      <c r="H708" s="216"/>
      <c r="I708" s="216"/>
      <c r="J708" s="215"/>
      <c r="K708" s="217"/>
      <c r="L708" s="217"/>
      <c r="M708" s="217"/>
      <c r="N708" s="217"/>
      <c r="O708" s="217"/>
      <c r="P708" s="217"/>
    </row>
    <row r="709">
      <c r="A709" s="214"/>
      <c r="B709" s="214"/>
      <c r="C709" s="214"/>
      <c r="D709" s="214"/>
      <c r="E709" s="215"/>
      <c r="F709" s="216"/>
      <c r="G709" s="216"/>
      <c r="H709" s="216"/>
      <c r="I709" s="216"/>
      <c r="J709" s="215"/>
      <c r="K709" s="217"/>
      <c r="L709" s="217"/>
      <c r="M709" s="217"/>
      <c r="N709" s="217"/>
      <c r="O709" s="217"/>
      <c r="P709" s="217"/>
    </row>
    <row r="710">
      <c r="A710" s="214"/>
      <c r="B710" s="214"/>
      <c r="C710" s="214"/>
      <c r="D710" s="214"/>
      <c r="E710" s="215"/>
      <c r="F710" s="216"/>
      <c r="G710" s="216"/>
      <c r="H710" s="216"/>
      <c r="I710" s="216"/>
      <c r="J710" s="215"/>
      <c r="K710" s="217"/>
      <c r="L710" s="217"/>
      <c r="M710" s="217"/>
      <c r="N710" s="217"/>
      <c r="O710" s="217"/>
      <c r="P710" s="217"/>
    </row>
    <row r="711">
      <c r="A711" s="214"/>
      <c r="B711" s="214"/>
      <c r="C711" s="214"/>
      <c r="D711" s="214"/>
      <c r="E711" s="215"/>
      <c r="F711" s="216"/>
      <c r="G711" s="216"/>
      <c r="H711" s="216"/>
      <c r="I711" s="216"/>
      <c r="J711" s="215"/>
      <c r="K711" s="217"/>
      <c r="L711" s="217"/>
      <c r="M711" s="217"/>
      <c r="N711" s="217"/>
      <c r="O711" s="217"/>
      <c r="P711" s="217"/>
    </row>
    <row r="712">
      <c r="A712" s="214"/>
      <c r="B712" s="214"/>
      <c r="C712" s="214"/>
      <c r="D712" s="214"/>
      <c r="E712" s="215"/>
      <c r="F712" s="216"/>
      <c r="G712" s="216"/>
      <c r="H712" s="216"/>
      <c r="I712" s="216"/>
      <c r="J712" s="215"/>
      <c r="K712" s="217"/>
      <c r="L712" s="217"/>
      <c r="M712" s="217"/>
      <c r="N712" s="217"/>
      <c r="O712" s="217"/>
      <c r="P712" s="217"/>
    </row>
    <row r="713">
      <c r="A713" s="214"/>
      <c r="B713" s="214"/>
      <c r="C713" s="214"/>
      <c r="D713" s="214"/>
      <c r="E713" s="215"/>
      <c r="F713" s="216"/>
      <c r="G713" s="216"/>
      <c r="H713" s="216"/>
      <c r="I713" s="216"/>
      <c r="J713" s="215"/>
      <c r="K713" s="217"/>
      <c r="L713" s="217"/>
      <c r="M713" s="217"/>
      <c r="N713" s="217"/>
      <c r="O713" s="217"/>
      <c r="P713" s="217"/>
    </row>
    <row r="714">
      <c r="A714" s="214"/>
      <c r="B714" s="214"/>
      <c r="C714" s="214"/>
      <c r="D714" s="214"/>
      <c r="E714" s="215"/>
      <c r="F714" s="216"/>
      <c r="G714" s="216"/>
      <c r="H714" s="216"/>
      <c r="I714" s="216"/>
      <c r="J714" s="215"/>
      <c r="K714" s="217"/>
      <c r="L714" s="217"/>
      <c r="M714" s="217"/>
      <c r="N714" s="217"/>
      <c r="O714" s="217"/>
      <c r="P714" s="217"/>
    </row>
    <row r="715">
      <c r="A715" s="214"/>
      <c r="B715" s="214"/>
      <c r="C715" s="214"/>
      <c r="D715" s="214"/>
      <c r="E715" s="215"/>
      <c r="F715" s="216"/>
      <c r="G715" s="216"/>
      <c r="H715" s="216"/>
      <c r="I715" s="216"/>
      <c r="J715" s="215"/>
      <c r="K715" s="217"/>
      <c r="L715" s="217"/>
      <c r="M715" s="217"/>
      <c r="N715" s="217"/>
      <c r="O715" s="217"/>
      <c r="P715" s="217"/>
    </row>
    <row r="716">
      <c r="A716" s="214"/>
      <c r="B716" s="214"/>
      <c r="C716" s="214"/>
      <c r="D716" s="214"/>
      <c r="E716" s="215"/>
      <c r="F716" s="216"/>
      <c r="G716" s="216"/>
      <c r="H716" s="216"/>
      <c r="I716" s="216"/>
      <c r="J716" s="215"/>
      <c r="K716" s="217"/>
      <c r="L716" s="217"/>
      <c r="M716" s="217"/>
      <c r="N716" s="217"/>
      <c r="O716" s="217"/>
      <c r="P716" s="217"/>
    </row>
    <row r="717">
      <c r="A717" s="214"/>
      <c r="B717" s="214"/>
      <c r="C717" s="214"/>
      <c r="D717" s="214"/>
      <c r="E717" s="215"/>
      <c r="F717" s="216"/>
      <c r="G717" s="216"/>
      <c r="H717" s="216"/>
      <c r="I717" s="216"/>
      <c r="J717" s="215"/>
      <c r="K717" s="217"/>
      <c r="L717" s="217"/>
      <c r="M717" s="217"/>
      <c r="N717" s="217"/>
      <c r="O717" s="217"/>
      <c r="P717" s="217"/>
    </row>
    <row r="718">
      <c r="A718" s="214"/>
      <c r="B718" s="214"/>
      <c r="C718" s="214"/>
      <c r="D718" s="214"/>
      <c r="E718" s="215"/>
      <c r="F718" s="216"/>
      <c r="G718" s="216"/>
      <c r="H718" s="216"/>
      <c r="I718" s="216"/>
      <c r="J718" s="215"/>
      <c r="K718" s="217"/>
      <c r="L718" s="217"/>
      <c r="M718" s="217"/>
      <c r="N718" s="217"/>
      <c r="O718" s="217"/>
      <c r="P718" s="217"/>
    </row>
    <row r="719">
      <c r="A719" s="214"/>
      <c r="B719" s="214"/>
      <c r="C719" s="214"/>
      <c r="D719" s="214"/>
      <c r="E719" s="215"/>
      <c r="F719" s="216"/>
      <c r="G719" s="216"/>
      <c r="H719" s="216"/>
      <c r="I719" s="216"/>
      <c r="J719" s="215"/>
      <c r="K719" s="217"/>
      <c r="L719" s="217"/>
      <c r="M719" s="217"/>
      <c r="N719" s="217"/>
      <c r="O719" s="217"/>
      <c r="P719" s="217"/>
    </row>
    <row r="720">
      <c r="A720" s="214"/>
      <c r="B720" s="214"/>
      <c r="C720" s="214"/>
      <c r="D720" s="214"/>
      <c r="E720" s="215"/>
      <c r="F720" s="216"/>
      <c r="G720" s="216"/>
      <c r="H720" s="216"/>
      <c r="I720" s="216"/>
      <c r="J720" s="215"/>
      <c r="K720" s="217"/>
      <c r="L720" s="217"/>
      <c r="M720" s="217"/>
      <c r="N720" s="217"/>
      <c r="O720" s="217"/>
      <c r="P720" s="217"/>
    </row>
    <row r="721">
      <c r="A721" s="214"/>
      <c r="B721" s="214"/>
      <c r="C721" s="214"/>
      <c r="D721" s="214"/>
      <c r="E721" s="215"/>
      <c r="F721" s="216"/>
      <c r="G721" s="216"/>
      <c r="H721" s="216"/>
      <c r="I721" s="216"/>
      <c r="J721" s="215"/>
      <c r="K721" s="217"/>
      <c r="L721" s="217"/>
      <c r="M721" s="217"/>
      <c r="N721" s="217"/>
      <c r="O721" s="217"/>
      <c r="P721" s="217"/>
    </row>
    <row r="722">
      <c r="A722" s="214"/>
      <c r="B722" s="214"/>
      <c r="C722" s="214"/>
      <c r="D722" s="214"/>
      <c r="E722" s="215"/>
      <c r="F722" s="216"/>
      <c r="G722" s="216"/>
      <c r="H722" s="216"/>
      <c r="I722" s="216"/>
      <c r="J722" s="215"/>
      <c r="K722" s="217"/>
      <c r="L722" s="217"/>
      <c r="M722" s="217"/>
      <c r="N722" s="217"/>
      <c r="O722" s="217"/>
      <c r="P722" s="217"/>
    </row>
    <row r="723">
      <c r="A723" s="214"/>
      <c r="B723" s="214"/>
      <c r="C723" s="214"/>
      <c r="D723" s="214"/>
      <c r="E723" s="215"/>
      <c r="F723" s="216"/>
      <c r="G723" s="216"/>
      <c r="H723" s="216"/>
      <c r="I723" s="216"/>
      <c r="J723" s="215"/>
      <c r="K723" s="217"/>
      <c r="L723" s="217"/>
      <c r="M723" s="217"/>
      <c r="N723" s="217"/>
      <c r="O723" s="217"/>
      <c r="P723" s="217"/>
    </row>
    <row r="724">
      <c r="A724" s="214"/>
      <c r="B724" s="214"/>
      <c r="C724" s="214"/>
      <c r="D724" s="214"/>
      <c r="E724" s="215"/>
      <c r="F724" s="216"/>
      <c r="G724" s="216"/>
      <c r="H724" s="216"/>
      <c r="I724" s="216"/>
      <c r="J724" s="215"/>
      <c r="K724" s="217"/>
      <c r="L724" s="217"/>
      <c r="M724" s="217"/>
      <c r="N724" s="217"/>
      <c r="O724" s="217"/>
      <c r="P724" s="217"/>
    </row>
    <row r="725">
      <c r="A725" s="214"/>
      <c r="B725" s="214"/>
      <c r="C725" s="214"/>
      <c r="D725" s="214"/>
      <c r="E725" s="215"/>
      <c r="F725" s="216"/>
      <c r="G725" s="216"/>
      <c r="H725" s="216"/>
      <c r="I725" s="216"/>
      <c r="J725" s="215"/>
      <c r="K725" s="217"/>
      <c r="L725" s="217"/>
      <c r="M725" s="217"/>
      <c r="N725" s="217"/>
      <c r="O725" s="217"/>
      <c r="P725" s="217"/>
    </row>
    <row r="726">
      <c r="A726" s="214"/>
      <c r="B726" s="214"/>
      <c r="C726" s="214"/>
      <c r="D726" s="214"/>
      <c r="E726" s="215"/>
      <c r="F726" s="216"/>
      <c r="G726" s="216"/>
      <c r="H726" s="216"/>
      <c r="I726" s="216"/>
      <c r="J726" s="215"/>
      <c r="K726" s="217"/>
      <c r="L726" s="217"/>
      <c r="M726" s="217"/>
      <c r="N726" s="217"/>
      <c r="O726" s="217"/>
      <c r="P726" s="217"/>
    </row>
    <row r="727">
      <c r="A727" s="214"/>
      <c r="B727" s="214"/>
      <c r="C727" s="214"/>
      <c r="D727" s="214"/>
      <c r="E727" s="215"/>
      <c r="F727" s="216"/>
      <c r="G727" s="216"/>
      <c r="H727" s="216"/>
      <c r="I727" s="216"/>
      <c r="J727" s="215"/>
      <c r="K727" s="217"/>
      <c r="L727" s="217"/>
      <c r="M727" s="217"/>
      <c r="N727" s="217"/>
      <c r="O727" s="217"/>
      <c r="P727" s="217"/>
    </row>
    <row r="728">
      <c r="A728" s="214"/>
      <c r="B728" s="214"/>
      <c r="C728" s="214"/>
      <c r="D728" s="214"/>
      <c r="E728" s="215"/>
      <c r="F728" s="216"/>
      <c r="G728" s="216"/>
      <c r="H728" s="216"/>
      <c r="I728" s="216"/>
      <c r="J728" s="215"/>
      <c r="K728" s="217"/>
      <c r="L728" s="217"/>
      <c r="M728" s="217"/>
      <c r="N728" s="217"/>
      <c r="O728" s="217"/>
      <c r="P728" s="217"/>
    </row>
    <row r="729">
      <c r="A729" s="214"/>
      <c r="B729" s="214"/>
      <c r="C729" s="214"/>
      <c r="D729" s="214"/>
      <c r="E729" s="215"/>
      <c r="F729" s="216"/>
      <c r="G729" s="216"/>
      <c r="H729" s="216"/>
      <c r="I729" s="216"/>
      <c r="J729" s="215"/>
      <c r="K729" s="217"/>
      <c r="L729" s="217"/>
      <c r="M729" s="217"/>
      <c r="N729" s="217"/>
      <c r="O729" s="217"/>
      <c r="P729" s="217"/>
    </row>
    <row r="730">
      <c r="A730" s="214"/>
      <c r="B730" s="214"/>
      <c r="C730" s="214"/>
      <c r="D730" s="214"/>
      <c r="E730" s="215"/>
      <c r="F730" s="216"/>
      <c r="G730" s="216"/>
      <c r="H730" s="216"/>
      <c r="I730" s="216"/>
      <c r="J730" s="215"/>
      <c r="K730" s="217"/>
      <c r="L730" s="217"/>
      <c r="M730" s="217"/>
      <c r="N730" s="217"/>
      <c r="O730" s="217"/>
      <c r="P730" s="217"/>
    </row>
    <row r="731">
      <c r="A731" s="214"/>
      <c r="B731" s="214"/>
      <c r="C731" s="214"/>
      <c r="D731" s="214"/>
      <c r="E731" s="215"/>
      <c r="F731" s="216"/>
      <c r="G731" s="216"/>
      <c r="H731" s="216"/>
      <c r="I731" s="216"/>
      <c r="J731" s="215"/>
      <c r="K731" s="217"/>
      <c r="L731" s="217"/>
      <c r="M731" s="217"/>
      <c r="N731" s="217"/>
      <c r="O731" s="217"/>
      <c r="P731" s="217"/>
    </row>
    <row r="732">
      <c r="A732" s="214"/>
      <c r="B732" s="214"/>
      <c r="C732" s="214"/>
      <c r="D732" s="214"/>
      <c r="E732" s="215"/>
      <c r="F732" s="216"/>
      <c r="G732" s="216"/>
      <c r="H732" s="216"/>
      <c r="I732" s="216"/>
      <c r="J732" s="215"/>
      <c r="K732" s="217"/>
      <c r="L732" s="217"/>
      <c r="M732" s="217"/>
      <c r="N732" s="217"/>
      <c r="O732" s="217"/>
      <c r="P732" s="217"/>
    </row>
    <row r="733">
      <c r="A733" s="214"/>
      <c r="B733" s="214"/>
      <c r="C733" s="214"/>
      <c r="D733" s="214"/>
      <c r="E733" s="215"/>
      <c r="F733" s="216"/>
      <c r="G733" s="216"/>
      <c r="H733" s="216"/>
      <c r="I733" s="216"/>
      <c r="J733" s="215"/>
      <c r="K733" s="217"/>
      <c r="L733" s="217"/>
      <c r="M733" s="217"/>
      <c r="N733" s="217"/>
      <c r="O733" s="217"/>
      <c r="P733" s="217"/>
    </row>
    <row r="734">
      <c r="A734" s="214"/>
      <c r="B734" s="214"/>
      <c r="C734" s="214"/>
      <c r="D734" s="214"/>
      <c r="E734" s="215"/>
      <c r="F734" s="216"/>
      <c r="G734" s="216"/>
      <c r="H734" s="216"/>
      <c r="I734" s="216"/>
      <c r="J734" s="215"/>
      <c r="K734" s="217"/>
      <c r="L734" s="217"/>
      <c r="M734" s="217"/>
      <c r="N734" s="217"/>
      <c r="O734" s="217"/>
      <c r="P734" s="217"/>
    </row>
    <row r="735">
      <c r="A735" s="214"/>
      <c r="B735" s="214"/>
      <c r="C735" s="214"/>
      <c r="D735" s="214"/>
      <c r="E735" s="215"/>
      <c r="F735" s="216"/>
      <c r="G735" s="216"/>
      <c r="H735" s="216"/>
      <c r="I735" s="216"/>
      <c r="J735" s="215"/>
      <c r="K735" s="217"/>
      <c r="L735" s="217"/>
      <c r="M735" s="217"/>
      <c r="N735" s="217"/>
      <c r="O735" s="217"/>
      <c r="P735" s="217"/>
    </row>
    <row r="736">
      <c r="A736" s="214"/>
      <c r="B736" s="214"/>
      <c r="C736" s="214"/>
      <c r="D736" s="214"/>
      <c r="E736" s="215"/>
      <c r="F736" s="216"/>
      <c r="G736" s="216"/>
      <c r="H736" s="216"/>
      <c r="I736" s="216"/>
      <c r="J736" s="215"/>
      <c r="K736" s="217"/>
      <c r="L736" s="217"/>
      <c r="M736" s="217"/>
      <c r="N736" s="217"/>
      <c r="O736" s="217"/>
      <c r="P736" s="217"/>
    </row>
    <row r="737">
      <c r="A737" s="214"/>
      <c r="B737" s="214"/>
      <c r="C737" s="214"/>
      <c r="D737" s="214"/>
      <c r="E737" s="215"/>
      <c r="F737" s="216"/>
      <c r="G737" s="216"/>
      <c r="H737" s="216"/>
      <c r="I737" s="216"/>
      <c r="J737" s="215"/>
      <c r="K737" s="217"/>
      <c r="L737" s="217"/>
      <c r="M737" s="217"/>
      <c r="N737" s="217"/>
      <c r="O737" s="217"/>
      <c r="P737" s="217"/>
    </row>
    <row r="738">
      <c r="A738" s="214"/>
      <c r="B738" s="214"/>
      <c r="C738" s="214"/>
      <c r="D738" s="214"/>
      <c r="E738" s="215"/>
      <c r="F738" s="216"/>
      <c r="G738" s="216"/>
      <c r="H738" s="216"/>
      <c r="I738" s="216"/>
      <c r="J738" s="215"/>
      <c r="K738" s="217"/>
      <c r="L738" s="217"/>
      <c r="M738" s="217"/>
      <c r="N738" s="217"/>
      <c r="O738" s="217"/>
      <c r="P738" s="217"/>
    </row>
    <row r="739">
      <c r="A739" s="214"/>
      <c r="B739" s="214"/>
      <c r="C739" s="214"/>
      <c r="D739" s="214"/>
      <c r="E739" s="215"/>
      <c r="F739" s="216"/>
      <c r="G739" s="216"/>
      <c r="H739" s="216"/>
      <c r="I739" s="216"/>
      <c r="J739" s="215"/>
      <c r="K739" s="217"/>
      <c r="L739" s="217"/>
      <c r="M739" s="217"/>
      <c r="N739" s="217"/>
      <c r="O739" s="217"/>
      <c r="P739" s="217"/>
    </row>
    <row r="740">
      <c r="A740" s="214"/>
      <c r="B740" s="214"/>
      <c r="C740" s="214"/>
      <c r="D740" s="214"/>
      <c r="E740" s="215"/>
      <c r="F740" s="216"/>
      <c r="G740" s="216"/>
      <c r="H740" s="216"/>
      <c r="I740" s="216"/>
      <c r="J740" s="215"/>
      <c r="K740" s="217"/>
      <c r="L740" s="217"/>
      <c r="M740" s="217"/>
      <c r="N740" s="217"/>
      <c r="O740" s="217"/>
      <c r="P740" s="217"/>
    </row>
    <row r="741">
      <c r="A741" s="214"/>
      <c r="B741" s="214"/>
      <c r="C741" s="214"/>
      <c r="D741" s="214"/>
      <c r="E741" s="215"/>
      <c r="F741" s="216"/>
      <c r="G741" s="216"/>
      <c r="H741" s="216"/>
      <c r="I741" s="216"/>
      <c r="J741" s="215"/>
      <c r="K741" s="217"/>
      <c r="L741" s="217"/>
      <c r="M741" s="217"/>
      <c r="N741" s="217"/>
      <c r="O741" s="217"/>
      <c r="P741" s="217"/>
    </row>
    <row r="742">
      <c r="A742" s="214"/>
      <c r="B742" s="214"/>
      <c r="C742" s="214"/>
      <c r="D742" s="214"/>
      <c r="E742" s="215"/>
      <c r="F742" s="216"/>
      <c r="G742" s="216"/>
      <c r="H742" s="216"/>
      <c r="I742" s="216"/>
      <c r="J742" s="215"/>
      <c r="K742" s="217"/>
      <c r="L742" s="217"/>
      <c r="M742" s="217"/>
      <c r="N742" s="217"/>
      <c r="O742" s="217"/>
      <c r="P742" s="217"/>
    </row>
    <row r="743">
      <c r="A743" s="214"/>
      <c r="B743" s="214"/>
      <c r="C743" s="214"/>
      <c r="D743" s="214"/>
      <c r="E743" s="215"/>
      <c r="F743" s="216"/>
      <c r="G743" s="216"/>
      <c r="H743" s="216"/>
      <c r="I743" s="216"/>
      <c r="J743" s="215"/>
      <c r="K743" s="217"/>
      <c r="L743" s="217"/>
      <c r="M743" s="217"/>
      <c r="N743" s="217"/>
      <c r="O743" s="217"/>
      <c r="P743" s="217"/>
    </row>
    <row r="744">
      <c r="A744" s="214"/>
      <c r="B744" s="214"/>
      <c r="C744" s="214"/>
      <c r="D744" s="214"/>
      <c r="E744" s="215"/>
      <c r="F744" s="216"/>
      <c r="G744" s="216"/>
      <c r="H744" s="216"/>
      <c r="I744" s="216"/>
      <c r="J744" s="215"/>
      <c r="K744" s="217"/>
      <c r="L744" s="217"/>
      <c r="M744" s="217"/>
      <c r="N744" s="217"/>
      <c r="O744" s="217"/>
      <c r="P744" s="217"/>
    </row>
    <row r="745">
      <c r="A745" s="214"/>
      <c r="B745" s="214"/>
      <c r="C745" s="214"/>
      <c r="D745" s="214"/>
      <c r="E745" s="215"/>
      <c r="F745" s="216"/>
      <c r="G745" s="216"/>
      <c r="H745" s="216"/>
      <c r="I745" s="216"/>
      <c r="J745" s="215"/>
      <c r="K745" s="217"/>
      <c r="L745" s="217"/>
      <c r="M745" s="217"/>
      <c r="N745" s="217"/>
      <c r="O745" s="217"/>
      <c r="P745" s="217"/>
    </row>
    <row r="746">
      <c r="A746" s="214"/>
      <c r="B746" s="214"/>
      <c r="C746" s="214"/>
      <c r="D746" s="214"/>
      <c r="E746" s="215"/>
      <c r="F746" s="216"/>
      <c r="G746" s="216"/>
      <c r="H746" s="216"/>
      <c r="I746" s="216"/>
      <c r="J746" s="215"/>
      <c r="K746" s="217"/>
      <c r="L746" s="217"/>
      <c r="M746" s="217"/>
      <c r="N746" s="217"/>
      <c r="O746" s="217"/>
      <c r="P746" s="217"/>
    </row>
    <row r="747">
      <c r="A747" s="214"/>
      <c r="B747" s="214"/>
      <c r="C747" s="214"/>
      <c r="D747" s="214"/>
      <c r="E747" s="215"/>
      <c r="F747" s="216"/>
      <c r="G747" s="216"/>
      <c r="H747" s="216"/>
      <c r="I747" s="216"/>
      <c r="J747" s="215"/>
      <c r="K747" s="217"/>
      <c r="L747" s="217"/>
      <c r="M747" s="217"/>
      <c r="N747" s="217"/>
      <c r="O747" s="217"/>
      <c r="P747" s="217"/>
    </row>
    <row r="748">
      <c r="A748" s="214"/>
      <c r="B748" s="214"/>
      <c r="C748" s="214"/>
      <c r="D748" s="214"/>
      <c r="E748" s="215"/>
      <c r="F748" s="216"/>
      <c r="G748" s="216"/>
      <c r="H748" s="216"/>
      <c r="I748" s="216"/>
      <c r="J748" s="215"/>
      <c r="K748" s="217"/>
      <c r="L748" s="217"/>
      <c r="M748" s="217"/>
      <c r="N748" s="217"/>
      <c r="O748" s="217"/>
      <c r="P748" s="217"/>
    </row>
    <row r="749">
      <c r="A749" s="214"/>
      <c r="B749" s="214"/>
      <c r="C749" s="214"/>
      <c r="D749" s="214"/>
      <c r="E749" s="215"/>
      <c r="F749" s="216"/>
      <c r="G749" s="216"/>
      <c r="H749" s="216"/>
      <c r="I749" s="216"/>
      <c r="J749" s="215"/>
      <c r="K749" s="217"/>
      <c r="L749" s="217"/>
      <c r="M749" s="217"/>
      <c r="N749" s="217"/>
      <c r="O749" s="217"/>
      <c r="P749" s="217"/>
    </row>
    <row r="750">
      <c r="A750" s="214"/>
      <c r="B750" s="214"/>
      <c r="C750" s="214"/>
      <c r="D750" s="214"/>
      <c r="E750" s="215"/>
      <c r="F750" s="216"/>
      <c r="G750" s="216"/>
      <c r="H750" s="216"/>
      <c r="I750" s="216"/>
      <c r="J750" s="215"/>
      <c r="K750" s="217"/>
      <c r="L750" s="217"/>
      <c r="M750" s="217"/>
      <c r="N750" s="217"/>
      <c r="O750" s="217"/>
      <c r="P750" s="217"/>
    </row>
    <row r="751">
      <c r="A751" s="214"/>
      <c r="B751" s="214"/>
      <c r="C751" s="214"/>
      <c r="D751" s="214"/>
      <c r="E751" s="215"/>
      <c r="F751" s="216"/>
      <c r="G751" s="216"/>
      <c r="H751" s="216"/>
      <c r="I751" s="216"/>
      <c r="J751" s="215"/>
      <c r="K751" s="217"/>
      <c r="L751" s="217"/>
      <c r="M751" s="217"/>
      <c r="N751" s="217"/>
      <c r="O751" s="217"/>
      <c r="P751" s="217"/>
    </row>
    <row r="752">
      <c r="A752" s="214"/>
      <c r="B752" s="214"/>
      <c r="C752" s="214"/>
      <c r="D752" s="214"/>
      <c r="E752" s="215"/>
      <c r="F752" s="216"/>
      <c r="G752" s="216"/>
      <c r="H752" s="216"/>
      <c r="I752" s="216"/>
      <c r="J752" s="215"/>
      <c r="K752" s="217"/>
      <c r="L752" s="217"/>
      <c r="M752" s="217"/>
      <c r="N752" s="217"/>
      <c r="O752" s="217"/>
      <c r="P752" s="217"/>
    </row>
    <row r="753">
      <c r="A753" s="214"/>
      <c r="B753" s="214"/>
      <c r="C753" s="214"/>
      <c r="D753" s="214"/>
      <c r="E753" s="215"/>
      <c r="F753" s="216"/>
      <c r="G753" s="216"/>
      <c r="H753" s="216"/>
      <c r="I753" s="216"/>
      <c r="J753" s="215"/>
      <c r="K753" s="217"/>
      <c r="L753" s="217"/>
      <c r="M753" s="217"/>
      <c r="N753" s="217"/>
      <c r="O753" s="217"/>
      <c r="P753" s="217"/>
    </row>
    <row r="754">
      <c r="A754" s="214"/>
      <c r="B754" s="214"/>
      <c r="C754" s="214"/>
      <c r="D754" s="214"/>
      <c r="E754" s="215"/>
      <c r="F754" s="216"/>
      <c r="G754" s="216"/>
      <c r="H754" s="216"/>
      <c r="I754" s="216"/>
      <c r="J754" s="215"/>
      <c r="K754" s="217"/>
      <c r="L754" s="217"/>
      <c r="M754" s="217"/>
      <c r="N754" s="217"/>
      <c r="O754" s="217"/>
      <c r="P754" s="217"/>
    </row>
    <row r="755">
      <c r="A755" s="214"/>
      <c r="B755" s="214"/>
      <c r="C755" s="214"/>
      <c r="D755" s="214"/>
      <c r="E755" s="215"/>
      <c r="F755" s="216"/>
      <c r="G755" s="216"/>
      <c r="H755" s="216"/>
      <c r="I755" s="216"/>
      <c r="J755" s="215"/>
      <c r="K755" s="217"/>
      <c r="L755" s="217"/>
      <c r="M755" s="217"/>
      <c r="N755" s="217"/>
      <c r="O755" s="217"/>
      <c r="P755" s="217"/>
    </row>
    <row r="756">
      <c r="A756" s="214"/>
      <c r="B756" s="214"/>
      <c r="C756" s="214"/>
      <c r="D756" s="214"/>
      <c r="E756" s="215"/>
      <c r="F756" s="216"/>
      <c r="G756" s="216"/>
      <c r="H756" s="216"/>
      <c r="I756" s="216"/>
      <c r="J756" s="215"/>
      <c r="K756" s="217"/>
      <c r="L756" s="217"/>
      <c r="M756" s="217"/>
      <c r="N756" s="217"/>
      <c r="O756" s="217"/>
      <c r="P756" s="217"/>
    </row>
    <row r="757">
      <c r="A757" s="214"/>
      <c r="B757" s="214"/>
      <c r="C757" s="214"/>
      <c r="D757" s="214"/>
      <c r="E757" s="215"/>
      <c r="F757" s="216"/>
      <c r="G757" s="216"/>
      <c r="H757" s="216"/>
      <c r="I757" s="216"/>
      <c r="J757" s="215"/>
      <c r="K757" s="217"/>
      <c r="L757" s="217"/>
      <c r="M757" s="217"/>
      <c r="N757" s="217"/>
      <c r="O757" s="217"/>
      <c r="P757" s="217"/>
    </row>
    <row r="758">
      <c r="A758" s="214"/>
      <c r="B758" s="214"/>
      <c r="C758" s="214"/>
      <c r="D758" s="214"/>
      <c r="E758" s="215"/>
      <c r="F758" s="216"/>
      <c r="G758" s="216"/>
      <c r="H758" s="216"/>
      <c r="I758" s="216"/>
      <c r="J758" s="215"/>
      <c r="K758" s="217"/>
      <c r="L758" s="217"/>
      <c r="M758" s="217"/>
      <c r="N758" s="217"/>
      <c r="O758" s="217"/>
      <c r="P758" s="217"/>
    </row>
    <row r="759">
      <c r="A759" s="214"/>
      <c r="B759" s="214"/>
      <c r="C759" s="214"/>
      <c r="D759" s="214"/>
      <c r="E759" s="215"/>
      <c r="F759" s="216"/>
      <c r="G759" s="216"/>
      <c r="H759" s="216"/>
      <c r="I759" s="216"/>
      <c r="J759" s="215"/>
      <c r="K759" s="217"/>
      <c r="L759" s="217"/>
      <c r="M759" s="217"/>
      <c r="N759" s="217"/>
      <c r="O759" s="217"/>
      <c r="P759" s="217"/>
    </row>
    <row r="760">
      <c r="A760" s="214"/>
      <c r="B760" s="214"/>
      <c r="C760" s="214"/>
      <c r="D760" s="214"/>
      <c r="E760" s="215"/>
      <c r="F760" s="216"/>
      <c r="G760" s="216"/>
      <c r="H760" s="216"/>
      <c r="I760" s="216"/>
      <c r="J760" s="215"/>
      <c r="K760" s="217"/>
      <c r="L760" s="217"/>
      <c r="M760" s="217"/>
      <c r="N760" s="217"/>
      <c r="O760" s="217"/>
      <c r="P760" s="217"/>
    </row>
    <row r="761">
      <c r="A761" s="214"/>
      <c r="B761" s="214"/>
      <c r="C761" s="214"/>
      <c r="D761" s="214"/>
      <c r="E761" s="215"/>
      <c r="F761" s="216"/>
      <c r="G761" s="216"/>
      <c r="H761" s="216"/>
      <c r="I761" s="216"/>
      <c r="J761" s="215"/>
      <c r="K761" s="217"/>
      <c r="L761" s="217"/>
      <c r="M761" s="217"/>
      <c r="N761" s="217"/>
      <c r="O761" s="217"/>
      <c r="P761" s="217"/>
    </row>
    <row r="762">
      <c r="A762" s="214"/>
      <c r="B762" s="214"/>
      <c r="C762" s="214"/>
      <c r="D762" s="214"/>
      <c r="E762" s="215"/>
      <c r="F762" s="216"/>
      <c r="G762" s="216"/>
      <c r="H762" s="216"/>
      <c r="I762" s="216"/>
      <c r="J762" s="215"/>
      <c r="K762" s="217"/>
      <c r="L762" s="217"/>
      <c r="M762" s="217"/>
      <c r="N762" s="217"/>
      <c r="O762" s="217"/>
      <c r="P762" s="217"/>
    </row>
    <row r="763">
      <c r="A763" s="214"/>
      <c r="B763" s="214"/>
      <c r="C763" s="214"/>
      <c r="D763" s="214"/>
      <c r="E763" s="215"/>
      <c r="F763" s="216"/>
      <c r="G763" s="216"/>
      <c r="H763" s="216"/>
      <c r="I763" s="216"/>
      <c r="J763" s="215"/>
      <c r="K763" s="217"/>
      <c r="L763" s="217"/>
      <c r="M763" s="217"/>
      <c r="N763" s="217"/>
      <c r="O763" s="217"/>
      <c r="P763" s="217"/>
    </row>
    <row r="764">
      <c r="A764" s="214"/>
      <c r="B764" s="214"/>
      <c r="C764" s="214"/>
      <c r="D764" s="214"/>
      <c r="E764" s="215"/>
      <c r="F764" s="216"/>
      <c r="G764" s="216"/>
      <c r="H764" s="216"/>
      <c r="I764" s="216"/>
      <c r="J764" s="215"/>
      <c r="K764" s="217"/>
      <c r="L764" s="217"/>
      <c r="M764" s="217"/>
      <c r="N764" s="217"/>
      <c r="O764" s="217"/>
      <c r="P764" s="217"/>
    </row>
    <row r="765">
      <c r="A765" s="214"/>
      <c r="B765" s="214"/>
      <c r="C765" s="214"/>
      <c r="D765" s="214"/>
      <c r="E765" s="215"/>
      <c r="F765" s="216"/>
      <c r="G765" s="216"/>
      <c r="H765" s="216"/>
      <c r="I765" s="216"/>
      <c r="J765" s="215"/>
      <c r="K765" s="217"/>
      <c r="L765" s="217"/>
      <c r="M765" s="217"/>
      <c r="N765" s="217"/>
      <c r="O765" s="217"/>
      <c r="P765" s="217"/>
    </row>
    <row r="766">
      <c r="A766" s="214"/>
      <c r="B766" s="214"/>
      <c r="C766" s="214"/>
      <c r="D766" s="214"/>
      <c r="E766" s="215"/>
      <c r="F766" s="216"/>
      <c r="G766" s="216"/>
      <c r="H766" s="216"/>
      <c r="I766" s="216"/>
      <c r="J766" s="215"/>
      <c r="K766" s="217"/>
      <c r="L766" s="217"/>
      <c r="M766" s="217"/>
      <c r="N766" s="217"/>
      <c r="O766" s="217"/>
      <c r="P766" s="217"/>
    </row>
    <row r="767">
      <c r="A767" s="214"/>
      <c r="B767" s="214"/>
      <c r="C767" s="214"/>
      <c r="D767" s="214"/>
      <c r="E767" s="215"/>
      <c r="F767" s="216"/>
      <c r="G767" s="216"/>
      <c r="H767" s="216"/>
      <c r="I767" s="216"/>
      <c r="J767" s="215"/>
      <c r="K767" s="217"/>
      <c r="L767" s="217"/>
      <c r="M767" s="217"/>
      <c r="N767" s="217"/>
      <c r="O767" s="217"/>
      <c r="P767" s="217"/>
    </row>
    <row r="768">
      <c r="A768" s="214"/>
      <c r="B768" s="214"/>
      <c r="C768" s="214"/>
      <c r="D768" s="214"/>
      <c r="E768" s="215"/>
      <c r="F768" s="216"/>
      <c r="G768" s="216"/>
      <c r="H768" s="216"/>
      <c r="I768" s="216"/>
      <c r="J768" s="215"/>
      <c r="K768" s="217"/>
      <c r="L768" s="217"/>
      <c r="M768" s="217"/>
      <c r="N768" s="217"/>
      <c r="O768" s="217"/>
      <c r="P768" s="217"/>
    </row>
    <row r="769">
      <c r="A769" s="214"/>
      <c r="B769" s="214"/>
      <c r="C769" s="214"/>
      <c r="D769" s="214"/>
      <c r="E769" s="215"/>
      <c r="F769" s="216"/>
      <c r="G769" s="216"/>
      <c r="H769" s="216"/>
      <c r="I769" s="216"/>
      <c r="J769" s="215"/>
      <c r="K769" s="217"/>
      <c r="L769" s="217"/>
      <c r="M769" s="217"/>
      <c r="N769" s="217"/>
      <c r="O769" s="217"/>
      <c r="P769" s="217"/>
    </row>
    <row r="770">
      <c r="A770" s="214"/>
      <c r="B770" s="214"/>
      <c r="C770" s="214"/>
      <c r="D770" s="214"/>
      <c r="E770" s="215"/>
      <c r="F770" s="216"/>
      <c r="G770" s="216"/>
      <c r="H770" s="216"/>
      <c r="I770" s="216"/>
      <c r="J770" s="215"/>
      <c r="K770" s="217"/>
      <c r="L770" s="217"/>
      <c r="M770" s="217"/>
      <c r="N770" s="217"/>
      <c r="O770" s="217"/>
      <c r="P770" s="217"/>
    </row>
    <row r="771">
      <c r="A771" s="214"/>
      <c r="B771" s="214"/>
      <c r="C771" s="214"/>
      <c r="D771" s="214"/>
      <c r="E771" s="215"/>
      <c r="F771" s="216"/>
      <c r="G771" s="216"/>
      <c r="H771" s="216"/>
      <c r="I771" s="216"/>
      <c r="J771" s="215"/>
      <c r="K771" s="217"/>
      <c r="L771" s="217"/>
      <c r="M771" s="217"/>
      <c r="N771" s="217"/>
      <c r="O771" s="217"/>
      <c r="P771" s="217"/>
    </row>
    <row r="772">
      <c r="A772" s="214"/>
      <c r="B772" s="214"/>
      <c r="C772" s="214"/>
      <c r="D772" s="214"/>
      <c r="E772" s="215"/>
      <c r="F772" s="216"/>
      <c r="G772" s="216"/>
      <c r="H772" s="216"/>
      <c r="I772" s="216"/>
      <c r="J772" s="215"/>
      <c r="K772" s="217"/>
      <c r="L772" s="217"/>
      <c r="M772" s="217"/>
      <c r="N772" s="217"/>
      <c r="O772" s="217"/>
      <c r="P772" s="217"/>
    </row>
    <row r="773">
      <c r="A773" s="214"/>
      <c r="B773" s="214"/>
      <c r="C773" s="214"/>
      <c r="D773" s="214"/>
      <c r="E773" s="215"/>
      <c r="F773" s="216"/>
      <c r="G773" s="216"/>
      <c r="H773" s="216"/>
      <c r="I773" s="216"/>
      <c r="J773" s="215"/>
      <c r="K773" s="217"/>
      <c r="L773" s="217"/>
      <c r="M773" s="217"/>
      <c r="N773" s="217"/>
      <c r="O773" s="217"/>
      <c r="P773" s="217"/>
    </row>
    <row r="774">
      <c r="A774" s="214"/>
      <c r="B774" s="214"/>
      <c r="C774" s="214"/>
      <c r="D774" s="214"/>
      <c r="E774" s="215"/>
      <c r="F774" s="216"/>
      <c r="G774" s="216"/>
      <c r="H774" s="216"/>
      <c r="I774" s="216"/>
      <c r="J774" s="215"/>
      <c r="K774" s="217"/>
      <c r="L774" s="217"/>
      <c r="M774" s="217"/>
      <c r="N774" s="217"/>
      <c r="O774" s="217"/>
      <c r="P774" s="217"/>
    </row>
    <row r="775">
      <c r="A775" s="214"/>
      <c r="B775" s="214"/>
      <c r="C775" s="214"/>
      <c r="D775" s="214"/>
      <c r="E775" s="215"/>
      <c r="F775" s="216"/>
      <c r="G775" s="216"/>
      <c r="H775" s="216"/>
      <c r="I775" s="216"/>
      <c r="J775" s="215"/>
      <c r="K775" s="217"/>
      <c r="L775" s="217"/>
      <c r="M775" s="217"/>
      <c r="N775" s="217"/>
      <c r="O775" s="217"/>
      <c r="P775" s="217"/>
    </row>
    <row r="776">
      <c r="A776" s="214"/>
      <c r="B776" s="214"/>
      <c r="C776" s="214"/>
      <c r="D776" s="214"/>
      <c r="E776" s="215"/>
      <c r="F776" s="216"/>
      <c r="G776" s="216"/>
      <c r="H776" s="216"/>
      <c r="I776" s="216"/>
      <c r="J776" s="215"/>
      <c r="K776" s="217"/>
      <c r="L776" s="217"/>
      <c r="M776" s="217"/>
      <c r="N776" s="217"/>
      <c r="O776" s="217"/>
      <c r="P776" s="217"/>
    </row>
    <row r="777">
      <c r="A777" s="214"/>
      <c r="B777" s="214"/>
      <c r="C777" s="214"/>
      <c r="D777" s="214"/>
      <c r="E777" s="215"/>
      <c r="F777" s="216"/>
      <c r="G777" s="216"/>
      <c r="H777" s="216"/>
      <c r="I777" s="216"/>
      <c r="J777" s="215"/>
      <c r="K777" s="217"/>
      <c r="L777" s="217"/>
      <c r="M777" s="217"/>
      <c r="N777" s="217"/>
      <c r="O777" s="217"/>
      <c r="P777" s="217"/>
    </row>
    <row r="778">
      <c r="A778" s="214"/>
      <c r="B778" s="214"/>
      <c r="C778" s="214"/>
      <c r="D778" s="214"/>
      <c r="E778" s="215"/>
      <c r="F778" s="216"/>
      <c r="G778" s="216"/>
      <c r="H778" s="216"/>
      <c r="I778" s="216"/>
      <c r="J778" s="215"/>
      <c r="K778" s="217"/>
      <c r="L778" s="217"/>
      <c r="M778" s="217"/>
      <c r="N778" s="217"/>
      <c r="O778" s="217"/>
      <c r="P778" s="217"/>
    </row>
    <row r="779">
      <c r="A779" s="214"/>
      <c r="B779" s="214"/>
      <c r="C779" s="214"/>
      <c r="D779" s="214"/>
      <c r="E779" s="215"/>
      <c r="F779" s="216"/>
      <c r="G779" s="216"/>
      <c r="H779" s="216"/>
      <c r="I779" s="216"/>
      <c r="J779" s="215"/>
      <c r="K779" s="217"/>
      <c r="L779" s="217"/>
      <c r="M779" s="217"/>
      <c r="N779" s="217"/>
      <c r="O779" s="217"/>
      <c r="P779" s="217"/>
    </row>
    <row r="780">
      <c r="A780" s="214"/>
      <c r="B780" s="214"/>
      <c r="C780" s="214"/>
      <c r="D780" s="214"/>
      <c r="E780" s="215"/>
      <c r="F780" s="216"/>
      <c r="G780" s="216"/>
      <c r="H780" s="216"/>
      <c r="I780" s="216"/>
      <c r="J780" s="215"/>
      <c r="K780" s="217"/>
      <c r="L780" s="217"/>
      <c r="M780" s="217"/>
      <c r="N780" s="217"/>
      <c r="O780" s="217"/>
      <c r="P780" s="217"/>
    </row>
    <row r="781">
      <c r="A781" s="214"/>
      <c r="B781" s="214"/>
      <c r="C781" s="214"/>
      <c r="D781" s="214"/>
      <c r="E781" s="215"/>
      <c r="F781" s="216"/>
      <c r="G781" s="216"/>
      <c r="H781" s="216"/>
      <c r="I781" s="216"/>
      <c r="J781" s="215"/>
      <c r="K781" s="217"/>
      <c r="L781" s="217"/>
      <c r="M781" s="217"/>
      <c r="N781" s="217"/>
      <c r="O781" s="217"/>
      <c r="P781" s="217"/>
    </row>
    <row r="782">
      <c r="A782" s="214"/>
      <c r="B782" s="214"/>
      <c r="C782" s="214"/>
      <c r="D782" s="214"/>
      <c r="E782" s="215"/>
      <c r="F782" s="216"/>
      <c r="G782" s="216"/>
      <c r="H782" s="216"/>
      <c r="I782" s="216"/>
      <c r="J782" s="215"/>
      <c r="K782" s="217"/>
      <c r="L782" s="217"/>
      <c r="M782" s="217"/>
      <c r="N782" s="217"/>
      <c r="O782" s="217"/>
      <c r="P782" s="217"/>
    </row>
    <row r="783">
      <c r="A783" s="214"/>
      <c r="B783" s="214"/>
      <c r="C783" s="214"/>
      <c r="D783" s="214"/>
      <c r="E783" s="215"/>
      <c r="F783" s="216"/>
      <c r="G783" s="216"/>
      <c r="H783" s="216"/>
      <c r="I783" s="216"/>
      <c r="J783" s="215"/>
      <c r="K783" s="217"/>
      <c r="L783" s="217"/>
      <c r="M783" s="217"/>
      <c r="N783" s="217"/>
      <c r="O783" s="217"/>
      <c r="P783" s="217"/>
    </row>
    <row r="784">
      <c r="A784" s="214"/>
      <c r="B784" s="214"/>
      <c r="C784" s="214"/>
      <c r="D784" s="214"/>
      <c r="E784" s="215"/>
      <c r="F784" s="216"/>
      <c r="G784" s="216"/>
      <c r="H784" s="216"/>
      <c r="I784" s="216"/>
      <c r="J784" s="215"/>
      <c r="K784" s="217"/>
      <c r="L784" s="217"/>
      <c r="M784" s="217"/>
      <c r="N784" s="217"/>
      <c r="O784" s="217"/>
      <c r="P784" s="217"/>
    </row>
    <row r="785">
      <c r="A785" s="214"/>
      <c r="B785" s="214"/>
      <c r="C785" s="214"/>
      <c r="D785" s="214"/>
      <c r="E785" s="215"/>
      <c r="F785" s="216"/>
      <c r="G785" s="216"/>
      <c r="H785" s="216"/>
      <c r="I785" s="216"/>
      <c r="J785" s="215"/>
      <c r="K785" s="217"/>
      <c r="L785" s="217"/>
      <c r="M785" s="217"/>
      <c r="N785" s="217"/>
      <c r="O785" s="217"/>
      <c r="P785" s="217"/>
    </row>
    <row r="786">
      <c r="A786" s="214"/>
      <c r="B786" s="214"/>
      <c r="C786" s="214"/>
      <c r="D786" s="214"/>
      <c r="E786" s="215"/>
      <c r="F786" s="216"/>
      <c r="G786" s="216"/>
      <c r="H786" s="216"/>
      <c r="I786" s="216"/>
      <c r="J786" s="215"/>
      <c r="K786" s="217"/>
      <c r="L786" s="217"/>
      <c r="M786" s="217"/>
      <c r="N786" s="217"/>
      <c r="O786" s="217"/>
      <c r="P786" s="217"/>
    </row>
    <row r="787">
      <c r="A787" s="214"/>
      <c r="B787" s="214"/>
      <c r="C787" s="214"/>
      <c r="D787" s="214"/>
      <c r="E787" s="215"/>
      <c r="F787" s="216"/>
      <c r="G787" s="216"/>
      <c r="H787" s="216"/>
      <c r="I787" s="216"/>
      <c r="J787" s="215"/>
      <c r="K787" s="217"/>
      <c r="L787" s="217"/>
      <c r="M787" s="217"/>
      <c r="N787" s="217"/>
      <c r="O787" s="217"/>
      <c r="P787" s="217"/>
    </row>
    <row r="788">
      <c r="A788" s="214"/>
      <c r="B788" s="214"/>
      <c r="C788" s="214"/>
      <c r="D788" s="214"/>
      <c r="E788" s="215"/>
      <c r="F788" s="216"/>
      <c r="G788" s="216"/>
      <c r="H788" s="216"/>
      <c r="I788" s="216"/>
      <c r="J788" s="215"/>
      <c r="K788" s="217"/>
      <c r="L788" s="217"/>
      <c r="M788" s="217"/>
      <c r="N788" s="217"/>
      <c r="O788" s="217"/>
      <c r="P788" s="217"/>
    </row>
    <row r="789">
      <c r="A789" s="214"/>
      <c r="B789" s="214"/>
      <c r="C789" s="214"/>
      <c r="D789" s="214"/>
      <c r="E789" s="215"/>
      <c r="F789" s="216"/>
      <c r="G789" s="216"/>
      <c r="H789" s="216"/>
      <c r="I789" s="216"/>
      <c r="J789" s="215"/>
      <c r="K789" s="217"/>
      <c r="L789" s="217"/>
      <c r="M789" s="217"/>
      <c r="N789" s="217"/>
      <c r="O789" s="217"/>
      <c r="P789" s="217"/>
    </row>
    <row r="790">
      <c r="A790" s="214"/>
      <c r="B790" s="214"/>
      <c r="C790" s="214"/>
      <c r="D790" s="214"/>
      <c r="E790" s="215"/>
      <c r="F790" s="216"/>
      <c r="G790" s="216"/>
      <c r="H790" s="216"/>
      <c r="I790" s="216"/>
      <c r="J790" s="215"/>
      <c r="K790" s="217"/>
      <c r="L790" s="217"/>
      <c r="M790" s="217"/>
      <c r="N790" s="217"/>
      <c r="O790" s="217"/>
      <c r="P790" s="217"/>
    </row>
    <row r="791">
      <c r="A791" s="214"/>
      <c r="B791" s="214"/>
      <c r="C791" s="214"/>
      <c r="D791" s="214"/>
      <c r="E791" s="215"/>
      <c r="F791" s="216"/>
      <c r="G791" s="216"/>
      <c r="H791" s="216"/>
      <c r="I791" s="216"/>
      <c r="J791" s="215"/>
      <c r="K791" s="217"/>
      <c r="L791" s="217"/>
      <c r="M791" s="217"/>
      <c r="N791" s="217"/>
      <c r="O791" s="217"/>
      <c r="P791" s="217"/>
    </row>
    <row r="792">
      <c r="A792" s="214"/>
      <c r="B792" s="214"/>
      <c r="C792" s="214"/>
      <c r="D792" s="214"/>
      <c r="E792" s="215"/>
      <c r="F792" s="216"/>
      <c r="G792" s="216"/>
      <c r="H792" s="216"/>
      <c r="I792" s="216"/>
      <c r="J792" s="215"/>
      <c r="K792" s="217"/>
      <c r="L792" s="217"/>
      <c r="M792" s="217"/>
      <c r="N792" s="217"/>
      <c r="O792" s="217"/>
      <c r="P792" s="217"/>
    </row>
    <row r="793">
      <c r="A793" s="214"/>
      <c r="B793" s="214"/>
      <c r="C793" s="214"/>
      <c r="D793" s="214"/>
      <c r="E793" s="215"/>
      <c r="F793" s="216"/>
      <c r="G793" s="216"/>
      <c r="H793" s="216"/>
      <c r="I793" s="216"/>
      <c r="J793" s="215"/>
      <c r="K793" s="217"/>
      <c r="L793" s="217"/>
      <c r="M793" s="217"/>
      <c r="N793" s="217"/>
      <c r="O793" s="217"/>
      <c r="P793" s="217"/>
    </row>
    <row r="794">
      <c r="A794" s="214"/>
      <c r="B794" s="214"/>
      <c r="C794" s="214"/>
      <c r="D794" s="214"/>
      <c r="E794" s="215"/>
      <c r="F794" s="216"/>
      <c r="G794" s="216"/>
      <c r="H794" s="216"/>
      <c r="I794" s="216"/>
      <c r="J794" s="215"/>
      <c r="K794" s="217"/>
      <c r="L794" s="217"/>
      <c r="M794" s="217"/>
      <c r="N794" s="217"/>
      <c r="O794" s="217"/>
      <c r="P794" s="217"/>
    </row>
    <row r="795">
      <c r="A795" s="214"/>
      <c r="B795" s="214"/>
      <c r="C795" s="214"/>
      <c r="D795" s="214"/>
      <c r="E795" s="215"/>
      <c r="F795" s="216"/>
      <c r="G795" s="216"/>
      <c r="H795" s="216"/>
      <c r="I795" s="216"/>
      <c r="J795" s="215"/>
      <c r="K795" s="217"/>
      <c r="L795" s="217"/>
      <c r="M795" s="217"/>
      <c r="N795" s="217"/>
      <c r="O795" s="217"/>
      <c r="P795" s="217"/>
    </row>
    <row r="796">
      <c r="A796" s="214"/>
      <c r="B796" s="214"/>
      <c r="C796" s="214"/>
      <c r="D796" s="214"/>
      <c r="E796" s="215"/>
      <c r="F796" s="216"/>
      <c r="G796" s="216"/>
      <c r="H796" s="216"/>
      <c r="I796" s="216"/>
      <c r="J796" s="215"/>
      <c r="K796" s="217"/>
      <c r="L796" s="217"/>
      <c r="M796" s="217"/>
      <c r="N796" s="217"/>
      <c r="O796" s="217"/>
      <c r="P796" s="217"/>
    </row>
    <row r="797">
      <c r="A797" s="214"/>
      <c r="B797" s="214"/>
      <c r="C797" s="214"/>
      <c r="D797" s="214"/>
      <c r="E797" s="215"/>
      <c r="F797" s="216"/>
      <c r="G797" s="216"/>
      <c r="H797" s="216"/>
      <c r="I797" s="216"/>
      <c r="J797" s="215"/>
      <c r="K797" s="217"/>
      <c r="L797" s="217"/>
      <c r="M797" s="217"/>
      <c r="N797" s="217"/>
      <c r="O797" s="217"/>
      <c r="P797" s="217"/>
    </row>
    <row r="798">
      <c r="A798" s="214"/>
      <c r="B798" s="214"/>
      <c r="C798" s="214"/>
      <c r="D798" s="214"/>
      <c r="E798" s="215"/>
      <c r="F798" s="216"/>
      <c r="G798" s="216"/>
      <c r="H798" s="216"/>
      <c r="I798" s="216"/>
      <c r="J798" s="215"/>
      <c r="K798" s="217"/>
      <c r="L798" s="217"/>
      <c r="M798" s="217"/>
      <c r="N798" s="217"/>
      <c r="O798" s="217"/>
      <c r="P798" s="217"/>
    </row>
    <row r="799">
      <c r="A799" s="214"/>
      <c r="B799" s="214"/>
      <c r="C799" s="214"/>
      <c r="D799" s="214"/>
      <c r="E799" s="215"/>
      <c r="F799" s="216"/>
      <c r="G799" s="216"/>
      <c r="H799" s="216"/>
      <c r="I799" s="216"/>
      <c r="J799" s="215"/>
      <c r="K799" s="217"/>
      <c r="L799" s="217"/>
      <c r="M799" s="217"/>
      <c r="N799" s="217"/>
      <c r="O799" s="217"/>
      <c r="P799" s="217"/>
    </row>
    <row r="800">
      <c r="A800" s="214"/>
      <c r="B800" s="214"/>
      <c r="C800" s="214"/>
      <c r="D800" s="214"/>
      <c r="E800" s="215"/>
      <c r="F800" s="216"/>
      <c r="G800" s="216"/>
      <c r="H800" s="216"/>
      <c r="I800" s="216"/>
      <c r="J800" s="215"/>
      <c r="K800" s="217"/>
      <c r="L800" s="217"/>
      <c r="M800" s="217"/>
      <c r="N800" s="217"/>
      <c r="O800" s="217"/>
      <c r="P800" s="217"/>
    </row>
    <row r="801">
      <c r="A801" s="214"/>
      <c r="B801" s="214"/>
      <c r="C801" s="214"/>
      <c r="D801" s="214"/>
      <c r="E801" s="215"/>
      <c r="F801" s="216"/>
      <c r="G801" s="216"/>
      <c r="H801" s="216"/>
      <c r="I801" s="216"/>
      <c r="J801" s="215"/>
      <c r="K801" s="217"/>
      <c r="L801" s="217"/>
      <c r="M801" s="217"/>
      <c r="N801" s="217"/>
      <c r="O801" s="217"/>
      <c r="P801" s="217"/>
    </row>
    <row r="802">
      <c r="A802" s="214"/>
      <c r="B802" s="214"/>
      <c r="C802" s="214"/>
      <c r="D802" s="214"/>
      <c r="E802" s="215"/>
      <c r="F802" s="216"/>
      <c r="G802" s="216"/>
      <c r="H802" s="216"/>
      <c r="I802" s="216"/>
      <c r="J802" s="215"/>
      <c r="K802" s="217"/>
      <c r="L802" s="217"/>
      <c r="M802" s="217"/>
      <c r="N802" s="217"/>
      <c r="O802" s="217"/>
      <c r="P802" s="217"/>
    </row>
    <row r="803">
      <c r="A803" s="214"/>
      <c r="B803" s="214"/>
      <c r="C803" s="214"/>
      <c r="D803" s="214"/>
      <c r="E803" s="215"/>
      <c r="F803" s="216"/>
      <c r="G803" s="216"/>
      <c r="H803" s="216"/>
      <c r="I803" s="216"/>
      <c r="J803" s="215"/>
      <c r="K803" s="217"/>
      <c r="L803" s="217"/>
      <c r="M803" s="217"/>
      <c r="N803" s="217"/>
      <c r="O803" s="217"/>
      <c r="P803" s="217"/>
    </row>
    <row r="804">
      <c r="A804" s="214"/>
      <c r="B804" s="214"/>
      <c r="C804" s="214"/>
      <c r="D804" s="214"/>
      <c r="E804" s="215"/>
      <c r="F804" s="216"/>
      <c r="G804" s="216"/>
      <c r="H804" s="216"/>
      <c r="I804" s="216"/>
      <c r="J804" s="215"/>
      <c r="K804" s="217"/>
      <c r="L804" s="217"/>
      <c r="M804" s="217"/>
      <c r="N804" s="217"/>
      <c r="O804" s="217"/>
      <c r="P804" s="217"/>
    </row>
    <row r="805">
      <c r="A805" s="214"/>
      <c r="B805" s="214"/>
      <c r="C805" s="214"/>
      <c r="D805" s="214"/>
      <c r="E805" s="215"/>
      <c r="F805" s="216"/>
      <c r="G805" s="216"/>
      <c r="H805" s="216"/>
      <c r="I805" s="216"/>
      <c r="J805" s="215"/>
      <c r="K805" s="217"/>
      <c r="L805" s="217"/>
      <c r="M805" s="217"/>
      <c r="N805" s="217"/>
      <c r="O805" s="217"/>
      <c r="P805" s="217"/>
    </row>
    <row r="806">
      <c r="A806" s="214"/>
      <c r="B806" s="214"/>
      <c r="C806" s="214"/>
      <c r="D806" s="214"/>
      <c r="E806" s="215"/>
      <c r="F806" s="216"/>
      <c r="G806" s="216"/>
      <c r="H806" s="216"/>
      <c r="I806" s="216"/>
      <c r="J806" s="215"/>
      <c r="K806" s="217"/>
      <c r="L806" s="217"/>
      <c r="M806" s="217"/>
      <c r="N806" s="217"/>
      <c r="O806" s="217"/>
      <c r="P806" s="217"/>
    </row>
    <row r="807">
      <c r="A807" s="214"/>
      <c r="B807" s="214"/>
      <c r="C807" s="214"/>
      <c r="D807" s="214"/>
      <c r="E807" s="215"/>
      <c r="F807" s="216"/>
      <c r="G807" s="216"/>
      <c r="H807" s="216"/>
      <c r="I807" s="216"/>
      <c r="J807" s="215"/>
      <c r="K807" s="217"/>
      <c r="L807" s="217"/>
      <c r="M807" s="217"/>
      <c r="N807" s="217"/>
      <c r="O807" s="217"/>
      <c r="P807" s="217"/>
    </row>
    <row r="808">
      <c r="A808" s="214"/>
      <c r="B808" s="214"/>
      <c r="C808" s="214"/>
      <c r="D808" s="214"/>
      <c r="E808" s="215"/>
      <c r="F808" s="216"/>
      <c r="G808" s="216"/>
      <c r="H808" s="216"/>
      <c r="I808" s="216"/>
      <c r="J808" s="215"/>
      <c r="K808" s="217"/>
      <c r="L808" s="217"/>
      <c r="M808" s="217"/>
      <c r="N808" s="217"/>
      <c r="O808" s="217"/>
      <c r="P808" s="217"/>
    </row>
    <row r="809">
      <c r="A809" s="214"/>
      <c r="B809" s="214"/>
      <c r="C809" s="214"/>
      <c r="D809" s="214"/>
      <c r="E809" s="215"/>
      <c r="F809" s="216"/>
      <c r="G809" s="216"/>
      <c r="H809" s="216"/>
      <c r="I809" s="216"/>
      <c r="J809" s="215"/>
      <c r="K809" s="217"/>
      <c r="L809" s="217"/>
      <c r="M809" s="217"/>
      <c r="N809" s="217"/>
      <c r="O809" s="217"/>
      <c r="P809" s="217"/>
    </row>
    <row r="810">
      <c r="A810" s="214"/>
      <c r="B810" s="214"/>
      <c r="C810" s="214"/>
      <c r="D810" s="214"/>
      <c r="E810" s="215"/>
      <c r="F810" s="216"/>
      <c r="G810" s="216"/>
      <c r="H810" s="216"/>
      <c r="I810" s="216"/>
      <c r="J810" s="215"/>
      <c r="K810" s="217"/>
      <c r="L810" s="217"/>
      <c r="M810" s="217"/>
      <c r="N810" s="217"/>
      <c r="O810" s="217"/>
      <c r="P810" s="217"/>
    </row>
    <row r="811">
      <c r="A811" s="214"/>
      <c r="B811" s="214"/>
      <c r="C811" s="214"/>
      <c r="D811" s="214"/>
      <c r="E811" s="215"/>
      <c r="F811" s="216"/>
      <c r="G811" s="216"/>
      <c r="H811" s="216"/>
      <c r="I811" s="216"/>
      <c r="J811" s="215"/>
      <c r="K811" s="217"/>
      <c r="L811" s="217"/>
      <c r="M811" s="217"/>
      <c r="N811" s="217"/>
      <c r="O811" s="217"/>
      <c r="P811" s="217"/>
    </row>
    <row r="812">
      <c r="A812" s="214"/>
      <c r="B812" s="214"/>
      <c r="C812" s="214"/>
      <c r="D812" s="214"/>
      <c r="E812" s="215"/>
      <c r="F812" s="216"/>
      <c r="G812" s="216"/>
      <c r="H812" s="216"/>
      <c r="I812" s="216"/>
      <c r="J812" s="215"/>
      <c r="K812" s="217"/>
      <c r="L812" s="217"/>
      <c r="M812" s="217"/>
      <c r="N812" s="217"/>
      <c r="O812" s="217"/>
      <c r="P812" s="217"/>
    </row>
    <row r="813">
      <c r="A813" s="214"/>
      <c r="B813" s="214"/>
      <c r="C813" s="214"/>
      <c r="D813" s="214"/>
      <c r="E813" s="215"/>
      <c r="F813" s="216"/>
      <c r="G813" s="216"/>
      <c r="H813" s="216"/>
      <c r="I813" s="216"/>
      <c r="J813" s="215"/>
      <c r="K813" s="217"/>
      <c r="L813" s="217"/>
      <c r="M813" s="217"/>
      <c r="N813" s="217"/>
      <c r="O813" s="217"/>
      <c r="P813" s="217"/>
    </row>
    <row r="814">
      <c r="A814" s="214"/>
      <c r="B814" s="214"/>
      <c r="C814" s="214"/>
      <c r="D814" s="214"/>
      <c r="E814" s="215"/>
      <c r="F814" s="216"/>
      <c r="G814" s="216"/>
      <c r="H814" s="216"/>
      <c r="I814" s="216"/>
      <c r="J814" s="215"/>
      <c r="K814" s="217"/>
      <c r="L814" s="217"/>
      <c r="M814" s="217"/>
      <c r="N814" s="217"/>
      <c r="O814" s="217"/>
      <c r="P814" s="217"/>
    </row>
    <row r="815">
      <c r="A815" s="214"/>
      <c r="B815" s="214"/>
      <c r="C815" s="214"/>
      <c r="D815" s="214"/>
      <c r="E815" s="215"/>
      <c r="F815" s="216"/>
      <c r="G815" s="216"/>
      <c r="H815" s="216"/>
      <c r="I815" s="216"/>
      <c r="J815" s="215"/>
      <c r="K815" s="217"/>
      <c r="L815" s="217"/>
      <c r="M815" s="217"/>
      <c r="N815" s="217"/>
      <c r="O815" s="217"/>
      <c r="P815" s="217"/>
    </row>
    <row r="816">
      <c r="A816" s="214"/>
      <c r="B816" s="214"/>
      <c r="C816" s="214"/>
      <c r="D816" s="214"/>
      <c r="E816" s="215"/>
      <c r="F816" s="216"/>
      <c r="G816" s="216"/>
      <c r="H816" s="216"/>
      <c r="I816" s="216"/>
      <c r="J816" s="215"/>
      <c r="K816" s="217"/>
      <c r="L816" s="217"/>
      <c r="M816" s="217"/>
      <c r="N816" s="217"/>
      <c r="O816" s="217"/>
      <c r="P816" s="217"/>
    </row>
    <row r="817">
      <c r="A817" s="214"/>
      <c r="B817" s="214"/>
      <c r="C817" s="214"/>
      <c r="D817" s="214"/>
      <c r="E817" s="215"/>
      <c r="F817" s="216"/>
      <c r="G817" s="216"/>
      <c r="H817" s="216"/>
      <c r="I817" s="216"/>
      <c r="J817" s="215"/>
      <c r="K817" s="217"/>
      <c r="L817" s="217"/>
      <c r="M817" s="217"/>
      <c r="N817" s="217"/>
      <c r="O817" s="217"/>
      <c r="P817" s="217"/>
    </row>
    <row r="818">
      <c r="A818" s="214"/>
      <c r="B818" s="214"/>
      <c r="C818" s="214"/>
      <c r="D818" s="214"/>
      <c r="E818" s="215"/>
      <c r="F818" s="216"/>
      <c r="G818" s="216"/>
      <c r="H818" s="216"/>
      <c r="I818" s="216"/>
      <c r="J818" s="215"/>
      <c r="K818" s="217"/>
      <c r="L818" s="217"/>
      <c r="M818" s="217"/>
      <c r="N818" s="217"/>
      <c r="O818" s="217"/>
      <c r="P818" s="217"/>
    </row>
    <row r="819">
      <c r="A819" s="214"/>
      <c r="B819" s="214"/>
      <c r="C819" s="214"/>
      <c r="D819" s="214"/>
      <c r="E819" s="215"/>
      <c r="F819" s="216"/>
      <c r="G819" s="216"/>
      <c r="H819" s="216"/>
      <c r="I819" s="216"/>
      <c r="J819" s="215"/>
      <c r="K819" s="217"/>
      <c r="L819" s="217"/>
      <c r="M819" s="217"/>
      <c r="N819" s="217"/>
      <c r="O819" s="217"/>
      <c r="P819" s="217"/>
    </row>
    <row r="820">
      <c r="A820" s="214"/>
      <c r="B820" s="214"/>
      <c r="C820" s="214"/>
      <c r="D820" s="214"/>
      <c r="E820" s="215"/>
      <c r="F820" s="216"/>
      <c r="G820" s="216"/>
      <c r="H820" s="216"/>
      <c r="I820" s="216"/>
      <c r="J820" s="215"/>
      <c r="K820" s="217"/>
      <c r="L820" s="217"/>
      <c r="M820" s="217"/>
      <c r="N820" s="217"/>
      <c r="O820" s="217"/>
      <c r="P820" s="217"/>
    </row>
    <row r="821">
      <c r="A821" s="214"/>
      <c r="B821" s="214"/>
      <c r="C821" s="214"/>
      <c r="D821" s="214"/>
      <c r="E821" s="215"/>
      <c r="F821" s="216"/>
      <c r="G821" s="216"/>
      <c r="H821" s="216"/>
      <c r="I821" s="216"/>
      <c r="J821" s="215"/>
      <c r="K821" s="217"/>
      <c r="L821" s="217"/>
      <c r="M821" s="217"/>
      <c r="N821" s="217"/>
      <c r="O821" s="217"/>
      <c r="P821" s="217"/>
    </row>
    <row r="822">
      <c r="A822" s="214"/>
      <c r="B822" s="214"/>
      <c r="C822" s="214"/>
      <c r="D822" s="214"/>
      <c r="E822" s="215"/>
      <c r="F822" s="216"/>
      <c r="G822" s="216"/>
      <c r="H822" s="216"/>
      <c r="I822" s="216"/>
      <c r="J822" s="215"/>
      <c r="K822" s="217"/>
      <c r="L822" s="217"/>
      <c r="M822" s="217"/>
      <c r="N822" s="217"/>
      <c r="O822" s="217"/>
      <c r="P822" s="217"/>
    </row>
    <row r="823">
      <c r="A823" s="214"/>
      <c r="B823" s="214"/>
      <c r="C823" s="214"/>
      <c r="D823" s="214"/>
      <c r="E823" s="215"/>
      <c r="F823" s="216"/>
      <c r="G823" s="216"/>
      <c r="H823" s="216"/>
      <c r="I823" s="216"/>
      <c r="J823" s="215"/>
      <c r="K823" s="217"/>
      <c r="L823" s="217"/>
      <c r="M823" s="217"/>
      <c r="N823" s="217"/>
      <c r="O823" s="217"/>
      <c r="P823" s="217"/>
    </row>
    <row r="824">
      <c r="A824" s="214"/>
      <c r="B824" s="214"/>
      <c r="C824" s="214"/>
      <c r="D824" s="214"/>
      <c r="E824" s="215"/>
      <c r="F824" s="216"/>
      <c r="G824" s="216"/>
      <c r="H824" s="216"/>
      <c r="I824" s="216"/>
      <c r="J824" s="215"/>
      <c r="K824" s="217"/>
      <c r="L824" s="217"/>
      <c r="M824" s="217"/>
      <c r="N824" s="217"/>
      <c r="O824" s="217"/>
      <c r="P824" s="217"/>
    </row>
    <row r="825">
      <c r="A825" s="214"/>
      <c r="B825" s="214"/>
      <c r="C825" s="214"/>
      <c r="D825" s="214"/>
      <c r="E825" s="215"/>
      <c r="F825" s="216"/>
      <c r="G825" s="216"/>
      <c r="H825" s="216"/>
      <c r="I825" s="216"/>
      <c r="J825" s="215"/>
      <c r="K825" s="217"/>
      <c r="L825" s="217"/>
      <c r="M825" s="217"/>
      <c r="N825" s="217"/>
      <c r="O825" s="217"/>
      <c r="P825" s="217"/>
    </row>
    <row r="826">
      <c r="A826" s="214"/>
      <c r="B826" s="214"/>
      <c r="C826" s="214"/>
      <c r="D826" s="214"/>
      <c r="E826" s="215"/>
      <c r="F826" s="216"/>
      <c r="G826" s="216"/>
      <c r="H826" s="216"/>
      <c r="I826" s="216"/>
      <c r="J826" s="215"/>
      <c r="K826" s="217"/>
      <c r="L826" s="217"/>
      <c r="M826" s="217"/>
      <c r="N826" s="217"/>
      <c r="O826" s="217"/>
      <c r="P826" s="217"/>
    </row>
    <row r="827">
      <c r="A827" s="214"/>
      <c r="B827" s="214"/>
      <c r="C827" s="214"/>
      <c r="D827" s="214"/>
      <c r="E827" s="215"/>
      <c r="F827" s="216"/>
      <c r="G827" s="216"/>
      <c r="H827" s="216"/>
      <c r="I827" s="216"/>
      <c r="J827" s="215"/>
      <c r="K827" s="217"/>
      <c r="L827" s="217"/>
      <c r="M827" s="217"/>
      <c r="N827" s="217"/>
      <c r="O827" s="217"/>
      <c r="P827" s="217"/>
    </row>
    <row r="828">
      <c r="A828" s="214"/>
      <c r="B828" s="214"/>
      <c r="C828" s="214"/>
      <c r="D828" s="214"/>
      <c r="E828" s="215"/>
      <c r="F828" s="216"/>
      <c r="G828" s="216"/>
      <c r="H828" s="216"/>
      <c r="I828" s="216"/>
      <c r="J828" s="215"/>
      <c r="K828" s="217"/>
      <c r="L828" s="217"/>
      <c r="M828" s="217"/>
      <c r="N828" s="217"/>
      <c r="O828" s="217"/>
      <c r="P828" s="217"/>
    </row>
    <row r="829">
      <c r="A829" s="214"/>
      <c r="B829" s="214"/>
      <c r="C829" s="214"/>
      <c r="D829" s="214"/>
      <c r="E829" s="215"/>
      <c r="F829" s="216"/>
      <c r="G829" s="216"/>
      <c r="H829" s="216"/>
      <c r="I829" s="216"/>
      <c r="J829" s="215"/>
      <c r="K829" s="217"/>
      <c r="L829" s="217"/>
      <c r="M829" s="217"/>
      <c r="N829" s="217"/>
      <c r="O829" s="217"/>
      <c r="P829" s="217"/>
    </row>
    <row r="830">
      <c r="A830" s="214"/>
      <c r="B830" s="214"/>
      <c r="C830" s="214"/>
      <c r="D830" s="214"/>
      <c r="E830" s="215"/>
      <c r="F830" s="216"/>
      <c r="G830" s="216"/>
      <c r="H830" s="216"/>
      <c r="I830" s="216"/>
      <c r="J830" s="215"/>
      <c r="K830" s="217"/>
      <c r="L830" s="217"/>
      <c r="M830" s="217"/>
      <c r="N830" s="217"/>
      <c r="O830" s="217"/>
      <c r="P830" s="217"/>
    </row>
    <row r="831">
      <c r="A831" s="214"/>
      <c r="B831" s="214"/>
      <c r="C831" s="214"/>
      <c r="D831" s="214"/>
      <c r="E831" s="215"/>
      <c r="F831" s="216"/>
      <c r="G831" s="216"/>
      <c r="H831" s="216"/>
      <c r="I831" s="216"/>
      <c r="J831" s="215"/>
      <c r="K831" s="217"/>
      <c r="L831" s="217"/>
      <c r="M831" s="217"/>
      <c r="N831" s="217"/>
      <c r="O831" s="217"/>
      <c r="P831" s="217"/>
    </row>
    <row r="832">
      <c r="A832" s="214"/>
      <c r="B832" s="214"/>
      <c r="C832" s="214"/>
      <c r="D832" s="214"/>
      <c r="E832" s="215"/>
      <c r="F832" s="216"/>
      <c r="G832" s="216"/>
      <c r="H832" s="216"/>
      <c r="I832" s="216"/>
      <c r="J832" s="215"/>
      <c r="K832" s="217"/>
      <c r="L832" s="217"/>
      <c r="M832" s="217"/>
      <c r="N832" s="217"/>
      <c r="O832" s="217"/>
      <c r="P832" s="217"/>
    </row>
    <row r="833">
      <c r="A833" s="214"/>
      <c r="B833" s="214"/>
      <c r="C833" s="214"/>
      <c r="D833" s="214"/>
      <c r="E833" s="215"/>
      <c r="F833" s="216"/>
      <c r="G833" s="216"/>
      <c r="H833" s="216"/>
      <c r="I833" s="216"/>
      <c r="J833" s="215"/>
      <c r="K833" s="217"/>
      <c r="L833" s="217"/>
      <c r="M833" s="217"/>
      <c r="N833" s="217"/>
      <c r="O833" s="217"/>
      <c r="P833" s="217"/>
    </row>
    <row r="834">
      <c r="A834" s="214"/>
      <c r="B834" s="214"/>
      <c r="C834" s="214"/>
      <c r="D834" s="214"/>
      <c r="E834" s="215"/>
      <c r="F834" s="216"/>
      <c r="G834" s="216"/>
      <c r="H834" s="216"/>
      <c r="I834" s="216"/>
      <c r="J834" s="215"/>
      <c r="K834" s="217"/>
      <c r="L834" s="217"/>
      <c r="M834" s="217"/>
      <c r="N834" s="217"/>
      <c r="O834" s="217"/>
      <c r="P834" s="217"/>
    </row>
    <row r="835">
      <c r="A835" s="214"/>
      <c r="B835" s="214"/>
      <c r="C835" s="214"/>
      <c r="D835" s="214"/>
      <c r="E835" s="215"/>
      <c r="F835" s="216"/>
      <c r="G835" s="216"/>
      <c r="H835" s="216"/>
      <c r="I835" s="216"/>
      <c r="J835" s="215"/>
      <c r="K835" s="217"/>
      <c r="L835" s="217"/>
      <c r="M835" s="217"/>
      <c r="N835" s="217"/>
      <c r="O835" s="217"/>
      <c r="P835" s="217"/>
    </row>
    <row r="836">
      <c r="A836" s="214"/>
      <c r="B836" s="214"/>
      <c r="C836" s="214"/>
      <c r="D836" s="214"/>
      <c r="E836" s="215"/>
      <c r="F836" s="216"/>
      <c r="G836" s="216"/>
      <c r="H836" s="216"/>
      <c r="I836" s="216"/>
      <c r="J836" s="215"/>
      <c r="K836" s="217"/>
      <c r="L836" s="217"/>
      <c r="M836" s="217"/>
      <c r="N836" s="217"/>
      <c r="O836" s="217"/>
      <c r="P836" s="217"/>
    </row>
    <row r="837">
      <c r="A837" s="214"/>
      <c r="B837" s="214"/>
      <c r="C837" s="214"/>
      <c r="D837" s="214"/>
      <c r="E837" s="215"/>
      <c r="F837" s="216"/>
      <c r="G837" s="216"/>
      <c r="H837" s="216"/>
      <c r="I837" s="216"/>
      <c r="J837" s="215"/>
      <c r="K837" s="217"/>
      <c r="L837" s="217"/>
      <c r="M837" s="217"/>
      <c r="N837" s="217"/>
      <c r="O837" s="217"/>
      <c r="P837" s="217"/>
    </row>
    <row r="838">
      <c r="A838" s="214"/>
      <c r="B838" s="214"/>
      <c r="C838" s="214"/>
      <c r="D838" s="214"/>
      <c r="E838" s="215"/>
      <c r="F838" s="216"/>
      <c r="G838" s="216"/>
      <c r="H838" s="216"/>
      <c r="I838" s="216"/>
      <c r="J838" s="215"/>
      <c r="K838" s="217"/>
      <c r="L838" s="217"/>
      <c r="M838" s="217"/>
      <c r="N838" s="217"/>
      <c r="O838" s="217"/>
      <c r="P838" s="217"/>
    </row>
    <row r="839">
      <c r="A839" s="214"/>
      <c r="B839" s="214"/>
      <c r="C839" s="214"/>
      <c r="D839" s="214"/>
      <c r="E839" s="215"/>
      <c r="F839" s="216"/>
      <c r="G839" s="216"/>
      <c r="H839" s="216"/>
      <c r="I839" s="216"/>
      <c r="J839" s="215"/>
      <c r="K839" s="217"/>
      <c r="L839" s="217"/>
      <c r="M839" s="217"/>
      <c r="N839" s="217"/>
      <c r="O839" s="217"/>
      <c r="P839" s="217"/>
    </row>
    <row r="840">
      <c r="A840" s="214"/>
      <c r="B840" s="214"/>
      <c r="C840" s="214"/>
      <c r="D840" s="214"/>
      <c r="E840" s="215"/>
      <c r="F840" s="216"/>
      <c r="G840" s="216"/>
      <c r="H840" s="216"/>
      <c r="I840" s="216"/>
      <c r="J840" s="215"/>
      <c r="K840" s="217"/>
      <c r="L840" s="217"/>
      <c r="M840" s="217"/>
      <c r="N840" s="217"/>
      <c r="O840" s="217"/>
      <c r="P840" s="217"/>
    </row>
    <row r="841">
      <c r="A841" s="214"/>
      <c r="B841" s="214"/>
      <c r="C841" s="214"/>
      <c r="D841" s="214"/>
      <c r="E841" s="215"/>
      <c r="F841" s="216"/>
      <c r="G841" s="216"/>
      <c r="H841" s="216"/>
      <c r="I841" s="216"/>
      <c r="J841" s="215"/>
      <c r="K841" s="217"/>
      <c r="L841" s="217"/>
      <c r="M841" s="217"/>
      <c r="N841" s="217"/>
      <c r="O841" s="217"/>
      <c r="P841" s="217"/>
    </row>
    <row r="842">
      <c r="A842" s="214"/>
      <c r="B842" s="214"/>
      <c r="C842" s="214"/>
      <c r="D842" s="214"/>
      <c r="E842" s="215"/>
      <c r="F842" s="216"/>
      <c r="G842" s="216"/>
      <c r="H842" s="216"/>
      <c r="I842" s="216"/>
      <c r="J842" s="215"/>
      <c r="K842" s="217"/>
      <c r="L842" s="217"/>
      <c r="M842" s="217"/>
      <c r="N842" s="217"/>
      <c r="O842" s="217"/>
      <c r="P842" s="217"/>
    </row>
    <row r="843">
      <c r="A843" s="214"/>
      <c r="B843" s="214"/>
      <c r="C843" s="214"/>
      <c r="D843" s="214"/>
      <c r="E843" s="215"/>
      <c r="F843" s="216"/>
      <c r="G843" s="216"/>
      <c r="H843" s="216"/>
      <c r="I843" s="216"/>
      <c r="J843" s="215"/>
      <c r="K843" s="217"/>
      <c r="L843" s="217"/>
      <c r="M843" s="217"/>
      <c r="N843" s="217"/>
      <c r="O843" s="217"/>
      <c r="P843" s="217"/>
    </row>
    <row r="844">
      <c r="A844" s="214"/>
      <c r="B844" s="214"/>
      <c r="C844" s="214"/>
      <c r="D844" s="214"/>
      <c r="E844" s="215"/>
      <c r="F844" s="216"/>
      <c r="G844" s="216"/>
      <c r="H844" s="216"/>
      <c r="I844" s="216"/>
      <c r="J844" s="215"/>
      <c r="K844" s="217"/>
      <c r="L844" s="217"/>
      <c r="M844" s="217"/>
      <c r="N844" s="217"/>
      <c r="O844" s="217"/>
      <c r="P844" s="217"/>
    </row>
    <row r="845">
      <c r="A845" s="214"/>
      <c r="B845" s="214"/>
      <c r="C845" s="214"/>
      <c r="D845" s="214"/>
      <c r="E845" s="215"/>
      <c r="F845" s="216"/>
      <c r="G845" s="216"/>
      <c r="H845" s="216"/>
      <c r="I845" s="216"/>
      <c r="J845" s="215"/>
      <c r="K845" s="217"/>
      <c r="L845" s="217"/>
      <c r="M845" s="217"/>
      <c r="N845" s="217"/>
      <c r="O845" s="217"/>
      <c r="P845" s="217"/>
    </row>
    <row r="846">
      <c r="A846" s="214"/>
      <c r="B846" s="214"/>
      <c r="C846" s="214"/>
      <c r="D846" s="214"/>
      <c r="E846" s="215"/>
      <c r="F846" s="216"/>
      <c r="G846" s="216"/>
      <c r="H846" s="216"/>
      <c r="I846" s="216"/>
      <c r="J846" s="215"/>
      <c r="K846" s="217"/>
      <c r="L846" s="217"/>
      <c r="M846" s="217"/>
      <c r="N846" s="217"/>
      <c r="O846" s="217"/>
      <c r="P846" s="217"/>
    </row>
    <row r="847">
      <c r="A847" s="214"/>
      <c r="B847" s="214"/>
      <c r="C847" s="214"/>
      <c r="D847" s="214"/>
      <c r="E847" s="215"/>
      <c r="F847" s="216"/>
      <c r="G847" s="216"/>
      <c r="H847" s="216"/>
      <c r="I847" s="216"/>
      <c r="J847" s="215"/>
      <c r="K847" s="217"/>
      <c r="L847" s="217"/>
      <c r="M847" s="217"/>
      <c r="N847" s="217"/>
      <c r="O847" s="217"/>
      <c r="P847" s="217"/>
    </row>
    <row r="848">
      <c r="A848" s="214"/>
      <c r="B848" s="214"/>
      <c r="C848" s="214"/>
      <c r="D848" s="214"/>
      <c r="E848" s="215"/>
      <c r="F848" s="216"/>
      <c r="G848" s="216"/>
      <c r="H848" s="216"/>
      <c r="I848" s="216"/>
      <c r="J848" s="215"/>
      <c r="K848" s="217"/>
      <c r="L848" s="217"/>
      <c r="M848" s="217"/>
      <c r="N848" s="217"/>
      <c r="O848" s="217"/>
      <c r="P848" s="217"/>
    </row>
    <row r="849">
      <c r="A849" s="214"/>
      <c r="B849" s="214"/>
      <c r="C849" s="214"/>
      <c r="D849" s="214"/>
      <c r="E849" s="215"/>
      <c r="F849" s="216"/>
      <c r="G849" s="216"/>
      <c r="H849" s="216"/>
      <c r="I849" s="216"/>
      <c r="J849" s="215"/>
      <c r="K849" s="217"/>
      <c r="L849" s="217"/>
      <c r="M849" s="217"/>
      <c r="N849" s="217"/>
      <c r="O849" s="217"/>
      <c r="P849" s="217"/>
    </row>
    <row r="850">
      <c r="A850" s="214"/>
      <c r="B850" s="214"/>
      <c r="C850" s="214"/>
      <c r="D850" s="214"/>
      <c r="E850" s="215"/>
      <c r="F850" s="216"/>
      <c r="G850" s="216"/>
      <c r="H850" s="216"/>
      <c r="I850" s="216"/>
      <c r="J850" s="215"/>
      <c r="K850" s="217"/>
      <c r="L850" s="217"/>
      <c r="M850" s="217"/>
      <c r="N850" s="217"/>
      <c r="O850" s="217"/>
      <c r="P850" s="217"/>
    </row>
    <row r="851">
      <c r="A851" s="214"/>
      <c r="B851" s="214"/>
      <c r="C851" s="214"/>
      <c r="D851" s="214"/>
      <c r="E851" s="215"/>
      <c r="F851" s="216"/>
      <c r="G851" s="216"/>
      <c r="H851" s="216"/>
      <c r="I851" s="216"/>
      <c r="J851" s="215"/>
      <c r="K851" s="217"/>
      <c r="L851" s="217"/>
      <c r="M851" s="217"/>
      <c r="N851" s="217"/>
      <c r="O851" s="217"/>
      <c r="P851" s="217"/>
    </row>
    <row r="852">
      <c r="A852" s="214"/>
      <c r="B852" s="214"/>
      <c r="C852" s="214"/>
      <c r="D852" s="214"/>
      <c r="E852" s="215"/>
      <c r="F852" s="216"/>
      <c r="G852" s="216"/>
      <c r="H852" s="216"/>
      <c r="I852" s="216"/>
      <c r="J852" s="215"/>
      <c r="K852" s="217"/>
      <c r="L852" s="217"/>
      <c r="M852" s="217"/>
      <c r="N852" s="217"/>
      <c r="O852" s="217"/>
      <c r="P852" s="217"/>
    </row>
    <row r="853">
      <c r="A853" s="214"/>
      <c r="B853" s="214"/>
      <c r="C853" s="214"/>
      <c r="D853" s="214"/>
      <c r="E853" s="215"/>
      <c r="F853" s="216"/>
      <c r="G853" s="216"/>
      <c r="H853" s="216"/>
      <c r="I853" s="216"/>
      <c r="J853" s="215"/>
      <c r="K853" s="217"/>
      <c r="L853" s="217"/>
      <c r="M853" s="217"/>
      <c r="N853" s="217"/>
      <c r="O853" s="217"/>
      <c r="P853" s="217"/>
    </row>
    <row r="854">
      <c r="A854" s="214"/>
      <c r="B854" s="214"/>
      <c r="C854" s="214"/>
      <c r="D854" s="214"/>
      <c r="E854" s="215"/>
      <c r="F854" s="216"/>
      <c r="G854" s="216"/>
      <c r="H854" s="216"/>
      <c r="I854" s="216"/>
      <c r="J854" s="215"/>
      <c r="K854" s="217"/>
      <c r="L854" s="217"/>
      <c r="M854" s="217"/>
      <c r="N854" s="217"/>
      <c r="O854" s="217"/>
      <c r="P854" s="217"/>
    </row>
    <row r="855">
      <c r="A855" s="214"/>
      <c r="B855" s="214"/>
      <c r="C855" s="214"/>
      <c r="D855" s="214"/>
      <c r="E855" s="215"/>
      <c r="F855" s="216"/>
      <c r="G855" s="216"/>
      <c r="H855" s="216"/>
      <c r="I855" s="216"/>
      <c r="J855" s="215"/>
      <c r="K855" s="217"/>
      <c r="L855" s="217"/>
      <c r="M855" s="217"/>
      <c r="N855" s="217"/>
      <c r="O855" s="217"/>
      <c r="P855" s="217"/>
    </row>
    <row r="856">
      <c r="A856" s="214"/>
      <c r="B856" s="214"/>
      <c r="C856" s="214"/>
      <c r="D856" s="214"/>
      <c r="E856" s="215"/>
      <c r="F856" s="216"/>
      <c r="G856" s="216"/>
      <c r="H856" s="216"/>
      <c r="I856" s="216"/>
      <c r="J856" s="215"/>
      <c r="K856" s="217"/>
      <c r="L856" s="217"/>
      <c r="M856" s="217"/>
      <c r="N856" s="217"/>
      <c r="O856" s="217"/>
      <c r="P856" s="217"/>
    </row>
    <row r="857">
      <c r="A857" s="214"/>
      <c r="B857" s="214"/>
      <c r="C857" s="214"/>
      <c r="D857" s="214"/>
      <c r="E857" s="215"/>
      <c r="F857" s="216"/>
      <c r="G857" s="216"/>
      <c r="H857" s="216"/>
      <c r="I857" s="216"/>
      <c r="J857" s="215"/>
      <c r="K857" s="217"/>
      <c r="L857" s="217"/>
      <c r="M857" s="217"/>
      <c r="N857" s="217"/>
      <c r="O857" s="217"/>
      <c r="P857" s="217"/>
    </row>
    <row r="858">
      <c r="A858" s="214"/>
      <c r="B858" s="214"/>
      <c r="C858" s="214"/>
      <c r="D858" s="214"/>
      <c r="E858" s="215"/>
      <c r="F858" s="216"/>
      <c r="G858" s="216"/>
      <c r="H858" s="216"/>
      <c r="I858" s="216"/>
      <c r="J858" s="215"/>
      <c r="K858" s="217"/>
      <c r="L858" s="217"/>
      <c r="M858" s="217"/>
      <c r="N858" s="217"/>
      <c r="O858" s="217"/>
      <c r="P858" s="217"/>
    </row>
    <row r="859">
      <c r="A859" s="214"/>
      <c r="B859" s="214"/>
      <c r="C859" s="214"/>
      <c r="D859" s="214"/>
      <c r="E859" s="215"/>
      <c r="F859" s="216"/>
      <c r="G859" s="216"/>
      <c r="H859" s="216"/>
      <c r="I859" s="216"/>
      <c r="J859" s="215"/>
      <c r="K859" s="217"/>
      <c r="L859" s="217"/>
      <c r="M859" s="217"/>
      <c r="N859" s="217"/>
      <c r="O859" s="217"/>
      <c r="P859" s="217"/>
    </row>
    <row r="860">
      <c r="A860" s="214"/>
      <c r="B860" s="214"/>
      <c r="C860" s="214"/>
      <c r="D860" s="214"/>
      <c r="E860" s="215"/>
      <c r="F860" s="216"/>
      <c r="G860" s="216"/>
      <c r="H860" s="216"/>
      <c r="I860" s="216"/>
      <c r="J860" s="215"/>
      <c r="K860" s="217"/>
      <c r="L860" s="217"/>
      <c r="M860" s="217"/>
      <c r="N860" s="217"/>
      <c r="O860" s="217"/>
      <c r="P860" s="217"/>
    </row>
    <row r="861">
      <c r="A861" s="214"/>
      <c r="B861" s="214"/>
      <c r="C861" s="214"/>
      <c r="D861" s="214"/>
      <c r="E861" s="215"/>
      <c r="F861" s="216"/>
      <c r="G861" s="216"/>
      <c r="H861" s="216"/>
      <c r="I861" s="216"/>
      <c r="J861" s="215"/>
      <c r="K861" s="217"/>
      <c r="L861" s="217"/>
      <c r="M861" s="217"/>
      <c r="N861" s="217"/>
      <c r="O861" s="217"/>
      <c r="P861" s="217"/>
    </row>
    <row r="862">
      <c r="A862" s="214"/>
      <c r="B862" s="214"/>
      <c r="C862" s="214"/>
      <c r="D862" s="214"/>
      <c r="E862" s="215"/>
      <c r="F862" s="216"/>
      <c r="G862" s="216"/>
      <c r="H862" s="216"/>
      <c r="I862" s="216"/>
      <c r="J862" s="215"/>
      <c r="K862" s="217"/>
      <c r="L862" s="217"/>
      <c r="M862" s="217"/>
      <c r="N862" s="217"/>
      <c r="O862" s="217"/>
      <c r="P862" s="217"/>
    </row>
    <row r="863">
      <c r="A863" s="214"/>
      <c r="B863" s="214"/>
      <c r="C863" s="214"/>
      <c r="D863" s="214"/>
      <c r="E863" s="215"/>
      <c r="F863" s="216"/>
      <c r="G863" s="216"/>
      <c r="H863" s="216"/>
      <c r="I863" s="216"/>
      <c r="J863" s="215"/>
      <c r="K863" s="217"/>
      <c r="L863" s="217"/>
      <c r="M863" s="217"/>
      <c r="N863" s="217"/>
      <c r="O863" s="217"/>
      <c r="P863" s="217"/>
    </row>
    <row r="864">
      <c r="A864" s="214"/>
      <c r="B864" s="214"/>
      <c r="C864" s="214"/>
      <c r="D864" s="214"/>
      <c r="E864" s="215"/>
      <c r="F864" s="216"/>
      <c r="G864" s="216"/>
      <c r="H864" s="216"/>
      <c r="I864" s="216"/>
      <c r="J864" s="215"/>
      <c r="K864" s="217"/>
      <c r="L864" s="217"/>
      <c r="M864" s="217"/>
      <c r="N864" s="217"/>
      <c r="O864" s="217"/>
      <c r="P864" s="217"/>
    </row>
    <row r="865">
      <c r="A865" s="214"/>
      <c r="B865" s="214"/>
      <c r="C865" s="214"/>
      <c r="D865" s="214"/>
      <c r="E865" s="215"/>
      <c r="F865" s="216"/>
      <c r="G865" s="216"/>
      <c r="H865" s="216"/>
      <c r="I865" s="216"/>
      <c r="J865" s="215"/>
      <c r="K865" s="217"/>
      <c r="L865" s="217"/>
      <c r="M865" s="217"/>
      <c r="N865" s="217"/>
      <c r="O865" s="217"/>
      <c r="P865" s="217"/>
    </row>
    <row r="866">
      <c r="A866" s="214"/>
      <c r="B866" s="214"/>
      <c r="C866" s="214"/>
      <c r="D866" s="214"/>
      <c r="E866" s="215"/>
      <c r="F866" s="216"/>
      <c r="G866" s="216"/>
      <c r="H866" s="216"/>
      <c r="I866" s="216"/>
      <c r="J866" s="215"/>
      <c r="K866" s="217"/>
      <c r="L866" s="217"/>
      <c r="M866" s="217"/>
      <c r="N866" s="217"/>
      <c r="O866" s="217"/>
      <c r="P866" s="217"/>
    </row>
    <row r="867">
      <c r="A867" s="214"/>
      <c r="B867" s="214"/>
      <c r="C867" s="214"/>
      <c r="D867" s="214"/>
      <c r="E867" s="215"/>
      <c r="F867" s="216"/>
      <c r="G867" s="216"/>
      <c r="H867" s="216"/>
      <c r="I867" s="216"/>
      <c r="J867" s="215"/>
      <c r="K867" s="217"/>
      <c r="L867" s="217"/>
      <c r="M867" s="217"/>
      <c r="N867" s="217"/>
      <c r="O867" s="217"/>
      <c r="P867" s="217"/>
    </row>
    <row r="868">
      <c r="A868" s="214"/>
      <c r="B868" s="214"/>
      <c r="C868" s="214"/>
      <c r="D868" s="214"/>
      <c r="E868" s="215"/>
      <c r="F868" s="216"/>
      <c r="G868" s="216"/>
      <c r="H868" s="216"/>
      <c r="I868" s="216"/>
      <c r="J868" s="215"/>
      <c r="K868" s="217"/>
      <c r="L868" s="217"/>
      <c r="M868" s="217"/>
      <c r="N868" s="217"/>
      <c r="O868" s="217"/>
      <c r="P868" s="217"/>
    </row>
    <row r="869">
      <c r="A869" s="214"/>
      <c r="B869" s="214"/>
      <c r="C869" s="214"/>
      <c r="D869" s="214"/>
      <c r="E869" s="215"/>
      <c r="F869" s="216"/>
      <c r="G869" s="216"/>
      <c r="H869" s="216"/>
      <c r="I869" s="216"/>
      <c r="J869" s="215"/>
      <c r="K869" s="217"/>
      <c r="L869" s="217"/>
      <c r="M869" s="217"/>
      <c r="N869" s="217"/>
      <c r="O869" s="217"/>
      <c r="P869" s="217"/>
    </row>
    <row r="870">
      <c r="A870" s="214"/>
      <c r="B870" s="214"/>
      <c r="C870" s="214"/>
      <c r="D870" s="214"/>
      <c r="E870" s="215"/>
      <c r="F870" s="216"/>
      <c r="G870" s="216"/>
      <c r="H870" s="216"/>
      <c r="I870" s="216"/>
      <c r="J870" s="215"/>
      <c r="K870" s="217"/>
      <c r="L870" s="217"/>
      <c r="M870" s="217"/>
      <c r="N870" s="217"/>
      <c r="O870" s="217"/>
      <c r="P870" s="217"/>
    </row>
    <row r="871">
      <c r="A871" s="214"/>
      <c r="B871" s="214"/>
      <c r="C871" s="214"/>
      <c r="D871" s="214"/>
      <c r="E871" s="215"/>
      <c r="F871" s="216"/>
      <c r="G871" s="216"/>
      <c r="H871" s="216"/>
      <c r="I871" s="216"/>
      <c r="J871" s="215"/>
      <c r="K871" s="217"/>
      <c r="L871" s="217"/>
      <c r="M871" s="217"/>
      <c r="N871" s="217"/>
      <c r="O871" s="217"/>
      <c r="P871" s="217"/>
    </row>
    <row r="872">
      <c r="A872" s="214"/>
      <c r="B872" s="214"/>
      <c r="C872" s="214"/>
      <c r="D872" s="214"/>
      <c r="E872" s="215"/>
      <c r="F872" s="216"/>
      <c r="G872" s="216"/>
      <c r="H872" s="216"/>
      <c r="I872" s="216"/>
      <c r="J872" s="215"/>
      <c r="K872" s="217"/>
      <c r="L872" s="217"/>
      <c r="M872" s="217"/>
      <c r="N872" s="217"/>
      <c r="O872" s="217"/>
      <c r="P872" s="217"/>
    </row>
    <row r="873">
      <c r="A873" s="214"/>
      <c r="B873" s="214"/>
      <c r="C873" s="214"/>
      <c r="D873" s="214"/>
      <c r="E873" s="215"/>
      <c r="F873" s="216"/>
      <c r="G873" s="216"/>
      <c r="H873" s="216"/>
      <c r="I873" s="216"/>
      <c r="J873" s="215"/>
      <c r="K873" s="217"/>
      <c r="L873" s="217"/>
      <c r="M873" s="217"/>
      <c r="N873" s="217"/>
      <c r="O873" s="217"/>
      <c r="P873" s="217"/>
    </row>
    <row r="874">
      <c r="A874" s="214"/>
      <c r="B874" s="214"/>
      <c r="C874" s="214"/>
      <c r="D874" s="214"/>
      <c r="E874" s="215"/>
      <c r="F874" s="216"/>
      <c r="G874" s="216"/>
      <c r="H874" s="216"/>
      <c r="I874" s="216"/>
      <c r="J874" s="215"/>
      <c r="K874" s="217"/>
      <c r="L874" s="217"/>
      <c r="M874" s="217"/>
      <c r="N874" s="217"/>
      <c r="O874" s="217"/>
      <c r="P874" s="217"/>
    </row>
    <row r="875">
      <c r="A875" s="214"/>
      <c r="B875" s="214"/>
      <c r="C875" s="214"/>
      <c r="D875" s="214"/>
      <c r="E875" s="215"/>
      <c r="F875" s="216"/>
      <c r="G875" s="216"/>
      <c r="H875" s="216"/>
      <c r="I875" s="216"/>
      <c r="J875" s="215"/>
      <c r="K875" s="217"/>
      <c r="L875" s="217"/>
      <c r="M875" s="217"/>
      <c r="N875" s="217"/>
      <c r="O875" s="217"/>
      <c r="P875" s="217"/>
    </row>
    <row r="876">
      <c r="A876" s="214"/>
      <c r="B876" s="214"/>
      <c r="C876" s="214"/>
      <c r="D876" s="214"/>
      <c r="E876" s="215"/>
      <c r="F876" s="216"/>
      <c r="G876" s="216"/>
      <c r="H876" s="216"/>
      <c r="I876" s="216"/>
      <c r="J876" s="215"/>
      <c r="K876" s="217"/>
      <c r="L876" s="217"/>
      <c r="M876" s="217"/>
      <c r="N876" s="217"/>
      <c r="O876" s="217"/>
      <c r="P876" s="217"/>
    </row>
    <row r="877">
      <c r="A877" s="214"/>
      <c r="B877" s="214"/>
      <c r="C877" s="214"/>
      <c r="D877" s="214"/>
      <c r="E877" s="215"/>
      <c r="F877" s="216"/>
      <c r="G877" s="216"/>
      <c r="H877" s="216"/>
      <c r="I877" s="216"/>
      <c r="J877" s="215"/>
      <c r="K877" s="217"/>
      <c r="L877" s="217"/>
      <c r="M877" s="217"/>
      <c r="N877" s="217"/>
      <c r="O877" s="217"/>
      <c r="P877" s="217"/>
    </row>
    <row r="878">
      <c r="A878" s="214"/>
      <c r="B878" s="214"/>
      <c r="C878" s="214"/>
      <c r="D878" s="214"/>
      <c r="E878" s="215"/>
      <c r="F878" s="216"/>
      <c r="G878" s="216"/>
      <c r="H878" s="216"/>
      <c r="I878" s="216"/>
      <c r="J878" s="215"/>
      <c r="K878" s="217"/>
      <c r="L878" s="217"/>
      <c r="M878" s="217"/>
      <c r="N878" s="217"/>
      <c r="O878" s="217"/>
      <c r="P878" s="217"/>
    </row>
    <row r="879">
      <c r="A879" s="214"/>
      <c r="B879" s="214"/>
      <c r="C879" s="214"/>
      <c r="D879" s="214"/>
      <c r="E879" s="215"/>
      <c r="F879" s="216"/>
      <c r="G879" s="216"/>
      <c r="H879" s="216"/>
      <c r="I879" s="216"/>
      <c r="J879" s="215"/>
      <c r="K879" s="217"/>
      <c r="L879" s="217"/>
      <c r="M879" s="217"/>
      <c r="N879" s="217"/>
      <c r="O879" s="217"/>
      <c r="P879" s="217"/>
    </row>
    <row r="880">
      <c r="A880" s="214"/>
      <c r="B880" s="214"/>
      <c r="C880" s="214"/>
      <c r="D880" s="214"/>
      <c r="E880" s="215"/>
      <c r="F880" s="216"/>
      <c r="G880" s="216"/>
      <c r="H880" s="216"/>
      <c r="I880" s="216"/>
      <c r="J880" s="215"/>
      <c r="K880" s="217"/>
      <c r="L880" s="217"/>
      <c r="M880" s="217"/>
      <c r="N880" s="217"/>
      <c r="O880" s="217"/>
      <c r="P880" s="217"/>
    </row>
    <row r="881">
      <c r="A881" s="214"/>
      <c r="B881" s="214"/>
      <c r="C881" s="214"/>
      <c r="D881" s="214"/>
      <c r="E881" s="215"/>
      <c r="F881" s="216"/>
      <c r="G881" s="216"/>
      <c r="H881" s="216"/>
      <c r="I881" s="216"/>
      <c r="J881" s="215"/>
      <c r="K881" s="217"/>
      <c r="L881" s="217"/>
      <c r="M881" s="217"/>
      <c r="N881" s="217"/>
      <c r="O881" s="217"/>
      <c r="P881" s="217"/>
    </row>
    <row r="882">
      <c r="A882" s="214"/>
      <c r="B882" s="214"/>
      <c r="C882" s="214"/>
      <c r="D882" s="214"/>
      <c r="E882" s="215"/>
      <c r="F882" s="216"/>
      <c r="G882" s="216"/>
      <c r="H882" s="216"/>
      <c r="I882" s="216"/>
      <c r="J882" s="215"/>
      <c r="K882" s="217"/>
      <c r="L882" s="217"/>
      <c r="M882" s="217"/>
      <c r="N882" s="217"/>
      <c r="O882" s="217"/>
      <c r="P882" s="217"/>
    </row>
    <row r="883">
      <c r="A883" s="214"/>
      <c r="B883" s="214"/>
      <c r="C883" s="214"/>
      <c r="D883" s="214"/>
      <c r="E883" s="215"/>
      <c r="F883" s="216"/>
      <c r="G883" s="216"/>
      <c r="H883" s="216"/>
      <c r="I883" s="216"/>
      <c r="J883" s="215"/>
      <c r="K883" s="217"/>
      <c r="L883" s="217"/>
      <c r="M883" s="217"/>
      <c r="N883" s="217"/>
      <c r="O883" s="217"/>
      <c r="P883" s="217"/>
    </row>
    <row r="884">
      <c r="A884" s="214"/>
      <c r="B884" s="214"/>
      <c r="C884" s="214"/>
      <c r="D884" s="214"/>
      <c r="E884" s="215"/>
      <c r="F884" s="216"/>
      <c r="G884" s="216"/>
      <c r="H884" s="216"/>
      <c r="I884" s="216"/>
      <c r="J884" s="215"/>
      <c r="K884" s="217"/>
      <c r="L884" s="217"/>
      <c r="M884" s="217"/>
      <c r="N884" s="217"/>
      <c r="O884" s="217"/>
      <c r="P884" s="217"/>
    </row>
    <row r="885">
      <c r="A885" s="214"/>
      <c r="B885" s="214"/>
      <c r="C885" s="214"/>
      <c r="D885" s="214"/>
      <c r="E885" s="215"/>
      <c r="F885" s="216"/>
      <c r="G885" s="216"/>
      <c r="H885" s="216"/>
      <c r="I885" s="216"/>
      <c r="J885" s="215"/>
      <c r="K885" s="217"/>
      <c r="L885" s="217"/>
      <c r="M885" s="217"/>
      <c r="N885" s="217"/>
      <c r="O885" s="217"/>
      <c r="P885" s="217"/>
    </row>
    <row r="886">
      <c r="A886" s="214"/>
      <c r="B886" s="214"/>
      <c r="C886" s="214"/>
      <c r="D886" s="214"/>
      <c r="E886" s="215"/>
      <c r="F886" s="216"/>
      <c r="G886" s="216"/>
      <c r="H886" s="216"/>
      <c r="I886" s="216"/>
      <c r="J886" s="215"/>
      <c r="K886" s="217"/>
      <c r="L886" s="217"/>
      <c r="M886" s="217"/>
      <c r="N886" s="217"/>
      <c r="O886" s="217"/>
      <c r="P886" s="217"/>
    </row>
    <row r="887">
      <c r="A887" s="214"/>
      <c r="B887" s="214"/>
      <c r="C887" s="214"/>
      <c r="D887" s="214"/>
      <c r="E887" s="215"/>
      <c r="F887" s="216"/>
      <c r="G887" s="216"/>
      <c r="H887" s="216"/>
      <c r="I887" s="216"/>
      <c r="J887" s="215"/>
      <c r="K887" s="217"/>
      <c r="L887" s="217"/>
      <c r="M887" s="217"/>
      <c r="N887" s="217"/>
      <c r="O887" s="217"/>
      <c r="P887" s="217"/>
    </row>
    <row r="888">
      <c r="A888" s="214"/>
      <c r="B888" s="214"/>
      <c r="C888" s="214"/>
      <c r="D888" s="214"/>
      <c r="E888" s="215"/>
      <c r="F888" s="216"/>
      <c r="G888" s="216"/>
      <c r="H888" s="216"/>
      <c r="I888" s="216"/>
      <c r="J888" s="215"/>
      <c r="K888" s="217"/>
      <c r="L888" s="217"/>
      <c r="M888" s="217"/>
      <c r="N888" s="217"/>
      <c r="O888" s="217"/>
      <c r="P888" s="217"/>
    </row>
    <row r="889">
      <c r="A889" s="214"/>
      <c r="B889" s="214"/>
      <c r="C889" s="214"/>
      <c r="D889" s="214"/>
      <c r="E889" s="215"/>
      <c r="F889" s="216"/>
      <c r="G889" s="216"/>
      <c r="H889" s="216"/>
      <c r="I889" s="216"/>
      <c r="J889" s="215"/>
      <c r="K889" s="217"/>
      <c r="L889" s="217"/>
      <c r="M889" s="217"/>
      <c r="N889" s="217"/>
      <c r="O889" s="217"/>
      <c r="P889" s="217"/>
    </row>
    <row r="890">
      <c r="A890" s="214"/>
      <c r="B890" s="214"/>
      <c r="C890" s="214"/>
      <c r="D890" s="214"/>
      <c r="E890" s="215"/>
      <c r="F890" s="216"/>
      <c r="G890" s="216"/>
      <c r="H890" s="216"/>
      <c r="I890" s="216"/>
      <c r="J890" s="215"/>
      <c r="K890" s="217"/>
      <c r="L890" s="217"/>
      <c r="M890" s="217"/>
      <c r="N890" s="217"/>
      <c r="O890" s="217"/>
      <c r="P890" s="217"/>
    </row>
    <row r="891">
      <c r="A891" s="214"/>
      <c r="B891" s="214"/>
      <c r="C891" s="214"/>
      <c r="D891" s="214"/>
      <c r="E891" s="215"/>
      <c r="F891" s="216"/>
      <c r="G891" s="216"/>
      <c r="H891" s="216"/>
      <c r="I891" s="216"/>
      <c r="J891" s="215"/>
      <c r="K891" s="217"/>
      <c r="L891" s="217"/>
      <c r="M891" s="217"/>
      <c r="N891" s="217"/>
      <c r="O891" s="217"/>
      <c r="P891" s="217"/>
    </row>
    <row r="892">
      <c r="A892" s="214"/>
      <c r="B892" s="214"/>
      <c r="C892" s="214"/>
      <c r="D892" s="214"/>
      <c r="E892" s="215"/>
      <c r="F892" s="216"/>
      <c r="G892" s="216"/>
      <c r="H892" s="216"/>
      <c r="I892" s="216"/>
      <c r="J892" s="215"/>
      <c r="K892" s="217"/>
      <c r="L892" s="217"/>
      <c r="M892" s="217"/>
      <c r="N892" s="217"/>
      <c r="O892" s="217"/>
      <c r="P892" s="217"/>
    </row>
    <row r="893">
      <c r="A893" s="214"/>
      <c r="B893" s="214"/>
      <c r="C893" s="214"/>
      <c r="D893" s="214"/>
      <c r="E893" s="215"/>
      <c r="F893" s="216"/>
      <c r="G893" s="216"/>
      <c r="H893" s="216"/>
      <c r="I893" s="216"/>
      <c r="J893" s="215"/>
      <c r="K893" s="217"/>
      <c r="L893" s="217"/>
      <c r="M893" s="217"/>
      <c r="N893" s="217"/>
      <c r="O893" s="217"/>
      <c r="P893" s="217"/>
    </row>
    <row r="894">
      <c r="A894" s="214"/>
      <c r="B894" s="214"/>
      <c r="C894" s="214"/>
      <c r="D894" s="214"/>
      <c r="E894" s="215"/>
      <c r="F894" s="216"/>
      <c r="G894" s="216"/>
      <c r="H894" s="216"/>
      <c r="I894" s="216"/>
      <c r="J894" s="215"/>
      <c r="K894" s="217"/>
      <c r="L894" s="217"/>
      <c r="M894" s="217"/>
      <c r="N894" s="217"/>
      <c r="O894" s="217"/>
      <c r="P894" s="217"/>
    </row>
    <row r="895">
      <c r="A895" s="214"/>
      <c r="B895" s="214"/>
      <c r="C895" s="214"/>
      <c r="D895" s="214"/>
      <c r="E895" s="215"/>
      <c r="F895" s="216"/>
      <c r="G895" s="216"/>
      <c r="H895" s="216"/>
      <c r="I895" s="216"/>
      <c r="J895" s="215"/>
      <c r="K895" s="217"/>
      <c r="L895" s="217"/>
      <c r="M895" s="217"/>
      <c r="N895" s="217"/>
      <c r="O895" s="217"/>
      <c r="P895" s="217"/>
    </row>
    <row r="896">
      <c r="A896" s="214"/>
      <c r="B896" s="214"/>
      <c r="C896" s="214"/>
      <c r="D896" s="214"/>
      <c r="E896" s="215"/>
      <c r="F896" s="216"/>
      <c r="G896" s="216"/>
      <c r="H896" s="216"/>
      <c r="I896" s="216"/>
      <c r="J896" s="215"/>
      <c r="K896" s="217"/>
      <c r="L896" s="217"/>
      <c r="M896" s="217"/>
      <c r="N896" s="217"/>
      <c r="O896" s="217"/>
      <c r="P896" s="217"/>
    </row>
    <row r="897">
      <c r="A897" s="214"/>
      <c r="B897" s="214"/>
      <c r="C897" s="214"/>
      <c r="D897" s="214"/>
      <c r="E897" s="215"/>
      <c r="F897" s="216"/>
      <c r="G897" s="216"/>
      <c r="H897" s="216"/>
      <c r="I897" s="216"/>
      <c r="J897" s="215"/>
      <c r="K897" s="217"/>
      <c r="L897" s="217"/>
      <c r="M897" s="217"/>
      <c r="N897" s="217"/>
      <c r="O897" s="217"/>
      <c r="P897" s="217"/>
    </row>
    <row r="898">
      <c r="A898" s="214"/>
      <c r="B898" s="214"/>
      <c r="C898" s="214"/>
      <c r="D898" s="214"/>
      <c r="E898" s="215"/>
      <c r="F898" s="216"/>
      <c r="G898" s="216"/>
      <c r="H898" s="216"/>
      <c r="I898" s="216"/>
      <c r="J898" s="215"/>
      <c r="K898" s="217"/>
      <c r="L898" s="217"/>
      <c r="M898" s="217"/>
      <c r="N898" s="217"/>
      <c r="O898" s="217"/>
      <c r="P898" s="217"/>
    </row>
    <row r="899">
      <c r="A899" s="214"/>
      <c r="B899" s="214"/>
      <c r="C899" s="214"/>
      <c r="D899" s="214"/>
      <c r="E899" s="215"/>
      <c r="F899" s="216"/>
      <c r="G899" s="216"/>
      <c r="H899" s="216"/>
      <c r="I899" s="216"/>
      <c r="J899" s="215"/>
      <c r="K899" s="217"/>
      <c r="L899" s="217"/>
      <c r="M899" s="217"/>
      <c r="N899" s="217"/>
      <c r="O899" s="217"/>
      <c r="P899" s="217"/>
    </row>
    <row r="900">
      <c r="A900" s="214"/>
      <c r="B900" s="214"/>
      <c r="C900" s="214"/>
      <c r="D900" s="214"/>
      <c r="E900" s="215"/>
      <c r="F900" s="216"/>
      <c r="G900" s="216"/>
      <c r="H900" s="216"/>
      <c r="I900" s="216"/>
      <c r="J900" s="215"/>
      <c r="K900" s="217"/>
      <c r="L900" s="217"/>
      <c r="M900" s="217"/>
      <c r="N900" s="217"/>
      <c r="O900" s="217"/>
      <c r="P900" s="217"/>
    </row>
    <row r="901">
      <c r="A901" s="214"/>
      <c r="B901" s="214"/>
      <c r="C901" s="214"/>
      <c r="D901" s="214"/>
      <c r="E901" s="215"/>
      <c r="F901" s="216"/>
      <c r="G901" s="216"/>
      <c r="H901" s="216"/>
      <c r="I901" s="216"/>
      <c r="J901" s="215"/>
      <c r="K901" s="217"/>
      <c r="L901" s="217"/>
      <c r="M901" s="217"/>
      <c r="N901" s="217"/>
      <c r="O901" s="217"/>
      <c r="P901" s="217"/>
    </row>
    <row r="902">
      <c r="A902" s="214"/>
      <c r="B902" s="214"/>
      <c r="C902" s="214"/>
      <c r="D902" s="214"/>
      <c r="E902" s="215"/>
      <c r="F902" s="216"/>
      <c r="G902" s="216"/>
      <c r="H902" s="216"/>
      <c r="I902" s="216"/>
      <c r="J902" s="215"/>
      <c r="K902" s="217"/>
      <c r="L902" s="217"/>
      <c r="M902" s="217"/>
      <c r="N902" s="217"/>
      <c r="O902" s="217"/>
      <c r="P902" s="217"/>
    </row>
    <row r="903">
      <c r="A903" s="214"/>
      <c r="B903" s="214"/>
      <c r="C903" s="214"/>
      <c r="D903" s="214"/>
      <c r="E903" s="215"/>
      <c r="F903" s="216"/>
      <c r="G903" s="216"/>
      <c r="H903" s="216"/>
      <c r="I903" s="216"/>
      <c r="J903" s="215"/>
      <c r="K903" s="217"/>
      <c r="L903" s="217"/>
      <c r="M903" s="217"/>
      <c r="N903" s="217"/>
      <c r="O903" s="217"/>
      <c r="P903" s="217"/>
    </row>
    <row r="904">
      <c r="A904" s="214"/>
      <c r="B904" s="214"/>
      <c r="C904" s="214"/>
      <c r="D904" s="214"/>
      <c r="E904" s="215"/>
      <c r="F904" s="216"/>
      <c r="G904" s="216"/>
      <c r="H904" s="216"/>
      <c r="I904" s="216"/>
      <c r="J904" s="215"/>
      <c r="K904" s="217"/>
      <c r="L904" s="217"/>
      <c r="M904" s="217"/>
      <c r="N904" s="217"/>
      <c r="O904" s="217"/>
      <c r="P904" s="217"/>
    </row>
    <row r="905">
      <c r="A905" s="214"/>
      <c r="B905" s="214"/>
      <c r="C905" s="214"/>
      <c r="D905" s="214"/>
      <c r="E905" s="215"/>
      <c r="F905" s="216"/>
      <c r="G905" s="216"/>
      <c r="H905" s="216"/>
      <c r="I905" s="216"/>
      <c r="J905" s="215"/>
      <c r="K905" s="217"/>
      <c r="L905" s="217"/>
      <c r="M905" s="217"/>
      <c r="N905" s="217"/>
      <c r="O905" s="217"/>
      <c r="P905" s="217"/>
    </row>
    <row r="906">
      <c r="A906" s="214"/>
      <c r="B906" s="214"/>
      <c r="C906" s="214"/>
      <c r="D906" s="214"/>
      <c r="E906" s="215"/>
      <c r="F906" s="216"/>
      <c r="G906" s="216"/>
      <c r="H906" s="216"/>
      <c r="I906" s="216"/>
      <c r="J906" s="215"/>
      <c r="K906" s="217"/>
      <c r="L906" s="217"/>
      <c r="M906" s="217"/>
      <c r="N906" s="217"/>
      <c r="O906" s="217"/>
      <c r="P906" s="217"/>
    </row>
    <row r="907">
      <c r="A907" s="214"/>
      <c r="B907" s="214"/>
      <c r="C907" s="214"/>
      <c r="D907" s="214"/>
      <c r="E907" s="215"/>
      <c r="F907" s="216"/>
      <c r="G907" s="216"/>
      <c r="H907" s="216"/>
      <c r="I907" s="216"/>
      <c r="J907" s="215"/>
      <c r="K907" s="217"/>
      <c r="L907" s="217"/>
      <c r="M907" s="217"/>
      <c r="N907" s="217"/>
      <c r="O907" s="217"/>
      <c r="P907" s="217"/>
    </row>
    <row r="908">
      <c r="A908" s="214"/>
      <c r="B908" s="214"/>
      <c r="C908" s="214"/>
      <c r="D908" s="214"/>
      <c r="E908" s="215"/>
      <c r="F908" s="216"/>
      <c r="G908" s="216"/>
      <c r="H908" s="216"/>
      <c r="I908" s="216"/>
      <c r="J908" s="215"/>
      <c r="K908" s="217"/>
      <c r="L908" s="217"/>
      <c r="M908" s="217"/>
      <c r="N908" s="217"/>
      <c r="O908" s="217"/>
      <c r="P908" s="217"/>
    </row>
    <row r="909">
      <c r="A909" s="214"/>
      <c r="B909" s="214"/>
      <c r="C909" s="214"/>
      <c r="D909" s="214"/>
      <c r="E909" s="215"/>
      <c r="F909" s="216"/>
      <c r="G909" s="216"/>
      <c r="H909" s="216"/>
      <c r="I909" s="216"/>
      <c r="J909" s="215"/>
      <c r="K909" s="217"/>
      <c r="L909" s="217"/>
      <c r="M909" s="217"/>
      <c r="N909" s="217"/>
      <c r="O909" s="217"/>
      <c r="P909" s="217"/>
    </row>
    <row r="910">
      <c r="A910" s="214"/>
      <c r="B910" s="214"/>
      <c r="C910" s="214"/>
      <c r="D910" s="214"/>
      <c r="E910" s="215"/>
      <c r="F910" s="216"/>
      <c r="G910" s="216"/>
      <c r="H910" s="216"/>
      <c r="I910" s="216"/>
      <c r="J910" s="215"/>
      <c r="K910" s="217"/>
      <c r="L910" s="217"/>
      <c r="M910" s="217"/>
      <c r="N910" s="217"/>
      <c r="O910" s="217"/>
      <c r="P910" s="217"/>
    </row>
    <row r="911">
      <c r="A911" s="214"/>
      <c r="B911" s="214"/>
      <c r="C911" s="214"/>
      <c r="D911" s="214"/>
      <c r="E911" s="215"/>
      <c r="F911" s="216"/>
      <c r="G911" s="216"/>
      <c r="H911" s="216"/>
      <c r="I911" s="216"/>
      <c r="J911" s="215"/>
      <c r="K911" s="217"/>
      <c r="L911" s="217"/>
      <c r="M911" s="217"/>
      <c r="N911" s="217"/>
      <c r="O911" s="217"/>
      <c r="P911" s="217"/>
    </row>
    <row r="912">
      <c r="A912" s="214"/>
      <c r="B912" s="214"/>
      <c r="C912" s="214"/>
      <c r="D912" s="214"/>
      <c r="E912" s="215"/>
      <c r="F912" s="216"/>
      <c r="G912" s="216"/>
      <c r="H912" s="216"/>
      <c r="I912" s="216"/>
      <c r="J912" s="215"/>
      <c r="K912" s="217"/>
      <c r="L912" s="217"/>
      <c r="M912" s="217"/>
      <c r="N912" s="217"/>
      <c r="O912" s="217"/>
      <c r="P912" s="217"/>
    </row>
    <row r="913">
      <c r="A913" s="214"/>
      <c r="B913" s="214"/>
      <c r="C913" s="214"/>
      <c r="D913" s="214"/>
      <c r="E913" s="215"/>
      <c r="F913" s="216"/>
      <c r="G913" s="216"/>
      <c r="H913" s="216"/>
      <c r="I913" s="216"/>
      <c r="J913" s="215"/>
      <c r="K913" s="217"/>
      <c r="L913" s="217"/>
      <c r="M913" s="217"/>
      <c r="N913" s="217"/>
      <c r="O913" s="217"/>
      <c r="P913" s="217"/>
    </row>
    <row r="914">
      <c r="A914" s="214"/>
      <c r="B914" s="214"/>
      <c r="C914" s="214"/>
      <c r="D914" s="214"/>
      <c r="E914" s="215"/>
      <c r="F914" s="216"/>
      <c r="G914" s="216"/>
      <c r="H914" s="216"/>
      <c r="I914" s="216"/>
      <c r="J914" s="215"/>
      <c r="K914" s="217"/>
      <c r="L914" s="217"/>
      <c r="M914" s="217"/>
      <c r="N914" s="217"/>
      <c r="O914" s="217"/>
      <c r="P914" s="217"/>
    </row>
    <row r="915">
      <c r="A915" s="214"/>
      <c r="B915" s="214"/>
      <c r="C915" s="214"/>
      <c r="D915" s="214"/>
      <c r="E915" s="215"/>
      <c r="F915" s="216"/>
      <c r="G915" s="216"/>
      <c r="H915" s="216"/>
      <c r="I915" s="216"/>
      <c r="J915" s="215"/>
      <c r="K915" s="217"/>
      <c r="L915" s="217"/>
      <c r="M915" s="217"/>
      <c r="N915" s="217"/>
      <c r="O915" s="217"/>
      <c r="P915" s="217"/>
    </row>
    <row r="916">
      <c r="A916" s="214"/>
      <c r="B916" s="214"/>
      <c r="C916" s="214"/>
      <c r="D916" s="214"/>
      <c r="E916" s="215"/>
      <c r="F916" s="216"/>
      <c r="G916" s="216"/>
      <c r="H916" s="216"/>
      <c r="I916" s="216"/>
      <c r="J916" s="215"/>
      <c r="K916" s="217"/>
      <c r="L916" s="217"/>
      <c r="M916" s="217"/>
      <c r="N916" s="217"/>
      <c r="O916" s="217"/>
      <c r="P916" s="217"/>
    </row>
    <row r="917">
      <c r="A917" s="214"/>
      <c r="B917" s="214"/>
      <c r="C917" s="214"/>
      <c r="D917" s="214"/>
      <c r="E917" s="215"/>
      <c r="F917" s="216"/>
      <c r="G917" s="216"/>
      <c r="H917" s="216"/>
      <c r="I917" s="216"/>
      <c r="J917" s="215"/>
      <c r="K917" s="217"/>
      <c r="L917" s="217"/>
      <c r="M917" s="217"/>
      <c r="N917" s="217"/>
      <c r="O917" s="217"/>
      <c r="P917" s="217"/>
    </row>
    <row r="918">
      <c r="A918" s="214"/>
      <c r="B918" s="214"/>
      <c r="C918" s="214"/>
      <c r="D918" s="214"/>
      <c r="E918" s="215"/>
      <c r="F918" s="216"/>
      <c r="G918" s="216"/>
      <c r="H918" s="216"/>
      <c r="I918" s="216"/>
      <c r="J918" s="215"/>
      <c r="K918" s="217"/>
      <c r="L918" s="217"/>
      <c r="M918" s="217"/>
      <c r="N918" s="217"/>
      <c r="O918" s="217"/>
      <c r="P918" s="217"/>
    </row>
    <row r="919">
      <c r="A919" s="214"/>
      <c r="B919" s="214"/>
      <c r="C919" s="214"/>
      <c r="D919" s="214"/>
      <c r="E919" s="215"/>
      <c r="F919" s="216"/>
      <c r="G919" s="216"/>
      <c r="H919" s="216"/>
      <c r="I919" s="216"/>
      <c r="J919" s="215"/>
      <c r="K919" s="217"/>
      <c r="L919" s="217"/>
      <c r="M919" s="217"/>
      <c r="N919" s="217"/>
      <c r="O919" s="217"/>
      <c r="P919" s="217"/>
    </row>
    <row r="920">
      <c r="A920" s="214"/>
      <c r="B920" s="214"/>
      <c r="C920" s="214"/>
      <c r="D920" s="214"/>
      <c r="E920" s="215"/>
      <c r="F920" s="216"/>
      <c r="G920" s="216"/>
      <c r="H920" s="216"/>
      <c r="I920" s="216"/>
      <c r="J920" s="215"/>
      <c r="K920" s="217"/>
      <c r="L920" s="217"/>
      <c r="M920" s="217"/>
      <c r="N920" s="217"/>
      <c r="O920" s="217"/>
      <c r="P920" s="217"/>
    </row>
    <row r="921">
      <c r="A921" s="214"/>
      <c r="B921" s="214"/>
      <c r="C921" s="214"/>
      <c r="D921" s="214"/>
      <c r="E921" s="215"/>
      <c r="F921" s="216"/>
      <c r="G921" s="216"/>
      <c r="H921" s="216"/>
      <c r="I921" s="216"/>
      <c r="J921" s="215"/>
      <c r="K921" s="217"/>
      <c r="L921" s="217"/>
      <c r="M921" s="217"/>
      <c r="N921" s="217"/>
      <c r="O921" s="217"/>
      <c r="P921" s="217"/>
    </row>
    <row r="922">
      <c r="A922" s="214"/>
      <c r="B922" s="214"/>
      <c r="C922" s="214"/>
      <c r="D922" s="214"/>
      <c r="E922" s="215"/>
      <c r="F922" s="216"/>
      <c r="G922" s="216"/>
      <c r="H922" s="216"/>
      <c r="I922" s="216"/>
      <c r="J922" s="215"/>
      <c r="K922" s="217"/>
      <c r="L922" s="217"/>
      <c r="M922" s="217"/>
      <c r="N922" s="217"/>
      <c r="O922" s="217"/>
      <c r="P922" s="217"/>
    </row>
    <row r="923">
      <c r="A923" s="214"/>
      <c r="B923" s="214"/>
      <c r="C923" s="214"/>
      <c r="D923" s="214"/>
      <c r="E923" s="215"/>
      <c r="F923" s="216"/>
      <c r="G923" s="216"/>
      <c r="H923" s="216"/>
      <c r="I923" s="216"/>
      <c r="J923" s="215"/>
      <c r="K923" s="217"/>
      <c r="L923" s="217"/>
      <c r="M923" s="217"/>
      <c r="N923" s="217"/>
      <c r="O923" s="217"/>
      <c r="P923" s="217"/>
    </row>
    <row r="924">
      <c r="A924" s="214"/>
      <c r="B924" s="214"/>
      <c r="C924" s="214"/>
      <c r="D924" s="214"/>
      <c r="E924" s="215"/>
      <c r="F924" s="216"/>
      <c r="G924" s="216"/>
      <c r="H924" s="216"/>
      <c r="I924" s="216"/>
      <c r="J924" s="215"/>
      <c r="K924" s="217"/>
      <c r="L924" s="217"/>
      <c r="M924" s="217"/>
      <c r="N924" s="217"/>
      <c r="O924" s="217"/>
      <c r="P924" s="217"/>
    </row>
    <row r="925">
      <c r="A925" s="214"/>
      <c r="B925" s="214"/>
      <c r="C925" s="214"/>
      <c r="D925" s="214"/>
      <c r="E925" s="215"/>
      <c r="F925" s="216"/>
      <c r="G925" s="216"/>
      <c r="H925" s="216"/>
      <c r="I925" s="216"/>
      <c r="J925" s="215"/>
      <c r="K925" s="217"/>
      <c r="L925" s="217"/>
      <c r="M925" s="217"/>
      <c r="N925" s="217"/>
      <c r="O925" s="217"/>
      <c r="P925" s="217"/>
    </row>
    <row r="926">
      <c r="A926" s="214"/>
      <c r="B926" s="214"/>
      <c r="C926" s="214"/>
      <c r="D926" s="214"/>
      <c r="E926" s="215"/>
      <c r="F926" s="216"/>
      <c r="G926" s="216"/>
      <c r="H926" s="216"/>
      <c r="I926" s="216"/>
      <c r="J926" s="215"/>
      <c r="K926" s="217"/>
      <c r="L926" s="217"/>
      <c r="M926" s="217"/>
      <c r="N926" s="217"/>
      <c r="O926" s="217"/>
      <c r="P926" s="217"/>
    </row>
    <row r="927">
      <c r="A927" s="214"/>
      <c r="B927" s="214"/>
      <c r="C927" s="214"/>
      <c r="D927" s="214"/>
      <c r="E927" s="215"/>
      <c r="F927" s="216"/>
      <c r="G927" s="216"/>
      <c r="H927" s="216"/>
      <c r="I927" s="216"/>
      <c r="J927" s="215"/>
      <c r="K927" s="217"/>
      <c r="L927" s="217"/>
      <c r="M927" s="217"/>
      <c r="N927" s="217"/>
      <c r="O927" s="217"/>
      <c r="P927" s="217"/>
    </row>
    <row r="928">
      <c r="A928" s="214"/>
      <c r="B928" s="214"/>
      <c r="C928" s="214"/>
      <c r="D928" s="214"/>
      <c r="E928" s="215"/>
      <c r="F928" s="216"/>
      <c r="G928" s="216"/>
      <c r="H928" s="216"/>
      <c r="I928" s="216"/>
      <c r="J928" s="215"/>
      <c r="K928" s="217"/>
      <c r="L928" s="217"/>
      <c r="M928" s="217"/>
      <c r="N928" s="217"/>
      <c r="O928" s="217"/>
      <c r="P928" s="217"/>
    </row>
    <row r="929">
      <c r="A929" s="214"/>
      <c r="B929" s="214"/>
      <c r="C929" s="214"/>
      <c r="D929" s="214"/>
      <c r="E929" s="215"/>
      <c r="F929" s="216"/>
      <c r="G929" s="216"/>
      <c r="H929" s="216"/>
      <c r="I929" s="216"/>
      <c r="J929" s="215"/>
      <c r="K929" s="217"/>
      <c r="L929" s="217"/>
      <c r="M929" s="217"/>
      <c r="N929" s="217"/>
      <c r="O929" s="217"/>
      <c r="P929" s="217"/>
    </row>
    <row r="930">
      <c r="A930" s="214"/>
      <c r="B930" s="214"/>
      <c r="C930" s="214"/>
      <c r="D930" s="214"/>
      <c r="E930" s="215"/>
      <c r="F930" s="216"/>
      <c r="G930" s="216"/>
      <c r="H930" s="216"/>
      <c r="I930" s="216"/>
      <c r="J930" s="215"/>
      <c r="K930" s="217"/>
      <c r="L930" s="217"/>
      <c r="M930" s="217"/>
      <c r="N930" s="217"/>
      <c r="O930" s="217"/>
      <c r="P930" s="217"/>
    </row>
    <row r="931">
      <c r="A931" s="214"/>
      <c r="B931" s="214"/>
      <c r="C931" s="214"/>
      <c r="D931" s="214"/>
      <c r="E931" s="215"/>
      <c r="F931" s="216"/>
      <c r="G931" s="216"/>
      <c r="H931" s="216"/>
      <c r="I931" s="216"/>
      <c r="J931" s="215"/>
      <c r="K931" s="217"/>
      <c r="L931" s="217"/>
      <c r="M931" s="217"/>
      <c r="N931" s="217"/>
      <c r="O931" s="217"/>
      <c r="P931" s="217"/>
    </row>
    <row r="932">
      <c r="A932" s="214"/>
      <c r="B932" s="214"/>
      <c r="C932" s="214"/>
      <c r="D932" s="214"/>
      <c r="E932" s="215"/>
      <c r="F932" s="216"/>
      <c r="G932" s="216"/>
      <c r="H932" s="216"/>
      <c r="I932" s="216"/>
      <c r="J932" s="215"/>
      <c r="K932" s="217"/>
      <c r="L932" s="217"/>
      <c r="M932" s="217"/>
      <c r="N932" s="217"/>
      <c r="O932" s="217"/>
      <c r="P932" s="217"/>
    </row>
    <row r="933">
      <c r="A933" s="214"/>
      <c r="B933" s="214"/>
      <c r="C933" s="214"/>
      <c r="D933" s="214"/>
      <c r="E933" s="215"/>
      <c r="F933" s="216"/>
      <c r="G933" s="216"/>
      <c r="H933" s="216"/>
      <c r="I933" s="216"/>
      <c r="J933" s="215"/>
      <c r="K933" s="217"/>
      <c r="L933" s="217"/>
      <c r="M933" s="217"/>
      <c r="N933" s="217"/>
      <c r="O933" s="217"/>
      <c r="P933" s="217"/>
    </row>
    <row r="934">
      <c r="A934" s="214"/>
      <c r="B934" s="214"/>
      <c r="C934" s="214"/>
      <c r="D934" s="214"/>
      <c r="E934" s="215"/>
      <c r="F934" s="216"/>
      <c r="G934" s="216"/>
      <c r="H934" s="216"/>
      <c r="I934" s="216"/>
      <c r="J934" s="215"/>
      <c r="K934" s="217"/>
      <c r="L934" s="217"/>
      <c r="M934" s="217"/>
      <c r="N934" s="217"/>
      <c r="O934" s="217"/>
      <c r="P934" s="217"/>
    </row>
    <row r="935">
      <c r="A935" s="214"/>
      <c r="B935" s="214"/>
      <c r="C935" s="214"/>
      <c r="D935" s="214"/>
      <c r="E935" s="215"/>
      <c r="F935" s="216"/>
      <c r="G935" s="216"/>
      <c r="H935" s="216"/>
      <c r="I935" s="216"/>
      <c r="J935" s="215"/>
      <c r="K935" s="217"/>
      <c r="L935" s="217"/>
      <c r="M935" s="217"/>
      <c r="N935" s="217"/>
      <c r="O935" s="217"/>
      <c r="P935" s="217"/>
    </row>
    <row r="936">
      <c r="A936" s="214"/>
      <c r="B936" s="214"/>
      <c r="C936" s="214"/>
      <c r="D936" s="214"/>
      <c r="E936" s="215"/>
      <c r="F936" s="216"/>
      <c r="G936" s="216"/>
      <c r="H936" s="216"/>
      <c r="I936" s="216"/>
      <c r="J936" s="215"/>
      <c r="K936" s="217"/>
      <c r="L936" s="217"/>
      <c r="M936" s="217"/>
      <c r="N936" s="217"/>
      <c r="O936" s="217"/>
      <c r="P936" s="217"/>
    </row>
    <row r="937">
      <c r="A937" s="214"/>
      <c r="B937" s="214"/>
      <c r="C937" s="214"/>
      <c r="D937" s="214"/>
      <c r="E937" s="215"/>
      <c r="F937" s="216"/>
      <c r="G937" s="216"/>
      <c r="H937" s="216"/>
      <c r="I937" s="216"/>
      <c r="J937" s="215"/>
      <c r="K937" s="217"/>
      <c r="L937" s="217"/>
      <c r="M937" s="217"/>
      <c r="N937" s="217"/>
      <c r="O937" s="217"/>
      <c r="P937" s="217"/>
    </row>
    <row r="938">
      <c r="A938" s="214"/>
      <c r="B938" s="214"/>
      <c r="C938" s="214"/>
      <c r="D938" s="214"/>
      <c r="E938" s="215"/>
      <c r="F938" s="216"/>
      <c r="G938" s="216"/>
      <c r="H938" s="216"/>
      <c r="I938" s="216"/>
      <c r="J938" s="215"/>
      <c r="K938" s="217"/>
      <c r="L938" s="217"/>
      <c r="M938" s="217"/>
      <c r="N938" s="217"/>
      <c r="O938" s="217"/>
      <c r="P938" s="217"/>
    </row>
    <row r="939">
      <c r="A939" s="214"/>
      <c r="B939" s="214"/>
      <c r="C939" s="214"/>
      <c r="D939" s="214"/>
      <c r="E939" s="215"/>
      <c r="F939" s="216"/>
      <c r="G939" s="216"/>
      <c r="H939" s="216"/>
      <c r="I939" s="216"/>
      <c r="J939" s="215"/>
      <c r="K939" s="217"/>
      <c r="L939" s="217"/>
      <c r="M939" s="217"/>
      <c r="N939" s="217"/>
      <c r="O939" s="217"/>
      <c r="P939" s="217"/>
    </row>
    <row r="940">
      <c r="A940" s="214"/>
      <c r="B940" s="214"/>
      <c r="C940" s="214"/>
      <c r="D940" s="214"/>
      <c r="E940" s="215"/>
      <c r="F940" s="216"/>
      <c r="G940" s="216"/>
      <c r="H940" s="216"/>
      <c r="I940" s="216"/>
      <c r="J940" s="215"/>
      <c r="K940" s="217"/>
      <c r="L940" s="217"/>
      <c r="M940" s="217"/>
      <c r="N940" s="217"/>
      <c r="O940" s="217"/>
      <c r="P940" s="217"/>
    </row>
    <row r="941">
      <c r="A941" s="214"/>
      <c r="B941" s="214"/>
      <c r="C941" s="214"/>
      <c r="D941" s="214"/>
      <c r="E941" s="215"/>
      <c r="F941" s="216"/>
      <c r="G941" s="216"/>
      <c r="H941" s="216"/>
      <c r="I941" s="216"/>
      <c r="J941" s="215"/>
      <c r="K941" s="217"/>
      <c r="L941" s="217"/>
      <c r="M941" s="217"/>
      <c r="N941" s="217"/>
      <c r="O941" s="217"/>
      <c r="P941" s="217"/>
    </row>
    <row r="942">
      <c r="A942" s="214"/>
      <c r="B942" s="214"/>
      <c r="C942" s="214"/>
      <c r="D942" s="214"/>
      <c r="E942" s="215"/>
      <c r="F942" s="216"/>
      <c r="G942" s="216"/>
      <c r="H942" s="216"/>
      <c r="I942" s="216"/>
      <c r="J942" s="215"/>
      <c r="K942" s="217"/>
      <c r="L942" s="217"/>
      <c r="M942" s="217"/>
      <c r="N942" s="217"/>
      <c r="O942" s="217"/>
      <c r="P942" s="217"/>
    </row>
    <row r="943">
      <c r="A943" s="214"/>
      <c r="B943" s="214"/>
      <c r="C943" s="214"/>
      <c r="D943" s="214"/>
      <c r="E943" s="215"/>
      <c r="F943" s="216"/>
      <c r="G943" s="216"/>
      <c r="H943" s="216"/>
      <c r="I943" s="216"/>
      <c r="J943" s="215"/>
      <c r="K943" s="217"/>
      <c r="L943" s="217"/>
      <c r="M943" s="217"/>
      <c r="N943" s="217"/>
      <c r="O943" s="217"/>
      <c r="P943" s="217"/>
    </row>
    <row r="944">
      <c r="A944" s="214"/>
      <c r="B944" s="214"/>
      <c r="C944" s="214"/>
      <c r="D944" s="214"/>
      <c r="E944" s="215"/>
      <c r="F944" s="216"/>
      <c r="G944" s="216"/>
      <c r="H944" s="216"/>
      <c r="I944" s="216"/>
      <c r="J944" s="215"/>
      <c r="K944" s="217"/>
      <c r="L944" s="217"/>
      <c r="M944" s="217"/>
      <c r="N944" s="217"/>
      <c r="O944" s="217"/>
      <c r="P944" s="217"/>
    </row>
    <row r="945">
      <c r="A945" s="214"/>
      <c r="B945" s="214"/>
      <c r="C945" s="214"/>
      <c r="D945" s="214"/>
      <c r="E945" s="215"/>
      <c r="F945" s="216"/>
      <c r="G945" s="216"/>
      <c r="H945" s="216"/>
      <c r="I945" s="216"/>
      <c r="J945" s="215"/>
      <c r="K945" s="217"/>
      <c r="L945" s="217"/>
      <c r="M945" s="217"/>
      <c r="N945" s="217"/>
      <c r="O945" s="217"/>
      <c r="P945" s="217"/>
    </row>
    <row r="946">
      <c r="A946" s="214"/>
      <c r="B946" s="214"/>
      <c r="C946" s="214"/>
      <c r="D946" s="214"/>
      <c r="E946" s="215"/>
      <c r="F946" s="216"/>
      <c r="G946" s="216"/>
      <c r="H946" s="216"/>
      <c r="I946" s="216"/>
      <c r="J946" s="215"/>
      <c r="K946" s="217"/>
      <c r="L946" s="217"/>
      <c r="M946" s="217"/>
      <c r="N946" s="217"/>
      <c r="O946" s="217"/>
      <c r="P946" s="217"/>
    </row>
    <row r="947">
      <c r="A947" s="214"/>
      <c r="B947" s="214"/>
      <c r="C947" s="214"/>
      <c r="D947" s="214"/>
      <c r="E947" s="215"/>
      <c r="F947" s="216"/>
      <c r="G947" s="216"/>
      <c r="H947" s="216"/>
      <c r="I947" s="216"/>
      <c r="J947" s="215"/>
      <c r="K947" s="217"/>
      <c r="L947" s="217"/>
      <c r="M947" s="217"/>
      <c r="N947" s="217"/>
      <c r="O947" s="217"/>
      <c r="P947" s="217"/>
    </row>
    <row r="948">
      <c r="A948" s="214"/>
      <c r="B948" s="214"/>
      <c r="C948" s="214"/>
      <c r="D948" s="214"/>
      <c r="E948" s="215"/>
      <c r="F948" s="216"/>
      <c r="G948" s="216"/>
      <c r="H948" s="216"/>
      <c r="I948" s="216"/>
      <c r="J948" s="215"/>
      <c r="K948" s="217"/>
      <c r="L948" s="217"/>
      <c r="M948" s="217"/>
      <c r="N948" s="217"/>
      <c r="O948" s="217"/>
      <c r="P948" s="217"/>
    </row>
    <row r="949">
      <c r="A949" s="214"/>
      <c r="B949" s="214"/>
      <c r="C949" s="214"/>
      <c r="D949" s="214"/>
      <c r="E949" s="215"/>
      <c r="F949" s="216"/>
      <c r="G949" s="216"/>
      <c r="H949" s="216"/>
      <c r="I949" s="216"/>
      <c r="J949" s="215"/>
      <c r="K949" s="217"/>
      <c r="L949" s="217"/>
      <c r="M949" s="217"/>
      <c r="N949" s="217"/>
      <c r="O949" s="217"/>
      <c r="P949" s="217"/>
    </row>
    <row r="950">
      <c r="A950" s="214"/>
      <c r="B950" s="214"/>
      <c r="C950" s="214"/>
      <c r="D950" s="214"/>
      <c r="E950" s="215"/>
      <c r="F950" s="216"/>
      <c r="G950" s="216"/>
      <c r="H950" s="216"/>
      <c r="I950" s="216"/>
      <c r="J950" s="215"/>
      <c r="K950" s="217"/>
      <c r="L950" s="217"/>
      <c r="M950" s="217"/>
      <c r="N950" s="217"/>
      <c r="O950" s="217"/>
      <c r="P950" s="217"/>
    </row>
    <row r="951">
      <c r="A951" s="214"/>
      <c r="B951" s="214"/>
      <c r="C951" s="214"/>
      <c r="D951" s="214"/>
      <c r="E951" s="215"/>
      <c r="F951" s="216"/>
      <c r="G951" s="216"/>
      <c r="H951" s="216"/>
      <c r="I951" s="216"/>
      <c r="J951" s="215"/>
      <c r="K951" s="217"/>
      <c r="L951" s="217"/>
      <c r="M951" s="217"/>
      <c r="N951" s="217"/>
      <c r="O951" s="217"/>
      <c r="P951" s="217"/>
    </row>
    <row r="952">
      <c r="A952" s="214"/>
      <c r="B952" s="214"/>
      <c r="C952" s="214"/>
      <c r="D952" s="214"/>
      <c r="E952" s="215"/>
      <c r="F952" s="216"/>
      <c r="G952" s="216"/>
      <c r="H952" s="216"/>
      <c r="I952" s="216"/>
      <c r="J952" s="215"/>
      <c r="K952" s="217"/>
      <c r="L952" s="217"/>
      <c r="M952" s="217"/>
      <c r="N952" s="217"/>
      <c r="O952" s="217"/>
      <c r="P952" s="217"/>
    </row>
    <row r="953">
      <c r="A953" s="214"/>
      <c r="B953" s="214"/>
      <c r="C953" s="214"/>
      <c r="D953" s="214"/>
      <c r="E953" s="215"/>
      <c r="F953" s="216"/>
      <c r="G953" s="216"/>
      <c r="H953" s="216"/>
      <c r="I953" s="216"/>
      <c r="J953" s="215"/>
      <c r="K953" s="217"/>
      <c r="L953" s="217"/>
      <c r="M953" s="217"/>
      <c r="N953" s="217"/>
      <c r="O953" s="217"/>
      <c r="P953" s="217"/>
    </row>
    <row r="954">
      <c r="A954" s="214"/>
      <c r="B954" s="214"/>
      <c r="C954" s="214"/>
      <c r="D954" s="214"/>
      <c r="E954" s="215"/>
      <c r="F954" s="216"/>
      <c r="G954" s="216"/>
      <c r="H954" s="216"/>
      <c r="I954" s="216"/>
      <c r="J954" s="215"/>
      <c r="K954" s="217"/>
      <c r="L954" s="217"/>
      <c r="M954" s="217"/>
      <c r="N954" s="217"/>
      <c r="O954" s="217"/>
      <c r="P954" s="217"/>
    </row>
    <row r="955">
      <c r="A955" s="214"/>
      <c r="B955" s="214"/>
      <c r="C955" s="214"/>
      <c r="D955" s="214"/>
      <c r="E955" s="215"/>
      <c r="F955" s="216"/>
      <c r="G955" s="216"/>
      <c r="H955" s="216"/>
      <c r="I955" s="216"/>
      <c r="J955" s="215"/>
      <c r="K955" s="217"/>
      <c r="L955" s="217"/>
      <c r="M955" s="217"/>
      <c r="N955" s="217"/>
      <c r="O955" s="217"/>
      <c r="P955" s="217"/>
    </row>
    <row r="956">
      <c r="A956" s="214"/>
      <c r="B956" s="214"/>
      <c r="C956" s="214"/>
      <c r="D956" s="214"/>
      <c r="E956" s="215"/>
      <c r="F956" s="216"/>
      <c r="G956" s="216"/>
      <c r="H956" s="216"/>
      <c r="I956" s="216"/>
      <c r="J956" s="215"/>
      <c r="K956" s="217"/>
      <c r="L956" s="217"/>
      <c r="M956" s="217"/>
      <c r="N956" s="217"/>
      <c r="O956" s="217"/>
      <c r="P956" s="217"/>
    </row>
    <row r="957">
      <c r="A957" s="214"/>
      <c r="B957" s="214"/>
      <c r="C957" s="214"/>
      <c r="D957" s="214"/>
      <c r="E957" s="215"/>
      <c r="F957" s="216"/>
      <c r="G957" s="216"/>
      <c r="H957" s="216"/>
      <c r="I957" s="216"/>
      <c r="J957" s="215"/>
      <c r="K957" s="217"/>
      <c r="L957" s="217"/>
      <c r="M957" s="217"/>
      <c r="N957" s="217"/>
      <c r="O957" s="217"/>
      <c r="P957" s="217"/>
    </row>
    <row r="958">
      <c r="A958" s="214"/>
      <c r="B958" s="214"/>
      <c r="C958" s="214"/>
      <c r="D958" s="214"/>
      <c r="E958" s="215"/>
      <c r="F958" s="216"/>
      <c r="G958" s="216"/>
      <c r="H958" s="216"/>
      <c r="I958" s="216"/>
      <c r="J958" s="215"/>
      <c r="K958" s="217"/>
      <c r="L958" s="217"/>
      <c r="M958" s="217"/>
      <c r="N958" s="217"/>
      <c r="O958" s="217"/>
      <c r="P958" s="217"/>
    </row>
    <row r="959">
      <c r="A959" s="214"/>
      <c r="B959" s="214"/>
      <c r="C959" s="214"/>
      <c r="D959" s="214"/>
      <c r="E959" s="215"/>
      <c r="F959" s="216"/>
      <c r="G959" s="216"/>
      <c r="H959" s="216"/>
      <c r="I959" s="216"/>
      <c r="J959" s="215"/>
      <c r="K959" s="217"/>
      <c r="L959" s="217"/>
      <c r="M959" s="217"/>
      <c r="N959" s="217"/>
      <c r="O959" s="217"/>
      <c r="P959" s="217"/>
    </row>
    <row r="960">
      <c r="A960" s="214"/>
      <c r="B960" s="214"/>
      <c r="C960" s="214"/>
      <c r="D960" s="214"/>
      <c r="E960" s="215"/>
      <c r="F960" s="216"/>
      <c r="G960" s="216"/>
      <c r="H960" s="216"/>
      <c r="I960" s="216"/>
      <c r="J960" s="215"/>
      <c r="K960" s="217"/>
      <c r="L960" s="217"/>
      <c r="M960" s="217"/>
      <c r="N960" s="217"/>
      <c r="O960" s="217"/>
      <c r="P960" s="217"/>
    </row>
    <row r="961">
      <c r="A961" s="214"/>
      <c r="B961" s="214"/>
      <c r="C961" s="214"/>
      <c r="D961" s="214"/>
      <c r="E961" s="215"/>
      <c r="F961" s="216"/>
      <c r="G961" s="216"/>
      <c r="H961" s="216"/>
      <c r="I961" s="216"/>
      <c r="J961" s="215"/>
      <c r="K961" s="217"/>
      <c r="L961" s="217"/>
      <c r="M961" s="217"/>
      <c r="N961" s="217"/>
      <c r="O961" s="217"/>
      <c r="P961" s="217"/>
    </row>
    <row r="962">
      <c r="A962" s="214"/>
      <c r="B962" s="214"/>
      <c r="C962" s="214"/>
      <c r="D962" s="214"/>
      <c r="E962" s="215"/>
      <c r="F962" s="216"/>
      <c r="G962" s="216"/>
      <c r="H962" s="216"/>
      <c r="I962" s="216"/>
      <c r="J962" s="215"/>
      <c r="K962" s="217"/>
      <c r="L962" s="217"/>
      <c r="M962" s="217"/>
      <c r="N962" s="217"/>
      <c r="O962" s="217"/>
      <c r="P962" s="217"/>
    </row>
    <row r="963">
      <c r="A963" s="214"/>
      <c r="B963" s="214"/>
      <c r="C963" s="214"/>
      <c r="D963" s="214"/>
      <c r="E963" s="215"/>
      <c r="F963" s="216"/>
      <c r="G963" s="216"/>
      <c r="H963" s="216"/>
      <c r="I963" s="216"/>
      <c r="J963" s="215"/>
      <c r="K963" s="217"/>
      <c r="L963" s="217"/>
      <c r="M963" s="217"/>
      <c r="N963" s="217"/>
      <c r="O963" s="217"/>
      <c r="P963" s="217"/>
    </row>
    <row r="964">
      <c r="A964" s="214"/>
      <c r="B964" s="214"/>
      <c r="C964" s="214"/>
      <c r="D964" s="214"/>
      <c r="E964" s="215"/>
      <c r="F964" s="216"/>
      <c r="G964" s="216"/>
      <c r="H964" s="216"/>
      <c r="I964" s="216"/>
      <c r="J964" s="215"/>
      <c r="K964" s="217"/>
      <c r="L964" s="217"/>
      <c r="M964" s="217"/>
      <c r="N964" s="217"/>
      <c r="O964" s="217"/>
      <c r="P964" s="217"/>
    </row>
    <row r="965">
      <c r="A965" s="214"/>
      <c r="B965" s="214"/>
      <c r="C965" s="214"/>
      <c r="D965" s="214"/>
      <c r="E965" s="215"/>
      <c r="F965" s="216"/>
      <c r="G965" s="216"/>
      <c r="H965" s="216"/>
      <c r="I965" s="216"/>
      <c r="J965" s="215"/>
      <c r="K965" s="217"/>
      <c r="L965" s="217"/>
      <c r="M965" s="217"/>
      <c r="N965" s="217"/>
      <c r="O965" s="217"/>
      <c r="P965" s="217"/>
    </row>
    <row r="966">
      <c r="A966" s="214"/>
      <c r="B966" s="214"/>
      <c r="C966" s="214"/>
      <c r="D966" s="214"/>
      <c r="E966" s="215"/>
      <c r="F966" s="216"/>
      <c r="G966" s="216"/>
      <c r="H966" s="216"/>
      <c r="I966" s="216"/>
      <c r="J966" s="215"/>
      <c r="K966" s="217"/>
      <c r="L966" s="217"/>
      <c r="M966" s="217"/>
      <c r="N966" s="217"/>
      <c r="O966" s="217"/>
      <c r="P966" s="217"/>
    </row>
    <row r="967">
      <c r="A967" s="214"/>
      <c r="B967" s="214"/>
      <c r="C967" s="214"/>
      <c r="D967" s="214"/>
      <c r="E967" s="215"/>
      <c r="F967" s="216"/>
      <c r="G967" s="216"/>
      <c r="H967" s="216"/>
      <c r="I967" s="216"/>
      <c r="J967" s="215"/>
      <c r="K967" s="217"/>
      <c r="L967" s="217"/>
      <c r="M967" s="217"/>
      <c r="N967" s="217"/>
      <c r="O967" s="217"/>
      <c r="P967" s="217"/>
    </row>
    <row r="968">
      <c r="A968" s="214"/>
      <c r="B968" s="214"/>
      <c r="C968" s="214"/>
      <c r="D968" s="214"/>
      <c r="E968" s="215"/>
      <c r="F968" s="216"/>
      <c r="G968" s="216"/>
      <c r="H968" s="216"/>
      <c r="I968" s="216"/>
      <c r="J968" s="215"/>
      <c r="K968" s="217"/>
      <c r="L968" s="217"/>
      <c r="M968" s="217"/>
      <c r="N968" s="217"/>
      <c r="O968" s="217"/>
      <c r="P968" s="217"/>
    </row>
    <row r="969">
      <c r="A969" s="214"/>
      <c r="B969" s="214"/>
      <c r="C969" s="214"/>
      <c r="D969" s="214"/>
      <c r="E969" s="215"/>
      <c r="F969" s="216"/>
      <c r="G969" s="216"/>
      <c r="H969" s="216"/>
      <c r="I969" s="216"/>
      <c r="J969" s="215"/>
      <c r="K969" s="217"/>
      <c r="L969" s="217"/>
      <c r="M969" s="217"/>
      <c r="N969" s="217"/>
      <c r="O969" s="217"/>
      <c r="P969" s="217"/>
    </row>
    <row r="970">
      <c r="A970" s="214"/>
      <c r="B970" s="214"/>
      <c r="C970" s="214"/>
      <c r="D970" s="214"/>
      <c r="E970" s="215"/>
      <c r="F970" s="216"/>
      <c r="G970" s="216"/>
      <c r="H970" s="216"/>
      <c r="I970" s="216"/>
      <c r="J970" s="215"/>
      <c r="K970" s="217"/>
      <c r="L970" s="217"/>
      <c r="M970" s="217"/>
      <c r="N970" s="217"/>
      <c r="O970" s="217"/>
      <c r="P970" s="217"/>
    </row>
    <row r="971">
      <c r="A971" s="214"/>
      <c r="B971" s="214"/>
      <c r="C971" s="214"/>
      <c r="D971" s="214"/>
      <c r="E971" s="215"/>
      <c r="F971" s="216"/>
      <c r="G971" s="216"/>
      <c r="H971" s="216"/>
      <c r="I971" s="216"/>
      <c r="J971" s="215"/>
      <c r="K971" s="217"/>
      <c r="L971" s="217"/>
      <c r="M971" s="217"/>
      <c r="N971" s="217"/>
      <c r="O971" s="217"/>
      <c r="P971" s="217"/>
    </row>
    <row r="972">
      <c r="A972" s="214"/>
      <c r="B972" s="214"/>
      <c r="C972" s="214"/>
      <c r="D972" s="214"/>
      <c r="E972" s="215"/>
      <c r="F972" s="216"/>
      <c r="G972" s="216"/>
      <c r="H972" s="216"/>
      <c r="I972" s="216"/>
      <c r="J972" s="215"/>
      <c r="K972" s="217"/>
      <c r="L972" s="217"/>
      <c r="M972" s="217"/>
      <c r="N972" s="217"/>
      <c r="O972" s="217"/>
      <c r="P972" s="217"/>
    </row>
    <row r="973">
      <c r="A973" s="214"/>
      <c r="B973" s="214"/>
      <c r="C973" s="214"/>
      <c r="D973" s="214"/>
      <c r="E973" s="215"/>
      <c r="F973" s="216"/>
      <c r="G973" s="216"/>
      <c r="H973" s="216"/>
      <c r="I973" s="216"/>
      <c r="J973" s="215"/>
      <c r="K973" s="217"/>
      <c r="L973" s="217"/>
      <c r="M973" s="217"/>
      <c r="N973" s="217"/>
      <c r="O973" s="217"/>
      <c r="P973" s="217"/>
    </row>
    <row r="974">
      <c r="A974" s="214"/>
      <c r="B974" s="214"/>
      <c r="C974" s="214"/>
      <c r="D974" s="214"/>
      <c r="E974" s="215"/>
      <c r="F974" s="216"/>
      <c r="G974" s="216"/>
      <c r="H974" s="216"/>
      <c r="I974" s="216"/>
      <c r="J974" s="215"/>
      <c r="K974" s="217"/>
      <c r="L974" s="217"/>
      <c r="M974" s="217"/>
      <c r="N974" s="217"/>
      <c r="O974" s="217"/>
      <c r="P974" s="217"/>
    </row>
    <row r="975">
      <c r="A975" s="214"/>
      <c r="B975" s="214"/>
      <c r="C975" s="214"/>
      <c r="D975" s="214"/>
      <c r="E975" s="215"/>
      <c r="F975" s="216"/>
      <c r="G975" s="216"/>
      <c r="H975" s="216"/>
      <c r="I975" s="216"/>
      <c r="J975" s="215"/>
      <c r="K975" s="217"/>
      <c r="L975" s="217"/>
      <c r="M975" s="217"/>
      <c r="N975" s="217"/>
      <c r="O975" s="217"/>
      <c r="P975" s="217"/>
    </row>
    <row r="976">
      <c r="A976" s="214"/>
      <c r="B976" s="214"/>
      <c r="C976" s="214"/>
      <c r="D976" s="214"/>
      <c r="E976" s="215"/>
      <c r="F976" s="216"/>
      <c r="G976" s="216"/>
      <c r="H976" s="216"/>
      <c r="I976" s="216"/>
      <c r="J976" s="215"/>
      <c r="K976" s="217"/>
      <c r="L976" s="217"/>
      <c r="M976" s="217"/>
      <c r="N976" s="217"/>
      <c r="O976" s="217"/>
      <c r="P976" s="217"/>
    </row>
    <row r="977">
      <c r="A977" s="214"/>
      <c r="B977" s="214"/>
      <c r="C977" s="214"/>
      <c r="D977" s="214"/>
      <c r="E977" s="215"/>
      <c r="F977" s="216"/>
      <c r="G977" s="216"/>
      <c r="H977" s="216"/>
      <c r="I977" s="216"/>
      <c r="J977" s="215"/>
      <c r="K977" s="217"/>
      <c r="L977" s="217"/>
      <c r="M977" s="217"/>
      <c r="N977" s="217"/>
      <c r="O977" s="217"/>
      <c r="P977" s="217"/>
    </row>
    <row r="978">
      <c r="A978" s="214"/>
      <c r="B978" s="214"/>
      <c r="C978" s="214"/>
      <c r="D978" s="214"/>
      <c r="E978" s="215"/>
      <c r="F978" s="216"/>
      <c r="G978" s="216"/>
      <c r="H978" s="216"/>
      <c r="I978" s="216"/>
      <c r="J978" s="215"/>
      <c r="K978" s="217"/>
      <c r="L978" s="217"/>
      <c r="M978" s="217"/>
      <c r="N978" s="217"/>
      <c r="O978" s="217"/>
      <c r="P978" s="217"/>
    </row>
    <row r="979">
      <c r="A979" s="214"/>
      <c r="B979" s="214"/>
      <c r="C979" s="214"/>
      <c r="D979" s="214"/>
      <c r="E979" s="215"/>
      <c r="F979" s="216"/>
      <c r="G979" s="216"/>
      <c r="H979" s="216"/>
      <c r="I979" s="216"/>
      <c r="J979" s="215"/>
      <c r="K979" s="217"/>
      <c r="L979" s="217"/>
      <c r="M979" s="217"/>
      <c r="N979" s="217"/>
      <c r="O979" s="217"/>
      <c r="P979" s="217"/>
    </row>
    <row r="980">
      <c r="A980" s="214"/>
      <c r="B980" s="214"/>
      <c r="C980" s="214"/>
      <c r="D980" s="214"/>
      <c r="E980" s="215"/>
      <c r="F980" s="216"/>
      <c r="G980" s="216"/>
      <c r="H980" s="216"/>
      <c r="I980" s="216"/>
      <c r="J980" s="215"/>
      <c r="K980" s="217"/>
      <c r="L980" s="217"/>
      <c r="M980" s="217"/>
      <c r="N980" s="217"/>
      <c r="O980" s="217"/>
      <c r="P980" s="217"/>
    </row>
    <row r="981">
      <c r="A981" s="214"/>
      <c r="B981" s="214"/>
      <c r="C981" s="214"/>
      <c r="D981" s="214"/>
      <c r="E981" s="215"/>
      <c r="F981" s="216"/>
      <c r="G981" s="216"/>
      <c r="H981" s="216"/>
      <c r="I981" s="216"/>
      <c r="J981" s="215"/>
      <c r="K981" s="217"/>
      <c r="L981" s="217"/>
      <c r="M981" s="217"/>
      <c r="N981" s="217"/>
      <c r="O981" s="217"/>
      <c r="P981" s="217"/>
    </row>
    <row r="982">
      <c r="A982" s="214"/>
      <c r="B982" s="214"/>
      <c r="C982" s="214"/>
      <c r="D982" s="214"/>
      <c r="E982" s="215"/>
      <c r="F982" s="216"/>
      <c r="G982" s="216"/>
      <c r="H982" s="216"/>
      <c r="I982" s="216"/>
      <c r="J982" s="215"/>
      <c r="K982" s="217"/>
      <c r="L982" s="217"/>
      <c r="M982" s="217"/>
      <c r="N982" s="217"/>
      <c r="O982" s="217"/>
      <c r="P982" s="217"/>
    </row>
    <row r="983">
      <c r="A983" s="214"/>
      <c r="B983" s="214"/>
      <c r="C983" s="214"/>
      <c r="D983" s="214"/>
      <c r="E983" s="215"/>
      <c r="F983" s="216"/>
      <c r="G983" s="216"/>
      <c r="H983" s="216"/>
      <c r="I983" s="216"/>
      <c r="J983" s="215"/>
      <c r="K983" s="217"/>
      <c r="L983" s="217"/>
      <c r="M983" s="217"/>
      <c r="N983" s="217"/>
      <c r="O983" s="217"/>
      <c r="P983" s="217"/>
    </row>
    <row r="984">
      <c r="A984" s="214"/>
      <c r="B984" s="214"/>
      <c r="C984" s="214"/>
      <c r="D984" s="214"/>
      <c r="E984" s="215"/>
      <c r="F984" s="216"/>
      <c r="G984" s="216"/>
      <c r="H984" s="216"/>
      <c r="I984" s="216"/>
      <c r="J984" s="215"/>
      <c r="K984" s="217"/>
      <c r="L984" s="217"/>
      <c r="M984" s="217"/>
      <c r="N984" s="217"/>
      <c r="O984" s="217"/>
      <c r="P984" s="217"/>
    </row>
    <row r="985">
      <c r="A985" s="214"/>
      <c r="B985" s="214"/>
      <c r="C985" s="214"/>
      <c r="D985" s="214"/>
      <c r="E985" s="215"/>
      <c r="F985" s="216"/>
      <c r="G985" s="216"/>
      <c r="H985" s="216"/>
      <c r="I985" s="216"/>
      <c r="J985" s="215"/>
      <c r="K985" s="217"/>
      <c r="L985" s="217"/>
      <c r="M985" s="217"/>
      <c r="N985" s="217"/>
      <c r="O985" s="217"/>
      <c r="P985" s="217"/>
    </row>
    <row r="986">
      <c r="A986" s="214"/>
      <c r="B986" s="214"/>
      <c r="C986" s="214"/>
      <c r="D986" s="214"/>
      <c r="E986" s="215"/>
      <c r="F986" s="216"/>
      <c r="G986" s="216"/>
      <c r="H986" s="216"/>
      <c r="I986" s="216"/>
      <c r="J986" s="215"/>
      <c r="K986" s="217"/>
      <c r="L986" s="217"/>
      <c r="M986" s="217"/>
      <c r="N986" s="217"/>
      <c r="O986" s="217"/>
      <c r="P986" s="217"/>
    </row>
    <row r="987">
      <c r="A987" s="214"/>
      <c r="B987" s="214"/>
      <c r="C987" s="214"/>
      <c r="D987" s="214"/>
      <c r="E987" s="215"/>
      <c r="F987" s="216"/>
      <c r="G987" s="216"/>
      <c r="H987" s="216"/>
      <c r="I987" s="216"/>
      <c r="J987" s="215"/>
      <c r="K987" s="217"/>
      <c r="L987" s="217"/>
      <c r="M987" s="217"/>
      <c r="N987" s="217"/>
      <c r="O987" s="217"/>
      <c r="P987" s="217"/>
    </row>
    <row r="988">
      <c r="A988" s="214"/>
      <c r="B988" s="214"/>
      <c r="C988" s="214"/>
      <c r="D988" s="214"/>
      <c r="E988" s="215"/>
      <c r="F988" s="216"/>
      <c r="G988" s="216"/>
      <c r="H988" s="216"/>
      <c r="I988" s="216"/>
      <c r="J988" s="215"/>
      <c r="K988" s="217"/>
      <c r="L988" s="217"/>
      <c r="M988" s="217"/>
      <c r="N988" s="217"/>
      <c r="O988" s="217"/>
      <c r="P988" s="217"/>
    </row>
    <row r="989">
      <c r="A989" s="214"/>
      <c r="B989" s="214"/>
      <c r="C989" s="214"/>
      <c r="D989" s="214"/>
      <c r="E989" s="215"/>
      <c r="F989" s="216"/>
      <c r="G989" s="216"/>
      <c r="H989" s="216"/>
      <c r="I989" s="216"/>
      <c r="J989" s="215"/>
      <c r="K989" s="217"/>
      <c r="L989" s="217"/>
      <c r="M989" s="217"/>
      <c r="N989" s="217"/>
      <c r="O989" s="217"/>
      <c r="P989" s="217"/>
    </row>
    <row r="990">
      <c r="A990" s="214"/>
      <c r="B990" s="214"/>
      <c r="C990" s="214"/>
      <c r="D990" s="214"/>
      <c r="E990" s="215"/>
      <c r="F990" s="216"/>
      <c r="G990" s="216"/>
      <c r="H990" s="216"/>
      <c r="I990" s="216"/>
      <c r="J990" s="215"/>
      <c r="K990" s="217"/>
      <c r="L990" s="217"/>
      <c r="M990" s="217"/>
      <c r="N990" s="217"/>
      <c r="O990" s="217"/>
      <c r="P990" s="217"/>
    </row>
    <row r="991">
      <c r="A991" s="214"/>
      <c r="B991" s="214"/>
      <c r="C991" s="214"/>
      <c r="D991" s="214"/>
      <c r="E991" s="215"/>
      <c r="F991" s="216"/>
      <c r="G991" s="216"/>
      <c r="H991" s="216"/>
      <c r="I991" s="216"/>
      <c r="J991" s="215"/>
      <c r="K991" s="217"/>
      <c r="L991" s="217"/>
      <c r="M991" s="217"/>
      <c r="N991" s="217"/>
      <c r="O991" s="217"/>
      <c r="P991" s="217"/>
    </row>
    <row r="992">
      <c r="A992" s="214"/>
      <c r="B992" s="214"/>
      <c r="C992" s="214"/>
      <c r="D992" s="214"/>
      <c r="E992" s="215"/>
      <c r="F992" s="216"/>
      <c r="G992" s="216"/>
      <c r="H992" s="216"/>
      <c r="I992" s="216"/>
      <c r="J992" s="215"/>
      <c r="K992" s="217"/>
      <c r="L992" s="217"/>
      <c r="M992" s="217"/>
      <c r="N992" s="217"/>
      <c r="O992" s="217"/>
      <c r="P992" s="217"/>
    </row>
    <row r="993">
      <c r="A993" s="214"/>
      <c r="B993" s="214"/>
      <c r="C993" s="214"/>
      <c r="D993" s="214"/>
      <c r="E993" s="215"/>
      <c r="F993" s="216"/>
      <c r="G993" s="216"/>
      <c r="H993" s="216"/>
      <c r="I993" s="216"/>
      <c r="J993" s="215"/>
      <c r="K993" s="217"/>
      <c r="L993" s="217"/>
      <c r="M993" s="217"/>
      <c r="N993" s="217"/>
      <c r="O993" s="217"/>
      <c r="P993" s="217"/>
    </row>
    <row r="994">
      <c r="A994" s="214"/>
      <c r="B994" s="214"/>
      <c r="C994" s="214"/>
      <c r="D994" s="214"/>
      <c r="E994" s="215"/>
      <c r="F994" s="216"/>
      <c r="G994" s="216"/>
      <c r="H994" s="216"/>
      <c r="I994" s="216"/>
      <c r="J994" s="215"/>
      <c r="K994" s="217"/>
      <c r="L994" s="217"/>
      <c r="M994" s="217"/>
      <c r="N994" s="217"/>
      <c r="O994" s="217"/>
      <c r="P994" s="217"/>
    </row>
    <row r="995">
      <c r="A995" s="214"/>
      <c r="B995" s="214"/>
      <c r="C995" s="214"/>
      <c r="D995" s="214"/>
      <c r="E995" s="215"/>
      <c r="F995" s="216"/>
      <c r="G995" s="216"/>
      <c r="H995" s="216"/>
      <c r="I995" s="216"/>
      <c r="J995" s="215"/>
      <c r="K995" s="217"/>
      <c r="L995" s="217"/>
      <c r="M995" s="217"/>
      <c r="N995" s="217"/>
      <c r="O995" s="217"/>
      <c r="P995" s="217"/>
    </row>
    <row r="996">
      <c r="A996" s="214"/>
      <c r="B996" s="214"/>
      <c r="C996" s="214"/>
      <c r="D996" s="214"/>
      <c r="E996" s="215"/>
      <c r="F996" s="216"/>
      <c r="G996" s="216"/>
      <c r="H996" s="216"/>
      <c r="I996" s="216"/>
      <c r="J996" s="215"/>
      <c r="K996" s="217"/>
      <c r="L996" s="217"/>
      <c r="M996" s="217"/>
      <c r="N996" s="217"/>
      <c r="O996" s="217"/>
      <c r="P996" s="217"/>
    </row>
    <row r="997">
      <c r="A997" s="214"/>
      <c r="B997" s="214"/>
      <c r="C997" s="214"/>
      <c r="D997" s="214"/>
      <c r="E997" s="215"/>
      <c r="F997" s="216"/>
      <c r="G997" s="216"/>
      <c r="H997" s="216"/>
      <c r="I997" s="216"/>
      <c r="J997" s="215"/>
      <c r="K997" s="217"/>
      <c r="L997" s="217"/>
      <c r="M997" s="217"/>
      <c r="N997" s="217"/>
      <c r="O997" s="217"/>
      <c r="P997" s="217"/>
    </row>
    <row r="998">
      <c r="A998" s="214"/>
      <c r="B998" s="214"/>
      <c r="C998" s="214"/>
      <c r="D998" s="214"/>
      <c r="E998" s="215"/>
      <c r="F998" s="216"/>
      <c r="G998" s="216"/>
      <c r="H998" s="216"/>
      <c r="I998" s="216"/>
      <c r="J998" s="215"/>
      <c r="K998" s="217"/>
      <c r="L998" s="217"/>
      <c r="M998" s="217"/>
      <c r="N998" s="217"/>
      <c r="O998" s="217"/>
      <c r="P998" s="217"/>
    </row>
    <row r="999">
      <c r="A999" s="214"/>
      <c r="B999" s="214"/>
      <c r="C999" s="214"/>
      <c r="D999" s="214"/>
      <c r="E999" s="215"/>
      <c r="F999" s="216"/>
      <c r="G999" s="216"/>
      <c r="H999" s="216"/>
      <c r="I999" s="216"/>
      <c r="J999" s="215"/>
      <c r="K999" s="217"/>
      <c r="L999" s="217"/>
      <c r="M999" s="217"/>
      <c r="N999" s="217"/>
      <c r="O999" s="217"/>
      <c r="P999" s="217"/>
    </row>
    <row r="1000">
      <c r="A1000" s="214"/>
      <c r="B1000" s="214"/>
      <c r="C1000" s="214"/>
      <c r="D1000" s="214"/>
      <c r="E1000" s="215"/>
      <c r="F1000" s="216"/>
      <c r="G1000" s="216"/>
      <c r="H1000" s="216"/>
      <c r="I1000" s="216"/>
      <c r="J1000" s="215"/>
      <c r="K1000" s="217"/>
      <c r="L1000" s="217"/>
      <c r="M1000" s="217"/>
      <c r="N1000" s="217"/>
      <c r="O1000" s="217"/>
      <c r="P1000" s="217"/>
    </row>
    <row r="1001">
      <c r="A1001" s="214"/>
      <c r="B1001" s="214"/>
      <c r="C1001" s="214"/>
      <c r="D1001" s="214"/>
      <c r="E1001" s="215"/>
      <c r="F1001" s="216"/>
      <c r="G1001" s="216"/>
      <c r="H1001" s="216"/>
      <c r="I1001" s="216"/>
      <c r="J1001" s="215"/>
      <c r="K1001" s="217"/>
      <c r="L1001" s="217"/>
      <c r="M1001" s="217"/>
      <c r="N1001" s="217"/>
      <c r="O1001" s="217"/>
      <c r="P1001" s="217"/>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77.63"/>
    <col customWidth="1" min="7" max="7" width="77.63"/>
  </cols>
  <sheetData>
    <row r="1">
      <c r="A1" s="222" t="s">
        <v>62</v>
      </c>
      <c r="B1" s="223" t="s">
        <v>78</v>
      </c>
      <c r="C1" s="223" t="s">
        <v>199</v>
      </c>
      <c r="D1" s="223" t="s">
        <v>200</v>
      </c>
      <c r="E1" s="223" t="s">
        <v>91</v>
      </c>
      <c r="F1" s="223" t="s">
        <v>201</v>
      </c>
      <c r="G1" s="223" t="s">
        <v>81</v>
      </c>
      <c r="H1" s="224"/>
      <c r="I1" s="224"/>
      <c r="J1" s="224"/>
      <c r="K1" s="224"/>
      <c r="L1" s="224"/>
      <c r="M1" s="224"/>
      <c r="N1" s="224"/>
      <c r="O1" s="224"/>
      <c r="P1" s="224"/>
      <c r="Q1" s="224"/>
      <c r="R1" s="224"/>
      <c r="S1" s="224"/>
      <c r="T1" s="224"/>
      <c r="U1" s="224"/>
      <c r="V1" s="224"/>
      <c r="W1" s="224"/>
      <c r="X1" s="224"/>
      <c r="Y1" s="224"/>
      <c r="Z1" s="224"/>
    </row>
    <row r="2">
      <c r="A2" s="225" t="str">
        <f>IFERROR(__xludf.DUMMYFUNCTION("IMPORTRANGE('Homebrew Sheet'!$A$6,""'Abilities'!$A$2:$G$101"")"),"")</f>
        <v/>
      </c>
      <c r="B2" s="225"/>
      <c r="C2" s="225"/>
      <c r="D2" s="225"/>
      <c r="E2" s="225"/>
      <c r="F2" s="225"/>
      <c r="G2" s="226" t="str">
        <f>IFERROR(__xludf.DUMMYFUNCTION("""COMPUTED_VALUE"""),"
")</f>
        <v>
</v>
      </c>
      <c r="H2" s="224"/>
      <c r="I2" s="224"/>
      <c r="J2" s="224"/>
      <c r="K2" s="224"/>
      <c r="L2" s="224"/>
      <c r="M2" s="224"/>
      <c r="N2" s="224"/>
      <c r="O2" s="224"/>
      <c r="P2" s="224"/>
      <c r="Q2" s="224"/>
      <c r="R2" s="224"/>
      <c r="S2" s="224"/>
      <c r="T2" s="224"/>
      <c r="U2" s="224"/>
      <c r="V2" s="224"/>
      <c r="W2" s="224"/>
      <c r="X2" s="224"/>
      <c r="Y2" s="224"/>
      <c r="Z2" s="224"/>
    </row>
    <row r="3">
      <c r="A3" s="225"/>
      <c r="B3" s="225"/>
      <c r="C3" s="225"/>
      <c r="D3" s="225"/>
      <c r="E3" s="225"/>
      <c r="F3" s="225"/>
      <c r="G3" s="226" t="str">
        <f>IFERROR(__xludf.DUMMYFUNCTION("""COMPUTED_VALUE"""),"
")</f>
        <v>
</v>
      </c>
      <c r="H3" s="224"/>
      <c r="I3" s="224"/>
      <c r="J3" s="224"/>
      <c r="K3" s="224"/>
      <c r="L3" s="224"/>
      <c r="M3" s="224"/>
      <c r="N3" s="224"/>
      <c r="O3" s="224"/>
      <c r="P3" s="224"/>
      <c r="Q3" s="224"/>
      <c r="R3" s="224"/>
      <c r="S3" s="224"/>
      <c r="T3" s="224"/>
      <c r="U3" s="224"/>
      <c r="V3" s="224"/>
      <c r="W3" s="224"/>
      <c r="X3" s="224"/>
      <c r="Y3" s="224"/>
      <c r="Z3" s="224"/>
    </row>
    <row r="4">
      <c r="A4" s="225"/>
      <c r="B4" s="225"/>
      <c r="C4" s="225"/>
      <c r="D4" s="225"/>
      <c r="E4" s="225"/>
      <c r="F4" s="225"/>
      <c r="G4" s="226" t="str">
        <f>IFERROR(__xludf.DUMMYFUNCTION("""COMPUTED_VALUE"""),"
")</f>
        <v>
</v>
      </c>
      <c r="H4" s="224"/>
      <c r="I4" s="224"/>
      <c r="J4" s="224"/>
      <c r="K4" s="224"/>
      <c r="L4" s="224"/>
      <c r="M4" s="224"/>
      <c r="N4" s="224"/>
      <c r="O4" s="224"/>
      <c r="P4" s="224"/>
      <c r="Q4" s="224"/>
      <c r="R4" s="224"/>
      <c r="S4" s="224"/>
      <c r="T4" s="224"/>
      <c r="U4" s="224"/>
      <c r="V4" s="224"/>
      <c r="W4" s="224"/>
      <c r="X4" s="224"/>
      <c r="Y4" s="224"/>
      <c r="Z4" s="224"/>
    </row>
    <row r="5">
      <c r="A5" s="225"/>
      <c r="B5" s="225"/>
      <c r="C5" s="225"/>
      <c r="D5" s="225"/>
      <c r="E5" s="225"/>
      <c r="F5" s="225"/>
      <c r="G5" s="226" t="str">
        <f>IFERROR(__xludf.DUMMYFUNCTION("""COMPUTED_VALUE"""),"
")</f>
        <v>
</v>
      </c>
      <c r="H5" s="224"/>
      <c r="I5" s="224"/>
      <c r="J5" s="224"/>
      <c r="K5" s="224"/>
      <c r="L5" s="224"/>
      <c r="M5" s="224"/>
      <c r="N5" s="224"/>
      <c r="O5" s="224"/>
      <c r="P5" s="224"/>
      <c r="Q5" s="224"/>
      <c r="R5" s="224"/>
      <c r="S5" s="224"/>
      <c r="T5" s="224"/>
      <c r="U5" s="224"/>
      <c r="V5" s="224"/>
      <c r="W5" s="224"/>
      <c r="X5" s="224"/>
      <c r="Y5" s="224"/>
      <c r="Z5" s="224"/>
    </row>
    <row r="6">
      <c r="A6" s="225"/>
      <c r="B6" s="225"/>
      <c r="C6" s="225"/>
      <c r="D6" s="225"/>
      <c r="E6" s="225"/>
      <c r="F6" s="225"/>
      <c r="G6" s="226" t="str">
        <f>IFERROR(__xludf.DUMMYFUNCTION("""COMPUTED_VALUE"""),"
")</f>
        <v>
</v>
      </c>
      <c r="H6" s="224"/>
      <c r="I6" s="224"/>
      <c r="J6" s="224"/>
      <c r="K6" s="224"/>
      <c r="L6" s="224"/>
      <c r="M6" s="224"/>
      <c r="N6" s="224"/>
      <c r="O6" s="224"/>
      <c r="P6" s="224"/>
      <c r="Q6" s="224"/>
      <c r="R6" s="224"/>
      <c r="S6" s="224"/>
      <c r="T6" s="224"/>
      <c r="U6" s="224"/>
      <c r="V6" s="224"/>
      <c r="W6" s="224"/>
      <c r="X6" s="224"/>
      <c r="Y6" s="224"/>
      <c r="Z6" s="224"/>
    </row>
    <row r="7">
      <c r="A7" s="225"/>
      <c r="B7" s="225"/>
      <c r="C7" s="225"/>
      <c r="D7" s="225"/>
      <c r="E7" s="225"/>
      <c r="F7" s="225"/>
      <c r="G7" s="226" t="str">
        <f>IFERROR(__xludf.DUMMYFUNCTION("""COMPUTED_VALUE"""),"
")</f>
        <v>
</v>
      </c>
      <c r="H7" s="224"/>
      <c r="I7" s="224"/>
      <c r="J7" s="224"/>
      <c r="K7" s="224"/>
      <c r="L7" s="224"/>
      <c r="M7" s="224"/>
      <c r="N7" s="224"/>
      <c r="O7" s="224"/>
      <c r="P7" s="224"/>
      <c r="Q7" s="224"/>
      <c r="R7" s="224"/>
      <c r="S7" s="224"/>
      <c r="T7" s="224"/>
      <c r="U7" s="224"/>
      <c r="V7" s="224"/>
      <c r="W7" s="224"/>
      <c r="X7" s="224"/>
      <c r="Y7" s="224"/>
      <c r="Z7" s="224"/>
    </row>
    <row r="8">
      <c r="A8" s="225"/>
      <c r="B8" s="225"/>
      <c r="C8" s="225"/>
      <c r="D8" s="225"/>
      <c r="E8" s="225"/>
      <c r="F8" s="225"/>
      <c r="G8" s="226" t="str">
        <f>IFERROR(__xludf.DUMMYFUNCTION("""COMPUTED_VALUE"""),"
")</f>
        <v>
</v>
      </c>
      <c r="H8" s="224"/>
      <c r="I8" s="224"/>
      <c r="J8" s="224"/>
      <c r="K8" s="224"/>
      <c r="L8" s="224"/>
      <c r="M8" s="224"/>
      <c r="N8" s="224"/>
      <c r="O8" s="224"/>
      <c r="P8" s="224"/>
      <c r="Q8" s="224"/>
      <c r="R8" s="224"/>
      <c r="S8" s="224"/>
      <c r="T8" s="224"/>
      <c r="U8" s="224"/>
      <c r="V8" s="224"/>
      <c r="W8" s="224"/>
      <c r="X8" s="224"/>
      <c r="Y8" s="224"/>
      <c r="Z8" s="224"/>
    </row>
    <row r="9">
      <c r="A9" s="225"/>
      <c r="B9" s="225"/>
      <c r="C9" s="225"/>
      <c r="D9" s="225"/>
      <c r="E9" s="225"/>
      <c r="F9" s="225"/>
      <c r="G9" s="226" t="str">
        <f>IFERROR(__xludf.DUMMYFUNCTION("""COMPUTED_VALUE"""),"
")</f>
        <v>
</v>
      </c>
      <c r="H9" s="224"/>
      <c r="I9" s="224"/>
      <c r="J9" s="224"/>
      <c r="K9" s="224"/>
      <c r="L9" s="224"/>
      <c r="M9" s="224"/>
      <c r="N9" s="224"/>
      <c r="O9" s="224"/>
      <c r="P9" s="224"/>
      <c r="Q9" s="224"/>
      <c r="R9" s="224"/>
      <c r="S9" s="224"/>
      <c r="T9" s="224"/>
      <c r="U9" s="224"/>
      <c r="V9" s="224"/>
      <c r="W9" s="224"/>
      <c r="X9" s="224"/>
      <c r="Y9" s="224"/>
      <c r="Z9" s="224"/>
    </row>
    <row r="10">
      <c r="A10" s="225"/>
      <c r="B10" s="225"/>
      <c r="C10" s="225"/>
      <c r="D10" s="225"/>
      <c r="E10" s="225"/>
      <c r="F10" s="225"/>
      <c r="G10" s="226" t="str">
        <f>IFERROR(__xludf.DUMMYFUNCTION("""COMPUTED_VALUE"""),"
")</f>
        <v>
</v>
      </c>
      <c r="H10" s="224"/>
      <c r="I10" s="224"/>
      <c r="J10" s="224"/>
      <c r="K10" s="224"/>
      <c r="L10" s="224"/>
      <c r="M10" s="224"/>
      <c r="N10" s="224"/>
      <c r="O10" s="224"/>
      <c r="P10" s="224"/>
      <c r="Q10" s="224"/>
      <c r="R10" s="224"/>
      <c r="S10" s="224"/>
      <c r="T10" s="224"/>
      <c r="U10" s="224"/>
      <c r="V10" s="224"/>
      <c r="W10" s="224"/>
      <c r="X10" s="224"/>
      <c r="Y10" s="224"/>
      <c r="Z10" s="224"/>
    </row>
    <row r="11">
      <c r="A11" s="225"/>
      <c r="B11" s="225"/>
      <c r="C11" s="225"/>
      <c r="D11" s="225"/>
      <c r="E11" s="225"/>
      <c r="F11" s="225"/>
      <c r="G11" s="226" t="str">
        <f>IFERROR(__xludf.DUMMYFUNCTION("""COMPUTED_VALUE"""),"
")</f>
        <v>
</v>
      </c>
      <c r="H11" s="224"/>
      <c r="I11" s="224"/>
      <c r="J11" s="224"/>
      <c r="K11" s="224"/>
      <c r="L11" s="224"/>
      <c r="M11" s="224"/>
      <c r="N11" s="224"/>
      <c r="O11" s="224"/>
      <c r="P11" s="224"/>
      <c r="Q11" s="224"/>
      <c r="R11" s="224"/>
      <c r="S11" s="224"/>
      <c r="T11" s="224"/>
      <c r="U11" s="224"/>
      <c r="V11" s="224"/>
      <c r="W11" s="224"/>
      <c r="X11" s="224"/>
      <c r="Y11" s="224"/>
      <c r="Z11" s="224"/>
    </row>
    <row r="12">
      <c r="A12" s="225"/>
      <c r="B12" s="225"/>
      <c r="C12" s="225"/>
      <c r="D12" s="225"/>
      <c r="E12" s="225"/>
      <c r="F12" s="225"/>
      <c r="G12" s="226" t="str">
        <f>IFERROR(__xludf.DUMMYFUNCTION("""COMPUTED_VALUE"""),"
")</f>
        <v>
</v>
      </c>
      <c r="H12" s="224"/>
      <c r="I12" s="224"/>
      <c r="J12" s="224"/>
      <c r="K12" s="224"/>
      <c r="L12" s="224"/>
      <c r="M12" s="224"/>
      <c r="N12" s="224"/>
      <c r="O12" s="224"/>
      <c r="P12" s="224"/>
      <c r="Q12" s="224"/>
      <c r="R12" s="224"/>
      <c r="S12" s="224"/>
      <c r="T12" s="224"/>
      <c r="U12" s="224"/>
      <c r="V12" s="224"/>
      <c r="W12" s="224"/>
      <c r="X12" s="224"/>
      <c r="Y12" s="224"/>
      <c r="Z12" s="224"/>
    </row>
    <row r="13">
      <c r="A13" s="225"/>
      <c r="B13" s="225"/>
      <c r="C13" s="225"/>
      <c r="D13" s="225"/>
      <c r="E13" s="225"/>
      <c r="F13" s="225"/>
      <c r="G13" s="226" t="str">
        <f>IFERROR(__xludf.DUMMYFUNCTION("""COMPUTED_VALUE"""),"
")</f>
        <v>
</v>
      </c>
      <c r="H13" s="224"/>
      <c r="I13" s="224"/>
      <c r="J13" s="224"/>
      <c r="K13" s="224"/>
      <c r="L13" s="224"/>
      <c r="M13" s="224"/>
      <c r="N13" s="224"/>
      <c r="O13" s="224"/>
      <c r="P13" s="224"/>
      <c r="Q13" s="224"/>
      <c r="R13" s="224"/>
      <c r="S13" s="224"/>
      <c r="T13" s="224"/>
      <c r="U13" s="224"/>
      <c r="V13" s="224"/>
      <c r="W13" s="224"/>
      <c r="X13" s="224"/>
      <c r="Y13" s="224"/>
      <c r="Z13" s="224"/>
    </row>
    <row r="14">
      <c r="A14" s="225"/>
      <c r="B14" s="225"/>
      <c r="C14" s="225"/>
      <c r="D14" s="225"/>
      <c r="E14" s="225"/>
      <c r="F14" s="225"/>
      <c r="G14" s="226" t="str">
        <f>IFERROR(__xludf.DUMMYFUNCTION("""COMPUTED_VALUE"""),"
")</f>
        <v>
</v>
      </c>
      <c r="H14" s="224"/>
      <c r="I14" s="224"/>
      <c r="J14" s="224"/>
      <c r="K14" s="224"/>
      <c r="L14" s="224"/>
      <c r="M14" s="224"/>
      <c r="N14" s="224"/>
      <c r="O14" s="224"/>
      <c r="P14" s="224"/>
      <c r="Q14" s="224"/>
      <c r="R14" s="224"/>
      <c r="S14" s="224"/>
      <c r="T14" s="224"/>
      <c r="U14" s="224"/>
      <c r="V14" s="224"/>
      <c r="W14" s="224"/>
      <c r="X14" s="224"/>
      <c r="Y14" s="224"/>
      <c r="Z14" s="224"/>
    </row>
    <row r="15">
      <c r="A15" s="225"/>
      <c r="B15" s="225"/>
      <c r="C15" s="225"/>
      <c r="D15" s="225"/>
      <c r="E15" s="225"/>
      <c r="F15" s="225"/>
      <c r="G15" s="226" t="str">
        <f>IFERROR(__xludf.DUMMYFUNCTION("""COMPUTED_VALUE"""),"
")</f>
        <v>
</v>
      </c>
      <c r="H15" s="224"/>
      <c r="I15" s="224"/>
      <c r="J15" s="224"/>
      <c r="K15" s="224"/>
      <c r="L15" s="224"/>
      <c r="M15" s="224"/>
      <c r="N15" s="224"/>
      <c r="O15" s="224"/>
      <c r="P15" s="224"/>
      <c r="Q15" s="224"/>
      <c r="R15" s="224"/>
      <c r="S15" s="224"/>
      <c r="T15" s="224"/>
      <c r="U15" s="224"/>
      <c r="V15" s="224"/>
      <c r="W15" s="224"/>
      <c r="X15" s="224"/>
      <c r="Y15" s="224"/>
      <c r="Z15" s="224"/>
    </row>
    <row r="16">
      <c r="A16" s="225"/>
      <c r="B16" s="225"/>
      <c r="C16" s="225"/>
      <c r="D16" s="225"/>
      <c r="E16" s="225"/>
      <c r="F16" s="225"/>
      <c r="G16" s="226" t="str">
        <f>IFERROR(__xludf.DUMMYFUNCTION("""COMPUTED_VALUE"""),"
")</f>
        <v>
</v>
      </c>
      <c r="H16" s="224"/>
      <c r="I16" s="224"/>
      <c r="J16" s="224"/>
      <c r="K16" s="224"/>
      <c r="L16" s="224"/>
      <c r="M16" s="224"/>
      <c r="N16" s="224"/>
      <c r="O16" s="224"/>
      <c r="P16" s="224"/>
      <c r="Q16" s="224"/>
      <c r="R16" s="224"/>
      <c r="S16" s="224"/>
      <c r="T16" s="224"/>
      <c r="U16" s="224"/>
      <c r="V16" s="224"/>
      <c r="W16" s="224"/>
      <c r="X16" s="224"/>
      <c r="Y16" s="224"/>
      <c r="Z16" s="224"/>
    </row>
    <row r="17">
      <c r="A17" s="225"/>
      <c r="B17" s="225"/>
      <c r="C17" s="225"/>
      <c r="D17" s="225"/>
      <c r="E17" s="225"/>
      <c r="F17" s="225"/>
      <c r="G17" s="226" t="str">
        <f>IFERROR(__xludf.DUMMYFUNCTION("""COMPUTED_VALUE"""),"
")</f>
        <v>
</v>
      </c>
      <c r="H17" s="224"/>
      <c r="I17" s="224"/>
      <c r="J17" s="224"/>
      <c r="K17" s="224"/>
      <c r="L17" s="224"/>
      <c r="M17" s="224"/>
      <c r="N17" s="224"/>
      <c r="O17" s="224"/>
      <c r="P17" s="224"/>
      <c r="Q17" s="224"/>
      <c r="R17" s="224"/>
      <c r="S17" s="224"/>
      <c r="T17" s="224"/>
      <c r="U17" s="224"/>
      <c r="V17" s="224"/>
      <c r="W17" s="224"/>
      <c r="X17" s="224"/>
      <c r="Y17" s="224"/>
      <c r="Z17" s="224"/>
    </row>
    <row r="18">
      <c r="A18" s="225"/>
      <c r="B18" s="225"/>
      <c r="C18" s="225"/>
      <c r="D18" s="225"/>
      <c r="E18" s="225"/>
      <c r="F18" s="225"/>
      <c r="G18" s="226" t="str">
        <f>IFERROR(__xludf.DUMMYFUNCTION("""COMPUTED_VALUE"""),"
")</f>
        <v>
</v>
      </c>
      <c r="H18" s="224"/>
      <c r="I18" s="224"/>
      <c r="J18" s="224"/>
      <c r="K18" s="224"/>
      <c r="L18" s="224"/>
      <c r="M18" s="224"/>
      <c r="N18" s="224"/>
      <c r="O18" s="224"/>
      <c r="P18" s="224"/>
      <c r="Q18" s="224"/>
      <c r="R18" s="224"/>
      <c r="S18" s="224"/>
      <c r="T18" s="224"/>
      <c r="U18" s="224"/>
      <c r="V18" s="224"/>
      <c r="W18" s="224"/>
      <c r="X18" s="224"/>
      <c r="Y18" s="224"/>
      <c r="Z18" s="224"/>
    </row>
    <row r="19">
      <c r="A19" s="225"/>
      <c r="B19" s="225"/>
      <c r="C19" s="225"/>
      <c r="D19" s="225"/>
      <c r="E19" s="225"/>
      <c r="F19" s="225"/>
      <c r="G19" s="226" t="str">
        <f>IFERROR(__xludf.DUMMYFUNCTION("""COMPUTED_VALUE"""),"
")</f>
        <v>
</v>
      </c>
      <c r="H19" s="224"/>
      <c r="I19" s="224"/>
      <c r="J19" s="224"/>
      <c r="K19" s="224"/>
      <c r="L19" s="224"/>
      <c r="M19" s="224"/>
      <c r="N19" s="224"/>
      <c r="O19" s="224"/>
      <c r="P19" s="224"/>
      <c r="Q19" s="224"/>
      <c r="R19" s="224"/>
      <c r="S19" s="224"/>
      <c r="T19" s="224"/>
      <c r="U19" s="224"/>
      <c r="V19" s="224"/>
      <c r="W19" s="224"/>
      <c r="X19" s="224"/>
      <c r="Y19" s="224"/>
      <c r="Z19" s="224"/>
    </row>
    <row r="20">
      <c r="A20" s="225"/>
      <c r="B20" s="225"/>
      <c r="C20" s="225"/>
      <c r="D20" s="225"/>
      <c r="E20" s="225"/>
      <c r="F20" s="225"/>
      <c r="G20" s="226" t="str">
        <f>IFERROR(__xludf.DUMMYFUNCTION("""COMPUTED_VALUE"""),"
")</f>
        <v>
</v>
      </c>
      <c r="H20" s="224"/>
      <c r="I20" s="224"/>
      <c r="J20" s="224"/>
      <c r="K20" s="224"/>
      <c r="L20" s="224"/>
      <c r="M20" s="224"/>
      <c r="N20" s="224"/>
      <c r="O20" s="224"/>
      <c r="P20" s="224"/>
      <c r="Q20" s="224"/>
      <c r="R20" s="224"/>
      <c r="S20" s="224"/>
      <c r="T20" s="224"/>
      <c r="U20" s="224"/>
      <c r="V20" s="224"/>
      <c r="W20" s="224"/>
      <c r="X20" s="224"/>
      <c r="Y20" s="224"/>
      <c r="Z20" s="224"/>
    </row>
    <row r="21">
      <c r="A21" s="225"/>
      <c r="B21" s="225"/>
      <c r="C21" s="225"/>
      <c r="D21" s="225"/>
      <c r="E21" s="225"/>
      <c r="F21" s="225"/>
      <c r="G21" s="226" t="str">
        <f>IFERROR(__xludf.DUMMYFUNCTION("""COMPUTED_VALUE"""),"
")</f>
        <v>
</v>
      </c>
      <c r="H21" s="224"/>
      <c r="I21" s="224"/>
      <c r="J21" s="224"/>
      <c r="K21" s="224"/>
      <c r="L21" s="224"/>
      <c r="M21" s="224"/>
      <c r="N21" s="224"/>
      <c r="O21" s="224"/>
      <c r="P21" s="224"/>
      <c r="Q21" s="224"/>
      <c r="R21" s="224"/>
      <c r="S21" s="224"/>
      <c r="T21" s="224"/>
      <c r="U21" s="224"/>
      <c r="V21" s="224"/>
      <c r="W21" s="224"/>
      <c r="X21" s="224"/>
      <c r="Y21" s="224"/>
      <c r="Z21" s="224"/>
    </row>
    <row r="22">
      <c r="A22" s="225"/>
      <c r="B22" s="225"/>
      <c r="C22" s="225"/>
      <c r="D22" s="225"/>
      <c r="E22" s="225"/>
      <c r="F22" s="225"/>
      <c r="G22" s="226" t="str">
        <f>IFERROR(__xludf.DUMMYFUNCTION("""COMPUTED_VALUE"""),"
")</f>
        <v>
</v>
      </c>
      <c r="H22" s="224"/>
      <c r="I22" s="224"/>
      <c r="J22" s="224"/>
      <c r="K22" s="224"/>
      <c r="L22" s="224"/>
      <c r="M22" s="224"/>
      <c r="N22" s="224"/>
      <c r="O22" s="224"/>
      <c r="P22" s="224"/>
      <c r="Q22" s="224"/>
      <c r="R22" s="224"/>
      <c r="S22" s="224"/>
      <c r="T22" s="224"/>
      <c r="U22" s="224"/>
      <c r="V22" s="224"/>
      <c r="W22" s="224"/>
      <c r="X22" s="224"/>
      <c r="Y22" s="224"/>
      <c r="Z22" s="224"/>
    </row>
    <row r="23">
      <c r="A23" s="225"/>
      <c r="B23" s="225"/>
      <c r="C23" s="225"/>
      <c r="D23" s="225"/>
      <c r="E23" s="225"/>
      <c r="F23" s="225"/>
      <c r="G23" s="226" t="str">
        <f>IFERROR(__xludf.DUMMYFUNCTION("""COMPUTED_VALUE"""),"
")</f>
        <v>
</v>
      </c>
      <c r="H23" s="224"/>
      <c r="I23" s="224"/>
      <c r="J23" s="224"/>
      <c r="K23" s="224"/>
      <c r="L23" s="224"/>
      <c r="M23" s="224"/>
      <c r="N23" s="224"/>
      <c r="O23" s="224"/>
      <c r="P23" s="224"/>
      <c r="Q23" s="224"/>
      <c r="R23" s="224"/>
      <c r="S23" s="224"/>
      <c r="T23" s="224"/>
      <c r="U23" s="224"/>
      <c r="V23" s="224"/>
      <c r="W23" s="224"/>
      <c r="X23" s="224"/>
      <c r="Y23" s="224"/>
      <c r="Z23" s="224"/>
    </row>
    <row r="24">
      <c r="A24" s="225"/>
      <c r="B24" s="225"/>
      <c r="C24" s="225"/>
      <c r="D24" s="225"/>
      <c r="E24" s="225"/>
      <c r="F24" s="225"/>
      <c r="G24" s="226" t="str">
        <f>IFERROR(__xludf.DUMMYFUNCTION("""COMPUTED_VALUE"""),"
")</f>
        <v>
</v>
      </c>
      <c r="H24" s="224"/>
      <c r="I24" s="224"/>
      <c r="J24" s="224"/>
      <c r="K24" s="224"/>
      <c r="L24" s="224"/>
      <c r="M24" s="224"/>
      <c r="N24" s="224"/>
      <c r="O24" s="224"/>
      <c r="P24" s="224"/>
      <c r="Q24" s="224"/>
      <c r="R24" s="224"/>
      <c r="S24" s="224"/>
      <c r="T24" s="224"/>
      <c r="U24" s="224"/>
      <c r="V24" s="224"/>
      <c r="W24" s="224"/>
      <c r="X24" s="224"/>
      <c r="Y24" s="224"/>
      <c r="Z24" s="224"/>
    </row>
    <row r="25">
      <c r="A25" s="225"/>
      <c r="B25" s="225"/>
      <c r="C25" s="225"/>
      <c r="D25" s="225"/>
      <c r="E25" s="225"/>
      <c r="F25" s="225"/>
      <c r="G25" s="226" t="str">
        <f>IFERROR(__xludf.DUMMYFUNCTION("""COMPUTED_VALUE"""),"
")</f>
        <v>
</v>
      </c>
      <c r="H25" s="224"/>
      <c r="I25" s="224"/>
      <c r="J25" s="224"/>
      <c r="K25" s="224"/>
      <c r="L25" s="224"/>
      <c r="M25" s="224"/>
      <c r="N25" s="224"/>
      <c r="O25" s="224"/>
      <c r="P25" s="224"/>
      <c r="Q25" s="224"/>
      <c r="R25" s="224"/>
      <c r="S25" s="224"/>
      <c r="T25" s="224"/>
      <c r="U25" s="224"/>
      <c r="V25" s="224"/>
      <c r="W25" s="224"/>
      <c r="X25" s="224"/>
      <c r="Y25" s="224"/>
      <c r="Z25" s="224"/>
    </row>
    <row r="26">
      <c r="A26" s="225"/>
      <c r="B26" s="225"/>
      <c r="C26" s="225"/>
      <c r="D26" s="225"/>
      <c r="E26" s="225"/>
      <c r="F26" s="225"/>
      <c r="G26" s="226" t="str">
        <f>IFERROR(__xludf.DUMMYFUNCTION("""COMPUTED_VALUE"""),"
")</f>
        <v>
</v>
      </c>
      <c r="H26" s="224"/>
      <c r="I26" s="224"/>
      <c r="J26" s="224"/>
      <c r="K26" s="224"/>
      <c r="L26" s="224"/>
      <c r="M26" s="224"/>
      <c r="N26" s="224"/>
      <c r="O26" s="224"/>
      <c r="P26" s="224"/>
      <c r="Q26" s="224"/>
      <c r="R26" s="224"/>
      <c r="S26" s="224"/>
      <c r="T26" s="224"/>
      <c r="U26" s="224"/>
      <c r="V26" s="224"/>
      <c r="W26" s="224"/>
      <c r="X26" s="224"/>
      <c r="Y26" s="224"/>
      <c r="Z26" s="224"/>
    </row>
    <row r="27">
      <c r="A27" s="225"/>
      <c r="B27" s="225"/>
      <c r="C27" s="225"/>
      <c r="D27" s="225"/>
      <c r="E27" s="225"/>
      <c r="F27" s="225"/>
      <c r="G27" s="226" t="str">
        <f>IFERROR(__xludf.DUMMYFUNCTION("""COMPUTED_VALUE"""),"
")</f>
        <v>
</v>
      </c>
      <c r="H27" s="224"/>
      <c r="I27" s="224"/>
      <c r="J27" s="224"/>
      <c r="K27" s="224"/>
      <c r="L27" s="224"/>
      <c r="M27" s="224"/>
      <c r="N27" s="224"/>
      <c r="O27" s="224"/>
      <c r="P27" s="224"/>
      <c r="Q27" s="224"/>
      <c r="R27" s="224"/>
      <c r="S27" s="224"/>
      <c r="T27" s="224"/>
      <c r="U27" s="224"/>
      <c r="V27" s="224"/>
      <c r="W27" s="224"/>
      <c r="X27" s="224"/>
      <c r="Y27" s="224"/>
      <c r="Z27" s="224"/>
    </row>
    <row r="28">
      <c r="A28" s="225"/>
      <c r="B28" s="225"/>
      <c r="C28" s="225"/>
      <c r="D28" s="225"/>
      <c r="E28" s="225"/>
      <c r="F28" s="225"/>
      <c r="G28" s="226" t="str">
        <f>IFERROR(__xludf.DUMMYFUNCTION("""COMPUTED_VALUE"""),"
")</f>
        <v>
</v>
      </c>
      <c r="H28" s="224"/>
      <c r="I28" s="224"/>
      <c r="J28" s="224"/>
      <c r="K28" s="224"/>
      <c r="L28" s="224"/>
      <c r="M28" s="224"/>
      <c r="N28" s="224"/>
      <c r="O28" s="224"/>
      <c r="P28" s="224"/>
      <c r="Q28" s="224"/>
      <c r="R28" s="224"/>
      <c r="S28" s="224"/>
      <c r="T28" s="224"/>
      <c r="U28" s="224"/>
      <c r="V28" s="224"/>
      <c r="W28" s="224"/>
      <c r="X28" s="224"/>
      <c r="Y28" s="224"/>
      <c r="Z28" s="224"/>
    </row>
    <row r="29">
      <c r="A29" s="225"/>
      <c r="B29" s="225"/>
      <c r="C29" s="225"/>
      <c r="D29" s="225"/>
      <c r="E29" s="225"/>
      <c r="F29" s="225"/>
      <c r="G29" s="226" t="str">
        <f>IFERROR(__xludf.DUMMYFUNCTION("""COMPUTED_VALUE"""),"
")</f>
        <v>
</v>
      </c>
      <c r="H29" s="224"/>
      <c r="I29" s="224"/>
      <c r="J29" s="224"/>
      <c r="K29" s="224"/>
      <c r="L29" s="224"/>
      <c r="M29" s="224"/>
      <c r="N29" s="224"/>
      <c r="O29" s="224"/>
      <c r="P29" s="224"/>
      <c r="Q29" s="224"/>
      <c r="R29" s="224"/>
      <c r="S29" s="224"/>
      <c r="T29" s="224"/>
      <c r="U29" s="224"/>
      <c r="V29" s="224"/>
      <c r="W29" s="224"/>
      <c r="X29" s="224"/>
      <c r="Y29" s="224"/>
      <c r="Z29" s="224"/>
    </row>
    <row r="30">
      <c r="A30" s="225"/>
      <c r="B30" s="225"/>
      <c r="C30" s="225"/>
      <c r="D30" s="225"/>
      <c r="E30" s="225"/>
      <c r="F30" s="225"/>
      <c r="G30" s="226" t="str">
        <f>IFERROR(__xludf.DUMMYFUNCTION("""COMPUTED_VALUE"""),"
")</f>
        <v>
</v>
      </c>
      <c r="H30" s="224"/>
      <c r="I30" s="224"/>
      <c r="J30" s="224"/>
      <c r="K30" s="224"/>
      <c r="L30" s="224"/>
      <c r="M30" s="224"/>
      <c r="N30" s="224"/>
      <c r="O30" s="224"/>
      <c r="P30" s="224"/>
      <c r="Q30" s="224"/>
      <c r="R30" s="224"/>
      <c r="S30" s="224"/>
      <c r="T30" s="224"/>
      <c r="U30" s="224"/>
      <c r="V30" s="224"/>
      <c r="W30" s="224"/>
      <c r="X30" s="224"/>
      <c r="Y30" s="224"/>
      <c r="Z30" s="224"/>
    </row>
    <row r="31">
      <c r="A31" s="225"/>
      <c r="B31" s="225"/>
      <c r="C31" s="225"/>
      <c r="D31" s="225"/>
      <c r="E31" s="225"/>
      <c r="F31" s="225"/>
      <c r="G31" s="226" t="str">
        <f>IFERROR(__xludf.DUMMYFUNCTION("""COMPUTED_VALUE"""),"
")</f>
        <v>
</v>
      </c>
      <c r="H31" s="224"/>
      <c r="I31" s="224"/>
      <c r="J31" s="224"/>
      <c r="K31" s="224"/>
      <c r="L31" s="224"/>
      <c r="M31" s="224"/>
      <c r="N31" s="224"/>
      <c r="O31" s="224"/>
      <c r="P31" s="224"/>
      <c r="Q31" s="224"/>
      <c r="R31" s="224"/>
      <c r="S31" s="224"/>
      <c r="T31" s="224"/>
      <c r="U31" s="224"/>
      <c r="V31" s="224"/>
      <c r="W31" s="224"/>
      <c r="X31" s="224"/>
      <c r="Y31" s="224"/>
      <c r="Z31" s="224"/>
    </row>
    <row r="32">
      <c r="A32" s="225"/>
      <c r="B32" s="225"/>
      <c r="C32" s="225"/>
      <c r="D32" s="225"/>
      <c r="E32" s="225"/>
      <c r="F32" s="225"/>
      <c r="G32" s="226" t="str">
        <f>IFERROR(__xludf.DUMMYFUNCTION("""COMPUTED_VALUE"""),"
")</f>
        <v>
</v>
      </c>
      <c r="H32" s="224"/>
      <c r="I32" s="224"/>
      <c r="J32" s="224"/>
      <c r="K32" s="224"/>
      <c r="L32" s="224"/>
      <c r="M32" s="224"/>
      <c r="N32" s="224"/>
      <c r="O32" s="224"/>
      <c r="P32" s="224"/>
      <c r="Q32" s="224"/>
      <c r="R32" s="224"/>
      <c r="S32" s="224"/>
      <c r="T32" s="224"/>
      <c r="U32" s="224"/>
      <c r="V32" s="224"/>
      <c r="W32" s="224"/>
      <c r="X32" s="224"/>
      <c r="Y32" s="224"/>
      <c r="Z32" s="224"/>
    </row>
    <row r="33">
      <c r="A33" s="225"/>
      <c r="B33" s="225"/>
      <c r="C33" s="225"/>
      <c r="D33" s="225"/>
      <c r="E33" s="225"/>
      <c r="F33" s="225"/>
      <c r="G33" s="226" t="str">
        <f>IFERROR(__xludf.DUMMYFUNCTION("""COMPUTED_VALUE"""),"
")</f>
        <v>
</v>
      </c>
      <c r="H33" s="224"/>
      <c r="I33" s="224"/>
      <c r="J33" s="224"/>
      <c r="K33" s="224"/>
      <c r="L33" s="224"/>
      <c r="M33" s="224"/>
      <c r="N33" s="224"/>
      <c r="O33" s="224"/>
      <c r="P33" s="224"/>
      <c r="Q33" s="224"/>
      <c r="R33" s="224"/>
      <c r="S33" s="224"/>
      <c r="T33" s="224"/>
      <c r="U33" s="224"/>
      <c r="V33" s="224"/>
      <c r="W33" s="224"/>
      <c r="X33" s="224"/>
      <c r="Y33" s="224"/>
      <c r="Z33" s="224"/>
    </row>
    <row r="34">
      <c r="A34" s="225"/>
      <c r="B34" s="225"/>
      <c r="C34" s="225"/>
      <c r="D34" s="225"/>
      <c r="E34" s="225"/>
      <c r="F34" s="225"/>
      <c r="G34" s="226" t="str">
        <f>IFERROR(__xludf.DUMMYFUNCTION("""COMPUTED_VALUE"""),"
")</f>
        <v>
</v>
      </c>
      <c r="H34" s="224"/>
      <c r="I34" s="224"/>
      <c r="J34" s="224"/>
      <c r="K34" s="224"/>
      <c r="L34" s="224"/>
      <c r="M34" s="224"/>
      <c r="N34" s="224"/>
      <c r="O34" s="224"/>
      <c r="P34" s="224"/>
      <c r="Q34" s="224"/>
      <c r="R34" s="224"/>
      <c r="S34" s="224"/>
      <c r="T34" s="224"/>
      <c r="U34" s="224"/>
      <c r="V34" s="224"/>
      <c r="W34" s="224"/>
      <c r="X34" s="224"/>
      <c r="Y34" s="224"/>
      <c r="Z34" s="224"/>
    </row>
    <row r="35">
      <c r="A35" s="225"/>
      <c r="B35" s="225"/>
      <c r="C35" s="225"/>
      <c r="D35" s="225"/>
      <c r="E35" s="225"/>
      <c r="F35" s="225"/>
      <c r="G35" s="226" t="str">
        <f>IFERROR(__xludf.DUMMYFUNCTION("""COMPUTED_VALUE"""),"
")</f>
        <v>
</v>
      </c>
      <c r="H35" s="224"/>
      <c r="I35" s="224"/>
      <c r="J35" s="224"/>
      <c r="K35" s="224"/>
      <c r="L35" s="224"/>
      <c r="M35" s="224"/>
      <c r="N35" s="224"/>
      <c r="O35" s="224"/>
      <c r="P35" s="224"/>
      <c r="Q35" s="224"/>
      <c r="R35" s="224"/>
      <c r="S35" s="224"/>
      <c r="T35" s="224"/>
      <c r="U35" s="224"/>
      <c r="V35" s="224"/>
      <c r="W35" s="224"/>
      <c r="X35" s="224"/>
      <c r="Y35" s="224"/>
      <c r="Z35" s="224"/>
    </row>
    <row r="36">
      <c r="A36" s="225"/>
      <c r="B36" s="225"/>
      <c r="C36" s="225"/>
      <c r="D36" s="225"/>
      <c r="E36" s="225"/>
      <c r="F36" s="225"/>
      <c r="G36" s="226" t="str">
        <f>IFERROR(__xludf.DUMMYFUNCTION("""COMPUTED_VALUE"""),"
")</f>
        <v>
</v>
      </c>
      <c r="H36" s="224"/>
      <c r="I36" s="224"/>
      <c r="J36" s="224"/>
      <c r="K36" s="224"/>
      <c r="L36" s="224"/>
      <c r="M36" s="224"/>
      <c r="N36" s="224"/>
      <c r="O36" s="224"/>
      <c r="P36" s="224"/>
      <c r="Q36" s="224"/>
      <c r="R36" s="224"/>
      <c r="S36" s="224"/>
      <c r="T36" s="224"/>
      <c r="U36" s="224"/>
      <c r="V36" s="224"/>
      <c r="W36" s="224"/>
      <c r="X36" s="224"/>
      <c r="Y36" s="224"/>
      <c r="Z36" s="224"/>
    </row>
    <row r="37">
      <c r="A37" s="225"/>
      <c r="B37" s="225"/>
      <c r="C37" s="225"/>
      <c r="D37" s="225"/>
      <c r="E37" s="225"/>
      <c r="F37" s="225"/>
      <c r="G37" s="226" t="str">
        <f>IFERROR(__xludf.DUMMYFUNCTION("""COMPUTED_VALUE"""),"
")</f>
        <v>
</v>
      </c>
      <c r="H37" s="224"/>
      <c r="I37" s="224"/>
      <c r="J37" s="224"/>
      <c r="K37" s="224"/>
      <c r="L37" s="224"/>
      <c r="M37" s="224"/>
      <c r="N37" s="224"/>
      <c r="O37" s="224"/>
      <c r="P37" s="224"/>
      <c r="Q37" s="224"/>
      <c r="R37" s="224"/>
      <c r="S37" s="224"/>
      <c r="T37" s="224"/>
      <c r="U37" s="224"/>
      <c r="V37" s="224"/>
      <c r="W37" s="224"/>
      <c r="X37" s="224"/>
      <c r="Y37" s="224"/>
      <c r="Z37" s="224"/>
    </row>
    <row r="38">
      <c r="A38" s="225"/>
      <c r="B38" s="225"/>
      <c r="C38" s="225"/>
      <c r="D38" s="225"/>
      <c r="E38" s="225"/>
      <c r="F38" s="225"/>
      <c r="G38" s="226" t="str">
        <f>IFERROR(__xludf.DUMMYFUNCTION("""COMPUTED_VALUE"""),"
")</f>
        <v>
</v>
      </c>
      <c r="H38" s="224"/>
      <c r="I38" s="224"/>
      <c r="J38" s="224"/>
      <c r="K38" s="224"/>
      <c r="L38" s="224"/>
      <c r="M38" s="224"/>
      <c r="N38" s="224"/>
      <c r="O38" s="224"/>
      <c r="P38" s="224"/>
      <c r="Q38" s="224"/>
      <c r="R38" s="224"/>
      <c r="S38" s="224"/>
      <c r="T38" s="224"/>
      <c r="U38" s="224"/>
      <c r="V38" s="224"/>
      <c r="W38" s="224"/>
      <c r="X38" s="224"/>
      <c r="Y38" s="224"/>
      <c r="Z38" s="224"/>
    </row>
    <row r="39">
      <c r="A39" s="225"/>
      <c r="B39" s="225"/>
      <c r="C39" s="225"/>
      <c r="D39" s="225"/>
      <c r="E39" s="225"/>
      <c r="F39" s="225"/>
      <c r="G39" s="226" t="str">
        <f>IFERROR(__xludf.DUMMYFUNCTION("""COMPUTED_VALUE"""),"
")</f>
        <v>
</v>
      </c>
      <c r="H39" s="224"/>
      <c r="I39" s="224"/>
      <c r="J39" s="224"/>
      <c r="K39" s="224"/>
      <c r="L39" s="224"/>
      <c r="M39" s="224"/>
      <c r="N39" s="224"/>
      <c r="O39" s="224"/>
      <c r="P39" s="224"/>
      <c r="Q39" s="224"/>
      <c r="R39" s="224"/>
      <c r="S39" s="224"/>
      <c r="T39" s="224"/>
      <c r="U39" s="224"/>
      <c r="V39" s="224"/>
      <c r="W39" s="224"/>
      <c r="X39" s="224"/>
      <c r="Y39" s="224"/>
      <c r="Z39" s="224"/>
    </row>
    <row r="40">
      <c r="A40" s="225"/>
      <c r="B40" s="225"/>
      <c r="C40" s="225"/>
      <c r="D40" s="225"/>
      <c r="E40" s="225"/>
      <c r="F40" s="225"/>
      <c r="G40" s="226" t="str">
        <f>IFERROR(__xludf.DUMMYFUNCTION("""COMPUTED_VALUE"""),"
")</f>
        <v>
</v>
      </c>
      <c r="H40" s="224"/>
      <c r="I40" s="224"/>
      <c r="J40" s="224"/>
      <c r="K40" s="224"/>
      <c r="L40" s="224"/>
      <c r="M40" s="224"/>
      <c r="N40" s="224"/>
      <c r="O40" s="224"/>
      <c r="P40" s="224"/>
      <c r="Q40" s="224"/>
      <c r="R40" s="224"/>
      <c r="S40" s="224"/>
      <c r="T40" s="224"/>
      <c r="U40" s="224"/>
      <c r="V40" s="224"/>
      <c r="W40" s="224"/>
      <c r="X40" s="224"/>
      <c r="Y40" s="224"/>
      <c r="Z40" s="224"/>
    </row>
    <row r="41">
      <c r="A41" s="225"/>
      <c r="B41" s="225"/>
      <c r="C41" s="225"/>
      <c r="D41" s="225"/>
      <c r="E41" s="225"/>
      <c r="F41" s="225"/>
      <c r="G41" s="226" t="str">
        <f>IFERROR(__xludf.DUMMYFUNCTION("""COMPUTED_VALUE"""),"
")</f>
        <v>
</v>
      </c>
      <c r="H41" s="224"/>
      <c r="I41" s="224"/>
      <c r="J41" s="224"/>
      <c r="K41" s="224"/>
      <c r="L41" s="224"/>
      <c r="M41" s="224"/>
      <c r="N41" s="224"/>
      <c r="O41" s="224"/>
      <c r="P41" s="224"/>
      <c r="Q41" s="224"/>
      <c r="R41" s="224"/>
      <c r="S41" s="224"/>
      <c r="T41" s="224"/>
      <c r="U41" s="224"/>
      <c r="V41" s="224"/>
      <c r="W41" s="224"/>
      <c r="X41" s="224"/>
      <c r="Y41" s="224"/>
      <c r="Z41" s="224"/>
    </row>
    <row r="42">
      <c r="A42" s="225"/>
      <c r="B42" s="225"/>
      <c r="C42" s="225"/>
      <c r="D42" s="225"/>
      <c r="E42" s="225"/>
      <c r="F42" s="225"/>
      <c r="G42" s="226" t="str">
        <f>IFERROR(__xludf.DUMMYFUNCTION("""COMPUTED_VALUE"""),"
")</f>
        <v>
</v>
      </c>
      <c r="H42" s="224"/>
      <c r="I42" s="224"/>
      <c r="J42" s="224"/>
      <c r="K42" s="224"/>
      <c r="L42" s="224"/>
      <c r="M42" s="224"/>
      <c r="N42" s="224"/>
      <c r="O42" s="224"/>
      <c r="P42" s="224"/>
      <c r="Q42" s="224"/>
      <c r="R42" s="224"/>
      <c r="S42" s="224"/>
      <c r="T42" s="224"/>
      <c r="U42" s="224"/>
      <c r="V42" s="224"/>
      <c r="W42" s="224"/>
      <c r="X42" s="224"/>
      <c r="Y42" s="224"/>
      <c r="Z42" s="224"/>
    </row>
    <row r="43">
      <c r="A43" s="225"/>
      <c r="B43" s="225"/>
      <c r="C43" s="225"/>
      <c r="D43" s="225"/>
      <c r="E43" s="225"/>
      <c r="F43" s="225"/>
      <c r="G43" s="226" t="str">
        <f>IFERROR(__xludf.DUMMYFUNCTION("""COMPUTED_VALUE"""),"
")</f>
        <v>
</v>
      </c>
      <c r="H43" s="224"/>
      <c r="I43" s="224"/>
      <c r="J43" s="224"/>
      <c r="K43" s="224"/>
      <c r="L43" s="224"/>
      <c r="M43" s="224"/>
      <c r="N43" s="224"/>
      <c r="O43" s="224"/>
      <c r="P43" s="224"/>
      <c r="Q43" s="224"/>
      <c r="R43" s="224"/>
      <c r="S43" s="224"/>
      <c r="T43" s="224"/>
      <c r="U43" s="224"/>
      <c r="V43" s="224"/>
      <c r="W43" s="224"/>
      <c r="X43" s="224"/>
      <c r="Y43" s="224"/>
      <c r="Z43" s="224"/>
    </row>
    <row r="44">
      <c r="A44" s="225"/>
      <c r="B44" s="225"/>
      <c r="C44" s="225"/>
      <c r="D44" s="225"/>
      <c r="E44" s="225"/>
      <c r="F44" s="225"/>
      <c r="G44" s="226" t="str">
        <f>IFERROR(__xludf.DUMMYFUNCTION("""COMPUTED_VALUE"""),"
")</f>
        <v>
</v>
      </c>
      <c r="H44" s="224"/>
      <c r="I44" s="224"/>
      <c r="J44" s="224"/>
      <c r="K44" s="224"/>
      <c r="L44" s="224"/>
      <c r="M44" s="224"/>
      <c r="N44" s="224"/>
      <c r="O44" s="224"/>
      <c r="P44" s="224"/>
      <c r="Q44" s="224"/>
      <c r="R44" s="224"/>
      <c r="S44" s="224"/>
      <c r="T44" s="224"/>
      <c r="U44" s="224"/>
      <c r="V44" s="224"/>
      <c r="W44" s="224"/>
      <c r="X44" s="224"/>
      <c r="Y44" s="224"/>
      <c r="Z44" s="224"/>
    </row>
    <row r="45">
      <c r="A45" s="225"/>
      <c r="B45" s="225"/>
      <c r="C45" s="225"/>
      <c r="D45" s="225"/>
      <c r="E45" s="225"/>
      <c r="F45" s="225"/>
      <c r="G45" s="226" t="str">
        <f>IFERROR(__xludf.DUMMYFUNCTION("""COMPUTED_VALUE"""),"
")</f>
        <v>
</v>
      </c>
      <c r="H45" s="224"/>
      <c r="I45" s="224"/>
      <c r="J45" s="224"/>
      <c r="K45" s="224"/>
      <c r="L45" s="224"/>
      <c r="M45" s="224"/>
      <c r="N45" s="224"/>
      <c r="O45" s="224"/>
      <c r="P45" s="224"/>
      <c r="Q45" s="224"/>
      <c r="R45" s="224"/>
      <c r="S45" s="224"/>
      <c r="T45" s="224"/>
      <c r="U45" s="224"/>
      <c r="V45" s="224"/>
      <c r="W45" s="224"/>
      <c r="X45" s="224"/>
      <c r="Y45" s="224"/>
      <c r="Z45" s="224"/>
    </row>
    <row r="46">
      <c r="A46" s="225"/>
      <c r="B46" s="225"/>
      <c r="C46" s="225"/>
      <c r="D46" s="225"/>
      <c r="E46" s="225"/>
      <c r="F46" s="225"/>
      <c r="G46" s="226" t="str">
        <f>IFERROR(__xludf.DUMMYFUNCTION("""COMPUTED_VALUE"""),"
")</f>
        <v>
</v>
      </c>
      <c r="H46" s="224"/>
      <c r="I46" s="224"/>
      <c r="J46" s="224"/>
      <c r="K46" s="224"/>
      <c r="L46" s="224"/>
      <c r="M46" s="224"/>
      <c r="N46" s="224"/>
      <c r="O46" s="224"/>
      <c r="P46" s="224"/>
      <c r="Q46" s="224"/>
      <c r="R46" s="224"/>
      <c r="S46" s="224"/>
      <c r="T46" s="224"/>
      <c r="U46" s="224"/>
      <c r="V46" s="224"/>
      <c r="W46" s="224"/>
      <c r="X46" s="224"/>
      <c r="Y46" s="224"/>
      <c r="Z46" s="224"/>
    </row>
    <row r="47">
      <c r="A47" s="225"/>
      <c r="B47" s="225"/>
      <c r="C47" s="225"/>
      <c r="D47" s="225"/>
      <c r="E47" s="225"/>
      <c r="F47" s="225"/>
      <c r="G47" s="226" t="str">
        <f>IFERROR(__xludf.DUMMYFUNCTION("""COMPUTED_VALUE"""),"
")</f>
        <v>
</v>
      </c>
      <c r="H47" s="224"/>
      <c r="I47" s="224"/>
      <c r="J47" s="224"/>
      <c r="K47" s="224"/>
      <c r="L47" s="224"/>
      <c r="M47" s="224"/>
      <c r="N47" s="224"/>
      <c r="O47" s="224"/>
      <c r="P47" s="224"/>
      <c r="Q47" s="224"/>
      <c r="R47" s="224"/>
      <c r="S47" s="224"/>
      <c r="T47" s="224"/>
      <c r="U47" s="224"/>
      <c r="V47" s="224"/>
      <c r="W47" s="224"/>
      <c r="X47" s="224"/>
      <c r="Y47" s="224"/>
      <c r="Z47" s="224"/>
    </row>
    <row r="48">
      <c r="A48" s="225"/>
      <c r="B48" s="225"/>
      <c r="C48" s="225"/>
      <c r="D48" s="225"/>
      <c r="E48" s="225"/>
      <c r="F48" s="225"/>
      <c r="G48" s="226" t="str">
        <f>IFERROR(__xludf.DUMMYFUNCTION("""COMPUTED_VALUE"""),"
")</f>
        <v>
</v>
      </c>
      <c r="H48" s="224"/>
      <c r="I48" s="224"/>
      <c r="J48" s="224"/>
      <c r="K48" s="224"/>
      <c r="L48" s="224"/>
      <c r="M48" s="224"/>
      <c r="N48" s="224"/>
      <c r="O48" s="224"/>
      <c r="P48" s="224"/>
      <c r="Q48" s="224"/>
      <c r="R48" s="224"/>
      <c r="S48" s="224"/>
      <c r="T48" s="224"/>
      <c r="U48" s="224"/>
      <c r="V48" s="224"/>
      <c r="W48" s="224"/>
      <c r="X48" s="224"/>
      <c r="Y48" s="224"/>
      <c r="Z48" s="224"/>
    </row>
    <row r="49">
      <c r="A49" s="225"/>
      <c r="B49" s="225"/>
      <c r="C49" s="225"/>
      <c r="D49" s="225"/>
      <c r="E49" s="225"/>
      <c r="F49" s="225"/>
      <c r="G49" s="226" t="str">
        <f>IFERROR(__xludf.DUMMYFUNCTION("""COMPUTED_VALUE"""),"
")</f>
        <v>
</v>
      </c>
      <c r="H49" s="224"/>
      <c r="I49" s="224"/>
      <c r="J49" s="224"/>
      <c r="K49" s="224"/>
      <c r="L49" s="224"/>
      <c r="M49" s="224"/>
      <c r="N49" s="224"/>
      <c r="O49" s="224"/>
      <c r="P49" s="224"/>
      <c r="Q49" s="224"/>
      <c r="R49" s="224"/>
      <c r="S49" s="224"/>
      <c r="T49" s="224"/>
      <c r="U49" s="224"/>
      <c r="V49" s="224"/>
      <c r="W49" s="224"/>
      <c r="X49" s="224"/>
      <c r="Y49" s="224"/>
      <c r="Z49" s="224"/>
    </row>
    <row r="50">
      <c r="A50" s="225"/>
      <c r="B50" s="225"/>
      <c r="C50" s="225"/>
      <c r="D50" s="225"/>
      <c r="E50" s="225"/>
      <c r="F50" s="225"/>
      <c r="G50" s="226" t="str">
        <f>IFERROR(__xludf.DUMMYFUNCTION("""COMPUTED_VALUE"""),"
")</f>
        <v>
</v>
      </c>
      <c r="H50" s="224"/>
      <c r="I50" s="224"/>
      <c r="J50" s="224"/>
      <c r="K50" s="224"/>
      <c r="L50" s="224"/>
      <c r="M50" s="224"/>
      <c r="N50" s="224"/>
      <c r="O50" s="224"/>
      <c r="P50" s="224"/>
      <c r="Q50" s="224"/>
      <c r="R50" s="224"/>
      <c r="S50" s="224"/>
      <c r="T50" s="224"/>
      <c r="U50" s="224"/>
      <c r="V50" s="224"/>
      <c r="W50" s="224"/>
      <c r="X50" s="224"/>
      <c r="Y50" s="224"/>
      <c r="Z50" s="224"/>
    </row>
    <row r="51">
      <c r="A51" s="225"/>
      <c r="B51" s="225"/>
      <c r="C51" s="225"/>
      <c r="D51" s="225"/>
      <c r="E51" s="225"/>
      <c r="F51" s="225"/>
      <c r="G51" s="226" t="str">
        <f>IFERROR(__xludf.DUMMYFUNCTION("""COMPUTED_VALUE"""),"
")</f>
        <v>
</v>
      </c>
      <c r="H51" s="224"/>
      <c r="I51" s="224"/>
      <c r="J51" s="224"/>
      <c r="K51" s="224"/>
      <c r="L51" s="224"/>
      <c r="M51" s="224"/>
      <c r="N51" s="224"/>
      <c r="O51" s="224"/>
      <c r="P51" s="224"/>
      <c r="Q51" s="224"/>
      <c r="R51" s="224"/>
      <c r="S51" s="224"/>
      <c r="T51" s="224"/>
      <c r="U51" s="224"/>
      <c r="V51" s="224"/>
      <c r="W51" s="224"/>
      <c r="X51" s="224"/>
      <c r="Y51" s="224"/>
      <c r="Z51" s="224"/>
    </row>
    <row r="52">
      <c r="A52" s="225"/>
      <c r="B52" s="225"/>
      <c r="C52" s="225"/>
      <c r="D52" s="225"/>
      <c r="E52" s="225"/>
      <c r="F52" s="225"/>
      <c r="G52" s="226" t="str">
        <f>IFERROR(__xludf.DUMMYFUNCTION("""COMPUTED_VALUE"""),"
")</f>
        <v>
</v>
      </c>
      <c r="H52" s="224"/>
      <c r="I52" s="224"/>
      <c r="J52" s="224"/>
      <c r="K52" s="224"/>
      <c r="L52" s="224"/>
      <c r="M52" s="224"/>
      <c r="N52" s="224"/>
      <c r="O52" s="224"/>
      <c r="P52" s="224"/>
      <c r="Q52" s="224"/>
      <c r="R52" s="224"/>
      <c r="S52" s="224"/>
      <c r="T52" s="224"/>
      <c r="U52" s="224"/>
      <c r="V52" s="224"/>
      <c r="W52" s="224"/>
      <c r="X52" s="224"/>
      <c r="Y52" s="224"/>
      <c r="Z52" s="224"/>
    </row>
    <row r="53">
      <c r="A53" s="225"/>
      <c r="B53" s="225"/>
      <c r="C53" s="225"/>
      <c r="D53" s="225"/>
      <c r="E53" s="225"/>
      <c r="F53" s="225"/>
      <c r="G53" s="226" t="str">
        <f>IFERROR(__xludf.DUMMYFUNCTION("""COMPUTED_VALUE"""),"
")</f>
        <v>
</v>
      </c>
      <c r="H53" s="224"/>
      <c r="I53" s="224"/>
      <c r="J53" s="224"/>
      <c r="K53" s="224"/>
      <c r="L53" s="224"/>
      <c r="M53" s="224"/>
      <c r="N53" s="224"/>
      <c r="O53" s="224"/>
      <c r="P53" s="224"/>
      <c r="Q53" s="224"/>
      <c r="R53" s="224"/>
      <c r="S53" s="224"/>
      <c r="T53" s="224"/>
      <c r="U53" s="224"/>
      <c r="V53" s="224"/>
      <c r="W53" s="224"/>
      <c r="X53" s="224"/>
      <c r="Y53" s="224"/>
      <c r="Z53" s="224"/>
    </row>
    <row r="54">
      <c r="A54" s="225"/>
      <c r="B54" s="225"/>
      <c r="C54" s="225"/>
      <c r="D54" s="225"/>
      <c r="E54" s="225"/>
      <c r="F54" s="225"/>
      <c r="G54" s="226" t="str">
        <f>IFERROR(__xludf.DUMMYFUNCTION("""COMPUTED_VALUE"""),"
")</f>
        <v>
</v>
      </c>
      <c r="H54" s="224"/>
      <c r="I54" s="224"/>
      <c r="J54" s="224"/>
      <c r="K54" s="224"/>
      <c r="L54" s="224"/>
      <c r="M54" s="224"/>
      <c r="N54" s="224"/>
      <c r="O54" s="224"/>
      <c r="P54" s="224"/>
      <c r="Q54" s="224"/>
      <c r="R54" s="224"/>
      <c r="S54" s="224"/>
      <c r="T54" s="224"/>
      <c r="U54" s="224"/>
      <c r="V54" s="224"/>
      <c r="W54" s="224"/>
      <c r="X54" s="224"/>
      <c r="Y54" s="224"/>
      <c r="Z54" s="224"/>
    </row>
    <row r="55">
      <c r="A55" s="225"/>
      <c r="B55" s="225"/>
      <c r="C55" s="225"/>
      <c r="D55" s="225"/>
      <c r="E55" s="225"/>
      <c r="F55" s="225"/>
      <c r="G55" s="226" t="str">
        <f>IFERROR(__xludf.DUMMYFUNCTION("""COMPUTED_VALUE"""),"
")</f>
        <v>
</v>
      </c>
      <c r="H55" s="224"/>
      <c r="I55" s="224"/>
      <c r="J55" s="224"/>
      <c r="K55" s="224"/>
      <c r="L55" s="224"/>
      <c r="M55" s="224"/>
      <c r="N55" s="224"/>
      <c r="O55" s="224"/>
      <c r="P55" s="224"/>
      <c r="Q55" s="224"/>
      <c r="R55" s="224"/>
      <c r="S55" s="224"/>
      <c r="T55" s="224"/>
      <c r="U55" s="224"/>
      <c r="V55" s="224"/>
      <c r="W55" s="224"/>
      <c r="X55" s="224"/>
      <c r="Y55" s="224"/>
      <c r="Z55" s="224"/>
    </row>
    <row r="56">
      <c r="A56" s="225"/>
      <c r="B56" s="225"/>
      <c r="C56" s="225"/>
      <c r="D56" s="225"/>
      <c r="E56" s="225"/>
      <c r="F56" s="225"/>
      <c r="G56" s="226" t="str">
        <f>IFERROR(__xludf.DUMMYFUNCTION("""COMPUTED_VALUE"""),"
")</f>
        <v>
</v>
      </c>
      <c r="H56" s="224"/>
      <c r="I56" s="224"/>
      <c r="J56" s="224"/>
      <c r="K56" s="224"/>
      <c r="L56" s="224"/>
      <c r="M56" s="224"/>
      <c r="N56" s="224"/>
      <c r="O56" s="224"/>
      <c r="P56" s="224"/>
      <c r="Q56" s="224"/>
      <c r="R56" s="224"/>
      <c r="S56" s="224"/>
      <c r="T56" s="224"/>
      <c r="U56" s="224"/>
      <c r="V56" s="224"/>
      <c r="W56" s="224"/>
      <c r="X56" s="224"/>
      <c r="Y56" s="224"/>
      <c r="Z56" s="224"/>
    </row>
    <row r="57">
      <c r="A57" s="225"/>
      <c r="B57" s="225"/>
      <c r="C57" s="225"/>
      <c r="D57" s="225"/>
      <c r="E57" s="225"/>
      <c r="F57" s="225"/>
      <c r="G57" s="226" t="str">
        <f>IFERROR(__xludf.DUMMYFUNCTION("""COMPUTED_VALUE"""),"
")</f>
        <v>
</v>
      </c>
      <c r="H57" s="224"/>
      <c r="I57" s="224"/>
      <c r="J57" s="224"/>
      <c r="K57" s="224"/>
      <c r="L57" s="224"/>
      <c r="M57" s="224"/>
      <c r="N57" s="224"/>
      <c r="O57" s="224"/>
      <c r="P57" s="224"/>
      <c r="Q57" s="224"/>
      <c r="R57" s="224"/>
      <c r="S57" s="224"/>
      <c r="T57" s="224"/>
      <c r="U57" s="224"/>
      <c r="V57" s="224"/>
      <c r="W57" s="224"/>
      <c r="X57" s="224"/>
      <c r="Y57" s="224"/>
      <c r="Z57" s="224"/>
    </row>
    <row r="58">
      <c r="A58" s="225"/>
      <c r="B58" s="225"/>
      <c r="C58" s="225"/>
      <c r="D58" s="225"/>
      <c r="E58" s="225"/>
      <c r="F58" s="225"/>
      <c r="G58" s="226" t="str">
        <f>IFERROR(__xludf.DUMMYFUNCTION("""COMPUTED_VALUE"""),"
")</f>
        <v>
</v>
      </c>
      <c r="H58" s="224"/>
      <c r="I58" s="224"/>
      <c r="J58" s="224"/>
      <c r="K58" s="224"/>
      <c r="L58" s="224"/>
      <c r="M58" s="224"/>
      <c r="N58" s="224"/>
      <c r="O58" s="224"/>
      <c r="P58" s="224"/>
      <c r="Q58" s="224"/>
      <c r="R58" s="224"/>
      <c r="S58" s="224"/>
      <c r="T58" s="224"/>
      <c r="U58" s="224"/>
      <c r="V58" s="224"/>
      <c r="W58" s="224"/>
      <c r="X58" s="224"/>
      <c r="Y58" s="224"/>
      <c r="Z58" s="224"/>
    </row>
    <row r="59">
      <c r="A59" s="225"/>
      <c r="B59" s="225"/>
      <c r="C59" s="225"/>
      <c r="D59" s="225"/>
      <c r="E59" s="225"/>
      <c r="F59" s="225"/>
      <c r="G59" s="226" t="str">
        <f>IFERROR(__xludf.DUMMYFUNCTION("""COMPUTED_VALUE"""),"
")</f>
        <v>
</v>
      </c>
      <c r="H59" s="224"/>
      <c r="I59" s="224"/>
      <c r="J59" s="224"/>
      <c r="K59" s="224"/>
      <c r="L59" s="224"/>
      <c r="M59" s="224"/>
      <c r="N59" s="224"/>
      <c r="O59" s="224"/>
      <c r="P59" s="224"/>
      <c r="Q59" s="224"/>
      <c r="R59" s="224"/>
      <c r="S59" s="224"/>
      <c r="T59" s="224"/>
      <c r="U59" s="224"/>
      <c r="V59" s="224"/>
      <c r="W59" s="224"/>
      <c r="X59" s="224"/>
      <c r="Y59" s="224"/>
      <c r="Z59" s="224"/>
    </row>
    <row r="60">
      <c r="A60" s="225"/>
      <c r="B60" s="225"/>
      <c r="C60" s="225"/>
      <c r="D60" s="225"/>
      <c r="E60" s="225"/>
      <c r="F60" s="225"/>
      <c r="G60" s="226" t="str">
        <f>IFERROR(__xludf.DUMMYFUNCTION("""COMPUTED_VALUE"""),"
")</f>
        <v>
</v>
      </c>
      <c r="H60" s="224"/>
      <c r="I60" s="224"/>
      <c r="J60" s="224"/>
      <c r="K60" s="224"/>
      <c r="L60" s="224"/>
      <c r="M60" s="224"/>
      <c r="N60" s="224"/>
      <c r="O60" s="224"/>
      <c r="P60" s="224"/>
      <c r="Q60" s="224"/>
      <c r="R60" s="224"/>
      <c r="S60" s="224"/>
      <c r="T60" s="224"/>
      <c r="U60" s="224"/>
      <c r="V60" s="224"/>
      <c r="W60" s="224"/>
      <c r="X60" s="224"/>
      <c r="Y60" s="224"/>
      <c r="Z60" s="224"/>
    </row>
    <row r="61">
      <c r="A61" s="225"/>
      <c r="B61" s="225"/>
      <c r="C61" s="225"/>
      <c r="D61" s="225"/>
      <c r="E61" s="225"/>
      <c r="F61" s="225"/>
      <c r="G61" s="226" t="str">
        <f>IFERROR(__xludf.DUMMYFUNCTION("""COMPUTED_VALUE"""),"
")</f>
        <v>
</v>
      </c>
      <c r="H61" s="224"/>
      <c r="I61" s="224"/>
      <c r="J61" s="224"/>
      <c r="K61" s="224"/>
      <c r="L61" s="224"/>
      <c r="M61" s="224"/>
      <c r="N61" s="224"/>
      <c r="O61" s="224"/>
      <c r="P61" s="224"/>
      <c r="Q61" s="224"/>
      <c r="R61" s="224"/>
      <c r="S61" s="224"/>
      <c r="T61" s="224"/>
      <c r="U61" s="224"/>
      <c r="V61" s="224"/>
      <c r="W61" s="224"/>
      <c r="X61" s="224"/>
      <c r="Y61" s="224"/>
      <c r="Z61" s="224"/>
    </row>
    <row r="62">
      <c r="A62" s="225"/>
      <c r="B62" s="225"/>
      <c r="C62" s="225"/>
      <c r="D62" s="225"/>
      <c r="E62" s="225"/>
      <c r="F62" s="225"/>
      <c r="G62" s="226" t="str">
        <f>IFERROR(__xludf.DUMMYFUNCTION("""COMPUTED_VALUE"""),"
")</f>
        <v>
</v>
      </c>
      <c r="H62" s="224"/>
      <c r="I62" s="224"/>
      <c r="J62" s="224"/>
      <c r="K62" s="224"/>
      <c r="L62" s="224"/>
      <c r="M62" s="224"/>
      <c r="N62" s="224"/>
      <c r="O62" s="224"/>
      <c r="P62" s="224"/>
      <c r="Q62" s="224"/>
      <c r="R62" s="224"/>
      <c r="S62" s="224"/>
      <c r="T62" s="224"/>
      <c r="U62" s="224"/>
      <c r="V62" s="224"/>
      <c r="W62" s="224"/>
      <c r="X62" s="224"/>
      <c r="Y62" s="224"/>
      <c r="Z62" s="224"/>
    </row>
    <row r="63">
      <c r="A63" s="225"/>
      <c r="B63" s="225"/>
      <c r="C63" s="225"/>
      <c r="D63" s="225"/>
      <c r="E63" s="225"/>
      <c r="F63" s="225"/>
      <c r="G63" s="226" t="str">
        <f>IFERROR(__xludf.DUMMYFUNCTION("""COMPUTED_VALUE"""),"
")</f>
        <v>
</v>
      </c>
      <c r="H63" s="224"/>
      <c r="I63" s="224"/>
      <c r="J63" s="224"/>
      <c r="K63" s="224"/>
      <c r="L63" s="224"/>
      <c r="M63" s="224"/>
      <c r="N63" s="224"/>
      <c r="O63" s="224"/>
      <c r="P63" s="224"/>
      <c r="Q63" s="224"/>
      <c r="R63" s="224"/>
      <c r="S63" s="224"/>
      <c r="T63" s="224"/>
      <c r="U63" s="224"/>
      <c r="V63" s="224"/>
      <c r="W63" s="224"/>
      <c r="X63" s="224"/>
      <c r="Y63" s="224"/>
      <c r="Z63" s="224"/>
    </row>
    <row r="64">
      <c r="A64" s="225"/>
      <c r="B64" s="225"/>
      <c r="C64" s="225"/>
      <c r="D64" s="225"/>
      <c r="E64" s="225"/>
      <c r="F64" s="225"/>
      <c r="G64" s="226" t="str">
        <f>IFERROR(__xludf.DUMMYFUNCTION("""COMPUTED_VALUE"""),"
")</f>
        <v>
</v>
      </c>
      <c r="H64" s="224"/>
      <c r="I64" s="224"/>
      <c r="J64" s="224"/>
      <c r="K64" s="224"/>
      <c r="L64" s="224"/>
      <c r="M64" s="224"/>
      <c r="N64" s="224"/>
      <c r="O64" s="224"/>
      <c r="P64" s="224"/>
      <c r="Q64" s="224"/>
      <c r="R64" s="224"/>
      <c r="S64" s="224"/>
      <c r="T64" s="224"/>
      <c r="U64" s="224"/>
      <c r="V64" s="224"/>
      <c r="W64" s="224"/>
      <c r="X64" s="224"/>
      <c r="Y64" s="224"/>
      <c r="Z64" s="224"/>
    </row>
    <row r="65">
      <c r="A65" s="225"/>
      <c r="B65" s="225"/>
      <c r="C65" s="225"/>
      <c r="D65" s="225"/>
      <c r="E65" s="225"/>
      <c r="F65" s="225"/>
      <c r="G65" s="226" t="str">
        <f>IFERROR(__xludf.DUMMYFUNCTION("""COMPUTED_VALUE"""),"
")</f>
        <v>
</v>
      </c>
      <c r="H65" s="224"/>
      <c r="I65" s="224"/>
      <c r="J65" s="224"/>
      <c r="K65" s="224"/>
      <c r="L65" s="224"/>
      <c r="M65" s="224"/>
      <c r="N65" s="224"/>
      <c r="O65" s="224"/>
      <c r="P65" s="224"/>
      <c r="Q65" s="224"/>
      <c r="R65" s="224"/>
      <c r="S65" s="224"/>
      <c r="T65" s="224"/>
      <c r="U65" s="224"/>
      <c r="V65" s="224"/>
      <c r="W65" s="224"/>
      <c r="X65" s="224"/>
      <c r="Y65" s="224"/>
      <c r="Z65" s="224"/>
    </row>
    <row r="66">
      <c r="A66" s="225"/>
      <c r="B66" s="225"/>
      <c r="C66" s="225"/>
      <c r="D66" s="225"/>
      <c r="E66" s="225"/>
      <c r="F66" s="225"/>
      <c r="G66" s="226" t="str">
        <f>IFERROR(__xludf.DUMMYFUNCTION("""COMPUTED_VALUE"""),"
")</f>
        <v>
</v>
      </c>
      <c r="H66" s="224"/>
      <c r="I66" s="224"/>
      <c r="J66" s="224"/>
      <c r="K66" s="224"/>
      <c r="L66" s="224"/>
      <c r="M66" s="224"/>
      <c r="N66" s="224"/>
      <c r="O66" s="224"/>
      <c r="P66" s="224"/>
      <c r="Q66" s="224"/>
      <c r="R66" s="224"/>
      <c r="S66" s="224"/>
      <c r="T66" s="224"/>
      <c r="U66" s="224"/>
      <c r="V66" s="224"/>
      <c r="W66" s="224"/>
      <c r="X66" s="224"/>
      <c r="Y66" s="224"/>
      <c r="Z66" s="224"/>
    </row>
    <row r="67">
      <c r="A67" s="225"/>
      <c r="B67" s="225"/>
      <c r="C67" s="225"/>
      <c r="D67" s="225"/>
      <c r="E67" s="225"/>
      <c r="F67" s="225"/>
      <c r="G67" s="226" t="str">
        <f>IFERROR(__xludf.DUMMYFUNCTION("""COMPUTED_VALUE"""),"
")</f>
        <v>
</v>
      </c>
      <c r="H67" s="224"/>
      <c r="I67" s="224"/>
      <c r="J67" s="224"/>
      <c r="K67" s="224"/>
      <c r="L67" s="224"/>
      <c r="M67" s="224"/>
      <c r="N67" s="224"/>
      <c r="O67" s="224"/>
      <c r="P67" s="224"/>
      <c r="Q67" s="224"/>
      <c r="R67" s="224"/>
      <c r="S67" s="224"/>
      <c r="T67" s="224"/>
      <c r="U67" s="224"/>
      <c r="V67" s="224"/>
      <c r="W67" s="224"/>
      <c r="X67" s="224"/>
      <c r="Y67" s="224"/>
      <c r="Z67" s="224"/>
    </row>
    <row r="68">
      <c r="A68" s="225"/>
      <c r="B68" s="225"/>
      <c r="C68" s="225"/>
      <c r="D68" s="225"/>
      <c r="E68" s="225"/>
      <c r="F68" s="225"/>
      <c r="G68" s="226" t="str">
        <f>IFERROR(__xludf.DUMMYFUNCTION("""COMPUTED_VALUE"""),"
")</f>
        <v>
</v>
      </c>
      <c r="H68" s="224"/>
      <c r="I68" s="224"/>
      <c r="J68" s="224"/>
      <c r="K68" s="224"/>
      <c r="L68" s="224"/>
      <c r="M68" s="224"/>
      <c r="N68" s="224"/>
      <c r="O68" s="224"/>
      <c r="P68" s="224"/>
      <c r="Q68" s="224"/>
      <c r="R68" s="224"/>
      <c r="S68" s="224"/>
      <c r="T68" s="224"/>
      <c r="U68" s="224"/>
      <c r="V68" s="224"/>
      <c r="W68" s="224"/>
      <c r="X68" s="224"/>
      <c r="Y68" s="224"/>
      <c r="Z68" s="224"/>
    </row>
    <row r="69">
      <c r="A69" s="225"/>
      <c r="B69" s="225"/>
      <c r="C69" s="225"/>
      <c r="D69" s="225"/>
      <c r="E69" s="225"/>
      <c r="F69" s="225"/>
      <c r="G69" s="226" t="str">
        <f>IFERROR(__xludf.DUMMYFUNCTION("""COMPUTED_VALUE"""),"
")</f>
        <v>
</v>
      </c>
      <c r="H69" s="224"/>
      <c r="I69" s="224"/>
      <c r="J69" s="224"/>
      <c r="K69" s="224"/>
      <c r="L69" s="224"/>
      <c r="M69" s="224"/>
      <c r="N69" s="224"/>
      <c r="O69" s="224"/>
      <c r="P69" s="224"/>
      <c r="Q69" s="224"/>
      <c r="R69" s="224"/>
      <c r="S69" s="224"/>
      <c r="T69" s="224"/>
      <c r="U69" s="224"/>
      <c r="V69" s="224"/>
      <c r="W69" s="224"/>
      <c r="X69" s="224"/>
      <c r="Y69" s="224"/>
      <c r="Z69" s="224"/>
    </row>
    <row r="70">
      <c r="A70" s="225"/>
      <c r="B70" s="225"/>
      <c r="C70" s="225"/>
      <c r="D70" s="225"/>
      <c r="E70" s="225"/>
      <c r="F70" s="225"/>
      <c r="G70" s="226" t="str">
        <f>IFERROR(__xludf.DUMMYFUNCTION("""COMPUTED_VALUE"""),"
")</f>
        <v>
</v>
      </c>
      <c r="H70" s="224"/>
      <c r="I70" s="224"/>
      <c r="J70" s="224"/>
      <c r="K70" s="224"/>
      <c r="L70" s="224"/>
      <c r="M70" s="224"/>
      <c r="N70" s="224"/>
      <c r="O70" s="224"/>
      <c r="P70" s="224"/>
      <c r="Q70" s="224"/>
      <c r="R70" s="224"/>
      <c r="S70" s="224"/>
      <c r="T70" s="224"/>
      <c r="U70" s="224"/>
      <c r="V70" s="224"/>
      <c r="W70" s="224"/>
      <c r="X70" s="224"/>
      <c r="Y70" s="224"/>
      <c r="Z70" s="224"/>
    </row>
    <row r="71">
      <c r="A71" s="225"/>
      <c r="B71" s="225"/>
      <c r="C71" s="225"/>
      <c r="D71" s="225"/>
      <c r="E71" s="225"/>
      <c r="F71" s="225"/>
      <c r="G71" s="226" t="str">
        <f>IFERROR(__xludf.DUMMYFUNCTION("""COMPUTED_VALUE"""),"
")</f>
        <v>
</v>
      </c>
      <c r="H71" s="224"/>
      <c r="I71" s="224"/>
      <c r="J71" s="224"/>
      <c r="K71" s="224"/>
      <c r="L71" s="224"/>
      <c r="M71" s="224"/>
      <c r="N71" s="224"/>
      <c r="O71" s="224"/>
      <c r="P71" s="224"/>
      <c r="Q71" s="224"/>
      <c r="R71" s="224"/>
      <c r="S71" s="224"/>
      <c r="T71" s="224"/>
      <c r="U71" s="224"/>
      <c r="V71" s="224"/>
      <c r="W71" s="224"/>
      <c r="X71" s="224"/>
      <c r="Y71" s="224"/>
      <c r="Z71" s="224"/>
    </row>
    <row r="72">
      <c r="A72" s="225"/>
      <c r="B72" s="225"/>
      <c r="C72" s="225"/>
      <c r="D72" s="225"/>
      <c r="E72" s="225"/>
      <c r="F72" s="225"/>
      <c r="G72" s="226" t="str">
        <f>IFERROR(__xludf.DUMMYFUNCTION("""COMPUTED_VALUE"""),"
")</f>
        <v>
</v>
      </c>
      <c r="H72" s="224"/>
      <c r="I72" s="224"/>
      <c r="J72" s="224"/>
      <c r="K72" s="224"/>
      <c r="L72" s="224"/>
      <c r="M72" s="224"/>
      <c r="N72" s="224"/>
      <c r="O72" s="224"/>
      <c r="P72" s="224"/>
      <c r="Q72" s="224"/>
      <c r="R72" s="224"/>
      <c r="S72" s="224"/>
      <c r="T72" s="224"/>
      <c r="U72" s="224"/>
      <c r="V72" s="224"/>
      <c r="W72" s="224"/>
      <c r="X72" s="224"/>
      <c r="Y72" s="224"/>
      <c r="Z72" s="224"/>
    </row>
    <row r="73">
      <c r="A73" s="225"/>
      <c r="B73" s="225"/>
      <c r="C73" s="225"/>
      <c r="D73" s="225"/>
      <c r="E73" s="225"/>
      <c r="F73" s="225"/>
      <c r="G73" s="226" t="str">
        <f>IFERROR(__xludf.DUMMYFUNCTION("""COMPUTED_VALUE"""),"
")</f>
        <v>
</v>
      </c>
      <c r="H73" s="224"/>
      <c r="I73" s="224"/>
      <c r="J73" s="224"/>
      <c r="K73" s="224"/>
      <c r="L73" s="224"/>
      <c r="M73" s="224"/>
      <c r="N73" s="224"/>
      <c r="O73" s="224"/>
      <c r="P73" s="224"/>
      <c r="Q73" s="224"/>
      <c r="R73" s="224"/>
      <c r="S73" s="224"/>
      <c r="T73" s="224"/>
      <c r="U73" s="224"/>
      <c r="V73" s="224"/>
      <c r="W73" s="224"/>
      <c r="X73" s="224"/>
      <c r="Y73" s="224"/>
      <c r="Z73" s="224"/>
    </row>
    <row r="74">
      <c r="A74" s="225"/>
      <c r="B74" s="225"/>
      <c r="C74" s="225"/>
      <c r="D74" s="225"/>
      <c r="E74" s="225"/>
      <c r="F74" s="225"/>
      <c r="G74" s="226" t="str">
        <f>IFERROR(__xludf.DUMMYFUNCTION("""COMPUTED_VALUE"""),"
")</f>
        <v>
</v>
      </c>
      <c r="H74" s="224"/>
      <c r="I74" s="224"/>
      <c r="J74" s="224"/>
      <c r="K74" s="224"/>
      <c r="L74" s="224"/>
      <c r="M74" s="224"/>
      <c r="N74" s="224"/>
      <c r="O74" s="224"/>
      <c r="P74" s="224"/>
      <c r="Q74" s="224"/>
      <c r="R74" s="224"/>
      <c r="S74" s="224"/>
      <c r="T74" s="224"/>
      <c r="U74" s="224"/>
      <c r="V74" s="224"/>
      <c r="W74" s="224"/>
      <c r="X74" s="224"/>
      <c r="Y74" s="224"/>
      <c r="Z74" s="224"/>
    </row>
    <row r="75">
      <c r="A75" s="225"/>
      <c r="B75" s="225"/>
      <c r="C75" s="225"/>
      <c r="D75" s="225"/>
      <c r="E75" s="225"/>
      <c r="F75" s="225"/>
      <c r="G75" s="226" t="str">
        <f>IFERROR(__xludf.DUMMYFUNCTION("""COMPUTED_VALUE"""),"
")</f>
        <v>
</v>
      </c>
      <c r="H75" s="224"/>
      <c r="I75" s="224"/>
      <c r="J75" s="224"/>
      <c r="K75" s="224"/>
      <c r="L75" s="224"/>
      <c r="M75" s="224"/>
      <c r="N75" s="224"/>
      <c r="O75" s="224"/>
      <c r="P75" s="224"/>
      <c r="Q75" s="224"/>
      <c r="R75" s="224"/>
      <c r="S75" s="224"/>
      <c r="T75" s="224"/>
      <c r="U75" s="224"/>
      <c r="V75" s="224"/>
      <c r="W75" s="224"/>
      <c r="X75" s="224"/>
      <c r="Y75" s="224"/>
      <c r="Z75" s="224"/>
    </row>
    <row r="76">
      <c r="A76" s="225"/>
      <c r="B76" s="225"/>
      <c r="C76" s="225"/>
      <c r="D76" s="225"/>
      <c r="E76" s="225"/>
      <c r="F76" s="225"/>
      <c r="G76" s="226" t="str">
        <f>IFERROR(__xludf.DUMMYFUNCTION("""COMPUTED_VALUE"""),"
")</f>
        <v>
</v>
      </c>
      <c r="H76" s="224"/>
      <c r="I76" s="224"/>
      <c r="J76" s="224"/>
      <c r="K76" s="224"/>
      <c r="L76" s="224"/>
      <c r="M76" s="224"/>
      <c r="N76" s="224"/>
      <c r="O76" s="224"/>
      <c r="P76" s="224"/>
      <c r="Q76" s="224"/>
      <c r="R76" s="224"/>
      <c r="S76" s="224"/>
      <c r="T76" s="224"/>
      <c r="U76" s="224"/>
      <c r="V76" s="224"/>
      <c r="W76" s="224"/>
      <c r="X76" s="224"/>
      <c r="Y76" s="224"/>
      <c r="Z76" s="224"/>
    </row>
    <row r="77">
      <c r="A77" s="225"/>
      <c r="B77" s="225"/>
      <c r="C77" s="225"/>
      <c r="D77" s="225"/>
      <c r="E77" s="225"/>
      <c r="F77" s="225"/>
      <c r="G77" s="226" t="str">
        <f>IFERROR(__xludf.DUMMYFUNCTION("""COMPUTED_VALUE"""),"
")</f>
        <v>
</v>
      </c>
      <c r="H77" s="224"/>
      <c r="I77" s="224"/>
      <c r="J77" s="224"/>
      <c r="K77" s="224"/>
      <c r="L77" s="224"/>
      <c r="M77" s="224"/>
      <c r="N77" s="224"/>
      <c r="O77" s="224"/>
      <c r="P77" s="224"/>
      <c r="Q77" s="224"/>
      <c r="R77" s="224"/>
      <c r="S77" s="224"/>
      <c r="T77" s="224"/>
      <c r="U77" s="224"/>
      <c r="V77" s="224"/>
      <c r="W77" s="224"/>
      <c r="X77" s="224"/>
      <c r="Y77" s="224"/>
      <c r="Z77" s="224"/>
    </row>
    <row r="78">
      <c r="A78" s="225"/>
      <c r="B78" s="225"/>
      <c r="C78" s="225"/>
      <c r="D78" s="225"/>
      <c r="E78" s="225"/>
      <c r="F78" s="225"/>
      <c r="G78" s="226" t="str">
        <f>IFERROR(__xludf.DUMMYFUNCTION("""COMPUTED_VALUE"""),"
")</f>
        <v>
</v>
      </c>
      <c r="H78" s="224"/>
      <c r="I78" s="224"/>
      <c r="J78" s="224"/>
      <c r="K78" s="224"/>
      <c r="L78" s="224"/>
      <c r="M78" s="224"/>
      <c r="N78" s="224"/>
      <c r="O78" s="224"/>
      <c r="P78" s="224"/>
      <c r="Q78" s="224"/>
      <c r="R78" s="224"/>
      <c r="S78" s="224"/>
      <c r="T78" s="224"/>
      <c r="U78" s="224"/>
      <c r="V78" s="224"/>
      <c r="W78" s="224"/>
      <c r="X78" s="224"/>
      <c r="Y78" s="224"/>
      <c r="Z78" s="224"/>
    </row>
    <row r="79">
      <c r="A79" s="225"/>
      <c r="B79" s="225"/>
      <c r="C79" s="225"/>
      <c r="D79" s="225"/>
      <c r="E79" s="225"/>
      <c r="F79" s="225"/>
      <c r="G79" s="226" t="str">
        <f>IFERROR(__xludf.DUMMYFUNCTION("""COMPUTED_VALUE"""),"
")</f>
        <v>
</v>
      </c>
      <c r="H79" s="224"/>
      <c r="I79" s="224"/>
      <c r="J79" s="224"/>
      <c r="K79" s="224"/>
      <c r="L79" s="224"/>
      <c r="M79" s="224"/>
      <c r="N79" s="224"/>
      <c r="O79" s="224"/>
      <c r="P79" s="224"/>
      <c r="Q79" s="224"/>
      <c r="R79" s="224"/>
      <c r="S79" s="224"/>
      <c r="T79" s="224"/>
      <c r="U79" s="224"/>
      <c r="V79" s="224"/>
      <c r="W79" s="224"/>
      <c r="X79" s="224"/>
      <c r="Y79" s="224"/>
      <c r="Z79" s="224"/>
    </row>
    <row r="80">
      <c r="A80" s="225"/>
      <c r="B80" s="225"/>
      <c r="C80" s="225"/>
      <c r="D80" s="225"/>
      <c r="E80" s="225"/>
      <c r="F80" s="225"/>
      <c r="G80" s="226" t="str">
        <f>IFERROR(__xludf.DUMMYFUNCTION("""COMPUTED_VALUE"""),"
")</f>
        <v>
</v>
      </c>
      <c r="H80" s="224"/>
      <c r="I80" s="224"/>
      <c r="J80" s="224"/>
      <c r="K80" s="224"/>
      <c r="L80" s="224"/>
      <c r="M80" s="224"/>
      <c r="N80" s="224"/>
      <c r="O80" s="224"/>
      <c r="P80" s="224"/>
      <c r="Q80" s="224"/>
      <c r="R80" s="224"/>
      <c r="S80" s="224"/>
      <c r="T80" s="224"/>
      <c r="U80" s="224"/>
      <c r="V80" s="224"/>
      <c r="W80" s="224"/>
      <c r="X80" s="224"/>
      <c r="Y80" s="224"/>
      <c r="Z80" s="224"/>
    </row>
    <row r="81">
      <c r="A81" s="225"/>
      <c r="B81" s="225"/>
      <c r="C81" s="225"/>
      <c r="D81" s="225"/>
      <c r="E81" s="225"/>
      <c r="F81" s="225"/>
      <c r="G81" s="226" t="str">
        <f>IFERROR(__xludf.DUMMYFUNCTION("""COMPUTED_VALUE"""),"
")</f>
        <v>
</v>
      </c>
      <c r="H81" s="224"/>
      <c r="I81" s="224"/>
      <c r="J81" s="224"/>
      <c r="K81" s="224"/>
      <c r="L81" s="224"/>
      <c r="M81" s="224"/>
      <c r="N81" s="224"/>
      <c r="O81" s="224"/>
      <c r="P81" s="224"/>
      <c r="Q81" s="224"/>
      <c r="R81" s="224"/>
      <c r="S81" s="224"/>
      <c r="T81" s="224"/>
      <c r="U81" s="224"/>
      <c r="V81" s="224"/>
      <c r="W81" s="224"/>
      <c r="X81" s="224"/>
      <c r="Y81" s="224"/>
      <c r="Z81" s="224"/>
    </row>
    <row r="82">
      <c r="A82" s="225"/>
      <c r="B82" s="225"/>
      <c r="C82" s="225"/>
      <c r="D82" s="225"/>
      <c r="E82" s="225"/>
      <c r="F82" s="225"/>
      <c r="G82" s="226" t="str">
        <f>IFERROR(__xludf.DUMMYFUNCTION("""COMPUTED_VALUE"""),"
")</f>
        <v>
</v>
      </c>
      <c r="H82" s="224"/>
      <c r="I82" s="224"/>
      <c r="J82" s="224"/>
      <c r="K82" s="224"/>
      <c r="L82" s="224"/>
      <c r="M82" s="224"/>
      <c r="N82" s="224"/>
      <c r="O82" s="224"/>
      <c r="P82" s="224"/>
      <c r="Q82" s="224"/>
      <c r="R82" s="224"/>
      <c r="S82" s="224"/>
      <c r="T82" s="224"/>
      <c r="U82" s="224"/>
      <c r="V82" s="224"/>
      <c r="W82" s="224"/>
      <c r="X82" s="224"/>
      <c r="Y82" s="224"/>
      <c r="Z82" s="224"/>
    </row>
    <row r="83">
      <c r="A83" s="225"/>
      <c r="B83" s="225"/>
      <c r="C83" s="225"/>
      <c r="D83" s="225"/>
      <c r="E83" s="225"/>
      <c r="F83" s="225"/>
      <c r="G83" s="226" t="str">
        <f>IFERROR(__xludf.DUMMYFUNCTION("""COMPUTED_VALUE"""),"
")</f>
        <v>
</v>
      </c>
      <c r="H83" s="224"/>
      <c r="I83" s="224"/>
      <c r="J83" s="224"/>
      <c r="K83" s="224"/>
      <c r="L83" s="224"/>
      <c r="M83" s="224"/>
      <c r="N83" s="224"/>
      <c r="O83" s="224"/>
      <c r="P83" s="224"/>
      <c r="Q83" s="224"/>
      <c r="R83" s="224"/>
      <c r="S83" s="224"/>
      <c r="T83" s="224"/>
      <c r="U83" s="224"/>
      <c r="V83" s="224"/>
      <c r="W83" s="224"/>
      <c r="X83" s="224"/>
      <c r="Y83" s="224"/>
      <c r="Z83" s="224"/>
    </row>
    <row r="84">
      <c r="A84" s="225"/>
      <c r="B84" s="225"/>
      <c r="C84" s="225"/>
      <c r="D84" s="225"/>
      <c r="E84" s="225"/>
      <c r="F84" s="225"/>
      <c r="G84" s="226" t="str">
        <f>IFERROR(__xludf.DUMMYFUNCTION("""COMPUTED_VALUE"""),"
")</f>
        <v>
</v>
      </c>
      <c r="H84" s="224"/>
      <c r="I84" s="224"/>
      <c r="J84" s="224"/>
      <c r="K84" s="224"/>
      <c r="L84" s="224"/>
      <c r="M84" s="224"/>
      <c r="N84" s="224"/>
      <c r="O84" s="224"/>
      <c r="P84" s="224"/>
      <c r="Q84" s="224"/>
      <c r="R84" s="224"/>
      <c r="S84" s="224"/>
      <c r="T84" s="224"/>
      <c r="U84" s="224"/>
      <c r="V84" s="224"/>
      <c r="W84" s="224"/>
      <c r="X84" s="224"/>
      <c r="Y84" s="224"/>
      <c r="Z84" s="224"/>
    </row>
    <row r="85">
      <c r="A85" s="225"/>
      <c r="B85" s="225"/>
      <c r="C85" s="225"/>
      <c r="D85" s="225"/>
      <c r="E85" s="225"/>
      <c r="F85" s="225"/>
      <c r="G85" s="226" t="str">
        <f>IFERROR(__xludf.DUMMYFUNCTION("""COMPUTED_VALUE"""),"
")</f>
        <v>
</v>
      </c>
      <c r="H85" s="224"/>
      <c r="I85" s="224"/>
      <c r="J85" s="224"/>
      <c r="K85" s="224"/>
      <c r="L85" s="224"/>
      <c r="M85" s="224"/>
      <c r="N85" s="224"/>
      <c r="O85" s="224"/>
      <c r="P85" s="224"/>
      <c r="Q85" s="224"/>
      <c r="R85" s="224"/>
      <c r="S85" s="224"/>
      <c r="T85" s="224"/>
      <c r="U85" s="224"/>
      <c r="V85" s="224"/>
      <c r="W85" s="224"/>
      <c r="X85" s="224"/>
      <c r="Y85" s="224"/>
      <c r="Z85" s="224"/>
    </row>
    <row r="86">
      <c r="A86" s="225"/>
      <c r="B86" s="225"/>
      <c r="C86" s="225"/>
      <c r="D86" s="225"/>
      <c r="E86" s="225"/>
      <c r="F86" s="225"/>
      <c r="G86" s="226" t="str">
        <f>IFERROR(__xludf.DUMMYFUNCTION("""COMPUTED_VALUE"""),"
")</f>
        <v>
</v>
      </c>
      <c r="H86" s="224"/>
      <c r="I86" s="224"/>
      <c r="J86" s="224"/>
      <c r="K86" s="224"/>
      <c r="L86" s="224"/>
      <c r="M86" s="224"/>
      <c r="N86" s="224"/>
      <c r="O86" s="224"/>
      <c r="P86" s="224"/>
      <c r="Q86" s="224"/>
      <c r="R86" s="224"/>
      <c r="S86" s="224"/>
      <c r="T86" s="224"/>
      <c r="U86" s="224"/>
      <c r="V86" s="224"/>
      <c r="W86" s="224"/>
      <c r="X86" s="224"/>
      <c r="Y86" s="224"/>
      <c r="Z86" s="224"/>
    </row>
    <row r="87">
      <c r="A87" s="225"/>
      <c r="B87" s="225"/>
      <c r="C87" s="225"/>
      <c r="D87" s="225"/>
      <c r="E87" s="225"/>
      <c r="F87" s="225"/>
      <c r="G87" s="226" t="str">
        <f>IFERROR(__xludf.DUMMYFUNCTION("""COMPUTED_VALUE"""),"
")</f>
        <v>
</v>
      </c>
      <c r="H87" s="224"/>
      <c r="I87" s="224"/>
      <c r="J87" s="224"/>
      <c r="K87" s="224"/>
      <c r="L87" s="224"/>
      <c r="M87" s="224"/>
      <c r="N87" s="224"/>
      <c r="O87" s="224"/>
      <c r="P87" s="224"/>
      <c r="Q87" s="224"/>
      <c r="R87" s="224"/>
      <c r="S87" s="224"/>
      <c r="T87" s="224"/>
      <c r="U87" s="224"/>
      <c r="V87" s="224"/>
      <c r="W87" s="224"/>
      <c r="X87" s="224"/>
      <c r="Y87" s="224"/>
      <c r="Z87" s="224"/>
    </row>
    <row r="88">
      <c r="A88" s="225"/>
      <c r="B88" s="225"/>
      <c r="C88" s="225"/>
      <c r="D88" s="225"/>
      <c r="E88" s="225"/>
      <c r="F88" s="225"/>
      <c r="G88" s="226" t="str">
        <f>IFERROR(__xludf.DUMMYFUNCTION("""COMPUTED_VALUE"""),"
")</f>
        <v>
</v>
      </c>
      <c r="H88" s="224"/>
      <c r="I88" s="224"/>
      <c r="J88" s="224"/>
      <c r="K88" s="224"/>
      <c r="L88" s="224"/>
      <c r="M88" s="224"/>
      <c r="N88" s="224"/>
      <c r="O88" s="224"/>
      <c r="P88" s="224"/>
      <c r="Q88" s="224"/>
      <c r="R88" s="224"/>
      <c r="S88" s="224"/>
      <c r="T88" s="224"/>
      <c r="U88" s="224"/>
      <c r="V88" s="224"/>
      <c r="W88" s="224"/>
      <c r="X88" s="224"/>
      <c r="Y88" s="224"/>
      <c r="Z88" s="224"/>
    </row>
    <row r="89">
      <c r="A89" s="225"/>
      <c r="B89" s="225"/>
      <c r="C89" s="225"/>
      <c r="D89" s="225"/>
      <c r="E89" s="225"/>
      <c r="F89" s="225"/>
      <c r="G89" s="226" t="str">
        <f>IFERROR(__xludf.DUMMYFUNCTION("""COMPUTED_VALUE"""),"
")</f>
        <v>
</v>
      </c>
      <c r="H89" s="224"/>
      <c r="I89" s="224"/>
      <c r="J89" s="224"/>
      <c r="K89" s="224"/>
      <c r="L89" s="224"/>
      <c r="M89" s="224"/>
      <c r="N89" s="224"/>
      <c r="O89" s="224"/>
      <c r="P89" s="224"/>
      <c r="Q89" s="224"/>
      <c r="R89" s="224"/>
      <c r="S89" s="224"/>
      <c r="T89" s="224"/>
      <c r="U89" s="224"/>
      <c r="V89" s="224"/>
      <c r="W89" s="224"/>
      <c r="X89" s="224"/>
      <c r="Y89" s="224"/>
      <c r="Z89" s="224"/>
    </row>
    <row r="90">
      <c r="A90" s="225"/>
      <c r="B90" s="225"/>
      <c r="C90" s="225"/>
      <c r="D90" s="225"/>
      <c r="E90" s="225"/>
      <c r="F90" s="225"/>
      <c r="G90" s="226" t="str">
        <f>IFERROR(__xludf.DUMMYFUNCTION("""COMPUTED_VALUE"""),"
")</f>
        <v>
</v>
      </c>
      <c r="H90" s="224"/>
      <c r="I90" s="224"/>
      <c r="J90" s="224"/>
      <c r="K90" s="224"/>
      <c r="L90" s="224"/>
      <c r="M90" s="224"/>
      <c r="N90" s="224"/>
      <c r="O90" s="224"/>
      <c r="P90" s="224"/>
      <c r="Q90" s="224"/>
      <c r="R90" s="224"/>
      <c r="S90" s="224"/>
      <c r="T90" s="224"/>
      <c r="U90" s="224"/>
      <c r="V90" s="224"/>
      <c r="W90" s="224"/>
      <c r="X90" s="224"/>
      <c r="Y90" s="224"/>
      <c r="Z90" s="224"/>
    </row>
    <row r="91">
      <c r="A91" s="225"/>
      <c r="B91" s="225"/>
      <c r="C91" s="225"/>
      <c r="D91" s="225"/>
      <c r="E91" s="225"/>
      <c r="F91" s="225"/>
      <c r="G91" s="226" t="str">
        <f>IFERROR(__xludf.DUMMYFUNCTION("""COMPUTED_VALUE"""),"
")</f>
        <v>
</v>
      </c>
      <c r="H91" s="224"/>
      <c r="I91" s="224"/>
      <c r="J91" s="224"/>
      <c r="K91" s="224"/>
      <c r="L91" s="224"/>
      <c r="M91" s="224"/>
      <c r="N91" s="224"/>
      <c r="O91" s="224"/>
      <c r="P91" s="224"/>
      <c r="Q91" s="224"/>
      <c r="R91" s="224"/>
      <c r="S91" s="224"/>
      <c r="T91" s="224"/>
      <c r="U91" s="224"/>
      <c r="V91" s="224"/>
      <c r="W91" s="224"/>
      <c r="X91" s="224"/>
      <c r="Y91" s="224"/>
      <c r="Z91" s="224"/>
    </row>
    <row r="92">
      <c r="A92" s="225"/>
      <c r="B92" s="225"/>
      <c r="C92" s="225"/>
      <c r="D92" s="225"/>
      <c r="E92" s="225"/>
      <c r="F92" s="225"/>
      <c r="G92" s="226" t="str">
        <f>IFERROR(__xludf.DUMMYFUNCTION("""COMPUTED_VALUE"""),"
")</f>
        <v>
</v>
      </c>
      <c r="H92" s="224"/>
      <c r="I92" s="224"/>
      <c r="J92" s="224"/>
      <c r="K92" s="224"/>
      <c r="L92" s="224"/>
      <c r="M92" s="224"/>
      <c r="N92" s="224"/>
      <c r="O92" s="224"/>
      <c r="P92" s="224"/>
      <c r="Q92" s="224"/>
      <c r="R92" s="224"/>
      <c r="S92" s="224"/>
      <c r="T92" s="224"/>
      <c r="U92" s="224"/>
      <c r="V92" s="224"/>
      <c r="W92" s="224"/>
      <c r="X92" s="224"/>
      <c r="Y92" s="224"/>
      <c r="Z92" s="224"/>
    </row>
    <row r="93">
      <c r="A93" s="225"/>
      <c r="B93" s="225"/>
      <c r="C93" s="225"/>
      <c r="D93" s="225"/>
      <c r="E93" s="225"/>
      <c r="F93" s="225"/>
      <c r="G93" s="226" t="str">
        <f>IFERROR(__xludf.DUMMYFUNCTION("""COMPUTED_VALUE"""),"
")</f>
        <v>
</v>
      </c>
      <c r="H93" s="224"/>
      <c r="I93" s="224"/>
      <c r="J93" s="224"/>
      <c r="K93" s="224"/>
      <c r="L93" s="224"/>
      <c r="M93" s="224"/>
      <c r="N93" s="224"/>
      <c r="O93" s="224"/>
      <c r="P93" s="224"/>
      <c r="Q93" s="224"/>
      <c r="R93" s="224"/>
      <c r="S93" s="224"/>
      <c r="T93" s="224"/>
      <c r="U93" s="224"/>
      <c r="V93" s="224"/>
      <c r="W93" s="224"/>
      <c r="X93" s="224"/>
      <c r="Y93" s="224"/>
      <c r="Z93" s="224"/>
    </row>
    <row r="94">
      <c r="A94" s="225"/>
      <c r="B94" s="225"/>
      <c r="C94" s="225"/>
      <c r="D94" s="225"/>
      <c r="E94" s="225"/>
      <c r="F94" s="225"/>
      <c r="G94" s="226" t="str">
        <f>IFERROR(__xludf.DUMMYFUNCTION("""COMPUTED_VALUE"""),"
")</f>
        <v>
</v>
      </c>
      <c r="H94" s="224"/>
      <c r="I94" s="224"/>
      <c r="J94" s="224"/>
      <c r="K94" s="224"/>
      <c r="L94" s="224"/>
      <c r="M94" s="224"/>
      <c r="N94" s="224"/>
      <c r="O94" s="224"/>
      <c r="P94" s="224"/>
      <c r="Q94" s="224"/>
      <c r="R94" s="224"/>
      <c r="S94" s="224"/>
      <c r="T94" s="224"/>
      <c r="U94" s="224"/>
      <c r="V94" s="224"/>
      <c r="W94" s="224"/>
      <c r="X94" s="224"/>
      <c r="Y94" s="224"/>
      <c r="Z94" s="224"/>
    </row>
    <row r="95">
      <c r="A95" s="225"/>
      <c r="B95" s="225"/>
      <c r="C95" s="225"/>
      <c r="D95" s="225"/>
      <c r="E95" s="225"/>
      <c r="F95" s="225"/>
      <c r="G95" s="226" t="str">
        <f>IFERROR(__xludf.DUMMYFUNCTION("""COMPUTED_VALUE"""),"
")</f>
        <v>
</v>
      </c>
      <c r="H95" s="224"/>
      <c r="I95" s="224"/>
      <c r="J95" s="224"/>
      <c r="K95" s="224"/>
      <c r="L95" s="224"/>
      <c r="M95" s="224"/>
      <c r="N95" s="224"/>
      <c r="O95" s="224"/>
      <c r="P95" s="224"/>
      <c r="Q95" s="224"/>
      <c r="R95" s="224"/>
      <c r="S95" s="224"/>
      <c r="T95" s="224"/>
      <c r="U95" s="224"/>
      <c r="V95" s="224"/>
      <c r="W95" s="224"/>
      <c r="X95" s="224"/>
      <c r="Y95" s="224"/>
      <c r="Z95" s="224"/>
    </row>
    <row r="96">
      <c r="A96" s="225"/>
      <c r="B96" s="225"/>
      <c r="C96" s="225"/>
      <c r="D96" s="225"/>
      <c r="E96" s="225"/>
      <c r="F96" s="225"/>
      <c r="G96" s="226" t="str">
        <f>IFERROR(__xludf.DUMMYFUNCTION("""COMPUTED_VALUE"""),"
")</f>
        <v>
</v>
      </c>
      <c r="H96" s="224"/>
      <c r="I96" s="224"/>
      <c r="J96" s="224"/>
      <c r="K96" s="224"/>
      <c r="L96" s="224"/>
      <c r="M96" s="224"/>
      <c r="N96" s="224"/>
      <c r="O96" s="224"/>
      <c r="P96" s="224"/>
      <c r="Q96" s="224"/>
      <c r="R96" s="224"/>
      <c r="S96" s="224"/>
      <c r="T96" s="224"/>
      <c r="U96" s="224"/>
      <c r="V96" s="224"/>
      <c r="W96" s="224"/>
      <c r="X96" s="224"/>
      <c r="Y96" s="224"/>
      <c r="Z96" s="224"/>
    </row>
    <row r="97">
      <c r="A97" s="225"/>
      <c r="B97" s="225"/>
      <c r="C97" s="225"/>
      <c r="D97" s="225"/>
      <c r="E97" s="225"/>
      <c r="F97" s="225"/>
      <c r="G97" s="226" t="str">
        <f>IFERROR(__xludf.DUMMYFUNCTION("""COMPUTED_VALUE"""),"
")</f>
        <v>
</v>
      </c>
      <c r="H97" s="224"/>
      <c r="I97" s="224"/>
      <c r="J97" s="224"/>
      <c r="K97" s="224"/>
      <c r="L97" s="224"/>
      <c r="M97" s="224"/>
      <c r="N97" s="224"/>
      <c r="O97" s="224"/>
      <c r="P97" s="224"/>
      <c r="Q97" s="224"/>
      <c r="R97" s="224"/>
      <c r="S97" s="224"/>
      <c r="T97" s="224"/>
      <c r="U97" s="224"/>
      <c r="V97" s="224"/>
      <c r="W97" s="224"/>
      <c r="X97" s="224"/>
      <c r="Y97" s="224"/>
      <c r="Z97" s="224"/>
    </row>
    <row r="98">
      <c r="A98" s="225"/>
      <c r="B98" s="225"/>
      <c r="C98" s="225"/>
      <c r="D98" s="225"/>
      <c r="E98" s="225"/>
      <c r="F98" s="225"/>
      <c r="G98" s="226" t="str">
        <f>IFERROR(__xludf.DUMMYFUNCTION("""COMPUTED_VALUE"""),"
")</f>
        <v>
</v>
      </c>
      <c r="H98" s="224"/>
      <c r="I98" s="224"/>
      <c r="J98" s="224"/>
      <c r="K98" s="224"/>
      <c r="L98" s="224"/>
      <c r="M98" s="224"/>
      <c r="N98" s="224"/>
      <c r="O98" s="224"/>
      <c r="P98" s="224"/>
      <c r="Q98" s="224"/>
      <c r="R98" s="224"/>
      <c r="S98" s="224"/>
      <c r="T98" s="224"/>
      <c r="U98" s="224"/>
      <c r="V98" s="224"/>
      <c r="W98" s="224"/>
      <c r="X98" s="224"/>
      <c r="Y98" s="224"/>
      <c r="Z98" s="224"/>
    </row>
    <row r="99">
      <c r="A99" s="225"/>
      <c r="B99" s="225"/>
      <c r="C99" s="225"/>
      <c r="D99" s="225"/>
      <c r="E99" s="225"/>
      <c r="F99" s="225"/>
      <c r="G99" s="226" t="str">
        <f>IFERROR(__xludf.DUMMYFUNCTION("""COMPUTED_VALUE"""),"
")</f>
        <v>
</v>
      </c>
      <c r="H99" s="224"/>
      <c r="I99" s="224"/>
      <c r="J99" s="224"/>
      <c r="K99" s="224"/>
      <c r="L99" s="224"/>
      <c r="M99" s="224"/>
      <c r="N99" s="224"/>
      <c r="O99" s="224"/>
      <c r="P99" s="224"/>
      <c r="Q99" s="224"/>
      <c r="R99" s="224"/>
      <c r="S99" s="224"/>
      <c r="T99" s="224"/>
      <c r="U99" s="224"/>
      <c r="V99" s="224"/>
      <c r="W99" s="224"/>
      <c r="X99" s="224"/>
      <c r="Y99" s="224"/>
      <c r="Z99" s="224"/>
    </row>
    <row r="100">
      <c r="A100" s="225"/>
      <c r="B100" s="225"/>
      <c r="C100" s="225"/>
      <c r="D100" s="225"/>
      <c r="E100" s="225"/>
      <c r="F100" s="225"/>
      <c r="G100" s="226" t="str">
        <f>IFERROR(__xludf.DUMMYFUNCTION("""COMPUTED_VALUE"""),"
")</f>
        <v>
</v>
      </c>
      <c r="H100" s="224"/>
      <c r="I100" s="224"/>
      <c r="J100" s="224"/>
      <c r="K100" s="224"/>
      <c r="L100" s="224"/>
      <c r="M100" s="224"/>
      <c r="N100" s="224"/>
      <c r="O100" s="224"/>
      <c r="P100" s="224"/>
      <c r="Q100" s="224"/>
      <c r="R100" s="224"/>
      <c r="S100" s="224"/>
      <c r="T100" s="224"/>
      <c r="U100" s="224"/>
      <c r="V100" s="224"/>
      <c r="W100" s="224"/>
      <c r="X100" s="224"/>
      <c r="Y100" s="224"/>
      <c r="Z100" s="224"/>
    </row>
    <row r="101">
      <c r="A101" s="227"/>
      <c r="B101" s="227"/>
      <c r="C101" s="227"/>
      <c r="D101" s="227"/>
      <c r="E101" s="227"/>
      <c r="F101" s="227"/>
      <c r="G101" s="228" t="str">
        <f>IFERROR(__xludf.DUMMYFUNCTION("""COMPUTED_VALUE"""),"
")</f>
        <v>
</v>
      </c>
      <c r="H101" s="229"/>
      <c r="I101" s="229"/>
      <c r="J101" s="229"/>
      <c r="K101" s="229"/>
      <c r="L101" s="229"/>
      <c r="M101" s="229"/>
      <c r="N101" s="229"/>
      <c r="O101" s="229"/>
      <c r="P101" s="229"/>
      <c r="Q101" s="229"/>
      <c r="R101" s="229"/>
      <c r="S101" s="229"/>
      <c r="T101" s="229"/>
      <c r="U101" s="229"/>
      <c r="V101" s="229"/>
      <c r="W101" s="229"/>
      <c r="X101" s="229"/>
      <c r="Y101" s="229"/>
      <c r="Z101" s="229"/>
    </row>
    <row r="102">
      <c r="A102" s="225" t="str">
        <f>IFERROR(__xludf.DUMMYFUNCTION("IMPORTRANGE(""https://docs.google.com/spreadsheets/d/1OWqz0Kj63DvuK16jiKGSn_Hv_N2mbyV2QAdHjKdcrpw"", ""'Abilities'!$A$2:$G"")"),"Abominable")</f>
        <v>Abominable</v>
      </c>
      <c r="B102" s="225" t="str">
        <f>IFERROR(__xludf.DUMMYFUNCTION("""COMPUTED_VALUE"""),"Static")</f>
        <v>Static</v>
      </c>
      <c r="C102" s="225" t="str">
        <f>IFERROR(__xludf.DUMMYFUNCTION("""COMPUTED_VALUE"""),"Effect: The user adds +5 Points to their HP Stat in the Extras Column. When the user reaches Level 20 and every interval after that (20, 40, etc) they gain an additional +5. If the user is a Trainer, the Level Intervals are Level 4, 8, 12, 16, then 20. If"&amp;" desired, the user can increase their size to Large.")</f>
        <v>Effect: The user adds +5 Points to their HP Stat in the Extras Column. When the user reaches Level 20 and every interval after that (20, 40, etc) they gain an additional +5. If the user is a Trainer, the Level Intervals are Level 4, 8, 12, 16, then 20. If desired, the user can increase their size to Large.</v>
      </c>
      <c r="D102" s="225"/>
      <c r="E102" s="225"/>
      <c r="F102" s="225" t="str">
        <f>IFERROR(__xludf.DUMMYFUNCTION("""COMPUTED_VALUE"""),"Innate")</f>
        <v>Innate</v>
      </c>
      <c r="G102" s="226" t="str">
        <f>IFERROR(__xludf.DUMMYFUNCTION("""COMPUTED_VALUE"""),"Static
Keywords - Innate
Effect: The user adds +5 Points to their HP Stat in the Extras Column. When the user reaches Level 20 and every interval after that (20, 40, etc) they gain an additional +5. If the user is a Trainer, the Level Intervals are Level "&amp;"4, 8, 12, 16, then 20. If desired, the user can increase their size to Large.")</f>
        <v>Static
Keywords - Innate
Effect: The user adds +5 Points to their HP Stat in the Extras Column. When the user reaches Level 20 and every interval after that (20, 40, etc) they gain an additional +5. If the user is a Trainer, the Level Intervals are Level 4, 8, 12, 16, then 20. If desired, the user can increase their size to Large.</v>
      </c>
      <c r="H102" s="224"/>
      <c r="I102" s="224"/>
      <c r="J102" s="224"/>
      <c r="K102" s="224"/>
      <c r="L102" s="224"/>
      <c r="M102" s="224"/>
      <c r="N102" s="224"/>
      <c r="O102" s="224"/>
      <c r="P102" s="224"/>
      <c r="Q102" s="224"/>
      <c r="R102" s="224"/>
      <c r="S102" s="224"/>
      <c r="T102" s="224"/>
      <c r="U102" s="224"/>
      <c r="V102" s="224"/>
      <c r="W102" s="224"/>
      <c r="X102" s="224"/>
      <c r="Y102" s="224"/>
      <c r="Z102" s="224"/>
    </row>
    <row r="103">
      <c r="A103" s="225" t="str">
        <f>IFERROR(__xludf.DUMMYFUNCTION("""COMPUTED_VALUE"""),"Absorb Force")</f>
        <v>Absorb Force</v>
      </c>
      <c r="B103" s="225" t="str">
        <f>IFERROR(__xludf.DUMMYFUNCTION("""COMPUTED_VALUE"""),"Scene x2 - Reaction")</f>
        <v>Scene x2 - Reaction</v>
      </c>
      <c r="C103" s="225" t="str">
        <f>IFERROR(__xludf.DUMMYFUNCTION("""COMPUTED_VALUE"""),"Effect: Before Damage Calculations, your Temporary Hit Points becomes double its current value. After the Attack resolves, you lose all Temporary Hit Points and become Vulnerable until the end of the Round.
Bonus: Whenever you take Damage from an Attack y"&amp;"ou applied no Temporary Hit Points towards, you may gain a Tick of Temporary Hit points after Damage Resolution.")</f>
        <v>Effect: Before Damage Calculations, your Temporary Hit Points becomes double its current value. After the Attack resolves, you lose all Temporary Hit Points and become Vulnerable until the end of the Round.
Bonus: Whenever you take Damage from an Attack you applied no Temporary Hit Points towards, you may gain a Tick of Temporary Hit points after Damage Resolution.</v>
      </c>
      <c r="D103" s="225" t="str">
        <f>IFERROR(__xludf.DUMMYFUNCTION("""COMPUTED_VALUE"""),"The user is hit by a Physical Attack while they have Temporary Hit Points")</f>
        <v>The user is hit by a Physical Attack while they have Temporary Hit Points</v>
      </c>
      <c r="E103" s="225"/>
      <c r="F103" s="225" t="str">
        <f>IFERROR(__xludf.DUMMYFUNCTION("""COMPUTED_VALUE"""),"Defensive")</f>
        <v>Defensive</v>
      </c>
      <c r="G103" s="226" t="str">
        <f>IFERROR(__xludf.DUMMYFUNCTION("""COMPUTED_VALUE"""),"Scene x2 - Reaction
Keywords - Defensive
Trigger - The user is hit by a Physical Attack while they have Temporary Hit Points
Effect: Before Damage Calculations, your Temporary Hit Points becomes double its current value. After the Attack resolves, you los"&amp;"e all Temporary Hit Points and become Vulnerable until the end of the Round.
Bonus: Whenever you take Damage from an Attack you applied no Temporary Hit Points towards, you may gain a Tick of Temporary Hit points after Damage Resolution.")</f>
        <v>Scene x2 - Reaction
Keywords - Defensive
Trigger - The user is hit by a Physical Attack while they have Temporary Hit Points
Effect: Before Damage Calculations, your Temporary Hit Points becomes double its current value. After the Attack resolves, you lose all Temporary Hit Points and become Vulnerable until the end of the Round.
Bonus: Whenever you take Damage from an Attack you applied no Temporary Hit Points towards, you may gain a Tick of Temporary Hit points after Damage Resolution.</v>
      </c>
      <c r="H103" s="224"/>
      <c r="I103" s="224"/>
      <c r="J103" s="224"/>
      <c r="K103" s="224"/>
      <c r="L103" s="224"/>
      <c r="M103" s="224"/>
      <c r="N103" s="224"/>
      <c r="O103" s="224"/>
      <c r="P103" s="224"/>
      <c r="Q103" s="224"/>
      <c r="R103" s="224"/>
      <c r="S103" s="224"/>
      <c r="T103" s="224"/>
      <c r="U103" s="224"/>
      <c r="V103" s="224"/>
      <c r="W103" s="224"/>
      <c r="X103" s="224"/>
      <c r="Y103" s="224"/>
      <c r="Z103" s="224"/>
    </row>
    <row r="104">
      <c r="A104" s="225" t="str">
        <f>IFERROR(__xludf.DUMMYFUNCTION("""COMPUTED_VALUE"""),"Accelerate")</f>
        <v>Accelerate</v>
      </c>
      <c r="B104" s="225" t="str">
        <f>IFERROR(__xludf.DUMMYFUNCTION("""COMPUTED_VALUE"""),"Static")</f>
        <v>Static</v>
      </c>
      <c r="C104" s="225" t="str">
        <f>IFERROR(__xludf.DUMMYFUNCTION("""COMPUTED_VALUE"""),"Effect: Attacks in which the user applies the Same Type Attack Bonus gain the Priority Keyword. When using an Attack this way, the user may use Speed as an Offensive Stat or may add half of their Speed to the Damage Roll.  ")</f>
        <v>Effect: Attacks in which the user applies the Same Type Attack Bonus gain the Priority Keyword. When using an Attack this way, the user may use Speed as an Offensive Stat or may add half of their Speed to the Damage Roll.  </v>
      </c>
      <c r="D104" s="225"/>
      <c r="E104" s="225"/>
      <c r="F104" s="225"/>
      <c r="G104" s="226" t="str">
        <f>IFERROR(__xludf.DUMMYFUNCTION("""COMPUTED_VALUE"""),"Static
Effect: Attacks in which the user applies the Same Type Attack Bonus gain the Priority Keyword. When using an Attack this way, the user may use Speed as an Offensive Stat or may add half of their Speed to the Damage Roll.  ")</f>
        <v>Static
Effect: Attacks in which the user applies the Same Type Attack Bonus gain the Priority Keyword. When using an Attack this way, the user may use Speed as an Offensive Stat or may add half of their Speed to the Damage Roll.  </v>
      </c>
      <c r="H104" s="224"/>
      <c r="I104" s="224"/>
      <c r="J104" s="224"/>
      <c r="K104" s="224"/>
      <c r="L104" s="224"/>
      <c r="M104" s="224"/>
      <c r="N104" s="224"/>
      <c r="O104" s="224"/>
      <c r="P104" s="224"/>
      <c r="Q104" s="224"/>
      <c r="R104" s="224"/>
      <c r="S104" s="224"/>
      <c r="T104" s="224"/>
      <c r="U104" s="224"/>
      <c r="V104" s="224"/>
      <c r="W104" s="224"/>
      <c r="X104" s="224"/>
      <c r="Y104" s="224"/>
      <c r="Z104" s="224"/>
    </row>
    <row r="105">
      <c r="A105" s="225" t="str">
        <f>IFERROR(__xludf.DUMMYFUNCTION("""COMPUTED_VALUE"""),"Adaptability")</f>
        <v>Adaptability</v>
      </c>
      <c r="B105" s="225" t="str">
        <f>IFERROR(__xludf.DUMMYFUNCTION("""COMPUTED_VALUE"""),"Static")</f>
        <v>Static</v>
      </c>
      <c r="C105" s="225" t="str">
        <f>IFERROR(__xludf.DUMMYFUNCTION("""COMPUTED_VALUE"""),"Effect: The user’s Normal Type Attacks may deal Damage as if they matched one of the user’s Types or an Adjacent Ally’s Type.")</f>
        <v>Effect: The user’s Normal Type Attacks may deal Damage as if they matched one of the user’s Types or an Adjacent Ally’s Type.</v>
      </c>
      <c r="D105" s="225"/>
      <c r="E105" s="225"/>
      <c r="F105" s="225"/>
      <c r="G105" s="226" t="str">
        <f>IFERROR(__xludf.DUMMYFUNCTION("""COMPUTED_VALUE"""),"Static
Effect: The user’s Normal Type Attacks may deal Damage as if they matched one of the user’s Types or an Adjacent Ally’s Type.")</f>
        <v>Static
Effect: The user’s Normal Type Attacks may deal Damage as if they matched one of the user’s Types or an Adjacent Ally’s Type.</v>
      </c>
      <c r="H105" s="224"/>
      <c r="I105" s="224"/>
      <c r="J105" s="224"/>
      <c r="K105" s="224"/>
      <c r="L105" s="224"/>
      <c r="M105" s="224"/>
      <c r="N105" s="224"/>
      <c r="O105" s="224"/>
      <c r="P105" s="224"/>
      <c r="Q105" s="224"/>
      <c r="R105" s="224"/>
      <c r="S105" s="224"/>
      <c r="T105" s="224"/>
      <c r="U105" s="224"/>
      <c r="V105" s="224"/>
      <c r="W105" s="224"/>
      <c r="X105" s="224"/>
      <c r="Y105" s="224"/>
      <c r="Z105" s="224"/>
    </row>
    <row r="106">
      <c r="A106" s="225" t="str">
        <f>IFERROR(__xludf.DUMMYFUNCTION("""COMPUTED_VALUE"""),"Aerial Fighter")</f>
        <v>Aerial Fighter</v>
      </c>
      <c r="B106" s="225" t="str">
        <f>IFERROR(__xludf.DUMMYFUNCTION("""COMPUTED_VALUE"""),"Scene - Reaction")</f>
        <v>Scene - Reaction</v>
      </c>
      <c r="C106" s="225" t="str">
        <f>IFERROR(__xludf.DUMMYFUNCTION("""COMPUTED_VALUE"""),"Effect: The Triggering Attack is resisted by one additional damage step, if the Triggering Attack was from an Enemy with the Flier capability, it instead misses. 
Bonus: While the weather is Windy, the user has a bonus to Accuracy equal to their Tier Leve"&amp;"l.")</f>
        <v>Effect: The Triggering Attack is resisted by one additional damage step, if the Triggering Attack was from an Enemy with the Flier capability, it instead misses. 
Bonus: While the weather is Windy, the user has a bonus to Accuracy equal to their Tier Level.</v>
      </c>
      <c r="D106" s="225" t="str">
        <f>IFERROR(__xludf.DUMMYFUNCTION("""COMPUTED_VALUE"""),"The user is hit by a Damaging Attack")</f>
        <v>The user is hit by a Damaging Attack</v>
      </c>
      <c r="E106" s="225"/>
      <c r="F106" s="225" t="str">
        <f>IFERROR(__xludf.DUMMYFUNCTION("""COMPUTED_VALUE"""),"Defensive")</f>
        <v>Defensive</v>
      </c>
      <c r="G106" s="226" t="str">
        <f>IFERROR(__xludf.DUMMYFUNCTION("""COMPUTED_VALUE"""),"Scene - Reaction
Keywords - Defensive
Trigger - The user is hit by a Damaging Attack
Effect: The Triggering Attack is resisted by one additional damage step, if the Triggering Attack was from an Enemy with the Flier capability, it instead misses. 
Bonus: "&amp;"While the weather is Windy, the user has a bonus to Accuracy equal to their Tier Level.")</f>
        <v>Scene - Reaction
Keywords - Defensive
Trigger - The user is hit by a Damaging Attack
Effect: The Triggering Attack is resisted by one additional damage step, if the Triggering Attack was from an Enemy with the Flier capability, it instead misses. 
Bonus: While the weather is Windy, the user has a bonus to Accuracy equal to their Tier Level.</v>
      </c>
      <c r="H106" s="224"/>
      <c r="I106" s="224"/>
      <c r="J106" s="224"/>
      <c r="K106" s="224"/>
      <c r="L106" s="224"/>
      <c r="M106" s="224"/>
      <c r="N106" s="224"/>
      <c r="O106" s="224"/>
      <c r="P106" s="224"/>
      <c r="Q106" s="224"/>
      <c r="R106" s="224"/>
      <c r="S106" s="224"/>
      <c r="T106" s="224"/>
      <c r="U106" s="224"/>
      <c r="V106" s="224"/>
      <c r="W106" s="224"/>
      <c r="X106" s="224"/>
      <c r="Y106" s="224"/>
      <c r="Z106" s="224"/>
    </row>
    <row r="107">
      <c r="A107" s="225" t="str">
        <f>IFERROR(__xludf.DUMMYFUNCTION("""COMPUTED_VALUE"""),"Aftermath")</f>
        <v>Aftermath</v>
      </c>
      <c r="B107" s="225" t="str">
        <f>IFERROR(__xludf.DUMMYFUNCTION("""COMPUTED_VALUE"""),"Scene - Free Action")</f>
        <v>Scene - Free Action</v>
      </c>
      <c r="C107" s="225" t="str">
        <f>IFERROR(__xludf.DUMMYFUNCTION("""COMPUTED_VALUE"""),"Effect: At the end of the Round, all Enemies within a Burst 2 Range lose X Ticks of Hit Points. X is equal to 1 plus your Explosion Counters.
Bonus: At the end of each Round and as a Swift Action, the user gains +1 Explosion Counter (Max 5). As a Full Act"&amp;"ion, the user may activate this Ability, ignoring the Trigger and Frequency, but you lose all Explosion Counters after its resolution.")</f>
        <v>Effect: At the end of the Round, all Enemies within a Burst 2 Range lose X Ticks of Hit Points. X is equal to 1 plus your Explosion Counters.
Bonus: At the end of each Round and as a Swift Action, the user gains +1 Explosion Counter (Max 5). As a Full Action, the user may activate this Ability, ignoring the Trigger and Frequency, but you lose all Explosion Counters after its resolution.</v>
      </c>
      <c r="D107" s="225" t="str">
        <f>IFERROR(__xludf.DUMMYFUNCTION("""COMPUTED_VALUE"""),"The user Faints")</f>
        <v>The user Faints</v>
      </c>
      <c r="E107" s="225"/>
      <c r="F107" s="225"/>
      <c r="G107" s="226" t="str">
        <f>IFERROR(__xludf.DUMMYFUNCTION("""COMPUTED_VALUE"""),"Scene - Free Action
Trigger - The user Faints
Effect: At the end of the Round, all Enemies within a Burst 2 Range lose X Ticks of Hit Points. X is equal to 1 plus your Explosion Counters.
Bonus: At the end of each Round and as a Swift Action, the user gai"&amp;"ns +1 Explosion Counter (Max 5). As a Full Action, the user may activate this Ability, ignoring the Trigger and Frequency, but you lose all Explosion Counters after its resolution.")</f>
        <v>Scene - Free Action
Trigger - The user Faints
Effect: At the end of the Round, all Enemies within a Burst 2 Range lose X Ticks of Hit Points. X is equal to 1 plus your Explosion Counters.
Bonus: At the end of each Round and as a Swift Action, the user gains +1 Explosion Counter (Max 5). As a Full Action, the user may activate this Ability, ignoring the Trigger and Frequency, but you lose all Explosion Counters after its resolution.</v>
      </c>
      <c r="H107" s="224"/>
      <c r="I107" s="224"/>
      <c r="J107" s="224"/>
      <c r="K107" s="224"/>
      <c r="L107" s="224"/>
      <c r="M107" s="224"/>
      <c r="N107" s="224"/>
      <c r="O107" s="224"/>
      <c r="P107" s="224"/>
      <c r="Q107" s="224"/>
      <c r="R107" s="224"/>
      <c r="S107" s="224"/>
      <c r="T107" s="224"/>
      <c r="U107" s="224"/>
      <c r="V107" s="224"/>
      <c r="W107" s="224"/>
      <c r="X107" s="224"/>
      <c r="Y107" s="224"/>
      <c r="Z107" s="224"/>
    </row>
    <row r="108">
      <c r="A108" s="225" t="str">
        <f>IFERROR(__xludf.DUMMYFUNCTION("""COMPUTED_VALUE"""),"Alacrity")</f>
        <v>Alacrity</v>
      </c>
      <c r="B108" s="225" t="str">
        <f>IFERROR(__xludf.DUMMYFUNCTION("""COMPUTED_VALUE"""),"Static")</f>
        <v>Static</v>
      </c>
      <c r="C108" s="225" t="str">
        <f>IFERROR(__xludf.DUMMYFUNCTION("""COMPUTED_VALUE"""),"Effect: The user adds +5 Points to their Speed Stat in the Extras Column. When the user reaches Level 20 and every interval after that (20, 40, etc) they gain an additional +5. If the user is a Trainer, the Level Intervals are Level 4, 8, 12, 16, then 20."&amp;" The user has a bonus to Accuracy equal to half of their Speed Evasion (Rounded Up).")</f>
        <v>Effect: The user adds +5 Points to their Speed Stat in the Extras Column. When the user reaches Level 20 and every interval after that (20, 40, etc) they gain an additional +5. If the user is a Trainer, the Level Intervals are Level 4, 8, 12, 16, then 20. The user has a bonus to Accuracy equal to half of their Speed Evasion (Rounded Up).</v>
      </c>
      <c r="D108" s="225"/>
      <c r="E108" s="225"/>
      <c r="F108" s="225" t="str">
        <f>IFERROR(__xludf.DUMMYFUNCTION("""COMPUTED_VALUE"""),"Innate")</f>
        <v>Innate</v>
      </c>
      <c r="G108" s="226" t="str">
        <f>IFERROR(__xludf.DUMMYFUNCTION("""COMPUTED_VALUE"""),"Static
Keywords - Innate
Effect: The user adds +5 Points to their Speed Stat in the Extras Column. When the user reaches Level 20 and every interval after that (20, 40, etc) they gain an additional +5. If the user is a Trainer, the Level Intervals are Lev"&amp;"el 4, 8, 12, 16, then 20. The user has a bonus to Accuracy equal to half of their Speed Evasion (Rounded Up).")</f>
        <v>Static
Keywords - Innate
Effect: The user adds +5 Points to their Speed Stat in the Extras Column. When the user reaches Level 20 and every interval after that (20, 40, etc) they gain an additional +5. If the user is a Trainer, the Level Intervals are Level 4, 8, 12, 16, then 20. The user has a bonus to Accuracy equal to half of their Speed Evasion (Rounded Up).</v>
      </c>
      <c r="H108" s="224"/>
      <c r="I108" s="224"/>
      <c r="J108" s="224"/>
      <c r="K108" s="224"/>
      <c r="L108" s="224"/>
      <c r="M108" s="224"/>
      <c r="N108" s="224"/>
      <c r="O108" s="224"/>
      <c r="P108" s="224"/>
      <c r="Q108" s="224"/>
      <c r="R108" s="224"/>
      <c r="S108" s="224"/>
      <c r="T108" s="224"/>
      <c r="U108" s="224"/>
      <c r="V108" s="224"/>
      <c r="W108" s="224"/>
      <c r="X108" s="224"/>
      <c r="Y108" s="224"/>
      <c r="Z108" s="224"/>
    </row>
    <row r="109">
      <c r="A109" s="225" t="str">
        <f>IFERROR(__xludf.DUMMYFUNCTION("""COMPUTED_VALUE"""),"Ambush")</f>
        <v>Ambush</v>
      </c>
      <c r="B109" s="225" t="str">
        <f>IFERROR(__xludf.DUMMYFUNCTION("""COMPUTED_VALUE"""),"Static")</f>
        <v>Static</v>
      </c>
      <c r="C109" s="225" t="str">
        <f>IFERROR(__xludf.DUMMYFUNCTION("""COMPUTED_VALUE"""),"Effect: During the first round of Combat, the user’s Attacks have the Unstoppable Keyword and treat Enemies as if they were Vulnerable. At the GM's Discretion, if the Enemies are unaware of the user’s presence, they gain a modifier to Critical Hit equal t"&amp;"o their Tier Level. Whenever the user Targets a Flanked Enemy, they are instead treated as Vulnerable. ")</f>
        <v>Effect: During the first round of Combat, the user’s Attacks have the Unstoppable Keyword and treat Enemies as if they were Vulnerable. At the GM's Discretion, if the Enemies are unaware of the user’s presence, they gain a modifier to Critical Hit equal to their Tier Level. Whenever the user Targets a Flanked Enemy, they are instead treated as Vulnerable. </v>
      </c>
      <c r="D109" s="225"/>
      <c r="E109" s="225"/>
      <c r="F109" s="225"/>
      <c r="G109" s="226" t="str">
        <f>IFERROR(__xludf.DUMMYFUNCTION("""COMPUTED_VALUE"""),"Static
Effect: During the first round of Combat, the user’s Attacks have the Unstoppable Keyword and treat Enemies as if they were Vulnerable. At the GM's Discretion, if the Enemies are unaware of the user’s presence, they gain a modifier to Critical Hit "&amp;"equal to their Tier Level. Whenever the user Targets a Flanked Enemy, they are instead treated as Vulnerable. ")</f>
        <v>Static
Effect: During the first round of Combat, the user’s Attacks have the Unstoppable Keyword and treat Enemies as if they were Vulnerable. At the GM's Discretion, if the Enemies are unaware of the user’s presence, they gain a modifier to Critical Hit equal to their Tier Level. Whenever the user Targets a Flanked Enemy, they are instead treated as Vulnerable. </v>
      </c>
      <c r="H109" s="224"/>
      <c r="I109" s="224"/>
      <c r="J109" s="224"/>
      <c r="K109" s="224"/>
      <c r="L109" s="224"/>
      <c r="M109" s="224"/>
      <c r="N109" s="224"/>
      <c r="O109" s="224"/>
      <c r="P109" s="224"/>
      <c r="Q109" s="224"/>
      <c r="R109" s="224"/>
      <c r="S109" s="224"/>
      <c r="T109" s="224"/>
      <c r="U109" s="224"/>
      <c r="V109" s="224"/>
      <c r="W109" s="224"/>
      <c r="X109" s="224"/>
      <c r="Y109" s="224"/>
      <c r="Z109" s="224"/>
    </row>
    <row r="110">
      <c r="A110" s="225" t="str">
        <f>IFERROR(__xludf.DUMMYFUNCTION("""COMPUTED_VALUE"""),"Analytic")</f>
        <v>Analytic</v>
      </c>
      <c r="B110" s="225" t="str">
        <f>IFERROR(__xludf.DUMMYFUNCTION("""COMPUTED_VALUE"""),"Static")</f>
        <v>Static</v>
      </c>
      <c r="C110" s="225" t="str">
        <f>IFERROR(__xludf.DUMMYFUNCTION("""COMPUTED_VALUE"""),"Effect: Targets of the User’s Attacks cannot apply Stat Evasion if they’ve used an Attack or Reaction this Round. Once per Round the User may use a Reaction as if it were a Free Action.")</f>
        <v>Effect: Targets of the User’s Attacks cannot apply Stat Evasion if they’ve used an Attack or Reaction this Round. Once per Round the User may use a Reaction as if it were a Free Action.</v>
      </c>
      <c r="D110" s="225"/>
      <c r="E110" s="225"/>
      <c r="F110" s="225"/>
      <c r="G110" s="226" t="str">
        <f>IFERROR(__xludf.DUMMYFUNCTION("""COMPUTED_VALUE"""),"Static
Effect: Targets of the User’s Attacks cannot apply Stat Evasion if they’ve used an Attack or Reaction this Round. Once per Round the User may use a Reaction as if it were a Free Action.")</f>
        <v>Static
Effect: Targets of the User’s Attacks cannot apply Stat Evasion if they’ve used an Attack or Reaction this Round. Once per Round the User may use a Reaction as if it were a Free Action.</v>
      </c>
      <c r="H110" s="224"/>
      <c r="I110" s="224"/>
      <c r="J110" s="224"/>
      <c r="K110" s="224"/>
      <c r="L110" s="224"/>
      <c r="M110" s="224"/>
      <c r="N110" s="224"/>
      <c r="O110" s="224"/>
      <c r="P110" s="224"/>
      <c r="Q110" s="224"/>
      <c r="R110" s="224"/>
      <c r="S110" s="224"/>
      <c r="T110" s="224"/>
      <c r="U110" s="224"/>
      <c r="V110" s="224"/>
      <c r="W110" s="224"/>
      <c r="X110" s="224"/>
      <c r="Y110" s="224"/>
      <c r="Z110" s="224"/>
    </row>
    <row r="111">
      <c r="A111" s="225" t="str">
        <f>IFERROR(__xludf.DUMMYFUNCTION("""COMPUTED_VALUE"""),"Anchored")</f>
        <v>Anchored</v>
      </c>
      <c r="B111" s="225" t="str">
        <f>IFERROR(__xludf.DUMMYFUNCTION("""COMPUTED_VALUE"""),"Static")</f>
        <v>Static</v>
      </c>
      <c r="C111" s="225" t="str">
        <f>IFERROR(__xludf.DUMMYFUNCTION("""COMPUTED_VALUE"""),"Effect: The user gains an Anchor Token that cannot exceed 3m from the user and the user cannot exceed 3m from the Anchor Token. The user cannot be slid and if the user uses a Movement Action, their Anchor Token must move to any space within 3m of them. Th"&amp;"e user may originate any Damaging Attack from their Anchor Token and if they do, it turns into Melee, 1 Target, becomes Physical Category and may be shifted to deal Steel Type Damage. Attacks originating from your Anchor Token have their DB increased by +"&amp;"3.")</f>
        <v>Effect: The user gains an Anchor Token that cannot exceed 3m from the user and the user cannot exceed 3m from the Anchor Token. The user cannot be slid and if the user uses a Movement Action, their Anchor Token must move to any space within 3m of them. The user may originate any Damaging Attack from their Anchor Token and if they do, it turns into Melee, 1 Target, becomes Physical Category and may be shifted to deal Steel Type Damage. Attacks originating from your Anchor Token have their DB increased by +3.</v>
      </c>
      <c r="D111" s="225"/>
      <c r="E111" s="225"/>
      <c r="F111" s="225" t="str">
        <f>IFERROR(__xludf.DUMMYFUNCTION("""COMPUTED_VALUE"""),"Innate")</f>
        <v>Innate</v>
      </c>
      <c r="G111" s="226" t="str">
        <f>IFERROR(__xludf.DUMMYFUNCTION("""COMPUTED_VALUE"""),"Static
Keywords - Innate
Effect: The user gains an Anchor Token that cannot exceed 3m from the user and the user cannot exceed 3m from the Anchor Token. The user cannot be slid and if the user uses a Movement Action, their Anchor Token must move to any sp"&amp;"ace within 3m of them. The user may originate any Damaging Attack from their Anchor Token and if they do, it turns into Melee, 1 Target, becomes Physical Category and may be shifted to deal Steel Type Damage. Attacks originating from your Anchor Token hav"&amp;"e their DB increased by +3.")</f>
        <v>Static
Keywords - Innate
Effect: The user gains an Anchor Token that cannot exceed 3m from the user and the user cannot exceed 3m from the Anchor Token. The user cannot be slid and if the user uses a Movement Action, their Anchor Token must move to any space within 3m of them. The user may originate any Damaging Attack from their Anchor Token and if they do, it turns into Melee, 1 Target, becomes Physical Category and may be shifted to deal Steel Type Damage. Attacks originating from your Anchor Token have their DB increased by +3.</v>
      </c>
      <c r="H111" s="224"/>
      <c r="I111" s="224"/>
      <c r="J111" s="224"/>
      <c r="K111" s="224"/>
      <c r="L111" s="224"/>
      <c r="M111" s="224"/>
      <c r="N111" s="224"/>
      <c r="O111" s="224"/>
      <c r="P111" s="224"/>
      <c r="Q111" s="224"/>
      <c r="R111" s="224"/>
      <c r="S111" s="224"/>
      <c r="T111" s="224"/>
      <c r="U111" s="224"/>
      <c r="V111" s="224"/>
      <c r="W111" s="224"/>
      <c r="X111" s="224"/>
      <c r="Y111" s="224"/>
      <c r="Z111" s="224"/>
    </row>
    <row r="112">
      <c r="A112" s="225" t="str">
        <f>IFERROR(__xludf.DUMMYFUNCTION("""COMPUTED_VALUE"""),"Anger Point")</f>
        <v>Anger Point</v>
      </c>
      <c r="B112" s="225" t="str">
        <f>IFERROR(__xludf.DUMMYFUNCTION("""COMPUTED_VALUE"""),"At-Will - Free Action")</f>
        <v>At-Will - Free Action</v>
      </c>
      <c r="C112" s="225" t="str">
        <f>IFERROR(__xludf.DUMMYFUNCTION("""COMPUTED_VALUE"""),"Effect: The user becomes Enraged. 
Bonus: While the user is Enraged, they gain a bonus to Damage Rolls equal to their Tier Value and a modifier to Critical Hit equal to their Tier Level")</f>
        <v>Effect: The user becomes Enraged. 
Bonus: While the user is Enraged, they gain a bonus to Damage Rolls equal to their Tier Value and a modifier to Critical Hit equal to their Tier Level</v>
      </c>
      <c r="D112" s="225" t="str">
        <f>IFERROR(__xludf.DUMMYFUNCTION("""COMPUTED_VALUE"""),"The user drops below 50% Hit Points or is hit by a Critical Hit")</f>
        <v>The user drops below 50% Hit Points or is hit by a Critical Hit</v>
      </c>
      <c r="E112" s="225"/>
      <c r="F112" s="225"/>
      <c r="G112" s="226" t="str">
        <f>IFERROR(__xludf.DUMMYFUNCTION("""COMPUTED_VALUE"""),"At-Will - Free Action
Trigger - The user drops below 50% Hit Points or is hit by a Critical Hit
Effect: The user becomes Enraged. 
Bonus: While the user is Enraged, they gain a bonus to Damage Rolls equal to their Tier Value and a modifier to Critical Hit"&amp;" equal to their Tier Level")</f>
        <v>At-Will - Free Action
Trigger - The user drops below 50% Hit Points or is hit by a Critical Hit
Effect: The user becomes Enraged. 
Bonus: While the user is Enraged, they gain a bonus to Damage Rolls equal to their Tier Value and a modifier to Critical Hit equal to their Tier Level</v>
      </c>
      <c r="H112" s="224"/>
      <c r="I112" s="224"/>
      <c r="J112" s="224"/>
      <c r="K112" s="224"/>
      <c r="L112" s="224"/>
      <c r="M112" s="224"/>
      <c r="N112" s="224"/>
      <c r="O112" s="224"/>
      <c r="P112" s="224"/>
      <c r="Q112" s="224"/>
      <c r="R112" s="224"/>
      <c r="S112" s="224"/>
      <c r="T112" s="224"/>
      <c r="U112" s="224"/>
      <c r="V112" s="224"/>
      <c r="W112" s="224"/>
      <c r="X112" s="224"/>
      <c r="Y112" s="224"/>
      <c r="Z112" s="224"/>
    </row>
    <row r="113">
      <c r="A113" s="225" t="str">
        <f>IFERROR(__xludf.DUMMYFUNCTION("""COMPUTED_VALUE"""),"Aqua Bullet")</f>
        <v>Aqua Bullet</v>
      </c>
      <c r="B113" s="225" t="str">
        <f>IFERROR(__xludf.DUMMYFUNCTION("""COMPUTED_VALUE"""),"At-Will - Free Action")</f>
        <v>At-Will - Free Action</v>
      </c>
      <c r="C113" s="225" t="str">
        <f>IFERROR(__xludf.DUMMYFUNCTION("""COMPUTED_VALUE"""),"Connection - Aqua Jet. 
Effect: Declare a Water Type Melee Damaging Attack. During this Turn, you do not provoke Attacks of Opportunity from Movement but you must use the declared Attack. The declared Attack may use Speed as if it were the Offensive Stat."&amp;"
Bonus: The user may use non-Self Water Type Attacks as if their Range were 10, 1 Target. ")</f>
        <v>Connection - Aqua Jet. 
Effect: Declare a Water Type Melee Damaging Attack. During this Turn, you do not provoke Attacks of Opportunity from Movement but you must use the declared Attack. The declared Attack may use Speed as if it were the Offensive Stat.
Bonus: The user may use non-Self Water Type Attacks as if their Range were 10, 1 Target. </v>
      </c>
      <c r="D113" s="225"/>
      <c r="E113" s="225"/>
      <c r="F113" s="225"/>
      <c r="G113" s="226" t="str">
        <f>IFERROR(__xludf.DUMMYFUNCTION("""COMPUTED_VALUE"""),"At-Will - Free Action
Connection - Aqua Jet. 
Effect: Declare a Water Type Melee Damaging Attack. During this Turn, you do not provoke Attacks of Opportunity from Movement but you must use the declared Attack. The declared Attack may use Speed as if it we"&amp;"re the Offensive Stat.
Bonus: The user may use non-Self Water Type Attacks as if their Range were 10, 1 Target. ")</f>
        <v>At-Will - Free Action
Connection - Aqua Jet. 
Effect: Declare a Water Type Melee Damaging Attack. During this Turn, you do not provoke Attacks of Opportunity from Movement but you must use the declared Attack. The declared Attack may use Speed as if it were the Offensive Stat.
Bonus: The user may use non-Self Water Type Attacks as if their Range were 10, 1 Target. </v>
      </c>
      <c r="H113" s="224"/>
      <c r="I113" s="224"/>
      <c r="J113" s="224"/>
      <c r="K113" s="224"/>
      <c r="L113" s="224"/>
      <c r="M113" s="224"/>
      <c r="N113" s="224"/>
      <c r="O113" s="224"/>
      <c r="P113" s="224"/>
      <c r="Q113" s="224"/>
      <c r="R113" s="224"/>
      <c r="S113" s="224"/>
      <c r="T113" s="224"/>
      <c r="U113" s="224"/>
      <c r="V113" s="224"/>
      <c r="W113" s="224"/>
      <c r="X113" s="224"/>
      <c r="Y113" s="224"/>
      <c r="Z113" s="224"/>
    </row>
    <row r="114">
      <c r="A114" s="225" t="str">
        <f>IFERROR(__xludf.DUMMYFUNCTION("""COMPUTED_VALUE"""),"Arena Trap")</f>
        <v>Arena Trap</v>
      </c>
      <c r="B114" s="225" t="str">
        <f>IFERROR(__xludf.DUMMYFUNCTION("""COMPUTED_VALUE"""),"At-Will - Swift Action")</f>
        <v>At-Will - Swift Action</v>
      </c>
      <c r="C114" s="225" t="str">
        <f>IFERROR(__xludf.DUMMYFUNCTION("""COMPUTED_VALUE"""),"Connection - Sinkhole
Effect: Create a Sinking Hazards in a 3x3 Range within 3m of the user. (Refer to Sinkhole). 
Bonus: While you are standing in a Sinking Hazard created by you, all Enemies within 3m that are also standing on a Sinking Hazard become Tr"&amp;"apped by you. ")</f>
        <v>Connection - Sinkhole
Effect: Create a Sinking Hazards in a 3x3 Range within 3m of the user. (Refer to Sinkhole). 
Bonus: While you are standing in a Sinking Hazard created by you, all Enemies within 3m that are also standing on a Sinking Hazard become Trapped by you. </v>
      </c>
      <c r="D114" s="225"/>
      <c r="E114" s="225"/>
      <c r="F114" s="225"/>
      <c r="G114" s="226" t="str">
        <f>IFERROR(__xludf.DUMMYFUNCTION("""COMPUTED_VALUE"""),"At-Will - Swift Action
Connection - Sinkhole
Effect: Create a Sinking Hazards in a 3x3 Range within 3m of the user. (Refer to Sinkhole). 
Bonus: While you are standing in a Sinking Hazard created by you, all Enemies within 3m that are also standing on a S"&amp;"inking Hazard become Trapped by you. ")</f>
        <v>At-Will - Swift Action
Connection - Sinkhole
Effect: Create a Sinking Hazards in a 3x3 Range within 3m of the user. (Refer to Sinkhole). 
Bonus: While you are standing in a Sinking Hazard created by you, all Enemies within 3m that are also standing on a Sinking Hazard become Trapped by you. </v>
      </c>
      <c r="H114" s="224"/>
      <c r="I114" s="224"/>
      <c r="J114" s="224"/>
      <c r="K114" s="224"/>
      <c r="L114" s="224"/>
      <c r="M114" s="224"/>
      <c r="N114" s="224"/>
      <c r="O114" s="224"/>
      <c r="P114" s="224"/>
      <c r="Q114" s="224"/>
      <c r="R114" s="224"/>
      <c r="S114" s="224"/>
      <c r="T114" s="224"/>
      <c r="U114" s="224"/>
      <c r="V114" s="224"/>
      <c r="W114" s="224"/>
      <c r="X114" s="224"/>
      <c r="Y114" s="224"/>
      <c r="Z114" s="224"/>
    </row>
    <row r="115">
      <c r="A115" s="225" t="str">
        <f>IFERROR(__xludf.DUMMYFUNCTION("""COMPUTED_VALUE"""),"Aroma Veil")</f>
        <v>Aroma Veil</v>
      </c>
      <c r="B115" s="225" t="str">
        <f>IFERROR(__xludf.DUMMYFUNCTION("""COMPUTED_VALUE"""),"Static")</f>
        <v>Static</v>
      </c>
      <c r="C115" s="225" t="str">
        <f>IFERROR(__xludf.DUMMYFUNCTION("""COMPUTED_VALUE"""),"Effect: The user and Allies within 2m cannot become Dazed, Enraged or Suppressed and are cured of these Afflicitons if they enter this Range. The user and Allies within 2m have a bonus to Save Checks equal to your Tier Level.")</f>
        <v>Effect: The user and Allies within 2m cannot become Dazed, Enraged or Suppressed and are cured of these Afflicitons if they enter this Range. The user and Allies within 2m have a bonus to Save Checks equal to your Tier Level.</v>
      </c>
      <c r="D115" s="225"/>
      <c r="E115" s="225"/>
      <c r="F115" s="225" t="str">
        <f>IFERROR(__xludf.DUMMYFUNCTION("""COMPUTED_VALUE"""),"Defensive")</f>
        <v>Defensive</v>
      </c>
      <c r="G115" s="226" t="str">
        <f>IFERROR(__xludf.DUMMYFUNCTION("""COMPUTED_VALUE"""),"Static
Keywords - Defensive
Effect: The user and Allies within 2m cannot become Dazed, Enraged or Suppressed and are cured of these Afflicitons if they enter this Range. The user and Allies within 2m have a bonus to Save Checks equal to your Tier Level.")</f>
        <v>Static
Keywords - Defensive
Effect: The user and Allies within 2m cannot become Dazed, Enraged or Suppressed and are cured of these Afflicitons if they enter this Range. The user and Allies within 2m have a bonus to Save Checks equal to your Tier Level.</v>
      </c>
      <c r="H115" s="224"/>
      <c r="I115" s="224"/>
      <c r="J115" s="224"/>
      <c r="K115" s="224"/>
      <c r="L115" s="224"/>
      <c r="M115" s="224"/>
      <c r="N115" s="224"/>
      <c r="O115" s="224"/>
      <c r="P115" s="224"/>
      <c r="Q115" s="224"/>
      <c r="R115" s="224"/>
      <c r="S115" s="224"/>
      <c r="T115" s="224"/>
      <c r="U115" s="224"/>
      <c r="V115" s="224"/>
      <c r="W115" s="224"/>
      <c r="X115" s="224"/>
      <c r="Y115" s="224"/>
      <c r="Z115" s="224"/>
    </row>
    <row r="116">
      <c r="A116" s="225" t="str">
        <f>IFERROR(__xludf.DUMMYFUNCTION("""COMPUTED_VALUE"""),"Aura Surge")</f>
        <v>Aura Surge</v>
      </c>
      <c r="B116" s="225" t="str">
        <f>IFERROR(__xludf.DUMMYFUNCTION("""COMPUTED_VALUE"""),"Static")</f>
        <v>Static</v>
      </c>
      <c r="C116" s="225" t="str">
        <f>IFERROR(__xludf.DUMMYFUNCTION("""COMPUTED_VALUE"""),"Effect: For each Tick of Hit Points the user is missing, the user gains a +5 Bonus to Damage Rolls. This Damage Bonus cannot exceed double the user’s Tier Value. While the user is below 50% of their Max Hit Points, their Damaging Attacks are treated as ha"&amp;"ving the Smite Keyword. ")</f>
        <v>Effect: For each Tick of Hit Points the user is missing, the user gains a +5 Bonus to Damage Rolls. This Damage Bonus cannot exceed double the user’s Tier Value. While the user is below 50% of their Max Hit Points, their Damaging Attacks are treated as having the Smite Keyword. </v>
      </c>
      <c r="D116" s="225"/>
      <c r="E116" s="225"/>
      <c r="F116" s="225"/>
      <c r="G116" s="226" t="str">
        <f>IFERROR(__xludf.DUMMYFUNCTION("""COMPUTED_VALUE"""),"Static
Effect: For each Tick of Hit Points the user is missing, the user gains a +5 Bonus to Damage Rolls. This Damage Bonus cannot exceed double the user’s Tier Value. While the user is below 50% of their Max Hit Points, their Damaging Attacks are treate"&amp;"d as having the Smite Keyword. ")</f>
        <v>Static
Effect: For each Tick of Hit Points the user is missing, the user gains a +5 Bonus to Damage Rolls. This Damage Bonus cannot exceed double the user’s Tier Value. While the user is below 50% of their Max Hit Points, their Damaging Attacks are treated as having the Smite Keyword. </v>
      </c>
      <c r="H116" s="224"/>
      <c r="I116" s="224"/>
      <c r="J116" s="224"/>
      <c r="K116" s="224"/>
      <c r="L116" s="224"/>
      <c r="M116" s="224"/>
      <c r="N116" s="224"/>
      <c r="O116" s="224"/>
      <c r="P116" s="224"/>
      <c r="Q116" s="224"/>
      <c r="R116" s="224"/>
      <c r="S116" s="224"/>
      <c r="T116" s="224"/>
      <c r="U116" s="224"/>
      <c r="V116" s="224"/>
      <c r="W116" s="224"/>
      <c r="X116" s="224"/>
      <c r="Y116" s="224"/>
      <c r="Z116" s="224"/>
    </row>
    <row r="117">
      <c r="A117" s="225" t="str">
        <f>IFERROR(__xludf.DUMMYFUNCTION("""COMPUTED_VALUE"""),"Axe Cleaver")</f>
        <v>Axe Cleaver</v>
      </c>
      <c r="B117" s="225" t="str">
        <f>IFERROR(__xludf.DUMMYFUNCTION("""COMPUTED_VALUE"""),"Scene x2  - Free Action")</f>
        <v>Scene x2  - Free Action</v>
      </c>
      <c r="C117" s="225" t="str">
        <f>IFERROR(__xludf.DUMMYFUNCTION("""COMPUTED_VALUE"""),"Connection - Dual Chop.  The Target either loses -2 CS in Defense or cannot cure the Wounded Affliction during their next Save Check.
Bonus: The user gains a 17+ effect range to inflict Wounded on all Physical Attacks. The user's Wounded Effect Ranges (Ex"&amp;"cluding the one granted by Axe Cleaver) are increased by +2. ")</f>
        <v>Connection - Dual Chop.  The Target either loses -2 CS in Defense or cannot cure the Wounded Affliction during their next Save Check.
Bonus: The user gains a 17+ effect range to inflict Wounded on all Physical Attacks. The user's Wounded Effect Ranges (Excluding the one granted by Axe Cleaver) are increased by +2. </v>
      </c>
      <c r="D117" s="225" t="str">
        <f>IFERROR(__xludf.DUMMYFUNCTION("""COMPUTED_VALUE"""),"You inflict the Wounded Affliction")</f>
        <v>You inflict the Wounded Affliction</v>
      </c>
      <c r="E117" s="225"/>
      <c r="F117" s="225"/>
      <c r="G117" s="226" t="str">
        <f>IFERROR(__xludf.DUMMYFUNCTION("""COMPUTED_VALUE"""),"Scene x2  - Free Action
Trigger - You inflict the Wounded Affliction
Connection - Dual Chop.  The Target either loses -2 CS in Defense or cannot cure the Wounded Affliction during their next Save Check.
Bonus: The user gains a 17+ effect range to inflict "&amp;"Wounded on all Physical Attacks. The user's Wounded Effect Ranges (Excluding the one granted by Axe Cleaver) are increased by +2. ")</f>
        <v>Scene x2  - Free Action
Trigger - You inflict the Wounded Affliction
Connection - Dual Chop.  The Target either loses -2 CS in Defense or cannot cure the Wounded Affliction during their next Save Check.
Bonus: The user gains a 17+ effect range to inflict Wounded on all Physical Attacks. The user's Wounded Effect Ranges (Excluding the one granted by Axe Cleaver) are increased by +2. </v>
      </c>
      <c r="H117" s="224"/>
      <c r="I117" s="224"/>
      <c r="J117" s="224"/>
      <c r="K117" s="224"/>
      <c r="L117" s="224"/>
      <c r="M117" s="224"/>
      <c r="N117" s="224"/>
      <c r="O117" s="224"/>
      <c r="P117" s="224"/>
      <c r="Q117" s="224"/>
      <c r="R117" s="224"/>
      <c r="S117" s="224"/>
      <c r="T117" s="224"/>
      <c r="U117" s="224"/>
      <c r="V117" s="224"/>
      <c r="W117" s="224"/>
      <c r="X117" s="224"/>
      <c r="Y117" s="224"/>
      <c r="Z117" s="224"/>
    </row>
    <row r="118">
      <c r="A118" s="225" t="str">
        <f>IFERROR(__xludf.DUMMYFUNCTION("""COMPUTED_VALUE"""),"Battery")</f>
        <v>Battery</v>
      </c>
      <c r="B118" s="225" t="str">
        <f>IFERROR(__xludf.DUMMYFUNCTION("""COMPUTED_VALUE"""),"At-Will - Swift Action ")</f>
        <v>At-Will - Swift Action </v>
      </c>
      <c r="C118" s="225" t="str">
        <f>IFERROR(__xludf.DUMMYFUNCTION("""COMPUTED_VALUE"""),"Connection - Charge. 
Effect: The user gains a Charged Counter (Max 5). If the user is Tier 3, they instead gain two Charged Counters.
Bonus: The user’s Electric Type Attacks have a +1d8 Damage Bonus for each Charged Counter they have. As a Free Action, t"&amp;"he user may Target an Adjacent Ally and expend any number of Charged Counters. The Target’s next Damaging Attack that hits has a +2d8 Damage Bonus for each expended Counter.")</f>
        <v>Connection - Charge. 
Effect: The user gains a Charged Counter (Max 5). If the user is Tier 3, they instead gain two Charged Counters.
Bonus: The user’s Electric Type Attacks have a +1d8 Damage Bonus for each Charged Counter they have. As a Free Action, the user may Target an Adjacent Ally and expend any number of Charged Counters. The Target’s next Damaging Attack that hits has a +2d8 Damage Bonus for each expended Counter.</v>
      </c>
      <c r="D118" s="225" t="str">
        <f>IFERROR(__xludf.DUMMYFUNCTION("""COMPUTED_VALUE"""),"The user uses an Electric Attack
")</f>
        <v>The user uses an Electric Attack
</v>
      </c>
      <c r="E118" s="225"/>
      <c r="F118" s="225"/>
      <c r="G118" s="226" t="str">
        <f>IFERROR(__xludf.DUMMYFUNCTION("""COMPUTED_VALUE"""),"At-Will - Swift Action 
Trigger - The user uses an Electric Attack
Connection - Charge. 
Effect: The user gains a Charged Counter (Max 5). If the user is Tier 3, they instead gain two Charged Counters.
Bonus: The user’s Electric Type Attacks have a +1d8 "&amp;"Damage Bonus for each Charged Counter they have. As a Free Action, the user may Target an Adjacent Ally and expend any number of Charged Counters. The Target’s next Damaging Attack that hits has a +2d8 Damage Bonus for each expended Counter.")</f>
        <v>At-Will - Swift Action 
Trigger - The user uses an Electric Attack
Connection - Charge. 
Effect: The user gains a Charged Counter (Max 5). If the user is Tier 3, they instead gain two Charged Counters.
Bonus: The user’s Electric Type Attacks have a +1d8 Damage Bonus for each Charged Counter they have. As a Free Action, the user may Target an Adjacent Ally and expend any number of Charged Counters. The Target’s next Damaging Attack that hits has a +2d8 Damage Bonus for each expended Counter.</v>
      </c>
      <c r="H118" s="224"/>
      <c r="I118" s="224"/>
      <c r="J118" s="224"/>
      <c r="K118" s="224"/>
      <c r="L118" s="224"/>
      <c r="M118" s="224"/>
      <c r="N118" s="224"/>
      <c r="O118" s="224"/>
      <c r="P118" s="224"/>
      <c r="Q118" s="224"/>
      <c r="R118" s="224"/>
      <c r="S118" s="224"/>
      <c r="T118" s="224"/>
      <c r="U118" s="224"/>
      <c r="V118" s="224"/>
      <c r="W118" s="224"/>
      <c r="X118" s="224"/>
      <c r="Y118" s="224"/>
      <c r="Z118" s="224"/>
    </row>
    <row r="119">
      <c r="A119" s="225" t="str">
        <f>IFERROR(__xludf.DUMMYFUNCTION("""COMPUTED_VALUE"""),"Battle Armor")</f>
        <v>Battle Armor</v>
      </c>
      <c r="B119" s="225" t="str">
        <f>IFERROR(__xludf.DUMMYFUNCTION("""COMPUTED_VALUE"""),"Static")</f>
        <v>Static</v>
      </c>
      <c r="C119" s="225" t="str">
        <f>IFERROR(__xludf.DUMMYFUNCTION("""COMPUTED_VALUE"""),"Effect: The user cannot become Critically Hit. If they would, it instead becomes a normal hit. The user has Damage Reduction against Adjacent Attacks equal to their Tier Value.")</f>
        <v>Effect: The user cannot become Critically Hit. If they would, it instead becomes a normal hit. The user has Damage Reduction against Adjacent Attacks equal to their Tier Value.</v>
      </c>
      <c r="D119" s="225"/>
      <c r="E119" s="225"/>
      <c r="F119" s="225" t="str">
        <f>IFERROR(__xludf.DUMMYFUNCTION("""COMPUTED_VALUE"""),"Defensive")</f>
        <v>Defensive</v>
      </c>
      <c r="G119" s="226" t="str">
        <f>IFERROR(__xludf.DUMMYFUNCTION("""COMPUTED_VALUE"""),"Static
Keywords - Defensive
Effect: The user cannot become Critically Hit. If they would, it instead becomes a normal hit. The user has Damage Reduction against Adjacent Attacks equal to their Tier Value.")</f>
        <v>Static
Keywords - Defensive
Effect: The user cannot become Critically Hit. If they would, it instead becomes a normal hit. The user has Damage Reduction against Adjacent Attacks equal to their Tier Value.</v>
      </c>
      <c r="H119" s="224"/>
      <c r="I119" s="224"/>
      <c r="J119" s="224"/>
      <c r="K119" s="224"/>
      <c r="L119" s="224"/>
      <c r="M119" s="224"/>
      <c r="N119" s="224"/>
      <c r="O119" s="224"/>
      <c r="P119" s="224"/>
      <c r="Q119" s="224"/>
      <c r="R119" s="224"/>
      <c r="S119" s="224"/>
      <c r="T119" s="224"/>
      <c r="U119" s="224"/>
      <c r="V119" s="224"/>
      <c r="W119" s="224"/>
      <c r="X119" s="224"/>
      <c r="Y119" s="224"/>
      <c r="Z119" s="224"/>
    </row>
    <row r="120">
      <c r="A120" s="225" t="str">
        <f>IFERROR(__xludf.DUMMYFUNCTION("""COMPUTED_VALUE"""),"Beam Cannon")</f>
        <v>Beam Cannon</v>
      </c>
      <c r="B120" s="225" t="str">
        <f>IFERROR(__xludf.DUMMYFUNCTION("""COMPUTED_VALUE"""),"Static")</f>
        <v>Static</v>
      </c>
      <c r="C120" s="225" t="str">
        <f>IFERROR(__xludf.DUMMYFUNCTION("""COMPUTED_VALUE"""),"Effect: The user may use 1 Target, Ranged Attacks as if they were Line Range instead. If an Attack is 6, 1 Target, it becomes Line 6. The user gains a modifier to Critical Hit and Effect Ranges for their Line or 1 Target Ranged Attacks equal to their Tier"&amp;" Level. ")</f>
        <v>Effect: The user may use 1 Target, Ranged Attacks as if they were Line Range instead. If an Attack is 6, 1 Target, it becomes Line 6. The user gains a modifier to Critical Hit and Effect Ranges for their Line or 1 Target Ranged Attacks equal to their Tier Level. </v>
      </c>
      <c r="D120" s="225"/>
      <c r="E120" s="225"/>
      <c r="F120" s="225"/>
      <c r="G120" s="226" t="str">
        <f>IFERROR(__xludf.DUMMYFUNCTION("""COMPUTED_VALUE"""),"Static
Effect: The user may use 1 Target, Ranged Attacks as if they were Line Range instead. If an Attack is 6, 1 Target, it becomes Line 6. The user gains a modifier to Critical Hit and Effect Ranges for their Line or 1 Target Ranged Attacks equal to the"&amp;"ir Tier Level. ")</f>
        <v>Static
Effect: The user may use 1 Target, Ranged Attacks as if they were Line Range instead. If an Attack is 6, 1 Target, it becomes Line 6. The user gains a modifier to Critical Hit and Effect Ranges for their Line or 1 Target Ranged Attacks equal to their Tier Level. </v>
      </c>
      <c r="H120" s="224"/>
      <c r="I120" s="224"/>
      <c r="J120" s="224"/>
      <c r="K120" s="224"/>
      <c r="L120" s="224"/>
      <c r="M120" s="224"/>
      <c r="N120" s="224"/>
      <c r="O120" s="224"/>
      <c r="P120" s="224"/>
      <c r="Q120" s="224"/>
      <c r="R120" s="224"/>
      <c r="S120" s="224"/>
      <c r="T120" s="224"/>
      <c r="U120" s="224"/>
      <c r="V120" s="224"/>
      <c r="W120" s="224"/>
      <c r="X120" s="224"/>
      <c r="Y120" s="224"/>
      <c r="Z120" s="224"/>
    </row>
    <row r="121">
      <c r="A121" s="225" t="str">
        <f>IFERROR(__xludf.DUMMYFUNCTION("""COMPUTED_VALUE"""),"Beast Boost")</f>
        <v>Beast Boost</v>
      </c>
      <c r="B121" s="225" t="str">
        <f>IFERROR(__xludf.DUMMYFUNCTION("""COMPUTED_VALUE"""),"At-Will - Free Action")</f>
        <v>At-Will - Free Action</v>
      </c>
      <c r="C121" s="225" t="str">
        <f>IFERROR(__xludf.DUMMYFUNCTION("""COMPUTED_VALUE"""),"Effect: The user gains +2 CS to their highest Stat.  
Bonus: As a Swift Action, the user may lose any number of CS and gain a Tick of Temporary Hit Points for each 1 CS lost")</f>
        <v>Effect: The user gains +2 CS to their highest Stat.  
Bonus: As a Swift Action, the user may lose any number of CS and gain a Tick of Temporary Hit Points for each 1 CS lost</v>
      </c>
      <c r="D121" s="225" t="str">
        <f>IFERROR(__xludf.DUMMYFUNCTION("""COMPUTED_VALUE"""),"An Enemy that the user damaged since their last turn faints.")</f>
        <v>An Enemy that the user damaged since their last turn faints.</v>
      </c>
      <c r="E121" s="225"/>
      <c r="F121" s="225"/>
      <c r="G121" s="226" t="str">
        <f>IFERROR(__xludf.DUMMYFUNCTION("""COMPUTED_VALUE"""),"At-Will - Free Action
Trigger - An Enemy that the user damaged since their last turn faints.
Effect: The user gains +2 CS to their highest Stat.  
Bonus: As a Swift Action, the user may lose any number of CS and gain a Tick of Temporary Hit Points for eac"&amp;"h 1 CS lost")</f>
        <v>At-Will - Free Action
Trigger - An Enemy that the user damaged since their last turn faints.
Effect: The user gains +2 CS to their highest Stat.  
Bonus: As a Swift Action, the user may lose any number of CS and gain a Tick of Temporary Hit Points for each 1 CS lost</v>
      </c>
      <c r="H121" s="224"/>
      <c r="I121" s="224"/>
      <c r="J121" s="224"/>
      <c r="K121" s="224"/>
      <c r="L121" s="224"/>
      <c r="M121" s="224"/>
      <c r="N121" s="224"/>
      <c r="O121" s="224"/>
      <c r="P121" s="224"/>
      <c r="Q121" s="224"/>
      <c r="R121" s="224"/>
      <c r="S121" s="224"/>
      <c r="T121" s="224"/>
      <c r="U121" s="224"/>
      <c r="V121" s="224"/>
      <c r="W121" s="224"/>
      <c r="X121" s="224"/>
      <c r="Y121" s="224"/>
      <c r="Z121" s="224"/>
    </row>
    <row r="122">
      <c r="A122" s="225" t="str">
        <f>IFERROR(__xludf.DUMMYFUNCTION("""COMPUTED_VALUE"""),"Beautiful")</f>
        <v>Beautiful</v>
      </c>
      <c r="B122" s="225" t="str">
        <f>IFERROR(__xludf.DUMMYFUNCTION("""COMPUTED_VALUE"""),"Static")</f>
        <v>Static</v>
      </c>
      <c r="C122" s="225" t="str">
        <f>IFERROR(__xludf.DUMMYFUNCTION("""COMPUTED_VALUE"""),"Effect: The user’s Attacks have a 17+ Effect Range to cause their Targets to become Entranced. While the user is within 2m of an Entranced Enemy, they cannot cure the Entranced Affliction with Save Checks. If an Ally would cause an Enemy to become Entranc"&amp;"ed, they may instead have you be the Fixation.  ")</f>
        <v>Effect: The user’s Attacks have a 17+ Effect Range to cause their Targets to become Entranced. While the user is within 2m of an Entranced Enemy, they cannot cure the Entranced Affliction with Save Checks. If an Ally would cause an Enemy to become Entranced, they may instead have you be the Fixation.  </v>
      </c>
      <c r="D122" s="225"/>
      <c r="E122" s="225"/>
      <c r="F122" s="225"/>
      <c r="G122" s="226" t="str">
        <f>IFERROR(__xludf.DUMMYFUNCTION("""COMPUTED_VALUE"""),"Static
Effect: The user’s Attacks have a 17+ Effect Range to cause their Targets to become Entranced. While the user is within 2m of an Entranced Enemy, they cannot cure the Entranced Affliction with Save Checks. If an Ally would cause an Enemy to become "&amp;"Entranced, they may instead have you be the Fixation.  ")</f>
        <v>Static
Effect: The user’s Attacks have a 17+ Effect Range to cause their Targets to become Entranced. While the user is within 2m of an Entranced Enemy, they cannot cure the Entranced Affliction with Save Checks. If an Ally would cause an Enemy to become Entranced, they may instead have you be the Fixation.  </v>
      </c>
      <c r="H122" s="224"/>
      <c r="I122" s="224"/>
      <c r="J122" s="224"/>
      <c r="K122" s="224"/>
      <c r="L122" s="224"/>
      <c r="M122" s="224"/>
      <c r="N122" s="224"/>
      <c r="O122" s="224"/>
      <c r="P122" s="224"/>
      <c r="Q122" s="224"/>
      <c r="R122" s="224"/>
      <c r="S122" s="224"/>
      <c r="T122" s="224"/>
      <c r="U122" s="224"/>
      <c r="V122" s="224"/>
      <c r="W122" s="224"/>
      <c r="X122" s="224"/>
      <c r="Y122" s="224"/>
      <c r="Z122" s="224"/>
    </row>
    <row r="123">
      <c r="A123" s="225" t="str">
        <f>IFERROR(__xludf.DUMMYFUNCTION("""COMPUTED_VALUE"""),"Berserk")</f>
        <v>Berserk</v>
      </c>
      <c r="B123" s="225" t="str">
        <f>IFERROR(__xludf.DUMMYFUNCTION("""COMPUTED_VALUE"""),"Scene - Swift Action")</f>
        <v>Scene - Swift Action</v>
      </c>
      <c r="C123" s="225" t="str">
        <f>IFERROR(__xludf.DUMMYFUNCTION("""COMPUTED_VALUE"""),"Effect: The user becomes Enraged for the remainder of the Scene and it cannot be cured by any other means (Other than Fainting). 
Bonus: While Enraged, if the user hits a Damaging Attack, they gain +1 CS in Attack or Special Attack after Damage Calculatio"&amp;"ns. While Enraged, the user’s Melee, 1 Target Attacks may be used as if they were “All Adjacent Enemies” instead. While Enraged, the user has a -3 Penalty to Save Checks.")</f>
        <v>Effect: The user becomes Enraged for the remainder of the Scene and it cannot be cured by any other means (Other than Fainting). 
Bonus: While Enraged, if the user hits a Damaging Attack, they gain +1 CS in Attack or Special Attack after Damage Calculations. While Enraged, the user’s Melee, 1 Target Attacks may be used as if they were “All Adjacent Enemies” instead. While Enraged, the user has a -3 Penalty to Save Checks.</v>
      </c>
      <c r="D123" s="225"/>
      <c r="E123" s="225"/>
      <c r="F123" s="225"/>
      <c r="G123" s="226" t="str">
        <f>IFERROR(__xludf.DUMMYFUNCTION("""COMPUTED_VALUE"""),"Scene - Swift Action
Effect: The user becomes Enraged for the remainder of the Scene and it cannot be cured by any other means (Other than Fainting). 
Bonus: While Enraged, if the user hits a Damaging Attack, they gain +1 CS in Attack or Special Attack af"&amp;"ter Damage Calculations. While Enraged, the user’s Melee, 1 Target Attacks may be used as if they were “All Adjacent Enemies” instead. While Enraged, the user has a -3 Penalty to Save Checks.")</f>
        <v>Scene - Swift Action
Effect: The user becomes Enraged for the remainder of the Scene and it cannot be cured by any other means (Other than Fainting). 
Bonus: While Enraged, if the user hits a Damaging Attack, they gain +1 CS in Attack or Special Attack after Damage Calculations. While Enraged, the user’s Melee, 1 Target Attacks may be used as if they were “All Adjacent Enemies” instead. While Enraged, the user has a -3 Penalty to Save Checks.</v>
      </c>
      <c r="H123" s="224"/>
      <c r="I123" s="224"/>
      <c r="J123" s="224"/>
      <c r="K123" s="224"/>
      <c r="L123" s="224"/>
      <c r="M123" s="224"/>
      <c r="N123" s="224"/>
      <c r="O123" s="224"/>
      <c r="P123" s="224"/>
      <c r="Q123" s="224"/>
      <c r="R123" s="224"/>
      <c r="S123" s="224"/>
      <c r="T123" s="224"/>
      <c r="U123" s="224"/>
      <c r="V123" s="224"/>
      <c r="W123" s="224"/>
      <c r="X123" s="224"/>
      <c r="Y123" s="224"/>
      <c r="Z123" s="224"/>
    </row>
    <row r="124">
      <c r="A124" s="225" t="str">
        <f>IFERROR(__xludf.DUMMYFUNCTION("""COMPUTED_VALUE"""),"Big Swallow")</f>
        <v>Big Swallow</v>
      </c>
      <c r="B124" s="225" t="str">
        <f>IFERROR(__xludf.DUMMYFUNCTION("""COMPUTED_VALUE"""),"Static")</f>
        <v>Static</v>
      </c>
      <c r="C124" s="225" t="str">
        <f>IFERROR(__xludf.DUMMYFUNCTION("""COMPUTED_VALUE"""),"Effect: The user may perform the Grapple Maneuver as a Swift Action. Whenever you are engaged in a Grapple with Creatures that are smaller than you, you are not Vulnerable nor Provoked by the Grappled Combatant. Whenever a Grappled Enemy you have Dominanc"&amp;"e with performs a Grapple Check, they lose a Tick of Hit Points and you restore a Tick of Hit Points.")</f>
        <v>Effect: The user may perform the Grapple Maneuver as a Swift Action. Whenever you are engaged in a Grapple with Creatures that are smaller than you, you are not Vulnerable nor Provoked by the Grappled Combatant. Whenever a Grappled Enemy you have Dominance with performs a Grapple Check, they lose a Tick of Hit Points and you restore a Tick of Hit Points.</v>
      </c>
      <c r="D124" s="225"/>
      <c r="E124" s="225"/>
      <c r="F124" s="225"/>
      <c r="G124" s="226" t="str">
        <f>IFERROR(__xludf.DUMMYFUNCTION("""COMPUTED_VALUE"""),"Static
Effect: The user may perform the Grapple Maneuver as a Swift Action. Whenever you are engaged in a Grapple with Creatures that are smaller than you, you are not Vulnerable nor Provoked by the Grappled Combatant. Whenever a Grappled Enemy you have D"&amp;"ominance with performs a Grapple Check, they lose a Tick of Hit Points and you restore a Tick of Hit Points.")</f>
        <v>Static
Effect: The user may perform the Grapple Maneuver as a Swift Action. Whenever you are engaged in a Grapple with Creatures that are smaller than you, you are not Vulnerable nor Provoked by the Grappled Combatant. Whenever a Grappled Enemy you have Dominance with performs a Grapple Check, they lose a Tick of Hit Points and you restore a Tick of Hit Points.</v>
      </c>
      <c r="H124" s="224"/>
      <c r="I124" s="224"/>
      <c r="J124" s="224"/>
      <c r="K124" s="224"/>
      <c r="L124" s="224"/>
      <c r="M124" s="224"/>
      <c r="N124" s="224"/>
      <c r="O124" s="224"/>
      <c r="P124" s="224"/>
      <c r="Q124" s="224"/>
      <c r="R124" s="224"/>
      <c r="S124" s="224"/>
      <c r="T124" s="224"/>
      <c r="U124" s="224"/>
      <c r="V124" s="224"/>
      <c r="W124" s="224"/>
      <c r="X124" s="224"/>
      <c r="Y124" s="224"/>
      <c r="Z124" s="224"/>
    </row>
    <row r="125">
      <c r="A125" s="225" t="str">
        <f>IFERROR(__xludf.DUMMYFUNCTION("""COMPUTED_VALUE"""),"Blade Of Resentment")</f>
        <v>Blade Of Resentment</v>
      </c>
      <c r="B125" s="225" t="str">
        <f>IFERROR(__xludf.DUMMYFUNCTION("""COMPUTED_VALUE"""),"Static")</f>
        <v>Static</v>
      </c>
      <c r="C125" s="225" t="str">
        <f>IFERROR(__xludf.DUMMYFUNCTION("""COMPUTED_VALUE"""),"Connection - Bitter Blade. 
Effect: The user’s Melee Attacks have a 16+ Effect Range to cause Targets to become Suppressed. Whenever the user hits a Drain Attack against a Suppressed Target, they heal for the full Damage the Target takes instead of half. "&amp;" ")</f>
        <v>Connection - Bitter Blade. 
Effect: The user’s Melee Attacks have a 16+ Effect Range to cause Targets to become Suppressed. Whenever the user hits a Drain Attack against a Suppressed Target, they heal for the full Damage the Target takes instead of half.  </v>
      </c>
      <c r="D125" s="225"/>
      <c r="E125" s="225"/>
      <c r="F125" s="225"/>
      <c r="G125" s="226" t="str">
        <f>IFERROR(__xludf.DUMMYFUNCTION("""COMPUTED_VALUE"""),"Static
Connection - Bitter Blade. 
Effect: The user’s Melee Attacks have a 16+ Effect Range to cause Targets to become Suppressed. Whenever the user hits a Drain Attack against a Suppressed Target, they heal for the full Damage the Target takes instead of"&amp;" half.  ")</f>
        <v>Static
Connection - Bitter Blade. 
Effect: The user’s Melee Attacks have a 16+ Effect Range to cause Targets to become Suppressed. Whenever the user hits a Drain Attack against a Suppressed Target, they heal for the full Damage the Target takes instead of half.  </v>
      </c>
      <c r="H125" s="224"/>
      <c r="I125" s="224"/>
      <c r="J125" s="224"/>
      <c r="K125" s="224"/>
      <c r="L125" s="224"/>
      <c r="M125" s="224"/>
      <c r="N125" s="224"/>
      <c r="O125" s="224"/>
      <c r="P125" s="224"/>
      <c r="Q125" s="224"/>
      <c r="R125" s="224"/>
      <c r="S125" s="224"/>
      <c r="T125" s="224"/>
      <c r="U125" s="224"/>
      <c r="V125" s="224"/>
      <c r="W125" s="224"/>
      <c r="X125" s="224"/>
      <c r="Y125" s="224"/>
      <c r="Z125" s="224"/>
    </row>
    <row r="126">
      <c r="A126" s="225" t="str">
        <f>IFERROR(__xludf.DUMMYFUNCTION("""COMPUTED_VALUE"""),"Blessed Touch")</f>
        <v>Blessed Touch</v>
      </c>
      <c r="B126" s="225" t="str">
        <f>IFERROR(__xludf.DUMMYFUNCTION("""COMPUTED_VALUE"""),"At-Will  - Standard Action")</f>
        <v>At-Will  - Standard Action</v>
      </c>
      <c r="C126" s="225" t="str">
        <f>IFERROR(__xludf.DUMMYFUNCTION("""COMPUTED_VALUE"""),"Effect: The Target is cured of all Physical Afflictions, restores 3 Ticks of Hit Points or gains 2 Ticks of Temporary Hit Points. An Ally can only be affected by each of these Effects once per Scene. 
Bonus: The user gains a Modifier to Save Checks equal "&amp;"to their Tier Level.")</f>
        <v>Effect: The Target is cured of all Physical Afflictions, restores 3 Ticks of Hit Points or gains 2 Ticks of Temporary Hit Points. An Ally can only be affected by each of these Effects once per Scene. 
Bonus: The user gains a Modifier to Save Checks equal to their Tier Level.</v>
      </c>
      <c r="D126" s="225"/>
      <c r="E126" s="225" t="str">
        <f>IFERROR(__xludf.DUMMYFUNCTION("""COMPUTED_VALUE"""),"An Adjacent Ally")</f>
        <v>An Adjacent Ally</v>
      </c>
      <c r="F126" s="225"/>
      <c r="G126" s="226" t="str">
        <f>IFERROR(__xludf.DUMMYFUNCTION("""COMPUTED_VALUE"""),"At-Will  - Standard Action
Target - An Adjacent Ally
Effect: The Target is cured of all Physical Afflictions, restores 3 Ticks of Hit Points or gains 2 Ticks of Temporary Hit Points. An Ally can only be affected by each of these Effects once per Scene. 
B"&amp;"onus: The user gains a Modifier to Save Checks equal to their Tier Level.")</f>
        <v>At-Will  - Standard Action
Target - An Adjacent Ally
Effect: The Target is cured of all Physical Afflictions, restores 3 Ticks of Hit Points or gains 2 Ticks of Temporary Hit Points. An Ally can only be affected by each of these Effects once per Scene. 
Bonus: The user gains a Modifier to Save Checks equal to their Tier Level.</v>
      </c>
      <c r="H126" s="224"/>
      <c r="I126" s="224"/>
      <c r="J126" s="224"/>
      <c r="K126" s="224"/>
      <c r="L126" s="224"/>
      <c r="M126" s="224"/>
      <c r="N126" s="224"/>
      <c r="O126" s="224"/>
      <c r="P126" s="224"/>
      <c r="Q126" s="224"/>
      <c r="R126" s="224"/>
      <c r="S126" s="224"/>
      <c r="T126" s="224"/>
      <c r="U126" s="224"/>
      <c r="V126" s="224"/>
      <c r="W126" s="224"/>
      <c r="X126" s="224"/>
      <c r="Y126" s="224"/>
      <c r="Z126" s="224"/>
    </row>
    <row r="127">
      <c r="A127" s="225" t="str">
        <f>IFERROR(__xludf.DUMMYFUNCTION("""COMPUTED_VALUE"""),"Blow Away")</f>
        <v>Blow Away</v>
      </c>
      <c r="B127" s="225" t="str">
        <f>IFERROR(__xludf.DUMMYFUNCTION("""COMPUTED_VALUE"""),"At-Will - Free Action")</f>
        <v>At-Will - Free Action</v>
      </c>
      <c r="C127" s="225" t="str">
        <f>IFERROR(__xludf.DUMMYFUNCTION("""COMPUTED_VALUE"""),"Effect: The Target is slid up to Xm in any direction. X is equal to 6 minus their Weight Class.
Bonus: The user may perform Trip Maneuvers as if their Range was 6, 1 Target or Line 3. ")</f>
        <v>Effect: The Target is slid up to Xm in any direction. X is equal to 6 minus their Weight Class.
Bonus: The user may perform Trip Maneuvers as if their Range was 6, 1 Target or Line 3. </v>
      </c>
      <c r="D127" s="225" t="str">
        <f>IFERROR(__xludf.DUMMYFUNCTION("""COMPUTED_VALUE"""),"The user hits an Enemy with a Flying Type Attack or a Trip Maneuver")</f>
        <v>The user hits an Enemy with a Flying Type Attack or a Trip Maneuver</v>
      </c>
      <c r="E127" s="225"/>
      <c r="F127" s="225"/>
      <c r="G127" s="226" t="str">
        <f>IFERROR(__xludf.DUMMYFUNCTION("""COMPUTED_VALUE"""),"At-Will - Free Action
Trigger - The user hits an Enemy with a Flying Type Attack or a Trip Maneuver
Effect: The Target is slid up to Xm in any direction. X is equal to 6 minus their Weight Class.
Bonus: The user may perform Trip Maneuvers as if their Rang"&amp;"e was 6, 1 Target or Line 3. ")</f>
        <v>At-Will - Free Action
Trigger - The user hits an Enemy with a Flying Type Attack or a Trip Maneuver
Effect: The Target is slid up to Xm in any direction. X is equal to 6 minus their Weight Class.
Bonus: The user may perform Trip Maneuvers as if their Range was 6, 1 Target or Line 3. </v>
      </c>
      <c r="H127" s="224"/>
      <c r="I127" s="224"/>
      <c r="J127" s="224"/>
      <c r="K127" s="224"/>
      <c r="L127" s="224"/>
      <c r="M127" s="224"/>
      <c r="N127" s="224"/>
      <c r="O127" s="224"/>
      <c r="P127" s="224"/>
      <c r="Q127" s="224"/>
      <c r="R127" s="224"/>
      <c r="S127" s="224"/>
      <c r="T127" s="224"/>
      <c r="U127" s="224"/>
      <c r="V127" s="224"/>
      <c r="W127" s="224"/>
      <c r="X127" s="224"/>
      <c r="Y127" s="224"/>
      <c r="Z127" s="224"/>
    </row>
    <row r="128">
      <c r="A128" s="225" t="str">
        <f>IFERROR(__xludf.DUMMYFUNCTION("""COMPUTED_VALUE"""),"Bodyguard")</f>
        <v>Bodyguard</v>
      </c>
      <c r="B128" s="225" t="str">
        <f>IFERROR(__xludf.DUMMYFUNCTION("""COMPUTED_VALUE"""),"Scene - Reaction")</f>
        <v>Scene - Reaction</v>
      </c>
      <c r="C128" s="225" t="str">
        <f>IFERROR(__xludf.DUMMYFUNCTION("""COMPUTED_VALUE"""),"Effect: The Triggering Ally Slides 1m in any direction, then the user slides into their original space. The user is hit by the Triggering Attack instead, taking damage from the Attack as if they resisted it one step further. If the Ally still remains with"&amp;"in the Area of Effect of the Triggering Attack, they are still hit by the Attack.  
Bonus: Whenever the user Intercepts, the Triggering Attack isn't increased by a Damage Step.")</f>
        <v>Effect: The Triggering Ally Slides 1m in any direction, then the user slides into their original space. The user is hit by the Triggering Attack instead, taking damage from the Attack as if they resisted it one step further. If the Ally still remains within the Area of Effect of the Triggering Attack, they are still hit by the Attack.  
Bonus: Whenever the user Intercepts, the Triggering Attack isn't increased by a Damage Step.</v>
      </c>
      <c r="D128" s="225" t="str">
        <f>IFERROR(__xludf.DUMMYFUNCTION("""COMPUTED_VALUE"""),"An Adjacent Ally is hit by an Attack")</f>
        <v>An Adjacent Ally is hit by an Attack</v>
      </c>
      <c r="E128" s="225"/>
      <c r="F128" s="225" t="str">
        <f>IFERROR(__xludf.DUMMYFUNCTION("""COMPUTED_VALUE"""),"Defensive")</f>
        <v>Defensive</v>
      </c>
      <c r="G128" s="226" t="str">
        <f>IFERROR(__xludf.DUMMYFUNCTION("""COMPUTED_VALUE"""),"Scene - Reaction
Keywords - Defensive
Trigger - An Adjacent Ally is hit by an Attack
Effect: The Triggering Ally Slides 1m in any direction, then the user slides into their original space. The user is hit by the Triggering Attack instead, taking damage fr"&amp;"om the Attack as if they resisted it one step further. If the Ally still remains within the Area of Effect of the Triggering Attack, they are still hit by the Attack.  
Bonus: Whenever the user Intercepts, the Triggering Attack isn't increased by a Damage"&amp;" Step.")</f>
        <v>Scene - Reaction
Keywords - Defensive
Trigger - An Adjacent Ally is hit by an Attack
Effect: The Triggering Ally Slides 1m in any direction, then the user slides into their original space. The user is hit by the Triggering Attack instead, taking damage from the Attack as if they resisted it one step further. If the Ally still remains within the Area of Effect of the Triggering Attack, they are still hit by the Attack.  
Bonus: Whenever the user Intercepts, the Triggering Attack isn't increased by a Damage Step.</v>
      </c>
      <c r="H128" s="224"/>
      <c r="I128" s="224"/>
      <c r="J128" s="224"/>
      <c r="K128" s="224"/>
      <c r="L128" s="224"/>
      <c r="M128" s="224"/>
      <c r="N128" s="224"/>
      <c r="O128" s="224"/>
      <c r="P128" s="224"/>
      <c r="Q128" s="224"/>
      <c r="R128" s="224"/>
      <c r="S128" s="224"/>
      <c r="T128" s="224"/>
      <c r="U128" s="224"/>
      <c r="V128" s="224"/>
      <c r="W128" s="224"/>
      <c r="X128" s="224"/>
      <c r="Y128" s="224"/>
      <c r="Z128" s="224"/>
    </row>
    <row r="129">
      <c r="A129" s="225" t="str">
        <f>IFERROR(__xludf.DUMMYFUNCTION("""COMPUTED_VALUE"""),"Bone Lord")</f>
        <v>Bone Lord</v>
      </c>
      <c r="B129" s="225" t="str">
        <f>IFERROR(__xludf.DUMMYFUNCTION("""COMPUTED_VALUE"""),"Static")</f>
        <v>Static</v>
      </c>
      <c r="C129" s="225" t="str">
        <f>IFERROR(__xludf.DUMMYFUNCTION("""COMPUTED_VALUE"""),"Connection - Bone Club. 
Effect: Whenever you use the Bone Club Attack, you may alter how it’s used in any of the following ways. You can only choose one at a time. You may change its range to “All Adjacent Enemies”. You may change its range to “6, 1 Targ"&amp;"et, Smite”. You may have it ignore Immunity to Ground Type Attacks. You may extend its Critical Hit Range by your Tier Level. You may use it as an Interrupt, Standard Action when hit by an Adjacent Enemy. ")</f>
        <v>Connection - Bone Club. 
Effect: Whenever you use the Bone Club Attack, you may alter how it’s used in any of the following ways. You can only choose one at a time. You may change its range to “All Adjacent Enemies”. You may change its range to “6, 1 Target, Smite”. You may have it ignore Immunity to Ground Type Attacks. You may extend its Critical Hit Range by your Tier Level. You may use it as an Interrupt, Standard Action when hit by an Adjacent Enemy. </v>
      </c>
      <c r="D129" s="225"/>
      <c r="E129" s="225"/>
      <c r="F129" s="225"/>
      <c r="G129" s="226" t="str">
        <f>IFERROR(__xludf.DUMMYFUNCTION("""COMPUTED_VALUE"""),"Static
Connection - Bone Club. 
Effect: Whenever you use the Bone Club Attack, you may alter how it’s used in any of the following ways. You can only choose one at a time. You may change its range to “All Adjacent Enemies”. You may change its range to “6,"&amp;" 1 Target, Smite”. You may have it ignore Immunity to Ground Type Attacks. You may extend its Critical Hit Range by your Tier Level. You may use it as an Interrupt, Standard Action when hit by an Adjacent Enemy. ")</f>
        <v>Static
Connection - Bone Club. 
Effect: Whenever you use the Bone Club Attack, you may alter how it’s used in any of the following ways. You can only choose one at a time. You may change its range to “All Adjacent Enemies”. You may change its range to “6, 1 Target, Smite”. You may have it ignore Immunity to Ground Type Attacks. You may extend its Critical Hit Range by your Tier Level. You may use it as an Interrupt, Standard Action when hit by an Adjacent Enemy. </v>
      </c>
      <c r="H129" s="224"/>
      <c r="I129" s="224"/>
      <c r="J129" s="224"/>
      <c r="K129" s="224"/>
      <c r="L129" s="224"/>
      <c r="M129" s="224"/>
      <c r="N129" s="224"/>
      <c r="O129" s="224"/>
      <c r="P129" s="224"/>
      <c r="Q129" s="224"/>
      <c r="R129" s="224"/>
      <c r="S129" s="224"/>
      <c r="T129" s="224"/>
      <c r="U129" s="224"/>
      <c r="V129" s="224"/>
      <c r="W129" s="224"/>
      <c r="X129" s="224"/>
      <c r="Y129" s="224"/>
      <c r="Z129" s="224"/>
    </row>
    <row r="130">
      <c r="A130" s="225" t="str">
        <f>IFERROR(__xludf.DUMMYFUNCTION("""COMPUTED_VALUE"""),"Bountiful Harvest")</f>
        <v>Bountiful Harvest</v>
      </c>
      <c r="B130" s="225" t="str">
        <f>IFERROR(__xludf.DUMMYFUNCTION("""COMPUTED_VALUE"""),"Static")</f>
        <v>Static</v>
      </c>
      <c r="C130" s="225" t="str">
        <f>IFERROR(__xludf.DUMMYFUNCTION("""COMPUTED_VALUE"""),"Effect: The user starts the Scene with 3 Fruit Counters. The user or Adjacent Allies may use a Swift Action to expend one Fruit Counter to restores two Ticks of Hit Points or cure themselves of a Physical Status Affliction. ")</f>
        <v>Effect: The user starts the Scene with 3 Fruit Counters. The user or Adjacent Allies may use a Swift Action to expend one Fruit Counter to restores two Ticks of Hit Points or cure themselves of a Physical Status Affliction. </v>
      </c>
      <c r="D130" s="225"/>
      <c r="E130" s="225"/>
      <c r="F130" s="225"/>
      <c r="G130" s="226" t="str">
        <f>IFERROR(__xludf.DUMMYFUNCTION("""COMPUTED_VALUE"""),"Static
Effect: The user starts the Scene with 3 Fruit Counters. The user or Adjacent Allies may use a Swift Action to expend one Fruit Counter to restores two Ticks of Hit Points or cure themselves of a Physical Status Affliction. ")</f>
        <v>Static
Effect: The user starts the Scene with 3 Fruit Counters. The user or Adjacent Allies may use a Swift Action to expend one Fruit Counter to restores two Ticks of Hit Points or cure themselves of a Physical Status Affliction. </v>
      </c>
      <c r="H130" s="224"/>
      <c r="I130" s="224"/>
      <c r="J130" s="224"/>
      <c r="K130" s="224"/>
      <c r="L130" s="224"/>
      <c r="M130" s="224"/>
      <c r="N130" s="224"/>
      <c r="O130" s="224"/>
      <c r="P130" s="224"/>
      <c r="Q130" s="224"/>
      <c r="R130" s="224"/>
      <c r="S130" s="224"/>
      <c r="T130" s="224"/>
      <c r="U130" s="224"/>
      <c r="V130" s="224"/>
      <c r="W130" s="224"/>
      <c r="X130" s="224"/>
      <c r="Y130" s="224"/>
      <c r="Z130" s="224"/>
    </row>
    <row r="131">
      <c r="A131" s="225" t="str">
        <f>IFERROR(__xludf.DUMMYFUNCTION("""COMPUTED_VALUE"""),"Brimstone")</f>
        <v>Brimstone</v>
      </c>
      <c r="B131" s="225" t="str">
        <f>IFERROR(__xludf.DUMMYFUNCTION("""COMPUTED_VALUE"""),"Scene - Swift Action")</f>
        <v>Scene - Swift Action</v>
      </c>
      <c r="C131" s="225" t="str">
        <f>IFERROR(__xludf.DUMMYFUNCTION("""COMPUTED_VALUE"""),"Effect: They instead are both Burned and Poisoned.
Bonus: The user gains a bonus to Effect Ranges equal to their Tier Level if the Effect would cause a Target to become Burned or Poisoned.")</f>
        <v>Effect: They instead are both Burned and Poisoned.
Bonus: The user gains a bonus to Effect Ranges equal to their Tier Level if the Effect would cause a Target to become Burned or Poisoned.</v>
      </c>
      <c r="D131" s="225" t="str">
        <f>IFERROR(__xludf.DUMMYFUNCTION("""COMPUTED_VALUE"""),"The user would Burn or Poison an Enemy")</f>
        <v>The user would Burn or Poison an Enemy</v>
      </c>
      <c r="E131" s="225"/>
      <c r="F131" s="225"/>
      <c r="G131" s="226" t="str">
        <f>IFERROR(__xludf.DUMMYFUNCTION("""COMPUTED_VALUE"""),"Scene - Swift Action
Trigger - The user would Burn or Poison an Enemy
Effect: They instead are both Burned and Poisoned.
Bonus: The user gains a bonus to Effect Ranges equal to their Tier Level if the Effect would cause a Target to become Burned or Poison"&amp;"ed.")</f>
        <v>Scene - Swift Action
Trigger - The user would Burn or Poison an Enemy
Effect: They instead are both Burned and Poisoned.
Bonus: The user gains a bonus to Effect Ranges equal to their Tier Level if the Effect would cause a Target to become Burned or Poisoned.</v>
      </c>
      <c r="H131" s="224"/>
      <c r="I131" s="224"/>
      <c r="J131" s="224"/>
      <c r="K131" s="224"/>
      <c r="L131" s="224"/>
      <c r="M131" s="224"/>
      <c r="N131" s="224"/>
      <c r="O131" s="224"/>
      <c r="P131" s="224"/>
      <c r="Q131" s="224"/>
      <c r="R131" s="224"/>
      <c r="S131" s="224"/>
      <c r="T131" s="224"/>
      <c r="U131" s="224"/>
      <c r="V131" s="224"/>
      <c r="W131" s="224"/>
      <c r="X131" s="224"/>
      <c r="Y131" s="224"/>
      <c r="Z131" s="224"/>
    </row>
    <row r="132">
      <c r="A132" s="225" t="str">
        <f>IFERROR(__xludf.DUMMYFUNCTION("""COMPUTED_VALUE"""),"Bulletproof")</f>
        <v>Bulletproof</v>
      </c>
      <c r="B132" s="225" t="str">
        <f>IFERROR(__xludf.DUMMYFUNCTION("""COMPUTED_VALUE"""),"Scene - Reaction")</f>
        <v>Scene - Reaction</v>
      </c>
      <c r="C132" s="225" t="str">
        <f>IFERROR(__xludf.DUMMYFUNCTION("""COMPUTED_VALUE"""),"Effect: The user takes Damage as if the Triggering Attack was one step less effective. If the user is Tier 3, the Frequency of this Ability becomes Scene x2 instead.")</f>
        <v>Effect: The user takes Damage as if the Triggering Attack was one step less effective. If the user is Tier 3, the Frequency of this Ability becomes Scene x2 instead.</v>
      </c>
      <c r="D132" s="225" t="str">
        <f>IFERROR(__xludf.DUMMYFUNCTION("""COMPUTED_VALUE"""),"The user is hit by a Physical Attack or 1-Target Ranged Attack")</f>
        <v>The user is hit by a Physical Attack or 1-Target Ranged Attack</v>
      </c>
      <c r="E132" s="225"/>
      <c r="F132" s="225" t="str">
        <f>IFERROR(__xludf.DUMMYFUNCTION("""COMPUTED_VALUE"""),"Defensive")</f>
        <v>Defensive</v>
      </c>
      <c r="G132" s="226" t="str">
        <f>IFERROR(__xludf.DUMMYFUNCTION("""COMPUTED_VALUE"""),"Scene - Reaction
Keywords - Defensive
Trigger - The user is hit by a Physical Attack or 1-Target Ranged Attack
Effect: The user takes Damage as if the Triggering Attack was one step less effective. If the user is Tier 3, the Frequency of this Ability beco"&amp;"mes Scene x2 instead.")</f>
        <v>Scene - Reaction
Keywords - Defensive
Trigger - The user is hit by a Physical Attack or 1-Target Ranged Attack
Effect: The user takes Damage as if the Triggering Attack was one step less effective. If the user is Tier 3, the Frequency of this Ability becomes Scene x2 instead.</v>
      </c>
      <c r="H132" s="224"/>
      <c r="I132" s="224"/>
      <c r="J132" s="224"/>
      <c r="K132" s="224"/>
      <c r="L132" s="224"/>
      <c r="M132" s="224"/>
      <c r="N132" s="224"/>
      <c r="O132" s="224"/>
      <c r="P132" s="224"/>
      <c r="Q132" s="224"/>
      <c r="R132" s="224"/>
      <c r="S132" s="224"/>
      <c r="T132" s="224"/>
      <c r="U132" s="224"/>
      <c r="V132" s="224"/>
      <c r="W132" s="224"/>
      <c r="X132" s="224"/>
      <c r="Y132" s="224"/>
      <c r="Z132" s="224"/>
    </row>
    <row r="133">
      <c r="A133" s="225" t="str">
        <f>IFERROR(__xludf.DUMMYFUNCTION("""COMPUTED_VALUE"""),"Cave Dweller ")</f>
        <v>Cave Dweller </v>
      </c>
      <c r="B133" s="225" t="str">
        <f>IFERROR(__xludf.DUMMYFUNCTION("""COMPUTED_VALUE"""),"Static")</f>
        <v>Static</v>
      </c>
      <c r="C133" s="225" t="str">
        <f>IFERROR(__xludf.DUMMYFUNCTION("""COMPUTED_VALUE"""),"Effect: The user resists Ground and Rock Type Attacks by an additional Damage step. The user gains the Darkvision Capability. While the user is in Cave Terrain, once per Round they may perform any Combat Maneuver without a Trigger as if it were a Free Act"&amp;"ion. ")</f>
        <v>Effect: The user resists Ground and Rock Type Attacks by an additional Damage step. The user gains the Darkvision Capability. While the user is in Cave Terrain, once per Round they may perform any Combat Maneuver without a Trigger as if it were a Free Action. </v>
      </c>
      <c r="D133" s="225"/>
      <c r="E133" s="225"/>
      <c r="F133" s="225" t="str">
        <f>IFERROR(__xludf.DUMMYFUNCTION("""COMPUTED_VALUE"""),"Defensive")</f>
        <v>Defensive</v>
      </c>
      <c r="G133" s="226" t="str">
        <f>IFERROR(__xludf.DUMMYFUNCTION("""COMPUTED_VALUE"""),"Static
Keywords - Defensive
Effect: The user resists Ground and Rock Type Attacks by an additional Damage step. The user gains the Darkvision Capability. While the user is in Cave Terrain, once per Round they may perform any Combat Maneuver without a Trig"&amp;"ger as if it were a Free Action. ")</f>
        <v>Static
Keywords - Defensive
Effect: The user resists Ground and Rock Type Attacks by an additional Damage step. The user gains the Darkvision Capability. While the user is in Cave Terrain, once per Round they may perform any Combat Maneuver without a Trigger as if it were a Free Action. </v>
      </c>
      <c r="H133" s="224"/>
      <c r="I133" s="224"/>
      <c r="J133" s="224"/>
      <c r="K133" s="224"/>
      <c r="L133" s="224"/>
      <c r="M133" s="224"/>
      <c r="N133" s="224"/>
      <c r="O133" s="224"/>
      <c r="P133" s="224"/>
      <c r="Q133" s="224"/>
      <c r="R133" s="224"/>
      <c r="S133" s="224"/>
      <c r="T133" s="224"/>
      <c r="U133" s="224"/>
      <c r="V133" s="224"/>
      <c r="W133" s="224"/>
      <c r="X133" s="224"/>
      <c r="Y133" s="224"/>
      <c r="Z133" s="224"/>
    </row>
    <row r="134">
      <c r="A134" s="225" t="str">
        <f>IFERROR(__xludf.DUMMYFUNCTION("""COMPUTED_VALUE"""),"Chaotic")</f>
        <v>Chaotic</v>
      </c>
      <c r="B134" s="225" t="str">
        <f>IFERROR(__xludf.DUMMYFUNCTION("""COMPUTED_VALUE"""),"Scene x2 - Free Action")</f>
        <v>Scene x2 - Free Action</v>
      </c>
      <c r="C134" s="225" t="str">
        <f>IFERROR(__xludf.DUMMYFUNCTION("""COMPUTED_VALUE"""),"Connection - Metronome. 
Effect: The GM rolls for Metronome three times and you may choose which Attack to use. 
Bonus: When you use the Metronome Attack, Damaging Attacks that are rolled may have their Category changed to either Physical or Special, of y"&amp;"our choice.")</f>
        <v>Connection - Metronome. 
Effect: The GM rolls for Metronome three times and you may choose which Attack to use. 
Bonus: When you use the Metronome Attack, Damaging Attacks that are rolled may have their Category changed to either Physical or Special, of your choice.</v>
      </c>
      <c r="D134" s="225" t="str">
        <f>IFERROR(__xludf.DUMMYFUNCTION("""COMPUTED_VALUE"""),"You use Metronome as a Standard Action")</f>
        <v>You use Metronome as a Standard Action</v>
      </c>
      <c r="E134" s="225"/>
      <c r="F134" s="225"/>
      <c r="G134" s="226" t="str">
        <f>IFERROR(__xludf.DUMMYFUNCTION("""COMPUTED_VALUE"""),"Scene x2 - Free Action
Trigger - You use Metronome as a Standard Action
Connection - Metronome. 
Effect: The GM rolls for Metronome three times and you may choose which Attack to use. 
Bonus: When you use the Metronome Attack, Damaging Attacks that are ro"&amp;"lled may have their Category changed to either Physical or Special, of your choice.")</f>
        <v>Scene x2 - Free Action
Trigger - You use Metronome as a Standard Action
Connection - Metronome. 
Effect: The GM rolls for Metronome three times and you may choose which Attack to use. 
Bonus: When you use the Metronome Attack, Damaging Attacks that are rolled may have their Category changed to either Physical or Special, of your choice.</v>
      </c>
      <c r="H134" s="224"/>
      <c r="I134" s="224"/>
      <c r="J134" s="224"/>
      <c r="K134" s="224"/>
      <c r="L134" s="224"/>
      <c r="M134" s="224"/>
      <c r="N134" s="224"/>
      <c r="O134" s="224"/>
      <c r="P134" s="224"/>
      <c r="Q134" s="224"/>
      <c r="R134" s="224"/>
      <c r="S134" s="224"/>
      <c r="T134" s="224"/>
      <c r="U134" s="224"/>
      <c r="V134" s="224"/>
      <c r="W134" s="224"/>
      <c r="X134" s="224"/>
      <c r="Y134" s="224"/>
      <c r="Z134" s="224"/>
    </row>
    <row r="135">
      <c r="A135" s="225" t="str">
        <f>IFERROR(__xludf.DUMMYFUNCTION("""COMPUTED_VALUE"""),"Chemical Romance")</f>
        <v>Chemical Romance</v>
      </c>
      <c r="B135" s="225" t="str">
        <f>IFERROR(__xludf.DUMMYFUNCTION("""COMPUTED_VALUE"""),"At-Will - Swift Action")</f>
        <v>At-Will - Swift Action</v>
      </c>
      <c r="C135" s="225" t="str">
        <f>IFERROR(__xludf.DUMMYFUNCTION("""COMPUTED_VALUE"""),"Effect: The Poisoned Enemy also becomes Entranced. They cannot cure the Entranced Affliction while they’re Poisoned this way.
Bonus: Entranced Enemies within 3m of you suffer a penalty to Save Checks equal to your Tier Level.")</f>
        <v>Effect: The Poisoned Enemy also becomes Entranced. They cannot cure the Entranced Affliction while they’re Poisoned this way.
Bonus: Entranced Enemies within 3m of you suffer a penalty to Save Checks equal to your Tier Level.</v>
      </c>
      <c r="D135" s="225" t="str">
        <f>IFERROR(__xludf.DUMMYFUNCTION("""COMPUTED_VALUE"""),"The user would Poison an Enemy")</f>
        <v>The user would Poison an Enemy</v>
      </c>
      <c r="E135" s="225"/>
      <c r="F135" s="225"/>
      <c r="G135" s="226" t="str">
        <f>IFERROR(__xludf.DUMMYFUNCTION("""COMPUTED_VALUE"""),"At-Will - Swift Action
Trigger - The user would Poison an Enemy
Effect: The Poisoned Enemy also becomes Entranced. They cannot cure the Entranced Affliction while they’re Poisoned this way.
Bonus: Entranced Enemies within 3m of you suffer a penalty to Sav"&amp;"e Checks equal to your Tier Level.")</f>
        <v>At-Will - Swift Action
Trigger - The user would Poison an Enemy
Effect: The Poisoned Enemy also becomes Entranced. They cannot cure the Entranced Affliction while they’re Poisoned this way.
Bonus: Entranced Enemies within 3m of you suffer a penalty to Save Checks equal to your Tier Level.</v>
      </c>
      <c r="H135" s="224"/>
      <c r="I135" s="224"/>
      <c r="J135" s="224"/>
      <c r="K135" s="224"/>
      <c r="L135" s="224"/>
      <c r="M135" s="224"/>
      <c r="N135" s="224"/>
      <c r="O135" s="224"/>
      <c r="P135" s="224"/>
      <c r="Q135" s="224"/>
      <c r="R135" s="224"/>
      <c r="S135" s="224"/>
      <c r="T135" s="224"/>
      <c r="U135" s="224"/>
      <c r="V135" s="224"/>
      <c r="W135" s="224"/>
      <c r="X135" s="224"/>
      <c r="Y135" s="224"/>
      <c r="Z135" s="224"/>
    </row>
    <row r="136">
      <c r="A136" s="225" t="str">
        <f>IFERROR(__xludf.DUMMYFUNCTION("""COMPUTED_VALUE"""),"Chlorophyll")</f>
        <v>Chlorophyll</v>
      </c>
      <c r="B136" s="225" t="str">
        <f>IFERROR(__xludf.DUMMYFUNCTION("""COMPUTED_VALUE"""),"Scene - Swift Action ")</f>
        <v>Scene - Swift Action </v>
      </c>
      <c r="C136" s="225" t="str">
        <f>IFERROR(__xludf.DUMMYFUNCTION("""COMPUTED_VALUE"""),"Effect: The user restores two Ticks of Hit Points or gains 2 Ticks of Temporary Hit Points or is cured of a Physical Status Affliction. If the user is in Sunny Weather, the Frequency of Chlorophyll isn’t expended. This Ability can only ignore its Frequenc"&amp;"y twice in a Scene.")</f>
        <v>Effect: The user restores two Ticks of Hit Points or gains 2 Ticks of Temporary Hit Points or is cured of a Physical Status Affliction. If the user is in Sunny Weather, the Frequency of Chlorophyll isn’t expended. This Ability can only ignore its Frequency twice in a Scene.</v>
      </c>
      <c r="D136" s="225"/>
      <c r="E136" s="225"/>
      <c r="F136" s="225"/>
      <c r="G136" s="226" t="str">
        <f>IFERROR(__xludf.DUMMYFUNCTION("""COMPUTED_VALUE"""),"Scene - Swift Action 
Effect: The user restores two Ticks of Hit Points or gains 2 Ticks of Temporary Hit Points or is cured of a Physical Status Affliction. If the user is in Sunny Weather, the Frequency of Chlorophyll isn’t expended. This Ability can on"&amp;"ly ignore its Frequency twice in a Scene.")</f>
        <v>Scene - Swift Action 
Effect: The user restores two Ticks of Hit Points or gains 2 Ticks of Temporary Hit Points or is cured of a Physical Status Affliction. If the user is in Sunny Weather, the Frequency of Chlorophyll isn’t expended. This Ability can only ignore its Frequency twice in a Scene.</v>
      </c>
      <c r="H136" s="224"/>
      <c r="I136" s="224"/>
      <c r="J136" s="224"/>
      <c r="K136" s="224"/>
      <c r="L136" s="224"/>
      <c r="M136" s="224"/>
      <c r="N136" s="224"/>
      <c r="O136" s="224"/>
      <c r="P136" s="224"/>
      <c r="Q136" s="224"/>
      <c r="R136" s="224"/>
      <c r="S136" s="224"/>
      <c r="T136" s="224"/>
      <c r="U136" s="224"/>
      <c r="V136" s="224"/>
      <c r="W136" s="224"/>
      <c r="X136" s="224"/>
      <c r="Y136" s="224"/>
      <c r="Z136" s="224"/>
    </row>
    <row r="137">
      <c r="A137" s="225" t="str">
        <f>IFERROR(__xludf.DUMMYFUNCTION("""COMPUTED_VALUE"""),"Clay Cannons")</f>
        <v>Clay Cannons</v>
      </c>
      <c r="B137" s="225" t="str">
        <f>IFERROR(__xludf.DUMMYFUNCTION("""COMPUTED_VALUE"""),"Static")</f>
        <v>Static</v>
      </c>
      <c r="C137" s="225" t="str">
        <f>IFERROR(__xludf.DUMMYFUNCTION("""COMPUTED_VALUE"""),"Effect: The user gains two Cannon Tokens that must stay within 2m of the user at all times. The user may move them anywhere within this range Limit as a Free Action on their Turn. Each Token has 1 HP and if they Faint, can be revived as a Swift Action. Th"&amp;"e user may originate any Attack or Maneuver from a Cannon Token. When originating an Attack from a Cannon Token, all Blast Ranges are increased by +1 and Line Ranges are increased by +2. These Attacks also gain +3d8 to their Damage Rolls. ")</f>
        <v>Effect: The user gains two Cannon Tokens that must stay within 2m of the user at all times. The user may move them anywhere within this range Limit as a Free Action on their Turn. Each Token has 1 HP and if they Faint, can be revived as a Swift Action. The user may originate any Attack or Maneuver from a Cannon Token. When originating an Attack from a Cannon Token, all Blast Ranges are increased by +1 and Line Ranges are increased by +2. These Attacks also gain +3d8 to their Damage Rolls. </v>
      </c>
      <c r="D137" s="225"/>
      <c r="E137" s="225"/>
      <c r="F137" s="225"/>
      <c r="G137" s="226" t="str">
        <f>IFERROR(__xludf.DUMMYFUNCTION("""COMPUTED_VALUE"""),"Static
Effect: The user gains two Cannon Tokens that must stay within 2m of the user at all times. The user may move them anywhere within this range Limit as a Free Action on their Turn. Each Token has 1 HP and if they Faint, can be revived as a Swift Act"&amp;"ion. The user may originate any Attack or Maneuver from a Cannon Token. When originating an Attack from a Cannon Token, all Blast Ranges are increased by +1 and Line Ranges are increased by +2. These Attacks also gain +3d8 to their Damage Rolls. ")</f>
        <v>Static
Effect: The user gains two Cannon Tokens that must stay within 2m of the user at all times. The user may move them anywhere within this range Limit as a Free Action on their Turn. Each Token has 1 HP and if they Faint, can be revived as a Swift Action. The user may originate any Attack or Maneuver from a Cannon Token. When originating an Attack from a Cannon Token, all Blast Ranges are increased by +1 and Line Ranges are increased by +2. These Attacks also gain +3d8 to their Damage Rolls. </v>
      </c>
      <c r="H137" s="224"/>
      <c r="I137" s="224"/>
      <c r="J137" s="224"/>
      <c r="K137" s="224"/>
      <c r="L137" s="224"/>
      <c r="M137" s="224"/>
      <c r="N137" s="224"/>
      <c r="O137" s="224"/>
      <c r="P137" s="224"/>
      <c r="Q137" s="224"/>
      <c r="R137" s="224"/>
      <c r="S137" s="224"/>
      <c r="T137" s="224"/>
      <c r="U137" s="224"/>
      <c r="V137" s="224"/>
      <c r="W137" s="224"/>
      <c r="X137" s="224"/>
      <c r="Y137" s="224"/>
      <c r="Z137" s="224"/>
    </row>
    <row r="138">
      <c r="A138" s="225" t="str">
        <f>IFERROR(__xludf.DUMMYFUNCTION("""COMPUTED_VALUE"""),"Clear Body")</f>
        <v>Clear Body</v>
      </c>
      <c r="B138" s="225" t="str">
        <f>IFERROR(__xludf.DUMMYFUNCTION("""COMPUTED_VALUE"""),"Static")</f>
        <v>Static</v>
      </c>
      <c r="C138" s="225" t="str">
        <f>IFERROR(__xludf.DUMMYFUNCTION("""COMPUTED_VALUE"""),"Effect: The user cannot have Combat Stages lowered by the result of an Enemy’s Feature, Ability, Attack, etc. Indirect methods such as Status Afflictions still affect them. The user is Immune to negative modifiers as a result of an Enemy’s Feature, Abilit"&amp;"y, Attack, etc. This includes modifiers to Accuracy, Save Checks, Evasion, etc. ")</f>
        <v>Effect: The user cannot have Combat Stages lowered by the result of an Enemy’s Feature, Ability, Attack, etc. Indirect methods such as Status Afflictions still affect them. The user is Immune to negative modifiers as a result of an Enemy’s Feature, Ability, Attack, etc. This includes modifiers to Accuracy, Save Checks, Evasion, etc. </v>
      </c>
      <c r="D138" s="225"/>
      <c r="E138" s="225"/>
      <c r="F138" s="225" t="str">
        <f>IFERROR(__xludf.DUMMYFUNCTION("""COMPUTED_VALUE"""),"Defensive")</f>
        <v>Defensive</v>
      </c>
      <c r="G138" s="226" t="str">
        <f>IFERROR(__xludf.DUMMYFUNCTION("""COMPUTED_VALUE"""),"Static
Keywords - Defensive
Effect: The user cannot have Combat Stages lowered by the result of an Enemy’s Feature, Ability, Attack, etc. Indirect methods such as Status Afflictions still affect them. The user is Immune to negative modifiers as a result o"&amp;"f an Enemy’s Feature, Ability, Attack, etc. This includes modifiers to Accuracy, Save Checks, Evasion, etc. ")</f>
        <v>Static
Keywords - Defensive
Effect: The user cannot have Combat Stages lowered by the result of an Enemy’s Feature, Ability, Attack, etc. Indirect methods such as Status Afflictions still affect them. The user is Immune to negative modifiers as a result of an Enemy’s Feature, Ability, Attack, etc. This includes modifiers to Accuracy, Save Checks, Evasion, etc. </v>
      </c>
      <c r="H138" s="224"/>
      <c r="I138" s="224"/>
      <c r="J138" s="224"/>
      <c r="K138" s="224"/>
      <c r="L138" s="224"/>
      <c r="M138" s="224"/>
      <c r="N138" s="224"/>
      <c r="O138" s="224"/>
      <c r="P138" s="224"/>
      <c r="Q138" s="224"/>
      <c r="R138" s="224"/>
      <c r="S138" s="224"/>
      <c r="T138" s="224"/>
      <c r="U138" s="224"/>
      <c r="V138" s="224"/>
      <c r="W138" s="224"/>
      <c r="X138" s="224"/>
      <c r="Y138" s="224"/>
      <c r="Z138" s="224"/>
    </row>
    <row r="139">
      <c r="A139" s="225" t="str">
        <f>IFERROR(__xludf.DUMMYFUNCTION("""COMPUTED_VALUE"""),"Cloud Nine")</f>
        <v>Cloud Nine</v>
      </c>
      <c r="B139" s="225" t="str">
        <f>IFERROR(__xludf.DUMMYFUNCTION("""COMPUTED_VALUE"""),"Scene - Swift Action")</f>
        <v>Scene - Swift Action</v>
      </c>
      <c r="C139" s="225" t="str">
        <f>IFERROR(__xludf.DUMMYFUNCTION("""COMPUTED_VALUE"""),"Effect: All Weather on the Field is removed. The same Weather cannot be added to the Field until end of the next Round.
Bonus: While there is no Weather on the Field, the user has a bonus to Save Checks equal to their Tier Level and has a Boon to all Skil"&amp;"l Checks while in Combat. ")</f>
        <v>Effect: All Weather on the Field is removed. The same Weather cannot be added to the Field until end of the next Round.
Bonus: While there is no Weather on the Field, the user has a bonus to Save Checks equal to their Tier Level and has a Boon to all Skill Checks while in Combat. </v>
      </c>
      <c r="D139" s="225"/>
      <c r="E139" s="225"/>
      <c r="F139" s="225"/>
      <c r="G139" s="226" t="str">
        <f>IFERROR(__xludf.DUMMYFUNCTION("""COMPUTED_VALUE"""),"Scene - Swift Action
Effect: All Weather on the Field is removed. The same Weather cannot be added to the Field until end of the next Round.
Bonus: While there is no Weather on the Field, the user has a bonus to Save Checks equal to their Tier Level and h"&amp;"as a Boon to all Skill Checks while in Combat. ")</f>
        <v>Scene - Swift Action
Effect: All Weather on the Field is removed. The same Weather cannot be added to the Field until end of the next Round.
Bonus: While there is no Weather on the Field, the user has a bonus to Save Checks equal to their Tier Level and has a Boon to all Skill Checks while in Combat. </v>
      </c>
      <c r="H139" s="224"/>
      <c r="I139" s="224"/>
      <c r="J139" s="224"/>
      <c r="K139" s="224"/>
      <c r="L139" s="224"/>
      <c r="M139" s="224"/>
      <c r="N139" s="224"/>
      <c r="O139" s="224"/>
      <c r="P139" s="224"/>
      <c r="Q139" s="224"/>
      <c r="R139" s="224"/>
      <c r="S139" s="224"/>
      <c r="T139" s="224"/>
      <c r="U139" s="224"/>
      <c r="V139" s="224"/>
      <c r="W139" s="224"/>
      <c r="X139" s="224"/>
      <c r="Y139" s="224"/>
      <c r="Z139" s="224"/>
    </row>
    <row r="140">
      <c r="A140" s="225" t="str">
        <f>IFERROR(__xludf.DUMMYFUNCTION("""COMPUTED_VALUE"""),"Cluster Mind")</f>
        <v>Cluster Mind</v>
      </c>
      <c r="B140" s="225" t="str">
        <f>IFERROR(__xludf.DUMMYFUNCTION("""COMPUTED_VALUE"""),"Scene - Swift Action
")</f>
        <v>Scene - Swift Action
</v>
      </c>
      <c r="C140" s="225" t="str">
        <f>IFERROR(__xludf.DUMMYFUNCTION("""COMPUTED_VALUE"""),"Effect: The user may switch an Attack between their Known Attack List and their Attack List until the end of the Scene.
Bonus: The user gains bonus Attack Slots equal to their Tier Level. Attacks that occupy these Slots must be Status Category.")</f>
        <v>Effect: The user may switch an Attack between their Known Attack List and their Attack List until the end of the Scene.
Bonus: The user gains bonus Attack Slots equal to their Tier Level. Attacks that occupy these Slots must be Status Category.</v>
      </c>
      <c r="D140" s="225"/>
      <c r="E140" s="225"/>
      <c r="F140" s="225"/>
      <c r="G140" s="226" t="str">
        <f>IFERROR(__xludf.DUMMYFUNCTION("""COMPUTED_VALUE"""),"Scene - Swift Action
Effect: The user may switch an Attack between their Known Attack List and their Attack List until the end of the Scene.
Bonus: The user gains bonus Attack Slots equal to their Tier Level. Attacks that occupy these Slots must be Stat"&amp;"us Category.")</f>
        <v>Scene - Swift Action
Effect: The user may switch an Attack between their Known Attack List and their Attack List until the end of the Scene.
Bonus: The user gains bonus Attack Slots equal to their Tier Level. Attacks that occupy these Slots must be Status Category.</v>
      </c>
      <c r="H140" s="224"/>
      <c r="I140" s="224"/>
      <c r="J140" s="224"/>
      <c r="K140" s="224"/>
      <c r="L140" s="224"/>
      <c r="M140" s="224"/>
      <c r="N140" s="224"/>
      <c r="O140" s="224"/>
      <c r="P140" s="224"/>
      <c r="Q140" s="224"/>
      <c r="R140" s="224"/>
      <c r="S140" s="224"/>
      <c r="T140" s="224"/>
      <c r="U140" s="224"/>
      <c r="V140" s="224"/>
      <c r="W140" s="224"/>
      <c r="X140" s="224"/>
      <c r="Y140" s="224"/>
      <c r="Z140" s="224"/>
    </row>
    <row r="141">
      <c r="A141" s="225" t="str">
        <f>IFERROR(__xludf.DUMMYFUNCTION("""COMPUTED_VALUE"""),"Color Change")</f>
        <v>Color Change</v>
      </c>
      <c r="B141" s="225" t="str">
        <f>IFERROR(__xludf.DUMMYFUNCTION("""COMPUTED_VALUE"""),"At-Will - Free Action")</f>
        <v>At-Will - Free Action</v>
      </c>
      <c r="C141" s="225" t="str">
        <f>IFERROR(__xludf.DUMMYFUNCTION("""COMPUTED_VALUE"""),"Effect: Choose any Type. The user’s Type changes to match the chosen Type until the end of the Scene. 
Bonus: The user resists Attacks of its current Type by an additional Damage Step. ")</f>
        <v>Effect: Choose any Type. The user’s Type changes to match the chosen Type until the end of the Scene. 
Bonus: The user resists Attacks of its current Type by an additional Damage Step. </v>
      </c>
      <c r="D141" s="225"/>
      <c r="E141" s="225"/>
      <c r="F141" s="225"/>
      <c r="G141" s="226" t="str">
        <f>IFERROR(__xludf.DUMMYFUNCTION("""COMPUTED_VALUE"""),"At-Will - Free Action
Effect: Choose any Type. The user’s Type changes to match the chosen Type until the end of the Scene. 
Bonus: The user resists Attacks of its current Type by an additional Damage Step. ")</f>
        <v>At-Will - Free Action
Effect: Choose any Type. The user’s Type changes to match the chosen Type until the end of the Scene. 
Bonus: The user resists Attacks of its current Type by an additional Damage Step. </v>
      </c>
      <c r="H141" s="224"/>
      <c r="I141" s="224"/>
      <c r="J141" s="224"/>
      <c r="K141" s="224"/>
      <c r="L141" s="224"/>
      <c r="M141" s="224"/>
      <c r="N141" s="224"/>
      <c r="O141" s="224"/>
      <c r="P141" s="224"/>
      <c r="Q141" s="224"/>
      <c r="R141" s="224"/>
      <c r="S141" s="224"/>
      <c r="T141" s="224"/>
      <c r="U141" s="224"/>
      <c r="V141" s="224"/>
      <c r="W141" s="224"/>
      <c r="X141" s="224"/>
      <c r="Y141" s="224"/>
      <c r="Z141" s="224"/>
    </row>
    <row r="142">
      <c r="A142" s="225" t="str">
        <f>IFERROR(__xludf.DUMMYFUNCTION("""COMPUTED_VALUE"""),"Color Theory")</f>
        <v>Color Theory</v>
      </c>
      <c r="B142" s="225" t="str">
        <f>IFERROR(__xludf.DUMMYFUNCTION("""COMPUTED_VALUE"""),"At-Will - Free Action  ")</f>
        <v>At-Will - Free Action  </v>
      </c>
      <c r="C142" s="225" t="str">
        <f>IFERROR(__xludf.DUMMYFUNCTION("""COMPUTED_VALUE"""),"Effect: The user may instead deal Damage as if its Type was one of the Types associated with their Color. 
Bonus: When the user is born, choose a Color for their Tail. Each color has an associated set of Types and Stat. The user gains +5 Stat Points in th"&amp;"e associated Stat that go in the Extra Column. Red - (Attack | Fire, Fairy, Psychic), Orange - (Defense | Normal, Fighting, Dragon) Yellow - (Special Attack | Electric, Rock, Steel) Green - (Special Defense | Bug, Grass Ground) Blue - (Speed | Flying, Ice"&amp;", Water) Violet - (Hit Points | Dark, Ghost, Poison) ")</f>
        <v>Effect: The user may instead deal Damage as if its Type was one of the Types associated with their Color. 
Bonus: When the user is born, choose a Color for their Tail. Each color has an associated set of Types and Stat. The user gains +5 Stat Points in the associated Stat that go in the Extra Column. Red - (Attack | Fire, Fairy, Psychic), Orange - (Defense | Normal, Fighting, Dragon) Yellow - (Special Attack | Electric, Rock, Steel) Green - (Special Defense | Bug, Grass Ground) Blue - (Speed | Flying, Ice, Water) Violet - (Hit Points | Dark, Ghost, Poison) </v>
      </c>
      <c r="D142" s="225" t="str">
        <f>IFERROR(__xludf.DUMMYFUNCTION("""COMPUTED_VALUE"""),"The user hits a Damaging Attack")</f>
        <v>The user hits a Damaging Attack</v>
      </c>
      <c r="E142" s="225"/>
      <c r="F142" s="225"/>
      <c r="G142" s="226" t="str">
        <f>IFERROR(__xludf.DUMMYFUNCTION("""COMPUTED_VALUE"""),"At-Will - Free Action  
Trigger - The user hits a Damaging Attack
Effect: The user may instead deal Damage as if its Type was one of the Types associated with their Color. 
Bonus: When the user is born, choose a Color for their Tail. Each color has an ass"&amp;"ociated set of Types and Stat. The user gains +5 Stat Points in the associated Stat that go in the Extra Column. Red - (Attack | Fire, Fairy, Psychic), Orange - (Defense | Normal, Fighting, Dragon) Yellow - (Special Attack | Electric, Rock, Steel) Green -"&amp;" (Special Defense | Bug, Grass Ground) Blue - (Speed | Flying, Ice, Water) Violet - (Hit Points | Dark, Ghost, Poison) ")</f>
        <v>At-Will - Free Action  
Trigger - The user hits a Damaging Attack
Effect: The user may instead deal Damage as if its Type was one of the Types associated with their Color. 
Bonus: When the user is born, choose a Color for their Tail. Each color has an associated set of Types and Stat. The user gains +5 Stat Points in the associated Stat that go in the Extra Column. Red - (Attack | Fire, Fairy, Psychic), Orange - (Defense | Normal, Fighting, Dragon) Yellow - (Special Attack | Electric, Rock, Steel) Green - (Special Defense | Bug, Grass Ground) Blue - (Speed | Flying, Ice, Water) Violet - (Hit Points | Dark, Ghost, Poison) </v>
      </c>
      <c r="H142" s="224"/>
      <c r="I142" s="224"/>
      <c r="J142" s="224"/>
      <c r="K142" s="224"/>
      <c r="L142" s="224"/>
      <c r="M142" s="224"/>
      <c r="N142" s="224"/>
      <c r="O142" s="224"/>
      <c r="P142" s="224"/>
      <c r="Q142" s="224"/>
      <c r="R142" s="224"/>
      <c r="S142" s="224"/>
      <c r="T142" s="224"/>
      <c r="U142" s="224"/>
      <c r="V142" s="224"/>
      <c r="W142" s="224"/>
      <c r="X142" s="224"/>
      <c r="Y142" s="224"/>
      <c r="Z142" s="224"/>
    </row>
    <row r="143">
      <c r="A143" s="225" t="str">
        <f>IFERROR(__xludf.DUMMYFUNCTION("""COMPUTED_VALUE"""),"Comatose")</f>
        <v>Comatose</v>
      </c>
      <c r="B143" s="225" t="str">
        <f>IFERROR(__xludf.DUMMYFUNCTION("""COMPUTED_VALUE"""),"At-Will - Movement Action")</f>
        <v>At-Will - Movement Action</v>
      </c>
      <c r="C143" s="225" t="str">
        <f>IFERROR(__xludf.DUMMYFUNCTION("""COMPUTED_VALUE"""),"Effect: The user regains a Tick of Hit Points.
Bonus: The user is Immune to the Drowsy Affliction.")</f>
        <v>Effect: The user regains a Tick of Hit Points.
Bonus: The user is Immune to the Drowsy Affliction.</v>
      </c>
      <c r="D143" s="225"/>
      <c r="E143" s="225"/>
      <c r="F143" s="225"/>
      <c r="G143" s="226" t="str">
        <f>IFERROR(__xludf.DUMMYFUNCTION("""COMPUTED_VALUE"""),"At-Will - Movement Action
Effect: The user regains a Tick of Hit Points.
Bonus: The user is Immune to the Drowsy Affliction.")</f>
        <v>At-Will - Movement Action
Effect: The user regains a Tick of Hit Points.
Bonus: The user is Immune to the Drowsy Affliction.</v>
      </c>
      <c r="H143" s="224"/>
      <c r="I143" s="224"/>
      <c r="J143" s="224"/>
      <c r="K143" s="224"/>
      <c r="L143" s="224"/>
      <c r="M143" s="224"/>
      <c r="N143" s="224"/>
      <c r="O143" s="224"/>
      <c r="P143" s="224"/>
      <c r="Q143" s="224"/>
      <c r="R143" s="224"/>
      <c r="S143" s="224"/>
      <c r="T143" s="224"/>
      <c r="U143" s="224"/>
      <c r="V143" s="224"/>
      <c r="W143" s="224"/>
      <c r="X143" s="224"/>
      <c r="Y143" s="224"/>
      <c r="Z143" s="224"/>
    </row>
    <row r="144">
      <c r="A144" s="225" t="str">
        <f>IFERROR(__xludf.DUMMYFUNCTION("""COMPUTED_VALUE"""),"Combo Striker")</f>
        <v>Combo Striker</v>
      </c>
      <c r="B144" s="225" t="str">
        <f>IFERROR(__xludf.DUMMYFUNCTION("""COMPUTED_VALUE"""),"At-Will - Free Action")</f>
        <v>At-Will - Free Action</v>
      </c>
      <c r="C144" s="225" t="str">
        <f>IFERROR(__xludf.DUMMYFUNCTION("""COMPUTED_VALUE"""),"Effect: After the Triggering Attack Resolves, the user may use a Basic Attack against the same Target. ")</f>
        <v>Effect: After the Triggering Attack Resolves, the user may use a Basic Attack against the same Target. </v>
      </c>
      <c r="D144" s="225" t="str">
        <f>IFERROR(__xludf.DUMMYFUNCTION("""COMPUTED_VALUE"""),"The user rolls a Natural 5, 10, 15 or 20 on an Accuracy Roll for a Melee Damaging Attack")</f>
        <v>The user rolls a Natural 5, 10, 15 or 20 on an Accuracy Roll for a Melee Damaging Attack</v>
      </c>
      <c r="E144" s="225"/>
      <c r="F144" s="225"/>
      <c r="G144" s="226" t="str">
        <f>IFERROR(__xludf.DUMMYFUNCTION("""COMPUTED_VALUE"""),"At-Will - Free Action
Trigger - The user rolls a Natural 5, 10, 15 or 20 on an Accuracy Roll for a Melee Damaging Attack
Effect: After the Triggering Attack Resolves, the user may use a Basic Attack against the same Target. ")</f>
        <v>At-Will - Free Action
Trigger - The user rolls a Natural 5, 10, 15 or 20 on an Accuracy Roll for a Melee Damaging Attack
Effect: After the Triggering Attack Resolves, the user may use a Basic Attack against the same Target. </v>
      </c>
      <c r="H144" s="224"/>
      <c r="I144" s="224"/>
      <c r="J144" s="224"/>
      <c r="K144" s="224"/>
      <c r="L144" s="224"/>
      <c r="M144" s="224"/>
      <c r="N144" s="224"/>
      <c r="O144" s="224"/>
      <c r="P144" s="224"/>
      <c r="Q144" s="224"/>
      <c r="R144" s="224"/>
      <c r="S144" s="224"/>
      <c r="T144" s="224"/>
      <c r="U144" s="224"/>
      <c r="V144" s="224"/>
      <c r="W144" s="224"/>
      <c r="X144" s="224"/>
      <c r="Y144" s="224"/>
      <c r="Z144" s="224"/>
    </row>
    <row r="145">
      <c r="A145" s="225" t="str">
        <f>IFERROR(__xludf.DUMMYFUNCTION("""COMPUTED_VALUE"""),"Commander")</f>
        <v>Commander</v>
      </c>
      <c r="B145" s="225" t="str">
        <f>IFERROR(__xludf.DUMMYFUNCTION("""COMPUTED_VALUE"""),"At-Will - Swift Action")</f>
        <v>At-Will - Swift Action</v>
      </c>
      <c r="C145" s="225" t="str">
        <f>IFERROR(__xludf.DUMMYFUNCTION("""COMPUTED_VALUE"""),"Connection - Helping Hand.
Effect: The Target gains a bonus to Accuracy and Save Checks equal to your Tier Level until the end of their next Turn. 
Bonus: The user treats all Allies as if they were Cover Terrain when Attacks would Target the user.")</f>
        <v>Connection - Helping Hand.
Effect: The Target gains a bonus to Accuracy and Save Checks equal to your Tier Level until the end of their next Turn. 
Bonus: The user treats all Allies as if they were Cover Terrain when Attacks would Target the user.</v>
      </c>
      <c r="D145" s="225"/>
      <c r="E145" s="225" t="str">
        <f>IFERROR(__xludf.DUMMYFUNCTION("""COMPUTED_VALUE"""),"An Adjacent Ally")</f>
        <v>An Adjacent Ally</v>
      </c>
      <c r="F145" s="225"/>
      <c r="G145" s="226" t="str">
        <f>IFERROR(__xludf.DUMMYFUNCTION("""COMPUTED_VALUE"""),"At-Will - Swift Action
Target - An Adjacent Ally
Connection - Helping Hand.
Effect: The Target gains a bonus to Accuracy and Save Checks equal to your Tier Level until the end of their next Turn. 
Bonus: The user treats all Allies as if they were Cover Te"&amp;"rrain when Attacks would Target the user.")</f>
        <v>At-Will - Swift Action
Target - An Adjacent Ally
Connection - Helping Hand.
Effect: The Target gains a bonus to Accuracy and Save Checks equal to your Tier Level until the end of their next Turn. 
Bonus: The user treats all Allies as if they were Cover Terrain when Attacks would Target the user.</v>
      </c>
      <c r="H145" s="224"/>
      <c r="I145" s="224"/>
      <c r="J145" s="224"/>
      <c r="K145" s="224"/>
      <c r="L145" s="224"/>
      <c r="M145" s="224"/>
      <c r="N145" s="224"/>
      <c r="O145" s="224"/>
      <c r="P145" s="224"/>
      <c r="Q145" s="224"/>
      <c r="R145" s="224"/>
      <c r="S145" s="224"/>
      <c r="T145" s="224"/>
      <c r="U145" s="224"/>
      <c r="V145" s="224"/>
      <c r="W145" s="224"/>
      <c r="X145" s="224"/>
      <c r="Y145" s="224"/>
      <c r="Z145" s="224"/>
    </row>
    <row r="146">
      <c r="A146" s="225" t="str">
        <f>IFERROR(__xludf.DUMMYFUNCTION("""COMPUTED_VALUE"""),"Complex Neurolink")</f>
        <v>Complex Neurolink</v>
      </c>
      <c r="B146" s="225" t="str">
        <f>IFERROR(__xludf.DUMMYFUNCTION("""COMPUTED_VALUE"""),"Static")</f>
        <v>Static</v>
      </c>
      <c r="C146" s="225" t="str">
        <f>IFERROR(__xludf.DUMMYFUNCTION("""COMPUTED_VALUE"""),"Effect: The user is immune to Mental Afflictions caused by Enemies. ")</f>
        <v>Effect: The user is immune to Mental Afflictions caused by Enemies. </v>
      </c>
      <c r="D146" s="225"/>
      <c r="E146" s="225"/>
      <c r="F146" s="225" t="str">
        <f>IFERROR(__xludf.DUMMYFUNCTION("""COMPUTED_VALUE"""),"Defensive")</f>
        <v>Defensive</v>
      </c>
      <c r="G146" s="226" t="str">
        <f>IFERROR(__xludf.DUMMYFUNCTION("""COMPUTED_VALUE"""),"Static
Keywords - Defensive
Effect: The user is immune to Mental Afflictions caused by Enemies. ")</f>
        <v>Static
Keywords - Defensive
Effect: The user is immune to Mental Afflictions caused by Enemies. </v>
      </c>
      <c r="H146" s="224"/>
      <c r="I146" s="224"/>
      <c r="J146" s="224"/>
      <c r="K146" s="224"/>
      <c r="L146" s="224"/>
      <c r="M146" s="224"/>
      <c r="N146" s="224"/>
      <c r="O146" s="224"/>
      <c r="P146" s="224"/>
      <c r="Q146" s="224"/>
      <c r="R146" s="224"/>
      <c r="S146" s="224"/>
      <c r="T146" s="224"/>
      <c r="U146" s="224"/>
      <c r="V146" s="224"/>
      <c r="W146" s="224"/>
      <c r="X146" s="224"/>
      <c r="Y146" s="224"/>
      <c r="Z146" s="224"/>
    </row>
    <row r="147">
      <c r="A147" s="225" t="str">
        <f>IFERROR(__xludf.DUMMYFUNCTION("""COMPUTED_VALUE"""),"Compound Eyes")</f>
        <v>Compound Eyes</v>
      </c>
      <c r="B147" s="225" t="str">
        <f>IFERROR(__xludf.DUMMYFUNCTION("""COMPUTED_VALUE"""),"Scene x2 - Swift Action")</f>
        <v>Scene x2 - Swift Action</v>
      </c>
      <c r="C147" s="225" t="str">
        <f>IFERROR(__xludf.DUMMYFUNCTION("""COMPUTED_VALUE"""),"Effect: The Triggering Attack gains the Unstoppable Keyword.
Bonus: The user gains a bonus to Accuracy and Evasion equal to their Tier Level. If all Targets or the Attacker respectively are within 2m, this bonus is Uncapped. ")</f>
        <v>Effect: The Triggering Attack gains the Unstoppable Keyword.
Bonus: The user gains a bonus to Accuracy and Evasion equal to their Tier Level. If all Targets or the Attacker respectively are within 2m, this bonus is Uncapped. </v>
      </c>
      <c r="D147" s="225" t="str">
        <f>IFERROR(__xludf.DUMMYFUNCTION("""COMPUTED_VALUE"""),"The user uses an attack ")</f>
        <v>The user uses an attack </v>
      </c>
      <c r="E147" s="225"/>
      <c r="F147" s="225"/>
      <c r="G147" s="226" t="str">
        <f>IFERROR(__xludf.DUMMYFUNCTION("""COMPUTED_VALUE"""),"Scene x2 - Swift Action
Trigger - The user uses an attack 
Effect: The Triggering Attack gains the Unstoppable Keyword.
Bonus: The user gains a bonus to Accuracy and Evasion equal to their Tier Level. If all Targets or the Attacker respectively are within"&amp;" 2m, this bonus is Uncapped. ")</f>
        <v>Scene x2 - Swift Action
Trigger - The user uses an attack 
Effect: The Triggering Attack gains the Unstoppable Keyword.
Bonus: The user gains a bonus to Accuracy and Evasion equal to their Tier Level. If all Targets or the Attacker respectively are within 2m, this bonus is Uncapped. </v>
      </c>
      <c r="H147" s="224"/>
      <c r="I147" s="224"/>
      <c r="J147" s="224"/>
      <c r="K147" s="224"/>
      <c r="L147" s="224"/>
      <c r="M147" s="224"/>
      <c r="N147" s="224"/>
      <c r="O147" s="224"/>
      <c r="P147" s="224"/>
      <c r="Q147" s="224"/>
      <c r="R147" s="224"/>
      <c r="S147" s="224"/>
      <c r="T147" s="224"/>
      <c r="U147" s="224"/>
      <c r="V147" s="224"/>
      <c r="W147" s="224"/>
      <c r="X147" s="224"/>
      <c r="Y147" s="224"/>
      <c r="Z147" s="224"/>
    </row>
    <row r="148">
      <c r="A148" s="225" t="str">
        <f>IFERROR(__xludf.DUMMYFUNCTION("""COMPUTED_VALUE"""),"Conqueror")</f>
        <v>Conqueror</v>
      </c>
      <c r="B148" s="225" t="str">
        <f>IFERROR(__xludf.DUMMYFUNCTION("""COMPUTED_VALUE"""),"At-Will - Free Action")</f>
        <v>At-Will - Free Action</v>
      </c>
      <c r="C148" s="225" t="str">
        <f>IFERROR(__xludf.DUMMYFUNCTION("""COMPUTED_VALUE"""),"Effect: The user gains +1 CS in Attack, Special Attack or Speed
Bonus: Whenever the user would lose CS in a Stat they have Positive CS in, the amount lost is reduced by 1. ")</f>
        <v>Effect: The user gains +1 CS in Attack, Special Attack or Speed
Bonus: Whenever the user would lose CS in a Stat they have Positive CS in, the amount lost is reduced by 1. </v>
      </c>
      <c r="D148" s="225" t="str">
        <f>IFERROR(__xludf.DUMMYFUNCTION("""COMPUTED_VALUE"""),"An Enemy the user has Damaged this Scene Faints or the user resolves an Attack that resulted in a Critical Hit")</f>
        <v>An Enemy the user has Damaged this Scene Faints or the user resolves an Attack that resulted in a Critical Hit</v>
      </c>
      <c r="E148" s="225"/>
      <c r="F148" s="225"/>
      <c r="G148" s="226" t="str">
        <f>IFERROR(__xludf.DUMMYFUNCTION("""COMPUTED_VALUE"""),"At-Will - Free Action
Trigger - An Enemy the user has Damaged this Scene Faints or the user resolves an Attack that resulted in a Critical Hit
Effect: The user gains +1 CS in Attack, Special Attack or Speed
Bonus: Whenever the user would lose CS in a Stat"&amp;" they have Positive CS in, the amount lost is reduced by 1. ")</f>
        <v>At-Will - Free Action
Trigger - An Enemy the user has Damaged this Scene Faints or the user resolves an Attack that resulted in a Critical Hit
Effect: The user gains +1 CS in Attack, Special Attack or Speed
Bonus: Whenever the user would lose CS in a Stat they have Positive CS in, the amount lost is reduced by 1. </v>
      </c>
      <c r="H148" s="224"/>
      <c r="I148" s="224"/>
      <c r="J148" s="224"/>
      <c r="K148" s="224"/>
      <c r="L148" s="224"/>
      <c r="M148" s="224"/>
      <c r="N148" s="224"/>
      <c r="O148" s="224"/>
      <c r="P148" s="224"/>
      <c r="Q148" s="224"/>
      <c r="R148" s="224"/>
      <c r="S148" s="224"/>
      <c r="T148" s="224"/>
      <c r="U148" s="224"/>
      <c r="V148" s="224"/>
      <c r="W148" s="224"/>
      <c r="X148" s="224"/>
      <c r="Y148" s="224"/>
      <c r="Z148" s="224"/>
    </row>
    <row r="149">
      <c r="A149" s="225" t="str">
        <f>IFERROR(__xludf.DUMMYFUNCTION("""COMPUTED_VALUE"""),"Contrary")</f>
        <v>Contrary</v>
      </c>
      <c r="B149" s="225" t="str">
        <f>IFERROR(__xludf.DUMMYFUNCTION("""COMPUTED_VALUE"""),"Static")</f>
        <v>Static</v>
      </c>
      <c r="C149" s="225" t="str">
        <f>IFERROR(__xludf.DUMMYFUNCTION("""COMPUTED_VALUE"""),"Effect: Whenever the user would lose Combat Stages, they instead gain the same amount. If they gain CS, they instead lose the same amount. If the user would gain a temporary positive Modifier to a Combat Value, it instead becomes a Penalty of the same Val"&amp;"ue. If the user would gain a temporary penalty to a Combat Value, it instead becomes a positive Modifier for the same Value for the same duration. (Ex: Accuracy or Evasion)")</f>
        <v>Effect: Whenever the user would lose Combat Stages, they instead gain the same amount. If they gain CS, they instead lose the same amount. If the user would gain a temporary positive Modifier to a Combat Value, it instead becomes a Penalty of the same Value. If the user would gain a temporary penalty to a Combat Value, it instead becomes a positive Modifier for the same Value for the same duration. (Ex: Accuracy or Evasion)</v>
      </c>
      <c r="D149" s="225"/>
      <c r="E149" s="225"/>
      <c r="F149" s="225"/>
      <c r="G149" s="226" t="str">
        <f>IFERROR(__xludf.DUMMYFUNCTION("""COMPUTED_VALUE"""),"Static
Effect: Whenever the user would lose Combat Stages, they instead gain the same amount. If they gain CS, they instead lose the same amount. If the user would gain a temporary positive Modifier to a Combat Value, it instead becomes a Penalty of the s"&amp;"ame Value. If the user would gain a temporary penalty to a Combat Value, it instead becomes a positive Modifier for the same Value for the same duration. (Ex: Accuracy or Evasion)")</f>
        <v>Static
Effect: Whenever the user would lose Combat Stages, they instead gain the same amount. If they gain CS, they instead lose the same amount. If the user would gain a temporary positive Modifier to a Combat Value, it instead becomes a Penalty of the same Value. If the user would gain a temporary penalty to a Combat Value, it instead becomes a positive Modifier for the same Value for the same duration. (Ex: Accuracy or Evasion)</v>
      </c>
      <c r="H149" s="224"/>
      <c r="I149" s="224"/>
      <c r="J149" s="224"/>
      <c r="K149" s="224"/>
      <c r="L149" s="224"/>
      <c r="M149" s="224"/>
      <c r="N149" s="224"/>
      <c r="O149" s="224"/>
      <c r="P149" s="224"/>
      <c r="Q149" s="224"/>
      <c r="R149" s="224"/>
      <c r="S149" s="224"/>
      <c r="T149" s="224"/>
      <c r="U149" s="224"/>
      <c r="V149" s="224"/>
      <c r="W149" s="224"/>
      <c r="X149" s="224"/>
      <c r="Y149" s="224"/>
      <c r="Z149" s="224"/>
    </row>
    <row r="150">
      <c r="A150" s="225" t="str">
        <f>IFERROR(__xludf.DUMMYFUNCTION("""COMPUTED_VALUE"""),"Copy Master")</f>
        <v>Copy Master</v>
      </c>
      <c r="B150" s="225" t="str">
        <f>IFERROR(__xludf.DUMMYFUNCTION("""COMPUTED_VALUE"""),"At-Will - Reaction")</f>
        <v>At-Will - Reaction</v>
      </c>
      <c r="C150" s="225" t="str">
        <f>IFERROR(__xludf.DUMMYFUNCTION("""COMPUTED_VALUE"""),"Connection - Copycat. 
Effect: Add the Triggering Attack to your Attack List until the end of your next Turn. 
Bonus: Whenever you use Copycat, the Attack is added to your Attack List for the rest of the Scene. Whenever you use an Attack that has been add"&amp;"ed to your Attack List this Scene, it may be treated as either Physical or Special of your choice. Attacks gained through this Ability are added to your bonus Attack Slots.")</f>
        <v>Connection - Copycat. 
Effect: Add the Triggering Attack to your Attack List until the end of your next Turn. 
Bonus: Whenever you use Copycat, the Attack is added to your Attack List for the rest of the Scene. Whenever you use an Attack that has been added to your Attack List this Scene, it may be treated as either Physical or Special of your choice. Attacks gained through this Ability are added to your bonus Attack Slots.</v>
      </c>
      <c r="D150" s="225" t="str">
        <f>IFERROR(__xludf.DUMMYFUNCTION("""COMPUTED_VALUE"""),"Another Combatant uses an Attack")</f>
        <v>Another Combatant uses an Attack</v>
      </c>
      <c r="E150" s="225"/>
      <c r="F150" s="225"/>
      <c r="G150" s="226" t="str">
        <f>IFERROR(__xludf.DUMMYFUNCTION("""COMPUTED_VALUE"""),"At-Will - Reaction
Trigger - Another Combatant uses an Attack
Connection - Copycat. 
Effect: Add the Triggering Attack to your Attack List until the end of your next Turn. 
Bonus: Whenever you use Copycat, the Attack is added to your Attack List for the r"&amp;"est of the Scene. Whenever you use an Attack that has been added to your Attack List this Scene, it may be treated as either Physical or Special of your choice. Attacks gained through this Ability are added to your bonus Attack Slots.")</f>
        <v>At-Will - Reaction
Trigger - Another Combatant uses an Attack
Connection - Copycat. 
Effect: Add the Triggering Attack to your Attack List until the end of your next Turn. 
Bonus: Whenever you use Copycat, the Attack is added to your Attack List for the rest of the Scene. Whenever you use an Attack that has been added to your Attack List this Scene, it may be treated as either Physical or Special of your choice. Attacks gained through this Ability are added to your bonus Attack Slots.</v>
      </c>
      <c r="H150" s="224"/>
      <c r="I150" s="224"/>
      <c r="J150" s="224"/>
      <c r="K150" s="224"/>
      <c r="L150" s="224"/>
      <c r="M150" s="224"/>
      <c r="N150" s="224"/>
      <c r="O150" s="224"/>
      <c r="P150" s="224"/>
      <c r="Q150" s="224"/>
      <c r="R150" s="224"/>
      <c r="S150" s="224"/>
      <c r="T150" s="224"/>
      <c r="U150" s="224"/>
      <c r="V150" s="224"/>
      <c r="W150" s="224"/>
      <c r="X150" s="224"/>
      <c r="Y150" s="224"/>
      <c r="Z150" s="224"/>
    </row>
    <row r="151">
      <c r="A151" s="225" t="str">
        <f>IFERROR(__xludf.DUMMYFUNCTION("""COMPUTED_VALUE"""),"Corrosion")</f>
        <v>Corrosion</v>
      </c>
      <c r="B151" s="225" t="str">
        <f>IFERROR(__xludf.DUMMYFUNCTION("""COMPUTED_VALUE"""),"Static")</f>
        <v>Static</v>
      </c>
      <c r="C151" s="225" t="str">
        <f>IFERROR(__xludf.DUMMYFUNCTION("""COMPUTED_VALUE"""),"Effect: The user’s Poison Type Attacks deal Damage to Rock and Steel Type Pokemon as if it was Super Effective instead of Immune. The user may inflict the Poison Affliction on Steel Type Pokemon as if they were not Immune to the Affliction. When the user "&amp;"inflicts Poison, they may lower their Defense instead of Special Defense if desired.")</f>
        <v>Effect: The user’s Poison Type Attacks deal Damage to Rock and Steel Type Pokemon as if it was Super Effective instead of Immune. The user may inflict the Poison Affliction on Steel Type Pokemon as if they were not Immune to the Affliction. When the user inflicts Poison, they may lower their Defense instead of Special Defense if desired.</v>
      </c>
      <c r="D151" s="225"/>
      <c r="E151" s="225"/>
      <c r="F151" s="225"/>
      <c r="G151" s="226" t="str">
        <f>IFERROR(__xludf.DUMMYFUNCTION("""COMPUTED_VALUE"""),"Static
Effect: The user’s Poison Type Attacks deal Damage to Rock and Steel Type Pokemon as if it was Super Effective instead of Immune. The user may inflict the Poison Affliction on Steel Type Pokemon as if they were not Immune to the Affliction. When th"&amp;"e user inflicts Poison, they may lower their Defense instead of Special Defense if desired.")</f>
        <v>Static
Effect: The user’s Poison Type Attacks deal Damage to Rock and Steel Type Pokemon as if it was Super Effective instead of Immune. The user may inflict the Poison Affliction on Steel Type Pokemon as if they were not Immune to the Affliction. When the user inflicts Poison, they may lower their Defense instead of Special Defense if desired.</v>
      </c>
      <c r="H151" s="224"/>
      <c r="I151" s="224"/>
      <c r="J151" s="224"/>
      <c r="K151" s="224"/>
      <c r="L151" s="224"/>
      <c r="M151" s="224"/>
      <c r="N151" s="224"/>
      <c r="O151" s="224"/>
      <c r="P151" s="224"/>
      <c r="Q151" s="224"/>
      <c r="R151" s="224"/>
      <c r="S151" s="224"/>
      <c r="T151" s="224"/>
      <c r="U151" s="224"/>
      <c r="V151" s="224"/>
      <c r="W151" s="224"/>
      <c r="X151" s="224"/>
      <c r="Y151" s="224"/>
      <c r="Z151" s="224"/>
    </row>
    <row r="152">
      <c r="A152" s="225" t="str">
        <f>IFERROR(__xludf.DUMMYFUNCTION("""COMPUTED_VALUE"""),"Costar")</f>
        <v>Costar</v>
      </c>
      <c r="B152" s="225" t="str">
        <f>IFERROR(__xludf.DUMMYFUNCTION("""COMPUTED_VALUE"""),"Scene x2 - Reaction")</f>
        <v>Scene x2 - Reaction</v>
      </c>
      <c r="C152" s="225" t="str">
        <f>IFERROR(__xludf.DUMMYFUNCTION("""COMPUTED_VALUE"""),"Effect: The user gains CS in the same Stats for the same value or gains the same Modifier for the same duration. 
Bonus: When the user takes their Turn, if the Ally they’re acting alongside targets an Enemy with an Attack, that Enemy cannot apply Stat Eva"&amp;"sion against your Attacks. ")</f>
        <v>Effect: The user gains CS in the same Stats for the same value or gains the same Modifier for the same duration. 
Bonus: When the user takes their Turn, if the Ally they’re acting alongside targets an Enemy with an Attack, that Enemy cannot apply Stat Evasion against your Attacks. </v>
      </c>
      <c r="D152" s="225" t="str">
        <f>IFERROR(__xludf.DUMMYFUNCTION("""COMPUTED_VALUE"""),"An Ally gains Combat Stages or a Temporary Modifier")</f>
        <v>An Ally gains Combat Stages or a Temporary Modifier</v>
      </c>
      <c r="E152" s="225"/>
      <c r="F152" s="225"/>
      <c r="G152" s="226" t="str">
        <f>IFERROR(__xludf.DUMMYFUNCTION("""COMPUTED_VALUE"""),"Scene x2 - Reaction
Trigger - An Ally gains Combat Stages or a Temporary Modifier
Effect: The user gains CS in the same Stats for the same value or gains the same Modifier for the same duration. 
Bonus: When the user takes their Turn, if the Ally they’re "&amp;"acting alongside targets an Enemy with an Attack, that Enemy cannot apply Stat Evasion against your Attacks. ")</f>
        <v>Scene x2 - Reaction
Trigger - An Ally gains Combat Stages or a Temporary Modifier
Effect: The user gains CS in the same Stats for the same value or gains the same Modifier for the same duration. 
Bonus: When the user takes their Turn, if the Ally they’re acting alongside targets an Enemy with an Attack, that Enemy cannot apply Stat Evasion against your Attacks. </v>
      </c>
      <c r="H152" s="224"/>
      <c r="I152" s="224"/>
      <c r="J152" s="224"/>
      <c r="K152" s="224"/>
      <c r="L152" s="224"/>
      <c r="M152" s="224"/>
      <c r="N152" s="224"/>
      <c r="O152" s="224"/>
      <c r="P152" s="224"/>
      <c r="Q152" s="224"/>
      <c r="R152" s="224"/>
      <c r="S152" s="224"/>
      <c r="T152" s="224"/>
      <c r="U152" s="224"/>
      <c r="V152" s="224"/>
      <c r="W152" s="224"/>
      <c r="X152" s="224"/>
      <c r="Y152" s="224"/>
      <c r="Z152" s="224"/>
    </row>
    <row r="153">
      <c r="A153" s="225" t="str">
        <f>IFERROR(__xludf.DUMMYFUNCTION("""COMPUTED_VALUE"""),"Cotton Plume")</f>
        <v>Cotton Plume</v>
      </c>
      <c r="B153" s="225" t="str">
        <f>IFERROR(__xludf.DUMMYFUNCTION("""COMPUTED_VALUE"""),"At-Will - Free Action ")</f>
        <v>At-Will - Free Action </v>
      </c>
      <c r="C153" s="225" t="str">
        <f>IFERROR(__xludf.DUMMYFUNCTION("""COMPUTED_VALUE"""),"Effect: Choose Accuracy or Evasion. All Enemies within 1m of the user have a penalty to the chosen combat value equal to your Tier Level until the end of their next Turn. An Enemy can only be affected by Cotton Plume once per Round.  
Bonus: This Ability "&amp;"may be used as a Swift Action to ignore the Trigger. ")</f>
        <v>Effect: Choose Accuracy or Evasion. All Enemies within 1m of the user have a penalty to the chosen combat value equal to your Tier Level until the end of their next Turn. An Enemy can only be affected by Cotton Plume once per Round.  
Bonus: This Ability may be used as a Swift Action to ignore the Trigger. </v>
      </c>
      <c r="D153" s="225" t="str">
        <f>IFERROR(__xludf.DUMMYFUNCTION("""COMPUTED_VALUE"""),"The user uses a Grass Type Attack or is hit by an Attack from an Adjacent Enemy")</f>
        <v>The user uses a Grass Type Attack or is hit by an Attack from an Adjacent Enemy</v>
      </c>
      <c r="E153" s="225"/>
      <c r="F153" s="225" t="str">
        <f>IFERROR(__xludf.DUMMYFUNCTION("""COMPUTED_VALUE"""),"Defensive")</f>
        <v>Defensive</v>
      </c>
      <c r="G153" s="226" t="str">
        <f>IFERROR(__xludf.DUMMYFUNCTION("""COMPUTED_VALUE"""),"At-Will - Free Action 
Keywords - Defensive
Trigger - The user uses a Grass Type Attack or is hit by an Attack from an Adjacent Enemy
Effect: Choose Accuracy or Evasion. All Enemies within 1m of the user have a penalty to the chosen combat value equal to "&amp;"your Tier Level until the end of their next Turn. An Enemy can only be affected by Cotton Plume once per Round.  
Bonus: This Ability may be used as a Swift Action to ignore the Trigger. ")</f>
        <v>At-Will - Free Action 
Keywords - Defensive
Trigger - The user uses a Grass Type Attack or is hit by an Attack from an Adjacent Enemy
Effect: Choose Accuracy or Evasion. All Enemies within 1m of the user have a penalty to the chosen combat value equal to your Tier Level until the end of their next Turn. An Enemy can only be affected by Cotton Plume once per Round.  
Bonus: This Ability may be used as a Swift Action to ignore the Trigger. </v>
      </c>
      <c r="H153" s="224"/>
      <c r="I153" s="224"/>
      <c r="J153" s="224"/>
      <c r="K153" s="224"/>
      <c r="L153" s="224"/>
      <c r="M153" s="224"/>
      <c r="N153" s="224"/>
      <c r="O153" s="224"/>
      <c r="P153" s="224"/>
      <c r="Q153" s="224"/>
      <c r="R153" s="224"/>
      <c r="S153" s="224"/>
      <c r="T153" s="224"/>
      <c r="U153" s="224"/>
      <c r="V153" s="224"/>
      <c r="W153" s="224"/>
      <c r="X153" s="224"/>
      <c r="Y153" s="224"/>
      <c r="Z153" s="224"/>
    </row>
    <row r="154">
      <c r="A154" s="225" t="str">
        <f>IFERROR(__xludf.DUMMYFUNCTION("""COMPUTED_VALUE"""),"Courage")</f>
        <v>Courage</v>
      </c>
      <c r="B154" s="225" t="str">
        <f>IFERROR(__xludf.DUMMYFUNCTION("""COMPUTED_VALUE"""),"Static")</f>
        <v>Static</v>
      </c>
      <c r="C154" s="225" t="str">
        <f>IFERROR(__xludf.DUMMYFUNCTION("""COMPUTED_VALUE"""),"Effect: While the user is below 50% Hit Points or Surrounded, they have a Bonus to Damage Rolls and Damage Reduction equal to their Tier Value. If both apply, the bonus is doubled. ")</f>
        <v>Effect: While the user is below 50% Hit Points or Surrounded, they have a Bonus to Damage Rolls and Damage Reduction equal to their Tier Value. If both apply, the bonus is doubled. </v>
      </c>
      <c r="D154" s="225"/>
      <c r="E154" s="225"/>
      <c r="F154" s="225"/>
      <c r="G154" s="226" t="str">
        <f>IFERROR(__xludf.DUMMYFUNCTION("""COMPUTED_VALUE"""),"Static
Effect: While the user is below 50% Hit Points or Surrounded, they have a Bonus to Damage Rolls and Damage Reduction equal to their Tier Value. If both apply, the bonus is doubled. ")</f>
        <v>Static
Effect: While the user is below 50% Hit Points or Surrounded, they have a Bonus to Damage Rolls and Damage Reduction equal to their Tier Value. If both apply, the bonus is doubled. </v>
      </c>
      <c r="H154" s="224"/>
      <c r="I154" s="224"/>
      <c r="J154" s="224"/>
      <c r="K154" s="224"/>
      <c r="L154" s="224"/>
      <c r="M154" s="224"/>
      <c r="N154" s="224"/>
      <c r="O154" s="224"/>
      <c r="P154" s="224"/>
      <c r="Q154" s="224"/>
      <c r="R154" s="224"/>
      <c r="S154" s="224"/>
      <c r="T154" s="224"/>
      <c r="U154" s="224"/>
      <c r="V154" s="224"/>
      <c r="W154" s="224"/>
      <c r="X154" s="224"/>
      <c r="Y154" s="224"/>
      <c r="Z154" s="224"/>
    </row>
    <row r="155">
      <c r="A155" s="225" t="str">
        <f>IFERROR(__xludf.DUMMYFUNCTION("""COMPUTED_VALUE"""),"Coward")</f>
        <v>Coward</v>
      </c>
      <c r="B155" s="225" t="str">
        <f>IFERROR(__xludf.DUMMYFUNCTION("""COMPUTED_VALUE"""),"Scene - Free Action")</f>
        <v>Scene - Free Action</v>
      </c>
      <c r="C155" s="225" t="str">
        <f>IFERROR(__xludf.DUMMYFUNCTION("""COMPUTED_VALUE"""),"Effect: The Triggering Attack instead misses the user. The user cannot Target the Triggering Enemy with an Attack during their next Turn and if they use a Damaging Attack during this Turn, it is resisted by an additional damage step.
Bonus: Whenever the u"&amp;"ser ends their Turn without Targeting an Enemy with an Attack, they gain an Uncapped bonus to Evasion equal to their Tier Level until the start of their next Turn. ")</f>
        <v>Effect: The Triggering Attack instead misses the user. The user cannot Target the Triggering Enemy with an Attack during their next Turn and if they use a Damaging Attack during this Turn, it is resisted by an additional damage step.
Bonus: Whenever the user ends their Turn without Targeting an Enemy with an Attack, they gain an Uncapped bonus to Evasion equal to their Tier Level until the start of their next Turn. </v>
      </c>
      <c r="D155" s="225" t="str">
        <f>IFERROR(__xludf.DUMMYFUNCTION("""COMPUTED_VALUE"""),"The user is Targeted by an Attack")</f>
        <v>The user is Targeted by an Attack</v>
      </c>
      <c r="E155" s="225"/>
      <c r="F155" s="225"/>
      <c r="G155" s="226" t="str">
        <f>IFERROR(__xludf.DUMMYFUNCTION("""COMPUTED_VALUE"""),"Scene - Free Action
Trigger - The user is Targeted by an Attack
Effect: The Triggering Attack instead misses the user. The user cannot Target the Triggering Enemy with an Attack during their next Turn and if they use a Damaging Attack during this Turn, it"&amp;" is resisted by an additional damage step.
Bonus: Whenever the user ends their Turn without Targeting an Enemy with an Attack, they gain an Uncapped bonus to Evasion equal to their Tier Level until the start of their next Turn. ")</f>
        <v>Scene - Free Action
Trigger - The user is Targeted by an Attack
Effect: The Triggering Attack instead misses the user. The user cannot Target the Triggering Enemy with an Attack during their next Turn and if they use a Damaging Attack during this Turn, it is resisted by an additional damage step.
Bonus: Whenever the user ends their Turn without Targeting an Enemy with an Attack, they gain an Uncapped bonus to Evasion equal to their Tier Level until the start of their next Turn. </v>
      </c>
      <c r="H155" s="224"/>
      <c r="I155" s="224"/>
      <c r="J155" s="224"/>
      <c r="K155" s="224"/>
      <c r="L155" s="224"/>
      <c r="M155" s="224"/>
      <c r="N155" s="224"/>
      <c r="O155" s="224"/>
      <c r="P155" s="224"/>
      <c r="Q155" s="224"/>
      <c r="R155" s="224"/>
      <c r="S155" s="224"/>
      <c r="T155" s="224"/>
      <c r="U155" s="224"/>
      <c r="V155" s="224"/>
      <c r="W155" s="224"/>
      <c r="X155" s="224"/>
      <c r="Y155" s="224"/>
      <c r="Z155" s="224"/>
    </row>
    <row r="156">
      <c r="A156" s="225" t="str">
        <f>IFERROR(__xludf.DUMMYFUNCTION("""COMPUTED_VALUE"""),"Cruelty")</f>
        <v>Cruelty</v>
      </c>
      <c r="B156" s="225" t="str">
        <f>IFERROR(__xludf.DUMMYFUNCTION("""COMPUTED_VALUE"""),"Scene x2 - Swift Action")</f>
        <v>Scene x2 - Swift Action</v>
      </c>
      <c r="C156" s="225" t="str">
        <f>IFERROR(__xludf.DUMMYFUNCTION("""COMPUTED_VALUE"""),"Effect: Choose one of the following Effects to apply to the Target. A Target can only be affected by this Ability once per Scene. The user may use a Manipulate or Trick Maneuver against them as a Free Action. The Target has a Penalty to their next Save Ch"&amp;"eck equal to double your Tier Level. The Target cannot restore Hit Points or gain Combat Stages until the end of the next Round. ")</f>
        <v>Effect: Choose one of the following Effects to apply to the Target. A Target can only be affected by this Ability once per Scene. The user may use a Manipulate or Trick Maneuver against them as a Free Action. The Target has a Penalty to their next Save Check equal to double your Tier Level. The Target cannot restore Hit Points or gain Combat Stages until the end of the next Round. </v>
      </c>
      <c r="D156" s="225" t="str">
        <f>IFERROR(__xludf.DUMMYFUNCTION("""COMPUTED_VALUE"""),"The user hits an Enemy with a 1-Target Attack")</f>
        <v>The user hits an Enemy with a 1-Target Attack</v>
      </c>
      <c r="E156" s="225"/>
      <c r="F156" s="225"/>
      <c r="G156" s="226" t="str">
        <f>IFERROR(__xludf.DUMMYFUNCTION("""COMPUTED_VALUE"""),"Scene x2 - Swift Action
Trigger - The user hits an Enemy with a 1-Target Attack
Effect: Choose one of the following Effects to apply to the Target. A Target can only be affected by this Ability once per Scene. The user may use a Manipulate or Trick Maneuv"&amp;"er against them as a Free Action. The Target has a Penalty to their next Save Check equal to double your Tier Level. The Target cannot restore Hit Points or gain Combat Stages until the end of the next Round. ")</f>
        <v>Scene x2 - Swift Action
Trigger - The user hits an Enemy with a 1-Target Attack
Effect: Choose one of the following Effects to apply to the Target. A Target can only be affected by this Ability once per Scene. The user may use a Manipulate or Trick Maneuver against them as a Free Action. The Target has a Penalty to their next Save Check equal to double your Tier Level. The Target cannot restore Hit Points or gain Combat Stages until the end of the next Round. </v>
      </c>
      <c r="H156" s="224"/>
      <c r="I156" s="224"/>
      <c r="J156" s="224"/>
      <c r="K156" s="224"/>
      <c r="L156" s="224"/>
      <c r="M156" s="224"/>
      <c r="N156" s="224"/>
      <c r="O156" s="224"/>
      <c r="P156" s="224"/>
      <c r="Q156" s="224"/>
      <c r="R156" s="224"/>
      <c r="S156" s="224"/>
      <c r="T156" s="224"/>
      <c r="U156" s="224"/>
      <c r="V156" s="224"/>
      <c r="W156" s="224"/>
      <c r="X156" s="224"/>
      <c r="Y156" s="224"/>
      <c r="Z156" s="224"/>
    </row>
    <row r="157">
      <c r="A157" s="225" t="str">
        <f>IFERROR(__xludf.DUMMYFUNCTION("""COMPUTED_VALUE"""),"Curious Medicine")</f>
        <v>Curious Medicine</v>
      </c>
      <c r="B157" s="225" t="str">
        <f>IFERROR(__xludf.DUMMYFUNCTION("""COMPUTED_VALUE"""),"At-Will-Special ")</f>
        <v>At-Will-Special </v>
      </c>
      <c r="C157" s="225" t="str">
        <f>IFERROR(__xludf.DUMMYFUNCTION("""COMPUTED_VALUE"""),"Effect: Curious Medicine may be used as a Free Action to reset all Negative CS of the Target to their Default Value. It may be used as a Swift Action to grant the Target a bonus to their next Save Check equal to your Tier Level. Lastly, it may be used as "&amp;"a Standard Action to make the Target gain the Wounded, Poisoned, or Paralyzed Affliction")</f>
        <v>Effect: Curious Medicine may be used as a Free Action to reset all Negative CS of the Target to their Default Value. It may be used as a Swift Action to grant the Target a bonus to their next Save Check equal to your Tier Level. Lastly, it may be used as a Standard Action to make the Target gain the Wounded, Poisoned, or Paralyzed Affliction</v>
      </c>
      <c r="D157" s="225"/>
      <c r="E157" s="225" t="str">
        <f>IFERROR(__xludf.DUMMYFUNCTION("""COMPUTED_VALUE"""),"The user or an Adjacent Combatant ")</f>
        <v>The user or an Adjacent Combatant </v>
      </c>
      <c r="F157" s="225"/>
      <c r="G157" s="226" t="str">
        <f>IFERROR(__xludf.DUMMYFUNCTION("""COMPUTED_VALUE"""),"At-Will-Special 
Target - The user or an Adjacent Combatant 
Effect: Curious Medicine may be used as a Free Action to reset all Negative CS of the Target to their Default Value. It may be used as a Swift Action to grant the Target a bonus to their next Sa"&amp;"ve Check equal to your Tier Level. Lastly, it may be used as a Standard Action to make the Target gain the Wounded, Poisoned, or Paralyzed Affliction")</f>
        <v>At-Will-Special 
Target - The user or an Adjacent Combatant 
Effect: Curious Medicine may be used as a Free Action to reset all Negative CS of the Target to their Default Value. It may be used as a Swift Action to grant the Target a bonus to their next Save Check equal to your Tier Level. Lastly, it may be used as a Standard Action to make the Target gain the Wounded, Poisoned, or Paralyzed Affliction</v>
      </c>
      <c r="H157" s="224"/>
      <c r="I157" s="224"/>
      <c r="J157" s="224"/>
      <c r="K157" s="224"/>
      <c r="L157" s="224"/>
      <c r="M157" s="224"/>
      <c r="N157" s="224"/>
      <c r="O157" s="224"/>
      <c r="P157" s="224"/>
      <c r="Q157" s="224"/>
      <c r="R157" s="224"/>
      <c r="S157" s="224"/>
      <c r="T157" s="224"/>
      <c r="U157" s="224"/>
      <c r="V157" s="224"/>
      <c r="W157" s="224"/>
      <c r="X157" s="224"/>
      <c r="Y157" s="224"/>
      <c r="Z157" s="224"/>
    </row>
    <row r="158">
      <c r="A158" s="225" t="str">
        <f>IFERROR(__xludf.DUMMYFUNCTION("""COMPUTED_VALUE"""),"Cursed Body")</f>
        <v>Cursed Body</v>
      </c>
      <c r="B158" s="225" t="str">
        <f>IFERROR(__xludf.DUMMYFUNCTION("""COMPUTED_VALUE"""),"At-Will - Reaction ")</f>
        <v>At-Will - Reaction </v>
      </c>
      <c r="C158" s="225" t="str">
        <f>IFERROR(__xludf.DUMMYFUNCTION("""COMPUTED_VALUE"""),"Effect: The Triggering Enemy either becomes Cursed, Suppressed or has the Triggering Attack disabled. ")</f>
        <v>Effect: The Triggering Enemy either becomes Cursed, Suppressed or has the Triggering Attack disabled. </v>
      </c>
      <c r="D158" s="225" t="str">
        <f>IFERROR(__xludf.DUMMYFUNCTION("""COMPUTED_VALUE"""),"An Enemy ends their Turn Adjacent to the user or hits them with an Attack while Adjacent to them
")</f>
        <v>An Enemy ends their Turn Adjacent to the user or hits them with an Attack while Adjacent to them
</v>
      </c>
      <c r="E158" s="225"/>
      <c r="F158" s="225" t="str">
        <f>IFERROR(__xludf.DUMMYFUNCTION("""COMPUTED_VALUE"""),"Defensive")</f>
        <v>Defensive</v>
      </c>
      <c r="G158" s="226" t="str">
        <f>IFERROR(__xludf.DUMMYFUNCTION("""COMPUTED_VALUE"""),"At-Will - Reaction 
Keywords - Defensive
Trigger - An Enemy ends their Turn Adjacent to the user or hits them with an Attack while Adjacent to them
Effect: The Triggering Enemy either becomes Cursed, Suppressed or has the Triggering Attack disabled. ")</f>
        <v>At-Will - Reaction 
Keywords - Defensive
Trigger - An Enemy ends their Turn Adjacent to the user or hits them with an Attack while Adjacent to them
Effect: The Triggering Enemy either becomes Cursed, Suppressed or has the Triggering Attack disabled. </v>
      </c>
      <c r="H158" s="224"/>
      <c r="I158" s="224"/>
      <c r="J158" s="224"/>
      <c r="K158" s="224"/>
      <c r="L158" s="224"/>
      <c r="M158" s="224"/>
      <c r="N158" s="224"/>
      <c r="O158" s="224"/>
      <c r="P158" s="224"/>
      <c r="Q158" s="224"/>
      <c r="R158" s="224"/>
      <c r="S158" s="224"/>
      <c r="T158" s="224"/>
      <c r="U158" s="224"/>
      <c r="V158" s="224"/>
      <c r="W158" s="224"/>
      <c r="X158" s="224"/>
      <c r="Y158" s="224"/>
      <c r="Z158" s="224"/>
    </row>
    <row r="159">
      <c r="A159" s="225" t="str">
        <f>IFERROR(__xludf.DUMMYFUNCTION("""COMPUTED_VALUE"""),"Cute Charm")</f>
        <v>Cute Charm</v>
      </c>
      <c r="B159" s="225" t="str">
        <f>IFERROR(__xludf.DUMMYFUNCTION("""COMPUTED_VALUE"""),"Scene x3 - Reaction")</f>
        <v>Scene x3 - Reaction</v>
      </c>
      <c r="C159" s="225" t="str">
        <f>IFERROR(__xludf.DUMMYFUNCTION("""COMPUTED_VALUE"""),"Effect: The Triggering Enemy either becomes Entranced, Weakened until the end of the Round or loses -2 CS in Attack and Special Attack. An Enemy can only be affected by Cute Charm once per Scene.")</f>
        <v>Effect: The Triggering Enemy either becomes Entranced, Weakened until the end of the Round or loses -2 CS in Attack and Special Attack. An Enemy can only be affected by Cute Charm once per Scene.</v>
      </c>
      <c r="D159" s="225" t="str">
        <f>IFERROR(__xludf.DUMMYFUNCTION("""COMPUTED_VALUE"""),"An Enemy ends their Turn within 2m of the user or hits them with an Attack while Adjacent to them")</f>
        <v>An Enemy ends their Turn within 2m of the user or hits them with an Attack while Adjacent to them</v>
      </c>
      <c r="E159" s="225"/>
      <c r="F159" s="225" t="str">
        <f>IFERROR(__xludf.DUMMYFUNCTION("""COMPUTED_VALUE"""),"Defensive")</f>
        <v>Defensive</v>
      </c>
      <c r="G159" s="226" t="str">
        <f>IFERROR(__xludf.DUMMYFUNCTION("""COMPUTED_VALUE"""),"Scene x3 - Reaction
Keywords - Defensive
Trigger - An Enemy ends their Turn within 2m of the user or hits them with an Attack while Adjacent to them
Effect: The Triggering Enemy either becomes Entranced, Weakened until the end of the Round or loses -2 CS "&amp;"in Attack and Special Attack. An Enemy can only be affected by Cute Charm once per Scene.")</f>
        <v>Scene x3 - Reaction
Keywords - Defensive
Trigger - An Enemy ends their Turn within 2m of the user or hits them with an Attack while Adjacent to them
Effect: The Triggering Enemy either becomes Entranced, Weakened until the end of the Round or loses -2 CS in Attack and Special Attack. An Enemy can only be affected by Cute Charm once per Scene.</v>
      </c>
      <c r="H159" s="224"/>
      <c r="I159" s="224"/>
      <c r="J159" s="224"/>
      <c r="K159" s="224"/>
      <c r="L159" s="224"/>
      <c r="M159" s="224"/>
      <c r="N159" s="224"/>
      <c r="O159" s="224"/>
      <c r="P159" s="224"/>
      <c r="Q159" s="224"/>
      <c r="R159" s="224"/>
      <c r="S159" s="224"/>
      <c r="T159" s="224"/>
      <c r="U159" s="224"/>
      <c r="V159" s="224"/>
      <c r="W159" s="224"/>
      <c r="X159" s="224"/>
      <c r="Y159" s="224"/>
      <c r="Z159" s="224"/>
    </row>
    <row r="160">
      <c r="A160" s="225" t="str">
        <f>IFERROR(__xludf.DUMMYFUNCTION("""COMPUTED_VALUE"""),"Cute Tears")</f>
        <v>Cute Tears</v>
      </c>
      <c r="B160" s="225" t="str">
        <f>IFERROR(__xludf.DUMMYFUNCTION("""COMPUTED_VALUE"""),"At-Will - Swift Action")</f>
        <v>At-Will - Swift Action</v>
      </c>
      <c r="C160" s="225" t="str">
        <f>IFERROR(__xludf.DUMMYFUNCTION("""COMPUTED_VALUE"""),"Effect: Until the end of the Target’s next Turn, when Attacking the user or an ally within 2m of you, they have a penalty to Accuracy equal to your Tier Level and a penalty to Damage Rolls equal to your Tier Value. ")</f>
        <v>Effect: Until the end of the Target’s next Turn, when Attacking the user or an ally within 2m of you, they have a penalty to Accuracy equal to your Tier Level and a penalty to Damage Rolls equal to your Tier Value. </v>
      </c>
      <c r="D160" s="225"/>
      <c r="E160" s="225" t="str">
        <f>IFERROR(__xludf.DUMMYFUNCTION("""COMPUTED_VALUE"""),"An Enemy within 3m")</f>
        <v>An Enemy within 3m</v>
      </c>
      <c r="F160" s="225"/>
      <c r="G160" s="226" t="str">
        <f>IFERROR(__xludf.DUMMYFUNCTION("""COMPUTED_VALUE"""),"At-Will - Swift Action
Target - An Enemy within 3m
Effect: Until the end of the Target’s next Turn, when Attacking the user or an ally within 2m of you, they have a penalty to Accuracy equal to your Tier Level and a penalty to Damage Rolls equal to your T"&amp;"ier Value. ")</f>
        <v>At-Will - Swift Action
Target - An Enemy within 3m
Effect: Until the end of the Target’s next Turn, when Attacking the user or an ally within 2m of you, they have a penalty to Accuracy equal to your Tier Level and a penalty to Damage Rolls equal to your Tier Value. </v>
      </c>
      <c r="H160" s="224"/>
      <c r="I160" s="224"/>
      <c r="J160" s="224"/>
      <c r="K160" s="224"/>
      <c r="L160" s="224"/>
      <c r="M160" s="224"/>
      <c r="N160" s="224"/>
      <c r="O160" s="224"/>
      <c r="P160" s="224"/>
      <c r="Q160" s="224"/>
      <c r="R160" s="224"/>
      <c r="S160" s="224"/>
      <c r="T160" s="224"/>
      <c r="U160" s="224"/>
      <c r="V160" s="224"/>
      <c r="W160" s="224"/>
      <c r="X160" s="224"/>
      <c r="Y160" s="224"/>
      <c r="Z160" s="224"/>
    </row>
    <row r="161">
      <c r="A161" s="225" t="str">
        <f>IFERROR(__xludf.DUMMYFUNCTION("""COMPUTED_VALUE"""),"Damp")</f>
        <v>Damp</v>
      </c>
      <c r="B161" s="225" t="str">
        <f>IFERROR(__xludf.DUMMYFUNCTION("""COMPUTED_VALUE"""),"Static")</f>
        <v>Static</v>
      </c>
      <c r="C161" s="225" t="str">
        <f>IFERROR(__xludf.DUMMYFUNCTION("""COMPUTED_VALUE"""),"Effect: If the user is Targeted by Burst, Line or Blast Attack, they resist it by an additional Damage Step. If the user ends their turn while the Weather is Rainy, they gain a Tick of Temporary Hit Points and restore a Tick of Hit Points.  ")</f>
        <v>Effect: If the user is Targeted by Burst, Line or Blast Attack, they resist it by an additional Damage Step. If the user ends their turn while the Weather is Rainy, they gain a Tick of Temporary Hit Points and restore a Tick of Hit Points.  </v>
      </c>
      <c r="D161" s="225"/>
      <c r="E161" s="225"/>
      <c r="F161" s="225" t="str">
        <f>IFERROR(__xludf.DUMMYFUNCTION("""COMPUTED_VALUE"""),"Defensive")</f>
        <v>Defensive</v>
      </c>
      <c r="G161" s="226" t="str">
        <f>IFERROR(__xludf.DUMMYFUNCTION("""COMPUTED_VALUE"""),"Static
Keywords - Defensive
Effect: If the user is Targeted by Burst, Line or Blast Attack, they resist it by an additional Damage Step. If the user ends their turn while the Weather is Rainy, they gain a Tick of Temporary Hit Points and restore a Tick of"&amp;" Hit Points.  ")</f>
        <v>Static
Keywords - Defensive
Effect: If the user is Targeted by Burst, Line or Blast Attack, they resist it by an additional Damage Step. If the user ends their turn while the Weather is Rainy, they gain a Tick of Temporary Hit Points and restore a Tick of Hit Points.  </v>
      </c>
      <c r="H161" s="224"/>
      <c r="I161" s="224"/>
      <c r="J161" s="224"/>
      <c r="K161" s="224"/>
      <c r="L161" s="224"/>
      <c r="M161" s="224"/>
      <c r="N161" s="224"/>
      <c r="O161" s="224"/>
      <c r="P161" s="224"/>
      <c r="Q161" s="224"/>
      <c r="R161" s="224"/>
      <c r="S161" s="224"/>
      <c r="T161" s="224"/>
      <c r="U161" s="224"/>
      <c r="V161" s="224"/>
      <c r="W161" s="224"/>
      <c r="X161" s="224"/>
      <c r="Y161" s="224"/>
      <c r="Z161" s="224"/>
    </row>
    <row r="162">
      <c r="A162" s="225" t="str">
        <f>IFERROR(__xludf.DUMMYFUNCTION("""COMPUTED_VALUE"""),"Dancer")</f>
        <v>Dancer</v>
      </c>
      <c r="B162" s="225" t="str">
        <f>IFERROR(__xludf.DUMMYFUNCTION("""COMPUTED_VALUE"""),"At-Will - Swift or Movement Action")</f>
        <v>At-Will - Swift or Movement Action</v>
      </c>
      <c r="C162" s="225" t="str">
        <f>IFERROR(__xludf.DUMMYFUNCTION("""COMPUTED_VALUE"""),"Effect: The Target gains +1 CS in a Stat of your choice. A Combatant can only be Targeted by Dancer once per Round and Dancer can only be used once per Round unless you’re Tier 3.")</f>
        <v>Effect: The Target gains +1 CS in a Stat of your choice. A Combatant can only be Targeted by Dancer once per Round and Dancer can only be used once per Round unless you’re Tier 3.</v>
      </c>
      <c r="D162" s="225"/>
      <c r="E162" s="225" t="str">
        <f>IFERROR(__xludf.DUMMYFUNCTION("""COMPUTED_VALUE"""),"An Ally within 2m
")</f>
        <v>An Ally within 2m
</v>
      </c>
      <c r="F162" s="225"/>
      <c r="G162" s="226" t="str">
        <f>IFERROR(__xludf.DUMMYFUNCTION("""COMPUTED_VALUE"""),"At-Will - Swift or Movement Action
Target - An Ally within 2m
Effect: The Target gains +1 CS in a Stat of your choice. A Combatant can only be Targeted by Dancer once per Round and Dancer can only be used once per Round unless you’re Tier 3.")</f>
        <v>At-Will - Swift or Movement Action
Target - An Ally within 2m
Effect: The Target gains +1 CS in a Stat of your choice. A Combatant can only be Targeted by Dancer once per Round and Dancer can only be used once per Round unless you’re Tier 3.</v>
      </c>
      <c r="H162" s="224"/>
      <c r="I162" s="224"/>
      <c r="J162" s="224"/>
      <c r="K162" s="224"/>
      <c r="L162" s="224"/>
      <c r="M162" s="224"/>
      <c r="N162" s="224"/>
      <c r="O162" s="224"/>
      <c r="P162" s="224"/>
      <c r="Q162" s="224"/>
      <c r="R162" s="224"/>
      <c r="S162" s="224"/>
      <c r="T162" s="224"/>
      <c r="U162" s="224"/>
      <c r="V162" s="224"/>
      <c r="W162" s="224"/>
      <c r="X162" s="224"/>
      <c r="Y162" s="224"/>
      <c r="Z162" s="224"/>
    </row>
    <row r="163">
      <c r="A163" s="225" t="str">
        <f>IFERROR(__xludf.DUMMYFUNCTION("""COMPUTED_VALUE"""),"Deadly Poison")</f>
        <v>Deadly Poison</v>
      </c>
      <c r="B163" s="225" t="str">
        <f>IFERROR(__xludf.DUMMYFUNCTION("""COMPUTED_VALUE"""),"Static")</f>
        <v>Static</v>
      </c>
      <c r="C163" s="225" t="str">
        <f>IFERROR(__xludf.DUMMYFUNCTION("""COMPUTED_VALUE"""),"Effect: Whenever you inflict the Poisoned Affliction, it cannot be cured via Save Checks. Combatants Poisoned by you instead lose three Ticks of Hit Points instead of one when the Poisoned Affliction would activate its effects.")</f>
        <v>Effect: Whenever you inflict the Poisoned Affliction, it cannot be cured via Save Checks. Combatants Poisoned by you instead lose three Ticks of Hit Points instead of one when the Poisoned Affliction would activate its effects.</v>
      </c>
      <c r="D163" s="225"/>
      <c r="E163" s="225"/>
      <c r="F163" s="225"/>
      <c r="G163" s="226" t="str">
        <f>IFERROR(__xludf.DUMMYFUNCTION("""COMPUTED_VALUE"""),"Static
Effect: Whenever you inflict the Poisoned Affliction, it cannot be cured via Save Checks. Combatants Poisoned by you instead lose three Ticks of Hit Points instead of one when the Poisoned Affliction would activate its effects.")</f>
        <v>Static
Effect: Whenever you inflict the Poisoned Affliction, it cannot be cured via Save Checks. Combatants Poisoned by you instead lose three Ticks of Hit Points instead of one when the Poisoned Affliction would activate its effects.</v>
      </c>
      <c r="H163" s="224"/>
      <c r="I163" s="224"/>
      <c r="J163" s="224"/>
      <c r="K163" s="224"/>
      <c r="L163" s="224"/>
      <c r="M163" s="224"/>
      <c r="N163" s="224"/>
      <c r="O163" s="224"/>
      <c r="P163" s="224"/>
      <c r="Q163" s="224"/>
      <c r="R163" s="224"/>
      <c r="S163" s="224"/>
      <c r="T163" s="224"/>
      <c r="U163" s="224"/>
      <c r="V163" s="224"/>
      <c r="W163" s="224"/>
      <c r="X163" s="224"/>
      <c r="Y163" s="224"/>
      <c r="Z163" s="224"/>
    </row>
    <row r="164">
      <c r="A164" s="225" t="str">
        <f>IFERROR(__xludf.DUMMYFUNCTION("""COMPUTED_VALUE"""),"Deathly Aroma")</f>
        <v>Deathly Aroma</v>
      </c>
      <c r="B164" s="225" t="str">
        <f>IFERROR(__xludf.DUMMYFUNCTION("""COMPUTED_VALUE"""),"Static")</f>
        <v>Static</v>
      </c>
      <c r="C164" s="225" t="str">
        <f>IFERROR(__xludf.DUMMYFUNCTION("""COMPUTED_VALUE"""),"Effect: Whenever the user ends their Turn, all Enemies within 3m of them lose -1 CS in a Stat of your choice and adjacent Enemies cannot restore Hit Points until the end of their next Turn.")</f>
        <v>Effect: Whenever the user ends their Turn, all Enemies within 3m of them lose -1 CS in a Stat of your choice and adjacent Enemies cannot restore Hit Points until the end of their next Turn.</v>
      </c>
      <c r="D164" s="225"/>
      <c r="E164" s="225"/>
      <c r="F164" s="225"/>
      <c r="G164" s="226" t="str">
        <f>IFERROR(__xludf.DUMMYFUNCTION("""COMPUTED_VALUE"""),"Static
Effect: Whenever the user ends their Turn, all Enemies within 3m of them lose -1 CS in a Stat of your choice and adjacent Enemies cannot restore Hit Points until the end of their next Turn.")</f>
        <v>Static
Effect: Whenever the user ends their Turn, all Enemies within 3m of them lose -1 CS in a Stat of your choice and adjacent Enemies cannot restore Hit Points until the end of their next Turn.</v>
      </c>
      <c r="H164" s="224"/>
      <c r="I164" s="224"/>
      <c r="J164" s="224"/>
      <c r="K164" s="224"/>
      <c r="L164" s="224"/>
      <c r="M164" s="224"/>
      <c r="N164" s="224"/>
      <c r="O164" s="224"/>
      <c r="P164" s="224"/>
      <c r="Q164" s="224"/>
      <c r="R164" s="224"/>
      <c r="S164" s="224"/>
      <c r="T164" s="224"/>
      <c r="U164" s="224"/>
      <c r="V164" s="224"/>
      <c r="W164" s="224"/>
      <c r="X164" s="224"/>
      <c r="Y164" s="224"/>
      <c r="Z164" s="224"/>
    </row>
    <row r="165">
      <c r="A165" s="225" t="str">
        <f>IFERROR(__xludf.DUMMYFUNCTION("""COMPUTED_VALUE"""),"Decoy")</f>
        <v>Decoy</v>
      </c>
      <c r="B165" s="225" t="str">
        <f>IFERROR(__xludf.DUMMYFUNCTION("""COMPUTED_VALUE"""),"Scene - Swift Action")</f>
        <v>Scene - Swift Action</v>
      </c>
      <c r="C165" s="225" t="str">
        <f>IFERROR(__xludf.DUMMYFUNCTION("""COMPUTED_VALUE"""),"Connection - Follow Me. 
Effect: When this Ability is Activated, you may use Follow Me as a Free Action.
Bonus: The user has an Uncapped bonus to Evasion equal to your Tier Level if the attacker is Provoked by you or Dazed. ")</f>
        <v>Connection - Follow Me. 
Effect: When this Ability is Activated, you may use Follow Me as a Free Action.
Bonus: The user has an Uncapped bonus to Evasion equal to your Tier Level if the attacker is Provoked by you or Dazed. </v>
      </c>
      <c r="D165" s="225"/>
      <c r="E165" s="225"/>
      <c r="F165" s="225"/>
      <c r="G165" s="226" t="str">
        <f>IFERROR(__xludf.DUMMYFUNCTION("""COMPUTED_VALUE"""),"Scene - Swift Action
Connection - Follow Me. 
Effect: When this Ability is Activated, you may use Follow Me as a Free Action.
Bonus: The user has an Uncapped bonus to Evasion equal to your Tier Level if the attacker is Provoked by you or Dazed. ")</f>
        <v>Scene - Swift Action
Connection - Follow Me. 
Effect: When this Ability is Activated, you may use Follow Me as a Free Action.
Bonus: The user has an Uncapped bonus to Evasion equal to your Tier Level if the attacker is Provoked by you or Dazed. </v>
      </c>
      <c r="H165" s="224"/>
      <c r="I165" s="224"/>
      <c r="J165" s="224"/>
      <c r="K165" s="224"/>
      <c r="L165" s="224"/>
      <c r="M165" s="224"/>
      <c r="N165" s="224"/>
      <c r="O165" s="224"/>
      <c r="P165" s="224"/>
      <c r="Q165" s="224"/>
      <c r="R165" s="224"/>
      <c r="S165" s="224"/>
      <c r="T165" s="224"/>
      <c r="U165" s="224"/>
      <c r="V165" s="224"/>
      <c r="W165" s="224"/>
      <c r="X165" s="224"/>
      <c r="Y165" s="224"/>
      <c r="Z165" s="224"/>
    </row>
    <row r="166">
      <c r="A166" s="225" t="str">
        <f>IFERROR(__xludf.DUMMYFUNCTION("""COMPUTED_VALUE"""),"Deep Sleep")</f>
        <v>Deep Sleep</v>
      </c>
      <c r="B166" s="225" t="str">
        <f>IFERROR(__xludf.DUMMYFUNCTION("""COMPUTED_VALUE"""),"Scene - Standard Action")</f>
        <v>Scene - Standard Action</v>
      </c>
      <c r="C166" s="225" t="str">
        <f>IFERROR(__xludf.DUMMYFUNCTION("""COMPUTED_VALUE"""),"Effect: The user becomes Drowsy, then if they do, they restore 5 Ticks of Hit Points. 
Bonus: When the user becomes Drowsy they may choose to gain a Sleep Coat which persists while they have the Drowsy Affliction. While they have a Sleep Coat, they cannot"&amp;" use Swift or Movement Actions, they resist all Attacks by an additional Damage Step and they restore two Ticks of HP at the end of their Turn.  ")</f>
        <v>Effect: The user becomes Drowsy, then if they do, they restore 5 Ticks of Hit Points. 
Bonus: When the user becomes Drowsy they may choose to gain a Sleep Coat which persists while they have the Drowsy Affliction. While they have a Sleep Coat, they cannot use Swift or Movement Actions, they resist all Attacks by an additional Damage Step and they restore two Ticks of HP at the end of their Turn.  </v>
      </c>
      <c r="D166" s="225"/>
      <c r="E166" s="225"/>
      <c r="F166" s="225"/>
      <c r="G166" s="226" t="str">
        <f>IFERROR(__xludf.DUMMYFUNCTION("""COMPUTED_VALUE"""),"Scene - Standard Action
Effect: The user becomes Drowsy, then if they do, they restore 5 Ticks of Hit Points. 
Bonus: When the user becomes Drowsy they may choose to gain a Sleep Coat which persists while they have the Drowsy Affliction. While they have a"&amp;" Sleep Coat, they cannot use Swift or Movement Actions, they resist all Attacks by an additional Damage Step and they restore two Ticks of HP at the end of their Turn.  ")</f>
        <v>Scene - Standard Action
Effect: The user becomes Drowsy, then if they do, they restore 5 Ticks of Hit Points. 
Bonus: When the user becomes Drowsy they may choose to gain a Sleep Coat which persists while they have the Drowsy Affliction. While they have a Sleep Coat, they cannot use Swift or Movement Actions, they resist all Attacks by an additional Damage Step and they restore two Ticks of HP at the end of their Turn.  </v>
      </c>
      <c r="H166" s="224"/>
      <c r="I166" s="224"/>
      <c r="J166" s="224"/>
      <c r="K166" s="224"/>
      <c r="L166" s="224"/>
      <c r="M166" s="224"/>
      <c r="N166" s="224"/>
      <c r="O166" s="224"/>
      <c r="P166" s="224"/>
      <c r="Q166" s="224"/>
      <c r="R166" s="224"/>
      <c r="S166" s="224"/>
      <c r="T166" s="224"/>
      <c r="U166" s="224"/>
      <c r="V166" s="224"/>
      <c r="W166" s="224"/>
      <c r="X166" s="224"/>
      <c r="Y166" s="224"/>
      <c r="Z166" s="224"/>
    </row>
    <row r="167">
      <c r="A167" s="225" t="str">
        <f>IFERROR(__xludf.DUMMYFUNCTION("""COMPUTED_VALUE"""),"Defiant")</f>
        <v>Defiant</v>
      </c>
      <c r="B167" s="225" t="str">
        <f>IFERROR(__xludf.DUMMYFUNCTION("""COMPUTED_VALUE"""),"At-Will - Free Action")</f>
        <v>At-Will - Free Action</v>
      </c>
      <c r="C167" s="225" t="str">
        <f>IFERROR(__xludf.DUMMYFUNCTION("""COMPUTED_VALUE"""),"Effect: The user gains +2 CS in Attack or Special Attack. Defiant may only be Triggered once per Round.")</f>
        <v>Effect: The user gains +2 CS in Attack or Special Attack. Defiant may only be Triggered once per Round.</v>
      </c>
      <c r="D167" s="225" t="str">
        <f>IFERROR(__xludf.DUMMYFUNCTION("""COMPUTED_VALUE"""),"The user has their CS lowered by an Attack, Ability or Feature from a source other than themselves")</f>
        <v>The user has their CS lowered by an Attack, Ability or Feature from a source other than themselves</v>
      </c>
      <c r="E167" s="225"/>
      <c r="F167" s="225"/>
      <c r="G167" s="226" t="str">
        <f>IFERROR(__xludf.DUMMYFUNCTION("""COMPUTED_VALUE"""),"At-Will - Free Action
Trigger - The user has their CS lowered by an Attack, Ability or Feature from a source other than themselves
Effect: The user gains +2 CS in Attack or Special Attack. Defiant may only be Triggered once per Round.")</f>
        <v>At-Will - Free Action
Trigger - The user has their CS lowered by an Attack, Ability or Feature from a source other than themselves
Effect: The user gains +2 CS in Attack or Special Attack. Defiant may only be Triggered once per Round.</v>
      </c>
      <c r="H167" s="224"/>
      <c r="I167" s="224"/>
      <c r="J167" s="224"/>
      <c r="K167" s="224"/>
      <c r="L167" s="224"/>
      <c r="M167" s="224"/>
      <c r="N167" s="224"/>
      <c r="O167" s="224"/>
      <c r="P167" s="224"/>
      <c r="Q167" s="224"/>
      <c r="R167" s="224"/>
      <c r="S167" s="224"/>
      <c r="T167" s="224"/>
      <c r="U167" s="224"/>
      <c r="V167" s="224"/>
      <c r="W167" s="224"/>
      <c r="X167" s="224"/>
      <c r="Y167" s="224"/>
      <c r="Z167" s="224"/>
    </row>
    <row r="168">
      <c r="A168" s="225" t="str">
        <f>IFERROR(__xludf.DUMMYFUNCTION("""COMPUTED_VALUE"""),"Defy Death")</f>
        <v>Defy Death</v>
      </c>
      <c r="B168" s="225" t="str">
        <f>IFERROR(__xludf.DUMMYFUNCTION("""COMPUTED_VALUE"""),"At-Will - Free Action")</f>
        <v>At-Will - Free Action</v>
      </c>
      <c r="C168" s="225" t="str">
        <f>IFERROR(__xludf.DUMMYFUNCTION("""COMPUTED_VALUE"""),"Effect: The user performs a Luck Roll. If they pass a DC 5, they are instead set to 1 Hit Point instead of fainting. Each time this Ability activates, increase the DC by +5.  ")</f>
        <v>Effect: The user performs a Luck Roll. If they pass a DC 5, they are instead set to 1 Hit Point instead of fainting. Each time this Ability activates, increase the DC by +5.  </v>
      </c>
      <c r="D168" s="225" t="str">
        <f>IFERROR(__xludf.DUMMYFUNCTION("""COMPUTED_VALUE"""),"The user would faint and had more than 10% Hit Points")</f>
        <v>The user would faint and had more than 10% Hit Points</v>
      </c>
      <c r="E168" s="225"/>
      <c r="F168" s="225"/>
      <c r="G168" s="226" t="str">
        <f>IFERROR(__xludf.DUMMYFUNCTION("""COMPUTED_VALUE"""),"At-Will - Free Action
Trigger - The user would faint and had more than 10% Hit Points
Effect: The user performs a Luck Roll. If they pass a DC 5, they are instead set to 1 Hit Point instead of fainting. Each time this Ability activates, increase the DC by"&amp;" +5.  ")</f>
        <v>At-Will - Free Action
Trigger - The user would faint and had more than 10% Hit Points
Effect: The user performs a Luck Roll. If they pass a DC 5, they are instead set to 1 Hit Point instead of fainting. Each time this Ability activates, increase the DC by +5.  </v>
      </c>
      <c r="H168" s="224"/>
      <c r="I168" s="224"/>
      <c r="J168" s="224"/>
      <c r="K168" s="224"/>
      <c r="L168" s="224"/>
      <c r="M168" s="224"/>
      <c r="N168" s="224"/>
      <c r="O168" s="224"/>
      <c r="P168" s="224"/>
      <c r="Q168" s="224"/>
      <c r="R168" s="224"/>
      <c r="S168" s="224"/>
      <c r="T168" s="224"/>
      <c r="U168" s="224"/>
      <c r="V168" s="224"/>
      <c r="W168" s="224"/>
      <c r="X168" s="224"/>
      <c r="Y168" s="224"/>
      <c r="Z168" s="224"/>
    </row>
    <row r="169">
      <c r="A169" s="225" t="str">
        <f>IFERROR(__xludf.DUMMYFUNCTION("""COMPUTED_VALUE"""),"Delayed Reaction")</f>
        <v>Delayed Reaction</v>
      </c>
      <c r="B169" s="225" t="str">
        <f>IFERROR(__xludf.DUMMYFUNCTION("""COMPUTED_VALUE"""),"At-Will - Reaction")</f>
        <v>At-Will - Reaction</v>
      </c>
      <c r="C169" s="225" t="str">
        <f>IFERROR(__xludf.DUMMYFUNCTION("""COMPUTED_VALUE"""),"Effect: You instead take no Damage. At the end of the Round, you lose Hit Points equal to the damage you should have taken when before using this Ability. This occurs even if the user is recalled.")</f>
        <v>Effect: You instead take no Damage. At the end of the Round, you lose Hit Points equal to the damage you should have taken when before using this Ability. This occurs even if the user is recalled.</v>
      </c>
      <c r="D169" s="225" t="str">
        <f>IFERROR(__xludf.DUMMYFUNCTION("""COMPUTED_VALUE"""),"You would take Damage")</f>
        <v>You would take Damage</v>
      </c>
      <c r="E169" s="225"/>
      <c r="F169" s="225"/>
      <c r="G169" s="226" t="str">
        <f>IFERROR(__xludf.DUMMYFUNCTION("""COMPUTED_VALUE"""),"At-Will - Reaction
Trigger - You would take Damage
Effect: You instead take no Damage. At the end of the Round, you lose Hit Points equal to the damage you should have taken when before using this Ability. This occurs even if the user is recalled.")</f>
        <v>At-Will - Reaction
Trigger - You would take Damage
Effect: You instead take no Damage. At the end of the Round, you lose Hit Points equal to the damage you should have taken when before using this Ability. This occurs even if the user is recalled.</v>
      </c>
      <c r="H169" s="224"/>
      <c r="I169" s="224"/>
      <c r="J169" s="224"/>
      <c r="K169" s="224"/>
      <c r="L169" s="224"/>
      <c r="M169" s="224"/>
      <c r="N169" s="224"/>
      <c r="O169" s="224"/>
      <c r="P169" s="224"/>
      <c r="Q169" s="224"/>
      <c r="R169" s="224"/>
      <c r="S169" s="224"/>
      <c r="T169" s="224"/>
      <c r="U169" s="224"/>
      <c r="V169" s="224"/>
      <c r="W169" s="224"/>
      <c r="X169" s="224"/>
      <c r="Y169" s="224"/>
      <c r="Z169" s="224"/>
    </row>
    <row r="170">
      <c r="A170" s="225" t="str">
        <f>IFERROR(__xludf.DUMMYFUNCTION("""COMPUTED_VALUE"""),"Desert Weather")</f>
        <v>Desert Weather</v>
      </c>
      <c r="B170" s="225" t="str">
        <f>IFERROR(__xludf.DUMMYFUNCTION("""COMPUTED_VALUE"""),"Static")</f>
        <v>Static</v>
      </c>
      <c r="C170" s="225" t="str">
        <f>IFERROR(__xludf.DUMMYFUNCTION("""COMPUTED_VALUE"""),"Effect: The user resists Ground and Fire Type Attacks by an additional Damage step. If the user ends their turn while the Weather is Sandstorm, they gain a Tick of Temporary Hit Points and restore a Tick of Hit Points. ")</f>
        <v>Effect: The user resists Ground and Fire Type Attacks by an additional Damage step. If the user ends their turn while the Weather is Sandstorm, they gain a Tick of Temporary Hit Points and restore a Tick of Hit Points. </v>
      </c>
      <c r="D170" s="225"/>
      <c r="E170" s="225"/>
      <c r="F170" s="225" t="str">
        <f>IFERROR(__xludf.DUMMYFUNCTION("""COMPUTED_VALUE"""),"Defensive")</f>
        <v>Defensive</v>
      </c>
      <c r="G170" s="226" t="str">
        <f>IFERROR(__xludf.DUMMYFUNCTION("""COMPUTED_VALUE"""),"Static
Keywords - Defensive
Effect: The user resists Ground and Fire Type Attacks by an additional Damage step. If the user ends their turn while the Weather is Sandstorm, they gain a Tick of Temporary Hit Points and restore a Tick of Hit Points. ")</f>
        <v>Static
Keywords - Defensive
Effect: The user resists Ground and Fire Type Attacks by an additional Damage step. If the user ends their turn while the Weather is Sandstorm, they gain a Tick of Temporary Hit Points and restore a Tick of Hit Points. </v>
      </c>
      <c r="H170" s="224"/>
      <c r="I170" s="224"/>
      <c r="J170" s="224"/>
      <c r="K170" s="224"/>
      <c r="L170" s="224"/>
      <c r="M170" s="224"/>
      <c r="N170" s="224"/>
      <c r="O170" s="224"/>
      <c r="P170" s="224"/>
      <c r="Q170" s="224"/>
      <c r="R170" s="224"/>
      <c r="S170" s="224"/>
      <c r="T170" s="224"/>
      <c r="U170" s="224"/>
      <c r="V170" s="224"/>
      <c r="W170" s="224"/>
      <c r="X170" s="224"/>
      <c r="Y170" s="224"/>
      <c r="Z170" s="224"/>
    </row>
    <row r="171">
      <c r="A171" s="225" t="str">
        <f>IFERROR(__xludf.DUMMYFUNCTION("""COMPUTED_VALUE"""),"Dig Away")</f>
        <v>Dig Away</v>
      </c>
      <c r="B171" s="225" t="str">
        <f>IFERROR(__xludf.DUMMYFUNCTION("""COMPUTED_VALUE"""),"Scene - Reaction")</f>
        <v>Scene - Reaction</v>
      </c>
      <c r="C171" s="225" t="str">
        <f>IFERROR(__xludf.DUMMYFUNCTION("""COMPUTED_VALUE"""),"Effect: The Triggering Attack instead misses. The user is removed from the Scene and becomes Untargetable for this duration. At the start of the user’s next Turn, they enter the field in any unoccupied space where they could have moved to during their las"&amp;"t turn. 
Bonus: Whenever the user uses the Burrower Capability, then uses a 1-Target Attack during that Turn, the Target cannot apply Speed Evasion against it.")</f>
        <v>Effect: The Triggering Attack instead misses. The user is removed from the Scene and becomes Untargetable for this duration. At the start of the user’s next Turn, they enter the field in any unoccupied space where they could have moved to during their last turn. 
Bonus: Whenever the user uses the Burrower Capability, then uses a 1-Target Attack during that Turn, the Target cannot apply Speed Evasion against it.</v>
      </c>
      <c r="D171" s="225" t="str">
        <f>IFERROR(__xludf.DUMMYFUNCTION("""COMPUTED_VALUE"""),"The user is hit by a non-Adjacent Attack")</f>
        <v>The user is hit by a non-Adjacent Attack</v>
      </c>
      <c r="E171" s="225"/>
      <c r="F171" s="225" t="str">
        <f>IFERROR(__xludf.DUMMYFUNCTION("""COMPUTED_VALUE"""),"Defensive")</f>
        <v>Defensive</v>
      </c>
      <c r="G171" s="225" t="str">
        <f>IFERROR(__xludf.DUMMYFUNCTION("""COMPUTED_VALUE"""),"Scene - Reaction
Keywords - Defensive
Trigger - The user is hit by a non-Adjacent Attack
Effect: The Triggering Attack instead misses. The user is removed from the Scene and becomes Untargetable for this duration. At the start of the user’s next Turn, the"&amp;"y enter the field in any unoccupied space where they could have moved to during their last turn. 
Bonus: Whenever the user uses the Burrower Capability, then uses a 1-Target Attack during that Turn, the Target cannot apply Speed Evasion against it.")</f>
        <v>Scene - Reaction
Keywords - Defensive
Trigger - The user is hit by a non-Adjacent Attack
Effect: The Triggering Attack instead misses. The user is removed from the Scene and becomes Untargetable for this duration. At the start of the user’s next Turn, they enter the field in any unoccupied space where they could have moved to during their last turn. 
Bonus: Whenever the user uses the Burrower Capability, then uses a 1-Target Attack during that Turn, the Target cannot apply Speed Evasion against it.</v>
      </c>
      <c r="H171" s="224"/>
      <c r="I171" s="224"/>
      <c r="J171" s="224"/>
      <c r="K171" s="224"/>
      <c r="L171" s="224"/>
      <c r="M171" s="224"/>
      <c r="N171" s="224"/>
      <c r="O171" s="224"/>
      <c r="P171" s="224"/>
      <c r="Q171" s="224"/>
      <c r="R171" s="224"/>
      <c r="S171" s="224"/>
      <c r="T171" s="224"/>
      <c r="U171" s="224"/>
      <c r="V171" s="224"/>
      <c r="W171" s="224"/>
      <c r="X171" s="224"/>
      <c r="Y171" s="224"/>
      <c r="Z171" s="224"/>
    </row>
    <row r="172">
      <c r="A172" s="225" t="str">
        <f>IFERROR(__xludf.DUMMYFUNCTION("""COMPUTED_VALUE"""),"Dire Spore")</f>
        <v>Dire Spore</v>
      </c>
      <c r="B172" s="225" t="str">
        <f>IFERROR(__xludf.DUMMYFUNCTION("""COMPUTED_VALUE"""),"At-Will - Swift Action")</f>
        <v>At-Will - Swift Action</v>
      </c>
      <c r="C172" s="225" t="str">
        <f>IFERROR(__xludf.DUMMYFUNCTION("""COMPUTED_VALUE"""),"Connection - Spore. 
Effect: The user creates Spore Hazards withiin a 3, Ranged Blast 2, area. Enemies that move through this Hazard become Paralyzed, Poisoned or Burned, of the user's choice. 
Bonus: Your Grass Type Status Attacks gain a 15+ Effect Range"&amp;" to inflict Poison.")</f>
        <v>Connection - Spore. 
Effect: The user creates Spore Hazards withiin a 3, Ranged Blast 2, area. Enemies that move through this Hazard become Paralyzed, Poisoned or Burned, of the user's choice. 
Bonus: Your Grass Type Status Attacks gain a 15+ Effect Range to inflict Poison.</v>
      </c>
      <c r="D172" s="225"/>
      <c r="E172" s="225"/>
      <c r="F172" s="225"/>
      <c r="G172" s="226" t="str">
        <f>IFERROR(__xludf.DUMMYFUNCTION("""COMPUTED_VALUE"""),"At-Will - Swift Action
Connection - Spore. 
Effect: The user creates Spore Hazards withiin a 3, Ranged Blast 2, area. Enemies that move through this Hazard become Paralyzed, Poisoned or Burned, of the user's choice. 
Bonus: Your Grass Type Status Attacks "&amp;"gain a 15+ Effect Range to inflict Poison.")</f>
        <v>At-Will - Swift Action
Connection - Spore. 
Effect: The user creates Spore Hazards withiin a 3, Ranged Blast 2, area. Enemies that move through this Hazard become Paralyzed, Poisoned or Burned, of the user's choice. 
Bonus: Your Grass Type Status Attacks gain a 15+ Effect Range to inflict Poison.</v>
      </c>
      <c r="H172" s="224"/>
      <c r="I172" s="224"/>
      <c r="J172" s="224"/>
      <c r="K172" s="224"/>
      <c r="L172" s="224"/>
      <c r="M172" s="224"/>
      <c r="N172" s="224"/>
      <c r="O172" s="224"/>
      <c r="P172" s="224"/>
      <c r="Q172" s="224"/>
      <c r="R172" s="224"/>
      <c r="S172" s="224"/>
      <c r="T172" s="224"/>
      <c r="U172" s="224"/>
      <c r="V172" s="224"/>
      <c r="W172" s="224"/>
      <c r="X172" s="224"/>
      <c r="Y172" s="224"/>
      <c r="Z172" s="224"/>
    </row>
    <row r="173">
      <c r="A173" s="225" t="str">
        <f>IFERROR(__xludf.DUMMYFUNCTION("""COMPUTED_VALUE"""),"Discipline")</f>
        <v>Discipline</v>
      </c>
      <c r="B173" s="225" t="str">
        <f>IFERROR(__xludf.DUMMYFUNCTION("""COMPUTED_VALUE"""),"Scene x2 - Swift Action")</f>
        <v>Scene x2 - Swift Action</v>
      </c>
      <c r="C173" s="225" t="str">
        <f>IFERROR(__xludf.DUMMYFUNCTION("""COMPUTED_VALUE"""),"Effect: The user is cured of a Status Affliction. This Ability cannot be activated on a Turn the user used a Damaging Attack and the user cannot use a Damaging Attack for the rest of this Turn after activating Discipline.")</f>
        <v>Effect: The user is cured of a Status Affliction. This Ability cannot be activated on a Turn the user used a Damaging Attack and the user cannot use a Damaging Attack for the rest of this Turn after activating Discipline.</v>
      </c>
      <c r="D173" s="225"/>
      <c r="E173" s="225"/>
      <c r="F173" s="225"/>
      <c r="G173" s="226" t="str">
        <f>IFERROR(__xludf.DUMMYFUNCTION("""COMPUTED_VALUE"""),"Scene x2 - Swift Action
Effect: The user is cured of a Status Affliction. This Ability cannot be activated on a Turn the user used a Damaging Attack and the user cannot use a Damaging Attack for the rest of this Turn after activating Discipline.")</f>
        <v>Scene x2 - Swift Action
Effect: The user is cured of a Status Affliction. This Ability cannot be activated on a Turn the user used a Damaging Attack and the user cannot use a Damaging Attack for the rest of this Turn after activating Discipline.</v>
      </c>
      <c r="H173" s="224"/>
      <c r="I173" s="224"/>
      <c r="J173" s="224"/>
      <c r="K173" s="224"/>
      <c r="L173" s="224"/>
      <c r="M173" s="224"/>
      <c r="N173" s="224"/>
      <c r="O173" s="224"/>
      <c r="P173" s="224"/>
      <c r="Q173" s="224"/>
      <c r="R173" s="224"/>
      <c r="S173" s="224"/>
      <c r="T173" s="224"/>
      <c r="U173" s="224"/>
      <c r="V173" s="224"/>
      <c r="W173" s="224"/>
      <c r="X173" s="224"/>
      <c r="Y173" s="224"/>
      <c r="Z173" s="224"/>
    </row>
    <row r="174">
      <c r="A174" s="225" t="str">
        <f>IFERROR(__xludf.DUMMYFUNCTION("""COMPUTED_VALUE"""),"Disguise")</f>
        <v>Disguise</v>
      </c>
      <c r="B174" s="225" t="str">
        <f>IFERROR(__xludf.DUMMYFUNCTION("""COMPUTED_VALUE"""),"Scene - Free Action")</f>
        <v>Scene - Free Action</v>
      </c>
      <c r="C174" s="225" t="str">
        <f>IFERROR(__xludf.DUMMYFUNCTION("""COMPUTED_VALUE"""),"Effect: The Triggering Attack is resisted by an additional Step, then the user becomes Enraged.  
Bonus: While Enranged this way, the user has a bonus to Critical Hit Ranges equal to their Tier Level for their Dark and Ghost Type Damaging Attacks. If the "&amp;"user is now longer Enraged, as a Swift Action, the user may restore the Frequency of this Ability.")</f>
        <v>Effect: The Triggering Attack is resisted by an additional Step, then the user becomes Enraged.  
Bonus: While Enranged this way, the user has a bonus to Critical Hit Ranges equal to their Tier Level for their Dark and Ghost Type Damaging Attacks. If the user is now longer Enraged, as a Swift Action, the user may restore the Frequency of this Ability.</v>
      </c>
      <c r="D174" s="225" t="str">
        <f>IFERROR(__xludf.DUMMYFUNCTION("""COMPUTED_VALUE"""),"The user is hit by a Damaging Attack")</f>
        <v>The user is hit by a Damaging Attack</v>
      </c>
      <c r="E174" s="225"/>
      <c r="F174" s="225" t="str">
        <f>IFERROR(__xludf.DUMMYFUNCTION("""COMPUTED_VALUE"""),"Defensive")</f>
        <v>Defensive</v>
      </c>
      <c r="G174" s="226" t="str">
        <f>IFERROR(__xludf.DUMMYFUNCTION("""COMPUTED_VALUE"""),"Scene - Free Action
Keywords - Defensive
Trigger - The user is hit by a Damaging Attack
Effect: The Triggering Attack is resisted by an additional Step, then the user becomes Enraged.  
Bonus: While Enranged this way, the user has a bonus to Critical Hit "&amp;"Ranges equal to their Tier Level for their Dark and Ghost Type Damaging Attacks. If the user is now longer Enraged, as a Swift Action, the user may restore the Frequency of this Ability.")</f>
        <v>Scene - Free Action
Keywords - Defensive
Trigger - The user is hit by a Damaging Attack
Effect: The Triggering Attack is resisted by an additional Step, then the user becomes Enraged.  
Bonus: While Enranged this way, the user has a bonus to Critical Hit Ranges equal to their Tier Level for their Dark and Ghost Type Damaging Attacks. If the user is now longer Enraged, as a Swift Action, the user may restore the Frequency of this Ability.</v>
      </c>
      <c r="H174" s="224"/>
      <c r="I174" s="224"/>
      <c r="J174" s="224"/>
      <c r="K174" s="224"/>
      <c r="L174" s="224"/>
      <c r="M174" s="224"/>
      <c r="N174" s="224"/>
      <c r="O174" s="224"/>
      <c r="P174" s="224"/>
      <c r="Q174" s="224"/>
      <c r="R174" s="224"/>
      <c r="S174" s="224"/>
      <c r="T174" s="224"/>
      <c r="U174" s="224"/>
      <c r="V174" s="224"/>
      <c r="W174" s="224"/>
      <c r="X174" s="224"/>
      <c r="Y174" s="224"/>
      <c r="Z174" s="224"/>
    </row>
    <row r="175">
      <c r="A175" s="225" t="str">
        <f>IFERROR(__xludf.DUMMYFUNCTION("""COMPUTED_VALUE"""),"Dodge")</f>
        <v>Dodge</v>
      </c>
      <c r="B175" s="225" t="str">
        <f>IFERROR(__xludf.DUMMYFUNCTION("""COMPUTED_VALUE"""),"Static")</f>
        <v>Static</v>
      </c>
      <c r="C175" s="225" t="str">
        <f>IFERROR(__xludf.DUMMYFUNCTION("""COMPUTED_VALUE"""),"Effect: The user starts the Scene with Dodge Counters equal to their Tier Level. A Dodge Counter can be expended as a Reaction to gain +3 Uncapped Evasion against an Attack or to treat an Attack as if it didn't have the Smite Keyword. Multiple Counters ca"&amp;"n be expended against the same Attack if desired and may be done after seeing the Accuracy Roll.")</f>
        <v>Effect: The user starts the Scene with Dodge Counters equal to their Tier Level. A Dodge Counter can be expended as a Reaction to gain +3 Uncapped Evasion against an Attack or to treat an Attack as if it didn't have the Smite Keyword. Multiple Counters can be expended against the same Attack if desired and may be done after seeing the Accuracy Roll.</v>
      </c>
      <c r="D175" s="225"/>
      <c r="E175" s="225"/>
      <c r="F175" s="225" t="str">
        <f>IFERROR(__xludf.DUMMYFUNCTION("""COMPUTED_VALUE"""),"Defensive")</f>
        <v>Defensive</v>
      </c>
      <c r="G175" s="226" t="str">
        <f>IFERROR(__xludf.DUMMYFUNCTION("""COMPUTED_VALUE"""),"Static
Keywords - Defensive
Effect: The user starts the Scene with Dodge Counters equal to their Tier Level. A Dodge Counter can be expended as a Reaction to gain +3 Uncapped Evasion against an Attack or to treat an Attack as if it didn't have the Smite K"&amp;"eyword. Multiple Counters can be expended against the same Attack if desired and may be done after seeing the Accuracy Roll.")</f>
        <v>Static
Keywords - Defensive
Effect: The user starts the Scene with Dodge Counters equal to their Tier Level. A Dodge Counter can be expended as a Reaction to gain +3 Uncapped Evasion against an Attack or to treat an Attack as if it didn't have the Smite Keyword. Multiple Counters can be expended against the same Attack if desired and may be done after seeing the Accuracy Roll.</v>
      </c>
      <c r="H175" s="224"/>
      <c r="I175" s="224"/>
      <c r="J175" s="224"/>
      <c r="K175" s="224"/>
      <c r="L175" s="224"/>
      <c r="M175" s="224"/>
      <c r="N175" s="224"/>
      <c r="O175" s="224"/>
      <c r="P175" s="224"/>
      <c r="Q175" s="224"/>
      <c r="R175" s="224"/>
      <c r="S175" s="224"/>
      <c r="T175" s="224"/>
      <c r="U175" s="224"/>
      <c r="V175" s="224"/>
      <c r="W175" s="224"/>
      <c r="X175" s="224"/>
      <c r="Y175" s="224"/>
      <c r="Z175" s="224"/>
    </row>
    <row r="176">
      <c r="A176" s="225" t="str">
        <f>IFERROR(__xludf.DUMMYFUNCTION("""COMPUTED_VALUE"""),"Dream Smoke")</f>
        <v>Dream Smoke</v>
      </c>
      <c r="B176" s="225" t="str">
        <f>IFERROR(__xludf.DUMMYFUNCTION("""COMPUTED_VALUE"""),"Scene - Reaction")</f>
        <v>Scene - Reaction</v>
      </c>
      <c r="C176" s="225" t="str">
        <f>IFERROR(__xludf.DUMMYFUNCTION("""COMPUTED_VALUE"""),"Connection - Smokescreen. 
Effect: The Triggering Enemy becomes Drowsy. 
Bonus: When the user uses Smokescreen, Smoke Hazards created that way also cause Enemies to become Drowsy if they move through it or end their Turn in the Hazard.")</f>
        <v>Connection - Smokescreen. 
Effect: The Triggering Enemy becomes Drowsy. 
Bonus: When the user uses Smokescreen, Smoke Hazards created that way also cause Enemies to become Drowsy if they move through it or end their Turn in the Hazard.</v>
      </c>
      <c r="D176" s="225" t="str">
        <f>IFERROR(__xludf.DUMMYFUNCTION("""COMPUTED_VALUE"""),"The user is hit by an Attack from an Adjacent Enemy")</f>
        <v>The user is hit by an Attack from an Adjacent Enemy</v>
      </c>
      <c r="E176" s="225"/>
      <c r="F176" s="225" t="str">
        <f>IFERROR(__xludf.DUMMYFUNCTION("""COMPUTED_VALUE"""),"Defensive")</f>
        <v>Defensive</v>
      </c>
      <c r="G176" s="226" t="str">
        <f>IFERROR(__xludf.DUMMYFUNCTION("""COMPUTED_VALUE"""),"Scene - Reaction
Keywords - Defensive
Trigger - The user is hit by an Attack from an Adjacent Enemy
Connection - Smokescreen. 
Effect: The Triggering Enemy becomes Drowsy. 
Bonus: When the user uses Smokescreen, Smoke Hazards created that way also cause E"&amp;"nemies to become Drowsy if they move through it or end their Turn in the Hazard.")</f>
        <v>Scene - Reaction
Keywords - Defensive
Trigger - The user is hit by an Attack from an Adjacent Enemy
Connection - Smokescreen. 
Effect: The Triggering Enemy becomes Drowsy. 
Bonus: When the user uses Smokescreen, Smoke Hazards created that way also cause Enemies to become Drowsy if they move through it or end their Turn in the Hazard.</v>
      </c>
      <c r="H176" s="224"/>
      <c r="I176" s="224"/>
      <c r="J176" s="224"/>
      <c r="K176" s="224"/>
      <c r="L176" s="224"/>
      <c r="M176" s="224"/>
      <c r="N176" s="224"/>
      <c r="O176" s="224"/>
      <c r="P176" s="224"/>
      <c r="Q176" s="224"/>
      <c r="R176" s="224"/>
      <c r="S176" s="224"/>
      <c r="T176" s="224"/>
      <c r="U176" s="224"/>
      <c r="V176" s="224"/>
      <c r="W176" s="224"/>
      <c r="X176" s="224"/>
      <c r="Y176" s="224"/>
      <c r="Z176" s="224"/>
    </row>
    <row r="177">
      <c r="A177" s="225" t="str">
        <f>IFERROR(__xludf.DUMMYFUNCTION("""COMPUTED_VALUE"""),"Drizzle")</f>
        <v>Drizzle</v>
      </c>
      <c r="B177" s="225" t="str">
        <f>IFERROR(__xludf.DUMMYFUNCTION("""COMPUTED_VALUE"""),"At-Will - Swift Action")</f>
        <v>At-Will - Swift Action</v>
      </c>
      <c r="C177" s="225" t="str">
        <f>IFERROR(__xludf.DUMMYFUNCTION("""COMPUTED_VALUE"""),"Connection - Rain Dance.
Effect: The Weather becomes Rainy. 
Bonus: While the Weather is Rainy, the user has a bonus to Save Checks equal to their Tier Level and has a Boon to all Skill Checks while in Combat.")</f>
        <v>Connection - Rain Dance.
Effect: The Weather becomes Rainy. 
Bonus: While the Weather is Rainy, the user has a bonus to Save Checks equal to their Tier Level and has a Boon to all Skill Checks while in Combat.</v>
      </c>
      <c r="D177" s="225"/>
      <c r="E177" s="225"/>
      <c r="F177" s="225"/>
      <c r="G177" s="226" t="str">
        <f>IFERROR(__xludf.DUMMYFUNCTION("""COMPUTED_VALUE"""),"At-Will - Swift Action
Connection - Rain Dance.
Effect: The Weather becomes Rainy. 
Bonus: While the Weather is Rainy, the user has a bonus to Save Checks equal to their Tier Level and has a Boon to all Skill Checks while in Combat.")</f>
        <v>At-Will - Swift Action
Connection - Rain Dance.
Effect: The Weather becomes Rainy. 
Bonus: While the Weather is Rainy, the user has a bonus to Save Checks equal to their Tier Level and has a Boon to all Skill Checks while in Combat.</v>
      </c>
      <c r="H177" s="224"/>
      <c r="I177" s="224"/>
      <c r="J177" s="224"/>
      <c r="K177" s="224"/>
      <c r="L177" s="224"/>
      <c r="M177" s="224"/>
      <c r="N177" s="224"/>
      <c r="O177" s="224"/>
      <c r="P177" s="224"/>
      <c r="Q177" s="224"/>
      <c r="R177" s="224"/>
      <c r="S177" s="224"/>
      <c r="T177" s="224"/>
      <c r="U177" s="224"/>
      <c r="V177" s="224"/>
      <c r="W177" s="224"/>
      <c r="X177" s="224"/>
      <c r="Y177" s="224"/>
      <c r="Z177" s="224"/>
    </row>
    <row r="178">
      <c r="A178" s="225" t="str">
        <f>IFERROR(__xludf.DUMMYFUNCTION("""COMPUTED_VALUE"""),"Drought")</f>
        <v>Drought</v>
      </c>
      <c r="B178" s="225" t="str">
        <f>IFERROR(__xludf.DUMMYFUNCTION("""COMPUTED_VALUE"""),"At-Will - Swift Action")</f>
        <v>At-Will - Swift Action</v>
      </c>
      <c r="C178" s="225" t="str">
        <f>IFERROR(__xludf.DUMMYFUNCTION("""COMPUTED_VALUE"""),"Connection - Sunny Day.
Effect: The Weather becomes Sunny. 
Bonus: While the Weather is Sunny, the user has a bonus to Save Checks equal to their Tier Level and has a Boon to all Skill Checks while in Combat.")</f>
        <v>Connection - Sunny Day.
Effect: The Weather becomes Sunny. 
Bonus: While the Weather is Sunny, the user has a bonus to Save Checks equal to their Tier Level and has a Boon to all Skill Checks while in Combat.</v>
      </c>
      <c r="D178" s="225"/>
      <c r="E178" s="225"/>
      <c r="F178" s="225"/>
      <c r="G178" s="226" t="str">
        <f>IFERROR(__xludf.DUMMYFUNCTION("""COMPUTED_VALUE"""),"At-Will - Swift Action
Connection - Sunny Day.
Effect: The Weather becomes Sunny. 
Bonus: While the Weather is Sunny, the user has a bonus to Save Checks equal to their Tier Level and has a Boon to all Skill Checks while in Combat.")</f>
        <v>At-Will - Swift Action
Connection - Sunny Day.
Effect: The Weather becomes Sunny. 
Bonus: While the Weather is Sunny, the user has a bonus to Save Checks equal to their Tier Level and has a Boon to all Skill Checks while in Combat.</v>
      </c>
      <c r="H178" s="224"/>
      <c r="I178" s="224"/>
      <c r="J178" s="224"/>
      <c r="K178" s="224"/>
      <c r="L178" s="224"/>
      <c r="M178" s="224"/>
      <c r="N178" s="224"/>
      <c r="O178" s="224"/>
      <c r="P178" s="224"/>
      <c r="Q178" s="224"/>
      <c r="R178" s="224"/>
      <c r="S178" s="224"/>
      <c r="T178" s="224"/>
      <c r="U178" s="224"/>
      <c r="V178" s="224"/>
      <c r="W178" s="224"/>
      <c r="X178" s="224"/>
      <c r="Y178" s="224"/>
      <c r="Z178" s="224"/>
    </row>
    <row r="179">
      <c r="A179" s="225" t="str">
        <f>IFERROR(__xludf.DUMMYFUNCTION("""COMPUTED_VALUE"""),"Drown Out")</f>
        <v>Drown Out</v>
      </c>
      <c r="B179" s="225" t="str">
        <f>IFERROR(__xludf.DUMMYFUNCTION("""COMPUTED_VALUE"""),"At-Will - Swift Action")</f>
        <v>At-Will - Swift Action</v>
      </c>
      <c r="C179" s="225" t="str">
        <f>IFERROR(__xludf.DUMMYFUNCTION("""COMPUTED_VALUE"""),"Effect: The Target gains a penalty to Accuracy equal to your Tier Level until the end of their next Turn. If they fail a Standard CR (2) Focus Check, they instead become Deafened. Deafened is a Physical Status Affliction that has the same Accuracy Penalty"&amp;" while they’re affected by the Affliction. If the user is Tier 3, it becomes a Tough CR (3) Focus Check instead. 
Bonus: The user’s Attacks with the Sonic Keyword gain the Smite Keyword against Enemies that are adjacent to you.  ")</f>
        <v>Effect: The Target gains a penalty to Accuracy equal to your Tier Level until the end of their next Turn. If they fail a Standard CR (2) Focus Check, they instead become Deafened. Deafened is a Physical Status Affliction that has the same Accuracy Penalty while they’re affected by the Affliction. If the user is Tier 3, it becomes a Tough CR (3) Focus Check instead. 
Bonus: The user’s Attacks with the Sonic Keyword gain the Smite Keyword against Enemies that are adjacent to you.  </v>
      </c>
      <c r="D179" s="225" t="str">
        <f>IFERROR(__xludf.DUMMYFUNCTION("""COMPUTED_VALUE"""),"The user uses an Attack with the Sonic Keyword")</f>
        <v>The user uses an Attack with the Sonic Keyword</v>
      </c>
      <c r="E179" s="225"/>
      <c r="F179" s="225"/>
      <c r="G179" s="226" t="str">
        <f>IFERROR(__xludf.DUMMYFUNCTION("""COMPUTED_VALUE"""),"At-Will - Swift Action
Trigger - The user uses an Attack with the Sonic Keyword
Effect: The Target gains a penalty to Accuracy equal to your Tier Level until the end of their next Turn. If they fail a Standard CR (2) Focus Check, they instead become Deafe"&amp;"ned. Deafened is a Physical Status Affliction that has the same Accuracy Penalty while they’re affected by the Affliction. If the user is Tier 3, it becomes a Tough CR (3) Focus Check instead. 
Bonus: The user’s Attacks with the Sonic Keyword gain the Smi"&amp;"te Keyword against Enemies that are adjacent to you.  ")</f>
        <v>At-Will - Swift Action
Trigger - The user uses an Attack with the Sonic Keyword
Effect: The Target gains a penalty to Accuracy equal to your Tier Level until the end of their next Turn. If they fail a Standard CR (2) Focus Check, they instead become Deafened. Deafened is a Physical Status Affliction that has the same Accuracy Penalty while they’re affected by the Affliction. If the user is Tier 3, it becomes a Tough CR (3) Focus Check instead. 
Bonus: The user’s Attacks with the Sonic Keyword gain the Smite Keyword against Enemies that are adjacent to you.  </v>
      </c>
      <c r="H179" s="224"/>
      <c r="I179" s="224"/>
      <c r="J179" s="224"/>
      <c r="K179" s="224"/>
      <c r="L179" s="224"/>
      <c r="M179" s="224"/>
      <c r="N179" s="224"/>
      <c r="O179" s="224"/>
      <c r="P179" s="224"/>
      <c r="Q179" s="224"/>
      <c r="R179" s="224"/>
      <c r="S179" s="224"/>
      <c r="T179" s="224"/>
      <c r="U179" s="224"/>
      <c r="V179" s="224"/>
      <c r="W179" s="224"/>
      <c r="X179" s="224"/>
      <c r="Y179" s="224"/>
      <c r="Z179" s="224"/>
    </row>
    <row r="180">
      <c r="A180" s="225" t="str">
        <f>IFERROR(__xludf.DUMMYFUNCTION("""COMPUTED_VALUE"""),"Dusk Body")</f>
        <v>Dusk Body</v>
      </c>
      <c r="B180" s="225" t="str">
        <f>IFERROR(__xludf.DUMMYFUNCTION("""COMPUTED_VALUE"""),"Scene - Swift Action")</f>
        <v>Scene - Swift Action</v>
      </c>
      <c r="C180" s="225" t="str">
        <f>IFERROR(__xludf.DUMMYFUNCTION("""COMPUTED_VALUE"""),"Effect: The user restores two Ticks of Hit Points or gains 2 Ticks of Temporary Hit Points or is cured of a Physical Status Affliction. If the user is in Foggy Weather, the Frequency of Dusk Body isn’t expended. This Ability can only ignore its Frequency "&amp;"twice in a Scene.")</f>
        <v>Effect: The user restores two Ticks of Hit Points or gains 2 Ticks of Temporary Hit Points or is cured of a Physical Status Affliction. If the user is in Foggy Weather, the Frequency of Dusk Body isn’t expended. This Ability can only ignore its Frequency twice in a Scene.</v>
      </c>
      <c r="D180" s="225"/>
      <c r="E180" s="225"/>
      <c r="F180" s="225"/>
      <c r="G180" s="226" t="str">
        <f>IFERROR(__xludf.DUMMYFUNCTION("""COMPUTED_VALUE"""),"Scene - Swift Action
Effect: The user restores two Ticks of Hit Points or gains 2 Ticks of Temporary Hit Points or is cured of a Physical Status Affliction. If the user is in Foggy Weather, the Frequency of Dusk Body isn’t expended. This Ability can only "&amp;"ignore its Frequency twice in a Scene.")</f>
        <v>Scene - Swift Action
Effect: The user restores two Ticks of Hit Points or gains 2 Ticks of Temporary Hit Points or is cured of a Physical Status Affliction. If the user is in Foggy Weather, the Frequency of Dusk Body isn’t expended. This Ability can only ignore its Frequency twice in a Scene.</v>
      </c>
      <c r="H180" s="224"/>
      <c r="I180" s="224"/>
      <c r="J180" s="224"/>
      <c r="K180" s="224"/>
      <c r="L180" s="224"/>
      <c r="M180" s="224"/>
      <c r="N180" s="224"/>
      <c r="O180" s="224"/>
      <c r="P180" s="224"/>
      <c r="Q180" s="224"/>
      <c r="R180" s="224"/>
      <c r="S180" s="224"/>
      <c r="T180" s="224"/>
      <c r="U180" s="224"/>
      <c r="V180" s="224"/>
      <c r="W180" s="224"/>
      <c r="X180" s="224"/>
      <c r="Y180" s="224"/>
      <c r="Z180" s="224"/>
    </row>
    <row r="181">
      <c r="A181" s="225" t="str">
        <f>IFERROR(__xludf.DUMMYFUNCTION("""COMPUTED_VALUE"""),"Dust Cloud")</f>
        <v>Dust Cloud</v>
      </c>
      <c r="B181" s="225" t="str">
        <f>IFERROR(__xludf.DUMMYFUNCTION("""COMPUTED_VALUE"""),"Scene x2 - Swift Action")</f>
        <v>Scene x2 - Swift Action</v>
      </c>
      <c r="C181" s="225" t="str">
        <f>IFERROR(__xludf.DUMMYFUNCTION("""COMPUTED_VALUE"""),"Connection - Smokescreen. 
Effect: You create Smoke Hazards (Refer to Smokescreen) in a 3x3 Zone, centered on one of the Targets of the Triggering Attack. ")</f>
        <v>Connection - Smokescreen. 
Effect: You create Smoke Hazards (Refer to Smokescreen) in a 3x3 Zone, centered on one of the Targets of the Triggering Attack. </v>
      </c>
      <c r="D181" s="225" t="str">
        <f>IFERROR(__xludf.DUMMYFUNCTION("""COMPUTED_VALUE"""),"You use a Bug, Ground, Grass or Poison Type Status Attack")</f>
        <v>You use a Bug, Ground, Grass or Poison Type Status Attack</v>
      </c>
      <c r="E181" s="225"/>
      <c r="F181" s="225"/>
      <c r="G181" s="226" t="str">
        <f>IFERROR(__xludf.DUMMYFUNCTION("""COMPUTED_VALUE"""),"Scene x2 - Swift Action
Trigger - You use a Bug, Ground, Grass or Poison Type Status Attack
Connection - Smokescreen. 
Effect: You create Smoke Hazards (Refer to Smokescreen) in a 3x3 Zone, centered on one of the Targets of the Triggering Attack. ")</f>
        <v>Scene x2 - Swift Action
Trigger - You use a Bug, Ground, Grass or Poison Type Status Attack
Connection - Smokescreen. 
Effect: You create Smoke Hazards (Refer to Smokescreen) in a 3x3 Zone, centered on one of the Targets of the Triggering Attack. </v>
      </c>
      <c r="H181" s="224"/>
      <c r="I181" s="224"/>
      <c r="J181" s="224"/>
      <c r="K181" s="224"/>
      <c r="L181" s="224"/>
      <c r="M181" s="224"/>
      <c r="N181" s="224"/>
      <c r="O181" s="224"/>
      <c r="P181" s="224"/>
      <c r="Q181" s="224"/>
      <c r="R181" s="224"/>
      <c r="S181" s="224"/>
      <c r="T181" s="224"/>
      <c r="U181" s="224"/>
      <c r="V181" s="224"/>
      <c r="W181" s="224"/>
      <c r="X181" s="224"/>
      <c r="Y181" s="224"/>
      <c r="Z181" s="224"/>
    </row>
    <row r="182">
      <c r="A182" s="225" t="str">
        <f>IFERROR(__xludf.DUMMYFUNCTION("""COMPUTED_VALUE"""),"Dusty Guard")</f>
        <v>Dusty Guard</v>
      </c>
      <c r="B182" s="225" t="str">
        <f>IFERROR(__xludf.DUMMYFUNCTION("""COMPUTED_VALUE"""),"At-Will - Swift Action")</f>
        <v>At-Will - Swift Action</v>
      </c>
      <c r="C182" s="225" t="str">
        <f>IFERROR(__xludf.DUMMYFUNCTION("""COMPUTED_VALUE"""),"Effect: The user gains a Tick of Temporary Hit Points or gains +1 CS in Defense or Special Defense.
Bonus: While the Weather is Sandstorm, Effect Ranges cannot Trigger if the user is a Target. ")</f>
        <v>Effect: The user gains a Tick of Temporary Hit Points or gains +1 CS in Defense or Special Defense.
Bonus: While the Weather is Sandstorm, Effect Ranges cannot Trigger if the user is a Target. </v>
      </c>
      <c r="D182" s="225" t="str">
        <f>IFERROR(__xludf.DUMMYFUNCTION("""COMPUTED_VALUE"""),"The user uses a Ground or Rock Type Attack")</f>
        <v>The user uses a Ground or Rock Type Attack</v>
      </c>
      <c r="E182" s="225"/>
      <c r="F182" s="225" t="str">
        <f>IFERROR(__xludf.DUMMYFUNCTION("""COMPUTED_VALUE"""),"Defensive")</f>
        <v>Defensive</v>
      </c>
      <c r="G182" s="226" t="str">
        <f>IFERROR(__xludf.DUMMYFUNCTION("""COMPUTED_VALUE"""),"At-Will - Swift Action
Keywords - Defensive
Trigger - The user uses a Ground or Rock Type Attack
Effect: The user gains a Tick of Temporary Hit Points or gains +1 CS in Defense or Special Defense.
Bonus: While the Weather is Sandstorm, Effect Ranges canno"&amp;"t Trigger if the user is a Target. ")</f>
        <v>At-Will - Swift Action
Keywords - Defensive
Trigger - The user uses a Ground or Rock Type Attack
Effect: The user gains a Tick of Temporary Hit Points or gains +1 CS in Defense or Special Defense.
Bonus: While the Weather is Sandstorm, Effect Ranges cannot Trigger if the user is a Target. </v>
      </c>
      <c r="H182" s="224"/>
      <c r="I182" s="224"/>
      <c r="J182" s="224"/>
      <c r="K182" s="224"/>
      <c r="L182" s="224"/>
      <c r="M182" s="224"/>
      <c r="N182" s="224"/>
      <c r="O182" s="224"/>
      <c r="P182" s="224"/>
      <c r="Q182" s="224"/>
      <c r="R182" s="224"/>
      <c r="S182" s="224"/>
      <c r="T182" s="224"/>
      <c r="U182" s="224"/>
      <c r="V182" s="224"/>
      <c r="W182" s="224"/>
      <c r="X182" s="224"/>
      <c r="Y182" s="224"/>
      <c r="Z182" s="224"/>
    </row>
    <row r="183">
      <c r="A183" s="225" t="str">
        <f>IFERROR(__xludf.DUMMYFUNCTION("""COMPUTED_VALUE"""),"Early Bird")</f>
        <v>Early Bird</v>
      </c>
      <c r="B183" s="225" t="str">
        <f>IFERROR(__xludf.DUMMYFUNCTION("""COMPUTED_VALUE"""),"Static")</f>
        <v>Static</v>
      </c>
      <c r="C183" s="225" t="str">
        <f>IFERROR(__xludf.DUMMYFUNCTION("""COMPUTED_VALUE"""),"Effect: The user may perform Save Checks to cure Afflictions at the start of their Turn instead of at the end (Before any Affliction Effects would occur). All Enemies who haven't acted yet this Round treat the user's Attacks as if they had the Unstoppable"&amp;" Keyword. ")</f>
        <v>Effect: The user may perform Save Checks to cure Afflictions at the start of their Turn instead of at the end (Before any Affliction Effects would occur). All Enemies who haven't acted yet this Round treat the user's Attacks as if they had the Unstoppable Keyword. </v>
      </c>
      <c r="D183" s="225"/>
      <c r="E183" s="225"/>
      <c r="F183" s="225"/>
      <c r="G183" s="226" t="str">
        <f>IFERROR(__xludf.DUMMYFUNCTION("""COMPUTED_VALUE"""),"Static
Effect: The user may perform Save Checks to cure Afflictions at the start of their Turn instead of at the end (Before any Affliction Effects would occur). All Enemies who haven't acted yet this Round treat the user's Attacks as if they had the Unst"&amp;"oppable Keyword. ")</f>
        <v>Static
Effect: The user may perform Save Checks to cure Afflictions at the start of their Turn instead of at the end (Before any Affliction Effects would occur). All Enemies who haven't acted yet this Round treat the user's Attacks as if they had the Unstoppable Keyword. </v>
      </c>
      <c r="H183" s="224"/>
      <c r="I183" s="224"/>
      <c r="J183" s="224"/>
      <c r="K183" s="224"/>
      <c r="L183" s="224"/>
      <c r="M183" s="224"/>
      <c r="N183" s="224"/>
      <c r="O183" s="224"/>
      <c r="P183" s="224"/>
      <c r="Q183" s="224"/>
      <c r="R183" s="224"/>
      <c r="S183" s="224"/>
      <c r="T183" s="224"/>
      <c r="U183" s="224"/>
      <c r="V183" s="224"/>
      <c r="W183" s="224"/>
      <c r="X183" s="224"/>
      <c r="Y183" s="224"/>
      <c r="Z183" s="224"/>
    </row>
    <row r="184">
      <c r="A184" s="225" t="str">
        <f>IFERROR(__xludf.DUMMYFUNCTION("""COMPUTED_VALUE"""),"Earth Eater")</f>
        <v>Earth Eater</v>
      </c>
      <c r="B184" s="225" t="str">
        <f>IFERROR(__xludf.DUMMYFUNCTION("""COMPUTED_VALUE"""),"At-Will - Swift Action")</f>
        <v>At-Will - Swift Action</v>
      </c>
      <c r="C184" s="225" t="str">
        <f>IFERROR(__xludf.DUMMYFUNCTION("""COMPUTED_VALUE"""),"Effect: The Targeted Terrain changes to Basic Terrain. The user then restores two Ticks of Hit Points or gains +1 CS in Defense or Special Defense. The GM may decide if Terrain is able to be changed by this ability or not but not whether or not it can be "&amp;"Targeted. 
Bonus: The user is Immune to Ground Type Attacks. ")</f>
        <v>Effect: The Targeted Terrain changes to Basic Terrain. The user then restores two Ticks of Hit Points or gains +1 CS in Defense or Special Defense. The GM may decide if Terrain is able to be changed by this ability or not but not whether or not it can be Targeted. 
Bonus: The user is Immune to Ground Type Attacks. </v>
      </c>
      <c r="D184" s="225"/>
      <c r="E184" s="225" t="str">
        <f>IFERROR(__xludf.DUMMYFUNCTION("""COMPUTED_VALUE"""),"Rough, Cover or Blocking Terrain that the user is Adjacent to or standing on")</f>
        <v>Rough, Cover or Blocking Terrain that the user is Adjacent to or standing on</v>
      </c>
      <c r="F184" s="225" t="str">
        <f>IFERROR(__xludf.DUMMYFUNCTION("""COMPUTED_VALUE"""),"Defensive")</f>
        <v>Defensive</v>
      </c>
      <c r="G184" s="226" t="str">
        <f>IFERROR(__xludf.DUMMYFUNCTION("""COMPUTED_VALUE"""),"At-Will - Swift Action
Keywords - Defensive
Target - Rough, Cover or Blocking Terrain that the user is Adjacent to or standing on
Effect: The Targeted Terrain changes to Basic Terrain. The user then restores two Ticks of Hit Points or gains +1 CS in Defen"&amp;"se or Special Defense. The GM may decide if Terrain is able to be changed by this ability or not but not whether or not it can be Targeted. 
Bonus: The user is Immune to Ground Type Attacks. ")</f>
        <v>At-Will - Swift Action
Keywords - Defensive
Target - Rough, Cover or Blocking Terrain that the user is Adjacent to or standing on
Effect: The Targeted Terrain changes to Basic Terrain. The user then restores two Ticks of Hit Points or gains +1 CS in Defense or Special Defense. The GM may decide if Terrain is able to be changed by this ability or not but not whether or not it can be Targeted. 
Bonus: The user is Immune to Ground Type Attacks. </v>
      </c>
      <c r="H184" s="224"/>
      <c r="I184" s="224"/>
      <c r="J184" s="224"/>
      <c r="K184" s="224"/>
      <c r="L184" s="224"/>
      <c r="M184" s="224"/>
      <c r="N184" s="224"/>
      <c r="O184" s="224"/>
      <c r="P184" s="224"/>
      <c r="Q184" s="224"/>
      <c r="R184" s="224"/>
      <c r="S184" s="224"/>
      <c r="T184" s="224"/>
      <c r="U184" s="224"/>
      <c r="V184" s="224"/>
      <c r="W184" s="224"/>
      <c r="X184" s="224"/>
      <c r="Y184" s="224"/>
      <c r="Z184" s="224"/>
    </row>
    <row r="185">
      <c r="A185" s="225" t="str">
        <f>IFERROR(__xludf.DUMMYFUNCTION("""COMPUTED_VALUE"""),"Earthen Shell")</f>
        <v>Earthen Shell</v>
      </c>
      <c r="B185" s="225" t="str">
        <f>IFERROR(__xludf.DUMMYFUNCTION("""COMPUTED_VALUE"""),"Scene - Reaction")</f>
        <v>Scene - Reaction</v>
      </c>
      <c r="C185" s="225" t="str">
        <f>IFERROR(__xludf.DUMMYFUNCTION("""COMPUTED_VALUE"""),"Connection - Shell Smash. 
Effect: The user may use Shell Smash as a Free Action, then becomes Enraged.  
Bonus: When the user uses Shell Smash, they may choose to instead increase Defense and Special Defense by +3 CS instead of the attack’s listed stats.")</f>
        <v>Connection - Shell Smash. 
Effect: The user may use Shell Smash as a Free Action, then becomes Enraged.  
Bonus: When the user uses Shell Smash, they may choose to instead increase Defense and Special Defense by +3 CS instead of the attack’s listed stats.</v>
      </c>
      <c r="D185" s="225" t="str">
        <f>IFERROR(__xludf.DUMMYFUNCTION("""COMPUTED_VALUE"""),"The user falls below 50% Hit Points")</f>
        <v>The user falls below 50% Hit Points</v>
      </c>
      <c r="E185" s="225"/>
      <c r="F185" s="225" t="str">
        <f>IFERROR(__xludf.DUMMYFUNCTION("""COMPUTED_VALUE"""),"Defensive")</f>
        <v>Defensive</v>
      </c>
      <c r="G185" s="226" t="str">
        <f>IFERROR(__xludf.DUMMYFUNCTION("""COMPUTED_VALUE"""),"Scene - Reaction
Keywords - Defensive
Trigger - The user falls below 50% Hit Points
Connection - Shell Smash. 
Effect: The user may use Shell Smash as a Free Action, then becomes Enraged.  
Bonus: When the user uses Shell Smash, they may choose to instead"&amp;" increase Defense and Special Defense by +3 CS instead of the attack’s listed stats.")</f>
        <v>Scene - Reaction
Keywords - Defensive
Trigger - The user falls below 50% Hit Points
Connection - Shell Smash. 
Effect: The user may use Shell Smash as a Free Action, then becomes Enraged.  
Bonus: When the user uses Shell Smash, they may choose to instead increase Defense and Special Defense by +3 CS instead of the attack’s listed stats.</v>
      </c>
      <c r="H185" s="224"/>
      <c r="I185" s="224"/>
      <c r="J185" s="224"/>
      <c r="K185" s="224"/>
      <c r="L185" s="224"/>
      <c r="M185" s="224"/>
      <c r="N185" s="224"/>
      <c r="O185" s="224"/>
      <c r="P185" s="224"/>
      <c r="Q185" s="224"/>
      <c r="R185" s="224"/>
      <c r="S185" s="224"/>
      <c r="T185" s="224"/>
      <c r="U185" s="224"/>
      <c r="V185" s="224"/>
      <c r="W185" s="224"/>
      <c r="X185" s="224"/>
      <c r="Y185" s="224"/>
      <c r="Z185" s="224"/>
    </row>
    <row r="186">
      <c r="A186" s="225" t="str">
        <f>IFERROR(__xludf.DUMMYFUNCTION("""COMPUTED_VALUE"""),"Edged Leaf")</f>
        <v>Edged Leaf</v>
      </c>
      <c r="B186" s="225" t="str">
        <f>IFERROR(__xludf.DUMMYFUNCTION("""COMPUTED_VALUE"""),"Scene - Swift Action")</f>
        <v>Scene - Swift Action</v>
      </c>
      <c r="C186" s="225" t="str">
        <f>IFERROR(__xludf.DUMMYFUNCTION("""COMPUTED_VALUE"""),"Effect: Targets hit by the Triggering Attack become Wounded.
Bonus: The user's Physical Melee Attacks have a 17+ Effect Range to inflict Wounded on all Targets. The user's Wounded Effect Ranges (Excluding the one granted by Edged Leaf) are increased by +2"&amp;".  ")</f>
        <v>Effect: Targets hit by the Triggering Attack become Wounded.
Bonus: The user's Physical Melee Attacks have a 17+ Effect Range to inflict Wounded on all Targets. The user's Wounded Effect Ranges (Excluding the one granted by Edged Leaf) are increased by +2.  </v>
      </c>
      <c r="D186" s="225" t="str">
        <f>IFERROR(__xludf.DUMMYFUNCTION("""COMPUTED_VALUE"""),"The user hits a Grass Type Melee Attack")</f>
        <v>The user hits a Grass Type Melee Attack</v>
      </c>
      <c r="E186" s="225"/>
      <c r="F186" s="225"/>
      <c r="G186" s="226" t="str">
        <f>IFERROR(__xludf.DUMMYFUNCTION("""COMPUTED_VALUE"""),"Scene - Swift Action
Trigger - The user hits a Grass Type Melee Attack
Effect: Targets hit by the Triggering Attack become Wounded.
Bonus: The user's Physical Melee Attacks have a 17+ Effect Range to inflict Wounded on all Targets. The user's Wounded Effe"&amp;"ct Ranges (Excluding the one granted by Edged Leaf) are increased by +2.  ")</f>
        <v>Scene - Swift Action
Trigger - The user hits a Grass Type Melee Attack
Effect: Targets hit by the Triggering Attack become Wounded.
Bonus: The user's Physical Melee Attacks have a 17+ Effect Range to inflict Wounded on all Targets. The user's Wounded Effect Ranges (Excluding the one granted by Edged Leaf) are increased by +2.  </v>
      </c>
      <c r="H186" s="224"/>
      <c r="I186" s="224"/>
      <c r="J186" s="224"/>
      <c r="K186" s="224"/>
      <c r="L186" s="224"/>
      <c r="M186" s="224"/>
      <c r="N186" s="224"/>
      <c r="O186" s="224"/>
      <c r="P186" s="224"/>
      <c r="Q186" s="224"/>
      <c r="R186" s="224"/>
      <c r="S186" s="224"/>
      <c r="T186" s="224"/>
      <c r="U186" s="224"/>
      <c r="V186" s="224"/>
      <c r="W186" s="224"/>
      <c r="X186" s="224"/>
      <c r="Y186" s="224"/>
      <c r="Z186" s="224"/>
    </row>
    <row r="187">
      <c r="A187" s="225" t="str">
        <f>IFERROR(__xludf.DUMMYFUNCTION("""COMPUTED_VALUE"""),"Effect Spore")</f>
        <v>Effect Spore</v>
      </c>
      <c r="B187" s="225" t="str">
        <f>IFERROR(__xludf.DUMMYFUNCTION("""COMPUTED_VALUE"""),"At-Will - Reaction")</f>
        <v>At-Will - Reaction</v>
      </c>
      <c r="C187" s="225" t="str">
        <f>IFERROR(__xludf.DUMMYFUNCTION("""COMPUTED_VALUE"""),"Effect: The Triggering Enemy must pass a Standard CR (2) Athletics Check or else they roll a d3. If the user is Tier 2, it becomes a Tough CR (3) Athletics Check. If the user is Tier 3, they also have a Bane to the Skill Check. When they roll the d3, on a"&amp;" 1, they become Poisoned. On a 2, they become Paralyzed. On a 3, they become Drowsy. ")</f>
        <v>Effect: The Triggering Enemy must pass a Standard CR (2) Athletics Check or else they roll a d3. If the user is Tier 2, it becomes a Tough CR (3) Athletics Check. If the user is Tier 3, they also have a Bane to the Skill Check. When they roll the d3, on a 1, they become Poisoned. On a 2, they become Paralyzed. On a 3, they become Drowsy. </v>
      </c>
      <c r="D187" s="225" t="str">
        <f>IFERROR(__xludf.DUMMYFUNCTION("""COMPUTED_VALUE"""),"An Enemy ends their Turn Adjacent to the user or hits them with an Attack while Adjacent to them")</f>
        <v>An Enemy ends their Turn Adjacent to the user or hits them with an Attack while Adjacent to them</v>
      </c>
      <c r="E187" s="225"/>
      <c r="F187" s="225" t="str">
        <f>IFERROR(__xludf.DUMMYFUNCTION("""COMPUTED_VALUE"""),"Defensive")</f>
        <v>Defensive</v>
      </c>
      <c r="G187" s="226" t="str">
        <f>IFERROR(__xludf.DUMMYFUNCTION("""COMPUTED_VALUE"""),"At-Will - Reaction
Keywords - Defensive
Trigger - An Enemy ends their Turn Adjacent to the user or hits them with an Attack while Adjacent to them
Effect: The Triggering Enemy must pass a Standard CR (2) Athletics Check or else they roll a d3. If the user"&amp;" is Tier 2, it becomes a Tough CR (3) Athletics Check. If the user is Tier 3, they also have a Bane to the Skill Check. When they roll the d3, on a 1, they become Poisoned. On a 2, they become Paralyzed. On a 3, they become Drowsy. ")</f>
        <v>At-Will - Reaction
Keywords - Defensive
Trigger - An Enemy ends their Turn Adjacent to the user or hits them with an Attack while Adjacent to them
Effect: The Triggering Enemy must pass a Standard CR (2) Athletics Check or else they roll a d3. If the user is Tier 2, it becomes a Tough CR (3) Athletics Check. If the user is Tier 3, they also have a Bane to the Skill Check. When they roll the d3, on a 1, they become Poisoned. On a 2, they become Paralyzed. On a 3, they become Drowsy. </v>
      </c>
      <c r="H187" s="224"/>
      <c r="I187" s="224"/>
      <c r="J187" s="224"/>
      <c r="K187" s="224"/>
      <c r="L187" s="224"/>
      <c r="M187" s="224"/>
      <c r="N187" s="224"/>
      <c r="O187" s="224"/>
      <c r="P187" s="224"/>
      <c r="Q187" s="224"/>
      <c r="R187" s="224"/>
      <c r="S187" s="224"/>
      <c r="T187" s="224"/>
      <c r="U187" s="224"/>
      <c r="V187" s="224"/>
      <c r="W187" s="224"/>
      <c r="X187" s="224"/>
      <c r="Y187" s="224"/>
      <c r="Z187" s="224"/>
    </row>
    <row r="188">
      <c r="A188" s="225" t="str">
        <f>IFERROR(__xludf.DUMMYFUNCTION("""COMPUTED_VALUE"""),"Eggscellence")</f>
        <v>Eggscellence</v>
      </c>
      <c r="B188" s="225" t="str">
        <f>IFERROR(__xludf.DUMMYFUNCTION("""COMPUTED_VALUE"""),"Static")</f>
        <v>Static</v>
      </c>
      <c r="C188" s="225" t="str">
        <f>IFERROR(__xludf.DUMMYFUNCTION("""COMPUTED_VALUE"""),"Connection - Barrage. 
Effect: When using Barrage or Egg Bomb, the user may use their HP Stat Value (Not Hit Points) as an Offensive Stat. On a 15+, these Attacks deal Damage as if it were one step more effective.")</f>
        <v>Connection - Barrage. 
Effect: When using Barrage or Egg Bomb, the user may use their HP Stat Value (Not Hit Points) as an Offensive Stat. On a 15+, these Attacks deal Damage as if it were one step more effective.</v>
      </c>
      <c r="D188" s="225"/>
      <c r="E188" s="225"/>
      <c r="F188" s="225"/>
      <c r="G188" s="226" t="str">
        <f>IFERROR(__xludf.DUMMYFUNCTION("""COMPUTED_VALUE"""),"Static
Connection - Barrage. 
Effect: When using Barrage or Egg Bomb, the user may use their HP Stat Value (Not Hit Points) as an Offensive Stat. On a 15+, these Attacks deal Damage as if it were one step more effective.")</f>
        <v>Static
Connection - Barrage. 
Effect: When using Barrage or Egg Bomb, the user may use their HP Stat Value (Not Hit Points) as an Offensive Stat. On a 15+, these Attacks deal Damage as if it were one step more effective.</v>
      </c>
      <c r="H188" s="224"/>
      <c r="I188" s="224"/>
      <c r="J188" s="224"/>
      <c r="K188" s="224"/>
      <c r="L188" s="224"/>
      <c r="M188" s="224"/>
      <c r="N188" s="224"/>
      <c r="O188" s="224"/>
      <c r="P188" s="224"/>
      <c r="Q188" s="224"/>
      <c r="R188" s="224"/>
      <c r="S188" s="224"/>
      <c r="T188" s="224"/>
      <c r="U188" s="224"/>
      <c r="V188" s="224"/>
      <c r="W188" s="224"/>
      <c r="X188" s="224"/>
      <c r="Y188" s="224"/>
      <c r="Z188" s="224"/>
    </row>
    <row r="189">
      <c r="A189" s="225" t="str">
        <f>IFERROR(__xludf.DUMMYFUNCTION("""COMPUTED_VALUE"""),"Electric Surge")</f>
        <v>Electric Surge</v>
      </c>
      <c r="B189" s="225" t="str">
        <f>IFERROR(__xludf.DUMMYFUNCTION("""COMPUTED_VALUE"""),"Scene - Swift Action")</f>
        <v>Scene - Swift Action</v>
      </c>
      <c r="C189" s="225" t="str">
        <f>IFERROR(__xludf.DUMMYFUNCTION("""COMPUTED_VALUE"""),"Connection - Electric Terrain. 
Effect: You may use Electric Terrain as a Free Action, however it only lasts until the end of the next Round. 
Bonus: At the end of the Round, if the Weather is Thunderstorm, you may use a Reaction to gain +1 CS in a Stat o"&amp;"f your choice.")</f>
        <v>Connection - Electric Terrain. 
Effect: You may use Electric Terrain as a Free Action, however it only lasts until the end of the next Round. 
Bonus: At the end of the Round, if the Weather is Thunderstorm, you may use a Reaction to gain +1 CS in a Stat of your choice.</v>
      </c>
      <c r="D189" s="225"/>
      <c r="E189" s="225"/>
      <c r="F189" s="225"/>
      <c r="G189" s="226" t="str">
        <f>IFERROR(__xludf.DUMMYFUNCTION("""COMPUTED_VALUE"""),"Scene - Swift Action
Connection - Electric Terrain. 
Effect: You may use Electric Terrain as a Free Action, however it only lasts until the end of the next Round. 
Bonus: At the end of the Round, if the Weather is Thunderstorm, you may use a Reaction to g"&amp;"ain +1 CS in a Stat of your choice.")</f>
        <v>Scene - Swift Action
Connection - Electric Terrain. 
Effect: You may use Electric Terrain as a Free Action, however it only lasts until the end of the next Round. 
Bonus: At the end of the Round, if the Weather is Thunderstorm, you may use a Reaction to gain +1 CS in a Stat of your choice.</v>
      </c>
      <c r="H189" s="224"/>
      <c r="I189" s="224"/>
      <c r="J189" s="224"/>
      <c r="K189" s="224"/>
      <c r="L189" s="224"/>
      <c r="M189" s="224"/>
      <c r="N189" s="224"/>
      <c r="O189" s="224"/>
      <c r="P189" s="224"/>
      <c r="Q189" s="224"/>
      <c r="R189" s="224"/>
      <c r="S189" s="224"/>
      <c r="T189" s="224"/>
      <c r="U189" s="224"/>
      <c r="V189" s="224"/>
      <c r="W189" s="224"/>
      <c r="X189" s="224"/>
      <c r="Y189" s="224"/>
      <c r="Z189" s="224"/>
    </row>
    <row r="190">
      <c r="A190" s="225" t="str">
        <f>IFERROR(__xludf.DUMMYFUNCTION("""COMPUTED_VALUE"""),"Electrodash")</f>
        <v>Electrodash</v>
      </c>
      <c r="B190" s="225" t="str">
        <f>IFERROR(__xludf.DUMMYFUNCTION("""COMPUTED_VALUE"""),"At-Will - Swift Action")</f>
        <v>At-Will - Swift Action</v>
      </c>
      <c r="C190" s="225" t="str">
        <f>IFERROR(__xludf.DUMMYFUNCTION("""COMPUTED_VALUE"""),"Effect: The Triggering Attack has a 17+ Effect Range to Paralyze all Targets and may be treated as if it were Electric Type. 
Bonus: While the Weather is Thunderstorm, the user has +3 to their Movement Value, cannot be Slowed and cannot trigger Attacks of"&amp;" Opportunity via movement. ")</f>
        <v>Effect: The Triggering Attack has a 17+ Effect Range to Paralyze all Targets and may be treated as if it were Electric Type. 
Bonus: While the Weather is Thunderstorm, the user has +3 to their Movement Value, cannot be Slowed and cannot trigger Attacks of Opportunity via movement. </v>
      </c>
      <c r="D190" s="225" t="str">
        <f>IFERROR(__xludf.DUMMYFUNCTION("""COMPUTED_VALUE"""),"The user uses a Dash Attack")</f>
        <v>The user uses a Dash Attack</v>
      </c>
      <c r="E190" s="225"/>
      <c r="F190" s="225"/>
      <c r="G190" s="226" t="str">
        <f>IFERROR(__xludf.DUMMYFUNCTION("""COMPUTED_VALUE"""),"At-Will - Swift Action
Trigger - The user uses a Dash Attack
Effect: The Triggering Attack has a 17+ Effect Range to Paralyze all Targets and may be treated as if it were Electric Type. 
Bonus: While the Weather is Thunderstorm, the user has +3 to their M"&amp;"ovement Value, cannot be Slowed and cannot trigger Attacks of Opportunity via movement. ")</f>
        <v>At-Will - Swift Action
Trigger - The user uses a Dash Attack
Effect: The Triggering Attack has a 17+ Effect Range to Paralyze all Targets and may be treated as if it were Electric Type. 
Bonus: While the Weather is Thunderstorm, the user has +3 to their Movement Value, cannot be Slowed and cannot trigger Attacks of Opportunity via movement. </v>
      </c>
      <c r="H190" s="224"/>
      <c r="I190" s="224"/>
      <c r="J190" s="224"/>
      <c r="K190" s="224"/>
      <c r="L190" s="224"/>
      <c r="M190" s="224"/>
      <c r="N190" s="224"/>
      <c r="O190" s="224"/>
      <c r="P190" s="224"/>
      <c r="Q190" s="224"/>
      <c r="R190" s="224"/>
      <c r="S190" s="224"/>
      <c r="T190" s="224"/>
      <c r="U190" s="224"/>
      <c r="V190" s="224"/>
      <c r="W190" s="224"/>
      <c r="X190" s="224"/>
      <c r="Y190" s="224"/>
      <c r="Z190" s="224"/>
    </row>
    <row r="191">
      <c r="A191" s="225" t="str">
        <f>IFERROR(__xludf.DUMMYFUNCTION("""COMPUTED_VALUE"""),"Electromorphosis")</f>
        <v>Electromorphosis</v>
      </c>
      <c r="B191" s="225" t="str">
        <f>IFERROR(__xludf.DUMMYFUNCTION("""COMPUTED_VALUE"""),"At-Will - Reaction")</f>
        <v>At-Will - Reaction</v>
      </c>
      <c r="C191" s="225" t="str">
        <f>IFERROR(__xludf.DUMMYFUNCTION("""COMPUTED_VALUE"""),"Effect: After Damage Resolution, note the amount of Damage taken by the user. This noted number is halved (Rounded Up) and added as Plasma Counters. 
Bonus: As a Swift Action when hitting an Electric Type Damaging Attack, you may expend any number of Plas"&amp;"ma Counters the user has and add that as a Damage Modifier to the Attack’s Damage Calculations.")</f>
        <v>Effect: After Damage Resolution, note the amount of Damage taken by the user. This noted number is halved (Rounded Up) and added as Plasma Counters. 
Bonus: As a Swift Action when hitting an Electric Type Damaging Attack, you may expend any number of Plasma Counters the user has and add that as a Damage Modifier to the Attack’s Damage Calculations.</v>
      </c>
      <c r="D191" s="225" t="str">
        <f>IFERROR(__xludf.DUMMYFUNCTION("""COMPUTED_VALUE"""),"The user is hit by a Melee or Physical Attack")</f>
        <v>The user is hit by a Melee or Physical Attack</v>
      </c>
      <c r="E191" s="225"/>
      <c r="F191" s="225" t="str">
        <f>IFERROR(__xludf.DUMMYFUNCTION("""COMPUTED_VALUE"""),"Defensive")</f>
        <v>Defensive</v>
      </c>
      <c r="G191" s="226" t="str">
        <f>IFERROR(__xludf.DUMMYFUNCTION("""COMPUTED_VALUE"""),"At-Will - Reaction
Keywords - Defensive
Trigger - The user is hit by a Melee or Physical Attack
Effect: After Damage Resolution, note the amount of Damage taken by the user. This noted number is halved (Rounded Up) and added as Plasma Counters. 
Bonus: As"&amp;" a Swift Action when hitting an Electric Type Damaging Attack, you may expend any number of Plasma Counters the user has and add that as a Damage Modifier to the Attack’s Damage Calculations.")</f>
        <v>At-Will - Reaction
Keywords - Defensive
Trigger - The user is hit by a Melee or Physical Attack
Effect: After Damage Resolution, note the amount of Damage taken by the user. This noted number is halved (Rounded Up) and added as Plasma Counters. 
Bonus: As a Swift Action when hitting an Electric Type Damaging Attack, you may expend any number of Plasma Counters the user has and add that as a Damage Modifier to the Attack’s Damage Calculations.</v>
      </c>
      <c r="H191" s="224"/>
      <c r="I191" s="224"/>
      <c r="J191" s="224"/>
      <c r="K191" s="224"/>
      <c r="L191" s="224"/>
      <c r="M191" s="224"/>
      <c r="N191" s="224"/>
      <c r="O191" s="224"/>
      <c r="P191" s="224"/>
      <c r="Q191" s="224"/>
      <c r="R191" s="224"/>
      <c r="S191" s="224"/>
      <c r="T191" s="224"/>
      <c r="U191" s="224"/>
      <c r="V191" s="224"/>
      <c r="W191" s="224"/>
      <c r="X191" s="224"/>
      <c r="Y191" s="224"/>
      <c r="Z191" s="224"/>
    </row>
    <row r="192">
      <c r="A192" s="225" t="str">
        <f>IFERROR(__xludf.DUMMYFUNCTION("""COMPUTED_VALUE"""),"Emperor's Ego")</f>
        <v>Emperor's Ego</v>
      </c>
      <c r="B192" s="225" t="str">
        <f>IFERROR(__xludf.DUMMYFUNCTION("""COMPUTED_VALUE"""),"Scene x2 - Reaction")</f>
        <v>Scene x2 - Reaction</v>
      </c>
      <c r="C192" s="225" t="str">
        <f>IFERROR(__xludf.DUMMYFUNCTION("""COMPUTED_VALUE"""),"Effect: The user gains +2 CS in a Stat of their Choice
Bonus: The user's Damaging Attacks are always treated as Super Effective against Ice Type Pokemon, ignoring Type Effectiveness. ")</f>
        <v>Effect: The user gains +2 CS in a Stat of their Choice
Bonus: The user's Damaging Attacks are always treated as Super Effective against Ice Type Pokemon, ignoring Type Effectiveness. </v>
      </c>
      <c r="D192" s="225" t="str">
        <f>IFERROR(__xludf.DUMMYFUNCTION("""COMPUTED_VALUE"""),"The user gains a Mental Affliction")</f>
        <v>The user gains a Mental Affliction</v>
      </c>
      <c r="E192" s="225"/>
      <c r="F192" s="225"/>
      <c r="G192" s="226" t="str">
        <f>IFERROR(__xludf.DUMMYFUNCTION("""COMPUTED_VALUE"""),"Scene x2 - Reaction
Trigger - The user gains a Mental Affliction
Effect: The user gains +2 CS in a Stat of their Choice
Bonus: The user's Damaging Attacks are always treated as Super Effective against Ice Type Pokemon, ignoring Type Effectiveness. ")</f>
        <v>Scene x2 - Reaction
Trigger - The user gains a Mental Affliction
Effect: The user gains +2 CS in a Stat of their Choice
Bonus: The user's Damaging Attacks are always treated as Super Effective against Ice Type Pokemon, ignoring Type Effectiveness. </v>
      </c>
      <c r="H192" s="224"/>
      <c r="I192" s="224"/>
      <c r="J192" s="224"/>
      <c r="K192" s="224"/>
      <c r="L192" s="224"/>
      <c r="M192" s="224"/>
      <c r="N192" s="224"/>
      <c r="O192" s="224"/>
      <c r="P192" s="224"/>
      <c r="Q192" s="224"/>
      <c r="R192" s="224"/>
      <c r="S192" s="224"/>
      <c r="T192" s="224"/>
      <c r="U192" s="224"/>
      <c r="V192" s="224"/>
      <c r="W192" s="224"/>
      <c r="X192" s="224"/>
      <c r="Y192" s="224"/>
      <c r="Z192" s="224"/>
    </row>
    <row r="193">
      <c r="A193" s="225" t="str">
        <f>IFERROR(__xludf.DUMMYFUNCTION("""COMPUTED_VALUE"""),"Enduring Rage")</f>
        <v>Enduring Rage</v>
      </c>
      <c r="B193" s="225" t="str">
        <f>IFERROR(__xludf.DUMMYFUNCTION("""COMPUTED_VALUE"""),"At-Will - Reaction")</f>
        <v>At-Will - Reaction</v>
      </c>
      <c r="C193" s="225" t="str">
        <f>IFERROR(__xludf.DUMMYFUNCTION("""COMPUTED_VALUE"""),"Effect: The user becomes Enraged.  
Bonus: While the user is Enraged, they faint when they reach -25% of their Maximum Hit Points instead of 0. While the user is Enraged, they gain Damage Reduction equal to their Tier Value.  ")</f>
        <v>Effect: The user becomes Enraged.  
Bonus: While the user is Enraged, they faint when they reach -25% of their Maximum Hit Points instead of 0. While the user is Enraged, they gain Damage Reduction equal to their Tier Value.  </v>
      </c>
      <c r="D193" s="225" t="str">
        <f>IFERROR(__xludf.DUMMYFUNCTION("""COMPUTED_VALUE"""),"The user drops below 50% Hit Points or is hit by a Critical Hit")</f>
        <v>The user drops below 50% Hit Points or is hit by a Critical Hit</v>
      </c>
      <c r="E193" s="225"/>
      <c r="F193" s="225"/>
      <c r="G193" s="226" t="str">
        <f>IFERROR(__xludf.DUMMYFUNCTION("""COMPUTED_VALUE"""),"At-Will - Reaction
Trigger - The user drops below 50% Hit Points or is hit by a Critical Hit
Effect: The user becomes Enraged.  
Bonus: While the user is Enraged, they faint when they reach -25% of their Maximum Hit Points instead of 0. While the user is "&amp;"Enraged, they gain Damage Reduction equal to their Tier Value.  ")</f>
        <v>At-Will - Reaction
Trigger - The user drops below 50% Hit Points or is hit by a Critical Hit
Effect: The user becomes Enraged.  
Bonus: While the user is Enraged, they faint when they reach -25% of their Maximum Hit Points instead of 0. While the user is Enraged, they gain Damage Reduction equal to their Tier Value.  </v>
      </c>
      <c r="H193" s="224"/>
      <c r="I193" s="224"/>
      <c r="J193" s="224"/>
      <c r="K193" s="224"/>
      <c r="L193" s="224"/>
      <c r="M193" s="224"/>
      <c r="N193" s="224"/>
      <c r="O193" s="224"/>
      <c r="P193" s="224"/>
      <c r="Q193" s="224"/>
      <c r="R193" s="224"/>
      <c r="S193" s="224"/>
      <c r="T193" s="224"/>
      <c r="U193" s="224"/>
      <c r="V193" s="224"/>
      <c r="W193" s="224"/>
      <c r="X193" s="224"/>
      <c r="Y193" s="224"/>
      <c r="Z193" s="224"/>
    </row>
    <row r="194">
      <c r="A194" s="225" t="str">
        <f>IFERROR(__xludf.DUMMYFUNCTION("""COMPUTED_VALUE"""),"Energy Leech")</f>
        <v>Energy Leech</v>
      </c>
      <c r="B194" s="225" t="str">
        <f>IFERROR(__xludf.DUMMYFUNCTION("""COMPUTED_VALUE"""),"Scene x2 - Swift Action")</f>
        <v>Scene x2 - Swift Action</v>
      </c>
      <c r="C194" s="225" t="str">
        <f>IFERROR(__xludf.DUMMYFUNCTION("""COMPUTED_VALUE"""),"Effect: The Triggering Attack is treated as having the Drain Keyword. The user then becomes Slowed. If the user is at Maximum Hit Points when Energy Leech is used, one Target that was hit by the Triggering Attack loses -2 CS in a chosen Stat, then the use"&amp;"r gains +2 CS in the same Stat. ")</f>
        <v>Effect: The Triggering Attack is treated as having the Drain Keyword. The user then becomes Slowed. If the user is at Maximum Hit Points when Energy Leech is used, one Target that was hit by the Triggering Attack loses -2 CS in a chosen Stat, then the user gains +2 CS in the same Stat. </v>
      </c>
      <c r="D194" s="225" t="str">
        <f>IFERROR(__xludf.DUMMYFUNCTION("""COMPUTED_VALUE"""),"The user hits an Attack on an Adjacent Enemy")</f>
        <v>The user hits an Attack on an Adjacent Enemy</v>
      </c>
      <c r="E194" s="225"/>
      <c r="F194" s="225"/>
      <c r="G194" s="226" t="str">
        <f>IFERROR(__xludf.DUMMYFUNCTION("""COMPUTED_VALUE"""),"Scene x2 - Swift Action
Trigger - The user hits an Attack on an Adjacent Enemy
Effect: The Triggering Attack is treated as having the Drain Keyword. The user then becomes Slowed. If the user is at Maximum Hit Points when Energy Leech is used, one Target t"&amp;"hat was hit by the Triggering Attack loses -2 CS in a chosen Stat, then the user gains +2 CS in the same Stat. ")</f>
        <v>Scene x2 - Swift Action
Trigger - The user hits an Attack on an Adjacent Enemy
Effect: The Triggering Attack is treated as having the Drain Keyword. The user then becomes Slowed. If the user is at Maximum Hit Points when Energy Leech is used, one Target that was hit by the Triggering Attack loses -2 CS in a chosen Stat, then the user gains +2 CS in the same Stat. </v>
      </c>
      <c r="H194" s="224"/>
      <c r="I194" s="224"/>
      <c r="J194" s="224"/>
      <c r="K194" s="224"/>
      <c r="L194" s="224"/>
      <c r="M194" s="224"/>
      <c r="N194" s="224"/>
      <c r="O194" s="224"/>
      <c r="P194" s="224"/>
      <c r="Q194" s="224"/>
      <c r="R194" s="224"/>
      <c r="S194" s="224"/>
      <c r="T194" s="224"/>
      <c r="U194" s="224"/>
      <c r="V194" s="224"/>
      <c r="W194" s="224"/>
      <c r="X194" s="224"/>
      <c r="Y194" s="224"/>
      <c r="Z194" s="224"/>
    </row>
    <row r="195">
      <c r="A195" s="225" t="str">
        <f>IFERROR(__xludf.DUMMYFUNCTION("""COMPUTED_VALUE"""),"Enfeebling Lips")</f>
        <v>Enfeebling Lips</v>
      </c>
      <c r="B195" s="225" t="str">
        <f>IFERROR(__xludf.DUMMYFUNCTION("""COMPUTED_VALUE"""),"Static")</f>
        <v>Static</v>
      </c>
      <c r="C195" s="225" t="str">
        <f>IFERROR(__xludf.DUMMYFUNCTION("""COMPUTED_VALUE"""),"Connection - Lovely Kiss. 
Effect: Choose a Stat. If the Triggering Attack hit, the Stat will be lowered by -1 CS. If the Attack was Status Category, it is instead lowered by -2 CS on a hit or -1 CS on a Miss. CS can only be lowered by this Ability once p"&amp;"er Round. ")</f>
        <v>Connection - Lovely Kiss. 
Effect: Choose a Stat. If the Triggering Attack hit, the Stat will be lowered by -1 CS. If the Attack was Status Category, it is instead lowered by -2 CS on a hit or -1 CS on a Miss. CS can only be lowered by this Ability once per Round. </v>
      </c>
      <c r="D195" s="225" t="str">
        <f>IFERROR(__xludf.DUMMYFUNCTION("""COMPUTED_VALUE"""),"The user performs a Melee Attack or uses Lovely Kiss")</f>
        <v>The user performs a Melee Attack or uses Lovely Kiss</v>
      </c>
      <c r="E195" s="225"/>
      <c r="F195" s="225"/>
      <c r="G195" s="226" t="str">
        <f>IFERROR(__xludf.DUMMYFUNCTION("""COMPUTED_VALUE"""),"Static
Trigger - The user performs a Melee Attack or uses Lovely Kiss
Connection - Lovely Kiss. 
Effect: Choose a Stat. If the Triggering Attack hit, the Stat will be lowered by -1 CS. If the Attack was Status Category, it is instead lowered by -2 CS on a"&amp;" hit or -1 CS on a Miss. CS can only be lowered by this Ability once per Round. ")</f>
        <v>Static
Trigger - The user performs a Melee Attack or uses Lovely Kiss
Connection - Lovely Kiss. 
Effect: Choose a Stat. If the Triggering Attack hit, the Stat will be lowered by -1 CS. If the Attack was Status Category, it is instead lowered by -2 CS on a hit or -1 CS on a Miss. CS can only be lowered by this Ability once per Round. </v>
      </c>
      <c r="H195" s="224"/>
      <c r="I195" s="224"/>
      <c r="J195" s="224"/>
      <c r="K195" s="224"/>
      <c r="L195" s="224"/>
      <c r="M195" s="224"/>
      <c r="N195" s="224"/>
      <c r="O195" s="224"/>
      <c r="P195" s="224"/>
      <c r="Q195" s="224"/>
      <c r="R195" s="224"/>
      <c r="S195" s="224"/>
      <c r="T195" s="224"/>
      <c r="U195" s="224"/>
      <c r="V195" s="224"/>
      <c r="W195" s="224"/>
      <c r="X195" s="224"/>
      <c r="Y195" s="224"/>
      <c r="Z195" s="224"/>
    </row>
    <row r="196">
      <c r="A196" s="225" t="str">
        <f>IFERROR(__xludf.DUMMYFUNCTION("""COMPUTED_VALUE"""),"Fabulous Trim")</f>
        <v>Fabulous Trim</v>
      </c>
      <c r="B196" s="225" t="str">
        <f>IFERROR(__xludf.DUMMYFUNCTION("""COMPUTED_VALUE"""),"Static")</f>
        <v>Static</v>
      </c>
      <c r="C196" s="225" t="str">
        <f>IFERROR(__xludf.DUMMYFUNCTION("""COMPUTED_VALUE"""),"Effect: Furfrou’s Ability depends on its current Hairstyle. It’s hairstyle may be changed as an Extended Action by someone with expertise in pokemon grooming such as a hair parlor. 
Dandy Trim - Analytic
Debutante Trim - Rally
Diamond Trim - Defiant
Hear"&amp;"t Trim - Beautiful
Kabuki Trim - Inner Focus
La Reine Trim - Intimidate
Matron Trim - Friend Guard
Pharoah Trim - Regal Challenge
Star Trim - Run Away")</f>
        <v>Effect: Furfrou’s Ability depends on its current Hairstyle. It’s hairstyle may be changed as an Extended Action by someone with expertise in pokemon grooming such as a hair parlor. 
Dandy Trim - Analytic
Debutante Trim - Rally
Diamond Trim - Defiant
Heart Trim - Beautiful
Kabuki Trim - Inner Focus
La Reine Trim - Intimidate
Matron Trim - Friend Guard
Pharoah Trim - Regal Challenge
Star Trim - Run Away</v>
      </c>
      <c r="D196" s="225"/>
      <c r="E196" s="225"/>
      <c r="F196" s="225"/>
      <c r="G196" s="226" t="str">
        <f>IFERROR(__xludf.DUMMYFUNCTION("""COMPUTED_VALUE"""),"Static
Effect: Furfrou’s Ability depends on its current Hairstyle. It’s hairstyle may be changed as an Extended Action by someone with expertise in pokemon grooming such as a hair parlor. 
Dandy Trim - Analytic
Debutante Trim - Rally
Diamond Trim - Defia"&amp;"nt
Heart Trim - Beautiful
Kabuki Trim - Inner Focus
La Reine Trim - Intimidate
Matron Trim - Friend Guard
Pharoah Trim - Regal Challenge
Star Trim - Run Away")</f>
        <v>Static
Effect: Furfrou’s Ability depends on its current Hairstyle. It’s hairstyle may be changed as an Extended Action by someone with expertise in pokemon grooming such as a hair parlor. 
Dandy Trim - Analytic
Debutante Trim - Rally
Diamond Trim - Defiant
Heart Trim - Beautiful
Kabuki Trim - Inner Focus
La Reine Trim - Intimidate
Matron Trim - Friend Guard
Pharoah Trim - Regal Challenge
Star Trim - Run Away</v>
      </c>
      <c r="H196" s="224"/>
      <c r="I196" s="224"/>
      <c r="J196" s="224"/>
      <c r="K196" s="224"/>
      <c r="L196" s="224"/>
      <c r="M196" s="224"/>
      <c r="N196" s="224"/>
      <c r="O196" s="224"/>
      <c r="P196" s="224"/>
      <c r="Q196" s="224"/>
      <c r="R196" s="224"/>
      <c r="S196" s="224"/>
      <c r="T196" s="224"/>
      <c r="U196" s="224"/>
      <c r="V196" s="224"/>
      <c r="W196" s="224"/>
      <c r="X196" s="224"/>
      <c r="Y196" s="224"/>
      <c r="Z196" s="224"/>
    </row>
    <row r="197">
      <c r="A197" s="225" t="str">
        <f>IFERROR(__xludf.DUMMYFUNCTION("""COMPUTED_VALUE"""),"Fade Away")</f>
        <v>Fade Away</v>
      </c>
      <c r="B197" s="225" t="str">
        <f>IFERROR(__xludf.DUMMYFUNCTION("""COMPUTED_VALUE"""),"Scene - Reaction")</f>
        <v>Scene - Reaction</v>
      </c>
      <c r="C197" s="225" t="str">
        <f>IFERROR(__xludf.DUMMYFUNCTION("""COMPUTED_VALUE"""),"Effect: The Triggering Attack misses the user, then the user turns Invisible until the start of their next Turn. At the start of their Turn, the user may appear in any space within 3m of where they were when they turned invisible. 
Bonus: While the user i"&amp;"s Invisible, they are Untargetable. If the Weather is Foggy, Fade Away may Trigger if the Attacking was from an Adjacent Enemy as well.")</f>
        <v>Effect: The Triggering Attack misses the user, then the user turns Invisible until the start of their next Turn. At the start of their Turn, the user may appear in any space within 3m of where they were when they turned invisible. 
Bonus: While the user is Invisible, they are Untargetable. If the Weather is Foggy, Fade Away may Trigger if the Attacking was from an Adjacent Enemy as well.</v>
      </c>
      <c r="D197" s="225" t="str">
        <f>IFERROR(__xludf.DUMMYFUNCTION("""COMPUTED_VALUE"""),"The user is hit by an Attack from a non Adjacent Enemy")</f>
        <v>The user is hit by an Attack from a non Adjacent Enemy</v>
      </c>
      <c r="E197" s="225"/>
      <c r="F197" s="225" t="str">
        <f>IFERROR(__xludf.DUMMYFUNCTION("""COMPUTED_VALUE"""),"Defensive")</f>
        <v>Defensive</v>
      </c>
      <c r="G197" s="226" t="str">
        <f>IFERROR(__xludf.DUMMYFUNCTION("""COMPUTED_VALUE"""),"Scene - Reaction
Keywords - Defensive
Trigger - The user is hit by an Attack from a non Adjacent Enemy
Effect: The Triggering Attack misses the user, then the user turns Invisible until the start of their next Turn. At the start of their Turn, the user ma"&amp;"y appear in any space within 3m of where they were when they turned invisible. 
Bonus: While the user is Invisible, they are Untargetable. If the Weather is Foggy, Fade Away may Trigger if the Attacking was from an Adjacent Enemy as well.")</f>
        <v>Scene - Reaction
Keywords - Defensive
Trigger - The user is hit by an Attack from a non Adjacent Enemy
Effect: The Triggering Attack misses the user, then the user turns Invisible until the start of their next Turn. At the start of their Turn, the user may appear in any space within 3m of where they were when they turned invisible. 
Bonus: While the user is Invisible, they are Untargetable. If the Weather is Foggy, Fade Away may Trigger if the Attacking was from an Adjacent Enemy as well.</v>
      </c>
      <c r="H197" s="224"/>
      <c r="I197" s="224"/>
      <c r="J197" s="224"/>
      <c r="K197" s="224"/>
      <c r="L197" s="224"/>
      <c r="M197" s="224"/>
      <c r="N197" s="224"/>
      <c r="O197" s="224"/>
      <c r="P197" s="224"/>
      <c r="Q197" s="224"/>
      <c r="R197" s="224"/>
      <c r="S197" s="224"/>
      <c r="T197" s="224"/>
      <c r="U197" s="224"/>
      <c r="V197" s="224"/>
      <c r="W197" s="224"/>
      <c r="X197" s="224"/>
      <c r="Y197" s="224"/>
      <c r="Z197" s="224"/>
    </row>
    <row r="198">
      <c r="A198" s="225" t="str">
        <f>IFERROR(__xludf.DUMMYFUNCTION("""COMPUTED_VALUE"""),"Fated Love")</f>
        <v>Fated Love</v>
      </c>
      <c r="B198" s="225" t="str">
        <f>IFERROR(__xludf.DUMMYFUNCTION("""COMPUTED_VALUE"""),"Scene - Swift Action")</f>
        <v>Scene - Swift Action</v>
      </c>
      <c r="C198" s="225" t="str">
        <f>IFERROR(__xludf.DUMMYFUNCTION("""COMPUTED_VALUE"""),"Effect: The user chooses one ally or themself. The Target becomes Entranced with the chosen Combatant as their Fixation. 
Bonus: While an Enemy is Entranced with the user as their Fixation, the effects of the affliction apply to them regardless if the use"&amp;"r is within 3m of them.")</f>
        <v>Effect: The user chooses one ally or themself. The Target becomes Entranced with the chosen Combatant as their Fixation. 
Bonus: While an Enemy is Entranced with the user as their Fixation, the effects of the affliction apply to them regardless if the user is within 3m of them.</v>
      </c>
      <c r="D198" s="225"/>
      <c r="E198" s="225" t="str">
        <f>IFERROR(__xludf.DUMMYFUNCTION("""COMPUTED_VALUE"""),"An Enemy within 3m")</f>
        <v>An Enemy within 3m</v>
      </c>
      <c r="F198" s="225"/>
      <c r="G198" s="226" t="str">
        <f>IFERROR(__xludf.DUMMYFUNCTION("""COMPUTED_VALUE"""),"Scene - Swift Action
Target - An Enemy within 3m
Effect: The user chooses one ally or themself. The Target becomes Entranced with the chosen Combatant as their Fixation. 
Bonus: While an Enemy is Entranced with the user as their Fixation, the effects of t"&amp;"he affliction apply to them regardless if the user is within 3m of them.")</f>
        <v>Scene - Swift Action
Target - An Enemy within 3m
Effect: The user chooses one ally or themself. The Target becomes Entranced with the chosen Combatant as their Fixation. 
Bonus: While an Enemy is Entranced with the user as their Fixation, the effects of the affliction apply to them regardless if the user is within 3m of them.</v>
      </c>
      <c r="H198" s="224"/>
      <c r="I198" s="224"/>
      <c r="J198" s="224"/>
      <c r="K198" s="224"/>
      <c r="L198" s="224"/>
      <c r="M198" s="224"/>
      <c r="N198" s="224"/>
      <c r="O198" s="224"/>
      <c r="P198" s="224"/>
      <c r="Q198" s="224"/>
      <c r="R198" s="224"/>
      <c r="S198" s="224"/>
      <c r="T198" s="224"/>
      <c r="U198" s="224"/>
      <c r="V198" s="224"/>
      <c r="W198" s="224"/>
      <c r="X198" s="224"/>
      <c r="Y198" s="224"/>
      <c r="Z198" s="224"/>
    </row>
    <row r="199">
      <c r="A199" s="225" t="str">
        <f>IFERROR(__xludf.DUMMYFUNCTION("""COMPUTED_VALUE"""),"Fiery Crash")</f>
        <v>Fiery Crash</v>
      </c>
      <c r="B199" s="225" t="str">
        <f>IFERROR(__xludf.DUMMYFUNCTION("""COMPUTED_VALUE"""),"Static")</f>
        <v>Static</v>
      </c>
      <c r="C199" s="225" t="str">
        <f>IFERROR(__xludf.DUMMYFUNCTION("""COMPUTED_VALUE"""),"Effect: Whenever the user uses an Attack with the Dash keyword, they may either increase that Attack’s Damage Base by +2, or change the Attack to be Fire Type if it was not already. All Attacks with the Dash keyword performed as Fire Typed burn their targ"&amp;"et on 17+, or increase the effect range by +2 if they could already inflict Burn. The user ignores the Recoil Keyword on Fire Type Attacks.")</f>
        <v>Effect: Whenever the user uses an Attack with the Dash keyword, they may either increase that Attack’s Damage Base by +2, or change the Attack to be Fire Type if it was not already. All Attacks with the Dash keyword performed as Fire Typed burn their target on 17+, or increase the effect range by +2 if they could already inflict Burn. The user ignores the Recoil Keyword on Fire Type Attacks.</v>
      </c>
      <c r="D199" s="225"/>
      <c r="E199" s="225"/>
      <c r="F199" s="225"/>
      <c r="G199" s="226" t="str">
        <f>IFERROR(__xludf.DUMMYFUNCTION("""COMPUTED_VALUE"""),"Static
Effect: Whenever the user uses an Attack with the Dash keyword, they may either increase that Attack’s Damage Base by +2, or change the Attack to be Fire Type if it was not already. All Attacks with the Dash keyword performed as Fire Typed burn the"&amp;"ir target on 17+, or increase the effect range by +2 if they could already inflict Burn. The user ignores the Recoil Keyword on Fire Type Attacks.")</f>
        <v>Static
Effect: Whenever the user uses an Attack with the Dash keyword, they may either increase that Attack’s Damage Base by +2, or change the Attack to be Fire Type if it was not already. All Attacks with the Dash keyword performed as Fire Typed burn their target on 17+, or increase the effect range by +2 if they could already inflict Burn. The user ignores the Recoil Keyword on Fire Type Attacks.</v>
      </c>
      <c r="H199" s="224"/>
      <c r="I199" s="224"/>
      <c r="J199" s="224"/>
      <c r="K199" s="224"/>
      <c r="L199" s="224"/>
      <c r="M199" s="224"/>
      <c r="N199" s="224"/>
      <c r="O199" s="224"/>
      <c r="P199" s="224"/>
      <c r="Q199" s="224"/>
      <c r="R199" s="224"/>
      <c r="S199" s="224"/>
      <c r="T199" s="224"/>
      <c r="U199" s="224"/>
      <c r="V199" s="224"/>
      <c r="W199" s="224"/>
      <c r="X199" s="224"/>
      <c r="Y199" s="224"/>
      <c r="Z199" s="224"/>
    </row>
    <row r="200">
      <c r="A200" s="225" t="str">
        <f>IFERROR(__xludf.DUMMYFUNCTION("""COMPUTED_VALUE"""),"Fiery Soul")</f>
        <v>Fiery Soul</v>
      </c>
      <c r="B200" s="225" t="str">
        <f>IFERROR(__xludf.DUMMYFUNCTION("""COMPUTED_VALUE"""),"Static")</f>
        <v>Static</v>
      </c>
      <c r="C200" s="225" t="str">
        <f>IFERROR(__xludf.DUMMYFUNCTION("""COMPUTED_VALUE"""),"Effect: When the user enters the Field, they summon a Fiery Soul Token within an Adjacent Space. This Token cannot be Targeted, may move up to 5m as a Free Action on the user's Turn, and is removed from the Field when the user faints or is recalled. The u"&amp;"ser may originate Manipulate Maneuvers, Fire Type Attacks or Sonic Attacks from the space their Fiery Soul Token is in. If you or an Ally are adjacent to the Token, they have a bonus to Save Checks equal to your Tier Level. ")</f>
        <v>Effect: When the user enters the Field, they summon a Fiery Soul Token within an Adjacent Space. This Token cannot be Targeted, may move up to 5m as a Free Action on the user's Turn, and is removed from the Field when the user faints or is recalled. The user may originate Manipulate Maneuvers, Fire Type Attacks or Sonic Attacks from the space their Fiery Soul Token is in. If you or an Ally are adjacent to the Token, they have a bonus to Save Checks equal to your Tier Level. </v>
      </c>
      <c r="D200" s="225"/>
      <c r="E200" s="225"/>
      <c r="F200" s="225"/>
      <c r="G200" s="226" t="str">
        <f>IFERROR(__xludf.DUMMYFUNCTION("""COMPUTED_VALUE"""),"Static
Effect: When the user enters the Field, they summon a Fiery Soul Token within an Adjacent Space. This Token cannot be Targeted, may move up to 5m as a Free Action on the user's Turn, and is removed from the Field when the user faints or is recalled"&amp;". The user may originate Manipulate Maneuvers, Fire Type Attacks or Sonic Attacks from the space their Fiery Soul Token is in. If you or an Ally are adjacent to the Token, they have a bonus to Save Checks equal to your Tier Level. ")</f>
        <v>Static
Effect: When the user enters the Field, they summon a Fiery Soul Token within an Adjacent Space. This Token cannot be Targeted, may move up to 5m as a Free Action on the user's Turn, and is removed from the Field when the user faints or is recalled. The user may originate Manipulate Maneuvers, Fire Type Attacks or Sonic Attacks from the space their Fiery Soul Token is in. If you or an Ally are adjacent to the Token, they have a bonus to Save Checks equal to your Tier Level. </v>
      </c>
      <c r="H200" s="224"/>
      <c r="I200" s="224"/>
      <c r="J200" s="224"/>
      <c r="K200" s="224"/>
      <c r="L200" s="224"/>
      <c r="M200" s="224"/>
      <c r="N200" s="224"/>
      <c r="O200" s="224"/>
      <c r="P200" s="224"/>
      <c r="Q200" s="224"/>
      <c r="R200" s="224"/>
      <c r="S200" s="224"/>
      <c r="T200" s="224"/>
      <c r="U200" s="224"/>
      <c r="V200" s="224"/>
      <c r="W200" s="224"/>
      <c r="X200" s="224"/>
      <c r="Y200" s="224"/>
      <c r="Z200" s="224"/>
    </row>
    <row r="201">
      <c r="A201" s="225" t="str">
        <f>IFERROR(__xludf.DUMMYFUNCTION("""COMPUTED_VALUE"""),"Flame Body")</f>
        <v>Flame Body</v>
      </c>
      <c r="B201" s="225" t="str">
        <f>IFERROR(__xludf.DUMMYFUNCTION("""COMPUTED_VALUE"""),"At-Will - Reaction")</f>
        <v>At-Will - Reaction</v>
      </c>
      <c r="C201" s="225" t="str">
        <f>IFERROR(__xludf.DUMMYFUNCTION("""COMPUTED_VALUE"""),"Effect: The Triggering Enemy either becomes Burned. If the Trigger was being hit with an Attack and the Triggering Enemy is already Burned, they cannot cure the Affliction during their next Save Check. ")</f>
        <v>Effect: The Triggering Enemy either becomes Burned. If the Trigger was being hit with an Attack and the Triggering Enemy is already Burned, they cannot cure the Affliction during their next Save Check. </v>
      </c>
      <c r="D201" s="225" t="str">
        <f>IFERROR(__xludf.DUMMYFUNCTION("""COMPUTED_VALUE"""),"An Enemy ends their Turn Adjacent to the user or hits them with an Attack while Adjacent to them")</f>
        <v>An Enemy ends their Turn Adjacent to the user or hits them with an Attack while Adjacent to them</v>
      </c>
      <c r="E201" s="225"/>
      <c r="F201" s="225" t="str">
        <f>IFERROR(__xludf.DUMMYFUNCTION("""COMPUTED_VALUE"""),"Defensive")</f>
        <v>Defensive</v>
      </c>
      <c r="G201" s="226" t="str">
        <f>IFERROR(__xludf.DUMMYFUNCTION("""COMPUTED_VALUE"""),"At-Will - Reaction
Keywords - Defensive
Trigger - An Enemy ends their Turn Adjacent to the user or hits them with an Attack while Adjacent to them
Effect: The Triggering Enemy either becomes Burned. If the Trigger was being hit with an Attack and the Trig"&amp;"gering Enemy is already Burned, they cannot cure the Affliction during their next Save Check. ")</f>
        <v>At-Will - Reaction
Keywords - Defensive
Trigger - An Enemy ends their Turn Adjacent to the user or hits them with an Attack while Adjacent to them
Effect: The Triggering Enemy either becomes Burned. If the Trigger was being hit with an Attack and the Triggering Enemy is already Burned, they cannot cure the Affliction during their next Save Check. </v>
      </c>
      <c r="H201" s="224"/>
      <c r="I201" s="224"/>
      <c r="J201" s="224"/>
      <c r="K201" s="224"/>
      <c r="L201" s="224"/>
      <c r="M201" s="224"/>
      <c r="N201" s="224"/>
      <c r="O201" s="224"/>
      <c r="P201" s="224"/>
      <c r="Q201" s="224"/>
      <c r="R201" s="224"/>
      <c r="S201" s="224"/>
      <c r="T201" s="224"/>
      <c r="U201" s="224"/>
      <c r="V201" s="224"/>
      <c r="W201" s="224"/>
      <c r="X201" s="224"/>
      <c r="Y201" s="224"/>
      <c r="Z201" s="224"/>
    </row>
    <row r="202">
      <c r="A202" s="225" t="str">
        <f>IFERROR(__xludf.DUMMYFUNCTION("""COMPUTED_VALUE"""),"Flaming Shot")</f>
        <v>Flaming Shot</v>
      </c>
      <c r="B202" s="225" t="str">
        <f>IFERROR(__xludf.DUMMYFUNCTION("""COMPUTED_VALUE"""),"Scene x2 - Movement Action")</f>
        <v>Scene x2 - Movement Action</v>
      </c>
      <c r="C202" s="225" t="str">
        <f>IFERROR(__xludf.DUMMYFUNCTION("""COMPUTED_VALUE"""),"Effect: Instead of the Attack being a straight line, at any point in the Line, it can shift one space off the straight line, then it must continue straight the rest of the range.
Bonus: If the user has higher Speed than a Target of its Fire Type Damaging "&amp;"Attack, they cannot apply Speed Evasion against it. The user may use Fire Type Damaging Attacks as if their Range was Line 6")</f>
        <v>Effect: Instead of the Attack being a straight line, at any point in the Line, it can shift one space off the straight line, then it must continue straight the rest of the range.
Bonus: If the user has higher Speed than a Target of its Fire Type Damaging Attack, they cannot apply Speed Evasion against it. The user may use Fire Type Damaging Attacks as if their Range was Line 6</v>
      </c>
      <c r="D202" s="225" t="str">
        <f>IFERROR(__xludf.DUMMYFUNCTION("""COMPUTED_VALUE"""),"The user uses a Fire Type Attack with the Line Range")</f>
        <v>The user uses a Fire Type Attack with the Line Range</v>
      </c>
      <c r="E202" s="225"/>
      <c r="F202" s="225"/>
      <c r="G202" s="226" t="str">
        <f>IFERROR(__xludf.DUMMYFUNCTION("""COMPUTED_VALUE"""),"Scene x2 - Movement Action
Trigger - The user uses a Fire Type Attack with the Line Range
Effect: Instead of the Attack being a straight line, at any point in the Line, it can shift one space off the straight line, then it must continue straight the rest "&amp;"of the range.
Bonus: If the user has higher Speed than a Target of its Fire Type Damaging Attack, they cannot apply Speed Evasion against it. The user may use Fire Type Damaging Attacks as if their Range was Line 6")</f>
        <v>Scene x2 - Movement Action
Trigger - The user uses a Fire Type Attack with the Line Range
Effect: Instead of the Attack being a straight line, at any point in the Line, it can shift one space off the straight line, then it must continue straight the rest of the range.
Bonus: If the user has higher Speed than a Target of its Fire Type Damaging Attack, they cannot apply Speed Evasion against it. The user may use Fire Type Damaging Attacks as if their Range was Line 6</v>
      </c>
      <c r="H202" s="224"/>
      <c r="I202" s="224"/>
      <c r="J202" s="224"/>
      <c r="K202" s="224"/>
      <c r="L202" s="224"/>
      <c r="M202" s="224"/>
      <c r="N202" s="224"/>
      <c r="O202" s="224"/>
      <c r="P202" s="224"/>
      <c r="Q202" s="224"/>
      <c r="R202" s="224"/>
      <c r="S202" s="224"/>
      <c r="T202" s="224"/>
      <c r="U202" s="224"/>
      <c r="V202" s="224"/>
      <c r="W202" s="224"/>
      <c r="X202" s="224"/>
      <c r="Y202" s="224"/>
      <c r="Z202" s="224"/>
    </row>
    <row r="203">
      <c r="A203" s="225" t="str">
        <f>IFERROR(__xludf.DUMMYFUNCTION("""COMPUTED_VALUE"""),"Flaming Wrath")</f>
        <v>Flaming Wrath</v>
      </c>
      <c r="B203" s="225" t="str">
        <f>IFERROR(__xludf.DUMMYFUNCTION("""COMPUTED_VALUE"""),"Static")</f>
        <v>Static</v>
      </c>
      <c r="C203" s="225" t="str">
        <f>IFERROR(__xludf.DUMMYFUNCTION("""COMPUTED_VALUE"""),"Effect: For each Tick of Hit Points the user is missing, the user gains a +5 Bonus to Damage Rolls for Fire Type Attacks. This Damage Bonus cannot exceed double the user’s Tier Value. While the user is below 50% of their Max Hit Points, their Damaging Att"&amp;"acks ignore the Recoil Keyword. ")</f>
        <v>Effect: For each Tick of Hit Points the user is missing, the user gains a +5 Bonus to Damage Rolls for Fire Type Attacks. This Damage Bonus cannot exceed double the user’s Tier Value. While the user is below 50% of their Max Hit Points, their Damaging Attacks ignore the Recoil Keyword. </v>
      </c>
      <c r="D203" s="225"/>
      <c r="E203" s="225"/>
      <c r="F203" s="225"/>
      <c r="G203" s="226" t="str">
        <f>IFERROR(__xludf.DUMMYFUNCTION("""COMPUTED_VALUE"""),"Static
Effect: For each Tick of Hit Points the user is missing, the user gains a +5 Bonus to Damage Rolls for Fire Type Attacks. This Damage Bonus cannot exceed double the user’s Tier Value. While the user is below 50% of their Max Hit Points, their Damag"&amp;"ing Attacks ignore the Recoil Keyword. ")</f>
        <v>Static
Effect: For each Tick of Hit Points the user is missing, the user gains a +5 Bonus to Damage Rolls for Fire Type Attacks. This Damage Bonus cannot exceed double the user’s Tier Value. While the user is below 50% of their Max Hit Points, their Damaging Attacks ignore the Recoil Keyword. </v>
      </c>
      <c r="H203" s="224"/>
      <c r="I203" s="224"/>
      <c r="J203" s="224"/>
      <c r="K203" s="224"/>
      <c r="L203" s="224"/>
      <c r="M203" s="224"/>
      <c r="N203" s="224"/>
      <c r="O203" s="224"/>
      <c r="P203" s="224"/>
      <c r="Q203" s="224"/>
      <c r="R203" s="224"/>
      <c r="S203" s="224"/>
      <c r="T203" s="224"/>
      <c r="U203" s="224"/>
      <c r="V203" s="224"/>
      <c r="W203" s="224"/>
      <c r="X203" s="224"/>
      <c r="Y203" s="224"/>
      <c r="Z203" s="224"/>
    </row>
    <row r="204">
      <c r="A204" s="225" t="str">
        <f>IFERROR(__xludf.DUMMYFUNCTION("""COMPUTED_VALUE"""),"Flames of Justice")</f>
        <v>Flames of Justice</v>
      </c>
      <c r="B204" s="225" t="str">
        <f>IFERROR(__xludf.DUMMYFUNCTION("""COMPUTED_VALUE"""),"Scene x2 - Swift Action")</f>
        <v>Scene x2 - Swift Action</v>
      </c>
      <c r="C204" s="225" t="str">
        <f>IFERROR(__xludf.DUMMYFUNCTION("""COMPUTED_VALUE"""),"Connection - Armor Cannon. 
Effect: The Triggering Attack’s Range is changed to Line X, where X is the meters of the original Range. You may instead change the Range to Close Blast Y, Smite, but may only do so once per Scene and the user becomes Vulnerabl"&amp;"e Attack Resolution until the end of the next Round. Y is equal to half the Value of X rounded down.")</f>
        <v>Connection - Armor Cannon. 
Effect: The Triggering Attack’s Range is changed to Line X, where X is the meters of the original Range. You may instead change the Range to Close Blast Y, Smite, but may only do so once per Scene and the user becomes Vulnerable Attack Resolution until the end of the next Round. Y is equal to half the Value of X rounded down.</v>
      </c>
      <c r="D204" s="225" t="str">
        <f>IFERROR(__xludf.DUMMYFUNCTION("""COMPUTED_VALUE"""),"The user uses a Fire or Psychic Type Attack with a range of X, 1 Target")</f>
        <v>The user uses a Fire or Psychic Type Attack with a range of X, 1 Target</v>
      </c>
      <c r="E204" s="225"/>
      <c r="F204" s="225"/>
      <c r="G204" s="226" t="str">
        <f>IFERROR(__xludf.DUMMYFUNCTION("""COMPUTED_VALUE"""),"Scene x2 - Swift Action
Trigger - The user uses a Fire or Psychic Type Attack with a range of X, 1 Target
Connection - Armor Cannon. 
Effect: The Triggering Attack’s Range is changed to Line X, where X is the meters of the original Range. You may instead "&amp;"change the Range to Close Blast Y, Smite, but may only do so once per Scene and the user becomes Vulnerable Attack Resolution until the end of the next Round. Y is equal to half the Value of X rounded down.")</f>
        <v>Scene x2 - Swift Action
Trigger - The user uses a Fire or Psychic Type Attack with a range of X, 1 Target
Connection - Armor Cannon. 
Effect: The Triggering Attack’s Range is changed to Line X, where X is the meters of the original Range. You may instead change the Range to Close Blast Y, Smite, but may only do so once per Scene and the user becomes Vulnerable Attack Resolution until the end of the next Round. Y is equal to half the Value of X rounded down.</v>
      </c>
      <c r="H204" s="224"/>
      <c r="I204" s="224"/>
      <c r="J204" s="224"/>
      <c r="K204" s="224"/>
      <c r="L204" s="224"/>
      <c r="M204" s="224"/>
      <c r="N204" s="224"/>
      <c r="O204" s="224"/>
      <c r="P204" s="224"/>
      <c r="Q204" s="224"/>
      <c r="R204" s="224"/>
      <c r="S204" s="224"/>
      <c r="T204" s="224"/>
      <c r="U204" s="224"/>
      <c r="V204" s="224"/>
      <c r="W204" s="224"/>
      <c r="X204" s="224"/>
      <c r="Y204" s="224"/>
      <c r="Z204" s="224"/>
    </row>
    <row r="205">
      <c r="A205" s="225" t="str">
        <f>IFERROR(__xludf.DUMMYFUNCTION("""COMPUTED_VALUE"""),"Flavorful Aroma")</f>
        <v>Flavorful Aroma</v>
      </c>
      <c r="B205" s="225" t="str">
        <f>IFERROR(__xludf.DUMMYFUNCTION("""COMPUTED_VALUE"""),"At-Will - Swift Action")</f>
        <v>At-Will - Swift Action</v>
      </c>
      <c r="C205" s="225" t="str">
        <f>IFERROR(__xludf.DUMMYFUNCTION("""COMPUTED_VALUE"""),"Effect: Choose one of the following Aroma Scents. Sweet, Spicy, Floral, Fruity. The modifier of this Ability’s Bonus Effect is dependent on the chosen Scent. If it is Sweet, the Modifier is to Effect Ranges. If it is Spicy, the Modifier is to Critical Hit"&amp;" Range. If it is Floral, it is to Save Checks. If it is Fruity, it is to Accuracy Rolls. 
Bonus: The user and all allies within 3m have a Modifier to a Combat Value depending on the user’s current Aroma Scent equal to your Tier Level. As an Extended Actio"&amp;"n you may choose a Scent to start the Scene with.")</f>
        <v>Effect: Choose one of the following Aroma Scents. Sweet, Spicy, Floral, Fruity. The modifier of this Ability’s Bonus Effect is dependent on the chosen Scent. If it is Sweet, the Modifier is to Effect Ranges. If it is Spicy, the Modifier is to Critical Hit Range. If it is Floral, it is to Save Checks. If it is Fruity, it is to Accuracy Rolls. 
Bonus: The user and all allies within 3m have a Modifier to a Combat Value depending on the user’s current Aroma Scent equal to your Tier Level. As an Extended Action you may choose a Scent to start the Scene with.</v>
      </c>
      <c r="D205" s="225"/>
      <c r="E205" s="225"/>
      <c r="F205" s="225"/>
      <c r="G205" s="226" t="str">
        <f>IFERROR(__xludf.DUMMYFUNCTION("""COMPUTED_VALUE"""),"At-Will - Swift Action
Effect: Choose one of the following Aroma Scents. Sweet, Spicy, Floral, Fruity. The modifier of this Ability’s Bonus Effect is dependent on the chosen Scent. If it is Sweet, the Modifier is to Effect Ranges. If it is Spicy, the Modi"&amp;"fier is to Critical Hit Range. If it is Floral, it is to Save Checks. If it is Fruity, it is to Accuracy Rolls. 
Bonus: The user and all allies within 3m have a Modifier to a Combat Value depending on the user’s current Aroma Scent equal to your Tier Leve"&amp;"l. As an Extended Action you may choose a Scent to start the Scene with.")</f>
        <v>At-Will - Swift Action
Effect: Choose one of the following Aroma Scents. Sweet, Spicy, Floral, Fruity. The modifier of this Ability’s Bonus Effect is dependent on the chosen Scent. If it is Sweet, the Modifier is to Effect Ranges. If it is Spicy, the Modifier is to Critical Hit Range. If it is Floral, it is to Save Checks. If it is Fruity, it is to Accuracy Rolls. 
Bonus: The user and all allies within 3m have a Modifier to a Combat Value depending on the user’s current Aroma Scent equal to your Tier Level. As an Extended Action you may choose a Scent to start the Scene with.</v>
      </c>
      <c r="H205" s="224"/>
      <c r="I205" s="224"/>
      <c r="J205" s="224"/>
      <c r="K205" s="224"/>
      <c r="L205" s="224"/>
      <c r="M205" s="224"/>
      <c r="N205" s="224"/>
      <c r="O205" s="224"/>
      <c r="P205" s="224"/>
      <c r="Q205" s="224"/>
      <c r="R205" s="224"/>
      <c r="S205" s="224"/>
      <c r="T205" s="224"/>
      <c r="U205" s="224"/>
      <c r="V205" s="224"/>
      <c r="W205" s="224"/>
      <c r="X205" s="224"/>
      <c r="Y205" s="224"/>
      <c r="Z205" s="224"/>
    </row>
    <row r="206">
      <c r="A206" s="225" t="str">
        <f>IFERROR(__xludf.DUMMYFUNCTION("""COMPUTED_VALUE"""),"Floral Bloom")</f>
        <v>Floral Bloom</v>
      </c>
      <c r="B206" s="225" t="str">
        <f>IFERROR(__xludf.DUMMYFUNCTION("""COMPUTED_VALUE"""),"Scene - Swift Action")</f>
        <v>Scene - Swift Action</v>
      </c>
      <c r="C206" s="225" t="str">
        <f>IFERROR(__xludf.DUMMYFUNCTION("""COMPUTED_VALUE"""),"Effect: The user may only use Floral Bloom if the Weather is Sunny or they’re below 50% Hit Points. When Activated, choose two Stats. You gain +2 CS to the chosen Stats and all Allies within 3m of you gain +1 CS in the chosen Stats. You may also choose HP"&amp;" and if you do, you gain 3 Ticks of Temporary Hit Points and Allies gain 2 Ticks of Temporary Hit Points.
Bonus: While the Weather is Sunny, Grass Type Attacks you have are treated as having the Priority (Limited) Keyword.")</f>
        <v>Effect: The user may only use Floral Bloom if the Weather is Sunny or they’re below 50% Hit Points. When Activated, choose two Stats. You gain +2 CS to the chosen Stats and all Allies within 3m of you gain +1 CS in the chosen Stats. You may also choose HP and if you do, you gain 3 Ticks of Temporary Hit Points and Allies gain 2 Ticks of Temporary Hit Points.
Bonus: While the Weather is Sunny, Grass Type Attacks you have are treated as having the Priority (Limited) Keyword.</v>
      </c>
      <c r="D206" s="225"/>
      <c r="E206" s="225"/>
      <c r="F206" s="225"/>
      <c r="G206" s="226" t="str">
        <f>IFERROR(__xludf.DUMMYFUNCTION("""COMPUTED_VALUE"""),"Scene - Swift Action
Effect: The user may only use Floral Bloom if the Weather is Sunny or they’re below 50% Hit Points. When Activated, choose two Stats. You gain +2 CS to the chosen Stats and all Allies within 3m of you gain +1 CS in the chosen Stats. Y"&amp;"ou may also choose HP and if you do, you gain 3 Ticks of Temporary Hit Points and Allies gain 2 Ticks of Temporary Hit Points.
Bonus: While the Weather is Sunny, Grass Type Attacks you have are treated as having the Priority (Limited) Keyword.")</f>
        <v>Scene - Swift Action
Effect: The user may only use Floral Bloom if the Weather is Sunny or they’re below 50% Hit Points. When Activated, choose two Stats. You gain +2 CS to the chosen Stats and all Allies within 3m of you gain +1 CS in the chosen Stats. You may also choose HP and if you do, you gain 3 Ticks of Temporary Hit Points and Allies gain 2 Ticks of Temporary Hit Points.
Bonus: While the Weather is Sunny, Grass Type Attacks you have are treated as having the Priority (Limited) Keyword.</v>
      </c>
      <c r="H206" s="224"/>
      <c r="I206" s="224"/>
      <c r="J206" s="224"/>
      <c r="K206" s="224"/>
      <c r="L206" s="224"/>
      <c r="M206" s="224"/>
      <c r="N206" s="224"/>
      <c r="O206" s="224"/>
      <c r="P206" s="224"/>
      <c r="Q206" s="224"/>
      <c r="R206" s="224"/>
      <c r="S206" s="224"/>
      <c r="T206" s="224"/>
      <c r="U206" s="224"/>
      <c r="V206" s="224"/>
      <c r="W206" s="224"/>
      <c r="X206" s="224"/>
      <c r="Y206" s="224"/>
      <c r="Z206" s="224"/>
    </row>
    <row r="207">
      <c r="A207" s="225" t="str">
        <f>IFERROR(__xludf.DUMMYFUNCTION("""COMPUTED_VALUE"""),"Flower Power")</f>
        <v>Flower Power</v>
      </c>
      <c r="B207" s="225" t="str">
        <f>IFERROR(__xludf.DUMMYFUNCTION("""COMPUTED_VALUE"""),"Static")</f>
        <v>Static</v>
      </c>
      <c r="C207" s="225" t="str">
        <f>IFERROR(__xludf.DUMMYFUNCTION("""COMPUTED_VALUE"""),"Effect: The user may perform damaging Grass Type Attacks as if they were their choice of either Physical or Special. If the Weather is Sunny, the user’s Grass Type Damaging Attacks cannot be resisted by Type Effectiveness.")</f>
        <v>Effect: The user may perform damaging Grass Type Attacks as if they were their choice of either Physical or Special. If the Weather is Sunny, the user’s Grass Type Damaging Attacks cannot be resisted by Type Effectiveness.</v>
      </c>
      <c r="D207" s="225"/>
      <c r="E207" s="225"/>
      <c r="F207" s="225"/>
      <c r="G207" s="226" t="str">
        <f>IFERROR(__xludf.DUMMYFUNCTION("""COMPUTED_VALUE"""),"Static
Effect: The user may perform damaging Grass Type Attacks as if they were their choice of either Physical or Special. If the Weather is Sunny, the user’s Grass Type Damaging Attacks cannot be resisted by Type Effectiveness.")</f>
        <v>Static
Effect: The user may perform damaging Grass Type Attacks as if they were their choice of either Physical or Special. If the Weather is Sunny, the user’s Grass Type Damaging Attacks cannot be resisted by Type Effectiveness.</v>
      </c>
      <c r="H207" s="224"/>
      <c r="I207" s="224"/>
      <c r="J207" s="224"/>
      <c r="K207" s="224"/>
      <c r="L207" s="224"/>
      <c r="M207" s="224"/>
      <c r="N207" s="224"/>
      <c r="O207" s="224"/>
      <c r="P207" s="224"/>
      <c r="Q207" s="224"/>
      <c r="R207" s="224"/>
      <c r="S207" s="224"/>
      <c r="T207" s="224"/>
      <c r="U207" s="224"/>
      <c r="V207" s="224"/>
      <c r="W207" s="224"/>
      <c r="X207" s="224"/>
      <c r="Y207" s="224"/>
      <c r="Z207" s="224"/>
    </row>
    <row r="208">
      <c r="A208" s="225" t="str">
        <f>IFERROR(__xludf.DUMMYFUNCTION("""COMPUTED_VALUE"""),"Flower Veil")</f>
        <v>Flower Veil</v>
      </c>
      <c r="B208" s="225" t="str">
        <f>IFERROR(__xludf.DUMMYFUNCTION("""COMPUTED_VALUE"""),"Static")</f>
        <v>Static</v>
      </c>
      <c r="C208" s="225" t="str">
        <f>IFERROR(__xludf.DUMMYFUNCTION("""COMPUTED_VALUE"""),"Effect: The user and Allies within 2m cannot have their Combat Stages lowered by any source other than themselves. If the Weather is Sunny, the user and Allies within this range have a bonus to Evasion equal to your Tier Level. ")</f>
        <v>Effect: The user and Allies within 2m cannot have their Combat Stages lowered by any source other than themselves. If the Weather is Sunny, the user and Allies within this range have a bonus to Evasion equal to your Tier Level. </v>
      </c>
      <c r="D208" s="225"/>
      <c r="E208" s="225"/>
      <c r="F208" s="225" t="str">
        <f>IFERROR(__xludf.DUMMYFUNCTION("""COMPUTED_VALUE"""),"Defensive")</f>
        <v>Defensive</v>
      </c>
      <c r="G208" s="226" t="str">
        <f>IFERROR(__xludf.DUMMYFUNCTION("""COMPUTED_VALUE"""),"Static
Keywords - Defensive
Effect: The user and Allies within 2m cannot have their Combat Stages lowered by any source other than themselves. If the Weather is Sunny, the user and Allies within this range have a bonus to Evasion equal to your Tier Level."&amp;" ")</f>
        <v>Static
Keywords - Defensive
Effect: The user and Allies within 2m cannot have their Combat Stages lowered by any source other than themselves. If the Weather is Sunny, the user and Allies within this range have a bonus to Evasion equal to your Tier Level. </v>
      </c>
      <c r="H208" s="224"/>
      <c r="I208" s="224"/>
      <c r="J208" s="224"/>
      <c r="K208" s="224"/>
      <c r="L208" s="224"/>
      <c r="M208" s="224"/>
      <c r="N208" s="224"/>
      <c r="O208" s="224"/>
      <c r="P208" s="224"/>
      <c r="Q208" s="224"/>
      <c r="R208" s="224"/>
      <c r="S208" s="224"/>
      <c r="T208" s="224"/>
      <c r="U208" s="224"/>
      <c r="V208" s="224"/>
      <c r="W208" s="224"/>
      <c r="X208" s="224"/>
      <c r="Y208" s="224"/>
      <c r="Z208" s="224"/>
    </row>
    <row r="209">
      <c r="A209" s="225" t="str">
        <f>IFERROR(__xludf.DUMMYFUNCTION("""COMPUTED_VALUE"""),"Fluffy")</f>
        <v>Fluffy</v>
      </c>
      <c r="B209" s="225" t="str">
        <f>IFERROR(__xludf.DUMMYFUNCTION("""COMPUTED_VALUE"""),"Static")</f>
        <v>Static</v>
      </c>
      <c r="C209" s="225" t="str">
        <f>IFERROR(__xludf.DUMMYFUNCTION("""COMPUTED_VALUE"""),"Effect: The user resists Melee Attacks by an additional Damage Step. The user is considered to be Weak against Fire Type Attacks, ignoring Type Effectiveness. The user cannot cure the Burn Affliction through Save Checks. If the user would already be weak "&amp;"to Fire Type Attacks, they cannot apply Evasion against them. ")</f>
        <v>Effect: The user resists Melee Attacks by an additional Damage Step. The user is considered to be Weak against Fire Type Attacks, ignoring Type Effectiveness. The user cannot cure the Burn Affliction through Save Checks. If the user would already be weak to Fire Type Attacks, they cannot apply Evasion against them. </v>
      </c>
      <c r="D209" s="225"/>
      <c r="E209" s="225"/>
      <c r="F209" s="225" t="str">
        <f>IFERROR(__xludf.DUMMYFUNCTION("""COMPUTED_VALUE"""),"Defensive")</f>
        <v>Defensive</v>
      </c>
      <c r="G209" s="226" t="str">
        <f>IFERROR(__xludf.DUMMYFUNCTION("""COMPUTED_VALUE"""),"Static
Keywords - Defensive
Effect: The user resists Melee Attacks by an additional Damage Step. The user is considered to be Weak against Fire Type Attacks, ignoring Type Effectiveness. The user cannot cure the Burn Affliction through Save Checks. If the"&amp;" user would already be weak to Fire Type Attacks, they cannot apply Evasion against them. ")</f>
        <v>Static
Keywords - Defensive
Effect: The user resists Melee Attacks by an additional Damage Step. The user is considered to be Weak against Fire Type Attacks, ignoring Type Effectiveness. The user cannot cure the Burn Affliction through Save Checks. If the user would already be weak to Fire Type Attacks, they cannot apply Evasion against them. </v>
      </c>
      <c r="H209" s="224"/>
      <c r="I209" s="224"/>
      <c r="J209" s="224"/>
      <c r="K209" s="224"/>
      <c r="L209" s="224"/>
      <c r="M209" s="224"/>
      <c r="N209" s="224"/>
      <c r="O209" s="224"/>
      <c r="P209" s="224"/>
      <c r="Q209" s="224"/>
      <c r="R209" s="224"/>
      <c r="S209" s="224"/>
      <c r="T209" s="224"/>
      <c r="U209" s="224"/>
      <c r="V209" s="224"/>
      <c r="W209" s="224"/>
      <c r="X209" s="224"/>
      <c r="Y209" s="224"/>
      <c r="Z209" s="224"/>
    </row>
    <row r="210">
      <c r="A210" s="225" t="str">
        <f>IFERROR(__xludf.DUMMYFUNCTION("""COMPUTED_VALUE"""),"Fluffy Charge")</f>
        <v>Fluffy Charge</v>
      </c>
      <c r="B210" s="225" t="str">
        <f>IFERROR(__xludf.DUMMYFUNCTION("""COMPUTED_VALUE"""),"Scene - Movement Action")</f>
        <v>Scene - Movement Action</v>
      </c>
      <c r="C210" s="225" t="str">
        <f>IFERROR(__xludf.DUMMYFUNCTION("""COMPUTED_VALUE"""),"Connection - Charge. 
Effect: You may use Charge as a Free Action, frequency permitting. You may use either the Versatile Effect or the normal Effect. If you use the Versatile Effect, Fluffy Charge’s Frequency isn’t expended.
Bonus: When the user ends the"&amp;"ir Turn in Thunderstorm Weather, they restore a Tick of Hit Points.")</f>
        <v>Connection - Charge. 
Effect: You may use Charge as a Free Action, frequency permitting. You may use either the Versatile Effect or the normal Effect. If you use the Versatile Effect, Fluffy Charge’s Frequency isn’t expended.
Bonus: When the user ends their Turn in Thunderstorm Weather, they restore a Tick of Hit Points.</v>
      </c>
      <c r="D210" s="225" t="str">
        <f>IFERROR(__xludf.DUMMYFUNCTION("""COMPUTED_VALUE"""),"The user uses a self-targeting Attack or an Electric Status Attack that is not Charge")</f>
        <v>The user uses a self-targeting Attack or an Electric Status Attack that is not Charge</v>
      </c>
      <c r="E210" s="225"/>
      <c r="F210" s="225"/>
      <c r="G210" s="226" t="str">
        <f>IFERROR(__xludf.DUMMYFUNCTION("""COMPUTED_VALUE"""),"Scene - Movement Action
Trigger - The user uses a self-targeting Attack or an Electric Status Attack that is not Charge
Connection - Charge. 
Effect: You may use Charge as a Free Action, frequency permitting. You may use either the Versatile Effect or the"&amp;" normal Effect. If you use the Versatile Effect, Fluffy Charge’s Frequency isn’t expended.
Bonus: When the user ends their Turn in Thunderstorm Weather, they restore a Tick of Hit Points.")</f>
        <v>Scene - Movement Action
Trigger - The user uses a self-targeting Attack or an Electric Status Attack that is not Charge
Connection - Charge. 
Effect: You may use Charge as a Free Action, frequency permitting. You may use either the Versatile Effect or the normal Effect. If you use the Versatile Effect, Fluffy Charge’s Frequency isn’t expended.
Bonus: When the user ends their Turn in Thunderstorm Weather, they restore a Tick of Hit Points.</v>
      </c>
      <c r="H210" s="224"/>
      <c r="I210" s="224"/>
      <c r="J210" s="224"/>
      <c r="K210" s="224"/>
      <c r="L210" s="224"/>
      <c r="M210" s="224"/>
      <c r="N210" s="224"/>
      <c r="O210" s="224"/>
      <c r="P210" s="224"/>
      <c r="Q210" s="224"/>
      <c r="R210" s="224"/>
      <c r="S210" s="224"/>
      <c r="T210" s="224"/>
      <c r="U210" s="224"/>
      <c r="V210" s="224"/>
      <c r="W210" s="224"/>
      <c r="X210" s="224"/>
      <c r="Y210" s="224"/>
      <c r="Z210" s="224"/>
    </row>
    <row r="211">
      <c r="A211" s="225" t="str">
        <f>IFERROR(__xludf.DUMMYFUNCTION("""COMPUTED_VALUE"""),"Flying Fly Trap")</f>
        <v>Flying Fly Trap</v>
      </c>
      <c r="B211" s="225" t="str">
        <f>IFERROR(__xludf.DUMMYFUNCTION("""COMPUTED_VALUE"""),"Static")</f>
        <v>Static</v>
      </c>
      <c r="C211" s="225" t="str">
        <f>IFERROR(__xludf.DUMMYFUNCTION("""COMPUTED_VALUE"""),"Effect: The user is Immune to Bug and Ground Type Attacks. The user’s Melee Attacks are one step more Effective against Bug Type Pokemon (Max 1.5x Effectiveness). ")</f>
        <v>Effect: The user is Immune to Bug and Ground Type Attacks. The user’s Melee Attacks are one step more Effective against Bug Type Pokemon (Max 1.5x Effectiveness). </v>
      </c>
      <c r="D211" s="225"/>
      <c r="E211" s="225"/>
      <c r="F211" s="225" t="str">
        <f>IFERROR(__xludf.DUMMYFUNCTION("""COMPUTED_VALUE"""),"Defensive")</f>
        <v>Defensive</v>
      </c>
      <c r="G211" s="226" t="str">
        <f>IFERROR(__xludf.DUMMYFUNCTION("""COMPUTED_VALUE"""),"Static
Keywords - Defensive
Effect: The user is Immune to Bug and Ground Type Attacks. The user’s Melee Attacks are one step more Effective against Bug Type Pokemon (Max 1.5x Effectiveness). ")</f>
        <v>Static
Keywords - Defensive
Effect: The user is Immune to Bug and Ground Type Attacks. The user’s Melee Attacks are one step more Effective against Bug Type Pokemon (Max 1.5x Effectiveness). </v>
      </c>
      <c r="H211" s="224"/>
      <c r="I211" s="224"/>
      <c r="J211" s="224"/>
      <c r="K211" s="224"/>
      <c r="L211" s="224"/>
      <c r="M211" s="224"/>
      <c r="N211" s="224"/>
      <c r="O211" s="224"/>
      <c r="P211" s="224"/>
      <c r="Q211" s="224"/>
      <c r="R211" s="224"/>
      <c r="S211" s="224"/>
      <c r="T211" s="224"/>
      <c r="U211" s="224"/>
      <c r="V211" s="224"/>
      <c r="W211" s="224"/>
      <c r="X211" s="224"/>
      <c r="Y211" s="224"/>
      <c r="Z211" s="224"/>
    </row>
    <row r="212">
      <c r="A212" s="225" t="str">
        <f>IFERROR(__xludf.DUMMYFUNCTION("""COMPUTED_VALUE"""),"Focused Membrane")</f>
        <v>Focused Membrane</v>
      </c>
      <c r="B212" s="225" t="str">
        <f>IFERROR(__xludf.DUMMYFUNCTION("""COMPUTED_VALUE"""),"Scene x2 - Swift Action")</f>
        <v>Scene x2 - Swift Action</v>
      </c>
      <c r="C212" s="225" t="str">
        <f>IFERROR(__xludf.DUMMYFUNCTION("""COMPUTED_VALUE"""),"Effect: Make a Perception or Intuition Check. Depending on the results, the user gains bonuses to their next Attack against the Target. An Enemy can only be affected this way once per Scene.
2+ Successes - They've Vulnerable against the Attack
4+ Successe"&amp;"s - They cannot resist the Attack other than through Smite.
6+ Successes - If it is Damaging, it is automatically a Critical Hit")</f>
        <v>Effect: Make a Perception or Intuition Check. Depending on the results, the user gains bonuses to their next Attack against the Target. An Enemy can only be affected this way once per Scene.
2+ Successes - They've Vulnerable against the Attack
4+ Successes - They cannot resist the Attack other than through Smite.
6+ Successes - If it is Damaging, it is automatically a Critical Hit</v>
      </c>
      <c r="D212" s="225"/>
      <c r="E212" s="225" t="str">
        <f>IFERROR(__xludf.DUMMYFUNCTION("""COMPUTED_VALUE"""),"An Enemy within 5m")</f>
        <v>An Enemy within 5m</v>
      </c>
      <c r="F212" s="225"/>
      <c r="G212" s="226" t="str">
        <f>IFERROR(__xludf.DUMMYFUNCTION("""COMPUTED_VALUE"""),"Scene x2 - Swift Action
Target - An Enemy within 5m
Effect: Make a Perception or Intuition Check. Depending on the results, the user gains bonuses to their next Attack against the Target. An Enemy can only be affected this way once per Scene.
2+ Successes"&amp;" - They've Vulnerable against the Attack
4+ Successes - They cannot resist the Attack other than through Smite.
6+ Successes - If it is Damaging, it is automatically a Critical Hit")</f>
        <v>Scene x2 - Swift Action
Target - An Enemy within 5m
Effect: Make a Perception or Intuition Check. Depending on the results, the user gains bonuses to their next Attack against the Target. An Enemy can only be affected this way once per Scene.
2+ Successes - They've Vulnerable against the Attack
4+ Successes - They cannot resist the Attack other than through Smite.
6+ Successes - If it is Damaging, it is automatically a Critical Hit</v>
      </c>
      <c r="H212" s="224"/>
      <c r="I212" s="224"/>
      <c r="J212" s="224"/>
      <c r="K212" s="224"/>
      <c r="L212" s="224"/>
      <c r="M212" s="224"/>
      <c r="N212" s="224"/>
      <c r="O212" s="224"/>
      <c r="P212" s="224"/>
      <c r="Q212" s="224"/>
      <c r="R212" s="224"/>
      <c r="S212" s="224"/>
      <c r="T212" s="224"/>
      <c r="U212" s="224"/>
      <c r="V212" s="224"/>
      <c r="W212" s="224"/>
      <c r="X212" s="224"/>
      <c r="Y212" s="224"/>
      <c r="Z212" s="224"/>
    </row>
    <row r="213">
      <c r="A213" s="225" t="str">
        <f>IFERROR(__xludf.DUMMYFUNCTION("""COMPUTED_VALUE"""),"Forecast")</f>
        <v>Forecast</v>
      </c>
      <c r="B213" s="225" t="str">
        <f>IFERROR(__xludf.DUMMYFUNCTION("""COMPUTED_VALUE"""),"At-Will - Reaction")</f>
        <v>At-Will - Reaction</v>
      </c>
      <c r="C213" s="225" t="str">
        <f>IFERROR(__xludf.DUMMYFUNCTION("""COMPUTED_VALUE"""),"Effect: The user changes their Type to the Type of the Triggering Attack. 
Bonus: The user’s Normal Type Attacks may deal damage as if they were the user’s Type instead.")</f>
        <v>Effect: The user changes their Type to the Type of the Triggering Attack. 
Bonus: The user’s Normal Type Attacks may deal damage as if they were the user’s Type instead.</v>
      </c>
      <c r="D213" s="225" t="str">
        <f>IFERROR(__xludf.DUMMYFUNCTION("""COMPUTED_VALUE"""),"An Attack with the Field Keyword is used")</f>
        <v>An Attack with the Field Keyword is used</v>
      </c>
      <c r="E213" s="225"/>
      <c r="F213" s="225"/>
      <c r="G213" s="226" t="str">
        <f>IFERROR(__xludf.DUMMYFUNCTION("""COMPUTED_VALUE"""),"At-Will - Reaction
Trigger - An Attack with the Field Keyword is used
Effect: The user changes their Type to the Type of the Triggering Attack. 
Bonus: The user’s Normal Type Attacks may deal damage as if they were the user’s Type instead.")</f>
        <v>At-Will - Reaction
Trigger - An Attack with the Field Keyword is used
Effect: The user changes their Type to the Type of the Triggering Attack. 
Bonus: The user’s Normal Type Attacks may deal damage as if they were the user’s Type instead.</v>
      </c>
      <c r="H213" s="224"/>
      <c r="I213" s="224"/>
      <c r="J213" s="224"/>
      <c r="K213" s="224"/>
      <c r="L213" s="224"/>
      <c r="M213" s="224"/>
      <c r="N213" s="224"/>
      <c r="O213" s="224"/>
      <c r="P213" s="224"/>
      <c r="Q213" s="224"/>
      <c r="R213" s="224"/>
      <c r="S213" s="224"/>
      <c r="T213" s="224"/>
      <c r="U213" s="224"/>
      <c r="V213" s="224"/>
      <c r="W213" s="224"/>
      <c r="X213" s="224"/>
      <c r="Y213" s="224"/>
      <c r="Z213" s="224"/>
    </row>
    <row r="214">
      <c r="A214" s="225" t="str">
        <f>IFERROR(__xludf.DUMMYFUNCTION("""COMPUTED_VALUE"""),"Forest Lord")</f>
        <v>Forest Lord</v>
      </c>
      <c r="B214" s="225" t="str">
        <f>IFERROR(__xludf.DUMMYFUNCTION("""COMPUTED_VALUE"""),"Scene x3 - Movement Action")</f>
        <v>Scene x3 - Movement Action</v>
      </c>
      <c r="C214" s="225" t="str">
        <f>IFERROR(__xludf.DUMMYFUNCTION("""COMPUTED_VALUE"""),"Effect: The user grows a Tree Hazard on one space within 8m of the user whose appearance is dependent on the terrain. The Tree is considered Large Blocking Terrain.
Bonus: The user may originate any Grass or Ghost Type Attacks or Tactic Maneuvers from a T"&amp;"ree within 8m of them. The user is considered to occupy all spaces their Tree Hazards are in.")</f>
        <v>Effect: The user grows a Tree Hazard on one space within 8m of the user whose appearance is dependent on the terrain. The Tree is considered Large Blocking Terrain.
Bonus: The user may originate any Grass or Ghost Type Attacks or Tactic Maneuvers from a Tree within 8m of them. The user is considered to occupy all spaces their Tree Hazards are in.</v>
      </c>
      <c r="D214" s="225"/>
      <c r="E214" s="225"/>
      <c r="F214" s="225"/>
      <c r="G214" s="226" t="str">
        <f>IFERROR(__xludf.DUMMYFUNCTION("""COMPUTED_VALUE"""),"Scene x3 - Movement Action
Effect: The user grows a Tree Hazard on one space within 8m of the user whose appearance is dependent on the terrain. The Tree is considered Large Blocking Terrain.
Bonus: The user may originate any Grass or Ghost Type Attacks o"&amp;"r Tactic Maneuvers from a Tree within 8m of them. The user is considered to occupy all spaces their Tree Hazards are in.")</f>
        <v>Scene x3 - Movement Action
Effect: The user grows a Tree Hazard on one space within 8m of the user whose appearance is dependent on the terrain. The Tree is considered Large Blocking Terrain.
Bonus: The user may originate any Grass or Ghost Type Attacks or Tactic Maneuvers from a Tree within 8m of them. The user is considered to occupy all spaces their Tree Hazards are in.</v>
      </c>
      <c r="H214" s="224"/>
      <c r="I214" s="224"/>
      <c r="J214" s="224"/>
      <c r="K214" s="224"/>
      <c r="L214" s="224"/>
      <c r="M214" s="224"/>
      <c r="N214" s="224"/>
      <c r="O214" s="224"/>
      <c r="P214" s="224"/>
      <c r="Q214" s="224"/>
      <c r="R214" s="224"/>
      <c r="S214" s="224"/>
      <c r="T214" s="224"/>
      <c r="U214" s="224"/>
      <c r="V214" s="224"/>
      <c r="W214" s="224"/>
      <c r="X214" s="224"/>
      <c r="Y214" s="224"/>
      <c r="Z214" s="224"/>
    </row>
    <row r="215">
      <c r="A215" s="225" t="str">
        <f>IFERROR(__xludf.DUMMYFUNCTION("""COMPUTED_VALUE"""),"Forewarn")</f>
        <v>Forewarn</v>
      </c>
      <c r="B215" s="225" t="str">
        <f>IFERROR(__xludf.DUMMYFUNCTION("""COMPUTED_VALUE"""),"At-Will - Free Action")</f>
        <v>At-Will - Free Action</v>
      </c>
      <c r="C215" s="225" t="str">
        <f>IFERROR(__xludf.DUMMYFUNCTION("""COMPUTED_VALUE"""),"Effect: The Attack with the highest Damage Base the Target has on their Attack List becomes Forewarned until the end of the Scene. When an Attack is Forewarned, it is communicated to the Players that it is on their Attack List. If an Enemy is Targeted mul"&amp;"tiple times, their next highest or a random Attack is Forewarned. Forewarn may only be used once per Round.
Bonus: You and Allies have a bonus to Evasion equal to your Tier Level against Forewarned Attacks. You may perform Analyze Maneuvers as a Free Acti"&amp;"on once per Round. ")</f>
        <v>Effect: The Attack with the highest Damage Base the Target has on their Attack List becomes Forewarned until the end of the Scene. When an Attack is Forewarned, it is communicated to the Players that it is on their Attack List. If an Enemy is Targeted multiple times, their next highest or a random Attack is Forewarned. Forewarn may only be used once per Round.
Bonus: You and Allies have a bonus to Evasion equal to your Tier Level against Forewarned Attacks. You may perform Analyze Maneuvers as a Free Action once per Round. </v>
      </c>
      <c r="D215" s="225"/>
      <c r="E215" s="225" t="str">
        <f>IFERROR(__xludf.DUMMYFUNCTION("""COMPUTED_VALUE"""),"An Enemy within 5m")</f>
        <v>An Enemy within 5m</v>
      </c>
      <c r="F215" s="225"/>
      <c r="G215" s="226" t="str">
        <f>IFERROR(__xludf.DUMMYFUNCTION("""COMPUTED_VALUE"""),"At-Will - Free Action
Target - An Enemy within 5m
Effect: The Attack with the highest Damage Base the Target has on their Attack List becomes Forewarned until the end of the Scene. When an Attack is Forewarned, it is communicated to the Players that it is"&amp;" on their Attack List. If an Enemy is Targeted multiple times, their next highest or a random Attack is Forewarned. Forewarn may only be used once per Round.
Bonus: You and Allies have a bonus to Evasion equal to your Tier Level against Forewarned Attacks"&amp;". You may perform Analyze Maneuvers as a Free Action once per Round. ")</f>
        <v>At-Will - Free Action
Target - An Enemy within 5m
Effect: The Attack with the highest Damage Base the Target has on their Attack List becomes Forewarned until the end of the Scene. When an Attack is Forewarned, it is communicated to the Players that it is on their Attack List. If an Enemy is Targeted multiple times, their next highest or a random Attack is Forewarned. Forewarn may only be used once per Round.
Bonus: You and Allies have a bonus to Evasion equal to your Tier Level against Forewarned Attacks. You may perform Analyze Maneuvers as a Free Action once per Round. </v>
      </c>
      <c r="H215" s="224"/>
      <c r="I215" s="224"/>
      <c r="J215" s="224"/>
      <c r="K215" s="224"/>
      <c r="L215" s="224"/>
      <c r="M215" s="224"/>
      <c r="N215" s="224"/>
      <c r="O215" s="224"/>
      <c r="P215" s="224"/>
      <c r="Q215" s="224"/>
      <c r="R215" s="224"/>
      <c r="S215" s="224"/>
      <c r="T215" s="224"/>
      <c r="U215" s="224"/>
      <c r="V215" s="224"/>
      <c r="W215" s="224"/>
      <c r="X215" s="224"/>
      <c r="Y215" s="224"/>
      <c r="Z215" s="224"/>
    </row>
    <row r="216">
      <c r="A216" s="225" t="str">
        <f>IFERROR(__xludf.DUMMYFUNCTION("""COMPUTED_VALUE"""),"Fox Fire")</f>
        <v>Fox Fire</v>
      </c>
      <c r="B216" s="225" t="str">
        <f>IFERROR(__xludf.DUMMYFUNCTION("""COMPUTED_VALUE"""),"Scene - Swift Action")</f>
        <v>Scene - Swift Action</v>
      </c>
      <c r="C216" s="225" t="str">
        <f>IFERROR(__xludf.DUMMYFUNCTION("""COMPUTED_VALUE"""),"Connection - Will-O-Wisp. 
Effect: When this Ability is activated, the user must expend a Wisp Counter, then they may use a Fire or Ghost Type Status Attack as a Free Action. If they instead expend 3 Wisp Counters, the Frequency of this Ability isn't expe"&amp;"nded.
Bonus: Whenever the user uses a Fire or Ghost Type Attack as a Standard Action, they gain a Wisp Counter (Max 3) at the end of their Turn. On a 16+ on the qualifying Attack, they instead gain +2 Wisp Counters (This counts as an Effect Range). ")</f>
        <v>Connection - Will-O-Wisp. 
Effect: When this Ability is activated, the user must expend a Wisp Counter, then they may use a Fire or Ghost Type Status Attack as a Free Action. If they instead expend 3 Wisp Counters, the Frequency of this Ability isn't expended.
Bonus: Whenever the user uses a Fire or Ghost Type Attack as a Standard Action, they gain a Wisp Counter (Max 3) at the end of their Turn. On a 16+ on the qualifying Attack, they instead gain +2 Wisp Counters (This counts as an Effect Range). </v>
      </c>
      <c r="D216" s="225"/>
      <c r="E216" s="225"/>
      <c r="F216" s="225"/>
      <c r="G216" s="226" t="str">
        <f>IFERROR(__xludf.DUMMYFUNCTION("""COMPUTED_VALUE"""),"Scene - Swift Action
Connection - Will-O-Wisp. 
Effect: When this Ability is activated, the user must expend a Wisp Counter, then they may use a Fire or Ghost Type Status Attack as a Free Action. If they instead expend 3 Wisp Counters, the Frequency of th"&amp;"is Ability isn't expended.
Bonus: Whenever the user uses a Fire or Ghost Type Attack as a Standard Action, they gain a Wisp Counter (Max 3) at the end of their Turn. On a 16+ on the qualifying Attack, they instead gain +2 Wisp Counters (This counts as an "&amp;"Effect Range). ")</f>
        <v>Scene - Swift Action
Connection - Will-O-Wisp. 
Effect: When this Ability is activated, the user must expend a Wisp Counter, then they may use a Fire or Ghost Type Status Attack as a Free Action. If they instead expend 3 Wisp Counters, the Frequency of this Ability isn't expended.
Bonus: Whenever the user uses a Fire or Ghost Type Attack as a Standard Action, they gain a Wisp Counter (Max 3) at the end of their Turn. On a 16+ on the qualifying Attack, they instead gain +2 Wisp Counters (This counts as an Effect Range). </v>
      </c>
      <c r="H216" s="224"/>
      <c r="I216" s="224"/>
      <c r="J216" s="224"/>
      <c r="K216" s="224"/>
      <c r="L216" s="224"/>
      <c r="M216" s="224"/>
      <c r="N216" s="224"/>
      <c r="O216" s="224"/>
      <c r="P216" s="224"/>
      <c r="Q216" s="224"/>
      <c r="R216" s="224"/>
      <c r="S216" s="224"/>
      <c r="T216" s="224"/>
      <c r="U216" s="224"/>
      <c r="V216" s="224"/>
      <c r="W216" s="224"/>
      <c r="X216" s="224"/>
      <c r="Y216" s="224"/>
      <c r="Z216" s="224"/>
    </row>
    <row r="217">
      <c r="A217" s="225" t="str">
        <f>IFERROR(__xludf.DUMMYFUNCTION("""COMPUTED_VALUE"""),"Friend Guard")</f>
        <v>Friend Guard</v>
      </c>
      <c r="B217" s="225" t="str">
        <f>IFERROR(__xludf.DUMMYFUNCTION("""COMPUTED_VALUE"""),"Scene x2 - Reaction")</f>
        <v>Scene x2 - Reaction</v>
      </c>
      <c r="C217" s="225" t="str">
        <f>IFERROR(__xludf.DUMMYFUNCTION("""COMPUTED_VALUE"""),"Effect: They resist it by an additional damage step. 
Bonus: Allies that are adjacent to the user have Damage Reduction equal to your Tier Value while they’re adjacent to you. This cannot stack with other instances of Friend Guard. ")</f>
        <v>Effect: They resist it by an additional damage step. 
Bonus: Allies that are adjacent to the user have Damage Reduction equal to your Tier Value while they’re adjacent to you. This cannot stack with other instances of Friend Guard. </v>
      </c>
      <c r="D217" s="225" t="str">
        <f>IFERROR(__xludf.DUMMYFUNCTION("""COMPUTED_VALUE"""),"An Adjacent Ally is hit by a Damaging Attack")</f>
        <v>An Adjacent Ally is hit by a Damaging Attack</v>
      </c>
      <c r="E217" s="225"/>
      <c r="F217" s="225" t="str">
        <f>IFERROR(__xludf.DUMMYFUNCTION("""COMPUTED_VALUE"""),"Defensive")</f>
        <v>Defensive</v>
      </c>
      <c r="G217" s="226" t="str">
        <f>IFERROR(__xludf.DUMMYFUNCTION("""COMPUTED_VALUE"""),"Scene x2 - Reaction
Keywords - Defensive
Trigger - An Adjacent Ally is hit by a Damaging Attack
Effect: They resist it by an additional damage step. 
Bonus: Allies that are adjacent to the user have Damage Reduction equal to your Tier Value while they’re "&amp;"adjacent to you. This cannot stack with other instances of Friend Guard. ")</f>
        <v>Scene x2 - Reaction
Keywords - Defensive
Trigger - An Adjacent Ally is hit by a Damaging Attack
Effect: They resist it by an additional damage step. 
Bonus: Allies that are adjacent to the user have Damage Reduction equal to your Tier Value while they’re adjacent to you. This cannot stack with other instances of Friend Guard. </v>
      </c>
      <c r="H217" s="224"/>
      <c r="I217" s="224"/>
      <c r="J217" s="224"/>
      <c r="K217" s="224"/>
      <c r="L217" s="224"/>
      <c r="M217" s="224"/>
      <c r="N217" s="224"/>
      <c r="O217" s="224"/>
      <c r="P217" s="224"/>
      <c r="Q217" s="224"/>
      <c r="R217" s="224"/>
      <c r="S217" s="224"/>
      <c r="T217" s="224"/>
      <c r="U217" s="224"/>
      <c r="V217" s="224"/>
      <c r="W217" s="224"/>
      <c r="X217" s="224"/>
      <c r="Y217" s="224"/>
      <c r="Z217" s="224"/>
    </row>
    <row r="218">
      <c r="A218" s="225" t="str">
        <f>IFERROR(__xludf.DUMMYFUNCTION("""COMPUTED_VALUE"""),"Frostbite")</f>
        <v>Frostbite</v>
      </c>
      <c r="B218" s="225" t="str">
        <f>IFERROR(__xludf.DUMMYFUNCTION("""COMPUTED_VALUE"""),"Static")</f>
        <v>Static</v>
      </c>
      <c r="C218" s="225" t="str">
        <f>IFERROR(__xludf.DUMMYFUNCTION("""COMPUTED_VALUE"""),"Effect: The user gains a bonus to Chilled Effect Ranges equal to their Tier Level (Excluding the one granted by Frostbite). The user’s Melee Attacks that do not have a Chilled Effect Range gain one at 18+. While an Enemy is Chilled by you and they’re hit "&amp;"by an Attack, they lose a Tick of Hit Points. An Enemy cannot lose more than 3 Ticks this way per Round.  ")</f>
        <v>Effect: The user gains a bonus to Chilled Effect Ranges equal to their Tier Level (Excluding the one granted by Frostbite). The user’s Melee Attacks that do not have a Chilled Effect Range gain one at 18+. While an Enemy is Chilled by you and they’re hit by an Attack, they lose a Tick of Hit Points. An Enemy cannot lose more than 3 Ticks this way per Round.  </v>
      </c>
      <c r="D218" s="225"/>
      <c r="E218" s="225"/>
      <c r="F218" s="225"/>
      <c r="G218" s="226" t="str">
        <f>IFERROR(__xludf.DUMMYFUNCTION("""COMPUTED_VALUE"""),"Static
Effect: The user gains a bonus to Chilled Effect Ranges equal to their Tier Level (Excluding the one granted by Frostbite). The user’s Melee Attacks that do not have a Chilled Effect Range gain one at 18+. While an Enemy is Chilled by you and they’"&amp;"re hit by an Attack, they lose a Tick of Hit Points. An Enemy cannot lose more than 3 Ticks this way per Round.  ")</f>
        <v>Static
Effect: The user gains a bonus to Chilled Effect Ranges equal to their Tier Level (Excluding the one granted by Frostbite). The user’s Melee Attacks that do not have a Chilled Effect Range gain one at 18+. While an Enemy is Chilled by you and they’re hit by an Attack, they lose a Tick of Hit Points. An Enemy cannot lose more than 3 Ticks this way per Round.  </v>
      </c>
      <c r="H218" s="224"/>
      <c r="I218" s="224"/>
      <c r="J218" s="224"/>
      <c r="K218" s="224"/>
      <c r="L218" s="224"/>
      <c r="M218" s="224"/>
      <c r="N218" s="224"/>
      <c r="O218" s="224"/>
      <c r="P218" s="224"/>
      <c r="Q218" s="224"/>
      <c r="R218" s="224"/>
      <c r="S218" s="224"/>
      <c r="T218" s="224"/>
      <c r="U218" s="224"/>
      <c r="V218" s="224"/>
      <c r="W218" s="224"/>
      <c r="X218" s="224"/>
      <c r="Y218" s="224"/>
      <c r="Z218" s="224"/>
    </row>
    <row r="219">
      <c r="A219" s="225" t="str">
        <f>IFERROR(__xludf.DUMMYFUNCTION("""COMPUTED_VALUE"""),"Gale Surge")</f>
        <v>Gale Surge</v>
      </c>
      <c r="B219" s="225" t="str">
        <f>IFERROR(__xludf.DUMMYFUNCTION("""COMPUTED_VALUE"""),"At-Will- Swift Action")</f>
        <v>At-Will- Swift Action</v>
      </c>
      <c r="C219" s="225" t="str">
        <f>IFERROR(__xludf.DUMMYFUNCTION("""COMPUTED_VALUE"""),"Effect: After the Triggering Attack is resolved, choose any number of Targets of the Triggering Attack to Slide up to 3m away from you.
Bonus: The user’s Flying Type Attacks have their Areas of Effect increased by +1. If it's 1-Target, they may instead b"&amp;"e used as if they were Blast 2, if desired.")</f>
        <v>Effect: After the Triggering Attack is resolved, choose any number of Targets of the Triggering Attack to Slide up to 3m away from you.
Bonus: The user’s Flying Type Attacks have their Areas of Effect increased by +1. If it's 1-Target, they may instead be used as if they were Blast 2, if desired.</v>
      </c>
      <c r="D219" s="225" t="str">
        <f>IFERROR(__xludf.DUMMYFUNCTION("""COMPUTED_VALUE"""),"The user hits a Flying Attack")</f>
        <v>The user hits a Flying Attack</v>
      </c>
      <c r="E219" s="225"/>
      <c r="F219" s="225"/>
      <c r="G219" s="226" t="str">
        <f>IFERROR(__xludf.DUMMYFUNCTION("""COMPUTED_VALUE"""),"At-Will- Swift Action
Trigger - The user hits a Flying Attack
Effect: After the Triggering Attack is resolved, choose any number of Targets of the Triggering Attack to Slide up to 3m away from you.
Bonus: The user’s Flying Type Attacks have their Areas o"&amp;"f Effect increased by +1. If it's 1-Target, they may instead be used as if they were Blast 2, if desired.")</f>
        <v>At-Will- Swift Action
Trigger - The user hits a Flying Attack
Effect: After the Triggering Attack is resolved, choose any number of Targets of the Triggering Attack to Slide up to 3m away from you.
Bonus: The user’s Flying Type Attacks have their Areas of Effect increased by +1. If it's 1-Target, they may instead be used as if they were Blast 2, if desired.</v>
      </c>
      <c r="H219" s="224"/>
      <c r="I219" s="224"/>
      <c r="J219" s="224"/>
      <c r="K219" s="224"/>
      <c r="L219" s="224"/>
      <c r="M219" s="224"/>
      <c r="N219" s="224"/>
      <c r="O219" s="224"/>
      <c r="P219" s="224"/>
      <c r="Q219" s="224"/>
      <c r="R219" s="224"/>
      <c r="S219" s="224"/>
      <c r="T219" s="224"/>
      <c r="U219" s="224"/>
      <c r="V219" s="224"/>
      <c r="W219" s="224"/>
      <c r="X219" s="224"/>
      <c r="Y219" s="224"/>
      <c r="Z219" s="224"/>
    </row>
    <row r="220">
      <c r="A220" s="225" t="str">
        <f>IFERROR(__xludf.DUMMYFUNCTION("""COMPUTED_VALUE"""),"Gale Wings")</f>
        <v>Gale Wings</v>
      </c>
      <c r="B220" s="225" t="str">
        <f>IFERROR(__xludf.DUMMYFUNCTION("""COMPUTED_VALUE"""),"Static")</f>
        <v>Static</v>
      </c>
      <c r="C220" s="225" t="str">
        <f>IFERROR(__xludf.DUMMYFUNCTION("""COMPUTED_VALUE"""),"Effect: The user may perform Flying Type Attacks as if they had the Priority Keyword. While the Weather is Windy, the user cannot trigger Attacks of Opportunity or be Slowed.")</f>
        <v>Effect: The user may perform Flying Type Attacks as if they had the Priority Keyword. While the Weather is Windy, the user cannot trigger Attacks of Opportunity or be Slowed.</v>
      </c>
      <c r="D220" s="225"/>
      <c r="E220" s="225"/>
      <c r="F220" s="225"/>
      <c r="G220" s="226" t="str">
        <f>IFERROR(__xludf.DUMMYFUNCTION("""COMPUTED_VALUE"""),"Static
Effect: The user may perform Flying Type Attacks as if they had the Priority Keyword. While the Weather is Windy, the user cannot trigger Attacks of Opportunity or be Slowed.")</f>
        <v>Static
Effect: The user may perform Flying Type Attacks as if they had the Priority Keyword. While the Weather is Windy, the user cannot trigger Attacks of Opportunity or be Slowed.</v>
      </c>
      <c r="H220" s="224"/>
      <c r="I220" s="224"/>
      <c r="J220" s="224"/>
      <c r="K220" s="224"/>
      <c r="L220" s="224"/>
      <c r="M220" s="224"/>
      <c r="N220" s="224"/>
      <c r="O220" s="224"/>
      <c r="P220" s="224"/>
      <c r="Q220" s="224"/>
      <c r="R220" s="224"/>
      <c r="S220" s="224"/>
      <c r="T220" s="224"/>
      <c r="U220" s="224"/>
      <c r="V220" s="224"/>
      <c r="W220" s="224"/>
      <c r="X220" s="224"/>
      <c r="Y220" s="224"/>
      <c r="Z220" s="224"/>
    </row>
    <row r="221">
      <c r="A221" s="225" t="str">
        <f>IFERROR(__xludf.DUMMYFUNCTION("""COMPUTED_VALUE"""),"Gentle Vibe")</f>
        <v>Gentle Vibe</v>
      </c>
      <c r="B221" s="225" t="str">
        <f>IFERROR(__xludf.DUMMYFUNCTION("""COMPUTED_VALUE"""),"Scene - Swift Action")</f>
        <v>Scene - Swift Action</v>
      </c>
      <c r="C221" s="225" t="str">
        <f>IFERROR(__xludf.DUMMYFUNCTION("""COMPUTED_VALUE"""),"Effect: The user and all Allies within 3m may either cure a Mental Affliction or have their CS reset to their Default Values
Bonus: The user and adjacent allies have a bonus to Save Checks equal to your Tier Level if they’re suffering from a Mental Afflic"&amp;"tion.")</f>
        <v>Effect: The user and all Allies within 3m may either cure a Mental Affliction or have their CS reset to their Default Values
Bonus: The user and adjacent allies have a bonus to Save Checks equal to your Tier Level if they’re suffering from a Mental Affliction.</v>
      </c>
      <c r="D221" s="225"/>
      <c r="E221" s="225"/>
      <c r="F221" s="225"/>
      <c r="G221" s="226" t="str">
        <f>IFERROR(__xludf.DUMMYFUNCTION("""COMPUTED_VALUE"""),"Scene - Swift Action
Effect: The user and all Allies within 3m may either cure a Mental Affliction or have their CS reset to their Default Values
Bonus: The user and adjacent allies have a bonus to Save Checks equal to your Tier Level if they’re suffering"&amp;" from a Mental Affliction.")</f>
        <v>Scene - Swift Action
Effect: The user and all Allies within 3m may either cure a Mental Affliction or have their CS reset to their Default Values
Bonus: The user and adjacent allies have a bonus to Save Checks equal to your Tier Level if they’re suffering from a Mental Affliction.</v>
      </c>
      <c r="H221" s="224"/>
      <c r="I221" s="224"/>
      <c r="J221" s="224"/>
      <c r="K221" s="224"/>
      <c r="L221" s="224"/>
      <c r="M221" s="224"/>
      <c r="N221" s="224"/>
      <c r="O221" s="224"/>
      <c r="P221" s="224"/>
      <c r="Q221" s="224"/>
      <c r="R221" s="224"/>
      <c r="S221" s="224"/>
      <c r="T221" s="224"/>
      <c r="U221" s="224"/>
      <c r="V221" s="224"/>
      <c r="W221" s="224"/>
      <c r="X221" s="224"/>
      <c r="Y221" s="224"/>
      <c r="Z221" s="224"/>
    </row>
    <row r="222">
      <c r="A222" s="225" t="str">
        <f>IFERROR(__xludf.DUMMYFUNCTION("""COMPUTED_VALUE"""),"Giver")</f>
        <v>Giver</v>
      </c>
      <c r="B222" s="225" t="str">
        <f>IFERROR(__xludf.DUMMYFUNCTION("""COMPUTED_VALUE"""),"Scene x2 - Swift Action")</f>
        <v>Scene x2 - Swift Action</v>
      </c>
      <c r="C222" s="225" t="str">
        <f>IFERROR(__xludf.DUMMYFUNCTION("""COMPUTED_VALUE"""),"Connection - Present. 
Effect: If the user targeted an enemy, the DB is automatically 10 without rolling. If the user targeted an ally, they gain 3 additional Temporary Ticks of Hit Points")</f>
        <v>Connection - Present. 
Effect: If the user targeted an enemy, the DB is automatically 10 without rolling. If the user targeted an ally, they gain 3 additional Temporary Ticks of Hit Points</v>
      </c>
      <c r="D222" s="225" t="str">
        <f>IFERROR(__xludf.DUMMYFUNCTION("""COMPUTED_VALUE"""),"The user uses Present")</f>
        <v>The user uses Present</v>
      </c>
      <c r="E222" s="225"/>
      <c r="F222" s="225"/>
      <c r="G222" s="226" t="str">
        <f>IFERROR(__xludf.DUMMYFUNCTION("""COMPUTED_VALUE"""),"Scene x2 - Swift Action
Trigger - The user uses Present
Connection - Present. 
Effect: If the user targeted an enemy, the DB is automatically 10 without rolling. If the user targeted an ally, they gain 3 additional Temporary Ticks of Hit Points")</f>
        <v>Scene x2 - Swift Action
Trigger - The user uses Present
Connection - Present. 
Effect: If the user targeted an enemy, the DB is automatically 10 without rolling. If the user targeted an ally, they gain 3 additional Temporary Ticks of Hit Points</v>
      </c>
      <c r="H222" s="224"/>
      <c r="I222" s="224"/>
      <c r="J222" s="224"/>
      <c r="K222" s="224"/>
      <c r="L222" s="224"/>
      <c r="M222" s="224"/>
      <c r="N222" s="224"/>
      <c r="O222" s="224"/>
      <c r="P222" s="224"/>
      <c r="Q222" s="224"/>
      <c r="R222" s="224"/>
      <c r="S222" s="224"/>
      <c r="T222" s="224"/>
      <c r="U222" s="224"/>
      <c r="V222" s="224"/>
      <c r="W222" s="224"/>
      <c r="X222" s="224"/>
      <c r="Y222" s="224"/>
      <c r="Z222" s="224"/>
    </row>
    <row r="223">
      <c r="A223" s="225" t="str">
        <f>IFERROR(__xludf.DUMMYFUNCTION("""COMPUTED_VALUE"""),"Good As Gold")</f>
        <v>Good As Gold</v>
      </c>
      <c r="B223" s="225" t="str">
        <f>IFERROR(__xludf.DUMMYFUNCTION("""COMPUTED_VALUE"""),"Scene - Standard Action")</f>
        <v>Scene - Standard Action</v>
      </c>
      <c r="C223" s="225" t="str">
        <f>IFERROR(__xludf.DUMMYFUNCTION("""COMPUTED_VALUE"""),"Effect: The user gains a Golden Coat. While the user is affected by the Golden Coat, they are resistant to all Damage by an additional Damage Step. The Golden Coat is removed if the user is Critically Hit, hit by an Attack that would be Super Effective or"&amp;" drops below 50% Hit Points. 
Bonus: The user is Immune to Enemy Status Attacks. ")</f>
        <v>Effect: The user gains a Golden Coat. While the user is affected by the Golden Coat, they are resistant to all Damage by an additional Damage Step. The Golden Coat is removed if the user is Critically Hit, hit by an Attack that would be Super Effective or drops below 50% Hit Points. 
Bonus: The user is Immune to Enemy Status Attacks. </v>
      </c>
      <c r="D223" s="225"/>
      <c r="E223" s="225"/>
      <c r="F223" s="225" t="str">
        <f>IFERROR(__xludf.DUMMYFUNCTION("""COMPUTED_VALUE"""),"Defensive")</f>
        <v>Defensive</v>
      </c>
      <c r="G223" s="226" t="str">
        <f>IFERROR(__xludf.DUMMYFUNCTION("""COMPUTED_VALUE"""),"Scene - Standard Action
Keywords - Defensive
Effect: The user gains a Golden Coat. While the user is affected by the Golden Coat, they are resistant to all Damage by an additional Damage Step. The Golden Coat is removed if the user is Critically Hit, hit "&amp;"by an Attack that would be Super Effective or drops below 50% Hit Points. 
Bonus: The user is Immune to Enemy Status Attacks. ")</f>
        <v>Scene - Standard Action
Keywords - Defensive
Effect: The user gains a Golden Coat. While the user is affected by the Golden Coat, they are resistant to all Damage by an additional Damage Step. The Golden Coat is removed if the user is Critically Hit, hit by an Attack that would be Super Effective or drops below 50% Hit Points. 
Bonus: The user is Immune to Enemy Status Attacks. </v>
      </c>
      <c r="H223" s="224"/>
      <c r="I223" s="224"/>
      <c r="J223" s="224"/>
      <c r="K223" s="224"/>
      <c r="L223" s="224"/>
      <c r="M223" s="224"/>
      <c r="N223" s="224"/>
      <c r="O223" s="224"/>
      <c r="P223" s="224"/>
      <c r="Q223" s="224"/>
      <c r="R223" s="224"/>
      <c r="S223" s="224"/>
      <c r="T223" s="224"/>
      <c r="U223" s="224"/>
      <c r="V223" s="224"/>
      <c r="W223" s="224"/>
      <c r="X223" s="224"/>
      <c r="Y223" s="224"/>
      <c r="Z223" s="224"/>
    </row>
    <row r="224">
      <c r="A224" s="225" t="str">
        <f>IFERROR(__xludf.DUMMYFUNCTION("""COMPUTED_VALUE"""),"Gooey")</f>
        <v>Gooey</v>
      </c>
      <c r="B224" s="225" t="str">
        <f>IFERROR(__xludf.DUMMYFUNCTION("""COMPUTED_VALUE"""),"At-Will - Reaction")</f>
        <v>At-Will - Reaction</v>
      </c>
      <c r="C224" s="225" t="str">
        <f>IFERROR(__xludf.DUMMYFUNCTION("""COMPUTED_VALUE"""),"Effect: The Triggering Enemy becomes Slowed and loses -2 CS in Speed. If they are already Slowed, they cannot cure it during their next Save Check. ")</f>
        <v>Effect: The Triggering Enemy becomes Slowed and loses -2 CS in Speed. If they are already Slowed, they cannot cure it during their next Save Check. </v>
      </c>
      <c r="D224" s="225" t="str">
        <f>IFERROR(__xludf.DUMMYFUNCTION("""COMPUTED_VALUE"""),"The user is Targeted with an Attack by an Adjacent Enemy")</f>
        <v>The user is Targeted with an Attack by an Adjacent Enemy</v>
      </c>
      <c r="E224" s="225"/>
      <c r="F224" s="225" t="str">
        <f>IFERROR(__xludf.DUMMYFUNCTION("""COMPUTED_VALUE"""),"Defensive")</f>
        <v>Defensive</v>
      </c>
      <c r="G224" s="226" t="str">
        <f>IFERROR(__xludf.DUMMYFUNCTION("""COMPUTED_VALUE"""),"At-Will - Reaction
Keywords - Defensive
Trigger - The user is Targeted with an Attack by an Adjacent Enemy
Effect: The Triggering Enemy becomes Slowed and loses -2 CS in Speed. If they are already Slowed, they cannot cure it during their next Save Check. ")</f>
        <v>At-Will - Reaction
Keywords - Defensive
Trigger - The user is Targeted with an Attack by an Adjacent Enemy
Effect: The Triggering Enemy becomes Slowed and loses -2 CS in Speed. If they are already Slowed, they cannot cure it during their next Save Check. </v>
      </c>
      <c r="H224" s="224"/>
      <c r="I224" s="224"/>
      <c r="J224" s="224"/>
      <c r="K224" s="224"/>
      <c r="L224" s="224"/>
      <c r="M224" s="224"/>
      <c r="N224" s="224"/>
      <c r="O224" s="224"/>
      <c r="P224" s="224"/>
      <c r="Q224" s="224"/>
      <c r="R224" s="224"/>
      <c r="S224" s="224"/>
      <c r="T224" s="224"/>
      <c r="U224" s="224"/>
      <c r="V224" s="224"/>
      <c r="W224" s="224"/>
      <c r="X224" s="224"/>
      <c r="Y224" s="224"/>
      <c r="Z224" s="224"/>
    </row>
    <row r="225">
      <c r="A225" s="225" t="str">
        <f>IFERROR(__xludf.DUMMYFUNCTION("""COMPUTED_VALUE"""),"Gore")</f>
        <v>Gore</v>
      </c>
      <c r="B225" s="225" t="str">
        <f>IFERROR(__xludf.DUMMYFUNCTION("""COMPUTED_VALUE"""),"Scene x2 - Swift Action")</f>
        <v>Scene x2 - Swift Action</v>
      </c>
      <c r="C225" s="225" t="str">
        <f>IFERROR(__xludf.DUMMYFUNCTION("""COMPUTED_VALUE"""),"Effect: The Wounded Affliction cannot be cured via Save Checks during their next Save Check, then the Target loses -2 CS in Defense. 
Bonus: The user’s Melee Attacks gain a 17+ Effect Range to cause their Targets to become Wounded.")</f>
        <v>Effect: The Wounded Affliction cannot be cured via Save Checks during their next Save Check, then the Target loses -2 CS in Defense. 
Bonus: The user’s Melee Attacks gain a 17+ Effect Range to cause their Targets to become Wounded.</v>
      </c>
      <c r="D225" s="225" t="str">
        <f>IFERROR(__xludf.DUMMYFUNCTION("""COMPUTED_VALUE"""),"The user hits an Enemy with the Wounded Affliction")</f>
        <v>The user hits an Enemy with the Wounded Affliction</v>
      </c>
      <c r="E225" s="225"/>
      <c r="F225" s="225"/>
      <c r="G225" s="226" t="str">
        <f>IFERROR(__xludf.DUMMYFUNCTION("""COMPUTED_VALUE"""),"Scene x2 - Swift Action
Trigger - The user hits an Enemy with the Wounded Affliction
Effect: The Wounded Affliction cannot be cured via Save Checks during their next Save Check, then the Target loses -2 CS in Defense. 
Bonus: The user’s Melee Attacks gain"&amp;" a 17+ Effect Range to cause their Targets to become Wounded.")</f>
        <v>Scene x2 - Swift Action
Trigger - The user hits an Enemy with the Wounded Affliction
Effect: The Wounded Affliction cannot be cured via Save Checks during their next Save Check, then the Target loses -2 CS in Defense. 
Bonus: The user’s Melee Attacks gain a 17+ Effect Range to cause their Targets to become Wounded.</v>
      </c>
      <c r="H225" s="224"/>
      <c r="I225" s="224"/>
      <c r="J225" s="224"/>
      <c r="K225" s="224"/>
      <c r="L225" s="224"/>
      <c r="M225" s="224"/>
      <c r="N225" s="224"/>
      <c r="O225" s="224"/>
      <c r="P225" s="224"/>
      <c r="Q225" s="224"/>
      <c r="R225" s="224"/>
      <c r="S225" s="224"/>
      <c r="T225" s="224"/>
      <c r="U225" s="224"/>
      <c r="V225" s="224"/>
      <c r="W225" s="224"/>
      <c r="X225" s="224"/>
      <c r="Y225" s="224"/>
      <c r="Z225" s="224"/>
    </row>
    <row r="226">
      <c r="A226" s="225" t="str">
        <f>IFERROR(__xludf.DUMMYFUNCTION("""COMPUTED_VALUE"""),"Gorilla Tactics")</f>
        <v>Gorilla Tactics</v>
      </c>
      <c r="B226" s="225" t="str">
        <f>IFERROR(__xludf.DUMMYFUNCTION("""COMPUTED_VALUE"""),"Scene - Swift Action ")</f>
        <v>Scene - Swift Action </v>
      </c>
      <c r="C226" s="225" t="str">
        <f>IFERROR(__xludf.DUMMYFUNCTION("""COMPUTED_VALUE"""),"Effect: The user becomes Enraged and Suppressed and gains +2 CS in Attack or Special Attack. 
Bonus: The user adds a 1d6 Bonus to Damage Rolls for At-Will or Melee Attacks. For each ally that is adjacent to the user, they add an additional 1d6. If the use"&amp;"r is Tier 3, these are increased to 2d6 instead. ")</f>
        <v>Effect: The user becomes Enraged and Suppressed and gains +2 CS in Attack or Special Attack. 
Bonus: The user adds a 1d6 Bonus to Damage Rolls for At-Will or Melee Attacks. For each ally that is adjacent to the user, they add an additional 1d6. If the user is Tier 3, these are increased to 2d6 instead. </v>
      </c>
      <c r="D226" s="225"/>
      <c r="E226" s="225"/>
      <c r="F226" s="225"/>
      <c r="G226" s="226" t="str">
        <f>IFERROR(__xludf.DUMMYFUNCTION("""COMPUTED_VALUE"""),"Scene - Swift Action 
Effect: The user becomes Enraged and Suppressed and gains +2 CS in Attack or Special Attack. 
Bonus: The user adds a 1d6 Bonus to Damage Rolls for At-Will or Melee Attacks. For each ally that is adjacent to the user, they add an addi"&amp;"tional 1d6. If the user is Tier 3, these are increased to 2d6 instead. ")</f>
        <v>Scene - Swift Action 
Effect: The user becomes Enraged and Suppressed and gains +2 CS in Attack or Special Attack. 
Bonus: The user adds a 1d6 Bonus to Damage Rolls for At-Will or Melee Attacks. For each ally that is adjacent to the user, they add an additional 1d6. If the user is Tier 3, these are increased to 2d6 instead. </v>
      </c>
      <c r="H226" s="224"/>
      <c r="I226" s="224"/>
      <c r="J226" s="224"/>
      <c r="K226" s="224"/>
      <c r="L226" s="224"/>
      <c r="M226" s="224"/>
      <c r="N226" s="224"/>
      <c r="O226" s="224"/>
      <c r="P226" s="224"/>
      <c r="Q226" s="224"/>
      <c r="R226" s="224"/>
      <c r="S226" s="224"/>
      <c r="T226" s="224"/>
      <c r="U226" s="224"/>
      <c r="V226" s="224"/>
      <c r="W226" s="224"/>
      <c r="X226" s="224"/>
      <c r="Y226" s="224"/>
      <c r="Z226" s="224"/>
    </row>
    <row r="227">
      <c r="A227" s="225" t="str">
        <f>IFERROR(__xludf.DUMMYFUNCTION("""COMPUTED_VALUE"""),"Grass Pelt")</f>
        <v>Grass Pelt</v>
      </c>
      <c r="B227" s="225" t="str">
        <f>IFERROR(__xludf.DUMMYFUNCTION("""COMPUTED_VALUE"""),"Scene - Reaction")</f>
        <v>Scene - Reaction</v>
      </c>
      <c r="C227" s="225" t="str">
        <f>IFERROR(__xludf.DUMMYFUNCTION("""COMPUTED_VALUE"""),"Effect: The Triggering Attack instead misses. After the Attack’s resolution, the user loses the Grass Type for the remainder of the Scene. If the user would have no Type after this, the user is treated as Normal Type. 
Bonus: While the user has the Grass "&amp;"Type or if the Weather is Sunny, the user has Damage Reduction equal to their Tier Value. ")</f>
        <v>Effect: The Triggering Attack instead misses. After the Attack’s resolution, the user loses the Grass Type for the remainder of the Scene. If the user would have no Type after this, the user is treated as Normal Type. 
Bonus: While the user has the Grass Type or if the Weather is Sunny, the user has Damage Reduction equal to their Tier Value. </v>
      </c>
      <c r="D227" s="225" t="str">
        <f>IFERROR(__xludf.DUMMYFUNCTION("""COMPUTED_VALUE"""),"The user is hit with a Super Effective Attack")</f>
        <v>The user is hit with a Super Effective Attack</v>
      </c>
      <c r="E227" s="225"/>
      <c r="F227" s="225" t="str">
        <f>IFERROR(__xludf.DUMMYFUNCTION("""COMPUTED_VALUE"""),"Defensive")</f>
        <v>Defensive</v>
      </c>
      <c r="G227" s="226" t="str">
        <f>IFERROR(__xludf.DUMMYFUNCTION("""COMPUTED_VALUE"""),"Scene - Reaction
Keywords - Defensive
Trigger - The user is hit with a Super Effective Attack
Effect: The Triggering Attack instead misses. After the Attack’s resolution, the user loses the Grass Type for the remainder of the Scene. If the user would have"&amp;" no Type after this, the user is treated as Normal Type. 
Bonus: While the user has the Grass Type or if the Weather is Sunny, the user has Damage Reduction equal to their Tier Value. ")</f>
        <v>Scene - Reaction
Keywords - Defensive
Trigger - The user is hit with a Super Effective Attack
Effect: The Triggering Attack instead misses. After the Attack’s resolution, the user loses the Grass Type for the remainder of the Scene. If the user would have no Type after this, the user is treated as Normal Type. 
Bonus: While the user has the Grass Type or if the Weather is Sunny, the user has Damage Reduction equal to their Tier Value. </v>
      </c>
      <c r="H227" s="224"/>
      <c r="I227" s="224"/>
      <c r="J227" s="224"/>
      <c r="K227" s="224"/>
      <c r="L227" s="224"/>
      <c r="M227" s="224"/>
      <c r="N227" s="224"/>
      <c r="O227" s="224"/>
      <c r="P227" s="224"/>
      <c r="Q227" s="224"/>
      <c r="R227" s="224"/>
      <c r="S227" s="224"/>
      <c r="T227" s="224"/>
      <c r="U227" s="224"/>
      <c r="V227" s="224"/>
      <c r="W227" s="224"/>
      <c r="X227" s="224"/>
      <c r="Y227" s="224"/>
      <c r="Z227" s="224"/>
    </row>
    <row r="228">
      <c r="A228" s="225" t="str">
        <f>IFERROR(__xludf.DUMMYFUNCTION("""COMPUTED_VALUE"""),"Grassy Surge")</f>
        <v>Grassy Surge</v>
      </c>
      <c r="B228" s="225" t="str">
        <f>IFERROR(__xludf.DUMMYFUNCTION("""COMPUTED_VALUE"""),"Scene - Swift Action")</f>
        <v>Scene - Swift Action</v>
      </c>
      <c r="C228" s="225" t="str">
        <f>IFERROR(__xludf.DUMMYFUNCTION("""COMPUTED_VALUE"""),"Connection - Grassy Terrain. 
Effect: You may use Grassy Terrain as a Free Action, however it only lasts until the end of the next Round
Bonus: At the end of the Round, if the Weather is Sunny, you may use a Reaction to gain +1 CS in a Stat of your choice"&amp;".")</f>
        <v>Connection - Grassy Terrain. 
Effect: You may use Grassy Terrain as a Free Action, however it only lasts until the end of the next Round
Bonus: At the end of the Round, if the Weather is Sunny, you may use a Reaction to gain +1 CS in a Stat of your choice.</v>
      </c>
      <c r="D228" s="225"/>
      <c r="E228" s="225"/>
      <c r="F228" s="225"/>
      <c r="G228" s="226" t="str">
        <f>IFERROR(__xludf.DUMMYFUNCTION("""COMPUTED_VALUE"""),"Scene - Swift Action
Connection - Grassy Terrain. 
Effect: You may use Grassy Terrain as a Free Action, however it only lasts until the end of the next Round
Bonus: At the end of the Round, if the Weather is Sunny, you may use a Reaction to gain +1 CS in "&amp;"a Stat of your choice.")</f>
        <v>Scene - Swift Action
Connection - Grassy Terrain. 
Effect: You may use Grassy Terrain as a Free Action, however it only lasts until the end of the next Round
Bonus: At the end of the Round, if the Weather is Sunny, you may use a Reaction to gain +1 CS in a Stat of your choice.</v>
      </c>
      <c r="H228" s="224"/>
      <c r="I228" s="224"/>
      <c r="J228" s="224"/>
      <c r="K228" s="224"/>
      <c r="L228" s="224"/>
      <c r="M228" s="224"/>
      <c r="N228" s="224"/>
      <c r="O228" s="224"/>
      <c r="P228" s="224"/>
      <c r="Q228" s="224"/>
      <c r="R228" s="224"/>
      <c r="S228" s="224"/>
      <c r="T228" s="224"/>
      <c r="U228" s="224"/>
      <c r="V228" s="224"/>
      <c r="W228" s="224"/>
      <c r="X228" s="224"/>
      <c r="Y228" s="224"/>
      <c r="Z228" s="224"/>
    </row>
    <row r="229">
      <c r="A229" s="225" t="str">
        <f>IFERROR(__xludf.DUMMYFUNCTION("""COMPUTED_VALUE"""),"Guard Dog")</f>
        <v>Guard Dog</v>
      </c>
      <c r="B229" s="225" t="str">
        <f>IFERROR(__xludf.DUMMYFUNCTION("""COMPUTED_VALUE"""),"At-Will - Free Action")</f>
        <v>At-Will - Free Action</v>
      </c>
      <c r="C229" s="225" t="str">
        <f>IFERROR(__xludf.DUMMYFUNCTION("""COMPUTED_VALUE"""),"Effect: The Target becomes your Escort. You may only have one Escort at a time.
Bonus: While you are adjacent to your Escort, they cannot be Targeted by Ranged 1 Target Attacks. While Adjacent, if they were to be Targeted by any Attack, you may use a Reac"&amp;"tion to become the Target instead, then you and the Escort slide into each other's spaces. Whenever your Escort moves, you may Slide into a space that is adjacent to them. 
")</f>
        <v>Effect: The Target becomes your Escort. You may only have one Escort at a time.
Bonus: While you are adjacent to your Escort, they cannot be Targeted by Ranged 1 Target Attacks. While Adjacent, if they were to be Targeted by any Attack, you may use a Reaction to become the Target instead, then you and the Escort slide into each other's spaces. Whenever your Escort moves, you may Slide into a space that is adjacent to them. 
</v>
      </c>
      <c r="D229" s="225"/>
      <c r="E229" s="225" t="str">
        <f>IFERROR(__xludf.DUMMYFUNCTION("""COMPUTED_VALUE"""),"An Ally within 5m")</f>
        <v>An Ally within 5m</v>
      </c>
      <c r="F229" s="225" t="str">
        <f>IFERROR(__xludf.DUMMYFUNCTION("""COMPUTED_VALUE"""),"Defensive")</f>
        <v>Defensive</v>
      </c>
      <c r="G229" s="226" t="str">
        <f>IFERROR(__xludf.DUMMYFUNCTION("""COMPUTED_VALUE"""),"At-Will - Free Action
Keywords - Defensive
Target - An Ally within 5m
Effect: The Target becomes your Escort. You may only have one Escort at a time.
Bonus: While you are adjacent to your Escort, they cannot be Targeted by Ranged 1 Target Attacks. While A"&amp;"djacent, if they were to be Targeted by any Attack, you may use a Reaction to become the Target instead, then you and the Escort slide into each other's spaces. Whenever your Escort moves, you may Slide into a space that is adjacent to them. 
")</f>
        <v>At-Will - Free Action
Keywords - Defensive
Target - An Ally within 5m
Effect: The Target becomes your Escort. You may only have one Escort at a time.
Bonus: While you are adjacent to your Escort, they cannot be Targeted by Ranged 1 Target Attacks. While Adjacent, if they were to be Targeted by any Attack, you may use a Reaction to become the Target instead, then you and the Escort slide into each other's spaces. Whenever your Escort moves, you may Slide into a space that is adjacent to them. 
</v>
      </c>
      <c r="H229" s="224"/>
      <c r="I229" s="224"/>
      <c r="J229" s="224"/>
      <c r="K229" s="224"/>
      <c r="L229" s="224"/>
      <c r="M229" s="224"/>
      <c r="N229" s="224"/>
      <c r="O229" s="224"/>
      <c r="P229" s="224"/>
      <c r="Q229" s="224"/>
      <c r="R229" s="224"/>
      <c r="S229" s="224"/>
      <c r="T229" s="224"/>
      <c r="U229" s="224"/>
      <c r="V229" s="224"/>
      <c r="W229" s="224"/>
      <c r="X229" s="224"/>
      <c r="Y229" s="224"/>
      <c r="Z229" s="224"/>
    </row>
    <row r="230">
      <c r="A230" s="225" t="str">
        <f>IFERROR(__xludf.DUMMYFUNCTION("""COMPUTED_VALUE"""),"Guts")</f>
        <v>Guts</v>
      </c>
      <c r="B230" s="225" t="str">
        <f>IFERROR(__xludf.DUMMYFUNCTION("""COMPUTED_VALUE"""),"At-Will - Reaction")</f>
        <v>At-Will - Reaction</v>
      </c>
      <c r="C230" s="225" t="str">
        <f>IFERROR(__xludf.DUMMYFUNCTION("""COMPUTED_VALUE"""),"Effect: After the Trigger resolves, the user gains +1 CS in Attack or Defense.
Bonus: While the user has a Physical Affliction, they. have a bonus to Damage Rolls equal to their Tier Value.")</f>
        <v>Effect: After the Trigger resolves, the user gains +1 CS in Attack or Defense.
Bonus: While the user has a Physical Affliction, they. have a bonus to Damage Rolls equal to their Tier Value.</v>
      </c>
      <c r="D230" s="225" t="str">
        <f>IFERROR(__xludf.DUMMYFUNCTION("""COMPUTED_VALUE"""),"The user is hit by an Attack or gains a Physical Affliction")</f>
        <v>The user is hit by an Attack or gains a Physical Affliction</v>
      </c>
      <c r="E230" s="225"/>
      <c r="F230" s="225"/>
      <c r="G230" s="226" t="str">
        <f>IFERROR(__xludf.DUMMYFUNCTION("""COMPUTED_VALUE"""),"At-Will - Reaction
Trigger - The user is hit by an Attack or gains a Physical Affliction
Effect: After the Trigger resolves, the user gains +1 CS in Attack or Defense.
Bonus: While the user has a Physical Affliction, they. have a bonus to Damage Rolls equ"&amp;"al to their Tier Value.")</f>
        <v>At-Will - Reaction
Trigger - The user is hit by an Attack or gains a Physical Affliction
Effect: After the Trigger resolves, the user gains +1 CS in Attack or Defense.
Bonus: While the user has a Physical Affliction, they. have a bonus to Damage Rolls equal to their Tier Value.</v>
      </c>
      <c r="H230" s="224"/>
      <c r="I230" s="224"/>
      <c r="J230" s="224"/>
      <c r="K230" s="224"/>
      <c r="L230" s="224"/>
      <c r="M230" s="224"/>
      <c r="N230" s="224"/>
      <c r="O230" s="224"/>
      <c r="P230" s="224"/>
      <c r="Q230" s="224"/>
      <c r="R230" s="224"/>
      <c r="S230" s="224"/>
      <c r="T230" s="224"/>
      <c r="U230" s="224"/>
      <c r="V230" s="224"/>
      <c r="W230" s="224"/>
      <c r="X230" s="224"/>
      <c r="Y230" s="224"/>
      <c r="Z230" s="224"/>
    </row>
    <row r="231">
      <c r="A231" s="225" t="str">
        <f>IFERROR(__xludf.DUMMYFUNCTION("""COMPUTED_VALUE"""),"Haunting Spirit")</f>
        <v>Haunting Spirit</v>
      </c>
      <c r="B231" s="225" t="str">
        <f>IFERROR(__xludf.DUMMYFUNCTION("""COMPUTED_VALUE"""),"Scene - Free Action")</f>
        <v>Scene - Free Action</v>
      </c>
      <c r="C231" s="225" t="str">
        <f>IFERROR(__xludf.DUMMYFUNCTION("""COMPUTED_VALUE"""),"Effect: The Triggering Enemy becomes Cursed.   
Bonus: Enemies that are Cursed as a result of you gain the Haunted Condition while Cursed. Allies of an Haunted Enemy are treated as having the Cursed Affliction while they're within 2m of them.")</f>
        <v>Effect: The Triggering Enemy becomes Cursed.   
Bonus: Enemies that are Cursed as a result of you gain the Haunted Condition while Cursed. Allies of an Haunted Enemy are treated as having the Cursed Affliction while they're within 2m of them.</v>
      </c>
      <c r="D231" s="225" t="str">
        <f>IFERROR(__xludf.DUMMYFUNCTION("""COMPUTED_VALUE"""),"The user would Faint from a Damaging Attack")</f>
        <v>The user would Faint from a Damaging Attack</v>
      </c>
      <c r="E231" s="225"/>
      <c r="F231" s="225"/>
      <c r="G231" s="226" t="str">
        <f>IFERROR(__xludf.DUMMYFUNCTION("""COMPUTED_VALUE"""),"Scene - Free Action
Trigger - The user would Faint from a Damaging Attack
Effect: The Triggering Enemy becomes Cursed.   
Bonus: Enemies that are Cursed as a result of you gain the Haunted Condition while Cursed. Allies of an Haunted Enemy are treated as "&amp;"having the Cursed Affliction while they're within 2m of them.")</f>
        <v>Scene - Free Action
Trigger - The user would Faint from a Damaging Attack
Effect: The Triggering Enemy becomes Cursed.   
Bonus: Enemies that are Cursed as a result of you gain the Haunted Condition while Cursed. Allies of an Haunted Enemy are treated as having the Cursed Affliction while they're within 2m of them.</v>
      </c>
      <c r="H231" s="224"/>
      <c r="I231" s="224"/>
      <c r="J231" s="224"/>
      <c r="K231" s="224"/>
      <c r="L231" s="224"/>
      <c r="M231" s="224"/>
      <c r="N231" s="224"/>
      <c r="O231" s="224"/>
      <c r="P231" s="224"/>
      <c r="Q231" s="224"/>
      <c r="R231" s="224"/>
      <c r="S231" s="224"/>
      <c r="T231" s="224"/>
      <c r="U231" s="224"/>
      <c r="V231" s="224"/>
      <c r="W231" s="224"/>
      <c r="X231" s="224"/>
      <c r="Y231" s="224"/>
      <c r="Z231" s="224"/>
    </row>
    <row r="232">
      <c r="A232" s="225" t="str">
        <f>IFERROR(__xludf.DUMMYFUNCTION("""COMPUTED_VALUE"""),"Hay Fever")</f>
        <v>Hay Fever</v>
      </c>
      <c r="B232" s="225" t="str">
        <f>IFERROR(__xludf.DUMMYFUNCTION("""COMPUTED_VALUE"""),"At-Will - Swift Action")</f>
        <v>At-Will - Swift Action</v>
      </c>
      <c r="C232" s="225" t="str">
        <f>IFERROR(__xludf.DUMMYFUNCTION("""COMPUTED_VALUE"""),"Effect: All Enemies within 2m lose a Tick of Hit Points for each Physical Affliction they're affected by.
Bonus: All Enemies without the Breathless Capability that end their Turn within 2m of the user lose a Tick of Hit Points and have a penalty to Save C"&amp;"hecks equal to your Tier Level until the end of their Turn. ")</f>
        <v>Effect: All Enemies within 2m lose a Tick of Hit Points for each Physical Affliction they're affected by.
Bonus: All Enemies without the Breathless Capability that end their Turn within 2m of the user lose a Tick of Hit Points and have a penalty to Save Checks equal to your Tier Level until the end of their Turn. </v>
      </c>
      <c r="D232" s="225" t="str">
        <f>IFERROR(__xludf.DUMMYFUNCTION("""COMPUTED_VALUE"""),"The user uses a Bug, Grass or Poison Type Attack")</f>
        <v>The user uses a Bug, Grass or Poison Type Attack</v>
      </c>
      <c r="E232" s="225"/>
      <c r="F232" s="225"/>
      <c r="G232" s="226" t="str">
        <f>IFERROR(__xludf.DUMMYFUNCTION("""COMPUTED_VALUE"""),"At-Will - Swift Action
Trigger - The user uses a Bug, Grass or Poison Type Attack
Effect: All Enemies within 2m lose a Tick of Hit Points for each Physical Affliction they're affected by.
Bonus: All Enemies without the Breathless Capability that end their"&amp;" Turn within 2m of the user lose a Tick of Hit Points and have a penalty to Save Checks equal to your Tier Level until the end of their Turn. ")</f>
        <v>At-Will - Swift Action
Trigger - The user uses a Bug, Grass or Poison Type Attack
Effect: All Enemies within 2m lose a Tick of Hit Points for each Physical Affliction they're affected by.
Bonus: All Enemies without the Breathless Capability that end their Turn within 2m of the user lose a Tick of Hit Points and have a penalty to Save Checks equal to your Tier Level until the end of their Turn. </v>
      </c>
      <c r="H232" s="224"/>
      <c r="I232" s="224"/>
      <c r="J232" s="224"/>
      <c r="K232" s="224"/>
      <c r="L232" s="224"/>
      <c r="M232" s="224"/>
      <c r="N232" s="224"/>
      <c r="O232" s="224"/>
      <c r="P232" s="224"/>
      <c r="Q232" s="224"/>
      <c r="R232" s="224"/>
      <c r="S232" s="224"/>
      <c r="T232" s="224"/>
      <c r="U232" s="224"/>
      <c r="V232" s="224"/>
      <c r="W232" s="224"/>
      <c r="X232" s="224"/>
      <c r="Y232" s="224"/>
      <c r="Z232" s="224"/>
    </row>
    <row r="233">
      <c r="A233" s="225" t="str">
        <f>IFERROR(__xludf.DUMMYFUNCTION("""COMPUTED_VALUE"""),"Healer")</f>
        <v>Healer</v>
      </c>
      <c r="B233" s="225" t="str">
        <f>IFERROR(__xludf.DUMMYFUNCTION("""COMPUTED_VALUE"""),"At-Will - Full Action")</f>
        <v>At-Will - Full Action</v>
      </c>
      <c r="C233" s="225" t="str">
        <f>IFERROR(__xludf.DUMMYFUNCTION("""COMPUTED_VALUE"""),"Effect: Choose one Effect to apply to the Target. A Combatant can only be affected by each Effect of Healer once per Scene. The Target is cured of all Status Afflictions. The Target restores 5 Ticks of Hit Points. The Target may use the Respite Maneuver a"&amp;"s a Free Action on their next Turn, ignoring its restrictions. ")</f>
        <v>Effect: Choose one Effect to apply to the Target. A Combatant can only be affected by each Effect of Healer once per Scene. The Target is cured of all Status Afflictions. The Target restores 5 Ticks of Hit Points. The Target may use the Respite Maneuver as a Free Action on their next Turn, ignoring its restrictions. </v>
      </c>
      <c r="D233" s="225"/>
      <c r="E233" s="225" t="str">
        <f>IFERROR(__xludf.DUMMYFUNCTION("""COMPUTED_VALUE"""),"An Adjacent Ally")</f>
        <v>An Adjacent Ally</v>
      </c>
      <c r="F233" s="225"/>
      <c r="G233" s="226" t="str">
        <f>IFERROR(__xludf.DUMMYFUNCTION("""COMPUTED_VALUE"""),"At-Will - Full Action
Target - An Adjacent Ally
Effect: Choose one Effect to apply to the Target. A Combatant can only be affected by each Effect of Healer once per Scene. The Target is cured of all Status Afflictions. The Target restores 5 Ticks of Hit P"&amp;"oints. The Target may use the Respite Maneuver as a Free Action on their next Turn, ignoring its restrictions. ")</f>
        <v>At-Will - Full Action
Target - An Adjacent Ally
Effect: Choose one Effect to apply to the Target. A Combatant can only be affected by each Effect of Healer once per Scene. The Target is cured of all Status Afflictions. The Target restores 5 Ticks of Hit Points. The Target may use the Respite Maneuver as a Free Action on their next Turn, ignoring its restrictions. </v>
      </c>
      <c r="H233" s="224"/>
      <c r="I233" s="224"/>
      <c r="J233" s="224"/>
      <c r="K233" s="224"/>
      <c r="L233" s="224"/>
      <c r="M233" s="224"/>
      <c r="N233" s="224"/>
      <c r="O233" s="224"/>
      <c r="P233" s="224"/>
      <c r="Q233" s="224"/>
      <c r="R233" s="224"/>
      <c r="S233" s="224"/>
      <c r="T233" s="224"/>
      <c r="U233" s="224"/>
      <c r="V233" s="224"/>
      <c r="W233" s="224"/>
      <c r="X233" s="224"/>
      <c r="Y233" s="224"/>
      <c r="Z233" s="224"/>
    </row>
    <row r="234">
      <c r="A234" s="225" t="str">
        <f>IFERROR(__xludf.DUMMYFUNCTION("""COMPUTED_VALUE"""),"Healing Aroma")</f>
        <v>Healing Aroma</v>
      </c>
      <c r="B234" s="225" t="str">
        <f>IFERROR(__xludf.DUMMYFUNCTION("""COMPUTED_VALUE"""),"Scene - Standard Action")</f>
        <v>Scene - Standard Action</v>
      </c>
      <c r="C234" s="225" t="str">
        <f>IFERROR(__xludf.DUMMYFUNCTION("""COMPUTED_VALUE"""),"Effect: The Target is revived and is set to 3 Ticks of Hit Points
Bonus: Allies that end their Turn adjacent to the user restore a Tick of Hit Points.")</f>
        <v>Effect: The Target is revived and is set to 3 Ticks of Hit Points
Bonus: Allies that end their Turn adjacent to the user restore a Tick of Hit Points.</v>
      </c>
      <c r="D234" s="225"/>
      <c r="E234" s="225" t="str">
        <f>IFERROR(__xludf.DUMMYFUNCTION("""COMPUTED_VALUE"""),"An Adjacent Fainted Ally")</f>
        <v>An Adjacent Fainted Ally</v>
      </c>
      <c r="F234" s="225"/>
      <c r="G234" s="226" t="str">
        <f>IFERROR(__xludf.DUMMYFUNCTION("""COMPUTED_VALUE"""),"Scene - Standard Action
Target - An Adjacent Fainted Ally
Effect: The Target is revived and is set to 3 Ticks of Hit Points
Bonus: Allies that end their Turn adjacent to the user restore a Tick of Hit Points.")</f>
        <v>Scene - Standard Action
Target - An Adjacent Fainted Ally
Effect: The Target is revived and is set to 3 Ticks of Hit Points
Bonus: Allies that end their Turn adjacent to the user restore a Tick of Hit Points.</v>
      </c>
      <c r="H234" s="224"/>
      <c r="I234" s="224"/>
      <c r="J234" s="224"/>
      <c r="K234" s="224"/>
      <c r="L234" s="224"/>
      <c r="M234" s="224"/>
      <c r="N234" s="224"/>
      <c r="O234" s="224"/>
      <c r="P234" s="224"/>
      <c r="Q234" s="224"/>
      <c r="R234" s="224"/>
      <c r="S234" s="224"/>
      <c r="T234" s="224"/>
      <c r="U234" s="224"/>
      <c r="V234" s="224"/>
      <c r="W234" s="224"/>
      <c r="X234" s="224"/>
      <c r="Y234" s="224"/>
      <c r="Z234" s="224"/>
    </row>
    <row r="235">
      <c r="A235" s="225" t="str">
        <f>IFERROR(__xludf.DUMMYFUNCTION("""COMPUTED_VALUE"""),"Heat Mirage")</f>
        <v>Heat Mirage</v>
      </c>
      <c r="B235" s="225" t="str">
        <f>IFERROR(__xludf.DUMMYFUNCTION("""COMPUTED_VALUE"""),"At-Will- Swift Action")</f>
        <v>At-Will- Swift Action</v>
      </c>
      <c r="C235" s="225" t="str">
        <f>IFERROR(__xludf.DUMMYFUNCTION("""COMPUTED_VALUE"""),"Connection - Double Team
Effect: The user gains one activation of a Double Team Coat, as if they used the Attack with the Versatile Keyword. If the Triggering Attack was Status Category, instead gain two activations.
Bonus: While the Weather is Sunny, the"&amp;" user has a bonus to Evasion equal to their Tier Level. ")</f>
        <v>Connection - Double Team
Effect: The user gains one activation of a Double Team Coat, as if they used the Attack with the Versatile Keyword. If the Triggering Attack was Status Category, instead gain two activations.
Bonus: While the Weather is Sunny, the user has a bonus to Evasion equal to their Tier Level. </v>
      </c>
      <c r="D235" s="225" t="str">
        <f>IFERROR(__xludf.DUMMYFUNCTION("""COMPUTED_VALUE"""),"The user uses a Fire Type Attack")</f>
        <v>The user uses a Fire Type Attack</v>
      </c>
      <c r="E235" s="225"/>
      <c r="F235" s="225" t="str">
        <f>IFERROR(__xludf.DUMMYFUNCTION("""COMPUTED_VALUE"""),"Defensive")</f>
        <v>Defensive</v>
      </c>
      <c r="G235" s="226" t="str">
        <f>IFERROR(__xludf.DUMMYFUNCTION("""COMPUTED_VALUE"""),"At-Will- Swift Action
Keywords - Defensive
Trigger - The user uses a Fire Type Attack
Connection - Double Team
Effect: The user gains one activation of a Double Team Coat, as if they used the Attack with the Versatile Keyword. If the Triggering Attack was"&amp;" Status Category, instead gain two activations.
Bonus: While the Weather is Sunny, the user has a bonus to Evasion equal to their Tier Level. ")</f>
        <v>At-Will- Swift Action
Keywords - Defensive
Trigger - The user uses a Fire Type Attack
Connection - Double Team
Effect: The user gains one activation of a Double Team Coat, as if they used the Attack with the Versatile Keyword. If the Triggering Attack was Status Category, instead gain two activations.
Bonus: While the Weather is Sunny, the user has a bonus to Evasion equal to their Tier Level. </v>
      </c>
      <c r="H235" s="224"/>
      <c r="I235" s="224"/>
      <c r="J235" s="224"/>
      <c r="K235" s="224"/>
      <c r="L235" s="224"/>
      <c r="M235" s="224"/>
      <c r="N235" s="224"/>
      <c r="O235" s="224"/>
      <c r="P235" s="224"/>
      <c r="Q235" s="224"/>
      <c r="R235" s="224"/>
      <c r="S235" s="224"/>
      <c r="T235" s="224"/>
      <c r="U235" s="224"/>
      <c r="V235" s="224"/>
      <c r="W235" s="224"/>
      <c r="X235" s="224"/>
      <c r="Y235" s="224"/>
      <c r="Z235" s="224"/>
    </row>
    <row r="236">
      <c r="A236" s="225" t="str">
        <f>IFERROR(__xludf.DUMMYFUNCTION("""COMPUTED_VALUE"""),"Heliovolt")</f>
        <v>Heliovolt</v>
      </c>
      <c r="B236" s="225" t="str">
        <f>IFERROR(__xludf.DUMMYFUNCTION("""COMPUTED_VALUE"""),"At-Will - Free Action")</f>
        <v>At-Will - Free Action</v>
      </c>
      <c r="C236" s="225" t="str">
        <f>IFERROR(__xludf.DUMMYFUNCTION("""COMPUTED_VALUE"""),"Effect: If the Trigger was hitting an Attack, its Effect is replaced with, “The user gains +1 CS in Attack or Special Attack”. If the Trigger was being hit by an Electric Attack, the user takes no Damage and instead gains +1 CS in Attack or Special Attack"&amp;". If the Trigger was Weather, the user gains +1 CS in Attack or Special Attack. Heliovolt can only be Triggered twice per Round. ")</f>
        <v>Effect: If the Trigger was hitting an Attack, its Effect is replaced with, “The user gains +1 CS in Attack or Special Attack”. If the Trigger was being hit by an Electric Attack, the user takes no Damage and instead gains +1 CS in Attack or Special Attack. If the Trigger was Weather, the user gains +1 CS in Attack or Special Attack. Heliovolt can only be Triggered twice per Round. </v>
      </c>
      <c r="D236" s="225" t="str">
        <f>IFERROR(__xludf.DUMMYFUNCTION("""COMPUTED_VALUE"""),"The user hits a Damaging Electric Attack, is hit by an Electric Attack or ends their Turn in Sunny Weather")</f>
        <v>The user hits a Damaging Electric Attack, is hit by an Electric Attack or ends their Turn in Sunny Weather</v>
      </c>
      <c r="E236" s="225"/>
      <c r="F236" s="225" t="str">
        <f>IFERROR(__xludf.DUMMYFUNCTION("""COMPUTED_VALUE"""),"Defensive")</f>
        <v>Defensive</v>
      </c>
      <c r="G236" s="226" t="str">
        <f>IFERROR(__xludf.DUMMYFUNCTION("""COMPUTED_VALUE"""),"At-Will - Free Action
Keywords - Defensive
Trigger - The user hits a Damaging Electric Attack, is hit by an Electric Attack or ends their Turn in Sunny Weather
Effect: If the Trigger was hitting an Attack, its Effect is replaced with, “The user gains +1 C"&amp;"S in Attack or Special Attack”. If the Trigger was being hit by an Electric Attack, the user takes no Damage and instead gains +1 CS in Attack or Special Attack. If the Trigger was Weather, the user gains +1 CS in Attack or Special Attack. Heliovolt can o"&amp;"nly be Triggered twice per Round. ")</f>
        <v>At-Will - Free Action
Keywords - Defensive
Trigger - The user hits a Damaging Electric Attack, is hit by an Electric Attack or ends their Turn in Sunny Weather
Effect: If the Trigger was hitting an Attack, its Effect is replaced with, “The user gains +1 CS in Attack or Special Attack”. If the Trigger was being hit by an Electric Attack, the user takes no Damage and instead gains +1 CS in Attack or Special Attack. If the Trigger was Weather, the user gains +1 CS in Attack or Special Attack. Heliovolt can only be Triggered twice per Round. </v>
      </c>
      <c r="H236" s="224"/>
      <c r="I236" s="224"/>
      <c r="J236" s="224"/>
      <c r="K236" s="224"/>
      <c r="L236" s="224"/>
      <c r="M236" s="224"/>
      <c r="N236" s="224"/>
      <c r="O236" s="224"/>
      <c r="P236" s="224"/>
      <c r="Q236" s="224"/>
      <c r="R236" s="224"/>
      <c r="S236" s="224"/>
      <c r="T236" s="224"/>
      <c r="U236" s="224"/>
      <c r="V236" s="224"/>
      <c r="W236" s="224"/>
      <c r="X236" s="224"/>
      <c r="Y236" s="224"/>
      <c r="Z236" s="224"/>
    </row>
    <row r="237">
      <c r="A237" s="225" t="str">
        <f>IFERROR(__xludf.DUMMYFUNCTION("""COMPUTED_VALUE"""),"Helper")</f>
        <v>Helper</v>
      </c>
      <c r="B237" s="225" t="str">
        <f>IFERROR(__xludf.DUMMYFUNCTION("""COMPUTED_VALUE"""),"At-Will - Free Action")</f>
        <v>At-Will - Free Action</v>
      </c>
      <c r="C237" s="225" t="str">
        <f>IFERROR(__xludf.DUMMYFUNCTION("""COMPUTED_VALUE"""),"Connection - Helping Hand. 
Effect: The Targeted Ally gains an Uncapped bonus to Accuracy, Evasion or Save Checks of your choice equal to your Tier Level until the end of their next Turn. ")</f>
        <v>Connection - Helping Hand. 
Effect: The Targeted Ally gains an Uncapped bonus to Accuracy, Evasion or Save Checks of your choice equal to your Tier Level until the end of their next Turn. </v>
      </c>
      <c r="D237" s="225" t="str">
        <f>IFERROR(__xludf.DUMMYFUNCTION("""COMPUTED_VALUE"""),"The user chooses a single Allly as a Target for an Effect")</f>
        <v>The user chooses a single Allly as a Target for an Effect</v>
      </c>
      <c r="E237" s="225"/>
      <c r="F237" s="225"/>
      <c r="G237" s="226" t="str">
        <f>IFERROR(__xludf.DUMMYFUNCTION("""COMPUTED_VALUE"""),"At-Will - Free Action
Trigger - The user chooses a single Allly as a Target for an Effect
Connection - Helping Hand. 
Effect: The Targeted Ally gains an Uncapped bonus to Accuracy, Evasion or Save Checks of your choice equal to your Tier Level until the e"&amp;"nd of their next Turn. ")</f>
        <v>At-Will - Free Action
Trigger - The user chooses a single Allly as a Target for an Effect
Connection - Helping Hand. 
Effect: The Targeted Ally gains an Uncapped bonus to Accuracy, Evasion or Save Checks of your choice equal to your Tier Level until the end of their next Turn. </v>
      </c>
      <c r="H237" s="224"/>
      <c r="I237" s="224"/>
      <c r="J237" s="224"/>
      <c r="K237" s="224"/>
      <c r="L237" s="224"/>
      <c r="M237" s="224"/>
      <c r="N237" s="224"/>
      <c r="O237" s="224"/>
      <c r="P237" s="224"/>
      <c r="Q237" s="224"/>
      <c r="R237" s="224"/>
      <c r="S237" s="224"/>
      <c r="T237" s="224"/>
      <c r="U237" s="224"/>
      <c r="V237" s="224"/>
      <c r="W237" s="224"/>
      <c r="X237" s="224"/>
      <c r="Y237" s="224"/>
      <c r="Z237" s="224"/>
    </row>
    <row r="238">
      <c r="A238" s="225" t="str">
        <f>IFERROR(__xludf.DUMMYFUNCTION("""COMPUTED_VALUE"""),"High Voltage")</f>
        <v>High Voltage</v>
      </c>
      <c r="B238" s="225" t="str">
        <f>IFERROR(__xludf.DUMMYFUNCTION("""COMPUTED_VALUE"""),"Static")</f>
        <v>Static</v>
      </c>
      <c r="C238" s="225" t="str">
        <f>IFERROR(__xludf.DUMMYFUNCTION("""COMPUTED_VALUE"""),"Effect: All of the user's Attacks with the Sonic Keyword gain an Effect Range of 15+ whose Effect differs based on the user's Form. If the user is in Amped Form, they gain +1 CS in a chosen Stat. If the user is in Low Key Form, all Targets of the used Att"&amp;"ack lose -2 CS in a chosen Stat.  ")</f>
        <v>Effect: All of the user's Attacks with the Sonic Keyword gain an Effect Range of 15+ whose Effect differs based on the user's Form. If the user is in Amped Form, they gain +1 CS in a chosen Stat. If the user is in Low Key Form, all Targets of the used Attack lose -2 CS in a chosen Stat.  </v>
      </c>
      <c r="D238" s="225"/>
      <c r="E238" s="225"/>
      <c r="F238" s="225"/>
      <c r="G238" s="226" t="str">
        <f>IFERROR(__xludf.DUMMYFUNCTION("""COMPUTED_VALUE"""),"Static
Effect: All of the user's Attacks with the Sonic Keyword gain an Effect Range of 15+ whose Effect differs based on the user's Form. If the user is in Amped Form, they gain +1 CS in a chosen Stat. If the user is in Low Key Form, all Targets of the u"&amp;"sed Attack lose -2 CS in a chosen Stat.  ")</f>
        <v>Static
Effect: All of the user's Attacks with the Sonic Keyword gain an Effect Range of 15+ whose Effect differs based on the user's Form. If the user is in Amped Form, they gain +1 CS in a chosen Stat. If the user is in Low Key Form, all Targets of the used Attack lose -2 CS in a chosen Stat.  </v>
      </c>
      <c r="H238" s="224"/>
      <c r="I238" s="224"/>
      <c r="J238" s="224"/>
      <c r="K238" s="224"/>
      <c r="L238" s="224"/>
      <c r="M238" s="224"/>
      <c r="N238" s="224"/>
      <c r="O238" s="224"/>
      <c r="P238" s="224"/>
      <c r="Q238" s="224"/>
      <c r="R238" s="224"/>
      <c r="S238" s="224"/>
      <c r="T238" s="224"/>
      <c r="U238" s="224"/>
      <c r="V238" s="224"/>
      <c r="W238" s="224"/>
      <c r="X238" s="224"/>
      <c r="Y238" s="224"/>
      <c r="Z238" s="224"/>
    </row>
    <row r="239">
      <c r="A239" s="225" t="str">
        <f>IFERROR(__xludf.DUMMYFUNCTION("""COMPUTED_VALUE"""),"Huge Power")</f>
        <v>Huge Power</v>
      </c>
      <c r="B239" s="225" t="str">
        <f>IFERROR(__xludf.DUMMYFUNCTION("""COMPUTED_VALUE"""),"Static")</f>
        <v>Static</v>
      </c>
      <c r="C239" s="225" t="str">
        <f>IFERROR(__xludf.DUMMYFUNCTION("""COMPUTED_VALUE"""),"Effect: The user adds +5 Points to their Attack Stat in the Extras Column. This effect repeats whenever the user reaches Level 20 and every interval after that (20, 40, etc) . If the user is a Trainer, the Level Intervals are Level 4, 8, 12, 16 and 20. Th"&amp;"e user may use Special Category Attacks as if they were Physical. If they do, their Range is changed to Melee, 1 Target. ")</f>
        <v>Effect: The user adds +5 Points to their Attack Stat in the Extras Column. This effect repeats whenever the user reaches Level 20 and every interval after that (20, 40, etc) . If the user is a Trainer, the Level Intervals are Level 4, 8, 12, 16 and 20. The user may use Special Category Attacks as if they were Physical. If they do, their Range is changed to Melee, 1 Target. </v>
      </c>
      <c r="D239" s="225"/>
      <c r="E239" s="225"/>
      <c r="F239" s="225" t="str">
        <f>IFERROR(__xludf.DUMMYFUNCTION("""COMPUTED_VALUE"""),"Innate")</f>
        <v>Innate</v>
      </c>
      <c r="G239" s="226" t="str">
        <f>IFERROR(__xludf.DUMMYFUNCTION("""COMPUTED_VALUE"""),"Static
Keywords - Innate
Effect: The user adds +5 Points to their Attack Stat in the Extras Column. This effect repeats whenever the user reaches Level 20 and every interval after that (20, 40, etc) . If the user is a Trainer, the Level Intervals are Leve"&amp;"l 4, 8, 12, 16 and 20. The user may use Special Category Attacks as if they were Physical. If they do, their Range is changed to Melee, 1 Target. ")</f>
        <v>Static
Keywords - Innate
Effect: The user adds +5 Points to their Attack Stat in the Extras Column. This effect repeats whenever the user reaches Level 20 and every interval after that (20, 40, etc) . If the user is a Trainer, the Level Intervals are Level 4, 8, 12, 16 and 20. The user may use Special Category Attacks as if they were Physical. If they do, their Range is changed to Melee, 1 Target. </v>
      </c>
      <c r="H239" s="224"/>
      <c r="I239" s="224"/>
      <c r="J239" s="224"/>
      <c r="K239" s="224"/>
      <c r="L239" s="224"/>
      <c r="M239" s="224"/>
      <c r="N239" s="224"/>
      <c r="O239" s="224"/>
      <c r="P239" s="224"/>
      <c r="Q239" s="224"/>
      <c r="R239" s="224"/>
      <c r="S239" s="224"/>
      <c r="T239" s="224"/>
      <c r="U239" s="224"/>
      <c r="V239" s="224"/>
      <c r="W239" s="224"/>
      <c r="X239" s="224"/>
      <c r="Y239" s="224"/>
      <c r="Z239" s="224"/>
    </row>
    <row r="240">
      <c r="A240" s="225" t="str">
        <f>IFERROR(__xludf.DUMMYFUNCTION("""COMPUTED_VALUE"""),"Hunger Switch")</f>
        <v>Hunger Switch</v>
      </c>
      <c r="B240" s="225" t="str">
        <f>IFERROR(__xludf.DUMMYFUNCTION("""COMPUTED_VALUE"""),"At-Will - Swift Action")</f>
        <v>At-Will - Swift Action</v>
      </c>
      <c r="C240" s="225" t="str">
        <f>IFERROR(__xludf.DUMMYFUNCTION("""COMPUTED_VALUE"""),"Effect: Choose Full Belly Mode or Hangry Mode. The user enters this Mode until the end of the Scene or if this Ability is used again. Hunger Switch can only be used at the start of the user's Turn.
Bonus: While in Full Belly Mode, The user gains two Ticks"&amp;" of Temporary Hit Points at the end of their Turn. While in Hangry Mode, they become Enraged and have a bonus to Critical Hit Ranges equal to your Tier Level. ")</f>
        <v>Effect: Choose Full Belly Mode or Hangry Mode. The user enters this Mode until the end of the Scene or if this Ability is used again. Hunger Switch can only be used at the start of the user's Turn.
Bonus: While in Full Belly Mode, The user gains two Ticks of Temporary Hit Points at the end of their Turn. While in Hangry Mode, they become Enraged and have a bonus to Critical Hit Ranges equal to your Tier Level. </v>
      </c>
      <c r="D240" s="225"/>
      <c r="E240" s="225"/>
      <c r="F240" s="225"/>
      <c r="G240" s="226" t="str">
        <f>IFERROR(__xludf.DUMMYFUNCTION("""COMPUTED_VALUE"""),"At-Will - Swift Action
Effect: Choose Full Belly Mode or Hangry Mode. The user enters this Mode until the end of the Scene or if this Ability is used again. Hunger Switch can only be used at the start of the user's Turn.
Bonus: While in Full Belly Mode, T"&amp;"he user gains two Ticks of Temporary Hit Points at the end of their Turn. While in Hangry Mode, they become Enraged and have a bonus to Critical Hit Ranges equal to your Tier Level. ")</f>
        <v>At-Will - Swift Action
Effect: Choose Full Belly Mode or Hangry Mode. The user enters this Mode until the end of the Scene or if this Ability is used again. Hunger Switch can only be used at the start of the user's Turn.
Bonus: While in Full Belly Mode, The user gains two Ticks of Temporary Hit Points at the end of their Turn. While in Hangry Mode, they become Enraged and have a bonus to Critical Hit Ranges equal to your Tier Level. </v>
      </c>
      <c r="H240" s="224"/>
      <c r="I240" s="224"/>
      <c r="J240" s="224"/>
      <c r="K240" s="224"/>
      <c r="L240" s="224"/>
      <c r="M240" s="224"/>
      <c r="N240" s="224"/>
      <c r="O240" s="224"/>
      <c r="P240" s="224"/>
      <c r="Q240" s="224"/>
      <c r="R240" s="224"/>
      <c r="S240" s="224"/>
      <c r="T240" s="224"/>
      <c r="U240" s="224"/>
      <c r="V240" s="224"/>
      <c r="W240" s="224"/>
      <c r="X240" s="224"/>
      <c r="Y240" s="224"/>
      <c r="Z240" s="224"/>
    </row>
    <row r="241">
      <c r="A241" s="225" t="str">
        <f>IFERROR(__xludf.DUMMYFUNCTION("""COMPUTED_VALUE"""),"Hydration")</f>
        <v>Hydration</v>
      </c>
      <c r="B241" s="225" t="str">
        <f>IFERROR(__xludf.DUMMYFUNCTION("""COMPUTED_VALUE"""),"Scene - Swift Action")</f>
        <v>Scene - Swift Action</v>
      </c>
      <c r="C241" s="225" t="str">
        <f>IFERROR(__xludf.DUMMYFUNCTION("""COMPUTED_VALUE"""),"Effect: The user is cured of a Status Affliction. If the user is in Rainy Weather or Ocean Terrain, the Frequency of Hydration isn’t expended. This Ability can only ignore its Frequency twice in a Scene.")</f>
        <v>Effect: The user is cured of a Status Affliction. If the user is in Rainy Weather or Ocean Terrain, the Frequency of Hydration isn’t expended. This Ability can only ignore its Frequency twice in a Scene.</v>
      </c>
      <c r="D241" s="225"/>
      <c r="E241" s="225"/>
      <c r="F241" s="225"/>
      <c r="G241" s="226" t="str">
        <f>IFERROR(__xludf.DUMMYFUNCTION("""COMPUTED_VALUE"""),"Scene - Swift Action
Effect: The user is cured of a Status Affliction. If the user is in Rainy Weather or Ocean Terrain, the Frequency of Hydration isn’t expended. This Ability can only ignore its Frequency twice in a Scene.")</f>
        <v>Scene - Swift Action
Effect: The user is cured of a Status Affliction. If the user is in Rainy Weather or Ocean Terrain, the Frequency of Hydration isn’t expended. This Ability can only ignore its Frequency twice in a Scene.</v>
      </c>
      <c r="H241" s="224"/>
      <c r="I241" s="224"/>
      <c r="J241" s="224"/>
      <c r="K241" s="224"/>
      <c r="L241" s="224"/>
      <c r="M241" s="224"/>
      <c r="N241" s="224"/>
      <c r="O241" s="224"/>
      <c r="P241" s="224"/>
      <c r="Q241" s="224"/>
      <c r="R241" s="224"/>
      <c r="S241" s="224"/>
      <c r="T241" s="224"/>
      <c r="U241" s="224"/>
      <c r="V241" s="224"/>
      <c r="W241" s="224"/>
      <c r="X241" s="224"/>
      <c r="Y241" s="224"/>
      <c r="Z241" s="224"/>
    </row>
    <row r="242">
      <c r="A242" s="225" t="str">
        <f>IFERROR(__xludf.DUMMYFUNCTION("""COMPUTED_VALUE"""),"Hyper Cutter")</f>
        <v>Hyper Cutter</v>
      </c>
      <c r="B242" s="225" t="str">
        <f>IFERROR(__xludf.DUMMYFUNCTION("""COMPUTED_VALUE"""),"Scene x2 - Swift Action")</f>
        <v>Scene x2 - Swift Action</v>
      </c>
      <c r="C242" s="225" t="str">
        <f>IFERROR(__xludf.DUMMYFUNCTION("""COMPUTED_VALUE"""),"Effect: Choose an Effect to apply:
■ A Coat the Target is affected by is destroyed
■ The Triggering Attack has the Unstoppable Keyword
■ The Target loses -2 CS in Defense or Special Defense after Attack Resolution
Bonus: The user’s Attack CS cannot be low"&amp;"ered below their Default CS Value.")</f>
        <v>Effect: Choose an Effect to apply:
■ A Coat the Target is affected by is destroyed
■ The Triggering Attack has the Unstoppable Keyword
■ The Target loses -2 CS in Defense or Special Defense after Attack Resolution
Bonus: The user’s Attack CS cannot be lowered below their Default CS Value.</v>
      </c>
      <c r="D242" s="225" t="str">
        <f>IFERROR(__xludf.DUMMYFUNCTION("""COMPUTED_VALUE"""),"The user rolls a Natural 15+ on a Melee Damaging Attack")</f>
        <v>The user rolls a Natural 15+ on a Melee Damaging Attack</v>
      </c>
      <c r="E242" s="225"/>
      <c r="F242" s="225"/>
      <c r="G242" s="226" t="str">
        <f>IFERROR(__xludf.DUMMYFUNCTION("""COMPUTED_VALUE"""),"Scene x2 - Swift Action
Trigger - The user rolls a Natural 15+ on a Melee Damaging Attack
Effect: Choose an Effect to apply:
■ A Coat the Target is affected by is destroyed
■ The Triggering Attack has the Unstoppable Keyword
■ The Target loses -2 CS in De"&amp;"fense or Special Defense after Attack Resolution
Bonus: The user’s Attack CS cannot be lowered below their Default CS Value.")</f>
        <v>Scene x2 - Swift Action
Trigger - The user rolls a Natural 15+ on a Melee Damaging Attack
Effect: Choose an Effect to apply:
■ A Coat the Target is affected by is destroyed
■ The Triggering Attack has the Unstoppable Keyword
■ The Target loses -2 CS in Defense or Special Defense after Attack Resolution
Bonus: The user’s Attack CS cannot be lowered below their Default CS Value.</v>
      </c>
      <c r="H242" s="224"/>
      <c r="I242" s="224"/>
      <c r="J242" s="224"/>
      <c r="K242" s="224"/>
      <c r="L242" s="224"/>
      <c r="M242" s="224"/>
      <c r="N242" s="224"/>
      <c r="O242" s="224"/>
      <c r="P242" s="224"/>
      <c r="Q242" s="224"/>
      <c r="R242" s="224"/>
      <c r="S242" s="224"/>
      <c r="T242" s="224"/>
      <c r="U242" s="224"/>
      <c r="V242" s="224"/>
      <c r="W242" s="224"/>
      <c r="X242" s="224"/>
      <c r="Y242" s="224"/>
      <c r="Z242" s="224"/>
    </row>
    <row r="243">
      <c r="A243" s="225" t="str">
        <f>IFERROR(__xludf.DUMMYFUNCTION("""COMPUTED_VALUE"""),"Hypnotic")</f>
        <v>Hypnotic</v>
      </c>
      <c r="B243" s="225" t="str">
        <f>IFERROR(__xludf.DUMMYFUNCTION("""COMPUTED_VALUE"""),"Scene - Swift Action")</f>
        <v>Scene - Swift Action</v>
      </c>
      <c r="C243" s="225" t="str">
        <f>IFERROR(__xludf.DUMMYFUNCTION("""COMPUTED_VALUE"""),"Connection - Hypnosis. 
Effect: Choose another Affliction below to apply to the Drowsy Enemy. When they become Cured of Drowsy, this Affliction is also removed. 
■ Dazed, Enraged, Entranced
Bonus: Whenever the user would inflict Drowsy, they may instead i"&amp;"nflict any of the above Afflictions")</f>
        <v>Connection - Hypnosis. 
Effect: Choose another Affliction below to apply to the Drowsy Enemy. When they become Cured of Drowsy, this Affliction is also removed. 
■ Dazed, Enraged, Entranced
Bonus: Whenever the user would inflict Drowsy, they may instead inflict any of the above Afflictions</v>
      </c>
      <c r="D243" s="225" t="str">
        <f>IFERROR(__xludf.DUMMYFUNCTION("""COMPUTED_VALUE"""),"You inflict the Drowsy Affliction")</f>
        <v>You inflict the Drowsy Affliction</v>
      </c>
      <c r="E243" s="225"/>
      <c r="F243" s="225"/>
      <c r="G243" s="226" t="str">
        <f>IFERROR(__xludf.DUMMYFUNCTION("""COMPUTED_VALUE"""),"Scene - Swift Action
Trigger - You inflict the Drowsy Affliction
Connection - Hypnosis. 
Effect: Choose another Affliction below to apply to the Drowsy Enemy. When they become Cured of Drowsy, this Affliction is also removed. 
■ Dazed, Enraged, Entranced
"&amp;"Bonus: Whenever the user would inflict Drowsy, they may instead inflict any of the above Afflictions")</f>
        <v>Scene - Swift Action
Trigger - You inflict the Drowsy Affliction
Connection - Hypnosis. 
Effect: Choose another Affliction below to apply to the Drowsy Enemy. When they become Cured of Drowsy, this Affliction is also removed. 
■ Dazed, Enraged, Entranced
Bonus: Whenever the user would inflict Drowsy, they may instead inflict any of the above Afflictions</v>
      </c>
      <c r="H243" s="224"/>
      <c r="I243" s="224"/>
      <c r="J243" s="224"/>
      <c r="K243" s="224"/>
      <c r="L243" s="224"/>
      <c r="M243" s="224"/>
      <c r="N243" s="224"/>
      <c r="O243" s="224"/>
      <c r="P243" s="224"/>
      <c r="Q243" s="224"/>
      <c r="R243" s="224"/>
      <c r="S243" s="224"/>
      <c r="T243" s="224"/>
      <c r="U243" s="224"/>
      <c r="V243" s="224"/>
      <c r="W243" s="224"/>
      <c r="X243" s="224"/>
      <c r="Y243" s="224"/>
      <c r="Z243" s="224"/>
    </row>
    <row r="244">
      <c r="A244" s="225" t="str">
        <f>IFERROR(__xludf.DUMMYFUNCTION("""COMPUTED_VALUE"""),"Ice Body")</f>
        <v>Ice Body</v>
      </c>
      <c r="B244" s="225" t="str">
        <f>IFERROR(__xludf.DUMMYFUNCTION("""COMPUTED_VALUE"""),"Scene - Swift Action")</f>
        <v>Scene - Swift Action</v>
      </c>
      <c r="C244" s="225" t="str">
        <f>IFERROR(__xludf.DUMMYFUNCTION("""COMPUTED_VALUE"""),"Effect: The user restores two Ticks of Hit Points or gains 2 Ticks of Temporary Hit Points or is cured of a Physical Status Affliction. If the user is in Snowy Weather, the Frequency of Ice Body isn’t expended. This Ability can only ignore its Frequency t"&amp;"wice in a Scene.")</f>
        <v>Effect: The user restores two Ticks of Hit Points or gains 2 Ticks of Temporary Hit Points or is cured of a Physical Status Affliction. If the user is in Snowy Weather, the Frequency of Ice Body isn’t expended. This Ability can only ignore its Frequency twice in a Scene.</v>
      </c>
      <c r="D244" s="225"/>
      <c r="E244" s="225"/>
      <c r="F244" s="225"/>
      <c r="G244" s="226" t="str">
        <f>IFERROR(__xludf.DUMMYFUNCTION("""COMPUTED_VALUE"""),"Scene - Swift Action
Effect: The user restores two Ticks of Hit Points or gains 2 Ticks of Temporary Hit Points or is cured of a Physical Status Affliction. If the user is in Snowy Weather, the Frequency of Ice Body isn’t expended. This Ability can only i"&amp;"gnore its Frequency twice in a Scene.")</f>
        <v>Scene - Swift Action
Effect: The user restores two Ticks of Hit Points or gains 2 Ticks of Temporary Hit Points or is cured of a Physical Status Affliction. If the user is in Snowy Weather, the Frequency of Ice Body isn’t expended. This Ability can only ignore its Frequency twice in a Scene.</v>
      </c>
      <c r="H244" s="224"/>
      <c r="I244" s="224"/>
      <c r="J244" s="224"/>
      <c r="K244" s="224"/>
      <c r="L244" s="224"/>
      <c r="M244" s="224"/>
      <c r="N244" s="224"/>
      <c r="O244" s="224"/>
      <c r="P244" s="224"/>
      <c r="Q244" s="224"/>
      <c r="R244" s="224"/>
      <c r="S244" s="224"/>
      <c r="T244" s="224"/>
      <c r="U244" s="224"/>
      <c r="V244" s="224"/>
      <c r="W244" s="224"/>
      <c r="X244" s="224"/>
      <c r="Y244" s="224"/>
      <c r="Z244" s="224"/>
    </row>
    <row r="245">
      <c r="A245" s="225" t="str">
        <f>IFERROR(__xludf.DUMMYFUNCTION("""COMPUTED_VALUE"""),"Ice Face")</f>
        <v>Ice Face</v>
      </c>
      <c r="B245" s="225" t="str">
        <f>IFERROR(__xludf.DUMMYFUNCTION("""COMPUTED_VALUE"""),"Static")</f>
        <v>Static</v>
      </c>
      <c r="C245" s="225" t="str">
        <f>IFERROR(__xludf.DUMMYFUNCTION("""COMPUTED_VALUE"""),"Effect: The user has two sets of base stats; Ice Face and Noice Face. The Hit Points of both forms must be the same. When the user is in Ice Face Form and is reduced to half Maximum Hit Points or lower, it changes to Noice Form. The user returns to Ice Fo"&amp;"rm while outside of combat if above half Maximum Hit Points.
Bonus: The user begins the battle with two Ticks of Temporary Hit Points. If the user starts their turn in Snowy or Rainy Weather then they gain a Tick of Temporary Hit Points.")</f>
        <v>Effect: The user has two sets of base stats; Ice Face and Noice Face. The Hit Points of both forms must be the same. When the user is in Ice Face Form and is reduced to half Maximum Hit Points or lower, it changes to Noice Form. The user returns to Ice Form while outside of combat if above half Maximum Hit Points.
Bonus: The user begins the battle with two Ticks of Temporary Hit Points. If the user starts their turn in Snowy or Rainy Weather then they gain a Tick of Temporary Hit Points.</v>
      </c>
      <c r="D245" s="225"/>
      <c r="E245" s="225"/>
      <c r="F245" s="225" t="str">
        <f>IFERROR(__xludf.DUMMYFUNCTION("""COMPUTED_VALUE"""),"Innate")</f>
        <v>Innate</v>
      </c>
      <c r="G245" s="226" t="str">
        <f>IFERROR(__xludf.DUMMYFUNCTION("""COMPUTED_VALUE"""),"Static
Keywords - Innate
Effect: The user has two sets of base stats; Ice Face and Noice Face. The Hit Points of both forms must be the same. When the user is in Ice Face Form and is reduced to half Maximum Hit Points or lower, it changes to Noice Form. T"&amp;"he user returns to Ice Form while outside of combat if above half Maximum Hit Points.
Bonus: The user begins the battle with two Ticks of Temporary Hit Points. If the user starts their turn in Snowy or Rainy Weather then they gain a Tick of Temporary Hit "&amp;"Points.")</f>
        <v>Static
Keywords - Innate
Effect: The user has two sets of base stats; Ice Face and Noice Face. The Hit Points of both forms must be the same. When the user is in Ice Face Form and is reduced to half Maximum Hit Points or lower, it changes to Noice Form. The user returns to Ice Form while outside of combat if above half Maximum Hit Points.
Bonus: The user begins the battle with two Ticks of Temporary Hit Points. If the user starts their turn in Snowy or Rainy Weather then they gain a Tick of Temporary Hit Points.</v>
      </c>
      <c r="H245" s="224"/>
      <c r="I245" s="224"/>
      <c r="J245" s="224"/>
      <c r="K245" s="224"/>
      <c r="L245" s="224"/>
      <c r="M245" s="224"/>
      <c r="N245" s="224"/>
      <c r="O245" s="224"/>
      <c r="P245" s="224"/>
      <c r="Q245" s="224"/>
      <c r="R245" s="224"/>
      <c r="S245" s="224"/>
      <c r="T245" s="224"/>
      <c r="U245" s="224"/>
      <c r="V245" s="224"/>
      <c r="W245" s="224"/>
      <c r="X245" s="224"/>
      <c r="Y245" s="224"/>
      <c r="Z245" s="224"/>
    </row>
    <row r="246">
      <c r="A246" s="225" t="str">
        <f>IFERROR(__xludf.DUMMYFUNCTION("""COMPUTED_VALUE"""),"Ice Shield")</f>
        <v>Ice Shield</v>
      </c>
      <c r="B246" s="225" t="str">
        <f>IFERROR(__xludf.DUMMYFUNCTION("""COMPUTED_VALUE"""),"Scene - Standard Action")</f>
        <v>Scene - Standard Action</v>
      </c>
      <c r="C246" s="225" t="str">
        <f>IFERROR(__xludf.DUMMYFUNCTION("""COMPUTED_VALUE"""),"Effect: The user and all Adjacent Allies are instead not hit by the triggering Attack, do not take any damage, and are not affected by any of the triggering Attack's effects. 
Bonus: As a Swift Action, the user may choose up to 2 Adjacent Spaces to create"&amp;" [Breakable - Dense] Blocking Terrain in. ")</f>
        <v>Effect: The user and all Adjacent Allies are instead not hit by the triggering Attack, do not take any damage, and are not affected by any of the triggering Attack's effects. 
Bonus: As a Swift Action, the user may choose up to 2 Adjacent Spaces to create [Breakable - Dense] Blocking Terrain in. </v>
      </c>
      <c r="D246" s="225" t="str">
        <f>IFERROR(__xludf.DUMMYFUNCTION("""COMPUTED_VALUE"""),"The user or an Adjacent Ally are hit with an Attack")</f>
        <v>The user or an Adjacent Ally are hit with an Attack</v>
      </c>
      <c r="E246" s="225"/>
      <c r="F246" s="225" t="str">
        <f>IFERROR(__xludf.DUMMYFUNCTION("""COMPUTED_VALUE"""),"Defensive")</f>
        <v>Defensive</v>
      </c>
      <c r="G246" s="226" t="str">
        <f>IFERROR(__xludf.DUMMYFUNCTION("""COMPUTED_VALUE"""),"Scene - Standard Action
Keywords - Defensive
Trigger - The user or an Adjacent Ally are hit with an Attack
Effect: The user and all Adjacent Allies are instead not hit by the triggering Attack, do not take any damage, and are not affected by any of the tr"&amp;"iggering Attack's effects. 
Bonus: As a Swift Action, the user may choose up to 2 Adjacent Spaces to create [Breakable - Dense] Blocking Terrain in. ")</f>
        <v>Scene - Standard Action
Keywords - Defensive
Trigger - The user or an Adjacent Ally are hit with an Attack
Effect: The user and all Adjacent Allies are instead not hit by the triggering Attack, do not take any damage, and are not affected by any of the triggering Attack's effects. 
Bonus: As a Swift Action, the user may choose up to 2 Adjacent Spaces to create [Breakable - Dense] Blocking Terrain in. </v>
      </c>
      <c r="H246" s="224"/>
      <c r="I246" s="224"/>
      <c r="J246" s="224"/>
      <c r="K246" s="224"/>
      <c r="L246" s="224"/>
      <c r="M246" s="224"/>
      <c r="N246" s="224"/>
      <c r="O246" s="224"/>
      <c r="P246" s="224"/>
      <c r="Q246" s="224"/>
      <c r="R246" s="224"/>
      <c r="S246" s="224"/>
      <c r="T246" s="224"/>
      <c r="U246" s="224"/>
      <c r="V246" s="224"/>
      <c r="W246" s="224"/>
      <c r="X246" s="224"/>
      <c r="Y246" s="224"/>
      <c r="Z246" s="224"/>
    </row>
    <row r="247">
      <c r="A247" s="225" t="str">
        <f>IFERROR(__xludf.DUMMYFUNCTION("""COMPUTED_VALUE"""),"Illuminate")</f>
        <v>Illuminate</v>
      </c>
      <c r="B247" s="225" t="str">
        <f>IFERROR(__xludf.DUMMYFUNCTION("""COMPUTED_VALUE"""),"Static")</f>
        <v>Static</v>
      </c>
      <c r="C247" s="225" t="str">
        <f>IFERROR(__xludf.DUMMYFUNCTION("""COMPUTED_VALUE"""),"Connection - Flash. 
Effect: Attacks that Target the user have a penalty to Accuracy against them equal to your Tier Level (Doesn’t apply to other Targets). This penalty is doubled if the Attacker is adjacent to the user. This does not affect attackers wi"&amp;"th the Blindsense Capability. ")</f>
        <v>Connection - Flash. 
Effect: Attacks that Target the user have a penalty to Accuracy against them equal to your Tier Level (Doesn’t apply to other Targets). This penalty is doubled if the Attacker is adjacent to the user. This does not affect attackers with the Blindsense Capability. </v>
      </c>
      <c r="D247" s="225"/>
      <c r="E247" s="225"/>
      <c r="F247" s="225" t="str">
        <f>IFERROR(__xludf.DUMMYFUNCTION("""COMPUTED_VALUE"""),"Defensive")</f>
        <v>Defensive</v>
      </c>
      <c r="G247" s="226" t="str">
        <f>IFERROR(__xludf.DUMMYFUNCTION("""COMPUTED_VALUE"""),"Static
Keywords - Defensive
Connection - Flash. 
Effect: Attacks that Target the user have a penalty to Accuracy against them equal to your Tier Level (Doesn’t apply to other Targets). This penalty is doubled if the Attacker is adjacent to the user. This "&amp;"does not affect attackers with the Blindsense Capability. ")</f>
        <v>Static
Keywords - Defensive
Connection - Flash. 
Effect: Attacks that Target the user have a penalty to Accuracy against them equal to your Tier Level (Doesn’t apply to other Targets). This penalty is doubled if the Attacker is adjacent to the user. This does not affect attackers with the Blindsense Capability. </v>
      </c>
      <c r="H247" s="224"/>
      <c r="I247" s="224"/>
      <c r="J247" s="224"/>
      <c r="K247" s="224"/>
      <c r="L247" s="224"/>
      <c r="M247" s="224"/>
      <c r="N247" s="224"/>
      <c r="O247" s="224"/>
      <c r="P247" s="224"/>
      <c r="Q247" s="224"/>
      <c r="R247" s="224"/>
      <c r="S247" s="224"/>
      <c r="T247" s="224"/>
      <c r="U247" s="224"/>
      <c r="V247" s="224"/>
      <c r="W247" s="224"/>
      <c r="X247" s="224"/>
      <c r="Y247" s="224"/>
      <c r="Z247" s="224"/>
    </row>
    <row r="248">
      <c r="A248" s="225" t="str">
        <f>IFERROR(__xludf.DUMMYFUNCTION("""COMPUTED_VALUE"""),"Illusion")</f>
        <v>Illusion</v>
      </c>
      <c r="B248" s="225" t="str">
        <f>IFERROR(__xludf.DUMMYFUNCTION("""COMPUTED_VALUE"""),"Scene - Free Action")</f>
        <v>Scene - Free Action</v>
      </c>
      <c r="C248" s="225" t="str">
        <f>IFERROR(__xludf.DUMMYFUNCTION("""COMPUTED_VALUE"""),"Connection - Double Team
Effect: The user gains an Illusion Coat. While they have an Illusion Coat, they may take the appearance of the Target. Any Combatant who fails an Intuition or Perception Check opposed by your Guile or Stealth will treat you as if "&amp;"you were that Target. Whenever you take Damage, the Illusion Coat is expended. *Grants Illusionist
Bonus: If the user has a Double Team Coat, they may destroy their Illusion Coat to use the Effects of the Double Team Coat without expending an activation.")</f>
        <v>Connection - Double Team
Effect: The user gains an Illusion Coat. While they have an Illusion Coat, they may take the appearance of the Target. Any Combatant who fails an Intuition or Perception Check opposed by your Guile or Stealth will treat you as if you were that Target. Whenever you take Damage, the Illusion Coat is expended. *Grants Illusionist
Bonus: If the user has a Double Team Coat, they may destroy their Illusion Coat to use the Effects of the Double Team Coat without expending an activation.</v>
      </c>
      <c r="D248" s="225" t="str">
        <f>IFERROR(__xludf.DUMMYFUNCTION("""COMPUTED_VALUE"""),"A Scene starts")</f>
        <v>A Scene starts</v>
      </c>
      <c r="E248" s="225" t="str">
        <f>IFERROR(__xludf.DUMMYFUNCTION("""COMPUTED_VALUE"""),"A Combatant within 10m")</f>
        <v>A Combatant within 10m</v>
      </c>
      <c r="F248" s="225"/>
      <c r="G248" s="226" t="str">
        <f>IFERROR(__xludf.DUMMYFUNCTION("""COMPUTED_VALUE"""),"Scene - Free Action
Trigger - A Scene starts
Target - A Combatant within 10m
Connection - Double Team
Effect: The user gains an Illusion Coat. While they have an Illusion Coat, they may take the appearance of the Target. Any Combatant who fails an Intuiti"&amp;"on or Perception Check opposed by your Guile or Stealth will treat you as if you were that Target. Whenever you take Damage, the Illusion Coat is expended. *Grants Illusionist
Bonus: If the user has a Double Team Coat, they may destroy their Illusion Coat"&amp;" to use the Effects of the Double Team Coat without expending an activation.")</f>
        <v>Scene - Free Action
Trigger - A Scene starts
Target - A Combatant within 10m
Connection - Double Team
Effect: The user gains an Illusion Coat. While they have an Illusion Coat, they may take the appearance of the Target. Any Combatant who fails an Intuition or Perception Check opposed by your Guile or Stealth will treat you as if you were that Target. Whenever you take Damage, the Illusion Coat is expended. *Grants Illusionist
Bonus: If the user has a Double Team Coat, they may destroy their Illusion Coat to use the Effects of the Double Team Coat without expending an activation.</v>
      </c>
      <c r="H248" s="224"/>
      <c r="I248" s="224"/>
      <c r="J248" s="224"/>
      <c r="K248" s="224"/>
      <c r="L248" s="224"/>
      <c r="M248" s="224"/>
      <c r="N248" s="224"/>
      <c r="O248" s="224"/>
      <c r="P248" s="224"/>
      <c r="Q248" s="224"/>
      <c r="R248" s="224"/>
      <c r="S248" s="224"/>
      <c r="T248" s="224"/>
      <c r="U248" s="224"/>
      <c r="V248" s="224"/>
      <c r="W248" s="224"/>
      <c r="X248" s="224"/>
      <c r="Y248" s="224"/>
      <c r="Z248" s="224"/>
    </row>
    <row r="249">
      <c r="A249" s="225" t="str">
        <f>IFERROR(__xludf.DUMMYFUNCTION("""COMPUTED_VALUE"""),"Imposter")</f>
        <v>Imposter</v>
      </c>
      <c r="B249" s="225" t="str">
        <f>IFERROR(__xludf.DUMMYFUNCTION("""COMPUTED_VALUE"""),"Scene - Free Action")</f>
        <v>Scene - Free Action</v>
      </c>
      <c r="C249" s="225" t="str">
        <f>IFERROR(__xludf.DUMMYFUNCTION("""COMPUTED_VALUE"""),"Effect: If the user is not Transformed, they may trigger Imposter to use Transform as a Free Action.")</f>
        <v>Effect: If the user is not Transformed, they may trigger Imposter to use Transform as a Free Action.</v>
      </c>
      <c r="D249" s="225"/>
      <c r="E249" s="225"/>
      <c r="F249" s="225" t="str">
        <f>IFERROR(__xludf.DUMMYFUNCTION("""COMPUTED_VALUE"""),"Innate")</f>
        <v>Innate</v>
      </c>
      <c r="G249" s="226" t="str">
        <f>IFERROR(__xludf.DUMMYFUNCTION("""COMPUTED_VALUE"""),"Scene - Free Action
Keywords - Innate
Effect: If the user is not Transformed, they may trigger Imposter to use Transform as a Free Action.")</f>
        <v>Scene - Free Action
Keywords - Innate
Effect: If the user is not Transformed, they may trigger Imposter to use Transform as a Free Action.</v>
      </c>
      <c r="H249" s="224"/>
      <c r="I249" s="224"/>
      <c r="J249" s="224"/>
      <c r="K249" s="224"/>
      <c r="L249" s="224"/>
      <c r="M249" s="224"/>
      <c r="N249" s="224"/>
      <c r="O249" s="224"/>
      <c r="P249" s="224"/>
      <c r="Q249" s="224"/>
      <c r="R249" s="224"/>
      <c r="S249" s="224"/>
      <c r="T249" s="224"/>
      <c r="U249" s="224"/>
      <c r="V249" s="224"/>
      <c r="W249" s="224"/>
      <c r="X249" s="224"/>
      <c r="Y249" s="224"/>
      <c r="Z249" s="224"/>
    </row>
    <row r="250">
      <c r="A250" s="225" t="str">
        <f>IFERROR(__xludf.DUMMYFUNCTION("""COMPUTED_VALUE"""),"Infiltrator")</f>
        <v>Infiltrator</v>
      </c>
      <c r="B250" s="225" t="str">
        <f>IFERROR(__xludf.DUMMYFUNCTION("""COMPUTED_VALUE"""),"At-Will - Swift Action + Reaction")</f>
        <v>At-Will - Swift Action + Reaction</v>
      </c>
      <c r="C250" s="225" t="str">
        <f>IFERROR(__xludf.DUMMYFUNCTION("""COMPUTED_VALUE"""),"Effect: Until the start of their next Turn, the user becomes Untargetable. Enemies ignore this Effect while they're within 3m of the user.
Bonus: The user ignores the Effects of Hazards and Terrain they move through. ")</f>
        <v>Effect: Until the start of their next Turn, the user becomes Untargetable. Enemies ignore this Effect while they're within 3m of the user.
Bonus: The user ignores the Effects of Hazards and Terrain they move through. </v>
      </c>
      <c r="D250" s="225"/>
      <c r="E250" s="225"/>
      <c r="F250" s="225"/>
      <c r="G250" s="226" t="str">
        <f>IFERROR(__xludf.DUMMYFUNCTION("""COMPUTED_VALUE"""),"At-Will - Swift Action + Reaction
Effect: Until the start of their next Turn, the user becomes Untargetable. Enemies ignore this Effect while they're within 3m of the user.
Bonus: The user ignores the Effects of Hazards and Terrain they move through. ")</f>
        <v>At-Will - Swift Action + Reaction
Effect: Until the start of their next Turn, the user becomes Untargetable. Enemies ignore this Effect while they're within 3m of the user.
Bonus: The user ignores the Effects of Hazards and Terrain they move through. </v>
      </c>
      <c r="H250" s="224"/>
      <c r="I250" s="224"/>
      <c r="J250" s="224"/>
      <c r="K250" s="224"/>
      <c r="L250" s="224"/>
      <c r="M250" s="224"/>
      <c r="N250" s="224"/>
      <c r="O250" s="224"/>
      <c r="P250" s="224"/>
      <c r="Q250" s="224"/>
      <c r="R250" s="224"/>
      <c r="S250" s="224"/>
      <c r="T250" s="224"/>
      <c r="U250" s="224"/>
      <c r="V250" s="224"/>
      <c r="W250" s="224"/>
      <c r="X250" s="224"/>
      <c r="Y250" s="224"/>
      <c r="Z250" s="224"/>
    </row>
    <row r="251">
      <c r="A251" s="225" t="str">
        <f>IFERROR(__xludf.DUMMYFUNCTION("""COMPUTED_VALUE"""),"Ink Spray")</f>
        <v>Ink Spray</v>
      </c>
      <c r="B251" s="225" t="str">
        <f>IFERROR(__xludf.DUMMYFUNCTION("""COMPUTED_VALUE"""),"Scene x2 - Swift Action")</f>
        <v>Scene x2 - Swift Action</v>
      </c>
      <c r="C251" s="225" t="str">
        <f>IFERROR(__xludf.DUMMYFUNCTION("""COMPUTED_VALUE"""),"Effect: All Targets hit by the Triggering Attack gain an Ink Coat. Enemies with an Ink Coat have a penalty to Accuracy equal to your Tier Level. Ink Coats may be removed as a Swift+Movement Action.
Bonus: The user's Poison Type Attacks have a 15+ Effect R"&amp;"ange to cause Targets hit by the Attack to gain an Ink Coat. ")</f>
        <v>Effect: All Targets hit by the Triggering Attack gain an Ink Coat. Enemies with an Ink Coat have a penalty to Accuracy equal to your Tier Level. Ink Coats may be removed as a Swift+Movement Action.
Bonus: The user's Poison Type Attacks have a 15+ Effect Range to cause Targets hit by the Attack to gain an Ink Coat. </v>
      </c>
      <c r="D251" s="225" t="str">
        <f>IFERROR(__xludf.DUMMYFUNCTION("""COMPUTED_VALUE"""),"You hit an Enemy with an Adjacent Attack or a Poison Type Attack")</f>
        <v>You hit an Enemy with an Adjacent Attack or a Poison Type Attack</v>
      </c>
      <c r="E251" s="225"/>
      <c r="F251" s="225"/>
      <c r="G251" s="226" t="str">
        <f>IFERROR(__xludf.DUMMYFUNCTION("""COMPUTED_VALUE"""),"Scene x2 - Swift Action
Trigger - You hit an Enemy with an Adjacent Attack or a Poison Type Attack
Effect: All Targets hit by the Triggering Attack gain an Ink Coat. Enemies with an Ink Coat have a penalty to Accuracy equal to your Tier Level. Ink Coats m"&amp;"ay be removed as a Swift+Movement Action.
Bonus: The user's Poison Type Attacks have a 15+ Effect Range to cause Targets hit by the Attack to gain an Ink Coat. ")</f>
        <v>Scene x2 - Swift Action
Trigger - You hit an Enemy with an Adjacent Attack or a Poison Type Attack
Effect: All Targets hit by the Triggering Attack gain an Ink Coat. Enemies with an Ink Coat have a penalty to Accuracy equal to your Tier Level. Ink Coats may be removed as a Swift+Movement Action.
Bonus: The user's Poison Type Attacks have a 15+ Effect Range to cause Targets hit by the Attack to gain an Ink Coat. </v>
      </c>
      <c r="H251" s="224"/>
      <c r="I251" s="224"/>
      <c r="J251" s="224"/>
      <c r="K251" s="224"/>
      <c r="L251" s="224"/>
      <c r="M251" s="224"/>
      <c r="N251" s="224"/>
      <c r="O251" s="224"/>
      <c r="P251" s="224"/>
      <c r="Q251" s="224"/>
      <c r="R251" s="224"/>
      <c r="S251" s="224"/>
      <c r="T251" s="224"/>
      <c r="U251" s="224"/>
      <c r="V251" s="224"/>
      <c r="W251" s="224"/>
      <c r="X251" s="224"/>
      <c r="Y251" s="224"/>
      <c r="Z251" s="224"/>
    </row>
    <row r="252">
      <c r="A252" s="225" t="str">
        <f>IFERROR(__xludf.DUMMYFUNCTION("""COMPUTED_VALUE"""),"Innards Out")</f>
        <v>Innards Out</v>
      </c>
      <c r="B252" s="225" t="str">
        <f>IFERROR(__xludf.DUMMYFUNCTION("""COMPUTED_VALUE"""),"Scene - Reaction")</f>
        <v>Scene - Reaction</v>
      </c>
      <c r="C252" s="225" t="str">
        <f>IFERROR(__xludf.DUMMYFUNCTION("""COMPUTED_VALUE"""),"Effect: The user resists the triggering attack one step further. After the attack is resolved, an Enemy within 2 meters loses Hit Points equal to twice the amount of Hit Points lost by the user from the triggering attack, even if the triggering attack cau"&amp;"sed the user to Faint. ")</f>
        <v>Effect: The user resists the triggering attack one step further. After the attack is resolved, an Enemy within 2 meters loses Hit Points equal to twice the amount of Hit Points lost by the user from the triggering attack, even if the triggering attack caused the user to Faint. </v>
      </c>
      <c r="D252" s="225" t="str">
        <f>IFERROR(__xludf.DUMMYFUNCTION("""COMPUTED_VALUE"""),"The user is hit by a Damaging Attack")</f>
        <v>The user is hit by a Damaging Attack</v>
      </c>
      <c r="E252" s="225"/>
      <c r="F252" s="225" t="str">
        <f>IFERROR(__xludf.DUMMYFUNCTION("""COMPUTED_VALUE"""),"Defensive")</f>
        <v>Defensive</v>
      </c>
      <c r="G252" s="226" t="str">
        <f>IFERROR(__xludf.DUMMYFUNCTION("""COMPUTED_VALUE"""),"Scene - Reaction
Keywords - Defensive
Trigger - The user is hit by a Damaging Attack
Effect: The user resists the triggering attack one step further. After the attack is resolved, an Enemy within 2 meters loses Hit Points equal to twice the amount of Hit "&amp;"Points lost by the user from the triggering attack, even if the triggering attack caused the user to Faint. ")</f>
        <v>Scene - Reaction
Keywords - Defensive
Trigger - The user is hit by a Damaging Attack
Effect: The user resists the triggering attack one step further. After the attack is resolved, an Enemy within 2 meters loses Hit Points equal to twice the amount of Hit Points lost by the user from the triggering attack, even if the triggering attack caused the user to Faint. </v>
      </c>
      <c r="H252" s="224"/>
      <c r="I252" s="224"/>
      <c r="J252" s="224"/>
      <c r="K252" s="224"/>
      <c r="L252" s="224"/>
      <c r="M252" s="224"/>
      <c r="N252" s="224"/>
      <c r="O252" s="224"/>
      <c r="P252" s="224"/>
      <c r="Q252" s="224"/>
      <c r="R252" s="224"/>
      <c r="S252" s="224"/>
      <c r="T252" s="224"/>
      <c r="U252" s="224"/>
      <c r="V252" s="224"/>
      <c r="W252" s="224"/>
      <c r="X252" s="224"/>
      <c r="Y252" s="224"/>
      <c r="Z252" s="224"/>
    </row>
    <row r="253">
      <c r="A253" s="225" t="str">
        <f>IFERROR(__xludf.DUMMYFUNCTION("""COMPUTED_VALUE"""),"Inner Focus")</f>
        <v>Inner Focus</v>
      </c>
      <c r="B253" s="225" t="str">
        <f>IFERROR(__xludf.DUMMYFUNCTION("""COMPUTED_VALUE"""),"Static")</f>
        <v>Static</v>
      </c>
      <c r="C253" s="225" t="str">
        <f>IFERROR(__xludf.DUMMYFUNCTION("""COMPUTED_VALUE"""),"Effect: The user has a bonus to Save Checks equal to their Tier Level. The user may perform a Respite Maneuver as a Standard Action, ignoring the negative effects of the Maneuver and they may instead choose two of the effects to apply. These negative effe"&amp;"cts include being unable to use it while there are enemies within 3m, having their positive CS set to default value, and becoming Vulnerable.")</f>
        <v>Effect: The user has a bonus to Save Checks equal to their Tier Level. The user may perform a Respite Maneuver as a Standard Action, ignoring the negative effects of the Maneuver and they may instead choose two of the effects to apply. These negative effects include being unable to use it while there are enemies within 3m, having their positive CS set to default value, and becoming Vulnerable.</v>
      </c>
      <c r="D253" s="225"/>
      <c r="E253" s="225"/>
      <c r="F253" s="225"/>
      <c r="G253" s="226" t="str">
        <f>IFERROR(__xludf.DUMMYFUNCTION("""COMPUTED_VALUE"""),"Static
Effect: The user has a bonus to Save Checks equal to their Tier Level. The user may perform a Respite Maneuver as a Standard Action, ignoring the negative effects of the Maneuver and they may instead choose two of the effects to apply. These negati"&amp;"ve effects include being unable to use it while there are enemies within 3m, having their positive CS set to default value, and becoming Vulnerable.")</f>
        <v>Static
Effect: The user has a bonus to Save Checks equal to their Tier Level. The user may perform a Respite Maneuver as a Standard Action, ignoring the negative effects of the Maneuver and they may instead choose two of the effects to apply. These negative effects include being unable to use it while there are enemies within 3m, having their positive CS set to default value, and becoming Vulnerable.</v>
      </c>
      <c r="H253" s="224"/>
      <c r="I253" s="224"/>
      <c r="J253" s="224"/>
      <c r="K253" s="224"/>
      <c r="L253" s="224"/>
      <c r="M253" s="224"/>
      <c r="N253" s="224"/>
      <c r="O253" s="224"/>
      <c r="P253" s="224"/>
      <c r="Q253" s="224"/>
      <c r="R253" s="224"/>
      <c r="S253" s="224"/>
      <c r="T253" s="224"/>
      <c r="U253" s="224"/>
      <c r="V253" s="224"/>
      <c r="W253" s="224"/>
      <c r="X253" s="224"/>
      <c r="Y253" s="224"/>
      <c r="Z253" s="224"/>
    </row>
    <row r="254">
      <c r="A254" s="225" t="str">
        <f>IFERROR(__xludf.DUMMYFUNCTION("""COMPUTED_VALUE"""),"Interference")</f>
        <v>Interference</v>
      </c>
      <c r="B254" s="225" t="str">
        <f>IFERROR(__xludf.DUMMYFUNCTION("""COMPUTED_VALUE"""),"At-Will - Reaction")</f>
        <v>At-Will - Reaction</v>
      </c>
      <c r="C254" s="225" t="str">
        <f>IFERROR(__xludf.DUMMYFUNCTION("""COMPUTED_VALUE"""),"Effect: The Enemy has a penalty to the Triggering roll equal to your Tier Level.
Bonus: The user may perform Hinder Maneuvers as if they were 5, 1 Target and may use their Focus Skill when making opposed checks. ")</f>
        <v>Effect: The Enemy has a penalty to the Triggering roll equal to your Tier Level.
Bonus: The user may perform Hinder Maneuvers as if they were 5, 1 Target and may use their Focus Skill when making opposed checks. </v>
      </c>
      <c r="D254" s="225" t="str">
        <f>IFERROR(__xludf.DUMMYFUNCTION("""COMPUTED_VALUE"""),"An Enemy within 3m would perform a Save Check or Accuracy Roll")</f>
        <v>An Enemy within 3m would perform a Save Check or Accuracy Roll</v>
      </c>
      <c r="E254" s="225"/>
      <c r="F254" s="225"/>
      <c r="G254" s="226" t="str">
        <f>IFERROR(__xludf.DUMMYFUNCTION("""COMPUTED_VALUE"""),"At-Will - Reaction
Trigger - An Enemy within 3m would perform a Save Check or Accuracy Roll
Effect: The Enemy has a penalty to the Triggering roll equal to your Tier Level.
Bonus: The user may perform Hinder Maneuvers as if they were 5, 1 Target and may u"&amp;"se their Focus Skill when making opposed checks. ")</f>
        <v>At-Will - Reaction
Trigger - An Enemy within 3m would perform a Save Check or Accuracy Roll
Effect: The Enemy has a penalty to the Triggering roll equal to your Tier Level.
Bonus: The user may perform Hinder Maneuvers as if they were 5, 1 Target and may use their Focus Skill when making opposed checks. </v>
      </c>
      <c r="H254" s="224"/>
      <c r="I254" s="224"/>
      <c r="J254" s="224"/>
      <c r="K254" s="224"/>
      <c r="L254" s="224"/>
      <c r="M254" s="224"/>
      <c r="N254" s="224"/>
      <c r="O254" s="224"/>
      <c r="P254" s="224"/>
      <c r="Q254" s="224"/>
      <c r="R254" s="224"/>
      <c r="S254" s="224"/>
      <c r="T254" s="224"/>
      <c r="U254" s="224"/>
      <c r="V254" s="224"/>
      <c r="W254" s="224"/>
      <c r="X254" s="224"/>
      <c r="Y254" s="224"/>
      <c r="Z254" s="224"/>
    </row>
    <row r="255">
      <c r="A255" s="225" t="str">
        <f>IFERROR(__xludf.DUMMYFUNCTION("""COMPUTED_VALUE"""),"Intimidate")</f>
        <v>Intimidate</v>
      </c>
      <c r="B255" s="225" t="str">
        <f>IFERROR(__xludf.DUMMYFUNCTION("""COMPUTED_VALUE"""),"At-Will - Reaction")</f>
        <v>At-Will - Reaction</v>
      </c>
      <c r="C255" s="225" t="str">
        <f>IFERROR(__xludf.DUMMYFUNCTION("""COMPUTED_VALUE"""),"Effect: The Triggering Enemy loses -1 CS in Attack or Special Attack of your choice. If they ended their Turn Adjacent to the user, they instead lose -2 CS in Attack or Special Attack. ")</f>
        <v>Effect: The Triggering Enemy loses -1 CS in Attack or Special Attack of your choice. If they ended their Turn Adjacent to the user, they instead lose -2 CS in Attack or Special Attack. </v>
      </c>
      <c r="D255" s="225" t="str">
        <f>IFERROR(__xludf.DUMMYFUNCTION("""COMPUTED_VALUE"""),"An Enemy ends their Turn within 3m of you")</f>
        <v>An Enemy ends their Turn within 3m of you</v>
      </c>
      <c r="E255" s="225"/>
      <c r="F255" s="225"/>
      <c r="G255" s="226" t="str">
        <f>IFERROR(__xludf.DUMMYFUNCTION("""COMPUTED_VALUE"""),"At-Will - Reaction
Trigger - An Enemy ends their Turn within 3m of you
Effect: The Triggering Enemy loses -1 CS in Attack or Special Attack of your choice. If they ended their Turn Adjacent to the user, they instead lose -2 CS in Attack or Special Attack."&amp;" ")</f>
        <v>At-Will - Reaction
Trigger - An Enemy ends their Turn within 3m of you
Effect: The Triggering Enemy loses -1 CS in Attack or Special Attack of your choice. If they ended their Turn Adjacent to the user, they instead lose -2 CS in Attack or Special Attack. </v>
      </c>
      <c r="H255" s="224"/>
      <c r="I255" s="224"/>
      <c r="J255" s="224"/>
      <c r="K255" s="224"/>
      <c r="L255" s="224"/>
      <c r="M255" s="224"/>
      <c r="N255" s="224"/>
      <c r="O255" s="224"/>
      <c r="P255" s="224"/>
      <c r="Q255" s="224"/>
      <c r="R255" s="224"/>
      <c r="S255" s="224"/>
      <c r="T255" s="224"/>
      <c r="U255" s="224"/>
      <c r="V255" s="224"/>
      <c r="W255" s="224"/>
      <c r="X255" s="224"/>
      <c r="Y255" s="224"/>
      <c r="Z255" s="224"/>
    </row>
    <row r="256">
      <c r="A256" s="225" t="str">
        <f>IFERROR(__xludf.DUMMYFUNCTION("""COMPUTED_VALUE"""),"Iron Barbs")</f>
        <v>Iron Barbs</v>
      </c>
      <c r="B256" s="225" t="str">
        <f>IFERROR(__xludf.DUMMYFUNCTION("""COMPUTED_VALUE"""),"At-Will - Reaction")</f>
        <v>At-Will - Reaction</v>
      </c>
      <c r="C256" s="225" t="str">
        <f>IFERROR(__xludf.DUMMYFUNCTION("""COMPUTED_VALUE"""),"Effect: The Triggering Enemy becomes Wounded. If they’re already Wounded, they lose a Tick of Hit Points and cannot cure it during their next Save Check. 
Bonus: The user’s Melee Attacks have a 16+ Effect Range to cause the Target to lose a Tick of Hit Po"&amp;"ints.")</f>
        <v>Effect: The Triggering Enemy becomes Wounded. If they’re already Wounded, they lose a Tick of Hit Points and cannot cure it during their next Save Check. 
Bonus: The user’s Melee Attacks have a 16+ Effect Range to cause the Target to lose a Tick of Hit Points.</v>
      </c>
      <c r="D256" s="225" t="str">
        <f>IFERROR(__xludf.DUMMYFUNCTION("""COMPUTED_VALUE"""),"An Enemy Targets the user with an Attack while Adjacent to them")</f>
        <v>An Enemy Targets the user with an Attack while Adjacent to them</v>
      </c>
      <c r="E256" s="225"/>
      <c r="F256" s="225" t="str">
        <f>IFERROR(__xludf.DUMMYFUNCTION("""COMPUTED_VALUE"""),"Defensive")</f>
        <v>Defensive</v>
      </c>
      <c r="G256" s="226" t="str">
        <f>IFERROR(__xludf.DUMMYFUNCTION("""COMPUTED_VALUE"""),"At-Will - Reaction
Keywords - Defensive
Trigger - An Enemy Targets the user with an Attack while Adjacent to them
Effect: The Triggering Enemy becomes Wounded. If they’re already Wounded, they lose a Tick of Hit Points and cannot cure it during their next"&amp;" Save Check. 
Bonus: The user’s Melee Attacks have a 16+ Effect Range to cause the Target to lose a Tick of Hit Points.")</f>
        <v>At-Will - Reaction
Keywords - Defensive
Trigger - An Enemy Targets the user with an Attack while Adjacent to them
Effect: The Triggering Enemy becomes Wounded. If they’re already Wounded, they lose a Tick of Hit Points and cannot cure it during their next Save Check. 
Bonus: The user’s Melee Attacks have a 16+ Effect Range to cause the Target to lose a Tick of Hit Points.</v>
      </c>
      <c r="H256" s="224"/>
      <c r="I256" s="224"/>
      <c r="J256" s="224"/>
      <c r="K256" s="224"/>
      <c r="L256" s="224"/>
      <c r="M256" s="224"/>
      <c r="N256" s="224"/>
      <c r="O256" s="224"/>
      <c r="P256" s="224"/>
      <c r="Q256" s="224"/>
      <c r="R256" s="224"/>
      <c r="S256" s="224"/>
      <c r="T256" s="224"/>
      <c r="U256" s="224"/>
      <c r="V256" s="224"/>
      <c r="W256" s="224"/>
      <c r="X256" s="224"/>
      <c r="Y256" s="224"/>
      <c r="Z256" s="224"/>
    </row>
    <row r="257">
      <c r="A257" s="225" t="str">
        <f>IFERROR(__xludf.DUMMYFUNCTION("""COMPUTED_VALUE"""),"Iron Body")</f>
        <v>Iron Body</v>
      </c>
      <c r="B257" s="225" t="str">
        <f>IFERROR(__xludf.DUMMYFUNCTION("""COMPUTED_VALUE"""),"At-Will - Reaction")</f>
        <v>At-Will - Reaction</v>
      </c>
      <c r="C257" s="225" t="str">
        <f>IFERROR(__xludf.DUMMYFUNCTION("""COMPUTED_VALUE"""),"Effect: When calculating type effectiveness, the user is treated as only Steel Typed. 
Bonus: The user gains +2 DB to Steel Type Damaging Attacks. (This is not STAB)")</f>
        <v>Effect: When calculating type effectiveness, the user is treated as only Steel Typed. 
Bonus: The user gains +2 DB to Steel Type Damaging Attacks. (This is not STAB)</v>
      </c>
      <c r="D257" s="225" t="str">
        <f>IFERROR(__xludf.DUMMYFUNCTION("""COMPUTED_VALUE"""),"The user is hit by a Damaging Attack")</f>
        <v>The user is hit by a Damaging Attack</v>
      </c>
      <c r="E257" s="225"/>
      <c r="F257" s="225" t="str">
        <f>IFERROR(__xludf.DUMMYFUNCTION("""COMPUTED_VALUE"""),"Defensive")</f>
        <v>Defensive</v>
      </c>
      <c r="G257" s="226" t="str">
        <f>IFERROR(__xludf.DUMMYFUNCTION("""COMPUTED_VALUE"""),"At-Will - Reaction
Keywords - Defensive
Trigger - The user is hit by a Damaging Attack
Effect: When calculating type effectiveness, the user is treated as only Steel Typed. 
Bonus: The user gains +2 DB to Steel Type Damaging Attacks. (This is not STAB)")</f>
        <v>At-Will - Reaction
Keywords - Defensive
Trigger - The user is hit by a Damaging Attack
Effect: When calculating type effectiveness, the user is treated as only Steel Typed. 
Bonus: The user gains +2 DB to Steel Type Damaging Attacks. (This is not STAB)</v>
      </c>
      <c r="H257" s="224"/>
      <c r="I257" s="224"/>
      <c r="J257" s="224"/>
      <c r="K257" s="224"/>
      <c r="L257" s="224"/>
      <c r="M257" s="224"/>
      <c r="N257" s="224"/>
      <c r="O257" s="224"/>
      <c r="P257" s="224"/>
      <c r="Q257" s="224"/>
      <c r="R257" s="224"/>
      <c r="S257" s="224"/>
      <c r="T257" s="224"/>
      <c r="U257" s="224"/>
      <c r="V257" s="224"/>
      <c r="W257" s="224"/>
      <c r="X257" s="224"/>
      <c r="Y257" s="224"/>
      <c r="Z257" s="224"/>
    </row>
    <row r="258">
      <c r="A258" s="225" t="str">
        <f>IFERROR(__xludf.DUMMYFUNCTION("""COMPUTED_VALUE"""),"Iron Fist")</f>
        <v>Iron Fist</v>
      </c>
      <c r="B258" s="225" t="str">
        <f>IFERROR(__xludf.DUMMYFUNCTION("""COMPUTED_VALUE"""),"Scene x2 - Swift Action")</f>
        <v>Scene x2 - Swift Action</v>
      </c>
      <c r="C258" s="225" t="str">
        <f>IFERROR(__xludf.DUMMYFUNCTION("""COMPUTED_VALUE"""),"Effect: The Target cannot apply Physical Evasion against the Triggering Attack.
Bonus: The user gains +3 DB to Attacks with the Punch Keyword.")</f>
        <v>Effect: The Target cannot apply Physical Evasion against the Triggering Attack.
Bonus: The user gains +3 DB to Attacks with the Punch Keyword.</v>
      </c>
      <c r="D258" s="225" t="str">
        <f>IFERROR(__xludf.DUMMYFUNCTION("""COMPUTED_VALUE"""),"You use a Melee, 1 Target Attack")</f>
        <v>You use a Melee, 1 Target Attack</v>
      </c>
      <c r="E258" s="225"/>
      <c r="F258" s="225"/>
      <c r="G258" s="226" t="str">
        <f>IFERROR(__xludf.DUMMYFUNCTION("""COMPUTED_VALUE"""),"Scene x2 - Swift Action
Trigger - You use a Melee, 1 Target Attack
Effect: The Target cannot apply Physical Evasion against the Triggering Attack.
Bonus: The user gains +3 DB to Attacks with the Punch Keyword.")</f>
        <v>Scene x2 - Swift Action
Trigger - You use a Melee, 1 Target Attack
Effect: The Target cannot apply Physical Evasion against the Triggering Attack.
Bonus: The user gains +3 DB to Attacks with the Punch Keyword.</v>
      </c>
      <c r="H258" s="224"/>
      <c r="I258" s="224"/>
      <c r="J258" s="224"/>
      <c r="K258" s="224"/>
      <c r="L258" s="224"/>
      <c r="M258" s="224"/>
      <c r="N258" s="224"/>
      <c r="O258" s="224"/>
      <c r="P258" s="224"/>
      <c r="Q258" s="224"/>
      <c r="R258" s="224"/>
      <c r="S258" s="224"/>
      <c r="T258" s="224"/>
      <c r="U258" s="224"/>
      <c r="V258" s="224"/>
      <c r="W258" s="224"/>
      <c r="X258" s="224"/>
      <c r="Y258" s="224"/>
      <c r="Z258" s="224"/>
    </row>
    <row r="259">
      <c r="A259" s="225" t="str">
        <f>IFERROR(__xludf.DUMMYFUNCTION("""COMPUTED_VALUE"""),"Ionic Charge")</f>
        <v>Ionic Charge</v>
      </c>
      <c r="B259" s="225" t="str">
        <f>IFERROR(__xludf.DUMMYFUNCTION("""COMPUTED_VALUE"""),"At-Will - Swift Action")</f>
        <v>At-Will - Swift Action</v>
      </c>
      <c r="C259" s="225" t="str">
        <f>IFERROR(__xludf.DUMMYFUNCTION("""COMPUTED_VALUE"""),"Effect: All Targets hit by the Triggering Attack lose -1 CS in two Stats of the user’s choice or an Ally within 3m gains +1 CS to a Stat of the user’s choice. 
Bonus: While the Weather is Thunderstorm, the user has a bonus to Save Checks equal to their Ti"&amp;"er Level.")</f>
        <v>Effect: All Targets hit by the Triggering Attack lose -1 CS in two Stats of the user’s choice or an Ally within 3m gains +1 CS to a Stat of the user’s choice. 
Bonus: While the Weather is Thunderstorm, the user has a bonus to Save Checks equal to their Tier Level.</v>
      </c>
      <c r="D259" s="225" t="str">
        <f>IFERROR(__xludf.DUMMYFUNCTION("""COMPUTED_VALUE"""),"The user hits with an Electric Type Attack")</f>
        <v>The user hits with an Electric Type Attack</v>
      </c>
      <c r="E259" s="225"/>
      <c r="F259" s="225"/>
      <c r="G259" s="226" t="str">
        <f>IFERROR(__xludf.DUMMYFUNCTION("""COMPUTED_VALUE"""),"At-Will - Swift Action
Trigger - The user hits with an Electric Type Attack
Effect: All Targets hit by the Triggering Attack lose -1 CS in two Stats of the user’s choice or an Ally within 3m gains +1 CS to a Stat of the user’s choice. 
Bonus: While the We"&amp;"ather is Thunderstorm, the user has a bonus to Save Checks equal to their Tier Level.")</f>
        <v>At-Will - Swift Action
Trigger - The user hits with an Electric Type Attack
Effect: All Targets hit by the Triggering Attack lose -1 CS in two Stats of the user’s choice or an Ally within 3m gains +1 CS to a Stat of the user’s choice. 
Bonus: While the Weather is Thunderstorm, the user has a bonus to Save Checks equal to their Tier Level.</v>
      </c>
      <c r="H259" s="224"/>
      <c r="I259" s="224"/>
      <c r="J259" s="224"/>
      <c r="K259" s="224"/>
      <c r="L259" s="224"/>
      <c r="M259" s="224"/>
      <c r="N259" s="224"/>
      <c r="O259" s="224"/>
      <c r="P259" s="224"/>
      <c r="Q259" s="224"/>
      <c r="R259" s="224"/>
      <c r="S259" s="224"/>
      <c r="T259" s="224"/>
      <c r="U259" s="224"/>
      <c r="V259" s="224"/>
      <c r="W259" s="224"/>
      <c r="X259" s="224"/>
      <c r="Y259" s="224"/>
      <c r="Z259" s="224"/>
    </row>
    <row r="260">
      <c r="A260" s="225" t="str">
        <f>IFERROR(__xludf.DUMMYFUNCTION("""COMPUTED_VALUE"""),"Juicy Energy")</f>
        <v>Juicy Energy</v>
      </c>
      <c r="B260" s="225" t="str">
        <f>IFERROR(__xludf.DUMMYFUNCTION("""COMPUTED_VALUE"""),"At-Will - Free Action")</f>
        <v>At-Will - Free Action</v>
      </c>
      <c r="C260" s="225" t="str">
        <f>IFERROR(__xludf.DUMMYFUNCTION("""COMPUTED_VALUE"""),"Effect: The Target gains a Tick of Temporary Hit Points. Temporary Hit Points gained this way stack on top of existing Temporary Hit Points. Juicy Energy may only be used once per Turn. ")</f>
        <v>Effect: The Target gains a Tick of Temporary Hit Points. Temporary Hit Points gained this way stack on top of existing Temporary Hit Points. Juicy Energy may only be used once per Turn. </v>
      </c>
      <c r="D260" s="225"/>
      <c r="E260" s="225" t="str">
        <f>IFERROR(__xludf.DUMMYFUNCTION("""COMPUTED_VALUE"""),"The user or an Adjacent Ally")</f>
        <v>The user or an Adjacent Ally</v>
      </c>
      <c r="F260" s="225"/>
      <c r="G260" s="226" t="str">
        <f>IFERROR(__xludf.DUMMYFUNCTION("""COMPUTED_VALUE"""),"At-Will - Free Action
Target - The user or an Adjacent Ally
Effect: The Target gains a Tick of Temporary Hit Points. Temporary Hit Points gained this way stack on top of existing Temporary Hit Points. Juicy Energy may only be used once per Turn. ")</f>
        <v>At-Will - Free Action
Target - The user or an Adjacent Ally
Effect: The Target gains a Tick of Temporary Hit Points. Temporary Hit Points gained this way stack on top of existing Temporary Hit Points. Juicy Energy may only be used once per Turn. </v>
      </c>
      <c r="H260" s="224"/>
      <c r="I260" s="224"/>
      <c r="J260" s="224"/>
      <c r="K260" s="224"/>
      <c r="L260" s="224"/>
      <c r="M260" s="224"/>
      <c r="N260" s="224"/>
      <c r="O260" s="224"/>
      <c r="P260" s="224"/>
      <c r="Q260" s="224"/>
      <c r="R260" s="224"/>
      <c r="S260" s="224"/>
      <c r="T260" s="224"/>
      <c r="U260" s="224"/>
      <c r="V260" s="224"/>
      <c r="W260" s="224"/>
      <c r="X260" s="224"/>
      <c r="Y260" s="224"/>
      <c r="Z260" s="224"/>
    </row>
    <row r="261">
      <c r="A261" s="225" t="str">
        <f>IFERROR(__xludf.DUMMYFUNCTION("""COMPUTED_VALUE"""),"Kampfgeist")</f>
        <v>Kampfgeist</v>
      </c>
      <c r="B261" s="225" t="str">
        <f>IFERROR(__xludf.DUMMYFUNCTION("""COMPUTED_VALUE"""),"At-Will - Reaction")</f>
        <v>At-Will - Reaction</v>
      </c>
      <c r="C261" s="225" t="str">
        <f>IFERROR(__xludf.DUMMYFUNCTION("""COMPUTED_VALUE"""),"Effect: The user’s Attack is set to +6 CS until the end of the next Round and you become Vulnerable for the same duration. After this Duration expires, you are set back to your Default Attack CS. 
Bonus: The user gains STAB on Fighting Type Attacks.")</f>
        <v>Effect: The user’s Attack is set to +6 CS until the end of the next Round and you become Vulnerable for the same duration. After this Duration expires, you are set back to your Default Attack CS. 
Bonus: The user gains STAB on Fighting Type Attacks.</v>
      </c>
      <c r="D261" s="225" t="str">
        <f>IFERROR(__xludf.DUMMYFUNCTION("""COMPUTED_VALUE"""),"The user is hit with an Attack or the user causes an Enemy to Faint")</f>
        <v>The user is hit with an Attack or the user causes an Enemy to Faint</v>
      </c>
      <c r="E261" s="225"/>
      <c r="F261" s="225"/>
      <c r="G261" s="226" t="str">
        <f>IFERROR(__xludf.DUMMYFUNCTION("""COMPUTED_VALUE"""),"At-Will - Reaction
Trigger - The user is hit with an Attack or the user causes an Enemy to Faint
Effect: The user’s Attack is set to +6 CS until the end of the next Round and you become Vulnerable for the same duration. After this Duration expires, you ar"&amp;"e set back to your Default Attack CS. 
Bonus: The user gains STAB on Fighting Type Attacks.")</f>
        <v>At-Will - Reaction
Trigger - The user is hit with an Attack or the user causes an Enemy to Faint
Effect: The user’s Attack is set to +6 CS until the end of the next Round and you become Vulnerable for the same duration. After this Duration expires, you are set back to your Default Attack CS. 
Bonus: The user gains STAB on Fighting Type Attacks.</v>
      </c>
      <c r="H261" s="224"/>
      <c r="I261" s="224"/>
      <c r="J261" s="224"/>
      <c r="K261" s="224"/>
      <c r="L261" s="224"/>
      <c r="M261" s="224"/>
      <c r="N261" s="224"/>
      <c r="O261" s="224"/>
      <c r="P261" s="224"/>
      <c r="Q261" s="224"/>
      <c r="R261" s="224"/>
      <c r="S261" s="224"/>
      <c r="T261" s="224"/>
      <c r="U261" s="224"/>
      <c r="V261" s="224"/>
      <c r="W261" s="224"/>
      <c r="X261" s="224"/>
      <c r="Y261" s="224"/>
      <c r="Z261" s="224"/>
    </row>
    <row r="262">
      <c r="A262" s="225" t="str">
        <f>IFERROR(__xludf.DUMMYFUNCTION("""COMPUTED_VALUE"""),"Keen Eye")</f>
        <v>Keen Eye</v>
      </c>
      <c r="B262" s="225" t="str">
        <f>IFERROR(__xludf.DUMMYFUNCTION("""COMPUTED_VALUE"""),"Static")</f>
        <v>Static</v>
      </c>
      <c r="C262" s="225" t="str">
        <f>IFERROR(__xludf.DUMMYFUNCTION("""COMPUTED_VALUE"""),"Effect: The user’s Accuracy cannot be lowered, their attacks cannot have Accuracy Penalties (Excluding Provoked), and the user ignores any non-stat Evasion. The user gains a bonus to Accuracy equal to their Tier Level. ")</f>
        <v>Effect: The user’s Accuracy cannot be lowered, their attacks cannot have Accuracy Penalties (Excluding Provoked), and the user ignores any non-stat Evasion. The user gains a bonus to Accuracy equal to their Tier Level. </v>
      </c>
      <c r="D262" s="225"/>
      <c r="E262" s="225"/>
      <c r="F262" s="225"/>
      <c r="G262" s="226" t="str">
        <f>IFERROR(__xludf.DUMMYFUNCTION("""COMPUTED_VALUE"""),"Static
Effect: The user’s Accuracy cannot be lowered, their attacks cannot have Accuracy Penalties (Excluding Provoked), and the user ignores any non-stat Evasion. The user gains a bonus to Accuracy equal to their Tier Level. ")</f>
        <v>Static
Effect: The user’s Accuracy cannot be lowered, their attacks cannot have Accuracy Penalties (Excluding Provoked), and the user ignores any non-stat Evasion. The user gains a bonus to Accuracy equal to their Tier Level. </v>
      </c>
      <c r="H262" s="224"/>
      <c r="I262" s="224"/>
      <c r="J262" s="224"/>
      <c r="K262" s="224"/>
      <c r="L262" s="224"/>
      <c r="M262" s="224"/>
      <c r="N262" s="224"/>
      <c r="O262" s="224"/>
      <c r="P262" s="224"/>
      <c r="Q262" s="224"/>
      <c r="R262" s="224"/>
      <c r="S262" s="224"/>
      <c r="T262" s="224"/>
      <c r="U262" s="224"/>
      <c r="V262" s="224"/>
      <c r="W262" s="224"/>
      <c r="X262" s="224"/>
      <c r="Y262" s="224"/>
      <c r="Z262" s="224"/>
    </row>
    <row r="263">
      <c r="A263" s="225" t="str">
        <f>IFERROR(__xludf.DUMMYFUNCTION("""COMPUTED_VALUE"""),"Keystone Warp")</f>
        <v>Keystone Warp</v>
      </c>
      <c r="B263" s="225" t="str">
        <f>IFERROR(__xludf.DUMMYFUNCTION("""COMPUTED_VALUE"""),"At-Will - Swift Action")</f>
        <v>At-Will - Swift Action</v>
      </c>
      <c r="C263" s="225" t="str">
        <f>IFERROR(__xludf.DUMMYFUNCTION("""COMPUTED_VALUE"""),"Effect: The user may place an Odd Keystone Hazard in any adjacent Space or expend all Soul Charges in an adjacent Odd Keystone Hazard to restore a Tick of HIt Points per Charge. 
Bonus: The user gains the Teleporter Capability, but can only use it to tele"&amp;"port to a space with an Odd Keystone Hazard occupying it. The user may originate any Dark or Ghost Type Attacks from an Odd Keystone Hazard. Whenever a Combatant faints, all Odd Keystones within 5m of them gain Xd3 Soul Charges, where X is equal to your T"&amp;"ier Level.")</f>
        <v>Effect: The user may place an Odd Keystone Hazard in any adjacent Space or expend all Soul Charges in an adjacent Odd Keystone Hazard to restore a Tick of HIt Points per Charge. 
Bonus: The user gains the Teleporter Capability, but can only use it to teleport to a space with an Odd Keystone Hazard occupying it. The user may originate any Dark or Ghost Type Attacks from an Odd Keystone Hazard. Whenever a Combatant faints, all Odd Keystones within 5m of them gain Xd3 Soul Charges, where X is equal to your Tier Level.</v>
      </c>
      <c r="D263" s="225"/>
      <c r="E263" s="225"/>
      <c r="F263" s="225"/>
      <c r="G263" s="226" t="str">
        <f>IFERROR(__xludf.DUMMYFUNCTION("""COMPUTED_VALUE"""),"At-Will - Swift Action
Effect: The user may place an Odd Keystone Hazard in any adjacent Space or expend all Soul Charges in an adjacent Odd Keystone Hazard to restore a Tick of HIt Points per Charge. 
Bonus: The user gains the Teleporter Capability, but "&amp;"can only use it to teleport to a space with an Odd Keystone Hazard occupying it. The user may originate any Dark or Ghost Type Attacks from an Odd Keystone Hazard. Whenever a Combatant faints, all Odd Keystones within 5m of them gain Xd3 Soul Charges, whe"&amp;"re X is equal to your Tier Level.")</f>
        <v>At-Will - Swift Action
Effect: The user may place an Odd Keystone Hazard in any adjacent Space or expend all Soul Charges in an adjacent Odd Keystone Hazard to restore a Tick of HIt Points per Charge. 
Bonus: The user gains the Teleporter Capability, but can only use it to teleport to a space with an Odd Keystone Hazard occupying it. The user may originate any Dark or Ghost Type Attacks from an Odd Keystone Hazard. Whenever a Combatant faints, all Odd Keystones within 5m of them gain Xd3 Soul Charges, where X is equal to your Tier Level.</v>
      </c>
      <c r="H263" s="224"/>
      <c r="I263" s="224"/>
      <c r="J263" s="224"/>
      <c r="K263" s="224"/>
      <c r="L263" s="224"/>
      <c r="M263" s="224"/>
      <c r="N263" s="224"/>
      <c r="O263" s="224"/>
      <c r="P263" s="224"/>
      <c r="Q263" s="224"/>
      <c r="R263" s="224"/>
      <c r="S263" s="224"/>
      <c r="T263" s="224"/>
      <c r="U263" s="224"/>
      <c r="V263" s="224"/>
      <c r="W263" s="224"/>
      <c r="X263" s="224"/>
      <c r="Y263" s="224"/>
      <c r="Z263" s="224"/>
    </row>
    <row r="264">
      <c r="A264" s="225" t="str">
        <f>IFERROR(__xludf.DUMMYFUNCTION("""COMPUTED_VALUE"""),"Klutz")</f>
        <v>Klutz</v>
      </c>
      <c r="B264" s="225" t="str">
        <f>IFERROR(__xludf.DUMMYFUNCTION("""COMPUTED_VALUE"""),"Scene x2 – Reaction")</f>
        <v>Scene x2 – Reaction</v>
      </c>
      <c r="C264" s="225" t="str">
        <f>IFERROR(__xludf.DUMMYFUNCTION("""COMPUTED_VALUE"""),"Effect: The user may Slide 1m, and then become Tripped. This Ability cannot be used if the user is Slowed, Grappled, or otherwise impaired from moving. This ability lets the user avoid Bursts, Blasts, or Lines if the movement removes them from the area of"&amp;" effect. ")</f>
        <v>Effect: The user may Slide 1m, and then become Tripped. This Ability cannot be used if the user is Slowed, Grappled, or otherwise impaired from moving. This ability lets the user avoid Bursts, Blasts, or Lines if the movement removes them from the area of effect. </v>
      </c>
      <c r="D264" s="225" t="str">
        <f>IFERROR(__xludf.DUMMYFUNCTION("""COMPUTED_VALUE"""),"The user is Hit by a Burst, Blast, or Line Attack.")</f>
        <v>The user is Hit by a Burst, Blast, or Line Attack.</v>
      </c>
      <c r="E264" s="225"/>
      <c r="F264" s="225" t="str">
        <f>IFERROR(__xludf.DUMMYFUNCTION("""COMPUTED_VALUE"""),"Defensive")</f>
        <v>Defensive</v>
      </c>
      <c r="G264" s="226" t="str">
        <f>IFERROR(__xludf.DUMMYFUNCTION("""COMPUTED_VALUE"""),"Scene x2 – Reaction
Keywords - Defensive
Trigger - The user is Hit by a Burst, Blast, or Line Attack.
Effect: The user may Slide 1m, and then become Tripped. This Ability cannot be used if the user is Slowed, Grappled, or otherwise impaired from moving. T"&amp;"his ability lets the user avoid Bursts, Blasts, or Lines if the movement removes them from the area of effect. ")</f>
        <v>Scene x2 – Reaction
Keywords - Defensive
Trigger - The user is Hit by a Burst, Blast, or Line Attack.
Effect: The user may Slide 1m, and then become Tripped. This Ability cannot be used if the user is Slowed, Grappled, or otherwise impaired from moving. This ability lets the user avoid Bursts, Blasts, or Lines if the movement removes them from the area of effect. </v>
      </c>
      <c r="H264" s="224"/>
      <c r="I264" s="224"/>
      <c r="J264" s="224"/>
      <c r="K264" s="224"/>
      <c r="L264" s="224"/>
      <c r="M264" s="224"/>
      <c r="N264" s="224"/>
      <c r="O264" s="224"/>
      <c r="P264" s="224"/>
      <c r="Q264" s="224"/>
      <c r="R264" s="224"/>
      <c r="S264" s="224"/>
      <c r="T264" s="224"/>
      <c r="U264" s="224"/>
      <c r="V264" s="224"/>
      <c r="W264" s="224"/>
      <c r="X264" s="224"/>
      <c r="Y264" s="224"/>
      <c r="Z264" s="224"/>
    </row>
    <row r="265">
      <c r="A265" s="225" t="str">
        <f>IFERROR(__xludf.DUMMYFUNCTION("""COMPUTED_VALUE"""),"Lancer")</f>
        <v>Lancer</v>
      </c>
      <c r="B265" s="225" t="str">
        <f>IFERROR(__xludf.DUMMYFUNCTION("""COMPUTED_VALUE"""),"Static")</f>
        <v>Static</v>
      </c>
      <c r="C265" s="225" t="str">
        <f>IFERROR(__xludf.DUMMYFUNCTION("""COMPUTED_VALUE"""),"Effect: All of the user’s Melee Attacks gain the Pass Keyword. Whenever the user activates the Pass Keyword, the Attack gains a bonus to Critical Hit Ranges equal to their Tier Level. Whenever the user ends their Turn without using a Movement Action, they"&amp;" gain Damage Reduction equal to their Tier Value until the start of their next Turn. ")</f>
        <v>Effect: All of the user’s Melee Attacks gain the Pass Keyword. Whenever the user activates the Pass Keyword, the Attack gains a bonus to Critical Hit Ranges equal to their Tier Level. Whenever the user ends their Turn without using a Movement Action, they gain Damage Reduction equal to their Tier Value until the start of their next Turn. </v>
      </c>
      <c r="D265" s="225"/>
      <c r="E265" s="225"/>
      <c r="F265" s="225"/>
      <c r="G265" s="226" t="str">
        <f>IFERROR(__xludf.DUMMYFUNCTION("""COMPUTED_VALUE"""),"Static
Effect: All of the user’s Melee Attacks gain the Pass Keyword. Whenever the user activates the Pass Keyword, the Attack gains a bonus to Critical Hit Ranges equal to their Tier Level. Whenever the user ends their Turn without using a Movement Actio"&amp;"n, they gain Damage Reduction equal to their Tier Value until the start of their next Turn. ")</f>
        <v>Static
Effect: All of the user’s Melee Attacks gain the Pass Keyword. Whenever the user activates the Pass Keyword, the Attack gains a bonus to Critical Hit Ranges equal to their Tier Level. Whenever the user ends their Turn without using a Movement Action, they gain Damage Reduction equal to their Tier Value until the start of their next Turn. </v>
      </c>
      <c r="H265" s="224"/>
      <c r="I265" s="224"/>
      <c r="J265" s="224"/>
      <c r="K265" s="224"/>
      <c r="L265" s="224"/>
      <c r="M265" s="224"/>
      <c r="N265" s="224"/>
      <c r="O265" s="224"/>
      <c r="P265" s="224"/>
      <c r="Q265" s="224"/>
      <c r="R265" s="224"/>
      <c r="S265" s="224"/>
      <c r="T265" s="224"/>
      <c r="U265" s="224"/>
      <c r="V265" s="224"/>
      <c r="W265" s="224"/>
      <c r="X265" s="224"/>
      <c r="Y265" s="224"/>
      <c r="Z265" s="224"/>
    </row>
    <row r="266">
      <c r="A266" s="225" t="str">
        <f>IFERROR(__xludf.DUMMYFUNCTION("""COMPUTED_VALUE"""),"Lateral Senses")</f>
        <v>Lateral Senses</v>
      </c>
      <c r="B266" s="225" t="str">
        <f>IFERROR(__xludf.DUMMYFUNCTION("""COMPUTED_VALUE"""),"Static")</f>
        <v>Static</v>
      </c>
      <c r="C266" s="225" t="str">
        <f>IFERROR(__xludf.DUMMYFUNCTION("""COMPUTED_VALUE"""),"Effect: Attacks that Target the user have a penalty to Accuracy against them equal to your Tier Level (Doesn’t apply to other Targets). If the user is Water Type, they gain Evasion equal to their Tier Level if they’re under 50% or in Rainy Weather. If the"&amp;" user has the Blindsense Capability, they gain Evasion equal to their Tier Level if they’re under 50% or in Low Lighting. ")</f>
        <v>Effect: Attacks that Target the user have a penalty to Accuracy against them equal to your Tier Level (Doesn’t apply to other Targets). If the user is Water Type, they gain Evasion equal to their Tier Level if they’re under 50% or in Rainy Weather. If the user has the Blindsense Capability, they gain Evasion equal to their Tier Level if they’re under 50% or in Low Lighting. </v>
      </c>
      <c r="D266" s="225"/>
      <c r="E266" s="225"/>
      <c r="F266" s="225" t="str">
        <f>IFERROR(__xludf.DUMMYFUNCTION("""COMPUTED_VALUE"""),"Defensive")</f>
        <v>Defensive</v>
      </c>
      <c r="G266" s="226" t="str">
        <f>IFERROR(__xludf.DUMMYFUNCTION("""COMPUTED_VALUE"""),"Static
Keywords - Defensive
Effect: Attacks that Target the user have a penalty to Accuracy against them equal to your Tier Level (Doesn’t apply to other Targets). If the user is Water Type, they gain Evasion equal to their Tier Level if they’re under 50%"&amp;" or in Rainy Weather. If the user has the Blindsense Capability, they gain Evasion equal to their Tier Level if they’re under 50% or in Low Lighting. ")</f>
        <v>Static
Keywords - Defensive
Effect: Attacks that Target the user have a penalty to Accuracy against them equal to your Tier Level (Doesn’t apply to other Targets). If the user is Water Type, they gain Evasion equal to their Tier Level if they’re under 50% or in Rainy Weather. If the user has the Blindsense Capability, they gain Evasion equal to their Tier Level if they’re under 50% or in Low Lighting. </v>
      </c>
      <c r="H266" s="224"/>
      <c r="I266" s="224"/>
      <c r="J266" s="224"/>
      <c r="K266" s="224"/>
      <c r="L266" s="224"/>
      <c r="M266" s="224"/>
      <c r="N266" s="224"/>
      <c r="O266" s="224"/>
      <c r="P266" s="224"/>
      <c r="Q266" s="224"/>
      <c r="R266" s="224"/>
      <c r="S266" s="224"/>
      <c r="T266" s="224"/>
      <c r="U266" s="224"/>
      <c r="V266" s="224"/>
      <c r="W266" s="224"/>
      <c r="X266" s="224"/>
      <c r="Y266" s="224"/>
      <c r="Z266" s="224"/>
    </row>
    <row r="267">
      <c r="A267" s="225" t="str">
        <f>IFERROR(__xludf.DUMMYFUNCTION("""COMPUTED_VALUE"""),"Leaf Guard")</f>
        <v>Leaf Guard</v>
      </c>
      <c r="B267" s="225" t="str">
        <f>IFERROR(__xludf.DUMMYFUNCTION("""COMPUTED_VALUE"""),"Scene x2 - Swift Action")</f>
        <v>Scene x2 - Swift Action</v>
      </c>
      <c r="C267" s="225" t="str">
        <f>IFERROR(__xludf.DUMMYFUNCTION("""COMPUTED_VALUE"""),"Effect: The user gains a Leafy Coat. While the user has a Leafy Coat, they’re treated as being only grass Typed and they have Damage Reduction equal to their Tier Value.. After an Attack resolves where the user takes Super Effective Damage or a Critical H"&amp;"it, they must pass a DC 15 Save Check or else the Leafy Coat is expended.  ")</f>
        <v>Effect: The user gains a Leafy Coat. While the user has a Leafy Coat, they’re treated as being only grass Typed and they have Damage Reduction equal to their Tier Value.. After an Attack resolves where the user takes Super Effective Damage or a Critical Hit, they must pass a DC 15 Save Check or else the Leafy Coat is expended.  </v>
      </c>
      <c r="D267" s="225"/>
      <c r="E267" s="225"/>
      <c r="F267" s="225" t="str">
        <f>IFERROR(__xludf.DUMMYFUNCTION("""COMPUTED_VALUE"""),"Defensive")</f>
        <v>Defensive</v>
      </c>
      <c r="G267" s="226" t="str">
        <f>IFERROR(__xludf.DUMMYFUNCTION("""COMPUTED_VALUE"""),"Scene x2 - Swift Action
Keywords - Defensive
Effect: The user gains a Leafy Coat. While the user has a Leafy Coat, they’re treated as being only grass Typed and they have Damage Reduction equal to their Tier Value.. After an Attack resolves where the user"&amp;" takes Super Effective Damage or a Critical Hit, they must pass a DC 15 Save Check or else the Leafy Coat is expended.  ")</f>
        <v>Scene x2 - Swift Action
Keywords - Defensive
Effect: The user gains a Leafy Coat. While the user has a Leafy Coat, they’re treated as being only grass Typed and they have Damage Reduction equal to their Tier Value.. After an Attack resolves where the user takes Super Effective Damage or a Critical Hit, they must pass a DC 15 Save Check or else the Leafy Coat is expended.  </v>
      </c>
      <c r="H267" s="224"/>
      <c r="I267" s="224"/>
      <c r="J267" s="224"/>
      <c r="K267" s="224"/>
      <c r="L267" s="224"/>
      <c r="M267" s="224"/>
      <c r="N267" s="224"/>
      <c r="O267" s="224"/>
      <c r="P267" s="224"/>
      <c r="Q267" s="224"/>
      <c r="R267" s="224"/>
      <c r="S267" s="224"/>
      <c r="T267" s="224"/>
      <c r="U267" s="224"/>
      <c r="V267" s="224"/>
      <c r="W267" s="224"/>
      <c r="X267" s="224"/>
      <c r="Y267" s="224"/>
      <c r="Z267" s="224"/>
    </row>
    <row r="268">
      <c r="A268" s="225" t="str">
        <f>IFERROR(__xludf.DUMMYFUNCTION("""COMPUTED_VALUE"""),"Legionnaire")</f>
        <v>Legionnaire</v>
      </c>
      <c r="B268" s="225" t="str">
        <f>IFERROR(__xludf.DUMMYFUNCTION("""COMPUTED_VALUE"""),"At-Will - Swift Action")</f>
        <v>At-Will - Swift Action</v>
      </c>
      <c r="C268" s="225" t="str">
        <f>IFERROR(__xludf.DUMMYFUNCTION("""COMPUTED_VALUE"""),"Effect: Choose an effect below which persists until the start of your next Turn.
■ Tetsudo Formation - The user has Damage Reduction equal to their Tier Value against non-Adjacent Attacks.
■ Phalanx Formation - Choose up to 5 Unoccupied Spaces that are co"&amp;"ntiguous with the one the user is occupying. The user is considered to occupy all of these spaces and Enemies treat them as Blocking Terrain. 
■ Corona Formation - An Adjacent Enemy becomes Trapped. They cannot Target any Ally more than 3m away from you w"&amp;"hile Trapped.
■ Orbis Formation - The user cannot be Flanked or Surrounded. The user and Adjacent Allies have bonus Evasion equal to your Tier Level.")</f>
        <v>Effect: Choose an effect below which persists until the start of your next Turn.
■ Tetsudo Formation - The user has Damage Reduction equal to their Tier Value against non-Adjacent Attacks.
■ Phalanx Formation - Choose up to 5 Unoccupied Spaces that are contiguous with the one the user is occupying. The user is considered to occupy all of these spaces and Enemies treat them as Blocking Terrain. 
■ Corona Formation - An Adjacent Enemy becomes Trapped. They cannot Target any Ally more than 3m away from you while Trapped.
■ Orbis Formation - The user cannot be Flanked or Surrounded. The user and Adjacent Allies have bonus Evasion equal to your Tier Level.</v>
      </c>
      <c r="D268" s="225"/>
      <c r="E268" s="225"/>
      <c r="F268" s="225" t="str">
        <f>IFERROR(__xludf.DUMMYFUNCTION("""COMPUTED_VALUE"""),"Innate")</f>
        <v>Innate</v>
      </c>
      <c r="G268" s="226" t="str">
        <f>IFERROR(__xludf.DUMMYFUNCTION("""COMPUTED_VALUE"""),"At-Will - Swift Action
Keywords - Innate
Effect: Choose an effect below which persists until the start of your next Turn.
■ Tetsudo Formation - The user has Damage Reduction equal to their Tier Value against non-Adjacent Attacks.
■ Phalanx Formation - Cho"&amp;"ose up to 5 Unoccupied Spaces that are contiguous with the one the user is occupying. The user is considered to occupy all of these spaces and Enemies treat them as Blocking Terrain. 
■ Corona Formation - An Adjacent Enemy becomes Trapped. They cannot Tar"&amp;"get any Ally more than 3m away from you while Trapped.
■ Orbis Formation - The user cannot be Flanked or Surrounded. The user and Adjacent Allies have bonus Evasion equal to your Tier Level.")</f>
        <v>At-Will - Swift Action
Keywords - Innate
Effect: Choose an effect below which persists until the start of your next Turn.
■ Tetsudo Formation - The user has Damage Reduction equal to their Tier Value against non-Adjacent Attacks.
■ Phalanx Formation - Choose up to 5 Unoccupied Spaces that are contiguous with the one the user is occupying. The user is considered to occupy all of these spaces and Enemies treat them as Blocking Terrain. 
■ Corona Formation - An Adjacent Enemy becomes Trapped. They cannot Target any Ally more than 3m away from you while Trapped.
■ Orbis Formation - The user cannot be Flanked or Surrounded. The user and Adjacent Allies have bonus Evasion equal to your Tier Level.</v>
      </c>
      <c r="H268" s="224"/>
      <c r="I268" s="224"/>
      <c r="J268" s="224"/>
      <c r="K268" s="224"/>
      <c r="L268" s="224"/>
      <c r="M268" s="224"/>
      <c r="N268" s="224"/>
      <c r="O268" s="224"/>
      <c r="P268" s="224"/>
      <c r="Q268" s="224"/>
      <c r="R268" s="224"/>
      <c r="S268" s="224"/>
      <c r="T268" s="224"/>
      <c r="U268" s="224"/>
      <c r="V268" s="224"/>
      <c r="W268" s="224"/>
      <c r="X268" s="224"/>
      <c r="Y268" s="224"/>
      <c r="Z268" s="224"/>
    </row>
    <row r="269">
      <c r="A269" s="225" t="str">
        <f>IFERROR(__xludf.DUMMYFUNCTION("""COMPUTED_VALUE"""),"Levitate")</f>
        <v>Levitate</v>
      </c>
      <c r="B269" s="225" t="str">
        <f>IFERROR(__xludf.DUMMYFUNCTION("""COMPUTED_VALUE"""),"Scene - Swift Action")</f>
        <v>Scene - Swift Action</v>
      </c>
      <c r="C269" s="225" t="str">
        <f>IFERROR(__xludf.DUMMYFUNCTION("""COMPUTED_VALUE"""),"Effect: You may use the Flier Capability as a Free Action.
Bonus: When using the Flier Capability, the user does not become Grounded at the end of their Turn. While Airborne, the user is Immune to Ground Type and Groundsource Attacks and has Evasion again"&amp;"st non-Adjacent Attacks equal to their Tier Level. *Grants Flier")</f>
        <v>Effect: You may use the Flier Capability as a Free Action.
Bonus: When using the Flier Capability, the user does not become Grounded at the end of their Turn. While Airborne, the user is Immune to Ground Type and Groundsource Attacks and has Evasion against non-Adjacent Attacks equal to their Tier Level. *Grants Flier</v>
      </c>
      <c r="D269" s="225" t="str">
        <f>IFERROR(__xludf.DUMMYFUNCTION("""COMPUTED_VALUE"""),"A Round Starts")</f>
        <v>A Round Starts</v>
      </c>
      <c r="E269" s="225"/>
      <c r="F269" s="225" t="str">
        <f>IFERROR(__xludf.DUMMYFUNCTION("""COMPUTED_VALUE"""),"Defensive")</f>
        <v>Defensive</v>
      </c>
      <c r="G269" s="226" t="str">
        <f>IFERROR(__xludf.DUMMYFUNCTION("""COMPUTED_VALUE"""),"Scene - Swift Action
Keywords - Defensive
Trigger - A Round Starts
Effect: You may use the Flier Capability as a Free Action.
Bonus: When using the Flier Capability, the user does not become Grounded at the end of their Turn. While Airborne, the user is I"&amp;"mmune to Ground Type and Groundsource Attacks and has Evasion against non-Adjacent Attacks equal to their Tier Level. *Grants Flier")</f>
        <v>Scene - Swift Action
Keywords - Defensive
Trigger - A Round Starts
Effect: You may use the Flier Capability as a Free Action.
Bonus: When using the Flier Capability, the user does not become Grounded at the end of their Turn. While Airborne, the user is Immune to Ground Type and Groundsource Attacks and has Evasion against non-Adjacent Attacks equal to their Tier Level. *Grants Flier</v>
      </c>
      <c r="H269" s="224"/>
      <c r="I269" s="224"/>
      <c r="J269" s="224"/>
      <c r="K269" s="224"/>
      <c r="L269" s="224"/>
      <c r="M269" s="224"/>
      <c r="N269" s="224"/>
      <c r="O269" s="224"/>
      <c r="P269" s="224"/>
      <c r="Q269" s="224"/>
      <c r="R269" s="224"/>
      <c r="S269" s="224"/>
      <c r="T269" s="224"/>
      <c r="U269" s="224"/>
      <c r="V269" s="224"/>
      <c r="W269" s="224"/>
      <c r="X269" s="224"/>
      <c r="Y269" s="224"/>
      <c r="Z269" s="224"/>
    </row>
    <row r="270">
      <c r="A270" s="225" t="str">
        <f>IFERROR(__xludf.DUMMYFUNCTION("""COMPUTED_VALUE"""),"Life Force")</f>
        <v>Life Force</v>
      </c>
      <c r="B270" s="225" t="str">
        <f>IFERROR(__xludf.DUMMYFUNCTION("""COMPUTED_VALUE"""),"Scene x2 - Swift Action ")</f>
        <v>Scene x2 - Swift Action </v>
      </c>
      <c r="C270" s="225" t="str">
        <f>IFERROR(__xludf.DUMMYFUNCTION("""COMPUTED_VALUE"""),"Effect: The Target loses two Ticks of Hit Points and you gain two Ticks of Temporary Hit Points. 
Bonus: Once per Round as a Swift or Movement Action, the user may restore a Tick of Hit Points.")</f>
        <v>Effect: The Target loses two Ticks of Hit Points and you gain two Ticks of Temporary Hit Points. 
Bonus: Once per Round as a Swift or Movement Action, the user may restore a Tick of Hit Points.</v>
      </c>
      <c r="D270" s="225"/>
      <c r="E270" s="225" t="str">
        <f>IFERROR(__xludf.DUMMYFUNCTION("""COMPUTED_VALUE"""),"An Adjacent Enemy that has an Affliction")</f>
        <v>An Adjacent Enemy that has an Affliction</v>
      </c>
      <c r="F270" s="225" t="str">
        <f>IFERROR(__xludf.DUMMYFUNCTION("""COMPUTED_VALUE"""),"Defensive")</f>
        <v>Defensive</v>
      </c>
      <c r="G270" s="226" t="str">
        <f>IFERROR(__xludf.DUMMYFUNCTION("""COMPUTED_VALUE"""),"Scene x2 - Swift Action 
Keywords - Defensive
Target - An Adjacent Enemy that has an Affliction
Effect: The Target loses two Ticks of Hit Points and you gain two Ticks of Temporary Hit Points. 
Bonus: Once per Round as a Swift or Movement Action, the user"&amp;" may restore a Tick of Hit Points.")</f>
        <v>Scene x2 - Swift Action 
Keywords - Defensive
Target - An Adjacent Enemy that has an Affliction
Effect: The Target loses two Ticks of Hit Points and you gain two Ticks of Temporary Hit Points. 
Bonus: Once per Round as a Swift or Movement Action, the user may restore a Tick of Hit Points.</v>
      </c>
      <c r="H270" s="224"/>
      <c r="I270" s="224"/>
      <c r="J270" s="224"/>
      <c r="K270" s="224"/>
      <c r="L270" s="224"/>
      <c r="M270" s="224"/>
      <c r="N270" s="224"/>
      <c r="O270" s="224"/>
      <c r="P270" s="224"/>
      <c r="Q270" s="224"/>
      <c r="R270" s="224"/>
      <c r="S270" s="224"/>
      <c r="T270" s="224"/>
      <c r="U270" s="224"/>
      <c r="V270" s="224"/>
      <c r="W270" s="224"/>
      <c r="X270" s="224"/>
      <c r="Y270" s="224"/>
      <c r="Z270" s="224"/>
    </row>
    <row r="271">
      <c r="A271" s="225" t="str">
        <f>IFERROR(__xludf.DUMMYFUNCTION("""COMPUTED_VALUE"""),"Lightning Kicks")</f>
        <v>Lightning Kicks</v>
      </c>
      <c r="B271" s="225" t="str">
        <f>IFERROR(__xludf.DUMMYFUNCTION("""COMPUTED_VALUE"""),"Scene - Reaction")</f>
        <v>Scene - Reaction</v>
      </c>
      <c r="C271" s="225" t="str">
        <f>IFERROR(__xludf.DUMMYFUNCTION("""COMPUTED_VALUE"""),"Effect: You may use a ""Kick"" Attack as a Standard Action against the Triggering Enemy. This Attack resolves before the Triggering Attack. If the Triggering Enemy were to faint, their Attack does not resolve. 
Bonus: The user’s Melee Attacks all gain the"&amp;" Dash Keyword and if Dash is activated, it ignores Speed Evasion. ")</f>
        <v>Effect: You may use a "Kick" Attack as a Standard Action against the Triggering Enemy. This Attack resolves before the Triggering Attack. If the Triggering Enemy were to faint, their Attack does not resolve. 
Bonus: The user’s Melee Attacks all gain the Dash Keyword and if Dash is activated, it ignores Speed Evasion. </v>
      </c>
      <c r="D271" s="225" t="str">
        <f>IFERROR(__xludf.DUMMYFUNCTION("""COMPUTED_VALUE"""),"The user is Targeted by an Adjacent Attack")</f>
        <v>The user is Targeted by an Adjacent Attack</v>
      </c>
      <c r="E271" s="225"/>
      <c r="F271" s="225"/>
      <c r="G271" s="226" t="str">
        <f>IFERROR(__xludf.DUMMYFUNCTION("""COMPUTED_VALUE"""),"Scene - Reaction
Trigger - The user is Targeted by an Adjacent Attack
Effect: You may use a ""Kick"" Attack as a Standard Action against the Triggering Enemy. This Attack resolves before the Triggering Attack. If the Triggering Enemy were to faint, their "&amp;"Attack does not resolve. 
Bonus: The user’s Melee Attacks all gain the Dash Keyword and if Dash is activated, it ignores Speed Evasion. ")</f>
        <v>Scene - Reaction
Trigger - The user is Targeted by an Adjacent Attack
Effect: You may use a "Kick" Attack as a Standard Action against the Triggering Enemy. This Attack resolves before the Triggering Attack. If the Triggering Enemy were to faint, their Attack does not resolve. 
Bonus: The user’s Melee Attacks all gain the Dash Keyword and if Dash is activated, it ignores Speed Evasion. </v>
      </c>
      <c r="H271" s="224"/>
      <c r="I271" s="224"/>
      <c r="J271" s="224"/>
      <c r="K271" s="224"/>
      <c r="L271" s="224"/>
      <c r="M271" s="224"/>
      <c r="N271" s="224"/>
      <c r="O271" s="224"/>
      <c r="P271" s="224"/>
      <c r="Q271" s="224"/>
      <c r="R271" s="224"/>
      <c r="S271" s="224"/>
      <c r="T271" s="224"/>
      <c r="U271" s="224"/>
      <c r="V271" s="224"/>
      <c r="W271" s="224"/>
      <c r="X271" s="224"/>
      <c r="Y271" s="224"/>
      <c r="Z271" s="224"/>
    </row>
    <row r="272">
      <c r="A272" s="225" t="str">
        <f>IFERROR(__xludf.DUMMYFUNCTION("""COMPUTED_VALUE"""),"Lingering Aroma")</f>
        <v>Lingering Aroma</v>
      </c>
      <c r="B272" s="225" t="str">
        <f>IFERROR(__xludf.DUMMYFUNCTION("""COMPUTED_VALUE"""),"At-Will - Free Action")</f>
        <v>At-Will - Free Action</v>
      </c>
      <c r="C272" s="225" t="str">
        <f>IFERROR(__xludf.DUMMYFUNCTION("""COMPUTED_VALUE"""),"Effect: The Triggering Enemy must expend a Reaction or pass a TN 12 Save Check. On a Failure, you may either choose one of their Abilities to become Disabled, or lower one of their Stats by -2 CS. If they got a 3 or less, both apply instead. ")</f>
        <v>Effect: The Triggering Enemy must expend a Reaction or pass a TN 12 Save Check. On a Failure, you may either choose one of their Abilities to become Disabled, or lower one of their Stats by -2 CS. If they got a 3 or less, both apply instead. </v>
      </c>
      <c r="D272" s="225" t="str">
        <f>IFERROR(__xludf.DUMMYFUNCTION("""COMPUTED_VALUE"""),"An Enemy ends their Turn within 2m of you")</f>
        <v>An Enemy ends their Turn within 2m of you</v>
      </c>
      <c r="E272" s="225"/>
      <c r="F272" s="225" t="str">
        <f>IFERROR(__xludf.DUMMYFUNCTION("""COMPUTED_VALUE"""),"Defensive")</f>
        <v>Defensive</v>
      </c>
      <c r="G272" s="226" t="str">
        <f>IFERROR(__xludf.DUMMYFUNCTION("""COMPUTED_VALUE"""),"At-Will - Free Action
Keywords - Defensive
Trigger - An Enemy ends their Turn within 2m of you
Effect: The Triggering Enemy must expend a Reaction or pass a TN 12 Save Check. On a Failure, you may either choose one of their Abilities to become Disabled, o"&amp;"r lower one of their Stats by -2 CS. If they got a 3 or less, both apply instead. ")</f>
        <v>At-Will - Free Action
Keywords - Defensive
Trigger - An Enemy ends their Turn within 2m of you
Effect: The Triggering Enemy must expend a Reaction or pass a TN 12 Save Check. On a Failure, you may either choose one of their Abilities to become Disabled, or lower one of their Stats by -2 CS. If they got a 3 or less, both apply instead. </v>
      </c>
      <c r="H272" s="224"/>
      <c r="I272" s="224"/>
      <c r="J272" s="224"/>
      <c r="K272" s="224"/>
      <c r="L272" s="224"/>
      <c r="M272" s="224"/>
      <c r="N272" s="224"/>
      <c r="O272" s="224"/>
      <c r="P272" s="224"/>
      <c r="Q272" s="224"/>
      <c r="R272" s="224"/>
      <c r="S272" s="224"/>
      <c r="T272" s="224"/>
      <c r="U272" s="224"/>
      <c r="V272" s="224"/>
      <c r="W272" s="224"/>
      <c r="X272" s="224"/>
      <c r="Y272" s="224"/>
      <c r="Z272" s="224"/>
    </row>
    <row r="273">
      <c r="A273" s="225" t="str">
        <f>IFERROR(__xludf.DUMMYFUNCTION("""COMPUTED_VALUE"""),"Liquid Ooze")</f>
        <v>Liquid Ooze</v>
      </c>
      <c r="B273" s="225" t="str">
        <f>IFERROR(__xludf.DUMMYFUNCTION("""COMPUTED_VALUE"""),"At-Will - Reaction")</f>
        <v>At-Will - Reaction</v>
      </c>
      <c r="C273" s="225" t="str">
        <f>IFERROR(__xludf.DUMMYFUNCTION("""COMPUTED_VALUE"""),"Effect: The Triggering Enemy becomes Poisoned. If the Trigger was being hit with an Attack and the Triggering Enemy is already Poisoned, they cannot cure the Affliction during their next Save Check.  ")</f>
        <v>Effect: The Triggering Enemy becomes Poisoned. If the Trigger was being hit with an Attack and the Triggering Enemy is already Poisoned, they cannot cure the Affliction during their next Save Check.  </v>
      </c>
      <c r="D273" s="225" t="str">
        <f>IFERROR(__xludf.DUMMYFUNCTION("""COMPUTED_VALUE"""),"An Enemy ends their Turn Adjacent to the user or hits them with an Attack while Adjacent to them")</f>
        <v>An Enemy ends their Turn Adjacent to the user or hits them with an Attack while Adjacent to them</v>
      </c>
      <c r="E273" s="225"/>
      <c r="F273" s="225" t="str">
        <f>IFERROR(__xludf.DUMMYFUNCTION("""COMPUTED_VALUE"""),"Defensive")</f>
        <v>Defensive</v>
      </c>
      <c r="G273" s="226" t="str">
        <f>IFERROR(__xludf.DUMMYFUNCTION("""COMPUTED_VALUE"""),"At-Will - Reaction
Keywords - Defensive
Trigger - An Enemy ends their Turn Adjacent to the user or hits them with an Attack while Adjacent to them
Effect: The Triggering Enemy becomes Poisoned. If the Trigger was being hit with an Attack and the Triggerin"&amp;"g Enemy is already Poisoned, they cannot cure the Affliction during their next Save Check.  ")</f>
        <v>At-Will - Reaction
Keywords - Defensive
Trigger - An Enemy ends their Turn Adjacent to the user or hits them with an Attack while Adjacent to them
Effect: The Triggering Enemy becomes Poisoned. If the Trigger was being hit with an Attack and the Triggering Enemy is already Poisoned, they cannot cure the Affliction during their next Save Check.  </v>
      </c>
      <c r="H273" s="224"/>
      <c r="I273" s="224"/>
      <c r="J273" s="224"/>
      <c r="K273" s="224"/>
      <c r="L273" s="224"/>
      <c r="M273" s="224"/>
      <c r="N273" s="224"/>
      <c r="O273" s="224"/>
      <c r="P273" s="224"/>
      <c r="Q273" s="224"/>
      <c r="R273" s="224"/>
      <c r="S273" s="224"/>
      <c r="T273" s="224"/>
      <c r="U273" s="224"/>
      <c r="V273" s="224"/>
      <c r="W273" s="224"/>
      <c r="X273" s="224"/>
      <c r="Y273" s="224"/>
      <c r="Z273" s="224"/>
    </row>
    <row r="274">
      <c r="A274" s="225" t="str">
        <f>IFERROR(__xludf.DUMMYFUNCTION("""COMPUTED_VALUE"""),"Liquid Voice")</f>
        <v>Liquid Voice</v>
      </c>
      <c r="B274" s="225" t="str">
        <f>IFERROR(__xludf.DUMMYFUNCTION("""COMPUTED_VALUE"""),"At-Will - Swift Action")</f>
        <v>At-Will - Swift Action</v>
      </c>
      <c r="C274" s="225" t="str">
        <f>IFERROR(__xludf.DUMMYFUNCTION("""COMPUTED_VALUE"""),"Effect: The triggering Attack loses the Sonic keyword, but gains the Friendly keyword and becomes Water Typed. If the Attack was a Status Class Attack, you may treat it as a Special Attack with DB 4. This ability may not be used with Perish Song.")</f>
        <v>Effect: The triggering Attack loses the Sonic keyword, but gains the Friendly keyword and becomes Water Typed. If the Attack was a Status Class Attack, you may treat it as a Special Attack with DB 4. This ability may not be used with Perish Song.</v>
      </c>
      <c r="D274" s="225" t="str">
        <f>IFERROR(__xludf.DUMMYFUNCTION("""COMPUTED_VALUE"""),"The user uses an Attack with the Sonic Keyword as a Standard Action")</f>
        <v>The user uses an Attack with the Sonic Keyword as a Standard Action</v>
      </c>
      <c r="E274" s="225"/>
      <c r="F274" s="225"/>
      <c r="G274" s="226" t="str">
        <f>IFERROR(__xludf.DUMMYFUNCTION("""COMPUTED_VALUE"""),"At-Will - Swift Action
Trigger - The user uses an Attack with the Sonic Keyword as a Standard Action
Effect: The triggering Attack loses the Sonic keyword, but gains the Friendly keyword and becomes Water Typed. If the Attack was a Status Class Attack, yo"&amp;"u may treat it as a Special Attack with DB 4. This ability may not be used with Perish Song.")</f>
        <v>At-Will - Swift Action
Trigger - The user uses an Attack with the Sonic Keyword as a Standard Action
Effect: The triggering Attack loses the Sonic keyword, but gains the Friendly keyword and becomes Water Typed. If the Attack was a Status Class Attack, you may treat it as a Special Attack with DB 4. This ability may not be used with Perish Song.</v>
      </c>
      <c r="H274" s="224"/>
      <c r="I274" s="224"/>
      <c r="J274" s="224"/>
      <c r="K274" s="224"/>
      <c r="L274" s="224"/>
      <c r="M274" s="224"/>
      <c r="N274" s="224"/>
      <c r="O274" s="224"/>
      <c r="P274" s="224"/>
      <c r="Q274" s="224"/>
      <c r="R274" s="224"/>
      <c r="S274" s="224"/>
      <c r="T274" s="224"/>
      <c r="U274" s="224"/>
      <c r="V274" s="224"/>
      <c r="W274" s="224"/>
      <c r="X274" s="224"/>
      <c r="Y274" s="224"/>
      <c r="Z274" s="224"/>
    </row>
    <row r="275">
      <c r="A275" s="225" t="str">
        <f>IFERROR(__xludf.DUMMYFUNCTION("""COMPUTED_VALUE"""),"Long Reach")</f>
        <v>Long Reach</v>
      </c>
      <c r="B275" s="225" t="str">
        <f>IFERROR(__xludf.DUMMYFUNCTION("""COMPUTED_VALUE"""),"Static")</f>
        <v>Static</v>
      </c>
      <c r="C275" s="225" t="str">
        <f>IFERROR(__xludf.DUMMYFUNCTION("""COMPUTED_VALUE"""),"Effect: The user may use Damaging Attacks as if they had a range of ""6, 1 Target"" instead of their usual range. The user's Attack of Opportunity is modified, all mentions of ""Adjacent Enemy"" becomes ""an Enemy within 3m"". The final trigger becomes """&amp;"when an Enemy shifts out of a burst 3 range from the user"" rather than moving out of adjacency.")</f>
        <v>Effect: The user may use Damaging Attacks as if they had a range of "6, 1 Target" instead of their usual range. The user's Attack of Opportunity is modified, all mentions of "Adjacent Enemy" becomes "an Enemy within 3m". The final trigger becomes "when an Enemy shifts out of a burst 3 range from the user" rather than moving out of adjacency.</v>
      </c>
      <c r="D275" s="225"/>
      <c r="E275" s="225"/>
      <c r="F275" s="225"/>
      <c r="G275" s="226" t="str">
        <f>IFERROR(__xludf.DUMMYFUNCTION("""COMPUTED_VALUE"""),"Static
Effect: The user may use Damaging Attacks as if they had a range of ""6, 1 Target"" instead of their usual range. The user's Attack of Opportunity is modified, all mentions of ""Adjacent Enemy"" becomes ""an Enemy within 3m"". The final trigger bec"&amp;"omes ""when an Enemy shifts out of a burst 3 range from the user"" rather than moving out of adjacency.")</f>
        <v>Static
Effect: The user may use Damaging Attacks as if they had a range of "6, 1 Target" instead of their usual range. The user's Attack of Opportunity is modified, all mentions of "Adjacent Enemy" becomes "an Enemy within 3m". The final trigger becomes "when an Enemy shifts out of a burst 3 range from the user" rather than moving out of adjacency.</v>
      </c>
      <c r="H275" s="224"/>
      <c r="I275" s="224"/>
      <c r="J275" s="224"/>
      <c r="K275" s="224"/>
      <c r="L275" s="224"/>
      <c r="M275" s="224"/>
      <c r="N275" s="224"/>
      <c r="O275" s="224"/>
      <c r="P275" s="224"/>
      <c r="Q275" s="224"/>
      <c r="R275" s="224"/>
      <c r="S275" s="224"/>
      <c r="T275" s="224"/>
      <c r="U275" s="224"/>
      <c r="V275" s="224"/>
      <c r="W275" s="224"/>
      <c r="X275" s="224"/>
      <c r="Y275" s="224"/>
      <c r="Z275" s="224"/>
    </row>
    <row r="276">
      <c r="A276" s="225" t="str">
        <f>IFERROR(__xludf.DUMMYFUNCTION("""COMPUTED_VALUE"""),"Lullaby")</f>
        <v>Lullaby</v>
      </c>
      <c r="B276" s="225" t="str">
        <f>IFERROR(__xludf.DUMMYFUNCTION("""COMPUTED_VALUE"""),"Static")</f>
        <v>Static</v>
      </c>
      <c r="C276" s="225" t="str">
        <f>IFERROR(__xludf.DUMMYFUNCTION("""COMPUTED_VALUE"""),"Connection - Sing. 
Effect: Enemies that are Drowsy as a result of the user are Vulnerable while they're Drowsy. While a Drowsy Enemy is within 2m of you, they have a penalty to Save Checks equal to your Tier Level.")</f>
        <v>Connection - Sing. 
Effect: Enemies that are Drowsy as a result of the user are Vulnerable while they're Drowsy. While a Drowsy Enemy is within 2m of you, they have a penalty to Save Checks equal to your Tier Level.</v>
      </c>
      <c r="D276" s="225"/>
      <c r="E276" s="225"/>
      <c r="F276" s="225"/>
      <c r="G276" s="226" t="str">
        <f>IFERROR(__xludf.DUMMYFUNCTION("""COMPUTED_VALUE"""),"Static
Connection - Sing. 
Effect: Enemies that are Drowsy as a result of the user are Vulnerable while they're Drowsy. While a Drowsy Enemy is within 2m of you, they have a penalty to Save Checks equal to your Tier Level.")</f>
        <v>Static
Connection - Sing. 
Effect: Enemies that are Drowsy as a result of the user are Vulnerable while they're Drowsy. While a Drowsy Enemy is within 2m of you, they have a penalty to Save Checks equal to your Tier Level.</v>
      </c>
      <c r="H276" s="224"/>
      <c r="I276" s="224"/>
      <c r="J276" s="224"/>
      <c r="K276" s="224"/>
      <c r="L276" s="224"/>
      <c r="M276" s="224"/>
      <c r="N276" s="224"/>
      <c r="O276" s="224"/>
      <c r="P276" s="224"/>
      <c r="Q276" s="224"/>
      <c r="R276" s="224"/>
      <c r="S276" s="224"/>
      <c r="T276" s="224"/>
      <c r="U276" s="224"/>
      <c r="V276" s="224"/>
      <c r="W276" s="224"/>
      <c r="X276" s="224"/>
      <c r="Y276" s="224"/>
      <c r="Z276" s="224"/>
    </row>
    <row r="277">
      <c r="A277" s="225" t="str">
        <f>IFERROR(__xludf.DUMMYFUNCTION("""COMPUTED_VALUE"""),"Magical Surge")</f>
        <v>Magical Surge</v>
      </c>
      <c r="B277" s="225" t="str">
        <f>IFERROR(__xludf.DUMMYFUNCTION("""COMPUTED_VALUE"""),"Scene x2 - Free Action")</f>
        <v>Scene x2 - Free Action</v>
      </c>
      <c r="C277" s="225" t="str">
        <f>IFERROR(__xludf.DUMMYFUNCTION("""COMPUTED_VALUE"""),"Effect: The user next Special Attack gains the Smite Keyword
Bonus: While the user is in Mystical Weather, their Special Damaging Attacks have a bonus to Critical Hit Ranges equal to your Tier Level.")</f>
        <v>Effect: The user next Special Attack gains the Smite Keyword
Bonus: While the user is in Mystical Weather, their Special Damaging Attacks have a bonus to Critical Hit Ranges equal to your Tier Level.</v>
      </c>
      <c r="D277" s="225" t="str">
        <f>IFERROR(__xludf.DUMMYFUNCTION("""COMPUTED_VALUE"""),"The user drops below 50% Hit Points or ends their Turn in Mystical Weather")</f>
        <v>The user drops below 50% Hit Points or ends their Turn in Mystical Weather</v>
      </c>
      <c r="E277" s="225"/>
      <c r="F277" s="225"/>
      <c r="G277" s="226" t="str">
        <f>IFERROR(__xludf.DUMMYFUNCTION("""COMPUTED_VALUE"""),"Scene x2 - Free Action
Trigger - The user drops below 50% Hit Points or ends their Turn in Mystical Weather
Effect: The user next Special Attack gains the Smite Keyword
Bonus: While the user is in Mystical Weather, their Special Damaging Attacks have a bo"&amp;"nus to Critical Hit Ranges equal to your Tier Level.")</f>
        <v>Scene x2 - Free Action
Trigger - The user drops below 50% Hit Points or ends their Turn in Mystical Weather
Effect: The user next Special Attack gains the Smite Keyword
Bonus: While the user is in Mystical Weather, their Special Damaging Attacks have a bonus to Critical Hit Ranges equal to your Tier Level.</v>
      </c>
      <c r="H277" s="224"/>
      <c r="I277" s="224"/>
      <c r="J277" s="224"/>
      <c r="K277" s="224"/>
      <c r="L277" s="224"/>
      <c r="M277" s="224"/>
      <c r="N277" s="224"/>
      <c r="O277" s="224"/>
      <c r="P277" s="224"/>
      <c r="Q277" s="224"/>
      <c r="R277" s="224"/>
      <c r="S277" s="224"/>
      <c r="T277" s="224"/>
      <c r="U277" s="224"/>
      <c r="V277" s="224"/>
      <c r="W277" s="224"/>
      <c r="X277" s="224"/>
      <c r="Y277" s="224"/>
      <c r="Z277" s="224"/>
    </row>
    <row r="278">
      <c r="A278" s="225" t="str">
        <f>IFERROR(__xludf.DUMMYFUNCTION("""COMPUTED_VALUE"""),"Magic Bounce")</f>
        <v>Magic Bounce</v>
      </c>
      <c r="B278" s="225" t="str">
        <f>IFERROR(__xludf.DUMMYFUNCTION("""COMPUTED_VALUE"""),"Scene x2 - Reaction")</f>
        <v>Scene x2 - Reaction</v>
      </c>
      <c r="C278" s="225" t="str">
        <f>IFERROR(__xludf.DUMMYFUNCTION("""COMPUTED_VALUE"""),"Effect: After Damage Calculations, choose an Enemy within 2m to lose Hit Points equal to the amount lost from the Triggering Attack.  ")</f>
        <v>Effect: After Damage Calculations, choose an Enemy within 2m to lose Hit Points equal to the amount lost from the Triggering Attack.  </v>
      </c>
      <c r="D278" s="225" t="str">
        <f>IFERROR(__xludf.DUMMYFUNCTION("""COMPUTED_VALUE"""),"The user is hit with a Special Attack and doesn’t faint")</f>
        <v>The user is hit with a Special Attack and doesn’t faint</v>
      </c>
      <c r="E278" s="225"/>
      <c r="F278" s="225" t="str">
        <f>IFERROR(__xludf.DUMMYFUNCTION("""COMPUTED_VALUE"""),"Defensive")</f>
        <v>Defensive</v>
      </c>
      <c r="G278" s="226" t="str">
        <f>IFERROR(__xludf.DUMMYFUNCTION("""COMPUTED_VALUE"""),"Scene x2 - Reaction
Keywords - Defensive
Trigger - The user is hit with a Special Attack and doesn’t faint
Effect: After Damage Calculations, choose an Enemy within 2m to lose Hit Points equal to the amount lost from the Triggering Attack.  ")</f>
        <v>Scene x2 - Reaction
Keywords - Defensive
Trigger - The user is hit with a Special Attack and doesn’t faint
Effect: After Damage Calculations, choose an Enemy within 2m to lose Hit Points equal to the amount lost from the Triggering Attack.  </v>
      </c>
      <c r="H278" s="224"/>
      <c r="I278" s="224"/>
      <c r="J278" s="224"/>
      <c r="K278" s="224"/>
      <c r="L278" s="224"/>
      <c r="M278" s="224"/>
      <c r="N278" s="224"/>
      <c r="O278" s="224"/>
      <c r="P278" s="224"/>
      <c r="Q278" s="224"/>
      <c r="R278" s="224"/>
      <c r="S278" s="224"/>
      <c r="T278" s="224"/>
      <c r="U278" s="224"/>
      <c r="V278" s="224"/>
      <c r="W278" s="224"/>
      <c r="X278" s="224"/>
      <c r="Y278" s="224"/>
      <c r="Z278" s="224"/>
    </row>
    <row r="279">
      <c r="A279" s="225" t="str">
        <f>IFERROR(__xludf.DUMMYFUNCTION("""COMPUTED_VALUE"""),"Magic Guard")</f>
        <v>Magic Guard</v>
      </c>
      <c r="B279" s="225" t="str">
        <f>IFERROR(__xludf.DUMMYFUNCTION("""COMPUTED_VALUE"""),"Static")</f>
        <v>Static</v>
      </c>
      <c r="C279" s="225" t="str">
        <f>IFERROR(__xludf.DUMMYFUNCTION("""COMPUTED_VALUE"""),"Effect: Whenever the user would lose Hit Points (Excluding Damage), they may subtract their Special Defense from the amount lost first. While the Weather is Mystical, the user gains Damage Reduction equal to their Tier Value against Special Attacks. ")</f>
        <v>Effect: Whenever the user would lose Hit Points (Excluding Damage), they may subtract their Special Defense from the amount lost first. While the Weather is Mystical, the user gains Damage Reduction equal to their Tier Value against Special Attacks. </v>
      </c>
      <c r="D279" s="225"/>
      <c r="E279" s="225"/>
      <c r="F279" s="225" t="str">
        <f>IFERROR(__xludf.DUMMYFUNCTION("""COMPUTED_VALUE"""),"Defensive")</f>
        <v>Defensive</v>
      </c>
      <c r="G279" s="226" t="str">
        <f>IFERROR(__xludf.DUMMYFUNCTION("""COMPUTED_VALUE"""),"Static
Keywords - Defensive
Effect: Whenever the user would lose Hit Points (Excluding Damage), they may subtract their Special Defense from the amount lost first. While the Weather is Mystical, the user gains Damage Reduction equal to their Tier Value ag"&amp;"ainst Special Attacks. ")</f>
        <v>Static
Keywords - Defensive
Effect: Whenever the user would lose Hit Points (Excluding Damage), they may subtract their Special Defense from the amount lost first. While the Weather is Mystical, the user gains Damage Reduction equal to their Tier Value against Special Attacks. </v>
      </c>
      <c r="H279" s="224"/>
      <c r="I279" s="224"/>
      <c r="J279" s="224"/>
      <c r="K279" s="224"/>
      <c r="L279" s="224"/>
      <c r="M279" s="224"/>
      <c r="N279" s="224"/>
      <c r="O279" s="224"/>
      <c r="P279" s="224"/>
      <c r="Q279" s="224"/>
      <c r="R279" s="224"/>
      <c r="S279" s="224"/>
      <c r="T279" s="224"/>
      <c r="U279" s="224"/>
      <c r="V279" s="224"/>
      <c r="W279" s="224"/>
      <c r="X279" s="224"/>
      <c r="Y279" s="224"/>
      <c r="Z279" s="224"/>
    </row>
    <row r="280">
      <c r="A280" s="225" t="str">
        <f>IFERROR(__xludf.DUMMYFUNCTION("""COMPUTED_VALUE"""),"Magician")</f>
        <v>Magician</v>
      </c>
      <c r="B280" s="225" t="str">
        <f>IFERROR(__xludf.DUMMYFUNCTION("""COMPUTED_VALUE"""),"Static")</f>
        <v>Static</v>
      </c>
      <c r="C280" s="225" t="str">
        <f>IFERROR(__xludf.DUMMYFUNCTION("""COMPUTED_VALUE"""),"Connection - Snatch. 
Effect: When using Snatch, you may choose to grant the benefits of the Self-Targeting Attack to both you and an ally within 6m. Whenever you hit an Adjacent Enemy with an Attack or Maneuver, you can perform a Disarm Maneuver against "&amp;"them as a Free Action and you may use Focus instead of Combat or Stealth.")</f>
        <v>Connection - Snatch. 
Effect: When using Snatch, you may choose to grant the benefits of the Self-Targeting Attack to both you and an ally within 6m. Whenever you hit an Adjacent Enemy with an Attack or Maneuver, you can perform a Disarm Maneuver against them as a Free Action and you may use Focus instead of Combat or Stealth.</v>
      </c>
      <c r="D280" s="225"/>
      <c r="E280" s="225"/>
      <c r="F280" s="225"/>
      <c r="G280" s="226" t="str">
        <f>IFERROR(__xludf.DUMMYFUNCTION("""COMPUTED_VALUE"""),"Static
Connection - Snatch. 
Effect: When using Snatch, you may choose to grant the benefits of the Self-Targeting Attack to both you and an ally within 6m. Whenever you hit an Adjacent Enemy with an Attack or Maneuver, you can perform a Disarm Maneuver a"&amp;"gainst them as a Free Action and you may use Focus instead of Combat or Stealth.")</f>
        <v>Static
Connection - Snatch. 
Effect: When using Snatch, you may choose to grant the benefits of the Self-Targeting Attack to both you and an ally within 6m. Whenever you hit an Adjacent Enemy with an Attack or Maneuver, you can perform a Disarm Maneuver against them as a Free Action and you may use Focus instead of Combat or Stealth.</v>
      </c>
      <c r="H280" s="224"/>
      <c r="I280" s="224"/>
      <c r="J280" s="224"/>
      <c r="K280" s="224"/>
      <c r="L280" s="224"/>
      <c r="M280" s="224"/>
      <c r="N280" s="224"/>
      <c r="O280" s="224"/>
      <c r="P280" s="224"/>
      <c r="Q280" s="224"/>
      <c r="R280" s="224"/>
      <c r="S280" s="224"/>
      <c r="T280" s="224"/>
      <c r="U280" s="224"/>
      <c r="V280" s="224"/>
      <c r="W280" s="224"/>
      <c r="X280" s="224"/>
      <c r="Y280" s="224"/>
      <c r="Z280" s="224"/>
    </row>
    <row r="281">
      <c r="A281" s="225" t="str">
        <f>IFERROR(__xludf.DUMMYFUNCTION("""COMPUTED_VALUE"""),"Magma Armor")</f>
        <v>Magma Armor</v>
      </c>
      <c r="B281" s="225" t="str">
        <f>IFERROR(__xludf.DUMMYFUNCTION("""COMPUTED_VALUE"""),"Scene x2 - Reaction")</f>
        <v>Scene x2 - Reaction</v>
      </c>
      <c r="C281" s="225" t="str">
        <f>IFERROR(__xludf.DUMMYFUNCTION("""COMPUTED_VALUE"""),"Effect: The Triggering Enemy becomes Burned after Damage Resolution
Bonus: Whenever you’re hit with a Melee Damaging Attack from a Burned Enemy, you treat the Type Effectiveness as if it were Resisted. ")</f>
        <v>Effect: The Triggering Enemy becomes Burned after Damage Resolution
Bonus: Whenever you’re hit with a Melee Damaging Attack from a Burned Enemy, you treat the Type Effectiveness as if it were Resisted. </v>
      </c>
      <c r="D281" s="225" t="str">
        <f>IFERROR(__xludf.DUMMYFUNCTION("""COMPUTED_VALUE"""),"You're hit with a Melee Attack")</f>
        <v>You're hit with a Melee Attack</v>
      </c>
      <c r="E281" s="225"/>
      <c r="F281" s="225" t="str">
        <f>IFERROR(__xludf.DUMMYFUNCTION("""COMPUTED_VALUE"""),"Defensive")</f>
        <v>Defensive</v>
      </c>
      <c r="G281" s="226" t="str">
        <f>IFERROR(__xludf.DUMMYFUNCTION("""COMPUTED_VALUE"""),"Scene x2 - Reaction
Keywords - Defensive
Trigger - You're hit with a Melee Attack
Effect: The Triggering Enemy becomes Burned after Damage Resolution
Bonus: Whenever you’re hit with a Melee Damaging Attack from a Burned Enemy, you treat the Type Effective"&amp;"ness as if it were Resisted. ")</f>
        <v>Scene x2 - Reaction
Keywords - Defensive
Trigger - You're hit with a Melee Attack
Effect: The Triggering Enemy becomes Burned after Damage Resolution
Bonus: Whenever you’re hit with a Melee Damaging Attack from a Burned Enemy, you treat the Type Effectiveness as if it were Resisted. </v>
      </c>
      <c r="H281" s="224"/>
      <c r="I281" s="224"/>
      <c r="J281" s="224"/>
      <c r="K281" s="224"/>
      <c r="L281" s="224"/>
      <c r="M281" s="224"/>
      <c r="N281" s="224"/>
      <c r="O281" s="224"/>
      <c r="P281" s="224"/>
      <c r="Q281" s="224"/>
      <c r="R281" s="224"/>
      <c r="S281" s="224"/>
      <c r="T281" s="224"/>
      <c r="U281" s="224"/>
      <c r="V281" s="224"/>
      <c r="W281" s="224"/>
      <c r="X281" s="224"/>
      <c r="Y281" s="224"/>
      <c r="Z281" s="224"/>
    </row>
    <row r="282">
      <c r="A282" s="225" t="str">
        <f>IFERROR(__xludf.DUMMYFUNCTION("""COMPUTED_VALUE"""),"Magnet Pull")</f>
        <v>Magnet Pull</v>
      </c>
      <c r="B282" s="225" t="str">
        <f>IFERROR(__xludf.DUMMYFUNCTION("""COMPUTED_VALUE"""),"At-Will - Swift Action")</f>
        <v>At-Will - Swift Action</v>
      </c>
      <c r="C282" s="225" t="str">
        <f>IFERROR(__xludf.DUMMYFUNCTION("""COMPUTED_VALUE"""),"Effect: Pick up to Two Effects;
- The Target Slides X meters. X is up to 6 meters minus the target’s Weight Class.
- If the Target is within 3m of the user, they become Trapped. 
- The Target cannot enter any space within 2m of you until the start of your"&amp;" next Turn.")</f>
        <v>Effect: Pick up to Two Effects;
- The Target Slides X meters. X is up to 6 meters minus the target’s Weight Class.
- If the Target is within 3m of the user, they become Trapped. 
- The Target cannot enter any space within 2m of you until the start of your next Turn.</v>
      </c>
      <c r="D282" s="225"/>
      <c r="E282" s="225" t="str">
        <f>IFERROR(__xludf.DUMMYFUNCTION("""COMPUTED_VALUE"""),"A Combatant within 6m")</f>
        <v>A Combatant within 6m</v>
      </c>
      <c r="F282" s="225"/>
      <c r="G282" s="226" t="str">
        <f>IFERROR(__xludf.DUMMYFUNCTION("""COMPUTED_VALUE"""),"At-Will - Swift Action
Target - A Combatant within 6m
Effect: Pick up to Two Effects;
- The Target Slides X meters. X is up to 6 meters minus the target’s Weight Class.
- If the Target is within 3m of the user, they become Trapped. 
- The Target cannot en"&amp;"ter any space within 2m of you until the start of your next Turn.")</f>
        <v>At-Will - Swift Action
Target - A Combatant within 6m
Effect: Pick up to Two Effects;
- The Target Slides X meters. X is up to 6 meters minus the target’s Weight Class.
- If the Target is within 3m of the user, they become Trapped. 
- The Target cannot enter any space within 2m of you until the start of your next Turn.</v>
      </c>
      <c r="H282" s="224"/>
      <c r="I282" s="224"/>
      <c r="J282" s="224"/>
      <c r="K282" s="224"/>
      <c r="L282" s="224"/>
      <c r="M282" s="224"/>
      <c r="N282" s="224"/>
      <c r="O282" s="224"/>
      <c r="P282" s="224"/>
      <c r="Q282" s="224"/>
      <c r="R282" s="224"/>
      <c r="S282" s="224"/>
      <c r="T282" s="224"/>
      <c r="U282" s="224"/>
      <c r="V282" s="224"/>
      <c r="W282" s="224"/>
      <c r="X282" s="224"/>
      <c r="Y282" s="224"/>
      <c r="Z282" s="224"/>
    </row>
    <row r="283">
      <c r="A283" s="225" t="str">
        <f>IFERROR(__xludf.DUMMYFUNCTION("""COMPUTED_VALUE"""),"Memory Wipe")</f>
        <v>Memory Wipe</v>
      </c>
      <c r="B283" s="225" t="str">
        <f>IFERROR(__xludf.DUMMYFUNCTION("""COMPUTED_VALUE"""),"Scene x2 - Special")</f>
        <v>Scene x2 - Special</v>
      </c>
      <c r="C283" s="225" t="str">
        <f>IFERROR(__xludf.DUMMYFUNCTION("""COMPUTED_VALUE"""),"Effect: If used as a Swift Action, the last Attack used by the Target becomes Disabled. If used as a Standard Action, the Target becomes Dazed and Paralyzed. *Grants Mind Weaver")</f>
        <v>Effect: If used as a Swift Action, the last Attack used by the Target becomes Disabled. If used as a Standard Action, the Target becomes Dazed and Paralyzed. *Grants Mind Weaver</v>
      </c>
      <c r="D283" s="225"/>
      <c r="E283" s="225" t="str">
        <f>IFERROR(__xludf.DUMMYFUNCTION("""COMPUTED_VALUE"""),"An Enemy within 3m")</f>
        <v>An Enemy within 3m</v>
      </c>
      <c r="F283" s="225"/>
      <c r="G283" s="226" t="str">
        <f>IFERROR(__xludf.DUMMYFUNCTION("""COMPUTED_VALUE"""),"Scene x2 - Special
Target - An Enemy within 3m
Effect: If used as a Swift Action, the last Attack used by the Target becomes Disabled. If used as a Standard Action, the Target becomes Dazed and Paralyzed. *Grants Mind Weaver")</f>
        <v>Scene x2 - Special
Target - An Enemy within 3m
Effect: If used as a Swift Action, the last Attack used by the Target becomes Disabled. If used as a Standard Action, the Target becomes Dazed and Paralyzed. *Grants Mind Weaver</v>
      </c>
      <c r="H283" s="224"/>
      <c r="I283" s="224"/>
      <c r="J283" s="224"/>
      <c r="K283" s="224"/>
      <c r="L283" s="224"/>
      <c r="M283" s="224"/>
      <c r="N283" s="224"/>
      <c r="O283" s="224"/>
      <c r="P283" s="224"/>
      <c r="Q283" s="224"/>
      <c r="R283" s="224"/>
      <c r="S283" s="224"/>
      <c r="T283" s="224"/>
      <c r="U283" s="224"/>
      <c r="V283" s="224"/>
      <c r="W283" s="224"/>
      <c r="X283" s="224"/>
      <c r="Y283" s="224"/>
      <c r="Z283" s="224"/>
    </row>
    <row r="284">
      <c r="A284" s="225" t="str">
        <f>IFERROR(__xludf.DUMMYFUNCTION("""COMPUTED_VALUE"""),"Mental Assault")</f>
        <v>Mental Assault</v>
      </c>
      <c r="B284" s="225" t="str">
        <f>IFERROR(__xludf.DUMMYFUNCTION("""COMPUTED_VALUE"""),"Static")</f>
        <v>Static</v>
      </c>
      <c r="C284" s="225" t="str">
        <f>IFERROR(__xludf.DUMMYFUNCTION("""COMPUTED_VALUE"""),"Effect: The user’s Psychic Type Damaging Attacks gain a Effect Range of 17+. When this Effect Range is Triggered, roll a d3. On a 1, all Targets become Dazed. On a 2, all Targets become Enraged. On a 3, all Targets become Suppressed. If an Enemy is suffer"&amp;"ing from a Mental Affliction, they cannot resist the user’s Special Attacks.")</f>
        <v>Effect: The user’s Psychic Type Damaging Attacks gain a Effect Range of 17+. When this Effect Range is Triggered, roll a d3. On a 1, all Targets become Dazed. On a 2, all Targets become Enraged. On a 3, all Targets become Suppressed. If an Enemy is suffering from a Mental Affliction, they cannot resist the user’s Special Attacks.</v>
      </c>
      <c r="D284" s="225"/>
      <c r="E284" s="225"/>
      <c r="F284" s="225"/>
      <c r="G284" s="226" t="str">
        <f>IFERROR(__xludf.DUMMYFUNCTION("""COMPUTED_VALUE"""),"Static
Effect: The user’s Psychic Type Damaging Attacks gain a Effect Range of 17+. When this Effect Range is Triggered, roll a d3. On a 1, all Targets become Dazed. On a 2, all Targets become Enraged. On a 3, all Targets become Suppressed. If an Enemy is"&amp;" suffering from a Mental Affliction, they cannot resist the user’s Special Attacks.")</f>
        <v>Static
Effect: The user’s Psychic Type Damaging Attacks gain a Effect Range of 17+. When this Effect Range is Triggered, roll a d3. On a 1, all Targets become Dazed. On a 2, all Targets become Enraged. On a 3, all Targets become Suppressed. If an Enemy is suffering from a Mental Affliction, they cannot resist the user’s Special Attacks.</v>
      </c>
      <c r="H284" s="224"/>
      <c r="I284" s="224"/>
      <c r="J284" s="224"/>
      <c r="K284" s="224"/>
      <c r="L284" s="224"/>
      <c r="M284" s="224"/>
      <c r="N284" s="224"/>
      <c r="O284" s="224"/>
      <c r="P284" s="224"/>
      <c r="Q284" s="224"/>
      <c r="R284" s="224"/>
      <c r="S284" s="224"/>
      <c r="T284" s="224"/>
      <c r="U284" s="224"/>
      <c r="V284" s="224"/>
      <c r="W284" s="224"/>
      <c r="X284" s="224"/>
      <c r="Y284" s="224"/>
      <c r="Z284" s="224"/>
    </row>
    <row r="285">
      <c r="A285" s="225" t="str">
        <f>IFERROR(__xludf.DUMMYFUNCTION("""COMPUTED_VALUE"""),"Mental Force")</f>
        <v>Mental Force</v>
      </c>
      <c r="B285" s="225" t="str">
        <f>IFERROR(__xludf.DUMMYFUNCTION("""COMPUTED_VALUE"""),"Static")</f>
        <v>Static</v>
      </c>
      <c r="C285" s="225" t="str">
        <f>IFERROR(__xludf.DUMMYFUNCTION("""COMPUTED_VALUE"""),"Effect: Whenever the user hits a Special Attack against an Enemy with negative Combat Stages in Special Defense, it cannot be resisted by any means. While the Weather is Mystical, the user’s Dark, Fairy, Ghost and Psychic Type Attacks that are Special Cat"&amp;"egory ignore Defensive Abilities.")</f>
        <v>Effect: Whenever the user hits a Special Attack against an Enemy with negative Combat Stages in Special Defense, it cannot be resisted by any means. While the Weather is Mystical, the user’s Dark, Fairy, Ghost and Psychic Type Attacks that are Special Category ignore Defensive Abilities.</v>
      </c>
      <c r="D285" s="225"/>
      <c r="E285" s="225"/>
      <c r="F285" s="225"/>
      <c r="G285" s="226" t="str">
        <f>IFERROR(__xludf.DUMMYFUNCTION("""COMPUTED_VALUE"""),"Static
Effect: Whenever the user hits a Special Attack against an Enemy with negative Combat Stages in Special Defense, it cannot be resisted by any means. While the Weather is Mystical, the user’s Dark, Fairy, Ghost and Psychic Type Attacks that are Spec"&amp;"ial Category ignore Defensive Abilities.")</f>
        <v>Static
Effect: Whenever the user hits a Special Attack against an Enemy with negative Combat Stages in Special Defense, it cannot be resisted by any means. While the Weather is Mystical, the user’s Dark, Fairy, Ghost and Psychic Type Attacks that are Special Category ignore Defensive Abilities.</v>
      </c>
      <c r="H285" s="224"/>
      <c r="I285" s="224"/>
      <c r="J285" s="224"/>
      <c r="K285" s="224"/>
      <c r="L285" s="224"/>
      <c r="M285" s="224"/>
      <c r="N285" s="224"/>
      <c r="O285" s="224"/>
      <c r="P285" s="224"/>
      <c r="Q285" s="224"/>
      <c r="R285" s="224"/>
      <c r="S285" s="224"/>
      <c r="T285" s="224"/>
      <c r="U285" s="224"/>
      <c r="V285" s="224"/>
      <c r="W285" s="224"/>
      <c r="X285" s="224"/>
      <c r="Y285" s="224"/>
      <c r="Z285" s="224"/>
    </row>
    <row r="286">
      <c r="A286" s="225" t="str">
        <f>IFERROR(__xludf.DUMMYFUNCTION("""COMPUTED_VALUE"""),"Migraine")</f>
        <v>Migraine</v>
      </c>
      <c r="B286" s="225" t="str">
        <f>IFERROR(__xludf.DUMMYFUNCTION("""COMPUTED_VALUE"""),"Scene x2 - Swift Action")</f>
        <v>Scene x2 - Swift Action</v>
      </c>
      <c r="C286" s="225" t="str">
        <f>IFERROR(__xludf.DUMMYFUNCTION("""COMPUTED_VALUE"""),"Effect: The Target gains a Migraine Coat while they have the Triggering Affliction.
Bonus: When the user falls below 50% Hit Points or gains a Mental Affliction, they gain a Migraine Coat. Combatants with a Migraine Coat have a Bane to Skill Checks and a "&amp;"penalty to Save Checks equal to your Tier Level. If the user has a Migraine Coat, they also have a bonus to Effect Ranges equal to their Tier Level.")</f>
        <v>Effect: The Target gains a Migraine Coat while they have the Triggering Affliction.
Bonus: When the user falls below 50% Hit Points or gains a Mental Affliction, they gain a Migraine Coat. Combatants with a Migraine Coat have a Bane to Skill Checks and a penalty to Save Checks equal to your Tier Level. If the user has a Migraine Coat, they also have a bonus to Effect Ranges equal to their Tier Level.</v>
      </c>
      <c r="D286" s="225" t="str">
        <f>IFERROR(__xludf.DUMMYFUNCTION("""COMPUTED_VALUE"""),"The user inflicts a Mental Affliction")</f>
        <v>The user inflicts a Mental Affliction</v>
      </c>
      <c r="E286" s="225"/>
      <c r="F286" s="225"/>
      <c r="G286" s="226" t="str">
        <f>IFERROR(__xludf.DUMMYFUNCTION("""COMPUTED_VALUE"""),"Scene x2 - Swift Action
Trigger - The user inflicts a Mental Affliction
Effect: The Target gains a Migraine Coat while they have the Triggering Affliction.
Bonus: When the user falls below 50% Hit Points or gains a Mental Affliction, they gain a Migraine "&amp;"Coat. Combatants with a Migraine Coat have a Bane to Skill Checks and a penalty to Save Checks equal to your Tier Level. If the user has a Migraine Coat, they also have a bonus to Effect Ranges equal to their Tier Level.")</f>
        <v>Scene x2 - Swift Action
Trigger - The user inflicts a Mental Affliction
Effect: The Target gains a Migraine Coat while they have the Triggering Affliction.
Bonus: When the user falls below 50% Hit Points or gains a Mental Affliction, they gain a Migraine Coat. Combatants with a Migraine Coat have a Bane to Skill Checks and a penalty to Save Checks equal to your Tier Level. If the user has a Migraine Coat, they also have a bonus to Effect Ranges equal to their Tier Level.</v>
      </c>
      <c r="H286" s="224"/>
      <c r="I286" s="224"/>
      <c r="J286" s="224"/>
      <c r="K286" s="224"/>
      <c r="L286" s="224"/>
      <c r="M286" s="224"/>
      <c r="N286" s="224"/>
      <c r="O286" s="224"/>
      <c r="P286" s="224"/>
      <c r="Q286" s="224"/>
      <c r="R286" s="224"/>
      <c r="S286" s="224"/>
      <c r="T286" s="224"/>
      <c r="U286" s="224"/>
      <c r="V286" s="224"/>
      <c r="W286" s="224"/>
      <c r="X286" s="224"/>
      <c r="Y286" s="224"/>
      <c r="Z286" s="224"/>
    </row>
    <row r="287">
      <c r="A287" s="225" t="str">
        <f>IFERROR(__xludf.DUMMYFUNCTION("""COMPUTED_VALUE"""),"Mind's Eye")</f>
        <v>Mind's Eye</v>
      </c>
      <c r="B287" s="225" t="str">
        <f>IFERROR(__xludf.DUMMYFUNCTION("""COMPUTED_VALUE"""),"At-Will - Swift Action")</f>
        <v>At-Will - Swift Action</v>
      </c>
      <c r="C287" s="225" t="str">
        <f>IFERROR(__xludf.DUMMYFUNCTION("""COMPUTED_VALUE"""),"Effect: The Target becomes Marked with a Mind Mark. The user ignores the Special Evasion of Enemies with the Mind Mark. The user resists Special Category Attacks by an additional damage step if it derrives from an enemy with their Mind Mark
Bonus: Ghost T"&amp;"ypes are not Immune to the user’s Normal and Fighting Type Attacks.")</f>
        <v>Effect: The Target becomes Marked with a Mind Mark. The user ignores the Special Evasion of Enemies with the Mind Mark. The user resists Special Category Attacks by an additional damage step if it derrives from an enemy with their Mind Mark
Bonus: Ghost Types are not Immune to the user’s Normal and Fighting Type Attacks.</v>
      </c>
      <c r="D287" s="225"/>
      <c r="E287" s="225"/>
      <c r="F287" s="225"/>
      <c r="G287" s="226" t="str">
        <f>IFERROR(__xludf.DUMMYFUNCTION("""COMPUTED_VALUE"""),"At-Will - Swift Action
Effect: The Target becomes Marked with a Mind Mark. The user ignores the Special Evasion of Enemies with the Mind Mark. The user resists Special Category Attacks by an additional damage step if it derrives from an enemy with their M"&amp;"ind Mark
Bonus: Ghost Types are not Immune to the user’s Normal and Fighting Type Attacks.")</f>
        <v>At-Will - Swift Action
Effect: The Target becomes Marked with a Mind Mark. The user ignores the Special Evasion of Enemies with the Mind Mark. The user resists Special Category Attacks by an additional damage step if it derrives from an enemy with their Mind Mark
Bonus: Ghost Types are not Immune to the user’s Normal and Fighting Type Attacks.</v>
      </c>
      <c r="H287" s="224"/>
      <c r="I287" s="224"/>
      <c r="J287" s="224"/>
      <c r="K287" s="224"/>
      <c r="L287" s="224"/>
      <c r="M287" s="224"/>
      <c r="N287" s="224"/>
      <c r="O287" s="224"/>
      <c r="P287" s="224"/>
      <c r="Q287" s="224"/>
      <c r="R287" s="224"/>
      <c r="S287" s="224"/>
      <c r="T287" s="224"/>
      <c r="U287" s="224"/>
      <c r="V287" s="224"/>
      <c r="W287" s="224"/>
      <c r="X287" s="224"/>
      <c r="Y287" s="224"/>
      <c r="Z287" s="224"/>
    </row>
    <row r="288">
      <c r="A288" s="225" t="str">
        <f>IFERROR(__xludf.DUMMYFUNCTION("""COMPUTED_VALUE"""),"Mirror Armor")</f>
        <v>Mirror Armor</v>
      </c>
      <c r="B288" s="225" t="str">
        <f>IFERROR(__xludf.DUMMYFUNCTION("""COMPUTED_VALUE"""),"Scene - Standard Action")</f>
        <v>Scene - Standard Action</v>
      </c>
      <c r="C288" s="225" t="str">
        <f>IFERROR(__xludf.DUMMYFUNCTION("""COMPUTED_VALUE"""),"Effect: The triggering Attack instead misses you. In addition, you may Target an Enemy within 2m and perform an Accuracy Roll with the AC being the Triggering Attack as if you had used it. If the Attack would hit, the Target is instead hit by the Triggeri"&amp;"ng Attack as if they were the original Target. 
Bonus: The user’s Defense and Special Defense Combat Stages cannot be lowered. ")</f>
        <v>Effect: The triggering Attack instead misses you. In addition, you may Target an Enemy within 2m and perform an Accuracy Roll with the AC being the Triggering Attack as if you had used it. If the Attack would hit, the Target is instead hit by the Triggering Attack as if they were the original Target. 
Bonus: The user’s Defense and Special Defense Combat Stages cannot be lowered. </v>
      </c>
      <c r="D288" s="225" t="str">
        <f>IFERROR(__xludf.DUMMYFUNCTION("""COMPUTED_VALUE"""),"The user would be hit by a non-Adjacent Attack")</f>
        <v>The user would be hit by a non-Adjacent Attack</v>
      </c>
      <c r="E288" s="225"/>
      <c r="F288" s="225" t="str">
        <f>IFERROR(__xludf.DUMMYFUNCTION("""COMPUTED_VALUE"""),"Defensive")</f>
        <v>Defensive</v>
      </c>
      <c r="G288" s="226" t="str">
        <f>IFERROR(__xludf.DUMMYFUNCTION("""COMPUTED_VALUE"""),"Scene - Standard Action
Keywords - Defensive
Trigger - The user would be hit by a non-Adjacent Attack
Effect: The triggering Attack instead misses you. In addition, you may Target an Enemy within 2m and perform an Accuracy Roll with the AC being the Trigg"&amp;"ering Attack as if you had used it. If the Attack would hit, the Target is instead hit by the Triggering Attack as if they were the original Target. 
Bonus: The user’s Defense and Special Defense Combat Stages cannot be lowered. ")</f>
        <v>Scene - Standard Action
Keywords - Defensive
Trigger - The user would be hit by a non-Adjacent Attack
Effect: The triggering Attack instead misses you. In addition, you may Target an Enemy within 2m and perform an Accuracy Roll with the AC being the Triggering Attack as if you had used it. If the Attack would hit, the Target is instead hit by the Triggering Attack as if they were the original Target. 
Bonus: The user’s Defense and Special Defense Combat Stages cannot be lowered. </v>
      </c>
      <c r="H288" s="224"/>
      <c r="I288" s="224"/>
      <c r="J288" s="224"/>
      <c r="K288" s="224"/>
      <c r="L288" s="224"/>
      <c r="M288" s="224"/>
      <c r="N288" s="224"/>
      <c r="O288" s="224"/>
      <c r="P288" s="224"/>
      <c r="Q288" s="224"/>
      <c r="R288" s="224"/>
      <c r="S288" s="224"/>
      <c r="T288" s="224"/>
      <c r="U288" s="224"/>
      <c r="V288" s="224"/>
      <c r="W288" s="224"/>
      <c r="X288" s="224"/>
      <c r="Y288" s="224"/>
      <c r="Z288" s="224"/>
    </row>
    <row r="289">
      <c r="A289" s="225" t="str">
        <f>IFERROR(__xludf.DUMMYFUNCTION("""COMPUTED_VALUE"""),"Missile Launch")</f>
        <v>Missile Launch</v>
      </c>
      <c r="B289" s="225" t="str">
        <f>IFERROR(__xludf.DUMMYFUNCTION("""COMPUTED_VALUE"""),"At-Will - Swift Action")</f>
        <v>At-Will - Swift Action</v>
      </c>
      <c r="C289" s="225" t="str">
        <f>IFERROR(__xludf.DUMMYFUNCTION("""COMPUTED_VALUE"""),"Connection – Dragon Darts. 
Effect: Select an unoccupied space within 5m to create a Dreepy Token in. This Dreepy Token cannot move this Turn.  
Bonus: Dreepy Tokens have 1 Hit Point but share the creator’s Evasion and can be targeted with Attacks. Whenev"&amp;"er the creator would Move, they may allocate movement to their Tokens for them to move. A Dreepy Token may be destroyed as a Free Action when they move into a space occupied by an Enemy. If they do so, the creator may perform a Dragon Type Basic Attack ag"&amp;"ainst that Enemy as a Free Action, ignoring range. When a Dreepy Token would faint, they are destroyed instead.  ")</f>
        <v>Connection – Dragon Darts. 
Effect: Select an unoccupied space within 5m to create a Dreepy Token in. This Dreepy Token cannot move this Turn.  
Bonus: Dreepy Tokens have 1 Hit Point but share the creator’s Evasion and can be targeted with Attacks. Whenever the creator would Move, they may allocate movement to their Tokens for them to move. A Dreepy Token may be destroyed as a Free Action when they move into a space occupied by an Enemy. If they do so, the creator may perform a Dragon Type Basic Attack against that Enemy as a Free Action, ignoring range. When a Dreepy Token would faint, they are destroyed instead.  </v>
      </c>
      <c r="D289" s="225"/>
      <c r="E289" s="225"/>
      <c r="F289" s="225"/>
      <c r="G289" s="226" t="str">
        <f>IFERROR(__xludf.DUMMYFUNCTION("""COMPUTED_VALUE"""),"At-Will - Swift Action
Connection – Dragon Darts. 
Effect: Select an unoccupied space within 5m to create a Dreepy Token in. This Dreepy Token cannot move this Turn.  
Bonus: Dreepy Tokens have 1 Hit Point but share the creator’s Evasion and can be target"&amp;"ed with Attacks. Whenever the creator would Move, they may allocate movement to their Tokens for them to move. A Dreepy Token may be destroyed as a Free Action when they move into a space occupied by an Enemy. If they do so, the creator may perform a Drag"&amp;"on Type Basic Attack against that Enemy as a Free Action, ignoring range. When a Dreepy Token would faint, they are destroyed instead.  ")</f>
        <v>At-Will - Swift Action
Connection – Dragon Darts. 
Effect: Select an unoccupied space within 5m to create a Dreepy Token in. This Dreepy Token cannot move this Turn.  
Bonus: Dreepy Tokens have 1 Hit Point but share the creator’s Evasion and can be targeted with Attacks. Whenever the creator would Move, they may allocate movement to their Tokens for them to move. A Dreepy Token may be destroyed as a Free Action when they move into a space occupied by an Enemy. If they do so, the creator may perform a Dragon Type Basic Attack against that Enemy as a Free Action, ignoring range. When a Dreepy Token would faint, they are destroyed instead.  </v>
      </c>
      <c r="H289" s="224"/>
      <c r="I289" s="224"/>
      <c r="J289" s="224"/>
      <c r="K289" s="224"/>
      <c r="L289" s="224"/>
      <c r="M289" s="224"/>
      <c r="N289" s="224"/>
      <c r="O289" s="224"/>
      <c r="P289" s="224"/>
      <c r="Q289" s="224"/>
      <c r="R289" s="224"/>
      <c r="S289" s="224"/>
      <c r="T289" s="224"/>
      <c r="U289" s="224"/>
      <c r="V289" s="224"/>
      <c r="W289" s="224"/>
      <c r="X289" s="224"/>
      <c r="Y289" s="224"/>
      <c r="Z289" s="224"/>
    </row>
    <row r="290">
      <c r="A290" s="225" t="str">
        <f>IFERROR(__xludf.DUMMYFUNCTION("""COMPUTED_VALUE"""),"Misty Surge")</f>
        <v>Misty Surge</v>
      </c>
      <c r="B290" s="225" t="str">
        <f>IFERROR(__xludf.DUMMYFUNCTION("""COMPUTED_VALUE"""),"Scene - Swift Action")</f>
        <v>Scene - Swift Action</v>
      </c>
      <c r="C290" s="225" t="str">
        <f>IFERROR(__xludf.DUMMYFUNCTION("""COMPUTED_VALUE"""),"Connection - Misty Terrain. 
Effect: You may use Misty Terrain as a Free Action, however it only lasts until the end of the next Round.
Bonus: At the end of the Round, if the Weather is Mystical, you may use a Reaction to gain +1 CS in a Stat of your choi"&amp;"ce.")</f>
        <v>Connection - Misty Terrain. 
Effect: You may use Misty Terrain as a Free Action, however it only lasts until the end of the next Round.
Bonus: At the end of the Round, if the Weather is Mystical, you may use a Reaction to gain +1 CS in a Stat of your choice.</v>
      </c>
      <c r="D290" s="225"/>
      <c r="E290" s="225"/>
      <c r="F290" s="225"/>
      <c r="G290" s="226" t="str">
        <f>IFERROR(__xludf.DUMMYFUNCTION("""COMPUTED_VALUE"""),"Scene - Swift Action
Connection - Misty Terrain. 
Effect: You may use Misty Terrain as a Free Action, however it only lasts until the end of the next Round.
Bonus: At the end of the Round, if the Weather is Mystical, you may use a Reaction to gain +1 CS i"&amp;"n a Stat of your choice.")</f>
        <v>Scene - Swift Action
Connection - Misty Terrain. 
Effect: You may use Misty Terrain as a Free Action, however it only lasts until the end of the next Round.
Bonus: At the end of the Round, if the Weather is Mystical, you may use a Reaction to gain +1 CS in a Stat of your choice.</v>
      </c>
      <c r="H290" s="224"/>
      <c r="I290" s="224"/>
      <c r="J290" s="224"/>
      <c r="K290" s="224"/>
      <c r="L290" s="224"/>
      <c r="M290" s="224"/>
      <c r="N290" s="224"/>
      <c r="O290" s="224"/>
      <c r="P290" s="224"/>
      <c r="Q290" s="224"/>
      <c r="R290" s="224"/>
      <c r="S290" s="224"/>
      <c r="T290" s="224"/>
      <c r="U290" s="224"/>
      <c r="V290" s="224"/>
      <c r="W290" s="224"/>
      <c r="X290" s="224"/>
      <c r="Y290" s="224"/>
      <c r="Z290" s="224"/>
    </row>
    <row r="291">
      <c r="A291" s="225" t="str">
        <f>IFERROR(__xludf.DUMMYFUNCTION("""COMPUTED_VALUE"""),"Mold Breaker")</f>
        <v>Mold Breaker</v>
      </c>
      <c r="B291" s="225" t="str">
        <f>IFERROR(__xludf.DUMMYFUNCTION("""COMPUTED_VALUE"""),"Static")</f>
        <v>Static</v>
      </c>
      <c r="C291" s="225" t="str">
        <f>IFERROR(__xludf.DUMMYFUNCTION("""COMPUTED_VALUE"""),"Effect: You may use your Physical Attacks as if they had the Full Action Keyword. If you do, they are treated as having the Unstoppable Keyword. ")</f>
        <v>Effect: You may use your Physical Attacks as if they had the Full Action Keyword. If you do, they are treated as having the Unstoppable Keyword. </v>
      </c>
      <c r="D291" s="225"/>
      <c r="E291" s="225"/>
      <c r="F291" s="225"/>
      <c r="G291" s="226" t="str">
        <f>IFERROR(__xludf.DUMMYFUNCTION("""COMPUTED_VALUE"""),"Static
Effect: You may use your Physical Attacks as if they had the Full Action Keyword. If you do, they are treated as having the Unstoppable Keyword. ")</f>
        <v>Static
Effect: You may use your Physical Attacks as if they had the Full Action Keyword. If you do, they are treated as having the Unstoppable Keyword. </v>
      </c>
      <c r="H291" s="224"/>
      <c r="I291" s="224"/>
      <c r="J291" s="224"/>
      <c r="K291" s="224"/>
      <c r="L291" s="224"/>
      <c r="M291" s="224"/>
      <c r="N291" s="224"/>
      <c r="O291" s="224"/>
      <c r="P291" s="224"/>
      <c r="Q291" s="224"/>
      <c r="R291" s="224"/>
      <c r="S291" s="224"/>
      <c r="T291" s="224"/>
      <c r="U291" s="224"/>
      <c r="V291" s="224"/>
      <c r="W291" s="224"/>
      <c r="X291" s="224"/>
      <c r="Y291" s="224"/>
      <c r="Z291" s="224"/>
    </row>
    <row r="292">
      <c r="A292" s="225" t="str">
        <f>IFERROR(__xludf.DUMMYFUNCTION("""COMPUTED_VALUE"""),"Molten Ground")</f>
        <v>Molten Ground</v>
      </c>
      <c r="B292" s="225" t="str">
        <f>IFERROR(__xludf.DUMMYFUNCTION("""COMPUTED_VALUE"""),"At-Will - Swift Action")</f>
        <v>At-Will - Swift Action</v>
      </c>
      <c r="C292" s="225" t="str">
        <f>IFERROR(__xludf.DUMMYFUNCTION("""COMPUTED_VALUE"""),"Connection - Fire Wall. 
Effect: During this Turn, whenever the user Moves, all spaces they pass through turn into Fire Hazards (See: Fire Wall). ")</f>
        <v>Connection - Fire Wall. 
Effect: During this Turn, whenever the user Moves, all spaces they pass through turn into Fire Hazards (See: Fire Wall). </v>
      </c>
      <c r="D292" s="225"/>
      <c r="E292" s="225"/>
      <c r="F292" s="225"/>
      <c r="G292" s="226" t="str">
        <f>IFERROR(__xludf.DUMMYFUNCTION("""COMPUTED_VALUE"""),"At-Will - Swift Action
Connection - Fire Wall. 
Effect: During this Turn, whenever the user Moves, all spaces they pass through turn into Fire Hazards (See: Fire Wall). ")</f>
        <v>At-Will - Swift Action
Connection - Fire Wall. 
Effect: During this Turn, whenever the user Moves, all spaces they pass through turn into Fire Hazards (See: Fire Wall). </v>
      </c>
      <c r="H292" s="224"/>
      <c r="I292" s="224"/>
      <c r="J292" s="224"/>
      <c r="K292" s="224"/>
      <c r="L292" s="224"/>
      <c r="M292" s="224"/>
      <c r="N292" s="224"/>
      <c r="O292" s="224"/>
      <c r="P292" s="224"/>
      <c r="Q292" s="224"/>
      <c r="R292" s="224"/>
      <c r="S292" s="224"/>
      <c r="T292" s="224"/>
      <c r="U292" s="224"/>
      <c r="V292" s="224"/>
      <c r="W292" s="224"/>
      <c r="X292" s="224"/>
      <c r="Y292" s="224"/>
      <c r="Z292" s="224"/>
    </row>
    <row r="293">
      <c r="A293" s="225" t="str">
        <f>IFERROR(__xludf.DUMMYFUNCTION("""COMPUTED_VALUE"""),"Moody")</f>
        <v>Moody</v>
      </c>
      <c r="B293" s="225" t="str">
        <f>IFERROR(__xludf.DUMMYFUNCTION("""COMPUTED_VALUE"""),"At-Will - Free Action")</f>
        <v>At-Will - Free Action</v>
      </c>
      <c r="C293" s="225" t="str">
        <f>IFERROR(__xludf.DUMMYFUNCTION("""COMPUTED_VALUE"""),"Effect: Roll a d2. On a 2, the user ignores the Trigger and gain a Bad Mood Counter. The user cannot gain more than 2 Bad Mood Counters per Round. 
Bonus: When hitting an Attack, the user may expend 2 Bad Mood Counters to make it become a Critical Hit. Af"&amp;"ter the Attack resolves, they become Enraged. The user cannot expend Bad Mood Counters while Enraged.")</f>
        <v>Effect: Roll a d2. On a 2, the user ignores the Trigger and gain a Bad Mood Counter. The user cannot gain more than 2 Bad Mood Counters per Round. 
Bonus: When hitting an Attack, the user may expend 2 Bad Mood Counters to make it become a Critical Hit. After the Attack resolves, they become Enraged. The user cannot expend Bad Mood Counters while Enraged.</v>
      </c>
      <c r="D293" s="225" t="str">
        <f>IFERROR(__xludf.DUMMYFUNCTION("""COMPUTED_VALUE"""),"The user gains CS or a positive modifier ")</f>
        <v>The user gains CS or a positive modifier </v>
      </c>
      <c r="E293" s="225"/>
      <c r="F293" s="225"/>
      <c r="G293" s="226" t="str">
        <f>IFERROR(__xludf.DUMMYFUNCTION("""COMPUTED_VALUE"""),"At-Will - Free Action
Trigger - The user gains CS or a positive modifier 
Effect: Roll a d2. On a 2, the user ignores the Trigger and gain a Bad Mood Counter. The user cannot gain more than 2 Bad Mood Counters per Round. 
Bonus: When hitting an Attack, th"&amp;"e user may expend 2 Bad Mood Counters to make it become a Critical Hit. After the Attack resolves, they become Enraged. The user cannot expend Bad Mood Counters while Enraged.")</f>
        <v>At-Will - Free Action
Trigger - The user gains CS or a positive modifier 
Effect: Roll a d2. On a 2, the user ignores the Trigger and gain a Bad Mood Counter. The user cannot gain more than 2 Bad Mood Counters per Round. 
Bonus: When hitting an Attack, the user may expend 2 Bad Mood Counters to make it become a Critical Hit. After the Attack resolves, they become Enraged. The user cannot expend Bad Mood Counters while Enraged.</v>
      </c>
      <c r="H293" s="224"/>
      <c r="I293" s="224"/>
      <c r="J293" s="224"/>
      <c r="K293" s="224"/>
      <c r="L293" s="224"/>
      <c r="M293" s="224"/>
      <c r="N293" s="224"/>
      <c r="O293" s="224"/>
      <c r="P293" s="224"/>
      <c r="Q293" s="224"/>
      <c r="R293" s="224"/>
      <c r="S293" s="224"/>
      <c r="T293" s="224"/>
      <c r="U293" s="224"/>
      <c r="V293" s="224"/>
      <c r="W293" s="224"/>
      <c r="X293" s="224"/>
      <c r="Y293" s="224"/>
      <c r="Z293" s="224"/>
    </row>
    <row r="294">
      <c r="A294" s="225" t="str">
        <f>IFERROR(__xludf.DUMMYFUNCTION("""COMPUTED_VALUE"""),"Mud Dweller")</f>
        <v>Mud Dweller</v>
      </c>
      <c r="B294" s="225" t="str">
        <f>IFERROR(__xludf.DUMMYFUNCTION("""COMPUTED_VALUE"""),"Static")</f>
        <v>Static</v>
      </c>
      <c r="C294" s="225" t="str">
        <f>IFERROR(__xludf.DUMMYFUNCTION("""COMPUTED_VALUE"""),"Effect: The user resists Ground and Water Type Attacks by an additional Damage step. Enemies with a Mud Coat have double the Accuracy Penalty when Targeting the user.")</f>
        <v>Effect: The user resists Ground and Water Type Attacks by an additional Damage step. Enemies with a Mud Coat have double the Accuracy Penalty when Targeting the user.</v>
      </c>
      <c r="D294" s="225"/>
      <c r="E294" s="225"/>
      <c r="F294" s="225" t="str">
        <f>IFERROR(__xludf.DUMMYFUNCTION("""COMPUTED_VALUE"""),"Defensive")</f>
        <v>Defensive</v>
      </c>
      <c r="G294" s="226" t="str">
        <f>IFERROR(__xludf.DUMMYFUNCTION("""COMPUTED_VALUE"""),"Static
Keywords - Defensive
Effect: The user resists Ground and Water Type Attacks by an additional Damage step. Enemies with a Mud Coat have double the Accuracy Penalty when Targeting the user.")</f>
        <v>Static
Keywords - Defensive
Effect: The user resists Ground and Water Type Attacks by an additional Damage step. Enemies with a Mud Coat have double the Accuracy Penalty when Targeting the user.</v>
      </c>
      <c r="H294" s="224"/>
      <c r="I294" s="224"/>
      <c r="J294" s="224"/>
      <c r="K294" s="224"/>
      <c r="L294" s="224"/>
      <c r="M294" s="224"/>
      <c r="N294" s="224"/>
      <c r="O294" s="224"/>
      <c r="P294" s="224"/>
      <c r="Q294" s="224"/>
      <c r="R294" s="224"/>
      <c r="S294" s="224"/>
      <c r="T294" s="224"/>
      <c r="U294" s="224"/>
      <c r="V294" s="224"/>
      <c r="W294" s="224"/>
      <c r="X294" s="224"/>
      <c r="Y294" s="224"/>
      <c r="Z294" s="224"/>
    </row>
    <row r="295">
      <c r="A295" s="225" t="str">
        <f>IFERROR(__xludf.DUMMYFUNCTION("""COMPUTED_VALUE"""),"Mud Shield")</f>
        <v>Mud Shield</v>
      </c>
      <c r="B295" s="225" t="str">
        <f>IFERROR(__xludf.DUMMYFUNCTION("""COMPUTED_VALUE"""),"Scene x2 - Swift Action ")</f>
        <v>Scene x2 - Swift Action </v>
      </c>
      <c r="C295" s="225" t="str">
        <f>IFERROR(__xludf.DUMMYFUNCTION("""COMPUTED_VALUE"""),"Connection - Mud Sport. 
Effect: The Target gains two Ticks of Temporary Hit Points.While they have Temporary Hit Points from this Ability, they are Immune to Electric Type Damage.
Bonus: The user has Damage Reduction equal to their Tier Value against Att"&amp;"acks from enemies that have a Mud Coat.")</f>
        <v>Connection - Mud Sport. 
Effect: The Target gains two Ticks of Temporary Hit Points.While they have Temporary Hit Points from this Ability, they are Immune to Electric Type Damage.
Bonus: The user has Damage Reduction equal to their Tier Value against Attacks from enemies that have a Mud Coat.</v>
      </c>
      <c r="D295" s="225"/>
      <c r="E295" s="225" t="str">
        <f>IFERROR(__xludf.DUMMYFUNCTION("""COMPUTED_VALUE"""),"The user or an Adjacent Ally ")</f>
        <v>The user or an Adjacent Ally </v>
      </c>
      <c r="F295" s="225"/>
      <c r="G295" s="226" t="str">
        <f>IFERROR(__xludf.DUMMYFUNCTION("""COMPUTED_VALUE"""),"Scene x2 - Swift Action 
Target - The user or an Adjacent Ally 
Connection - Mud Sport. 
Effect: The Target gains two Ticks of Temporary Hit Points.While they have Temporary Hit Points from this Ability, they are Immune to Electric Type Damage.
Bonus: The"&amp;" user has Damage Reduction equal to their Tier Value against Attacks from enemies that have a Mud Coat.")</f>
        <v>Scene x2 - Swift Action 
Target - The user or an Adjacent Ally 
Connection - Mud Sport. 
Effect: The Target gains two Ticks of Temporary Hit Points.While they have Temporary Hit Points from this Ability, they are Immune to Electric Type Damage.
Bonus: The user has Damage Reduction equal to their Tier Value against Attacks from enemies that have a Mud Coat.</v>
      </c>
      <c r="H295" s="224"/>
      <c r="I295" s="224"/>
      <c r="J295" s="224"/>
      <c r="K295" s="224"/>
      <c r="L295" s="224"/>
      <c r="M295" s="224"/>
      <c r="N295" s="224"/>
      <c r="O295" s="224"/>
      <c r="P295" s="224"/>
      <c r="Q295" s="224"/>
      <c r="R295" s="224"/>
      <c r="S295" s="224"/>
      <c r="T295" s="224"/>
      <c r="U295" s="224"/>
      <c r="V295" s="224"/>
      <c r="W295" s="224"/>
      <c r="X295" s="224"/>
      <c r="Y295" s="224"/>
      <c r="Z295" s="224"/>
    </row>
    <row r="296">
      <c r="A296" s="225" t="str">
        <f>IFERROR(__xludf.DUMMYFUNCTION("""COMPUTED_VALUE"""),"Multiscale")</f>
        <v>Multiscale</v>
      </c>
      <c r="B296" s="225" t="str">
        <f>IFERROR(__xludf.DUMMYFUNCTION("""COMPUTED_VALUE"""),"Static")</f>
        <v>Static</v>
      </c>
      <c r="C296" s="225" t="str">
        <f>IFERROR(__xludf.DUMMYFUNCTION("""COMPUTED_VALUE"""),"Effect: While the user is at Full Hit Points, they resist all damage by an additional step. While the user has Temporary Hit Points, they have Damage Reduction equal to their Tier Value. ")</f>
        <v>Effect: While the user is at Full Hit Points, they resist all damage by an additional step. While the user has Temporary Hit Points, they have Damage Reduction equal to their Tier Value. </v>
      </c>
      <c r="D296" s="225"/>
      <c r="E296" s="225"/>
      <c r="F296" s="225" t="str">
        <f>IFERROR(__xludf.DUMMYFUNCTION("""COMPUTED_VALUE"""),"Defensive")</f>
        <v>Defensive</v>
      </c>
      <c r="G296" s="226" t="str">
        <f>IFERROR(__xludf.DUMMYFUNCTION("""COMPUTED_VALUE"""),"Static
Keywords - Defensive
Effect: While the user is at Full Hit Points, they resist all damage by an additional step. While the user has Temporary Hit Points, they have Damage Reduction equal to their Tier Value. ")</f>
        <v>Static
Keywords - Defensive
Effect: While the user is at Full Hit Points, they resist all damage by an additional step. While the user has Temporary Hit Points, they have Damage Reduction equal to their Tier Value. </v>
      </c>
      <c r="H296" s="224"/>
      <c r="I296" s="224"/>
      <c r="J296" s="224"/>
      <c r="K296" s="224"/>
      <c r="L296" s="224"/>
      <c r="M296" s="224"/>
      <c r="N296" s="224"/>
      <c r="O296" s="224"/>
      <c r="P296" s="224"/>
      <c r="Q296" s="224"/>
      <c r="R296" s="224"/>
      <c r="S296" s="224"/>
      <c r="T296" s="224"/>
      <c r="U296" s="224"/>
      <c r="V296" s="224"/>
      <c r="W296" s="224"/>
      <c r="X296" s="224"/>
      <c r="Y296" s="224"/>
      <c r="Z296" s="224"/>
    </row>
    <row r="297">
      <c r="A297" s="225" t="str">
        <f>IFERROR(__xludf.DUMMYFUNCTION("""COMPUTED_VALUE"""),"Mummy")</f>
        <v>Mummy</v>
      </c>
      <c r="B297" s="225" t="str">
        <f>IFERROR(__xludf.DUMMYFUNCTION("""COMPUTED_VALUE"""),"At-Will - Reaction")</f>
        <v>At-Will - Reaction</v>
      </c>
      <c r="C297" s="225" t="str">
        <f>IFERROR(__xludf.DUMMYFUNCTION("""COMPUTED_VALUE"""),"Effect: A Random Attack or Ability of the Triggering Enemy is disabled. If the Enemy already has the Disabled Affliction, they may instead become Suppressed or Trapped if they’re within 3m of the user. ")</f>
        <v>Effect: A Random Attack or Ability of the Triggering Enemy is disabled. If the Enemy already has the Disabled Affliction, they may instead become Suppressed or Trapped if they’re within 3m of the user. </v>
      </c>
      <c r="D297" s="225" t="str">
        <f>IFERROR(__xludf.DUMMYFUNCTION("""COMPUTED_VALUE"""),"The user is hit by an Attack")</f>
        <v>The user is hit by an Attack</v>
      </c>
      <c r="E297" s="225"/>
      <c r="F297" s="225" t="str">
        <f>IFERROR(__xludf.DUMMYFUNCTION("""COMPUTED_VALUE"""),"Defensive")</f>
        <v>Defensive</v>
      </c>
      <c r="G297" s="226" t="str">
        <f>IFERROR(__xludf.DUMMYFUNCTION("""COMPUTED_VALUE"""),"At-Will - Reaction
Keywords - Defensive
Trigger - The user is hit by an Attack
Effect: A Random Attack or Ability of the Triggering Enemy is disabled. If the Enemy already has the Disabled Affliction, they may instead become Suppressed or Trapped if they’"&amp;"re within 3m of the user. ")</f>
        <v>At-Will - Reaction
Keywords - Defensive
Trigger - The user is hit by an Attack
Effect: A Random Attack or Ability of the Triggering Enemy is disabled. If the Enemy already has the Disabled Affliction, they may instead become Suppressed or Trapped if they’re within 3m of the user. </v>
      </c>
      <c r="H297" s="224"/>
      <c r="I297" s="224"/>
      <c r="J297" s="224"/>
      <c r="K297" s="224"/>
      <c r="L297" s="224"/>
      <c r="M297" s="224"/>
      <c r="N297" s="224"/>
      <c r="O297" s="224"/>
      <c r="P297" s="224"/>
      <c r="Q297" s="224"/>
      <c r="R297" s="224"/>
      <c r="S297" s="224"/>
      <c r="T297" s="224"/>
      <c r="U297" s="224"/>
      <c r="V297" s="224"/>
      <c r="W297" s="224"/>
      <c r="X297" s="224"/>
      <c r="Y297" s="224"/>
      <c r="Z297" s="224"/>
    </row>
    <row r="298">
      <c r="A298" s="225" t="str">
        <f>IFERROR(__xludf.DUMMYFUNCTION("""COMPUTED_VALUE"""),"Mycelium Might")</f>
        <v>Mycelium Might</v>
      </c>
      <c r="B298" s="225" t="str">
        <f>IFERROR(__xludf.DUMMYFUNCTION("""COMPUTED_VALUE"""),"At-Will - Swift Action")</f>
        <v>At-Will - Swift Action</v>
      </c>
      <c r="C298" s="225" t="str">
        <f>IFERROR(__xludf.DUMMYFUNCTION("""COMPUTED_VALUE"""),"Effect: Choose 6 Spaces within 6m to create Mycelium Hazards in, such that all 6 Spaces are Adjacent to at least one other Mycelium Hazard. Mycelium Hazards are treated as Slow Terrain. Any Enemy that passes through a Mycelium Hazard loses a Tick of Hit P"&amp;"oints, then the user gains a Tick of Hit Points or a Temporary Tick of Hit Points. If the user faints or is recalled, all Mycelium Hazards are destroyed.")</f>
        <v>Effect: Choose 6 Spaces within 6m to create Mycelium Hazards in, such that all 6 Spaces are Adjacent to at least one other Mycelium Hazard. Mycelium Hazards are treated as Slow Terrain. Any Enemy that passes through a Mycelium Hazard loses a Tick of Hit Points, then the user gains a Tick of Hit Points or a Temporary Tick of Hit Points. If the user faints or is recalled, all Mycelium Hazards are destroyed.</v>
      </c>
      <c r="D298" s="225"/>
      <c r="E298" s="225"/>
      <c r="F298" s="225"/>
      <c r="G298" s="226" t="str">
        <f>IFERROR(__xludf.DUMMYFUNCTION("""COMPUTED_VALUE"""),"At-Will - Swift Action
Effect: Choose 6 Spaces within 6m to create Mycelium Hazards in, such that all 6 Spaces are Adjacent to at least one other Mycelium Hazard. Mycelium Hazards are treated as Slow Terrain. Any Enemy that passes through a Mycelium Hazar"&amp;"d loses a Tick of Hit Points, then the user gains a Tick of Hit Points or a Temporary Tick of Hit Points. If the user faints or is recalled, all Mycelium Hazards are destroyed.")</f>
        <v>At-Will - Swift Action
Effect: Choose 6 Spaces within 6m to create Mycelium Hazards in, such that all 6 Spaces are Adjacent to at least one other Mycelium Hazard. Mycelium Hazards are treated as Slow Terrain. Any Enemy that passes through a Mycelium Hazard loses a Tick of Hit Points, then the user gains a Tick of Hit Points or a Temporary Tick of Hit Points. If the user faints or is recalled, all Mycelium Hazards are destroyed.</v>
      </c>
      <c r="H298" s="224"/>
      <c r="I298" s="224"/>
      <c r="J298" s="224"/>
      <c r="K298" s="224"/>
      <c r="L298" s="224"/>
      <c r="M298" s="224"/>
      <c r="N298" s="224"/>
      <c r="O298" s="224"/>
      <c r="P298" s="224"/>
      <c r="Q298" s="224"/>
      <c r="R298" s="224"/>
      <c r="S298" s="224"/>
      <c r="T298" s="224"/>
      <c r="U298" s="224"/>
      <c r="V298" s="224"/>
      <c r="W298" s="224"/>
      <c r="X298" s="224"/>
      <c r="Y298" s="224"/>
      <c r="Z298" s="224"/>
    </row>
    <row r="299">
      <c r="A299" s="225" t="str">
        <f>IFERROR(__xludf.DUMMYFUNCTION("""COMPUTED_VALUE"""),"Mysticism")</f>
        <v>Mysticism</v>
      </c>
      <c r="B299" s="225" t="str">
        <f>IFERROR(__xludf.DUMMYFUNCTION("""COMPUTED_VALUE"""),"Static")</f>
        <v>Static</v>
      </c>
      <c r="C299" s="225" t="str">
        <f>IFERROR(__xludf.DUMMYFUNCTION("""COMPUTED_VALUE"""),"Effect: The user adds +5 Points to their Special Defense Stat in the Extras Column. When the user reaches Level 20 and every interval after that (20, 40, etc) they gain an additional +5. If the user is a Trainer, the Level Intervals are Level 4, 8, 12, 16"&amp;", then 20. The user may use their Special Stat Evasion instead of Defense when Targeted by a Physical Attack if desired.")</f>
        <v>Effect: The user adds +5 Points to their Special Defense Stat in the Extras Column. When the user reaches Level 20 and every interval after that (20, 40, etc) they gain an additional +5. If the user is a Trainer, the Level Intervals are Level 4, 8, 12, 16, then 20. The user may use their Special Stat Evasion instead of Defense when Targeted by a Physical Attack if desired.</v>
      </c>
      <c r="D299" s="225"/>
      <c r="E299" s="225"/>
      <c r="F299" s="225" t="str">
        <f>IFERROR(__xludf.DUMMYFUNCTION("""COMPUTED_VALUE"""),"Innate")</f>
        <v>Innate</v>
      </c>
      <c r="G299" s="226" t="str">
        <f>IFERROR(__xludf.DUMMYFUNCTION("""COMPUTED_VALUE"""),"Static
Keywords - Innate
Effect: The user adds +5 Points to their Special Defense Stat in the Extras Column. When the user reaches Level 20 and every interval after that (20, 40, etc) they gain an additional +5. If the user is a Trainer, the Level Interva"&amp;"ls are Level 4, 8, 12, 16, then 20. The user may use their Special Stat Evasion instead of Defense when Targeted by a Physical Attack if desired.")</f>
        <v>Static
Keywords - Innate
Effect: The user adds +5 Points to their Special Defense Stat in the Extras Column. When the user reaches Level 20 and every interval after that (20, 40, etc) they gain an additional +5. If the user is a Trainer, the Level Intervals are Level 4, 8, 12, 16, then 20. The user may use their Special Stat Evasion instead of Defense when Targeted by a Physical Attack if desired.</v>
      </c>
      <c r="H299" s="224"/>
      <c r="I299" s="224"/>
      <c r="J299" s="224"/>
      <c r="K299" s="224"/>
      <c r="L299" s="224"/>
      <c r="M299" s="224"/>
      <c r="N299" s="224"/>
      <c r="O299" s="224"/>
      <c r="P299" s="224"/>
      <c r="Q299" s="224"/>
      <c r="R299" s="224"/>
      <c r="S299" s="224"/>
      <c r="T299" s="224"/>
      <c r="U299" s="224"/>
      <c r="V299" s="224"/>
      <c r="W299" s="224"/>
      <c r="X299" s="224"/>
      <c r="Y299" s="224"/>
      <c r="Z299" s="224"/>
    </row>
    <row r="300">
      <c r="A300" s="225" t="str">
        <f>IFERROR(__xludf.DUMMYFUNCTION("""COMPUTED_VALUE"""),"Mystic Mist")</f>
        <v>Mystic Mist</v>
      </c>
      <c r="B300" s="225" t="str">
        <f>IFERROR(__xludf.DUMMYFUNCTION("""COMPUTED_VALUE"""),"At-Will - Swift Action")</f>
        <v>At-Will - Swift Action</v>
      </c>
      <c r="C300" s="225" t="str">
        <f>IFERROR(__xludf.DUMMYFUNCTION("""COMPUTED_VALUE"""),"Connection - Fey Storm 
Effect: The Weather becomes Mystical. 
Bonus: While the Weather is Mystical, the user has a bonus to Save Checks equal to their Tier Level and has a Boon to all Skill Checks while in Combat. ")</f>
        <v>Connection - Fey Storm 
Effect: The Weather becomes Mystical. 
Bonus: While the Weather is Mystical, the user has a bonus to Save Checks equal to their Tier Level and has a Boon to all Skill Checks while in Combat. </v>
      </c>
      <c r="D300" s="225"/>
      <c r="E300" s="225"/>
      <c r="F300" s="225"/>
      <c r="G300" s="226" t="str">
        <f>IFERROR(__xludf.DUMMYFUNCTION("""COMPUTED_VALUE"""),"At-Will - Swift Action
Connection - Fey Storm 
Effect: The Weather becomes Mystical. 
Bonus: While the Weather is Mystical, the user has a bonus to Save Checks equal to their Tier Level and has a Boon to all Skill Checks while in Combat. ")</f>
        <v>At-Will - Swift Action
Connection - Fey Storm 
Effect: The Weather becomes Mystical. 
Bonus: While the Weather is Mystical, the user has a bonus to Save Checks equal to their Tier Level and has a Boon to all Skill Checks while in Combat. </v>
      </c>
      <c r="H300" s="224"/>
      <c r="I300" s="224"/>
      <c r="J300" s="224"/>
      <c r="K300" s="224"/>
      <c r="L300" s="224"/>
      <c r="M300" s="224"/>
      <c r="N300" s="224"/>
      <c r="O300" s="224"/>
      <c r="P300" s="224"/>
      <c r="Q300" s="224"/>
      <c r="R300" s="224"/>
      <c r="S300" s="224"/>
      <c r="T300" s="224"/>
      <c r="U300" s="224"/>
      <c r="V300" s="224"/>
      <c r="W300" s="224"/>
      <c r="X300" s="224"/>
      <c r="Y300" s="224"/>
      <c r="Z300" s="224"/>
    </row>
    <row r="301">
      <c r="A301" s="225" t="str">
        <f>IFERROR(__xludf.DUMMYFUNCTION("""COMPUTED_VALUE"""),"Mystic Veil")</f>
        <v>Mystic Veil</v>
      </c>
      <c r="B301" s="225" t="str">
        <f>IFERROR(__xludf.DUMMYFUNCTION("""COMPUTED_VALUE"""),"Scene x2 - Free Action")</f>
        <v>Scene x2 - Free Action</v>
      </c>
      <c r="C301" s="225" t="str">
        <f>IFERROR(__xludf.DUMMYFUNCTION("""COMPUTED_VALUE"""),"Effect: The Triggering Ally regains a tick of hit points.
Bonus: The user and allies within 2m of the user have a bonus to Save Checks equal to their Tier Level.")</f>
        <v>Effect: The Triggering Ally regains a tick of hit points.
Bonus: The user and allies within 2m of the user have a bonus to Save Checks equal to their Tier Level.</v>
      </c>
      <c r="D301" s="225" t="str">
        <f>IFERROR(__xludf.DUMMYFUNCTION("""COMPUTED_VALUE"""),"An Ally ends their turn within 2m of the user.")</f>
        <v>An Ally ends their turn within 2m of the user.</v>
      </c>
      <c r="E301" s="225"/>
      <c r="F301" s="225"/>
      <c r="G301" s="226" t="str">
        <f>IFERROR(__xludf.DUMMYFUNCTION("""COMPUTED_VALUE"""),"Scene x2 - Free Action
Trigger - An Ally ends their turn within 2m of the user.
Effect: The Triggering Ally regains a tick of hit points.
Bonus: The user and allies within 2m of the user have a bonus to Save Checks equal to their Tier Level.")</f>
        <v>Scene x2 - Free Action
Trigger - An Ally ends their turn within 2m of the user.
Effect: The Triggering Ally regains a tick of hit points.
Bonus: The user and allies within 2m of the user have a bonus to Save Checks equal to their Tier Level.</v>
      </c>
      <c r="H301" s="224"/>
      <c r="I301" s="224"/>
      <c r="J301" s="224"/>
      <c r="K301" s="224"/>
      <c r="L301" s="224"/>
      <c r="M301" s="224"/>
      <c r="N301" s="224"/>
      <c r="O301" s="224"/>
      <c r="P301" s="224"/>
      <c r="Q301" s="224"/>
      <c r="R301" s="224"/>
      <c r="S301" s="224"/>
      <c r="T301" s="224"/>
      <c r="U301" s="224"/>
      <c r="V301" s="224"/>
      <c r="W301" s="224"/>
      <c r="X301" s="224"/>
      <c r="Y301" s="224"/>
      <c r="Z301" s="224"/>
    </row>
    <row r="302">
      <c r="A302" s="225" t="str">
        <f>IFERROR(__xludf.DUMMYFUNCTION("""COMPUTED_VALUE"""),"Natural Cure")</f>
        <v>Natural Cure</v>
      </c>
      <c r="B302" s="225" t="str">
        <f>IFERROR(__xludf.DUMMYFUNCTION("""COMPUTED_VALUE"""),"Scene - Swift Action")</f>
        <v>Scene - Swift Action</v>
      </c>
      <c r="C302" s="225" t="str">
        <f>IFERROR(__xludf.DUMMYFUNCTION("""COMPUTED_VALUE"""),"Effect: The user is cured of all Physical Status Afflictions they have.
Bonus: The user has a bonus to Save Checks equal to double their Tier Level if they have a Physical Affliction.")</f>
        <v>Effect: The user is cured of all Physical Status Afflictions they have.
Bonus: The user has a bonus to Save Checks equal to double their Tier Level if they have a Physical Affliction.</v>
      </c>
      <c r="D302" s="225"/>
      <c r="E302" s="225"/>
      <c r="F302" s="225"/>
      <c r="G302" s="226" t="str">
        <f>IFERROR(__xludf.DUMMYFUNCTION("""COMPUTED_VALUE"""),"Scene - Swift Action
Effect: The user is cured of all Physical Status Afflictions they have.
Bonus: The user has a bonus to Save Checks equal to double their Tier Level if they have a Physical Affliction.")</f>
        <v>Scene - Swift Action
Effect: The user is cured of all Physical Status Afflictions they have.
Bonus: The user has a bonus to Save Checks equal to double their Tier Level if they have a Physical Affliction.</v>
      </c>
      <c r="H302" s="224"/>
      <c r="I302" s="224"/>
      <c r="J302" s="224"/>
      <c r="K302" s="224"/>
      <c r="L302" s="224"/>
      <c r="M302" s="224"/>
      <c r="N302" s="224"/>
      <c r="O302" s="224"/>
      <c r="P302" s="224"/>
      <c r="Q302" s="224"/>
      <c r="R302" s="224"/>
      <c r="S302" s="224"/>
      <c r="T302" s="224"/>
      <c r="U302" s="224"/>
      <c r="V302" s="224"/>
      <c r="W302" s="224"/>
      <c r="X302" s="224"/>
      <c r="Y302" s="224"/>
      <c r="Z302" s="224"/>
    </row>
    <row r="303">
      <c r="A303" s="225" t="str">
        <f>IFERROR(__xludf.DUMMYFUNCTION("""COMPUTED_VALUE"""),"Natural Regality")</f>
        <v>Natural Regality</v>
      </c>
      <c r="B303" s="225" t="str">
        <f>IFERROR(__xludf.DUMMYFUNCTION("""COMPUTED_VALUE"""),"Scene - Free Action")</f>
        <v>Scene - Free Action</v>
      </c>
      <c r="C303" s="225" t="str">
        <f>IFERROR(__xludf.DUMMYFUNCTION("""COMPUTED_VALUE"""),"Effect: After the Triggering Attack resolves, choose a Manipulate Maneuver to use on all Targets hit by the Triggering Attack. The Maneuver automatically hits. 
Bonus: While the Weather is Sunny, the user's Combat Stages cannot be lowered below their Defa"&amp;"ult CS Value.")</f>
        <v>Effect: After the Triggering Attack resolves, choose a Manipulate Maneuver to use on all Targets hit by the Triggering Attack. The Maneuver automatically hits. 
Bonus: While the Weather is Sunny, the user's Combat Stages cannot be lowered below their Default CS Value.</v>
      </c>
      <c r="D303" s="225" t="str">
        <f>IFERROR(__xludf.DUMMYFUNCTION("""COMPUTED_VALUE"""),"The user hits with a Grass Type Attack")</f>
        <v>The user hits with a Grass Type Attack</v>
      </c>
      <c r="E303" s="225"/>
      <c r="F303" s="225"/>
      <c r="G303" s="226" t="str">
        <f>IFERROR(__xludf.DUMMYFUNCTION("""COMPUTED_VALUE"""),"Scene - Free Action
Trigger - The user hits with a Grass Type Attack
Effect: After the Triggering Attack resolves, choose a Manipulate Maneuver to use on all Targets hit by the Triggering Attack. The Maneuver automatically hits. 
Bonus: While the Weather "&amp;"is Sunny, the user's Combat Stages cannot be lowered below their Default CS Value.")</f>
        <v>Scene - Free Action
Trigger - The user hits with a Grass Type Attack
Effect: After the Triggering Attack resolves, choose a Manipulate Maneuver to use on all Targets hit by the Triggering Attack. The Maneuver automatically hits. 
Bonus: While the Weather is Sunny, the user's Combat Stages cannot be lowered below their Default CS Value.</v>
      </c>
      <c r="H303" s="224"/>
      <c r="I303" s="224"/>
      <c r="J303" s="224"/>
      <c r="K303" s="224"/>
      <c r="L303" s="224"/>
      <c r="M303" s="224"/>
      <c r="N303" s="224"/>
      <c r="O303" s="224"/>
      <c r="P303" s="224"/>
      <c r="Q303" s="224"/>
      <c r="R303" s="224"/>
      <c r="S303" s="224"/>
      <c r="T303" s="224"/>
      <c r="U303" s="224"/>
      <c r="V303" s="224"/>
      <c r="W303" s="224"/>
      <c r="X303" s="224"/>
      <c r="Y303" s="224"/>
      <c r="Z303" s="224"/>
    </row>
    <row r="304">
      <c r="A304" s="225" t="str">
        <f>IFERROR(__xludf.DUMMYFUNCTION("""COMPUTED_VALUE"""),"Needles")</f>
        <v>Needles</v>
      </c>
      <c r="B304" s="225" t="str">
        <f>IFERROR(__xludf.DUMMYFUNCTION("""COMPUTED_VALUE"""),"At-Will - Reaction")</f>
        <v>At-Will - Reaction</v>
      </c>
      <c r="C304" s="225" t="str">
        <f>IFERROR(__xludf.DUMMYFUNCTION("""COMPUTED_VALUE"""),"Effect: After the Trigger resolves, the Triggering Enemy or the Target, respectively, lose a Tick of Hit Points and gains a Needles Coat. While an Enemy has a Needles Coat, all Melee Attacks that hit them have a bonus to Damage Rolls equal to your Tier Va"&amp;"lue. The Needles coat can be removed as a Movement Action. ")</f>
        <v>Effect: After the Trigger resolves, the Triggering Enemy or the Target, respectively, lose a Tick of Hit Points and gains a Needles Coat. While an Enemy has a Needles Coat, all Melee Attacks that hit them have a bonus to Damage Rolls equal to your Tier Value. The Needles coat can be removed as a Movement Action. </v>
      </c>
      <c r="D304" s="225" t="str">
        <f>IFERROR(__xludf.DUMMYFUNCTION("""COMPUTED_VALUE"""),"The user is hit by a Melee Attack or hits a Melee Attack")</f>
        <v>The user is hit by a Melee Attack or hits a Melee Attack</v>
      </c>
      <c r="E304" s="225"/>
      <c r="F304" s="225" t="str">
        <f>IFERROR(__xludf.DUMMYFUNCTION("""COMPUTED_VALUE"""),"Defensive")</f>
        <v>Defensive</v>
      </c>
      <c r="G304" s="226" t="str">
        <f>IFERROR(__xludf.DUMMYFUNCTION("""COMPUTED_VALUE"""),"At-Will - Reaction
Keywords - Defensive
Trigger - The user is hit by a Melee Attack or hits a Melee Attack
Effect: After the Trigger resolves, the Triggering Enemy or the Target, respectively, lose a Tick of Hit Points and gains a Needles Coat. While an E"&amp;"nemy has a Needles Coat, all Melee Attacks that hit them have a bonus to Damage Rolls equal to your Tier Value. The Needles coat can be removed as a Movement Action. ")</f>
        <v>At-Will - Reaction
Keywords - Defensive
Trigger - The user is hit by a Melee Attack or hits a Melee Attack
Effect: After the Trigger resolves, the Triggering Enemy or the Target, respectively, lose a Tick of Hit Points and gains a Needles Coat. While an Enemy has a Needles Coat, all Melee Attacks that hit them have a bonus to Damage Rolls equal to your Tier Value. The Needles coat can be removed as a Movement Action. </v>
      </c>
      <c r="H304" s="224"/>
      <c r="I304" s="224"/>
      <c r="J304" s="224"/>
      <c r="K304" s="224"/>
      <c r="L304" s="224"/>
      <c r="M304" s="224"/>
      <c r="N304" s="224"/>
      <c r="O304" s="224"/>
      <c r="P304" s="224"/>
      <c r="Q304" s="224"/>
      <c r="R304" s="224"/>
      <c r="S304" s="224"/>
      <c r="T304" s="224"/>
      <c r="U304" s="224"/>
      <c r="V304" s="224"/>
      <c r="W304" s="224"/>
      <c r="X304" s="224"/>
      <c r="Y304" s="224"/>
      <c r="Z304" s="224"/>
    </row>
    <row r="305">
      <c r="A305" s="225" t="str">
        <f>IFERROR(__xludf.DUMMYFUNCTION("""COMPUTED_VALUE"""),"Neutralizing Gas")</f>
        <v>Neutralizing Gas</v>
      </c>
      <c r="B305" s="225" t="str">
        <f>IFERROR(__xludf.DUMMYFUNCTION("""COMPUTED_VALUE"""),"Static")</f>
        <v>Static</v>
      </c>
      <c r="C305" s="225" t="str">
        <f>IFERROR(__xludf.DUMMYFUNCTION("""COMPUTED_VALUE"""),"Effect: Enemy Abilities have no Effect while the user is Adjacent to them. If the user is Tier 3, this instead applies to Enemies within 2m of the user. If the user causes an Enemy to become Poisoned, their Abilities have no Effect while they are Poisoned"&amp;" this way. ")</f>
        <v>Effect: Enemy Abilities have no Effect while the user is Adjacent to them. If the user is Tier 3, this instead applies to Enemies within 2m of the user. If the user causes an Enemy to become Poisoned, their Abilities have no Effect while they are Poisoned this way. </v>
      </c>
      <c r="D305" s="225"/>
      <c r="E305" s="225"/>
      <c r="F305" s="225"/>
      <c r="G305" s="226" t="str">
        <f>IFERROR(__xludf.DUMMYFUNCTION("""COMPUTED_VALUE"""),"Static
Effect: Enemy Abilities have no Effect while the user is Adjacent to them. If the user is Tier 3, this instead applies to Enemies within 2m of the user. If the user causes an Enemy to become Poisoned, their Abilities have no Effect while they are P"&amp;"oisoned this way. ")</f>
        <v>Static
Effect: Enemy Abilities have no Effect while the user is Adjacent to them. If the user is Tier 3, this instead applies to Enemies within 2m of the user. If the user causes an Enemy to become Poisoned, their Abilities have no Effect while they are Poisoned this way. </v>
      </c>
      <c r="H305" s="224"/>
      <c r="I305" s="224"/>
      <c r="J305" s="224"/>
      <c r="K305" s="224"/>
      <c r="L305" s="224"/>
      <c r="M305" s="224"/>
      <c r="N305" s="224"/>
      <c r="O305" s="224"/>
      <c r="P305" s="224"/>
      <c r="Q305" s="224"/>
      <c r="R305" s="224"/>
      <c r="S305" s="224"/>
      <c r="T305" s="224"/>
      <c r="U305" s="224"/>
      <c r="V305" s="224"/>
      <c r="W305" s="224"/>
      <c r="X305" s="224"/>
      <c r="Y305" s="224"/>
      <c r="Z305" s="224"/>
    </row>
    <row r="306">
      <c r="A306" s="225" t="str">
        <f>IFERROR(__xludf.DUMMYFUNCTION("""COMPUTED_VALUE"""),"Nightfall")</f>
        <v>Nightfall</v>
      </c>
      <c r="B306" s="225" t="str">
        <f>IFERROR(__xludf.DUMMYFUNCTION("""COMPUTED_VALUE"""),"At-Will - Swift Action")</f>
        <v>At-Will - Swift Action</v>
      </c>
      <c r="C306" s="225" t="str">
        <f>IFERROR(__xludf.DUMMYFUNCTION("""COMPUTED_VALUE"""),"Connection - New Moon
Effect: The Weather becomes Foggy. 
Bonus: While the Weather is Foggy, the user has a bonus to Save Checks equal to their Tier Level and has a Boon to all Skill Checks while in Combat. ")</f>
        <v>Connection - New Moon
Effect: The Weather becomes Foggy. 
Bonus: While the Weather is Foggy, the user has a bonus to Save Checks equal to their Tier Level and has a Boon to all Skill Checks while in Combat. </v>
      </c>
      <c r="D306" s="225"/>
      <c r="E306" s="225"/>
      <c r="F306" s="225"/>
      <c r="G306" s="226" t="str">
        <f>IFERROR(__xludf.DUMMYFUNCTION("""COMPUTED_VALUE"""),"At-Will - Swift Action
Connection - New Moon
Effect: The Weather becomes Foggy. 
Bonus: While the Weather is Foggy, the user has a bonus to Save Checks equal to their Tier Level and has a Boon to all Skill Checks while in Combat. ")</f>
        <v>At-Will - Swift Action
Connection - New Moon
Effect: The Weather becomes Foggy. 
Bonus: While the Weather is Foggy, the user has a bonus to Save Checks equal to their Tier Level and has a Boon to all Skill Checks while in Combat. </v>
      </c>
      <c r="H306" s="224"/>
      <c r="I306" s="224"/>
      <c r="J306" s="224"/>
      <c r="K306" s="224"/>
      <c r="L306" s="224"/>
      <c r="M306" s="224"/>
      <c r="N306" s="224"/>
      <c r="O306" s="224"/>
      <c r="P306" s="224"/>
      <c r="Q306" s="224"/>
      <c r="R306" s="224"/>
      <c r="S306" s="224"/>
      <c r="T306" s="224"/>
      <c r="U306" s="224"/>
      <c r="V306" s="224"/>
      <c r="W306" s="224"/>
      <c r="X306" s="224"/>
      <c r="Y306" s="224"/>
      <c r="Z306" s="224"/>
    </row>
    <row r="307">
      <c r="A307" s="225" t="str">
        <f>IFERROR(__xludf.DUMMYFUNCTION("""COMPUTED_VALUE"""),"Nimble Strikes")</f>
        <v>Nimble Strikes</v>
      </c>
      <c r="B307" s="225" t="str">
        <f>IFERROR(__xludf.DUMMYFUNCTION("""COMPUTED_VALUE"""),"Static")</f>
        <v>Static</v>
      </c>
      <c r="C307" s="225" t="str">
        <f>IFERROR(__xludf.DUMMYFUNCTION("""COMPUTED_VALUE"""),"Effect: The user may add half of their Speed Stat to the Damage Rolls of their Physical Normal Type Attacks or may use their Speed Stat instead of Attack as the Offensive Stat for them. Whenever the user uses Melee Normal Type Attacks, the Target cannot a"&amp;"pply Speed Evasion against them.")</f>
        <v>Effect: The user may add half of their Speed Stat to the Damage Rolls of their Physical Normal Type Attacks or may use their Speed Stat instead of Attack as the Offensive Stat for them. Whenever the user uses Melee Normal Type Attacks, the Target cannot apply Speed Evasion against them.</v>
      </c>
      <c r="D307" s="225"/>
      <c r="E307" s="225"/>
      <c r="F307" s="225"/>
      <c r="G307" s="226" t="str">
        <f>IFERROR(__xludf.DUMMYFUNCTION("""COMPUTED_VALUE"""),"Static
Effect: The user may add half of their Speed Stat to the Damage Rolls of their Physical Normal Type Attacks or may use their Speed Stat instead of Attack as the Offensive Stat for them. Whenever the user uses Melee Normal Type Attacks, the Target c"&amp;"annot apply Speed Evasion against them.")</f>
        <v>Static
Effect: The user may add half of their Speed Stat to the Damage Rolls of their Physical Normal Type Attacks or may use their Speed Stat instead of Attack as the Offensive Stat for them. Whenever the user uses Melee Normal Type Attacks, the Target cannot apply Speed Evasion against them.</v>
      </c>
      <c r="H307" s="224"/>
      <c r="I307" s="224"/>
      <c r="J307" s="224"/>
      <c r="K307" s="224"/>
      <c r="L307" s="224"/>
      <c r="M307" s="224"/>
      <c r="N307" s="224"/>
      <c r="O307" s="224"/>
      <c r="P307" s="224"/>
      <c r="Q307" s="224"/>
      <c r="R307" s="224"/>
      <c r="S307" s="224"/>
      <c r="T307" s="224"/>
      <c r="U307" s="224"/>
      <c r="V307" s="224"/>
      <c r="W307" s="224"/>
      <c r="X307" s="224"/>
      <c r="Y307" s="224"/>
      <c r="Z307" s="224"/>
    </row>
    <row r="308">
      <c r="A308" s="225" t="str">
        <f>IFERROR(__xludf.DUMMYFUNCTION("""COMPUTED_VALUE"""),"No Guard")</f>
        <v>No Guard</v>
      </c>
      <c r="B308" s="225" t="str">
        <f>IFERROR(__xludf.DUMMYFUNCTION("""COMPUTED_VALUE"""),"Static")</f>
        <v>Static</v>
      </c>
      <c r="C308" s="225" t="str">
        <f>IFERROR(__xludf.DUMMYFUNCTION("""COMPUTED_VALUE"""),"Effect: The user’s Melee Attacks ignore Evasion. The user cannot apply Evasion against Adjacent Enemies.")</f>
        <v>Effect: The user’s Melee Attacks ignore Evasion. The user cannot apply Evasion against Adjacent Enemies.</v>
      </c>
      <c r="D308" s="225"/>
      <c r="E308" s="225"/>
      <c r="F308" s="225"/>
      <c r="G308" s="226" t="str">
        <f>IFERROR(__xludf.DUMMYFUNCTION("""COMPUTED_VALUE"""),"Static
Effect: The user’s Melee Attacks ignore Evasion. The user cannot apply Evasion against Adjacent Enemies.")</f>
        <v>Static
Effect: The user’s Melee Attacks ignore Evasion. The user cannot apply Evasion against Adjacent Enemies.</v>
      </c>
      <c r="H308" s="224"/>
      <c r="I308" s="224"/>
      <c r="J308" s="224"/>
      <c r="K308" s="224"/>
      <c r="L308" s="224"/>
      <c r="M308" s="224"/>
      <c r="N308" s="224"/>
      <c r="O308" s="224"/>
      <c r="P308" s="224"/>
      <c r="Q308" s="224"/>
      <c r="R308" s="224"/>
      <c r="S308" s="224"/>
      <c r="T308" s="224"/>
      <c r="U308" s="224"/>
      <c r="V308" s="224"/>
      <c r="W308" s="224"/>
      <c r="X308" s="224"/>
      <c r="Y308" s="224"/>
      <c r="Z308" s="224"/>
    </row>
    <row r="309">
      <c r="A309" s="225" t="str">
        <f>IFERROR(__xludf.DUMMYFUNCTION("""COMPUTED_VALUE"""),"Odious Spray")</f>
        <v>Odious Spray</v>
      </c>
      <c r="B309" s="225" t="str">
        <f>IFERROR(__xludf.DUMMYFUNCTION("""COMPUTED_VALUE"""),"Scene x2 - Swift Action")</f>
        <v>Scene x2 - Swift Action</v>
      </c>
      <c r="C309" s="225" t="str">
        <f>IFERROR(__xludf.DUMMYFUNCTION("""COMPUTED_VALUE"""),"Connection - Poison Gas. 
Effect: The user creates Gas Hazards in a Ranged Blast 3 centered on one Target of the Attack. Enemies that Trigger this Hazard become Weakened until the end of their next Turn and Poisoned.
Bonus: The user may create a 2x2 Zone "&amp;"within 3m as a Standard Action. This Zone is filled with Gas Hazards that cause those who Trigger it to become Weakened until the end of the next Round and Poisoned.")</f>
        <v>Connection - Poison Gas. 
Effect: The user creates Gas Hazards in a Ranged Blast 3 centered on one Target of the Attack. Enemies that Trigger this Hazard become Weakened until the end of their next Turn and Poisoned.
Bonus: The user may create a 2x2 Zone within 3m as a Standard Action. This Zone is filled with Gas Hazards that cause those who Trigger it to become Weakened until the end of the next Round and Poisoned.</v>
      </c>
      <c r="D309" s="225" t="str">
        <f>IFERROR(__xludf.DUMMYFUNCTION("""COMPUTED_VALUE"""),"The user hits with a Poison-Type Attack.")</f>
        <v>The user hits with a Poison-Type Attack.</v>
      </c>
      <c r="E309" s="225"/>
      <c r="F309" s="225"/>
      <c r="G309" s="226" t="str">
        <f>IFERROR(__xludf.DUMMYFUNCTION("""COMPUTED_VALUE"""),"Scene x2 - Swift Action
Trigger - The user hits with a Poison-Type Attack.
Connection - Poison Gas. 
Effect: The user creates Gas Hazards in a Ranged Blast 3 centered on one Target of the Attack. Enemies that Trigger this Hazard become Weakened until the "&amp;"end of their next Turn and Poisoned.
Bonus: The user may create a 2x2 Zone within 3m as a Standard Action. This Zone is filled with Gas Hazards that cause those who Trigger it to become Weakened until the end of the next Round and Poisoned.")</f>
        <v>Scene x2 - Swift Action
Trigger - The user hits with a Poison-Type Attack.
Connection - Poison Gas. 
Effect: The user creates Gas Hazards in a Ranged Blast 3 centered on one Target of the Attack. Enemies that Trigger this Hazard become Weakened until the end of their next Turn and Poisoned.
Bonus: The user may create a 2x2 Zone within 3m as a Standard Action. This Zone is filled with Gas Hazards that cause those who Trigger it to become Weakened until the end of the next Round and Poisoned.</v>
      </c>
      <c r="H309" s="224"/>
      <c r="I309" s="224"/>
      <c r="J309" s="224"/>
      <c r="K309" s="224"/>
      <c r="L309" s="224"/>
      <c r="M309" s="224"/>
      <c r="N309" s="224"/>
      <c r="O309" s="224"/>
      <c r="P309" s="224"/>
      <c r="Q309" s="224"/>
      <c r="R309" s="224"/>
      <c r="S309" s="224"/>
      <c r="T309" s="224"/>
      <c r="U309" s="224"/>
      <c r="V309" s="224"/>
      <c r="W309" s="224"/>
      <c r="X309" s="224"/>
      <c r="Y309" s="224"/>
      <c r="Z309" s="224"/>
    </row>
    <row r="310">
      <c r="A310" s="225" t="str">
        <f>IFERROR(__xludf.DUMMYFUNCTION("""COMPUTED_VALUE"""),"Omen")</f>
        <v>Omen</v>
      </c>
      <c r="B310" s="225" t="str">
        <f>IFERROR(__xludf.DUMMYFUNCTION("""COMPUTED_VALUE"""),"Scene - Swift Action")</f>
        <v>Scene - Swift Action</v>
      </c>
      <c r="C310" s="225" t="str">
        <f>IFERROR(__xludf.DUMMYFUNCTION("""COMPUTED_VALUE"""),"Effect: The Target gains an Ominous Coat. When a Combatant with an Ominous Coat misses an Attack or fails a Save Check, the Coat is expended and they become Cursed. A Combatant can only be Cursed this way once per Scene.
Bonus: The user’s Dark and Ghost T"&amp;"ype Attacks used as a Standard Action have a 17+ Effect Range of causing the Target to gain an Ominous Coat.  ")</f>
        <v>Effect: The Target gains an Ominous Coat. When a Combatant with an Ominous Coat misses an Attack or fails a Save Check, the Coat is expended and they become Cursed. A Combatant can only be Cursed this way once per Scene.
Bonus: The user’s Dark and Ghost Type Attacks used as a Standard Action have a 17+ Effect Range of causing the Target to gain an Ominous Coat.  </v>
      </c>
      <c r="D310" s="225"/>
      <c r="E310" s="225" t="str">
        <f>IFERROR(__xludf.DUMMYFUNCTION("""COMPUTED_VALUE"""),"An Enemy within 5m")</f>
        <v>An Enemy within 5m</v>
      </c>
      <c r="F310" s="225"/>
      <c r="G310" s="226" t="str">
        <f>IFERROR(__xludf.DUMMYFUNCTION("""COMPUTED_VALUE"""),"Scene - Swift Action
Target - An Enemy within 5m
Effect: The Target gains an Ominous Coat. When a Combatant with an Ominous Coat misses an Attack or fails a Save Check, the Coat is expended and they become Cursed. A Combatant can only be Cursed this way o"&amp;"nce per Scene.
Bonus: The user’s Dark and Ghost Type Attacks used as a Standard Action have a 17+ Effect Range of causing the Target to gain an Ominous Coat.  ")</f>
        <v>Scene - Swift Action
Target - An Enemy within 5m
Effect: The Target gains an Ominous Coat. When a Combatant with an Ominous Coat misses an Attack or fails a Save Check, the Coat is expended and they become Cursed. A Combatant can only be Cursed this way once per Scene.
Bonus: The user’s Dark and Ghost Type Attacks used as a Standard Action have a 17+ Effect Range of causing the Target to gain an Ominous Coat.  </v>
      </c>
      <c r="H310" s="224"/>
      <c r="I310" s="224"/>
      <c r="J310" s="224"/>
      <c r="K310" s="224"/>
      <c r="L310" s="224"/>
      <c r="M310" s="224"/>
      <c r="N310" s="224"/>
      <c r="O310" s="224"/>
      <c r="P310" s="224"/>
      <c r="Q310" s="224"/>
      <c r="R310" s="224"/>
      <c r="S310" s="224"/>
      <c r="T310" s="224"/>
      <c r="U310" s="224"/>
      <c r="V310" s="224"/>
      <c r="W310" s="224"/>
      <c r="X310" s="224"/>
      <c r="Y310" s="224"/>
      <c r="Z310" s="224"/>
    </row>
    <row r="311">
      <c r="A311" s="225" t="str">
        <f>IFERROR(__xludf.DUMMYFUNCTION("""COMPUTED_VALUE"""),"Opportunist")</f>
        <v>Opportunist</v>
      </c>
      <c r="B311" s="225" t="str">
        <f>IFERROR(__xludf.DUMMYFUNCTION("""COMPUTED_VALUE"""),"Scene x2 - Reaction")</f>
        <v>Scene x2 - Reaction</v>
      </c>
      <c r="C311" s="225" t="str">
        <f>IFERROR(__xludf.DUMMYFUNCTION("""COMPUTED_VALUE"""),"Effect: The user increases their Combat Stages for the same Stat by the amount increased by the Triggering Combatant
Bonus: When the user performs an Attack of Opportunity, they may use an At-Will damaging Attack instead of a Basic Attack so long as the o"&amp;"nly Target is the Triggering Enemy. ")</f>
        <v>Effect: The user increases their Combat Stages for the same Stat by the amount increased by the Triggering Combatant
Bonus: When the user performs an Attack of Opportunity, they may use an At-Will damaging Attack instead of a Basic Attack so long as the only Target is the Triggering Enemy. </v>
      </c>
      <c r="D311" s="225" t="str">
        <f>IFERROR(__xludf.DUMMYFUNCTION("""COMPUTED_VALUE"""),"An Enemy within 5m increases their Combat Stages")</f>
        <v>An Enemy within 5m increases their Combat Stages</v>
      </c>
      <c r="E311" s="225"/>
      <c r="F311" s="225"/>
      <c r="G311" s="226" t="str">
        <f>IFERROR(__xludf.DUMMYFUNCTION("""COMPUTED_VALUE"""),"Scene x2 - Reaction
Trigger - An Enemy within 5m increases their Combat Stages
Effect: The user increases their Combat Stages for the same Stat by the amount increased by the Triggering Combatant
Bonus: When the user performs an Attack of Opportunity, the"&amp;"y may use an At-Will damaging Attack instead of a Basic Attack so long as the only Target is the Triggering Enemy. ")</f>
        <v>Scene x2 - Reaction
Trigger - An Enemy within 5m increases their Combat Stages
Effect: The user increases their Combat Stages for the same Stat by the amount increased by the Triggering Combatant
Bonus: When the user performs an Attack of Opportunity, they may use an At-Will damaging Attack instead of a Basic Attack so long as the only Target is the Triggering Enemy. </v>
      </c>
      <c r="H311" s="224"/>
      <c r="I311" s="224"/>
      <c r="J311" s="224"/>
      <c r="K311" s="224"/>
      <c r="L311" s="224"/>
      <c r="M311" s="224"/>
      <c r="N311" s="224"/>
      <c r="O311" s="224"/>
      <c r="P311" s="224"/>
      <c r="Q311" s="224"/>
      <c r="R311" s="224"/>
      <c r="S311" s="224"/>
      <c r="T311" s="224"/>
      <c r="U311" s="224"/>
      <c r="V311" s="224"/>
      <c r="W311" s="224"/>
      <c r="X311" s="224"/>
      <c r="Y311" s="224"/>
      <c r="Z311" s="224"/>
    </row>
    <row r="312">
      <c r="A312" s="225" t="str">
        <f>IFERROR(__xludf.DUMMYFUNCTION("""COMPUTED_VALUE"""),"Pack Hunt")</f>
        <v>Pack Hunt</v>
      </c>
      <c r="B312" s="225" t="str">
        <f>IFERROR(__xludf.DUMMYFUNCTION("""COMPUTED_VALUE"""),"Static")</f>
        <v>Static</v>
      </c>
      <c r="C312" s="225" t="str">
        <f>IFERROR(__xludf.DUMMYFUNCTION("""COMPUTED_VALUE"""),"Effect: The user’s Attack of Opportunity can also be triggered when an Adjacent Enemy is hit by a non-Basic Attack from an Ally who is also Adjacent to that Enemy. An Attack of Opportunity can only be Triggered by you this way once per Round. Whenever you"&amp;" Trigger an Attack of Opportunity, you may choose for them to lose a Tick of Hit Points instead of performing a Damage Roll.  ")</f>
        <v>Effect: The user’s Attack of Opportunity can also be triggered when an Adjacent Enemy is hit by a non-Basic Attack from an Ally who is also Adjacent to that Enemy. An Attack of Opportunity can only be Triggered by you this way once per Round. Whenever you Trigger an Attack of Opportunity, you may choose for them to lose a Tick of Hit Points instead of performing a Damage Roll.  </v>
      </c>
      <c r="D312" s="225"/>
      <c r="E312" s="225"/>
      <c r="F312" s="225"/>
      <c r="G312" s="226" t="str">
        <f>IFERROR(__xludf.DUMMYFUNCTION("""COMPUTED_VALUE"""),"Static
Effect: The user’s Attack of Opportunity can also be triggered when an Adjacent Enemy is hit by a non-Basic Attack from an Ally who is also Adjacent to that Enemy. An Attack of Opportunity can only be Triggered by you this way once per Round. Whene"&amp;"ver you Trigger an Attack of Opportunity, you may choose for them to lose a Tick of Hit Points instead of performing a Damage Roll.  ")</f>
        <v>Static
Effect: The user’s Attack of Opportunity can also be triggered when an Adjacent Enemy is hit by a non-Basic Attack from an Ally who is also Adjacent to that Enemy. An Attack of Opportunity can only be Triggered by you this way once per Round. Whenever you Trigger an Attack of Opportunity, you may choose for them to lose a Tick of Hit Points instead of performing a Damage Roll.  </v>
      </c>
      <c r="H312" s="224"/>
      <c r="I312" s="224"/>
      <c r="J312" s="224"/>
      <c r="K312" s="224"/>
      <c r="L312" s="224"/>
      <c r="M312" s="224"/>
      <c r="N312" s="224"/>
      <c r="O312" s="224"/>
      <c r="P312" s="224"/>
      <c r="Q312" s="224"/>
      <c r="R312" s="224"/>
      <c r="S312" s="224"/>
      <c r="T312" s="224"/>
      <c r="U312" s="224"/>
      <c r="V312" s="224"/>
      <c r="W312" s="224"/>
      <c r="X312" s="224"/>
      <c r="Y312" s="224"/>
      <c r="Z312" s="224"/>
    </row>
    <row r="313">
      <c r="A313" s="225" t="str">
        <f>IFERROR(__xludf.DUMMYFUNCTION("""COMPUTED_VALUE"""),"Parasitic Drain")</f>
        <v>Parasitic Drain</v>
      </c>
      <c r="B313" s="225" t="str">
        <f>IFERROR(__xludf.DUMMYFUNCTION("""COMPUTED_VALUE"""),"Scene x2 - Swift Action")</f>
        <v>Scene x2 - Swift Action</v>
      </c>
      <c r="C313" s="225" t="str">
        <f>IFERROR(__xludf.DUMMYFUNCTION("""COMPUTED_VALUE"""),"Effect: The Attack is treated as having the Drain Keyword. If the user is at Full Hit Points, they instead gain Temporary Hit Points equal to the value they would have gained.")</f>
        <v>Effect: The Attack is treated as having the Drain Keyword. If the user is at Full Hit Points, they instead gain Temporary Hit Points equal to the value they would have gained.</v>
      </c>
      <c r="D313" s="225" t="str">
        <f>IFERROR(__xludf.DUMMYFUNCTION("""COMPUTED_VALUE"""),"The user hits with an Adjacent Attack")</f>
        <v>The user hits with an Adjacent Attack</v>
      </c>
      <c r="E313" s="225"/>
      <c r="F313" s="225"/>
      <c r="G313" s="226" t="str">
        <f>IFERROR(__xludf.DUMMYFUNCTION("""COMPUTED_VALUE"""),"Scene x2 - Swift Action
Trigger - The user hits with an Adjacent Attack
Effect: The Attack is treated as having the Drain Keyword. If the user is at Full Hit Points, they instead gain Temporary Hit Points equal to the value they would have gained.")</f>
        <v>Scene x2 - Swift Action
Trigger - The user hits with an Adjacent Attack
Effect: The Attack is treated as having the Drain Keyword. If the user is at Full Hit Points, they instead gain Temporary Hit Points equal to the value they would have gained.</v>
      </c>
      <c r="H313" s="224"/>
      <c r="I313" s="224"/>
      <c r="J313" s="224"/>
      <c r="K313" s="224"/>
      <c r="L313" s="224"/>
      <c r="M313" s="224"/>
      <c r="N313" s="224"/>
      <c r="O313" s="224"/>
      <c r="P313" s="224"/>
      <c r="Q313" s="224"/>
      <c r="R313" s="224"/>
      <c r="S313" s="224"/>
      <c r="T313" s="224"/>
      <c r="U313" s="224"/>
      <c r="V313" s="224"/>
      <c r="W313" s="224"/>
      <c r="X313" s="224"/>
      <c r="Y313" s="224"/>
      <c r="Z313" s="224"/>
    </row>
    <row r="314">
      <c r="A314" s="225" t="str">
        <f>IFERROR(__xludf.DUMMYFUNCTION("""COMPUTED_VALUE"""),"Parry")</f>
        <v>Parry</v>
      </c>
      <c r="B314" s="225" t="str">
        <f>IFERROR(__xludf.DUMMYFUNCTION("""COMPUTED_VALUE"""),"Scene x2 - Reaction")</f>
        <v>Scene x2 - Reaction</v>
      </c>
      <c r="C314" s="225" t="str">
        <f>IFERROR(__xludf.DUMMYFUNCTION("""COMPUTED_VALUE"""),"Effect: The user resists the Attack by an additional Damage step. After this Ability resolves, the user may perform a Melee Attack as if it had the Priority and Sureshot Keyword but it must only be against the Triggering Enemy. ")</f>
        <v>Effect: The user resists the Attack by an additional Damage step. After this Ability resolves, the user may perform a Melee Attack as if it had the Priority and Sureshot Keyword but it must only be against the Triggering Enemy. </v>
      </c>
      <c r="D314" s="225" t="str">
        <f>IFERROR(__xludf.DUMMYFUNCTION("""COMPUTED_VALUE"""),"The user is hit with an Attack from an Adjacent Enemy")</f>
        <v>The user is hit with an Attack from an Adjacent Enemy</v>
      </c>
      <c r="E314" s="225"/>
      <c r="F314" s="225" t="str">
        <f>IFERROR(__xludf.DUMMYFUNCTION("""COMPUTED_VALUE"""),"Defensive")</f>
        <v>Defensive</v>
      </c>
      <c r="G314" s="226" t="str">
        <f>IFERROR(__xludf.DUMMYFUNCTION("""COMPUTED_VALUE"""),"Scene x2 - Reaction
Keywords - Defensive
Trigger - The user is hit with an Attack from an Adjacent Enemy
Effect: The user resists the Attack by an additional Damage step. After this Ability resolves, the user may perform a Melee Attack as if it had the Pr"&amp;"iority and Sureshot Keyword but it must only be against the Triggering Enemy. ")</f>
        <v>Scene x2 - Reaction
Keywords - Defensive
Trigger - The user is hit with an Attack from an Adjacent Enemy
Effect: The user resists the Attack by an additional Damage step. After this Ability resolves, the user may perform a Melee Attack as if it had the Priority and Sureshot Keyword but it must only be against the Triggering Enemy. </v>
      </c>
      <c r="H314" s="224"/>
      <c r="I314" s="224"/>
      <c r="J314" s="224"/>
      <c r="K314" s="224"/>
      <c r="L314" s="224"/>
      <c r="M314" s="224"/>
      <c r="N314" s="224"/>
      <c r="O314" s="224"/>
      <c r="P314" s="224"/>
      <c r="Q314" s="224"/>
      <c r="R314" s="224"/>
      <c r="S314" s="224"/>
      <c r="T314" s="224"/>
      <c r="U314" s="224"/>
      <c r="V314" s="224"/>
      <c r="W314" s="224"/>
      <c r="X314" s="224"/>
      <c r="Y314" s="224"/>
      <c r="Z314" s="224"/>
    </row>
    <row r="315">
      <c r="A315" s="225" t="str">
        <f>IFERROR(__xludf.DUMMYFUNCTION("""COMPUTED_VALUE"""),"Perish Body")</f>
        <v>Perish Body</v>
      </c>
      <c r="B315" s="225" t="str">
        <f>IFERROR(__xludf.DUMMYFUNCTION("""COMPUTED_VALUE"""),"At-Will - Reaction")</f>
        <v>At-Will - Reaction</v>
      </c>
      <c r="C315" s="225" t="str">
        <f>IFERROR(__xludf.DUMMYFUNCTION("""COMPUTED_VALUE"""),"Effect: The Triggering Enemy loses -1 Perish Counter or gains a Perish Coat, then they lose a Tick of Hit Points.
Bonus: Whenever an Enemy ends their Turn within 3m of the user, they gain a Perish Coat with 3 Perish Counters or they lose -1 Perish Counter"&amp;". Whenever an Enemy has 0 Perish Counters left, you may choose to expend their Perish Coat and they’re set to 0 Hit Points. Whenever an Enemy is set to 0 this way, the user loses 5 Ticks of Hit Points. ")</f>
        <v>Effect: The Triggering Enemy loses -1 Perish Counter or gains a Perish Coat, then they lose a Tick of Hit Points.
Bonus: Whenever an Enemy ends their Turn within 3m of the user, they gain a Perish Coat with 3 Perish Counters or they lose -1 Perish Counter. Whenever an Enemy has 0 Perish Counters left, you may choose to expend their Perish Coat and they’re set to 0 Hit Points. Whenever an Enemy is set to 0 this way, the user loses 5 Ticks of Hit Points. </v>
      </c>
      <c r="D315" s="225" t="str">
        <f>IFERROR(__xludf.DUMMYFUNCTION("""COMPUTED_VALUE"""),"The user is hit by an Attack from an Enemy within 3m")</f>
        <v>The user is hit by an Attack from an Enemy within 3m</v>
      </c>
      <c r="E315" s="225"/>
      <c r="F315" s="225" t="str">
        <f>IFERROR(__xludf.DUMMYFUNCTION("""COMPUTED_VALUE"""),"Defensive")</f>
        <v>Defensive</v>
      </c>
      <c r="G315" s="226" t="str">
        <f>IFERROR(__xludf.DUMMYFUNCTION("""COMPUTED_VALUE"""),"At-Will - Reaction
Keywords - Defensive
Trigger - The user is hit by an Attack from an Enemy within 3m
Effect: The Triggering Enemy loses -1 Perish Counter or gains a Perish Coat, then they lose a Tick of Hit Points.
Bonus: Whenever an Enemy ends their Tu"&amp;"rn within 3m of the user, they gain a Perish Coat with 3 Perish Counters or they lose -1 Perish Counter. Whenever an Enemy has 0 Perish Counters left, you may choose to expend their Perish Coat and they’re set to 0 Hit Points. Whenever an Enemy is set to "&amp;"0 this way, the user loses 5 Ticks of Hit Points. ")</f>
        <v>At-Will - Reaction
Keywords - Defensive
Trigger - The user is hit by an Attack from an Enemy within 3m
Effect: The Triggering Enemy loses -1 Perish Counter or gains a Perish Coat, then they lose a Tick of Hit Points.
Bonus: Whenever an Enemy ends their Turn within 3m of the user, they gain a Perish Coat with 3 Perish Counters or they lose -1 Perish Counter. Whenever an Enemy has 0 Perish Counters left, you may choose to expend their Perish Coat and they’re set to 0 Hit Points. Whenever an Enemy is set to 0 this way, the user loses 5 Ticks of Hit Points. </v>
      </c>
      <c r="H315" s="224"/>
      <c r="I315" s="224"/>
      <c r="J315" s="224"/>
      <c r="K315" s="224"/>
      <c r="L315" s="224"/>
      <c r="M315" s="224"/>
      <c r="N315" s="224"/>
      <c r="O315" s="224"/>
      <c r="P315" s="224"/>
      <c r="Q315" s="224"/>
      <c r="R315" s="224"/>
      <c r="S315" s="224"/>
      <c r="T315" s="224"/>
      <c r="U315" s="224"/>
      <c r="V315" s="224"/>
      <c r="W315" s="224"/>
      <c r="X315" s="224"/>
      <c r="Y315" s="224"/>
      <c r="Z315" s="224"/>
    </row>
    <row r="316">
      <c r="A316" s="225" t="str">
        <f>IFERROR(__xludf.DUMMYFUNCTION("""COMPUTED_VALUE"""),"Pickpocket")</f>
        <v>Pickpocket</v>
      </c>
      <c r="B316" s="225" t="str">
        <f>IFERROR(__xludf.DUMMYFUNCTION("""COMPUTED_VALUE"""),"At-Will - Free Action")</f>
        <v>At-Will - Free Action</v>
      </c>
      <c r="C316" s="225" t="str">
        <f>IFERROR(__xludf.DUMMYFUNCTION("""COMPUTED_VALUE"""),"Effect: The user may either perform a Disarm Maneuver against the Target of the Triggering Attack as a Free Action, or have them lose -1 CS in a Stat they have Positive CS in. If they lose CS via this Ability, the user gains +1 CS in the same Stat.")</f>
        <v>Effect: The user may either perform a Disarm Maneuver against the Target of the Triggering Attack as a Free Action, or have them lose -1 CS in a Stat they have Positive CS in. If they lose CS via this Ability, the user gains +1 CS in the same Stat.</v>
      </c>
      <c r="D316" s="225" t="str">
        <f>IFERROR(__xludf.DUMMYFUNCTION("""COMPUTED_VALUE"""),"The user hits an Adjacent Enemy with an Attack")</f>
        <v>The user hits an Adjacent Enemy with an Attack</v>
      </c>
      <c r="E316" s="225"/>
      <c r="F316" s="225"/>
      <c r="G316" s="226" t="str">
        <f>IFERROR(__xludf.DUMMYFUNCTION("""COMPUTED_VALUE"""),"At-Will - Free Action
Trigger - The user hits an Adjacent Enemy with an Attack
Effect: The user may either perform a Disarm Maneuver against the Target of the Triggering Attack as a Free Action, or have them lose -1 CS in a Stat they have Positive CS in. "&amp;"If they lose CS via this Ability, the user gains +1 CS in the same Stat.")</f>
        <v>At-Will - Free Action
Trigger - The user hits an Adjacent Enemy with an Attack
Effect: The user may either perform a Disarm Maneuver against the Target of the Triggering Attack as a Free Action, or have them lose -1 CS in a Stat they have Positive CS in. If they lose CS via this Ability, the user gains +1 CS in the same Stat.</v>
      </c>
      <c r="H316" s="224"/>
      <c r="I316" s="224"/>
      <c r="J316" s="224"/>
      <c r="K316" s="224"/>
      <c r="L316" s="224"/>
      <c r="M316" s="224"/>
      <c r="N316" s="224"/>
      <c r="O316" s="224"/>
      <c r="P316" s="224"/>
      <c r="Q316" s="224"/>
      <c r="R316" s="224"/>
      <c r="S316" s="224"/>
      <c r="T316" s="224"/>
      <c r="U316" s="224"/>
      <c r="V316" s="224"/>
      <c r="W316" s="224"/>
      <c r="X316" s="224"/>
      <c r="Y316" s="224"/>
      <c r="Z316" s="224"/>
    </row>
    <row r="317">
      <c r="A317" s="225" t="str">
        <f>IFERROR(__xludf.DUMMYFUNCTION("""COMPUTED_VALUE"""),"Piercing Vision")</f>
        <v>Piercing Vision</v>
      </c>
      <c r="B317" s="225" t="str">
        <f>IFERROR(__xludf.DUMMYFUNCTION("""COMPUTED_VALUE"""),"At-Will - Swift Action")</f>
        <v>At-Will - Swift Action</v>
      </c>
      <c r="C317" s="225" t="str">
        <f>IFERROR(__xludf.DUMMYFUNCTION("""COMPUTED_VALUE"""),"Effect: The user rolls twice, keeping the better result
Bonus: The user’s Accuracy cannot be lowered, their attacks cannot have Accuracy Penalties, and the user ignores any non-stat Evasion. This ability does not ignore accuracy penalties from the Provoke"&amp;"d Condition.")</f>
        <v>Effect: The user rolls twice, keeping the better result
Bonus: The user’s Accuracy cannot be lowered, their attacks cannot have Accuracy Penalties, and the user ignores any non-stat Evasion. This ability does not ignore accuracy penalties from the Provoked Condition.</v>
      </c>
      <c r="D317" s="225" t="str">
        <f>IFERROR(__xludf.DUMMYFUNCTION("""COMPUTED_VALUE"""),"The user makes an Accuracy Check")</f>
        <v>The user makes an Accuracy Check</v>
      </c>
      <c r="E317" s="225"/>
      <c r="F317" s="225"/>
      <c r="G317" s="226" t="str">
        <f>IFERROR(__xludf.DUMMYFUNCTION("""COMPUTED_VALUE"""),"At-Will - Swift Action
Trigger - The user makes an Accuracy Check
Effect: The user rolls twice, keeping the better result
Bonus: The user’s Accuracy cannot be lowered, their attacks cannot have Accuracy Penalties, and the user ignores any non-stat Evasion"&amp;". This ability does not ignore accuracy penalties from the Provoked Condition.")</f>
        <v>At-Will - Swift Action
Trigger - The user makes an Accuracy Check
Effect: The user rolls twice, keeping the better result
Bonus: The user’s Accuracy cannot be lowered, their attacks cannot have Accuracy Penalties, and the user ignores any non-stat Evasion. This ability does not ignore accuracy penalties from the Provoked Condition.</v>
      </c>
      <c r="H317" s="224"/>
      <c r="I317" s="224"/>
      <c r="J317" s="224"/>
      <c r="K317" s="224"/>
      <c r="L317" s="224"/>
      <c r="M317" s="224"/>
      <c r="N317" s="224"/>
      <c r="O317" s="224"/>
      <c r="P317" s="224"/>
      <c r="Q317" s="224"/>
      <c r="R317" s="224"/>
      <c r="S317" s="224"/>
      <c r="T317" s="224"/>
      <c r="U317" s="224"/>
      <c r="V317" s="224"/>
      <c r="W317" s="224"/>
      <c r="X317" s="224"/>
      <c r="Y317" s="224"/>
      <c r="Z317" s="224"/>
    </row>
    <row r="318">
      <c r="A318" s="225" t="str">
        <f>IFERROR(__xludf.DUMMYFUNCTION("""COMPUTED_VALUE"""),"Poison Point")</f>
        <v>Poison Point</v>
      </c>
      <c r="B318" s="225" t="str">
        <f>IFERROR(__xludf.DUMMYFUNCTION("""COMPUTED_VALUE"""),"Static")</f>
        <v>Static</v>
      </c>
      <c r="C318" s="225" t="str">
        <f>IFERROR(__xludf.DUMMYFUNCTION("""COMPUTED_VALUE"""),"Effect: The user’s Melee Attacks that do not have a Poisoned Effect Range gain one at 17+. The user's Poison Effect Ranges (Excluding the one granted by Poison Point) are increased by +2. The user’s Melee Attacks have a bonus to Critical Hit Range equal t"&amp;"o your Tier Level if the Target is Poisoned.")</f>
        <v>Effect: The user’s Melee Attacks that do not have a Poisoned Effect Range gain one at 17+. The user's Poison Effect Ranges (Excluding the one granted by Poison Point) are increased by +2. The user’s Melee Attacks have a bonus to Critical Hit Range equal to your Tier Level if the Target is Poisoned.</v>
      </c>
      <c r="D318" s="225"/>
      <c r="E318" s="225"/>
      <c r="F318" s="225"/>
      <c r="G318" s="226" t="str">
        <f>IFERROR(__xludf.DUMMYFUNCTION("""COMPUTED_VALUE"""),"Static
Effect: The user’s Melee Attacks that do not have a Poisoned Effect Range gain one at 17+. The user's Poison Effect Ranges (Excluding the one granted by Poison Point) are increased by +2. The user’s Melee Attacks have a bonus to Critical Hit Range "&amp;"equal to your Tier Level if the Target is Poisoned.")</f>
        <v>Static
Effect: The user’s Melee Attacks that do not have a Poisoned Effect Range gain one at 17+. The user's Poison Effect Ranges (Excluding the one granted by Poison Point) are increased by +2. The user’s Melee Attacks have a bonus to Critical Hit Range equal to your Tier Level if the Target is Poisoned.</v>
      </c>
      <c r="H318" s="224"/>
      <c r="I318" s="224"/>
      <c r="J318" s="224"/>
      <c r="K318" s="224"/>
      <c r="L318" s="224"/>
      <c r="M318" s="224"/>
      <c r="N318" s="224"/>
      <c r="O318" s="224"/>
      <c r="P318" s="224"/>
      <c r="Q318" s="224"/>
      <c r="R318" s="224"/>
      <c r="S318" s="224"/>
      <c r="T318" s="224"/>
      <c r="U318" s="224"/>
      <c r="V318" s="224"/>
      <c r="W318" s="224"/>
      <c r="X318" s="224"/>
      <c r="Y318" s="224"/>
      <c r="Z318" s="224"/>
    </row>
    <row r="319">
      <c r="A319" s="225" t="str">
        <f>IFERROR(__xludf.DUMMYFUNCTION("""COMPUTED_VALUE"""),"Pollen Bomb")</f>
        <v>Pollen Bomb</v>
      </c>
      <c r="B319" s="225" t="str">
        <f>IFERROR(__xludf.DUMMYFUNCTION("""COMPUTED_VALUE"""),"At-Will - Special")</f>
        <v>At-Will - Special</v>
      </c>
      <c r="C319" s="225" t="str">
        <f>IFERROR(__xludf.DUMMYFUNCTION("""COMPUTED_VALUE"""),"Effect: Choose a Grass Type Damaging Attack on your Battle Attack List, then choose a space within 3m to create a Pollen Bomb Hazard. At the end of the next round, the Pollen Bomb Hazard is destroyed and the chosen Attack is used as a Free Action with its"&amp;" Range being a 3x3 Zone, centered on the Hazard and ignoring Frequency. This Ability costs a Swift Action to use as worded, but you may use it as a Full Action to create three Hazards instead and the range can be up to 6m. 
Note: If an Enemy would be hit "&amp;"by multiple Pollen Bombs at once, instead of applying the attack multiple times against them, it automatically hits but only applies once.")</f>
        <v>Effect: Choose a Grass Type Damaging Attack on your Battle Attack List, then choose a space within 3m to create a Pollen Bomb Hazard. At the end of the next round, the Pollen Bomb Hazard is destroyed and the chosen Attack is used as a Free Action with its Range being a 3x3 Zone, centered on the Hazard and ignoring Frequency. This Ability costs a Swift Action to use as worded, but you may use it as a Full Action to create three Hazards instead and the range can be up to 6m. 
Note: If an Enemy would be hit by multiple Pollen Bombs at once, instead of applying the attack multiple times against them, it automatically hits but only applies once.</v>
      </c>
      <c r="D319" s="225"/>
      <c r="E319" s="225"/>
      <c r="F319" s="225"/>
      <c r="G319" s="226" t="str">
        <f>IFERROR(__xludf.DUMMYFUNCTION("""COMPUTED_VALUE"""),"At-Will - Special
Effect: Choose a Grass Type Damaging Attack on your Battle Attack List, then choose a space within 3m to create a Pollen Bomb Hazard. At the end of the next round, the Pollen Bomb Hazard is destroyed and the chosen Attack is used as a Fr"&amp;"ee Action with its Range being a 3x3 Zone, centered on the Hazard and ignoring Frequency. This Ability costs a Swift Action to use as worded, but you may use it as a Full Action to create three Hazards instead and the range can be up to 6m. 
Note: If an E"&amp;"nemy would be hit by multiple Pollen Bombs at once, instead of applying the attack multiple times against them, it automatically hits but only applies once.")</f>
        <v>At-Will - Special
Effect: Choose a Grass Type Damaging Attack on your Battle Attack List, then choose a space within 3m to create a Pollen Bomb Hazard. At the end of the next round, the Pollen Bomb Hazard is destroyed and the chosen Attack is used as a Free Action with its Range being a 3x3 Zone, centered on the Hazard and ignoring Frequency. This Ability costs a Swift Action to use as worded, but you may use it as a Full Action to create three Hazards instead and the range can be up to 6m. 
Note: If an Enemy would be hit by multiple Pollen Bombs at once, instead of applying the attack multiple times against them, it automatically hits but only applies once.</v>
      </c>
      <c r="H319" s="224"/>
      <c r="I319" s="224"/>
      <c r="J319" s="224"/>
      <c r="K319" s="224"/>
      <c r="L319" s="224"/>
      <c r="M319" s="224"/>
      <c r="N319" s="224"/>
      <c r="O319" s="224"/>
      <c r="P319" s="224"/>
      <c r="Q319" s="224"/>
      <c r="R319" s="224"/>
      <c r="S319" s="224"/>
      <c r="T319" s="224"/>
      <c r="U319" s="224"/>
      <c r="V319" s="224"/>
      <c r="W319" s="224"/>
      <c r="X319" s="224"/>
      <c r="Y319" s="224"/>
      <c r="Z319" s="224"/>
    </row>
    <row r="320">
      <c r="A320" s="225" t="str">
        <f>IFERROR(__xludf.DUMMYFUNCTION("""COMPUTED_VALUE"""),"Poltergeist")</f>
        <v>Poltergeist</v>
      </c>
      <c r="B320" s="225" t="str">
        <f>IFERROR(__xludf.DUMMYFUNCTION("""COMPUTED_VALUE"""),"Static")</f>
        <v>Static</v>
      </c>
      <c r="C320" s="225" t="str">
        <f>IFERROR(__xludf.DUMMYFUNCTION("""COMPUTED_VALUE"""),"Effect: Rotom gains an Immunity to a Type of Damage depending on what Form it has taken. When using the Form Change Capability it may change to the form of its currently possessed item or back to Standard Rotom. These different forms may have different Ba"&amp;"ttle Attack Lists. 
Standard Rotom: Ground
Rotom Heat: Fire
Rotom Wash: Water 
Rotom Frost: Ice 
Rotom Fan: Flying
Rotom Mow: Grass")</f>
        <v>Effect: Rotom gains an Immunity to a Type of Damage depending on what Form it has taken. When using the Form Change Capability it may change to the form of its currently possessed item or back to Standard Rotom. These different forms may have different Battle Attack Lists. 
Standard Rotom: Ground
Rotom Heat: Fire
Rotom Wash: Water 
Rotom Frost: Ice 
Rotom Fan: Flying
Rotom Mow: Grass</v>
      </c>
      <c r="D320" s="225"/>
      <c r="E320" s="225"/>
      <c r="F320" s="225" t="str">
        <f>IFERROR(__xludf.DUMMYFUNCTION("""COMPUTED_VALUE"""),"Defensive")</f>
        <v>Defensive</v>
      </c>
      <c r="G320" s="226" t="str">
        <f>IFERROR(__xludf.DUMMYFUNCTION("""COMPUTED_VALUE"""),"Static
Keywords - Defensive
Effect: Rotom gains an Immunity to a Type of Damage depending on what Form it has taken. When using the Form Change Capability it may change to the form of its currently possessed item or back to Standard Rotom. These different"&amp;" forms may have different Battle Attack Lists. 
Standard Rotom: Ground
Rotom Heat: Fire
Rotom Wash: Water 
Rotom Frost: Ice 
Rotom Fan: Flying
Rotom Mow: Grass")</f>
        <v>Static
Keywords - Defensive
Effect: Rotom gains an Immunity to a Type of Damage depending on what Form it has taken. When using the Form Change Capability it may change to the form of its currently possessed item or back to Standard Rotom. These different forms may have different Battle Attack Lists. 
Standard Rotom: Ground
Rotom Heat: Fire
Rotom Wash: Water 
Rotom Frost: Ice 
Rotom Fan: Flying
Rotom Mow: Grass</v>
      </c>
      <c r="H320" s="224"/>
      <c r="I320" s="224"/>
      <c r="J320" s="224"/>
      <c r="K320" s="224"/>
      <c r="L320" s="224"/>
      <c r="M320" s="224"/>
      <c r="N320" s="224"/>
      <c r="O320" s="224"/>
      <c r="P320" s="224"/>
      <c r="Q320" s="224"/>
      <c r="R320" s="224"/>
      <c r="S320" s="224"/>
      <c r="T320" s="224"/>
      <c r="U320" s="224"/>
      <c r="V320" s="224"/>
      <c r="W320" s="224"/>
      <c r="X320" s="224"/>
      <c r="Y320" s="224"/>
      <c r="Z320" s="224"/>
    </row>
    <row r="321">
      <c r="A321" s="225" t="str">
        <f>IFERROR(__xludf.DUMMYFUNCTION("""COMPUTED_VALUE"""),"Polycephaly")</f>
        <v>Polycephaly</v>
      </c>
      <c r="B321" s="225" t="str">
        <f>IFERROR(__xludf.DUMMYFUNCTION("""COMPUTED_VALUE"""),"Scene - Swift Action")</f>
        <v>Scene - Swift Action</v>
      </c>
      <c r="C321" s="225" t="str">
        <f>IFERROR(__xludf.DUMMYFUNCTION("""COMPUTED_VALUE"""),"Effect: The Attack's Range is increased by +1 Target. If it misses all Targets, this Ability's Frequency is not expended.
Bonus: The user's Basic Attacks gain the Double Strike Keyword.")</f>
        <v>Effect: The Attack's Range is increased by +1 Target. If it misses all Targets, this Ability's Frequency is not expended.
Bonus: The user's Basic Attacks gain the Double Strike Keyword.</v>
      </c>
      <c r="D321" s="225" t="str">
        <f>IFERROR(__xludf.DUMMYFUNCTION("""COMPUTED_VALUE"""),"The user performs a Damaging X-Target Attack")</f>
        <v>The user performs a Damaging X-Target Attack</v>
      </c>
      <c r="E321" s="225"/>
      <c r="F321" s="225"/>
      <c r="G321" s="226" t="str">
        <f>IFERROR(__xludf.DUMMYFUNCTION("""COMPUTED_VALUE"""),"Scene - Swift Action
Trigger - The user performs a Damaging X-Target Attack
Effect: The Attack's Range is increased by +1 Target. If it misses all Targets, this Ability's Frequency is not expended.
Bonus: The user's Basic Attacks gain the Double Strike Ke"&amp;"yword.")</f>
        <v>Scene - Swift Action
Trigger - The user performs a Damaging X-Target Attack
Effect: The Attack's Range is increased by +1 Target. If it misses all Targets, this Ability's Frequency is not expended.
Bonus: The user's Basic Attacks gain the Double Strike Keyword.</v>
      </c>
      <c r="H321" s="224"/>
      <c r="I321" s="224"/>
      <c r="J321" s="224"/>
      <c r="K321" s="224"/>
      <c r="L321" s="224"/>
      <c r="M321" s="224"/>
      <c r="N321" s="224"/>
      <c r="O321" s="224"/>
      <c r="P321" s="224"/>
      <c r="Q321" s="224"/>
      <c r="R321" s="224"/>
      <c r="S321" s="224"/>
      <c r="T321" s="224"/>
      <c r="U321" s="224"/>
      <c r="V321" s="224"/>
      <c r="W321" s="224"/>
      <c r="X321" s="224"/>
      <c r="Y321" s="224"/>
      <c r="Z321" s="224"/>
    </row>
    <row r="322">
      <c r="A322" s="225" t="str">
        <f>IFERROR(__xludf.DUMMYFUNCTION("""COMPUTED_VALUE"""),"Power of Alchemy")</f>
        <v>Power of Alchemy</v>
      </c>
      <c r="B322" s="225" t="str">
        <f>IFERROR(__xludf.DUMMYFUNCTION("""COMPUTED_VALUE"""),"Scene x2 - Free Action")</f>
        <v>Scene x2 - Free Action</v>
      </c>
      <c r="C322" s="225" t="str">
        <f>IFERROR(__xludf.DUMMYFUNCTION("""COMPUTED_VALUE"""),"Effect: Choose a non-Innate Ability that the Triggering Enemy or Target has. You learn that Ability until the end of the Scene or until you Faint or the Ability becomes Disabled. You cannot learn unique boss abilities this way. ")</f>
        <v>Effect: Choose a non-Innate Ability that the Triggering Enemy or Target has. You learn that Ability until the end of the Scene or until you Faint or the Ability becomes Disabled. You cannot learn unique boss abilities this way. </v>
      </c>
      <c r="D322" s="225" t="str">
        <f>IFERROR(__xludf.DUMMYFUNCTION("""COMPUTED_VALUE"""),"The user hits a Melee Attack or is hit by a Melee Attack")</f>
        <v>The user hits a Melee Attack or is hit by a Melee Attack</v>
      </c>
      <c r="E322" s="225"/>
      <c r="F322" s="225" t="str">
        <f>IFERROR(__xludf.DUMMYFUNCTION("""COMPUTED_VALUE"""),"Defensive")</f>
        <v>Defensive</v>
      </c>
      <c r="G322" s="226" t="str">
        <f>IFERROR(__xludf.DUMMYFUNCTION("""COMPUTED_VALUE"""),"Scene x2 - Free Action
Keywords - Defensive
Trigger - The user hits a Melee Attack or is hit by a Melee Attack
Effect: Choose a non-Innate Ability that the Triggering Enemy or Target has. You learn that Ability until the end of the Scene or until you Fain"&amp;"t or the Ability becomes Disabled. You cannot learn unique boss abilities this way. ")</f>
        <v>Scene x2 - Free Action
Keywords - Defensive
Trigger - The user hits a Melee Attack or is hit by a Melee Attack
Effect: Choose a non-Innate Ability that the Triggering Enemy or Target has. You learn that Ability until the end of the Scene or until you Faint or the Ability becomes Disabled. You cannot learn unique boss abilities this way. </v>
      </c>
      <c r="H322" s="224"/>
      <c r="I322" s="224"/>
      <c r="J322" s="224"/>
      <c r="K322" s="224"/>
      <c r="L322" s="224"/>
      <c r="M322" s="224"/>
      <c r="N322" s="224"/>
      <c r="O322" s="224"/>
      <c r="P322" s="224"/>
      <c r="Q322" s="224"/>
      <c r="R322" s="224"/>
      <c r="S322" s="224"/>
      <c r="T322" s="224"/>
      <c r="U322" s="224"/>
      <c r="V322" s="224"/>
      <c r="W322" s="224"/>
      <c r="X322" s="224"/>
      <c r="Y322" s="224"/>
      <c r="Z322" s="224"/>
    </row>
    <row r="323">
      <c r="A323" s="225" t="str">
        <f>IFERROR(__xludf.DUMMYFUNCTION("""COMPUTED_VALUE"""),"Power Spot")</f>
        <v>Power Spot</v>
      </c>
      <c r="B323" s="225" t="str">
        <f>IFERROR(__xludf.DUMMYFUNCTION("""COMPUTED_VALUE"""),"At-Will - Swift + Movement Action")</f>
        <v>At-Will - Swift + Movement Action</v>
      </c>
      <c r="C323" s="225" t="str">
        <f>IFERROR(__xludf.DUMMYFUNCTION("""COMPUTED_VALUE"""),"Effect: Create a 3x3 Zone, centered on the user. Allies within this Zone gain a bonus to Damage Rolls equal to your Tier Value and a bonus to Accuracy equal to your Tier Level. When you Faint or gain a Mental Affliction, this Zone is removed. 
Bonus: Adja"&amp;"cent Allies gain these bonuses as well unless they're within this Zone.")</f>
        <v>Effect: Create a 3x3 Zone, centered on the user. Allies within this Zone gain a bonus to Damage Rolls equal to your Tier Value and a bonus to Accuracy equal to your Tier Level. When you Faint or gain a Mental Affliction, this Zone is removed. 
Bonus: Adjacent Allies gain these bonuses as well unless they're within this Zone.</v>
      </c>
      <c r="D323" s="225"/>
      <c r="E323" s="225"/>
      <c r="F323" s="225"/>
      <c r="G323" s="226" t="str">
        <f>IFERROR(__xludf.DUMMYFUNCTION("""COMPUTED_VALUE"""),"At-Will - Swift + Movement Action
Effect: Create a 3x3 Zone, centered on the user. Allies within this Zone gain a bonus to Damage Rolls equal to your Tier Value and a bonus to Accuracy equal to your Tier Level. When you Faint or gain a Mental Affliction, "&amp;"this Zone is removed. 
Bonus: Adjacent Allies gain these bonuses as well unless they're within this Zone.")</f>
        <v>At-Will - Swift + Movement Action
Effect: Create a 3x3 Zone, centered on the user. Allies within this Zone gain a bonus to Damage Rolls equal to your Tier Value and a bonus to Accuracy equal to your Tier Level. When you Faint or gain a Mental Affliction, this Zone is removed. 
Bonus: Adjacent Allies gain these bonuses as well unless they're within this Zone.</v>
      </c>
      <c r="H323" s="224"/>
      <c r="I323" s="224"/>
      <c r="J323" s="224"/>
      <c r="K323" s="224"/>
      <c r="L323" s="224"/>
      <c r="M323" s="224"/>
      <c r="N323" s="224"/>
      <c r="O323" s="224"/>
      <c r="P323" s="224"/>
      <c r="Q323" s="224"/>
      <c r="R323" s="224"/>
      <c r="S323" s="224"/>
      <c r="T323" s="224"/>
      <c r="U323" s="224"/>
      <c r="V323" s="224"/>
      <c r="W323" s="224"/>
      <c r="X323" s="224"/>
      <c r="Y323" s="224"/>
      <c r="Z323" s="224"/>
    </row>
    <row r="324">
      <c r="A324" s="225" t="str">
        <f>IFERROR(__xludf.DUMMYFUNCTION("""COMPUTED_VALUE"""),"Prankster")</f>
        <v>Prankster</v>
      </c>
      <c r="B324" s="225" t="str">
        <f>IFERROR(__xludf.DUMMYFUNCTION("""COMPUTED_VALUE"""),"Static")</f>
        <v>Static</v>
      </c>
      <c r="C324" s="225" t="str">
        <f>IFERROR(__xludf.DUMMYFUNCTION("""COMPUTED_VALUE"""),"Effect: The user may use Status Attacks as Priority. This cannot be used if the Status Attack would use an Action other than Standard Action.")</f>
        <v>Effect: The user may use Status Attacks as Priority. This cannot be used if the Status Attack would use an Action other than Standard Action.</v>
      </c>
      <c r="D324" s="225"/>
      <c r="E324" s="225"/>
      <c r="F324" s="225"/>
      <c r="G324" s="226" t="str">
        <f>IFERROR(__xludf.DUMMYFUNCTION("""COMPUTED_VALUE"""),"Static
Effect: The user may use Status Attacks as Priority. This cannot be used if the Status Attack would use an Action other than Standard Action.")</f>
        <v>Static
Effect: The user may use Status Attacks as Priority. This cannot be used if the Status Attack would use an Action other than Standard Action.</v>
      </c>
      <c r="H324" s="224"/>
      <c r="I324" s="224"/>
      <c r="J324" s="224"/>
      <c r="K324" s="224"/>
      <c r="L324" s="224"/>
      <c r="M324" s="224"/>
      <c r="N324" s="224"/>
      <c r="O324" s="224"/>
      <c r="P324" s="224"/>
      <c r="Q324" s="224"/>
      <c r="R324" s="224"/>
      <c r="S324" s="224"/>
      <c r="T324" s="224"/>
      <c r="U324" s="224"/>
      <c r="V324" s="224"/>
      <c r="W324" s="224"/>
      <c r="X324" s="224"/>
      <c r="Y324" s="224"/>
      <c r="Z324" s="224"/>
    </row>
    <row r="325">
      <c r="A325" s="225" t="str">
        <f>IFERROR(__xludf.DUMMYFUNCTION("""COMPUTED_VALUE"""),"Pressure")</f>
        <v>Pressure</v>
      </c>
      <c r="B325" s="225" t="str">
        <f>IFERROR(__xludf.DUMMYFUNCTION("""COMPUTED_VALUE"""),"At-Will - Free Action")</f>
        <v>At-Will - Free Action</v>
      </c>
      <c r="C325" s="225" t="str">
        <f>IFERROR(__xludf.DUMMYFUNCTION("""COMPUTED_VALUE"""),"Effect: The Triggering Enemy performs a TN 5 Save Check. On a failure, they become Suppressed. If they’re Adjacent, increase the TN by +5. If the user is Tier 3, increase the TN by +5. An Enemy can only become Suppressed this way once per Scene.
Bonus: Th"&amp;"e user’s Damaging Attacks cause Targets to become Suppressed on a 18+")</f>
        <v>Effect: The Triggering Enemy performs a TN 5 Save Check. On a failure, they become Suppressed. If they’re Adjacent, increase the TN by +5. If the user is Tier 3, increase the TN by +5. An Enemy can only become Suppressed this way once per Scene.
Bonus: The user’s Damaging Attacks cause Targets to become Suppressed on a 18+</v>
      </c>
      <c r="D325" s="225" t="str">
        <f>IFERROR(__xludf.DUMMYFUNCTION("""COMPUTED_VALUE"""),"An Enemy ends their Turn within 3m of you")</f>
        <v>An Enemy ends their Turn within 3m of you</v>
      </c>
      <c r="E325" s="225"/>
      <c r="F325" s="225"/>
      <c r="G325" s="226" t="str">
        <f>IFERROR(__xludf.DUMMYFUNCTION("""COMPUTED_VALUE"""),"At-Will - Free Action
Trigger - An Enemy ends their Turn within 3m of you
Effect: The Triggering Enemy performs a TN 5 Save Check. On a failure, they become Suppressed. If they’re Adjacent, increase the TN by +5. If the user is Tier 3, increase the TN by "&amp;"+5. An Enemy can only become Suppressed this way once per Scene.
Bonus: The user’s Damaging Attacks cause Targets to become Suppressed on a 18+")</f>
        <v>At-Will - Free Action
Trigger - An Enemy ends their Turn within 3m of you
Effect: The Triggering Enemy performs a TN 5 Save Check. On a failure, they become Suppressed. If they’re Adjacent, increase the TN by +5. If the user is Tier 3, increase the TN by +5. An Enemy can only become Suppressed this way once per Scene.
Bonus: The user’s Damaging Attacks cause Targets to become Suppressed on a 18+</v>
      </c>
      <c r="H325" s="224"/>
      <c r="I325" s="224"/>
      <c r="J325" s="224"/>
      <c r="K325" s="224"/>
      <c r="L325" s="224"/>
      <c r="M325" s="224"/>
      <c r="N325" s="224"/>
      <c r="O325" s="224"/>
      <c r="P325" s="224"/>
      <c r="Q325" s="224"/>
      <c r="R325" s="224"/>
      <c r="S325" s="224"/>
      <c r="T325" s="224"/>
      <c r="U325" s="224"/>
      <c r="V325" s="224"/>
      <c r="W325" s="224"/>
      <c r="X325" s="224"/>
      <c r="Y325" s="224"/>
      <c r="Z325" s="224"/>
    </row>
    <row r="326">
      <c r="A326" s="225" t="str">
        <f>IFERROR(__xludf.DUMMYFUNCTION("""COMPUTED_VALUE"""),"Pride")</f>
        <v>Pride</v>
      </c>
      <c r="B326" s="225" t="str">
        <f>IFERROR(__xludf.DUMMYFUNCTION("""COMPUTED_VALUE"""),"At-Will - Reaction")</f>
        <v>At-Will - Reaction</v>
      </c>
      <c r="C326" s="225" t="str">
        <f>IFERROR(__xludf.DUMMYFUNCTION("""COMPUTED_VALUE"""),"Effect: After the Attack resolves, the user gains +1 CS in Special Attack or Special Defense.
Bonus: While the user has a Mental Affliction, they have a bonus to Damage Rolls equal to their Tier Value.")</f>
        <v>Effect: After the Attack resolves, the user gains +1 CS in Special Attack or Special Defense.
Bonus: While the user has a Mental Affliction, they have a bonus to Damage Rolls equal to their Tier Value.</v>
      </c>
      <c r="D326" s="225" t="str">
        <f>IFERROR(__xludf.DUMMYFUNCTION("""COMPUTED_VALUE"""),"The user is hit by an Attack or gains a Mental Affliction")</f>
        <v>The user is hit by an Attack or gains a Mental Affliction</v>
      </c>
      <c r="E326" s="225"/>
      <c r="F326" s="225"/>
      <c r="G326" s="226" t="str">
        <f>IFERROR(__xludf.DUMMYFUNCTION("""COMPUTED_VALUE"""),"At-Will - Reaction
Trigger - The user is hit by an Attack or gains a Mental Affliction
Effect: After the Attack resolves, the user gains +1 CS in Special Attack or Special Defense.
Bonus: While the user has a Mental Affliction, they have a bonus to Damage"&amp;" Rolls equal to their Tier Value.")</f>
        <v>At-Will - Reaction
Trigger - The user is hit by an Attack or gains a Mental Affliction
Effect: After the Attack resolves, the user gains +1 CS in Special Attack or Special Defense.
Bonus: While the user has a Mental Affliction, they have a bonus to Damage Rolls equal to their Tier Value.</v>
      </c>
      <c r="H326" s="224"/>
      <c r="I326" s="224"/>
      <c r="J326" s="224"/>
      <c r="K326" s="224"/>
      <c r="L326" s="224"/>
      <c r="M326" s="224"/>
      <c r="N326" s="224"/>
      <c r="O326" s="224"/>
      <c r="P326" s="224"/>
      <c r="Q326" s="224"/>
      <c r="R326" s="224"/>
      <c r="S326" s="224"/>
      <c r="T326" s="224"/>
      <c r="U326" s="224"/>
      <c r="V326" s="224"/>
      <c r="W326" s="224"/>
      <c r="X326" s="224"/>
      <c r="Y326" s="224"/>
      <c r="Z326" s="224"/>
    </row>
    <row r="327">
      <c r="A327" s="225" t="str">
        <f>IFERROR(__xludf.DUMMYFUNCTION("""COMPUTED_VALUE"""),"Primal Drum")</f>
        <v>Primal Drum</v>
      </c>
      <c r="B327" s="225" t="str">
        <f>IFERROR(__xludf.DUMMYFUNCTION("""COMPUTED_VALUE"""),"Scene x2 - Swift Action")</f>
        <v>Scene x2 - Swift Action</v>
      </c>
      <c r="C327" s="225" t="str">
        <f>IFERROR(__xludf.DUMMYFUNCTION("""COMPUTED_VALUE"""),"Effect: The Range of the user's next Grass Type or Groundsource Attack may be changed to your choice of Burst 2; 6, 2, Targets, or Line 8. 
Bonus: The user's Groundsource Attacks gain the Smite Keyword.")</f>
        <v>Effect: The Range of the user's next Grass Type or Groundsource Attack may be changed to your choice of Burst 2; 6, 2, Targets, or Line 8. 
Bonus: The user's Groundsource Attacks gain the Smite Keyword.</v>
      </c>
      <c r="D327" s="225"/>
      <c r="E327" s="225"/>
      <c r="F327" s="225"/>
      <c r="G327" s="226" t="str">
        <f>IFERROR(__xludf.DUMMYFUNCTION("""COMPUTED_VALUE"""),"Scene x2 - Swift Action
Effect: The Range of the user's next Grass Type or Groundsource Attack may be changed to your choice of Burst 2; 6, 2, Targets, or Line 8. 
Bonus: The user's Groundsource Attacks gain the Smite Keyword.")</f>
        <v>Scene x2 - Swift Action
Effect: The Range of the user's next Grass Type or Groundsource Attack may be changed to your choice of Burst 2; 6, 2, Targets, or Line 8. 
Bonus: The user's Groundsource Attacks gain the Smite Keyword.</v>
      </c>
      <c r="H327" s="224"/>
      <c r="I327" s="224"/>
      <c r="J327" s="224"/>
      <c r="K327" s="224"/>
      <c r="L327" s="224"/>
      <c r="M327" s="224"/>
      <c r="N327" s="224"/>
      <c r="O327" s="224"/>
      <c r="P327" s="224"/>
      <c r="Q327" s="224"/>
      <c r="R327" s="224"/>
      <c r="S327" s="224"/>
      <c r="T327" s="224"/>
      <c r="U327" s="224"/>
      <c r="V327" s="224"/>
      <c r="W327" s="224"/>
      <c r="X327" s="224"/>
      <c r="Y327" s="224"/>
      <c r="Z327" s="224"/>
    </row>
    <row r="328">
      <c r="A328" s="225" t="str">
        <f>IFERROR(__xludf.DUMMYFUNCTION("""COMPUTED_VALUE"""),"Probability Control")</f>
        <v>Probability Control</v>
      </c>
      <c r="B328" s="225" t="str">
        <f>IFERROR(__xludf.DUMMYFUNCTION("""COMPUTED_VALUE"""),"At-Will - Reaction")</f>
        <v>At-Will - Reaction</v>
      </c>
      <c r="C328" s="225" t="str">
        <f>IFERROR(__xludf.DUMMYFUNCTION("""COMPUTED_VALUE"""),"Effect: The Triggering d20’s result is replaced with your Stored d20’s value.
Bonus: As a Swift Action, you may roll a d20 and note its result. It becomes your Stored d20 Value. When you use Probability control, you no longer have a Stored d20 Value. If y"&amp;"ou use this Bonus Effect while you have a Stored d20 Value unused, it may replace the value with the new d20 result. ")</f>
        <v>Effect: The Triggering d20’s result is replaced with your Stored d20’s value.
Bonus: As a Swift Action, you may roll a d20 and note its result. It becomes your Stored d20 Value. When you use Probability control, you no longer have a Stored d20 Value. If you use this Bonus Effect while you have a Stored d20 Value unused, it may replace the value with the new d20 result. </v>
      </c>
      <c r="D328" s="225" t="str">
        <f>IFERROR(__xludf.DUMMYFUNCTION("""COMPUTED_VALUE"""),"You or an Ally roll a d20")</f>
        <v>You or an Ally roll a d20</v>
      </c>
      <c r="E328" s="225"/>
      <c r="F328" s="225"/>
      <c r="G328" s="226" t="str">
        <f>IFERROR(__xludf.DUMMYFUNCTION("""COMPUTED_VALUE"""),"At-Will - Reaction
Trigger - You or an Ally roll a d20
Effect: The Triggering d20’s result is replaced with your Stored d20’s value.
Bonus: As a Swift Action, you may roll a d20 and note its result. It becomes your Stored d20 Value. When you use Probabili"&amp;"ty control, you no longer have a Stored d20 Value. If you use this Bonus Effect while you have a Stored d20 Value unused, it may replace the value with the new d20 result. ")</f>
        <v>At-Will - Reaction
Trigger - You or an Ally roll a d20
Effect: The Triggering d20’s result is replaced with your Stored d20’s value.
Bonus: As a Swift Action, you may roll a d20 and note its result. It becomes your Stored d20 Value. When you use Probability control, you no longer have a Stored d20 Value. If you use this Bonus Effect while you have a Stored d20 Value unused, it may replace the value with the new d20 result. </v>
      </c>
      <c r="H328" s="224"/>
      <c r="I328" s="224"/>
      <c r="J328" s="224"/>
      <c r="K328" s="224"/>
      <c r="L328" s="224"/>
      <c r="M328" s="224"/>
      <c r="N328" s="224"/>
      <c r="O328" s="224"/>
      <c r="P328" s="224"/>
      <c r="Q328" s="224"/>
      <c r="R328" s="224"/>
      <c r="S328" s="224"/>
      <c r="T328" s="224"/>
      <c r="U328" s="224"/>
      <c r="V328" s="224"/>
      <c r="W328" s="224"/>
      <c r="X328" s="224"/>
      <c r="Y328" s="224"/>
      <c r="Z328" s="224"/>
    </row>
    <row r="329">
      <c r="A329" s="225" t="str">
        <f>IFERROR(__xludf.DUMMYFUNCTION("""COMPUTED_VALUE"""),"Protean")</f>
        <v>Protean</v>
      </c>
      <c r="B329" s="225" t="str">
        <f>IFERROR(__xludf.DUMMYFUNCTION("""COMPUTED_VALUE"""),"At-Will - Swift Action")</f>
        <v>At-Will - Swift Action</v>
      </c>
      <c r="C329" s="225" t="str">
        <f>IFERROR(__xludf.DUMMYFUNCTION("""COMPUTED_VALUE"""),"Effect: Before the Attack is performed, the user’s Type(s) changes to match the Type of the triggering Attack. The user returns to their original type(s)(or lack thereof) at the end of the Scene.")</f>
        <v>Effect: Before the Attack is performed, the user’s Type(s) changes to match the Type of the triggering Attack. The user returns to their original type(s)(or lack thereof) at the end of the Scene.</v>
      </c>
      <c r="D329" s="225" t="str">
        <f>IFERROR(__xludf.DUMMYFUNCTION("""COMPUTED_VALUE"""),"The user uses an Attack.")</f>
        <v>The user uses an Attack.</v>
      </c>
      <c r="E329" s="225"/>
      <c r="F329" s="225"/>
      <c r="G329" s="226" t="str">
        <f>IFERROR(__xludf.DUMMYFUNCTION("""COMPUTED_VALUE"""),"At-Will - Swift Action
Trigger - The user uses an Attack.
Effect: Before the Attack is performed, the user’s Type(s) changes to match the Type of the triggering Attack. The user returns to their original type(s)(or lack thereof) at the end of the Scene.")</f>
        <v>At-Will - Swift Action
Trigger - The user uses an Attack.
Effect: Before the Attack is performed, the user’s Type(s) changes to match the Type of the triggering Attack. The user returns to their original type(s)(or lack thereof) at the end of the Scene.</v>
      </c>
      <c r="H329" s="224"/>
      <c r="I329" s="224"/>
      <c r="J329" s="224"/>
      <c r="K329" s="224"/>
      <c r="L329" s="224"/>
      <c r="M329" s="224"/>
      <c r="N329" s="224"/>
      <c r="O329" s="224"/>
      <c r="P329" s="224"/>
      <c r="Q329" s="224"/>
      <c r="R329" s="224"/>
      <c r="S329" s="224"/>
      <c r="T329" s="224"/>
      <c r="U329" s="224"/>
      <c r="V329" s="224"/>
      <c r="W329" s="224"/>
      <c r="X329" s="224"/>
      <c r="Y329" s="224"/>
      <c r="Z329" s="224"/>
    </row>
    <row r="330">
      <c r="A330" s="225" t="str">
        <f>IFERROR(__xludf.DUMMYFUNCTION("""COMPUTED_VALUE"""),"Psychic Surge")</f>
        <v>Psychic Surge</v>
      </c>
      <c r="B330" s="225" t="str">
        <f>IFERROR(__xludf.DUMMYFUNCTION("""COMPUTED_VALUE"""),"Scene - Swift Action")</f>
        <v>Scene - Swift Action</v>
      </c>
      <c r="C330" s="225" t="str">
        <f>IFERROR(__xludf.DUMMYFUNCTION("""COMPUTED_VALUE"""),"Connection - Psychic Terrain. 
Effect: You may use Psychic Terrain as a Free Action, however it only lasts until the end of the next Round.
Bonus: At the end of the Round, if the Weather is Mystical, you may use a Reaction to gain +1 CS in a Stat of your "&amp;"choice.")</f>
        <v>Connection - Psychic Terrain. 
Effect: You may use Psychic Terrain as a Free Action, however it only lasts until the end of the next Round.
Bonus: At the end of the Round, if the Weather is Mystical, you may use a Reaction to gain +1 CS in a Stat of your choice.</v>
      </c>
      <c r="D330" s="225"/>
      <c r="E330" s="225"/>
      <c r="F330" s="225"/>
      <c r="G330" s="226" t="str">
        <f>IFERROR(__xludf.DUMMYFUNCTION("""COMPUTED_VALUE"""),"Scene - Swift Action
Connection - Psychic Terrain. 
Effect: You may use Psychic Terrain as a Free Action, however it only lasts until the end of the next Round.
Bonus: At the end of the Round, if the Weather is Mystical, you may use a Reaction to gain +1 "&amp;"CS in a Stat of your choice.")</f>
        <v>Scene - Swift Action
Connection - Psychic Terrain. 
Effect: You may use Psychic Terrain as a Free Action, however it only lasts until the end of the next Round.
Bonus: At the end of the Round, if the Weather is Mystical, you may use a Reaction to gain +1 CS in a Stat of your choice.</v>
      </c>
      <c r="H330" s="224"/>
      <c r="I330" s="224"/>
      <c r="J330" s="224"/>
      <c r="K330" s="224"/>
      <c r="L330" s="224"/>
      <c r="M330" s="224"/>
      <c r="N330" s="224"/>
      <c r="O330" s="224"/>
      <c r="P330" s="224"/>
      <c r="Q330" s="224"/>
      <c r="R330" s="224"/>
      <c r="S330" s="224"/>
      <c r="T330" s="224"/>
      <c r="U330" s="224"/>
      <c r="V330" s="224"/>
      <c r="W330" s="224"/>
      <c r="X330" s="224"/>
      <c r="Y330" s="224"/>
      <c r="Z330" s="224"/>
    </row>
    <row r="331">
      <c r="A331" s="225" t="str">
        <f>IFERROR(__xludf.DUMMYFUNCTION("""COMPUTED_VALUE"""),"Punk Rock")</f>
        <v>Punk Rock</v>
      </c>
      <c r="B331" s="225" t="str">
        <f>IFERROR(__xludf.DUMMYFUNCTION("""COMPUTED_VALUE"""),"At-Will - Swift Action")</f>
        <v>At-Will - Swift Action</v>
      </c>
      <c r="C331" s="225" t="str">
        <f>IFERROR(__xludf.DUMMYFUNCTION("""COMPUTED_VALUE"""),"Effect: The Attack is treated as a Special Attack with a Damage Base of 6 that cannot be modified. Its effects remain the same.  
Bonus: The user gains +3 DB to damaging attacks with the Sonic keyword.")</f>
        <v>Effect: The Attack is treated as a Special Attack with a Damage Base of 6 that cannot be modified. Its effects remain the same.  
Bonus: The user gains +3 DB to damaging attacks with the Sonic keyword.</v>
      </c>
      <c r="D331" s="225" t="str">
        <f>IFERROR(__xludf.DUMMYFUNCTION("""COMPUTED_VALUE"""),"The user uses a Status Class Attack with the Sonic Keyword as a Standard Action")</f>
        <v>The user uses a Status Class Attack with the Sonic Keyword as a Standard Action</v>
      </c>
      <c r="E331" s="225"/>
      <c r="F331" s="225"/>
      <c r="G331" s="226" t="str">
        <f>IFERROR(__xludf.DUMMYFUNCTION("""COMPUTED_VALUE"""),"At-Will - Swift Action
Trigger - The user uses a Status Class Attack with the Sonic Keyword as a Standard Action
Effect: The Attack is treated as a Special Attack with a Damage Base of 6 that cannot be modified. Its effects remain the same.  
Bonus: The u"&amp;"ser gains +3 DB to damaging attacks with the Sonic keyword.")</f>
        <v>At-Will - Swift Action
Trigger - The user uses a Status Class Attack with the Sonic Keyword as a Standard Action
Effect: The Attack is treated as a Special Attack with a Damage Base of 6 that cannot be modified. Its effects remain the same.  
Bonus: The user gains +3 DB to damaging attacks with the Sonic keyword.</v>
      </c>
      <c r="H331" s="224"/>
      <c r="I331" s="224"/>
      <c r="J331" s="224"/>
      <c r="K331" s="224"/>
      <c r="L331" s="224"/>
      <c r="M331" s="224"/>
      <c r="N331" s="224"/>
      <c r="O331" s="224"/>
      <c r="P331" s="224"/>
      <c r="Q331" s="224"/>
      <c r="R331" s="224"/>
      <c r="S331" s="224"/>
      <c r="T331" s="224"/>
      <c r="U331" s="224"/>
      <c r="V331" s="224"/>
      <c r="W331" s="224"/>
      <c r="X331" s="224"/>
      <c r="Y331" s="224"/>
      <c r="Z331" s="224"/>
    </row>
    <row r="332">
      <c r="A332" s="225" t="str">
        <f>IFERROR(__xludf.DUMMYFUNCTION("""COMPUTED_VALUE"""),"Pure Flame")</f>
        <v>Pure Flame</v>
      </c>
      <c r="B332" s="225" t="str">
        <f>IFERROR(__xludf.DUMMYFUNCTION("""COMPUTED_VALUE"""),"Static")</f>
        <v>Static</v>
      </c>
      <c r="C332" s="225" t="str">
        <f>IFERROR(__xludf.DUMMYFUNCTION("""COMPUTED_VALUE"""),"Effect: While the user is Enraged, under 50% Max Hit Points or in Sunny Weather, their Fire Type Attacks have the following Modifiers. If it's Range is Blast, Burst or Line Range, it is increased by +1. Their Critical Hit and Effect Ranges are increased b"&amp;"y your Tier Level. This bonus does not stack if multiple conditions are fulfilled.")</f>
        <v>Effect: While the user is Enraged, under 50% Max Hit Points or in Sunny Weather, their Fire Type Attacks have the following Modifiers. If it's Range is Blast, Burst or Line Range, it is increased by +1. Their Critical Hit and Effect Ranges are increased by your Tier Level. This bonus does not stack if multiple conditions are fulfilled.</v>
      </c>
      <c r="D332" s="225"/>
      <c r="E332" s="225"/>
      <c r="F332" s="225"/>
      <c r="G332" s="226" t="str">
        <f>IFERROR(__xludf.DUMMYFUNCTION("""COMPUTED_VALUE"""),"Static
Effect: While the user is Enraged, under 50% Max Hit Points or in Sunny Weather, their Fire Type Attacks have the following Modifiers. If it's Range is Blast, Burst or Line Range, it is increased by +1. Their Critical Hit and Effect Ranges are incr"&amp;"eased by your Tier Level. This bonus does not stack if multiple conditions are fulfilled.")</f>
        <v>Static
Effect: While the user is Enraged, under 50% Max Hit Points or in Sunny Weather, their Fire Type Attacks have the following Modifiers. If it's Range is Blast, Burst or Line Range, it is increased by +1. Their Critical Hit and Effect Ranges are increased by your Tier Level. This bonus does not stack if multiple conditions are fulfilled.</v>
      </c>
      <c r="H332" s="224"/>
      <c r="I332" s="224"/>
      <c r="J332" s="224"/>
      <c r="K332" s="224"/>
      <c r="L332" s="224"/>
      <c r="M332" s="224"/>
      <c r="N332" s="224"/>
      <c r="O332" s="224"/>
      <c r="P332" s="224"/>
      <c r="Q332" s="224"/>
      <c r="R332" s="224"/>
      <c r="S332" s="224"/>
      <c r="T332" s="224"/>
      <c r="U332" s="224"/>
      <c r="V332" s="224"/>
      <c r="W332" s="224"/>
      <c r="X332" s="224"/>
      <c r="Y332" s="224"/>
      <c r="Z332" s="224"/>
    </row>
    <row r="333">
      <c r="A333" s="225" t="str">
        <f>IFERROR(__xludf.DUMMYFUNCTION("""COMPUTED_VALUE"""),"Queenly Majesty")</f>
        <v>Queenly Majesty</v>
      </c>
      <c r="B333" s="225" t="str">
        <f>IFERROR(__xludf.DUMMYFUNCTION("""COMPUTED_VALUE"""),"Scene x2 - Swift Action")</f>
        <v>Scene x2 - Swift Action</v>
      </c>
      <c r="C333" s="225" t="str">
        <f>IFERROR(__xludf.DUMMYFUNCTION("""COMPUTED_VALUE"""),"Effect: The user automatically passes this Save Check without needing to roll. 
Bonus: After Queenly Majesty is used, the user’s next Damaging Attack gains the Smite Keyword. ")</f>
        <v>Effect: The user automatically passes this Save Check without needing to roll. 
Bonus: After Queenly Majesty is used, the user’s next Damaging Attack gains the Smite Keyword. </v>
      </c>
      <c r="D333" s="225" t="str">
        <f>IFERROR(__xludf.DUMMYFUNCTION("""COMPUTED_VALUE"""),"The user would perform a Save Check")</f>
        <v>The user would perform a Save Check</v>
      </c>
      <c r="E333" s="225"/>
      <c r="F333" s="225"/>
      <c r="G333" s="226" t="str">
        <f>IFERROR(__xludf.DUMMYFUNCTION("""COMPUTED_VALUE"""),"Scene x2 - Swift Action
Trigger - The user would perform a Save Check
Effect: The user automatically passes this Save Check without needing to roll. 
Bonus: After Queenly Majesty is used, the user’s next Damaging Attack gains the Smite Keyword. ")</f>
        <v>Scene x2 - Swift Action
Trigger - The user would perform a Save Check
Effect: The user automatically passes this Save Check without needing to roll. 
Bonus: After Queenly Majesty is used, the user’s next Damaging Attack gains the Smite Keyword. </v>
      </c>
      <c r="H333" s="224"/>
      <c r="I333" s="224"/>
      <c r="J333" s="224"/>
      <c r="K333" s="224"/>
      <c r="L333" s="224"/>
      <c r="M333" s="224"/>
      <c r="N333" s="224"/>
      <c r="O333" s="224"/>
      <c r="P333" s="224"/>
      <c r="Q333" s="224"/>
      <c r="R333" s="224"/>
      <c r="S333" s="224"/>
      <c r="T333" s="224"/>
      <c r="U333" s="224"/>
      <c r="V333" s="224"/>
      <c r="W333" s="224"/>
      <c r="X333" s="224"/>
      <c r="Y333" s="224"/>
      <c r="Z333" s="224"/>
    </row>
    <row r="334">
      <c r="A334" s="225" t="str">
        <f>IFERROR(__xludf.DUMMYFUNCTION("""COMPUTED_VALUE"""),"Quick Cloak")</f>
        <v>Quick Cloak</v>
      </c>
      <c r="B334" s="225" t="str">
        <f>IFERROR(__xludf.DUMMYFUNCTION("""COMPUTED_VALUE"""),"At-Will - Extended Action")</f>
        <v>At-Will - Extended Action</v>
      </c>
      <c r="C334" s="225" t="str">
        <f>IFERROR(__xludf.DUMMYFUNCTION("""COMPUTED_VALUE"""),"Effect: Burmy gathers materials from the nearby Terrain and creates a Cloak for Itself. The Forest or Grasslands Terrain gives it a Plant Cloak (Grass). Desert, Cave or Mountain Terrain give it a Sandy Cloak (Ground). Urban Terrain gives it Trash Cloak (S"&amp;"teel). While in a Cloak, Burmy gains the Type associated with the Cloak as a secondary Typing, which becomes permanent upon evolution into a Wormadam.")</f>
        <v>Effect: Burmy gathers materials from the nearby Terrain and creates a Cloak for Itself. The Forest or Grasslands Terrain gives it a Plant Cloak (Grass). Desert, Cave or Mountain Terrain give it a Sandy Cloak (Ground). Urban Terrain gives it Trash Cloak (Steel). While in a Cloak, Burmy gains the Type associated with the Cloak as a secondary Typing, which becomes permanent upon evolution into a Wormadam.</v>
      </c>
      <c r="D334" s="225"/>
      <c r="E334" s="225"/>
      <c r="F334" s="225" t="str">
        <f>IFERROR(__xludf.DUMMYFUNCTION("""COMPUTED_VALUE"""),"Innate")</f>
        <v>Innate</v>
      </c>
      <c r="G334" s="226" t="str">
        <f>IFERROR(__xludf.DUMMYFUNCTION("""COMPUTED_VALUE"""),"At-Will - Extended Action
Keywords - Innate
Effect: Burmy gathers materials from the nearby Terrain and creates a Cloak for Itself. The Forest or Grasslands Terrain gives it a Plant Cloak (Grass). Desert, Cave or Mountain Terrain give it a Sandy Cloak (Gr"&amp;"ound). Urban Terrain gives it Trash Cloak (Steel). While in a Cloak, Burmy gains the Type associated with the Cloak as a secondary Typing, which becomes permanent upon evolution into a Wormadam.")</f>
        <v>At-Will - Extended Action
Keywords - Innate
Effect: Burmy gathers materials from the nearby Terrain and creates a Cloak for Itself. The Forest or Grasslands Terrain gives it a Plant Cloak (Grass). Desert, Cave or Mountain Terrain give it a Sandy Cloak (Ground). Urban Terrain gives it Trash Cloak (Steel). While in a Cloak, Burmy gains the Type associated with the Cloak as a secondary Typing, which becomes permanent upon evolution into a Wormadam.</v>
      </c>
      <c r="H334" s="224"/>
      <c r="I334" s="224"/>
      <c r="J334" s="224"/>
      <c r="K334" s="224"/>
      <c r="L334" s="224"/>
      <c r="M334" s="224"/>
      <c r="N334" s="224"/>
      <c r="O334" s="224"/>
      <c r="P334" s="224"/>
      <c r="Q334" s="224"/>
      <c r="R334" s="224"/>
      <c r="S334" s="224"/>
      <c r="T334" s="224"/>
      <c r="U334" s="224"/>
      <c r="V334" s="224"/>
      <c r="W334" s="224"/>
      <c r="X334" s="224"/>
      <c r="Y334" s="224"/>
      <c r="Z334" s="224"/>
    </row>
    <row r="335">
      <c r="A335" s="225" t="str">
        <f>IFERROR(__xludf.DUMMYFUNCTION("""COMPUTED_VALUE"""),"Quick Curl")</f>
        <v>Quick Curl</v>
      </c>
      <c r="B335" s="225" t="str">
        <f>IFERROR(__xludf.DUMMYFUNCTION("""COMPUTED_VALUE"""),"Scene x2 - Reaction")</f>
        <v>Scene x2 - Reaction</v>
      </c>
      <c r="C335" s="225" t="str">
        <f>IFERROR(__xludf.DUMMYFUNCTION("""COMPUTED_VALUE"""),"Connection - Defense Curl. 
Effect: Before the Attack's Damage Roll, the user may use Defense Curl as a Free Action, then gain Damage Reduction equal to your Tier Value until the start of your next Turn. If the user has a Rolled Coat, they gain an extra +"&amp;"5 DR per Counter they have for the same duration. ")</f>
        <v>Connection - Defense Curl. 
Effect: Before the Attack's Damage Roll, the user may use Defense Curl as a Free Action, then gain Damage Reduction equal to your Tier Value until the start of your next Turn. If the user has a Rolled Coat, they gain an extra +5 DR per Counter they have for the same duration. </v>
      </c>
      <c r="D335" s="225" t="str">
        <f>IFERROR(__xludf.DUMMYFUNCTION("""COMPUTED_VALUE"""),"The user is hit by an Attack.")</f>
        <v>The user is hit by an Attack.</v>
      </c>
      <c r="E335" s="225"/>
      <c r="F335" s="225" t="str">
        <f>IFERROR(__xludf.DUMMYFUNCTION("""COMPUTED_VALUE"""),"Defensive")</f>
        <v>Defensive</v>
      </c>
      <c r="G335" s="226" t="str">
        <f>IFERROR(__xludf.DUMMYFUNCTION("""COMPUTED_VALUE"""),"Scene x2 - Reaction
Keywords - Defensive
Trigger - The user is hit by an Attack.
Connection - Defense Curl. 
Effect: Before the Attack's Damage Roll, the user may use Defense Curl as a Free Action, then gain Damage Reduction equal to your Tier Value until"&amp;" the start of your next Turn. If the user has a Rolled Coat, they gain an extra +5 DR per Counter they have for the same duration. ")</f>
        <v>Scene x2 - Reaction
Keywords - Defensive
Trigger - The user is hit by an Attack.
Connection - Defense Curl. 
Effect: Before the Attack's Damage Roll, the user may use Defense Curl as a Free Action, then gain Damage Reduction equal to your Tier Value until the start of your next Turn. If the user has a Rolled Coat, they gain an extra +5 DR per Counter they have for the same duration. </v>
      </c>
      <c r="H335" s="224"/>
      <c r="I335" s="224"/>
      <c r="J335" s="224"/>
      <c r="K335" s="224"/>
      <c r="L335" s="224"/>
      <c r="M335" s="224"/>
      <c r="N335" s="224"/>
      <c r="O335" s="224"/>
      <c r="P335" s="224"/>
      <c r="Q335" s="224"/>
      <c r="R335" s="224"/>
      <c r="S335" s="224"/>
      <c r="T335" s="224"/>
      <c r="U335" s="224"/>
      <c r="V335" s="224"/>
      <c r="W335" s="224"/>
      <c r="X335" s="224"/>
      <c r="Y335" s="224"/>
      <c r="Z335" s="224"/>
    </row>
    <row r="336">
      <c r="A336" s="225" t="str">
        <f>IFERROR(__xludf.DUMMYFUNCTION("""COMPUTED_VALUE"""),"Radiant Beam")</f>
        <v>Radiant Beam</v>
      </c>
      <c r="B336" s="225" t="str">
        <f>IFERROR(__xludf.DUMMYFUNCTION("""COMPUTED_VALUE"""),"Static")</f>
        <v>Static</v>
      </c>
      <c r="C336" s="225" t="str">
        <f>IFERROR(__xludf.DUMMYFUNCTION("""COMPUTED_VALUE"""),"Effect: The user may use Grass Type Damaging Attacks as if they had the Range of “Line X”. X is equal to 4 plus the number of Positive Combat Stages in their corresponding Offensive Stat. If the Weather is Sunny, Attacks used this way gain the Smite Keywo"&amp;"rd as well. ")</f>
        <v>Effect: The user may use Grass Type Damaging Attacks as if they had the Range of “Line X”. X is equal to 4 plus the number of Positive Combat Stages in their corresponding Offensive Stat. If the Weather is Sunny, Attacks used this way gain the Smite Keyword as well. </v>
      </c>
      <c r="D336" s="225"/>
      <c r="E336" s="225"/>
      <c r="F336" s="225"/>
      <c r="G336" s="226" t="str">
        <f>IFERROR(__xludf.DUMMYFUNCTION("""COMPUTED_VALUE"""),"Static
Effect: The user may use Grass Type Damaging Attacks as if they had the Range of “Line X”. X is equal to 4 plus the number of Positive Combat Stages in their corresponding Offensive Stat. If the Weather is Sunny, Attacks used this way gain the Smit"&amp;"e Keyword as well. ")</f>
        <v>Static
Effect: The user may use Grass Type Damaging Attacks as if they had the Range of “Line X”. X is equal to 4 plus the number of Positive Combat Stages in their corresponding Offensive Stat. If the Weather is Sunny, Attacks used this way gain the Smite Keyword as well. </v>
      </c>
      <c r="H336" s="224"/>
      <c r="I336" s="224"/>
      <c r="J336" s="224"/>
      <c r="K336" s="224"/>
      <c r="L336" s="224"/>
      <c r="M336" s="224"/>
      <c r="N336" s="224"/>
      <c r="O336" s="224"/>
      <c r="P336" s="224"/>
      <c r="Q336" s="224"/>
      <c r="R336" s="224"/>
      <c r="S336" s="224"/>
      <c r="T336" s="224"/>
      <c r="U336" s="224"/>
      <c r="V336" s="224"/>
      <c r="W336" s="224"/>
      <c r="X336" s="224"/>
      <c r="Y336" s="224"/>
      <c r="Z336" s="224"/>
    </row>
    <row r="337">
      <c r="A337" s="225" t="str">
        <f>IFERROR(__xludf.DUMMYFUNCTION("""COMPUTED_VALUE"""),"Ragelope")</f>
        <v>Ragelope</v>
      </c>
      <c r="B337" s="225" t="str">
        <f>IFERROR(__xludf.DUMMYFUNCTION("""COMPUTED_VALUE"""),"Static")</f>
        <v>Static</v>
      </c>
      <c r="C337" s="225" t="str">
        <f>IFERROR(__xludf.DUMMYFUNCTION("""COMPUTED_VALUE"""),"Effect: The user's Physical Attacks gain the following Effect Range: On 18+, the user gains +1 CS in either Attack or Speed. While the user is Enraged this Effect Range is changed to 15+. Whenever the user gains a Status Affliction, they may become Enrage"&amp;"d.")</f>
        <v>Effect: The user's Physical Attacks gain the following Effect Range: On 18+, the user gains +1 CS in either Attack or Speed. While the user is Enraged this Effect Range is changed to 15+. Whenever the user gains a Status Affliction, they may become Enraged.</v>
      </c>
      <c r="D337" s="225"/>
      <c r="E337" s="225"/>
      <c r="F337" s="225"/>
      <c r="G337" s="226" t="str">
        <f>IFERROR(__xludf.DUMMYFUNCTION("""COMPUTED_VALUE"""),"Static
Effect: The user's Physical Attacks gain the following Effect Range: On 18+, the user gains +1 CS in either Attack or Speed. While the user is Enraged this Effect Range is changed to 15+. Whenever the user gains a Status Affliction, they may become"&amp;" Enraged.")</f>
        <v>Static
Effect: The user's Physical Attacks gain the following Effect Range: On 18+, the user gains +1 CS in either Attack or Speed. While the user is Enraged this Effect Range is changed to 15+. Whenever the user gains a Status Affliction, they may become Enraged.</v>
      </c>
      <c r="H337" s="224"/>
      <c r="I337" s="224"/>
      <c r="J337" s="224"/>
      <c r="K337" s="224"/>
      <c r="L337" s="224"/>
      <c r="M337" s="224"/>
      <c r="N337" s="224"/>
      <c r="O337" s="224"/>
      <c r="P337" s="224"/>
      <c r="Q337" s="224"/>
      <c r="R337" s="224"/>
      <c r="S337" s="224"/>
      <c r="T337" s="224"/>
      <c r="U337" s="224"/>
      <c r="V337" s="224"/>
      <c r="W337" s="224"/>
      <c r="X337" s="224"/>
      <c r="Y337" s="224"/>
      <c r="Z337" s="224"/>
    </row>
    <row r="338">
      <c r="A338" s="225" t="str">
        <f>IFERROR(__xludf.DUMMYFUNCTION("""COMPUTED_VALUE"""),"Raging Inferno")</f>
        <v>Raging Inferno</v>
      </c>
      <c r="B338" s="225" t="str">
        <f>IFERROR(__xludf.DUMMYFUNCTION("""COMPUTED_VALUE"""),"At-Will - Reaction")</f>
        <v>At-Will - Reaction</v>
      </c>
      <c r="C338" s="225" t="str">
        <f>IFERROR(__xludf.DUMMYFUNCTION("""COMPUTED_VALUE"""),"Effect: The user's Fire Type Damaging Attacks have their DB increased by +2 until the end of the Scene, then, if not already, the user becomes Enraged.
Bonus: While the user is Enraged, the user's Fire Type Damaging Attacks have the Smite Keyword and have"&amp;" all Area of Effect Ranges increased by +1. ")</f>
        <v>Effect: The user's Fire Type Damaging Attacks have their DB increased by +2 until the end of the Scene, then, if not already, the user becomes Enraged.
Bonus: While the user is Enraged, the user's Fire Type Damaging Attacks have the Smite Keyword and have all Area of Effect Ranges increased by +1. </v>
      </c>
      <c r="D338" s="225" t="str">
        <f>IFERROR(__xludf.DUMMYFUNCTION("""COMPUTED_VALUE"""),"The user is hit by an Attack")</f>
        <v>The user is hit by an Attack</v>
      </c>
      <c r="E338" s="225"/>
      <c r="F338" s="225"/>
      <c r="G338" s="226" t="str">
        <f>IFERROR(__xludf.DUMMYFUNCTION("""COMPUTED_VALUE"""),"At-Will - Reaction
Trigger - The user is hit by an Attack
Effect: The user's Fire Type Damaging Attacks have their DB increased by +2 until the end of the Scene, then, if not already, the user becomes Enraged.
Bonus: While the user is Enraged, the user's "&amp;"Fire Type Damaging Attacks have the Smite Keyword and have all Area of Effect Ranges increased by +1. ")</f>
        <v>At-Will - Reaction
Trigger - The user is hit by an Attack
Effect: The user's Fire Type Damaging Attacks have their DB increased by +2 until the end of the Scene, then, if not already, the user becomes Enraged.
Bonus: While the user is Enraged, the user's Fire Type Damaging Attacks have the Smite Keyword and have all Area of Effect Ranges increased by +1. </v>
      </c>
      <c r="H338" s="224"/>
      <c r="I338" s="224"/>
      <c r="J338" s="224"/>
      <c r="K338" s="224"/>
      <c r="L338" s="224"/>
      <c r="M338" s="224"/>
      <c r="N338" s="224"/>
      <c r="O338" s="224"/>
      <c r="P338" s="224"/>
      <c r="Q338" s="224"/>
      <c r="R338" s="224"/>
      <c r="S338" s="224"/>
      <c r="T338" s="224"/>
      <c r="U338" s="224"/>
      <c r="V338" s="224"/>
      <c r="W338" s="224"/>
      <c r="X338" s="224"/>
      <c r="Y338" s="224"/>
      <c r="Z338" s="224"/>
    </row>
    <row r="339">
      <c r="A339" s="225" t="str">
        <f>IFERROR(__xludf.DUMMYFUNCTION("""COMPUTED_VALUE"""),"Rain Dish")</f>
        <v>Rain Dish</v>
      </c>
      <c r="B339" s="225" t="str">
        <f>IFERROR(__xludf.DUMMYFUNCTION("""COMPUTED_VALUE"""),"Scene - Swift Action")</f>
        <v>Scene - Swift Action</v>
      </c>
      <c r="C339" s="225" t="str">
        <f>IFERROR(__xludf.DUMMYFUNCTION("""COMPUTED_VALUE"""),"Effect: The user restores two Ticks of Hit Points or gains 2 Ticks of Temporary Hit Points or is cured of a Physical Status Affliction. If the user is in Rainy Weather, the Frequency of Rain Dish isn’t expended. This Ability can only ignore its Frequency "&amp;"twice in a Scene.")</f>
        <v>Effect: The user restores two Ticks of Hit Points or gains 2 Ticks of Temporary Hit Points or is cured of a Physical Status Affliction. If the user is in Rainy Weather, the Frequency of Rain Dish isn’t expended. This Ability can only ignore its Frequency twice in a Scene.</v>
      </c>
      <c r="D339" s="225"/>
      <c r="E339" s="225"/>
      <c r="F339" s="225"/>
      <c r="G339" s="226" t="str">
        <f>IFERROR(__xludf.DUMMYFUNCTION("""COMPUTED_VALUE"""),"Scene - Swift Action
Effect: The user restores two Ticks of Hit Points or gains 2 Ticks of Temporary Hit Points or is cured of a Physical Status Affliction. If the user is in Rainy Weather, the Frequency of Rain Dish isn’t expended. This Ability can only "&amp;"ignore its Frequency twice in a Scene.")</f>
        <v>Scene - Swift Action
Effect: The user restores two Ticks of Hit Points or gains 2 Ticks of Temporary Hit Points or is cured of a Physical Status Affliction. If the user is in Rainy Weather, the Frequency of Rain Dish isn’t expended. This Ability can only ignore its Frequency twice in a Scene.</v>
      </c>
      <c r="H339" s="224"/>
      <c r="I339" s="224"/>
      <c r="J339" s="224"/>
      <c r="K339" s="224"/>
      <c r="L339" s="224"/>
      <c r="M339" s="224"/>
      <c r="N339" s="224"/>
      <c r="O339" s="224"/>
      <c r="P339" s="224"/>
      <c r="Q339" s="224"/>
      <c r="R339" s="224"/>
      <c r="S339" s="224"/>
      <c r="T339" s="224"/>
      <c r="U339" s="224"/>
      <c r="V339" s="224"/>
      <c r="W339" s="224"/>
      <c r="X339" s="224"/>
      <c r="Y339" s="224"/>
      <c r="Z339" s="224"/>
    </row>
    <row r="340">
      <c r="A340" s="225" t="str">
        <f>IFERROR(__xludf.DUMMYFUNCTION("""COMPUTED_VALUE"""),"Rally")</f>
        <v>Rally</v>
      </c>
      <c r="B340" s="225" t="str">
        <f>IFERROR(__xludf.DUMMYFUNCTION("""COMPUTED_VALUE"""),"At-Will - Swift Action")</f>
        <v>At-Will - Swift Action</v>
      </c>
      <c r="C340" s="225" t="str">
        <f>IFERROR(__xludf.DUMMYFUNCTION("""COMPUTED_VALUE"""),"Effect: The Target gains a Tick of Temporary Hit Points. If the Target is Dazed, Enraged, Entranced or Provoked they may roll a DC 15 Save Check and if they pass, they may cure one of those Afflictions or Conditions.")</f>
        <v>Effect: The Target gains a Tick of Temporary Hit Points. If the Target is Dazed, Enraged, Entranced or Provoked they may roll a DC 15 Save Check and if they pass, they may cure one of those Afflictions or Conditions.</v>
      </c>
      <c r="D340" s="225"/>
      <c r="E340" s="225" t="str">
        <f>IFERROR(__xludf.DUMMYFUNCTION("""COMPUTED_VALUE"""),"An Ally within 5m")</f>
        <v>An Ally within 5m</v>
      </c>
      <c r="F340" s="225"/>
      <c r="G340" s="226" t="str">
        <f>IFERROR(__xludf.DUMMYFUNCTION("""COMPUTED_VALUE"""),"At-Will - Swift Action
Target - An Ally within 5m
Effect: The Target gains a Tick of Temporary Hit Points. If the Target is Dazed, Enraged, Entranced or Provoked they may roll a DC 15 Save Check and if they pass, they may cure one of those Afflictions or "&amp;"Conditions.")</f>
        <v>At-Will - Swift Action
Target - An Ally within 5m
Effect: The Target gains a Tick of Temporary Hit Points. If the Target is Dazed, Enraged, Entranced or Provoked they may roll a DC 15 Save Check and if they pass, they may cure one of those Afflictions or Conditions.</v>
      </c>
      <c r="H340" s="224"/>
      <c r="I340" s="224"/>
      <c r="J340" s="224"/>
      <c r="K340" s="224"/>
      <c r="L340" s="224"/>
      <c r="M340" s="224"/>
      <c r="N340" s="224"/>
      <c r="O340" s="224"/>
      <c r="P340" s="224"/>
      <c r="Q340" s="224"/>
      <c r="R340" s="224"/>
      <c r="S340" s="224"/>
      <c r="T340" s="224"/>
      <c r="U340" s="224"/>
      <c r="V340" s="224"/>
      <c r="W340" s="224"/>
      <c r="X340" s="224"/>
      <c r="Y340" s="224"/>
      <c r="Z340" s="224"/>
    </row>
    <row r="341">
      <c r="A341" s="225" t="str">
        <f>IFERROR(__xludf.DUMMYFUNCTION("""COMPUTED_VALUE"""),"Razor Edge")</f>
        <v>Razor Edge</v>
      </c>
      <c r="B341" s="225" t="str">
        <f>IFERROR(__xludf.DUMMYFUNCTION("""COMPUTED_VALUE"""),"Static")</f>
        <v>Static</v>
      </c>
      <c r="C341" s="225" t="str">
        <f>IFERROR(__xludf.DUMMYFUNCTION("""COMPUTED_VALUE"""),"Connection - Poison Tail. The user gains a bonus to Critical Hit Ranges equal to their Tier Level. When using an Attack with “Tail” in its name, they have a Bonus to Damage Rolls equal to your Tier Value.")</f>
        <v>Connection - Poison Tail. The user gains a bonus to Critical Hit Ranges equal to their Tier Level. When using an Attack with “Tail” in its name, they have a Bonus to Damage Rolls equal to your Tier Value.</v>
      </c>
      <c r="D341" s="225"/>
      <c r="E341" s="225"/>
      <c r="F341" s="225"/>
      <c r="G341" s="226" t="str">
        <f>IFERROR(__xludf.DUMMYFUNCTION("""COMPUTED_VALUE"""),"Static
Connection - Poison Tail. The user gains a bonus to Critical Hit Ranges equal to their Tier Level. When using an Attack with “Tail” in its name, they have a Bonus to Damage Rolls equal to your Tier Value.")</f>
        <v>Static
Connection - Poison Tail. The user gains a bonus to Critical Hit Ranges equal to their Tier Level. When using an Attack with “Tail” in its name, they have a Bonus to Damage Rolls equal to your Tier Value.</v>
      </c>
      <c r="H341" s="224"/>
      <c r="I341" s="224"/>
      <c r="J341" s="224"/>
      <c r="K341" s="224"/>
      <c r="L341" s="224"/>
      <c r="M341" s="224"/>
      <c r="N341" s="224"/>
      <c r="O341" s="224"/>
      <c r="P341" s="224"/>
      <c r="Q341" s="224"/>
      <c r="R341" s="224"/>
      <c r="S341" s="224"/>
      <c r="T341" s="224"/>
      <c r="U341" s="224"/>
      <c r="V341" s="224"/>
      <c r="W341" s="224"/>
      <c r="X341" s="224"/>
      <c r="Y341" s="224"/>
      <c r="Z341" s="224"/>
    </row>
    <row r="342">
      <c r="A342" s="225" t="str">
        <f>IFERROR(__xludf.DUMMYFUNCTION("""COMPUTED_VALUE"""),"Reckless")</f>
        <v>Reckless</v>
      </c>
      <c r="B342" s="225" t="str">
        <f>IFERROR(__xludf.DUMMYFUNCTION("""COMPUTED_VALUE"""),"At-Will - Free Action ")</f>
        <v>At-Will - Free Action </v>
      </c>
      <c r="C342" s="225" t="str">
        <f>IFERROR(__xludf.DUMMYFUNCTION("""COMPUTED_VALUE"""),"Effect: During this Turn you ignore Physical and Special Evasion on all Targets. The next Attack you're Targeted by treats you as if you were Vulnerable.
Bonus: The user gains +3 DB to Attacks with the Recoil or Reckless Keyword")</f>
        <v>Effect: During this Turn you ignore Physical and Special Evasion on all Targets. The next Attack you're Targeted by treats you as if you were Vulnerable.
Bonus: The user gains +3 DB to Attacks with the Recoil or Reckless Keyword</v>
      </c>
      <c r="D342" s="225"/>
      <c r="E342" s="225"/>
      <c r="F342" s="225"/>
      <c r="G342" s="226" t="str">
        <f>IFERROR(__xludf.DUMMYFUNCTION("""COMPUTED_VALUE"""),"At-Will - Free Action 
Effect: During this Turn you ignore Physical and Special Evasion on all Targets. The next Attack you're Targeted by treats you as if you were Vulnerable.
Bonus: The user gains +3 DB to Attacks with the Recoil or Reckless Keyword")</f>
        <v>At-Will - Free Action 
Effect: During this Turn you ignore Physical and Special Evasion on all Targets. The next Attack you're Targeted by treats you as if you were Vulnerable.
Bonus: The user gains +3 DB to Attacks with the Recoil or Reckless Keyword</v>
      </c>
      <c r="H342" s="224"/>
      <c r="I342" s="224"/>
      <c r="J342" s="224"/>
      <c r="K342" s="224"/>
      <c r="L342" s="224"/>
      <c r="M342" s="224"/>
      <c r="N342" s="224"/>
      <c r="O342" s="224"/>
      <c r="P342" s="224"/>
      <c r="Q342" s="224"/>
      <c r="R342" s="224"/>
      <c r="S342" s="224"/>
      <c r="T342" s="224"/>
      <c r="U342" s="224"/>
      <c r="V342" s="224"/>
      <c r="W342" s="224"/>
      <c r="X342" s="224"/>
      <c r="Y342" s="224"/>
      <c r="Z342" s="224"/>
    </row>
    <row r="343">
      <c r="A343" s="225" t="str">
        <f>IFERROR(__xludf.DUMMYFUNCTION("""COMPUTED_VALUE"""),"Refreshing Veil")</f>
        <v>Refreshing Veil</v>
      </c>
      <c r="B343" s="225" t="str">
        <f>IFERROR(__xludf.DUMMYFUNCTION("""COMPUTED_VALUE"""),"Scene - Swift Action")</f>
        <v>Scene - Swift Action</v>
      </c>
      <c r="C343" s="225" t="str">
        <f>IFERROR(__xludf.DUMMYFUNCTION("""COMPUTED_VALUE"""),"Connection - Aqua Ring. 
Effect: The Target is cured of all Physical Afflictions. If the Target is affected by an Aqua Ring Coat, this Frequency is not expended, however they cannot be Targeted by Refreshing Veil for the remainder of the Scene. 
Bonus: Wh"&amp;"ile the Weather is Rainy, the user and all allies within 2m have a bonus to Save Checks equal to your Tier Level. ")</f>
        <v>Connection - Aqua Ring. 
Effect: The Target is cured of all Physical Afflictions. If the Target is affected by an Aqua Ring Coat, this Frequency is not expended, however they cannot be Targeted by Refreshing Veil for the remainder of the Scene. 
Bonus: While the Weather is Rainy, the user and all allies within 2m have a bonus to Save Checks equal to your Tier Level. </v>
      </c>
      <c r="D343" s="225"/>
      <c r="E343" s="225" t="str">
        <f>IFERROR(__xludf.DUMMYFUNCTION("""COMPUTED_VALUE"""),"An Ally within 5m")</f>
        <v>An Ally within 5m</v>
      </c>
      <c r="F343" s="225"/>
      <c r="G343" s="226" t="str">
        <f>IFERROR(__xludf.DUMMYFUNCTION("""COMPUTED_VALUE"""),"Scene - Swift Action
Target - An Ally within 5m
Connection - Aqua Ring. 
Effect: The Target is cured of all Physical Afflictions. If the Target is affected by an Aqua Ring Coat, this Frequency is not expended, however they cannot be Targeted by Refreshing"&amp;" Veil for the remainder of the Scene. 
Bonus: While the Weather is Rainy, the user and all allies within 2m have a bonus to Save Checks equal to your Tier Level. ")</f>
        <v>Scene - Swift Action
Target - An Ally within 5m
Connection - Aqua Ring. 
Effect: The Target is cured of all Physical Afflictions. If the Target is affected by an Aqua Ring Coat, this Frequency is not expended, however they cannot be Targeted by Refreshing Veil for the remainder of the Scene. 
Bonus: While the Weather is Rainy, the user and all allies within 2m have a bonus to Save Checks equal to your Tier Level. </v>
      </c>
      <c r="H343" s="224"/>
      <c r="I343" s="224"/>
      <c r="J343" s="224"/>
      <c r="K343" s="224"/>
      <c r="L343" s="224"/>
      <c r="M343" s="224"/>
      <c r="N343" s="224"/>
      <c r="O343" s="224"/>
      <c r="P343" s="224"/>
      <c r="Q343" s="224"/>
      <c r="R343" s="224"/>
      <c r="S343" s="224"/>
      <c r="T343" s="224"/>
      <c r="U343" s="224"/>
      <c r="V343" s="224"/>
      <c r="W343" s="224"/>
      <c r="X343" s="224"/>
      <c r="Y343" s="224"/>
      <c r="Z343" s="224"/>
    </row>
    <row r="344">
      <c r="A344" s="225" t="str">
        <f>IFERROR(__xludf.DUMMYFUNCTION("""COMPUTED_VALUE"""),"Regal Challenge")</f>
        <v>Regal Challenge</v>
      </c>
      <c r="B344" s="225" t="str">
        <f>IFERROR(__xludf.DUMMYFUNCTION("""COMPUTED_VALUE"""),"Scene - Swift Action")</f>
        <v>Scene - Swift Action</v>
      </c>
      <c r="C344" s="225" t="str">
        <f>IFERROR(__xludf.DUMMYFUNCTION("""COMPUTED_VALUE"""),"Effect: Ask each Enemy within 5m if they will show Deference or Defiance. If a Combatant chooses Deference, they cannot Attack the user on their next turn (Ignoring Provoked), then lose -2 CS in a Stat of the user's Choice. If they choose Defiance, they b"&amp;"ecome Provoked by the user until the end of their next Turn.  ")</f>
        <v>Effect: Ask each Enemy within 5m if they will show Deference or Defiance. If a Combatant chooses Deference, they cannot Attack the user on their next turn (Ignoring Provoked), then lose -2 CS in a Stat of the user's Choice. If they choose Defiance, they become Provoked by the user until the end of their next Turn.  </v>
      </c>
      <c r="D344" s="225"/>
      <c r="E344" s="225"/>
      <c r="F344" s="225"/>
      <c r="G344" s="226" t="str">
        <f>IFERROR(__xludf.DUMMYFUNCTION("""COMPUTED_VALUE"""),"Scene - Swift Action
Effect: Ask each Enemy within 5m if they will show Deference or Defiance. If a Combatant chooses Deference, they cannot Attack the user on their next turn (Ignoring Provoked), then lose -2 CS in a Stat of the user's Choice. If they ch"&amp;"oose Defiance, they become Provoked by the user until the end of their next Turn.  ")</f>
        <v>Scene - Swift Action
Effect: Ask each Enemy within 5m if they will show Deference or Defiance. If a Combatant chooses Deference, they cannot Attack the user on their next turn (Ignoring Provoked), then lose -2 CS in a Stat of the user's Choice. If they choose Defiance, they become Provoked by the user until the end of their next Turn.  </v>
      </c>
      <c r="H344" s="224"/>
      <c r="I344" s="224"/>
      <c r="J344" s="224"/>
      <c r="K344" s="224"/>
      <c r="L344" s="224"/>
      <c r="M344" s="224"/>
      <c r="N344" s="224"/>
      <c r="O344" s="224"/>
      <c r="P344" s="224"/>
      <c r="Q344" s="224"/>
      <c r="R344" s="224"/>
      <c r="S344" s="224"/>
      <c r="T344" s="224"/>
      <c r="U344" s="224"/>
      <c r="V344" s="224"/>
      <c r="W344" s="224"/>
      <c r="X344" s="224"/>
      <c r="Y344" s="224"/>
      <c r="Z344" s="224"/>
    </row>
    <row r="345">
      <c r="A345" s="225" t="str">
        <f>IFERROR(__xludf.DUMMYFUNCTION("""COMPUTED_VALUE"""),"Regenerator")</f>
        <v>Regenerator</v>
      </c>
      <c r="B345" s="225" t="str">
        <f>IFERROR(__xludf.DUMMYFUNCTION("""COMPUTED_VALUE"""),"At-Will - Reaction")</f>
        <v>At-Will - Reaction</v>
      </c>
      <c r="C345" s="225" t="str">
        <f>IFERROR(__xludf.DUMMYFUNCTION("""COMPUTED_VALUE"""),"Effect: After Damage Resolution, the user restores a Tick of Hit Points.
Special: If the user was under 50% Hit Points when the Triggering Attack occurred, this may be used as a Free Action instead.")</f>
        <v>Effect: After Damage Resolution, the user restores a Tick of Hit Points.
Special: If the user was under 50% Hit Points when the Triggering Attack occurred, this may be used as a Free Action instead.</v>
      </c>
      <c r="D345" s="225" t="str">
        <f>IFERROR(__xludf.DUMMYFUNCTION("""COMPUTED_VALUE"""),"The user is hit by a Damaging Attack and doesn't Faint")</f>
        <v>The user is hit by a Damaging Attack and doesn't Faint</v>
      </c>
      <c r="E345" s="225"/>
      <c r="F345" s="225" t="str">
        <f>IFERROR(__xludf.DUMMYFUNCTION("""COMPUTED_VALUE"""),"Defensive")</f>
        <v>Defensive</v>
      </c>
      <c r="G345" s="226" t="str">
        <f>IFERROR(__xludf.DUMMYFUNCTION("""COMPUTED_VALUE"""),"At-Will - Reaction
Keywords - Defensive
Trigger - The user is hit by a Damaging Attack and doesn't Faint
Effect: After Damage Resolution, the user restores a Tick of Hit Points.
Special: If the user was under 50% Hit Points when the Triggering Attack occu"&amp;"rred, this may be used as a Free Action instead.")</f>
        <v>At-Will - Reaction
Keywords - Defensive
Trigger - The user is hit by a Damaging Attack and doesn't Faint
Effect: After Damage Resolution, the user restores a Tick of Hit Points.
Special: If the user was under 50% Hit Points when the Triggering Attack occurred, this may be used as a Free Action instead.</v>
      </c>
      <c r="H345" s="224"/>
      <c r="I345" s="224"/>
      <c r="J345" s="224"/>
      <c r="K345" s="224"/>
      <c r="L345" s="224"/>
      <c r="M345" s="224"/>
      <c r="N345" s="224"/>
      <c r="O345" s="224"/>
      <c r="P345" s="224"/>
      <c r="Q345" s="224"/>
      <c r="R345" s="224"/>
      <c r="S345" s="224"/>
      <c r="T345" s="224"/>
      <c r="U345" s="224"/>
      <c r="V345" s="224"/>
      <c r="W345" s="224"/>
      <c r="X345" s="224"/>
      <c r="Y345" s="224"/>
      <c r="Z345" s="224"/>
    </row>
    <row r="346">
      <c r="A346" s="225" t="str">
        <f>IFERROR(__xludf.DUMMYFUNCTION("""COMPUTED_VALUE"""),"Reliquary")</f>
        <v>Reliquary</v>
      </c>
      <c r="B346" s="225" t="str">
        <f>IFERROR(__xludf.DUMMYFUNCTION("""COMPUTED_VALUE"""),"Scene x2 - Free Action")</f>
        <v>Scene x2 - Free Action</v>
      </c>
      <c r="C346" s="225" t="str">
        <f>IFERROR(__xludf.DUMMYFUNCTION("""COMPUTED_VALUE"""),"Effect: The user may choose an Attack from their Known Attack List and use it as a Standard Action, as if it was on their Current Attack List.
Bonus: The user gains bonus Attack Slots equal to their Tier Level. Attacks that occupy these Slots must be Stat"&amp;"us Category.")</f>
        <v>Effect: The user may choose an Attack from their Known Attack List and use it as a Standard Action, as if it was on their Current Attack List.
Bonus: The user gains bonus Attack Slots equal to their Tier Level. Attacks that occupy these Slots must be Status Category.</v>
      </c>
      <c r="D346" s="225"/>
      <c r="E346" s="225"/>
      <c r="F346" s="225"/>
      <c r="G346" s="226" t="str">
        <f>IFERROR(__xludf.DUMMYFUNCTION("""COMPUTED_VALUE"""),"Scene x2 - Free Action
Effect: The user may choose an Attack from their Known Attack List and use it as a Standard Action, as if it was on their Current Attack List.
Bonus: The user gains bonus Attack Slots equal to their Tier Level. Attacks that occupy t"&amp;"hese Slots must be Status Category.")</f>
        <v>Scene x2 - Free Action
Effect: The user may choose an Attack from their Known Attack List and use it as a Standard Action, as if it was on their Current Attack List.
Bonus: The user gains bonus Attack Slots equal to their Tier Level. Attacks that occupy these Slots must be Status Category.</v>
      </c>
      <c r="H346" s="224"/>
      <c r="I346" s="224"/>
      <c r="J346" s="224"/>
      <c r="K346" s="224"/>
      <c r="L346" s="224"/>
      <c r="M346" s="224"/>
      <c r="N346" s="224"/>
      <c r="O346" s="224"/>
      <c r="P346" s="224"/>
      <c r="Q346" s="224"/>
      <c r="R346" s="224"/>
      <c r="S346" s="224"/>
      <c r="T346" s="224"/>
      <c r="U346" s="224"/>
      <c r="V346" s="224"/>
      <c r="W346" s="224"/>
      <c r="X346" s="224"/>
      <c r="Y346" s="224"/>
      <c r="Z346" s="224"/>
    </row>
    <row r="347">
      <c r="A347" s="225" t="str">
        <f>IFERROR(__xludf.DUMMYFUNCTION("""COMPUTED_VALUE"""),"Rip and Tear")</f>
        <v>Rip and Tear</v>
      </c>
      <c r="B347" s="225" t="str">
        <f>IFERROR(__xludf.DUMMYFUNCTION("""COMPUTED_VALUE"""),"Scene - Swift Action")</f>
        <v>Scene - Swift Action</v>
      </c>
      <c r="C347" s="225" t="str">
        <f>IFERROR(__xludf.DUMMYFUNCTION("""COMPUTED_VALUE"""),"Effect: The user may either Initiate a Grapple Maneuver as a Free Action against the Target or cause them to become Wounded. 
Bonus: The user gains +3 DB to Attacks with the Bite Keyword.")</f>
        <v>Effect: The user may either Initiate a Grapple Maneuver as a Free Action against the Target or cause them to become Wounded. 
Bonus: The user gains +3 DB to Attacks with the Bite Keyword.</v>
      </c>
      <c r="D347" s="225" t="str">
        <f>IFERROR(__xludf.DUMMYFUNCTION("""COMPUTED_VALUE"""),"The user hits with an Attack with the Bite Keyword")</f>
        <v>The user hits with an Attack with the Bite Keyword</v>
      </c>
      <c r="E347" s="225"/>
      <c r="F347" s="225"/>
      <c r="G347" s="226" t="str">
        <f>IFERROR(__xludf.DUMMYFUNCTION("""COMPUTED_VALUE"""),"Scene - Swift Action
Trigger - The user hits with an Attack with the Bite Keyword
Effect: The user may either Initiate a Grapple Maneuver as a Free Action against the Target or cause them to become Wounded. 
Bonus: The user gains +3 DB to Attacks with the"&amp;" Bite Keyword.")</f>
        <v>Scene - Swift Action
Trigger - The user hits with an Attack with the Bite Keyword
Effect: The user may either Initiate a Grapple Maneuver as a Free Action against the Target or cause them to become Wounded. 
Bonus: The user gains +3 DB to Attacks with the Bite Keyword.</v>
      </c>
      <c r="H347" s="224"/>
      <c r="I347" s="224"/>
      <c r="J347" s="224"/>
      <c r="K347" s="224"/>
      <c r="L347" s="224"/>
      <c r="M347" s="224"/>
      <c r="N347" s="224"/>
      <c r="O347" s="224"/>
      <c r="P347" s="224"/>
      <c r="Q347" s="224"/>
      <c r="R347" s="224"/>
      <c r="S347" s="224"/>
      <c r="T347" s="224"/>
      <c r="U347" s="224"/>
      <c r="V347" s="224"/>
      <c r="W347" s="224"/>
      <c r="X347" s="224"/>
      <c r="Y347" s="224"/>
      <c r="Z347" s="224"/>
    </row>
    <row r="348">
      <c r="A348" s="225" t="str">
        <f>IFERROR(__xludf.DUMMYFUNCTION("""COMPUTED_VALUE"""),"Retribution")</f>
        <v>Retribution</v>
      </c>
      <c r="B348" s="225" t="str">
        <f>IFERROR(__xludf.DUMMYFUNCTION("""COMPUTED_VALUE"""),"Scene x2 - Reaction")</f>
        <v>Scene x2 - Reaction</v>
      </c>
      <c r="C348" s="225" t="str">
        <f>IFERROR(__xludf.DUMMYFUNCTION("""COMPUTED_VALUE"""),"Effect: The user’s next Damaging Attack against the combatant that made the Triggering Attack has its DB increased by +3 and gains the Smite Keyword. If the Trigger was an Ally fainting, it gains the Sureshot Keyword instead of the Smite Keyword and has i"&amp;"ts Critical Hit Range increased by your Tier Level as well. ")</f>
        <v>Effect: The user’s next Damaging Attack against the combatant that made the Triggering Attack has its DB increased by +3 and gains the Smite Keyword. If the Trigger was an Ally fainting, it gains the Sureshot Keyword instead of the Smite Keyword and has its Critical Hit Range increased by your Tier Level as well. </v>
      </c>
      <c r="D348" s="225" t="str">
        <f>IFERROR(__xludf.DUMMYFUNCTION("""COMPUTED_VALUE"""),"An Ally within 5m takes damage from a Super Effective attack or a Critical Hit; or an Ally Faints")</f>
        <v>An Ally within 5m takes damage from a Super Effective attack or a Critical Hit; or an Ally Faints</v>
      </c>
      <c r="E348" s="225"/>
      <c r="F348" s="225"/>
      <c r="G348" s="226" t="str">
        <f>IFERROR(__xludf.DUMMYFUNCTION("""COMPUTED_VALUE"""),"Scene x2 - Reaction
Trigger - An Ally within 5m takes damage from a Super Effective attack or a Critical Hit; or an Ally Faints
Effect: The user’s next Damaging Attack against the combatant that made the Triggering Attack has its DB increased by +3 and ga"&amp;"ins the Smite Keyword. If the Trigger was an Ally fainting, it gains the Sureshot Keyword instead of the Smite Keyword and has its Critical Hit Range increased by your Tier Level as well. ")</f>
        <v>Scene x2 - Reaction
Trigger - An Ally within 5m takes damage from a Super Effective attack or a Critical Hit; or an Ally Faints
Effect: The user’s next Damaging Attack against the combatant that made the Triggering Attack has its DB increased by +3 and gains the Smite Keyword. If the Trigger was an Ally fainting, it gains the Sureshot Keyword instead of the Smite Keyword and has its Critical Hit Range increased by your Tier Level as well. </v>
      </c>
      <c r="H348" s="224"/>
      <c r="I348" s="224"/>
      <c r="J348" s="224"/>
      <c r="K348" s="224"/>
      <c r="L348" s="224"/>
      <c r="M348" s="224"/>
      <c r="N348" s="224"/>
      <c r="O348" s="224"/>
      <c r="P348" s="224"/>
      <c r="Q348" s="224"/>
      <c r="R348" s="224"/>
      <c r="S348" s="224"/>
      <c r="T348" s="224"/>
      <c r="U348" s="224"/>
      <c r="V348" s="224"/>
      <c r="W348" s="224"/>
      <c r="X348" s="224"/>
      <c r="Y348" s="224"/>
      <c r="Z348" s="224"/>
    </row>
    <row r="349">
      <c r="A349" s="225" t="str">
        <f>IFERROR(__xludf.DUMMYFUNCTION("""COMPUTED_VALUE"""),"Rivalry")</f>
        <v>Rivalry</v>
      </c>
      <c r="B349" s="225" t="str">
        <f>IFERROR(__xludf.DUMMYFUNCTION("""COMPUTED_VALUE"""),"Scene - Free Action")</f>
        <v>Scene - Free Action</v>
      </c>
      <c r="C349" s="225" t="str">
        <f>IFERROR(__xludf.DUMMYFUNCTION("""COMPUTED_VALUE"""),"Effect: The Target becomes the user's Rival until the end of the Scene. 
Bonus: If the user's Rival causes a Combatant to Faint or a Boss to lose an HP Bar through a damaging attack, the user gains +2 CS in Attack or Special Attack. When Targeting an Enem"&amp;"y that the user’s Rival targeted since the user’s last Turn, the user gains a bonus to Damage Rolls equal to their Tier Value and a bonus to Accuracy equal to their Tier Level.  ")</f>
        <v>Effect: The Target becomes the user's Rival until the end of the Scene. 
Bonus: If the user's Rival causes a Combatant to Faint or a Boss to lose an HP Bar through a damaging attack, the user gains +2 CS in Attack or Special Attack. When Targeting an Enemy that the user’s Rival targeted since the user’s last Turn, the user gains a bonus to Damage Rolls equal to their Tier Value and a bonus to Accuracy equal to their Tier Level.  </v>
      </c>
      <c r="D349" s="225" t="str">
        <f>IFERROR(__xludf.DUMMYFUNCTION("""COMPUTED_VALUE"""),"The Scene begins")</f>
        <v>The Scene begins</v>
      </c>
      <c r="E349" s="225" t="str">
        <f>IFERROR(__xludf.DUMMYFUNCTION("""COMPUTED_VALUE"""),"A Combatant on the Field")</f>
        <v>A Combatant on the Field</v>
      </c>
      <c r="F349" s="225"/>
      <c r="G349" s="226" t="str">
        <f>IFERROR(__xludf.DUMMYFUNCTION("""COMPUTED_VALUE"""),"Scene - Free Action
Trigger - The Scene begins
Target - A Combatant on the Field
Effect: The Target becomes the user's Rival until the end of the Scene. 
Bonus: If the user's Rival causes a Combatant to Faint or a Boss to lose an HP Bar through a damaging"&amp;" attack, the user gains +2 CS in Attack or Special Attack. When Targeting an Enemy that the user’s Rival targeted since the user’s last Turn, the user gains a bonus to Damage Rolls equal to their Tier Value and a bonus to Accuracy equal to their Tier Leve"&amp;"l.  ")</f>
        <v>Scene - Free Action
Trigger - The Scene begins
Target - A Combatant on the Field
Effect: The Target becomes the user's Rival until the end of the Scene. 
Bonus: If the user's Rival causes a Combatant to Faint or a Boss to lose an HP Bar through a damaging attack, the user gains +2 CS in Attack or Special Attack. When Targeting an Enemy that the user’s Rival targeted since the user’s last Turn, the user gains a bonus to Damage Rolls equal to their Tier Value and a bonus to Accuracy equal to their Tier Level.  </v>
      </c>
      <c r="H349" s="224"/>
      <c r="I349" s="224"/>
      <c r="J349" s="224"/>
      <c r="K349" s="224"/>
      <c r="L349" s="224"/>
      <c r="M349" s="224"/>
      <c r="N349" s="224"/>
      <c r="O349" s="224"/>
      <c r="P349" s="224"/>
      <c r="Q349" s="224"/>
      <c r="R349" s="224"/>
      <c r="S349" s="224"/>
      <c r="T349" s="224"/>
      <c r="U349" s="224"/>
      <c r="V349" s="224"/>
      <c r="W349" s="224"/>
      <c r="X349" s="224"/>
      <c r="Y349" s="224"/>
      <c r="Z349" s="224"/>
    </row>
    <row r="350">
      <c r="A350" s="225" t="str">
        <f>IFERROR(__xludf.DUMMYFUNCTION("""COMPUTED_VALUE"""),"Rock Head")</f>
        <v>Rock Head</v>
      </c>
      <c r="B350" s="225" t="str">
        <f>IFERROR(__xludf.DUMMYFUNCTION("""COMPUTED_VALUE"""),"Static")</f>
        <v>Static</v>
      </c>
      <c r="C350" s="225" t="str">
        <f>IFERROR(__xludf.DUMMYFUNCTION("""COMPUTED_VALUE"""),"Effect: The user ignores the Recoil Keyword when Attacking. Whenever the user activates the Dash or Pass Keyword, they may add a +2d6 Bonus to the Damage Roll against that Enemy. When the user reaches Level 20 and every interval after that (20, 40, etc), "&amp;"the Damage Bonus is increased by +1d6. (Ex: 4d6 At level 40)")</f>
        <v>Effect: The user ignores the Recoil Keyword when Attacking. Whenever the user activates the Dash or Pass Keyword, they may add a +2d6 Bonus to the Damage Roll against that Enemy. When the user reaches Level 20 and every interval after that (20, 40, etc), the Damage Bonus is increased by +1d6. (Ex: 4d6 At level 40)</v>
      </c>
      <c r="D350" s="225"/>
      <c r="E350" s="225"/>
      <c r="F350" s="225"/>
      <c r="G350" s="226" t="str">
        <f>IFERROR(__xludf.DUMMYFUNCTION("""COMPUTED_VALUE"""),"Static
Effect: The user ignores the Recoil Keyword when Attacking. Whenever the user activates the Dash or Pass Keyword, they may add a +2d6 Bonus to the Damage Roll against that Enemy. When the user reaches Level 20 and every interval after that (20, 40,"&amp;" etc), the Damage Bonus is increased by +1d6. (Ex: 4d6 At level 40)")</f>
        <v>Static
Effect: The user ignores the Recoil Keyword when Attacking. Whenever the user activates the Dash or Pass Keyword, they may add a +2d6 Bonus to the Damage Roll against that Enemy. When the user reaches Level 20 and every interval after that (20, 40, etc), the Damage Bonus is increased by +1d6. (Ex: 4d6 At level 40)</v>
      </c>
      <c r="H350" s="224"/>
      <c r="I350" s="224"/>
      <c r="J350" s="224"/>
      <c r="K350" s="224"/>
      <c r="L350" s="224"/>
      <c r="M350" s="224"/>
      <c r="N350" s="224"/>
      <c r="O350" s="224"/>
      <c r="P350" s="224"/>
      <c r="Q350" s="224"/>
      <c r="R350" s="224"/>
      <c r="S350" s="224"/>
      <c r="T350" s="224"/>
      <c r="U350" s="224"/>
      <c r="V350" s="224"/>
      <c r="W350" s="224"/>
      <c r="X350" s="224"/>
      <c r="Y350" s="224"/>
      <c r="Z350" s="224"/>
    </row>
    <row r="351">
      <c r="A351" s="225" t="str">
        <f>IFERROR(__xludf.DUMMYFUNCTION("""COMPUTED_VALUE"""),"Rocket")</f>
        <v>Rocket</v>
      </c>
      <c r="B351" s="225" t="str">
        <f>IFERROR(__xludf.DUMMYFUNCTION("""COMPUTED_VALUE"""),"At-Will - Free Action")</f>
        <v>At-Will - Free Action</v>
      </c>
      <c r="C351" s="225" t="str">
        <f>IFERROR(__xludf.DUMMYFUNCTION("""COMPUTED_VALUE"""),"Effect: The user may immediately take their Turn, ignoring Initiative and acting alone instead of with another Ally. 
Bonus: The user has an Uncapped Evasion bonus equal to their Tier Level against the first Attack that Targets them each Round from an Ene"&amp;"my that acted after them.")</f>
        <v>Effect: The user may immediately take their Turn, ignoring Initiative and acting alone instead of with another Ally. 
Bonus: The user has an Uncapped Evasion bonus equal to their Tier Level against the first Attack that Targets them each Round from an Enemy that acted after them.</v>
      </c>
      <c r="D351" s="225" t="str">
        <f>IFERROR(__xludf.DUMMYFUNCTION("""COMPUTED_VALUE"""),"A Round begins")</f>
        <v>A Round begins</v>
      </c>
      <c r="E351" s="225"/>
      <c r="F351" s="225"/>
      <c r="G351" s="226" t="str">
        <f>IFERROR(__xludf.DUMMYFUNCTION("""COMPUTED_VALUE"""),"At-Will - Free Action
Trigger - A Round begins
Effect: The user may immediately take their Turn, ignoring Initiative and acting alone instead of with another Ally. 
Bonus: The user has an Uncapped Evasion bonus equal to their Tier Level against the first "&amp;"Attack that Targets them each Round from an Enemy that acted after them.")</f>
        <v>At-Will - Free Action
Trigger - A Round begins
Effect: The user may immediately take their Turn, ignoring Initiative and acting alone instead of with another Ally. 
Bonus: The user has an Uncapped Evasion bonus equal to their Tier Level against the first Attack that Targets them each Round from an Enemy that acted after them.</v>
      </c>
      <c r="H351" s="224"/>
      <c r="I351" s="224"/>
      <c r="J351" s="224"/>
      <c r="K351" s="224"/>
      <c r="L351" s="224"/>
      <c r="M351" s="224"/>
      <c r="N351" s="224"/>
      <c r="O351" s="224"/>
      <c r="P351" s="224"/>
      <c r="Q351" s="224"/>
      <c r="R351" s="224"/>
      <c r="S351" s="224"/>
      <c r="T351" s="224"/>
      <c r="U351" s="224"/>
      <c r="V351" s="224"/>
      <c r="W351" s="224"/>
      <c r="X351" s="224"/>
      <c r="Y351" s="224"/>
      <c r="Z351" s="224"/>
    </row>
    <row r="352">
      <c r="A352" s="225" t="str">
        <f>IFERROR(__xludf.DUMMYFUNCTION("""COMPUTED_VALUE"""),"Rocky Payload")</f>
        <v>Rocky Payload</v>
      </c>
      <c r="B352" s="225" t="str">
        <f>IFERROR(__xludf.DUMMYFUNCTION("""COMPUTED_VALUE"""),"Scene x2 - Swift Action ")</f>
        <v>Scene x2 - Swift Action </v>
      </c>
      <c r="C352" s="225" t="str">
        <f>IFERROR(__xludf.DUMMYFUNCTION("""COMPUTED_VALUE"""),"Effect: The next Rock Type Damaging Attack the user uses has its Range changed to 8, Ranged Blast 3, Smite; or has its area of effect increased by +2. If the Attack misses any Targets, you may create up to 3 Stone Hazards in unoccupied spaces within the R"&amp;"ange of the Attack. At the end of the next Round, these Hazards explode, causing enemies within 2m to lose a Tick of Hit Points. 
Bonus: The user gains STAB on Rock Type Attacks if they're a Pokémon.")</f>
        <v>Effect: The next Rock Type Damaging Attack the user uses has its Range changed to 8, Ranged Blast 3, Smite; or has its area of effect increased by +2. If the Attack misses any Targets, you may create up to 3 Stone Hazards in unoccupied spaces within the Range of the Attack. At the end of the next Round, these Hazards explode, causing enemies within 2m to lose a Tick of Hit Points. 
Bonus: The user gains STAB on Rock Type Attacks if they're a Pokémon.</v>
      </c>
      <c r="D352" s="225"/>
      <c r="E352" s="225"/>
      <c r="F352" s="225"/>
      <c r="G352" s="226" t="str">
        <f>IFERROR(__xludf.DUMMYFUNCTION("""COMPUTED_VALUE"""),"Scene x2 - Swift Action 
Effect: The next Rock Type Damaging Attack the user uses has its Range changed to 8, Ranged Blast 3, Smite; or has its area of effect increased by +2. If the Attack misses any Targets, you may create up to 3 Stone Hazards in unocc"&amp;"upied spaces within the Range of the Attack. At the end of the next Round, these Hazards explode, causing enemies within 2m to lose a Tick of Hit Points. 
Bonus: The user gains STAB on Rock Type Attacks if they're a Pokémon.")</f>
        <v>Scene x2 - Swift Action 
Effect: The next Rock Type Damaging Attack the user uses has its Range changed to 8, Ranged Blast 3, Smite; or has its area of effect increased by +2. If the Attack misses any Targets, you may create up to 3 Stone Hazards in unoccupied spaces within the Range of the Attack. At the end of the next Round, these Hazards explode, causing enemies within 2m to lose a Tick of Hit Points. 
Bonus: The user gains STAB on Rock Type Attacks if they're a Pokémon.</v>
      </c>
      <c r="H352" s="224"/>
      <c r="I352" s="224"/>
      <c r="J352" s="224"/>
      <c r="K352" s="224"/>
      <c r="L352" s="224"/>
      <c r="M352" s="224"/>
      <c r="N352" s="224"/>
      <c r="O352" s="224"/>
      <c r="P352" s="224"/>
      <c r="Q352" s="224"/>
      <c r="R352" s="224"/>
      <c r="S352" s="224"/>
      <c r="T352" s="224"/>
      <c r="U352" s="224"/>
      <c r="V352" s="224"/>
      <c r="W352" s="224"/>
      <c r="X352" s="224"/>
      <c r="Y352" s="224"/>
      <c r="Z352" s="224"/>
    </row>
    <row r="353">
      <c r="A353" s="225" t="str">
        <f>IFERROR(__xludf.DUMMYFUNCTION("""COMPUTED_VALUE"""),"Root Down")</f>
        <v>Root Down</v>
      </c>
      <c r="B353" s="225" t="str">
        <f>IFERROR(__xludf.DUMMYFUNCTION("""COMPUTED_VALUE"""),"At-Will - Movement Action")</f>
        <v>At-Will - Movement Action</v>
      </c>
      <c r="C353" s="225" t="str">
        <f>IFERROR(__xludf.DUMMYFUNCTION("""COMPUTED_VALUE"""),"Connection - Ingrain. 
Effect: While the user has the Ingrain Coat, they may activate this Ability to gain Damage Reduction equal to their Tier Value until the end of the next Round. Damage Reduction gained this way does not stack with itself.  ")</f>
        <v>Connection - Ingrain. 
Effect: While the user has the Ingrain Coat, they may activate this Ability to gain Damage Reduction equal to their Tier Value until the end of the next Round. Damage Reduction gained this way does not stack with itself.  </v>
      </c>
      <c r="D353" s="225"/>
      <c r="E353" s="225"/>
      <c r="F353" s="225" t="str">
        <f>IFERROR(__xludf.DUMMYFUNCTION("""COMPUTED_VALUE"""),"Defensive")</f>
        <v>Defensive</v>
      </c>
      <c r="G353" s="226" t="str">
        <f>IFERROR(__xludf.DUMMYFUNCTION("""COMPUTED_VALUE"""),"At-Will - Movement Action
Keywords - Defensive
Connection - Ingrain. 
Effect: While the user has the Ingrain Coat, they may activate this Ability to gain Damage Reduction equal to their Tier Value until the end of the next Round. Damage Reduction gained t"&amp;"his way does not stack with itself.  ")</f>
        <v>At-Will - Movement Action
Keywords - Defensive
Connection - Ingrain. 
Effect: While the user has the Ingrain Coat, they may activate this Ability to gain Damage Reduction equal to their Tier Value until the end of the next Round. Damage Reduction gained this way does not stack with itself.  </v>
      </c>
      <c r="H353" s="224"/>
      <c r="I353" s="224"/>
      <c r="J353" s="224"/>
      <c r="K353" s="224"/>
      <c r="L353" s="224"/>
      <c r="M353" s="224"/>
      <c r="N353" s="224"/>
      <c r="O353" s="224"/>
      <c r="P353" s="224"/>
      <c r="Q353" s="224"/>
      <c r="R353" s="224"/>
      <c r="S353" s="224"/>
      <c r="T353" s="224"/>
      <c r="U353" s="224"/>
      <c r="V353" s="224"/>
      <c r="W353" s="224"/>
      <c r="X353" s="224"/>
      <c r="Y353" s="224"/>
      <c r="Z353" s="224"/>
    </row>
    <row r="354">
      <c r="A354" s="225" t="str">
        <f>IFERROR(__xludf.DUMMYFUNCTION("""COMPUTED_VALUE"""),"Rough Skin")</f>
        <v>Rough Skin</v>
      </c>
      <c r="B354" s="225" t="str">
        <f>IFERROR(__xludf.DUMMYFUNCTION("""COMPUTED_VALUE"""),"Static")</f>
        <v>Static</v>
      </c>
      <c r="C354" s="225" t="str">
        <f>IFERROR(__xludf.DUMMYFUNCTION("""COMPUTED_VALUE"""),"Effect: All Melee Damaging Attacks that hit the user are treated as having the Recoil (1/2) Keyword. ")</f>
        <v>Effect: All Melee Damaging Attacks that hit the user are treated as having the Recoil (1/2) Keyword. </v>
      </c>
      <c r="D354" s="225"/>
      <c r="E354" s="225"/>
      <c r="F354" s="225"/>
      <c r="G354" s="226" t="str">
        <f>IFERROR(__xludf.DUMMYFUNCTION("""COMPUTED_VALUE"""),"Static
Effect: All Melee Damaging Attacks that hit the user are treated as having the Recoil (1/2) Keyword. ")</f>
        <v>Static
Effect: All Melee Damaging Attacks that hit the user are treated as having the Recoil (1/2) Keyword. </v>
      </c>
      <c r="H354" s="224"/>
      <c r="I354" s="224"/>
      <c r="J354" s="224"/>
      <c r="K354" s="224"/>
      <c r="L354" s="224"/>
      <c r="M354" s="224"/>
      <c r="N354" s="224"/>
      <c r="O354" s="224"/>
      <c r="P354" s="224"/>
      <c r="Q354" s="224"/>
      <c r="R354" s="224"/>
      <c r="S354" s="224"/>
      <c r="T354" s="224"/>
      <c r="U354" s="224"/>
      <c r="V354" s="224"/>
      <c r="W354" s="224"/>
      <c r="X354" s="224"/>
      <c r="Y354" s="224"/>
      <c r="Z354" s="224"/>
    </row>
    <row r="355">
      <c r="A355" s="225" t="str">
        <f>IFERROR(__xludf.DUMMYFUNCTION("""COMPUTED_VALUE"""),"Run Away")</f>
        <v>Run Away</v>
      </c>
      <c r="B355" s="225" t="str">
        <f>IFERROR(__xludf.DUMMYFUNCTION("""COMPUTED_VALUE"""),"Static")</f>
        <v>Static</v>
      </c>
      <c r="C355" s="225" t="str">
        <f>IFERROR(__xludf.DUMMYFUNCTION("""COMPUTED_VALUE"""),"Effect: The user cannot trigger Attacks of Opportunity by moving. The user cannot be Trapped. The user does not suffer any movement penalties when moving over Slowed Terrain.")</f>
        <v>Effect: The user cannot trigger Attacks of Opportunity by moving. The user cannot be Trapped. The user does not suffer any movement penalties when moving over Slowed Terrain.</v>
      </c>
      <c r="D355" s="225"/>
      <c r="E355" s="225"/>
      <c r="F355" s="225"/>
      <c r="G355" s="226" t="str">
        <f>IFERROR(__xludf.DUMMYFUNCTION("""COMPUTED_VALUE"""),"Static
Effect: The user cannot trigger Attacks of Opportunity by moving. The user cannot be Trapped. The user does not suffer any movement penalties when moving over Slowed Terrain.")</f>
        <v>Static
Effect: The user cannot trigger Attacks of Opportunity by moving. The user cannot be Trapped. The user does not suffer any movement penalties when moving over Slowed Terrain.</v>
      </c>
      <c r="H355" s="224"/>
      <c r="I355" s="224"/>
      <c r="J355" s="224"/>
      <c r="K355" s="224"/>
      <c r="L355" s="224"/>
      <c r="M355" s="224"/>
      <c r="N355" s="224"/>
      <c r="O355" s="224"/>
      <c r="P355" s="224"/>
      <c r="Q355" s="224"/>
      <c r="R355" s="224"/>
      <c r="S355" s="224"/>
      <c r="T355" s="224"/>
      <c r="U355" s="224"/>
      <c r="V355" s="224"/>
      <c r="W355" s="224"/>
      <c r="X355" s="224"/>
      <c r="Y355" s="224"/>
      <c r="Z355" s="224"/>
    </row>
    <row r="356">
      <c r="A356" s="225" t="str">
        <f>IFERROR(__xludf.DUMMYFUNCTION("""COMPUTED_VALUE"""),"Sacred Bell")</f>
        <v>Sacred Bell</v>
      </c>
      <c r="B356" s="225" t="str">
        <f>IFERROR(__xludf.DUMMYFUNCTION("""COMPUTED_VALUE"""),"Scene - Swift Action")</f>
        <v>Scene - Swift Action</v>
      </c>
      <c r="C356" s="225" t="str">
        <f>IFERROR(__xludf.DUMMYFUNCTION("""COMPUTED_VALUE"""),"Effect: Choose a type of Weather. The Weather becomes the chosen type. 
Bonus: The user resists Dark and Ghost Type Damage one step further. ")</f>
        <v>Effect: Choose a type of Weather. The Weather becomes the chosen type. 
Bonus: The user resists Dark and Ghost Type Damage one step further. </v>
      </c>
      <c r="D356" s="225"/>
      <c r="E356" s="225"/>
      <c r="F356" s="225" t="str">
        <f>IFERROR(__xludf.DUMMYFUNCTION("""COMPUTED_VALUE"""),"Defensive")</f>
        <v>Defensive</v>
      </c>
      <c r="G356" s="226" t="str">
        <f>IFERROR(__xludf.DUMMYFUNCTION("""COMPUTED_VALUE"""),"Scene - Swift Action
Keywords - Defensive
Effect: Choose a type of Weather. The Weather becomes the chosen type. 
Bonus: The user resists Dark and Ghost Type Damage one step further. ")</f>
        <v>Scene - Swift Action
Keywords - Defensive
Effect: Choose a type of Weather. The Weather becomes the chosen type. 
Bonus: The user resists Dark and Ghost Type Damage one step further. </v>
      </c>
      <c r="H356" s="224"/>
      <c r="I356" s="224"/>
      <c r="J356" s="224"/>
      <c r="K356" s="224"/>
      <c r="L356" s="224"/>
      <c r="M356" s="224"/>
      <c r="N356" s="224"/>
      <c r="O356" s="224"/>
      <c r="P356" s="224"/>
      <c r="Q356" s="224"/>
      <c r="R356" s="224"/>
      <c r="S356" s="224"/>
      <c r="T356" s="224"/>
      <c r="U356" s="224"/>
      <c r="V356" s="224"/>
      <c r="W356" s="224"/>
      <c r="X356" s="224"/>
      <c r="Y356" s="224"/>
      <c r="Z356" s="224"/>
    </row>
    <row r="357">
      <c r="A357" s="225" t="str">
        <f>IFERROR(__xludf.DUMMYFUNCTION("""COMPUTED_VALUE"""),"Sand Force")</f>
        <v>Sand Force</v>
      </c>
      <c r="B357" s="225" t="str">
        <f>IFERROR(__xludf.DUMMYFUNCTION("""COMPUTED_VALUE"""),"At-Will- Swift Action")</f>
        <v>At-Will- Swift Action</v>
      </c>
      <c r="C357" s="225" t="str">
        <f>IFERROR(__xludf.DUMMYFUNCTION("""COMPUTED_VALUE"""),"Effect: All Targets have their Defense or Special Defense lowered by -2 CS. 
Bonus: While the Weather is Sandstorm, the user’s Ground and Rock Type Attacks ignore Defensive Abilities. ")</f>
        <v>Effect: All Targets have their Defense or Special Defense lowered by -2 CS. 
Bonus: While the Weather is Sandstorm, the user’s Ground and Rock Type Attacks ignore Defensive Abilities. </v>
      </c>
      <c r="D357" s="225" t="str">
        <f>IFERROR(__xludf.DUMMYFUNCTION("""COMPUTED_VALUE"""),"The user hits a Ground or Rock Type Attack")</f>
        <v>The user hits a Ground or Rock Type Attack</v>
      </c>
      <c r="E357" s="225"/>
      <c r="F357" s="225"/>
      <c r="G357" s="226" t="str">
        <f>IFERROR(__xludf.DUMMYFUNCTION("""COMPUTED_VALUE"""),"At-Will- Swift Action
Trigger - The user hits a Ground or Rock Type Attack
Effect: All Targets have their Defense or Special Defense lowered by -2 CS. 
Bonus: While the Weather is Sandstorm, the user’s Ground and Rock Type Attacks ignore Defensive Abiliti"&amp;"es. ")</f>
        <v>At-Will- Swift Action
Trigger - The user hits a Ground or Rock Type Attack
Effect: All Targets have their Defense or Special Defense lowered by -2 CS. 
Bonus: While the Weather is Sandstorm, the user’s Ground and Rock Type Attacks ignore Defensive Abilities. </v>
      </c>
      <c r="H357" s="224"/>
      <c r="I357" s="224"/>
      <c r="J357" s="224"/>
      <c r="K357" s="224"/>
      <c r="L357" s="224"/>
      <c r="M357" s="224"/>
      <c r="N357" s="224"/>
      <c r="O357" s="224"/>
      <c r="P357" s="224"/>
      <c r="Q357" s="224"/>
      <c r="R357" s="224"/>
      <c r="S357" s="224"/>
      <c r="T357" s="224"/>
      <c r="U357" s="224"/>
      <c r="V357" s="224"/>
      <c r="W357" s="224"/>
      <c r="X357" s="224"/>
      <c r="Y357" s="224"/>
      <c r="Z357" s="224"/>
    </row>
    <row r="358">
      <c r="A358" s="225" t="str">
        <f>IFERROR(__xludf.DUMMYFUNCTION("""COMPUTED_VALUE"""),"Sand Rush")</f>
        <v>Sand Rush</v>
      </c>
      <c r="B358" s="225" t="str">
        <f>IFERROR(__xludf.DUMMYFUNCTION("""COMPUTED_VALUE"""),"Static")</f>
        <v>Static</v>
      </c>
      <c r="C358" s="225" t="str">
        <f>IFERROR(__xludf.DUMMYFUNCTION("""COMPUTED_VALUE"""),"Effect: The user may perform Ground or Rock Type Attacks as if they had the Priority (Advanced) Keyword. While the Weather is Sandstorm, the user cannot trigger Enemy's Attacks of Opportunity and cannot be Slowed.")</f>
        <v>Effect: The user may perform Ground or Rock Type Attacks as if they had the Priority (Advanced) Keyword. While the Weather is Sandstorm, the user cannot trigger Enemy's Attacks of Opportunity and cannot be Slowed.</v>
      </c>
      <c r="D358" s="225"/>
      <c r="E358" s="225"/>
      <c r="F358" s="225"/>
      <c r="G358" s="226" t="str">
        <f>IFERROR(__xludf.DUMMYFUNCTION("""COMPUTED_VALUE"""),"Static
Effect: The user may perform Ground or Rock Type Attacks as if they had the Priority (Advanced) Keyword. While the Weather is Sandstorm, the user cannot trigger Enemy's Attacks of Opportunity and cannot be Slowed.")</f>
        <v>Static
Effect: The user may perform Ground or Rock Type Attacks as if they had the Priority (Advanced) Keyword. While the Weather is Sandstorm, the user cannot trigger Enemy's Attacks of Opportunity and cannot be Slowed.</v>
      </c>
      <c r="H358" s="224"/>
      <c r="I358" s="224"/>
      <c r="J358" s="224"/>
      <c r="K358" s="224"/>
      <c r="L358" s="224"/>
      <c r="M358" s="224"/>
      <c r="N358" s="224"/>
      <c r="O358" s="224"/>
      <c r="P358" s="224"/>
      <c r="Q358" s="224"/>
      <c r="R358" s="224"/>
      <c r="S358" s="224"/>
      <c r="T358" s="224"/>
      <c r="U358" s="224"/>
      <c r="V358" s="224"/>
      <c r="W358" s="224"/>
      <c r="X358" s="224"/>
      <c r="Y358" s="224"/>
      <c r="Z358" s="224"/>
    </row>
    <row r="359">
      <c r="A359" s="225" t="str">
        <f>IFERROR(__xludf.DUMMYFUNCTION("""COMPUTED_VALUE"""),"Sand Spit")</f>
        <v>Sand Spit</v>
      </c>
      <c r="B359" s="225" t="str">
        <f>IFERROR(__xludf.DUMMYFUNCTION("""COMPUTED_VALUE"""),"Scene – Reaction")</f>
        <v>Scene – Reaction</v>
      </c>
      <c r="C359" s="225" t="str">
        <f>IFERROR(__xludf.DUMMYFUNCTION("""COMPUTED_VALUE"""),"Connection – Sand Attack. 
Effect: Before the Attack's Resolution, the Triggering Enemy becomes Blinded until the end of their next Turn.  
Bonus: The user’s Ground Type Attacks have a 15+ Effect Range to cause the Target to lose -1 Accuracy.  ")</f>
        <v>Connection – Sand Attack. 
Effect: Before the Attack's Resolution, the Triggering Enemy becomes Blinded until the end of their next Turn.  
Bonus: The user’s Ground Type Attacks have a 15+ Effect Range to cause the Target to lose -1 Accuracy.  </v>
      </c>
      <c r="D359" s="225" t="str">
        <f>IFERROR(__xludf.DUMMYFUNCTION("""COMPUTED_VALUE"""),"An enemy within 2m would use an Attack against an Ally or the user")</f>
        <v>An enemy within 2m would use an Attack against an Ally or the user</v>
      </c>
      <c r="E359" s="225"/>
      <c r="F359" s="225" t="str">
        <f>IFERROR(__xludf.DUMMYFUNCTION("""COMPUTED_VALUE"""),"Defensive")</f>
        <v>Defensive</v>
      </c>
      <c r="G359" s="226" t="str">
        <f>IFERROR(__xludf.DUMMYFUNCTION("""COMPUTED_VALUE"""),"Scene – Reaction
Keywords - Defensive
Trigger - An enemy within 2m would use an Attack against an Ally or the user
Connection – Sand Attack. 
Effect: Before the Attack's Resolution, the Triggering Enemy becomes Blinded until the end of their next Turn.  
"&amp;"Bonus: The user’s Ground Type Attacks have a 15+ Effect Range to cause the Target to lose -1 Accuracy.  ")</f>
        <v>Scene – Reaction
Keywords - Defensive
Trigger - An enemy within 2m would use an Attack against an Ally or the user
Connection – Sand Attack. 
Effect: Before the Attack's Resolution, the Triggering Enemy becomes Blinded until the end of their next Turn.  
Bonus: The user’s Ground Type Attacks have a 15+ Effect Range to cause the Target to lose -1 Accuracy.  </v>
      </c>
      <c r="H359" s="224"/>
      <c r="I359" s="224"/>
      <c r="J359" s="224"/>
      <c r="K359" s="224"/>
      <c r="L359" s="224"/>
      <c r="M359" s="224"/>
      <c r="N359" s="224"/>
      <c r="O359" s="224"/>
      <c r="P359" s="224"/>
      <c r="Q359" s="224"/>
      <c r="R359" s="224"/>
      <c r="S359" s="224"/>
      <c r="T359" s="224"/>
      <c r="U359" s="224"/>
      <c r="V359" s="224"/>
      <c r="W359" s="224"/>
      <c r="X359" s="224"/>
      <c r="Y359" s="224"/>
      <c r="Z359" s="224"/>
    </row>
    <row r="360">
      <c r="A360" s="225" t="str">
        <f>IFERROR(__xludf.DUMMYFUNCTION("""COMPUTED_VALUE"""),"Sand Stream")</f>
        <v>Sand Stream</v>
      </c>
      <c r="B360" s="225" t="str">
        <f>IFERROR(__xludf.DUMMYFUNCTION("""COMPUTED_VALUE"""),"At-Will - Swift Action")</f>
        <v>At-Will - Swift Action</v>
      </c>
      <c r="C360" s="225" t="str">
        <f>IFERROR(__xludf.DUMMYFUNCTION("""COMPUTED_VALUE"""),"Connection - Sandstorm.
Effect: The Weather becomes a Sandstorm. 
Bonus: While the Weather is Sandstorm, the user has a bonus to Save Checks equal to their Tier Level and has a Boon to all Skill Checks while in Combat. ")</f>
        <v>Connection - Sandstorm.
Effect: The Weather becomes a Sandstorm. 
Bonus: While the Weather is Sandstorm, the user has a bonus to Save Checks equal to their Tier Level and has a Boon to all Skill Checks while in Combat. </v>
      </c>
      <c r="D360" s="225"/>
      <c r="E360" s="225"/>
      <c r="F360" s="225"/>
      <c r="G360" s="226" t="str">
        <f>IFERROR(__xludf.DUMMYFUNCTION("""COMPUTED_VALUE"""),"At-Will - Swift Action
Connection - Sandstorm.
Effect: The Weather becomes a Sandstorm. 
Bonus: While the Weather is Sandstorm, the user has a bonus to Save Checks equal to their Tier Level and has a Boon to all Skill Checks while in Combat. ")</f>
        <v>At-Will - Swift Action
Connection - Sandstorm.
Effect: The Weather becomes a Sandstorm. 
Bonus: While the Weather is Sandstorm, the user has a bonus to Save Checks equal to their Tier Level and has a Boon to all Skill Checks while in Combat. </v>
      </c>
      <c r="H360" s="224"/>
      <c r="I360" s="224"/>
      <c r="J360" s="224"/>
      <c r="K360" s="224"/>
      <c r="L360" s="224"/>
      <c r="M360" s="224"/>
      <c r="N360" s="224"/>
      <c r="O360" s="224"/>
      <c r="P360" s="224"/>
      <c r="Q360" s="224"/>
      <c r="R360" s="224"/>
      <c r="S360" s="224"/>
      <c r="T360" s="224"/>
      <c r="U360" s="224"/>
      <c r="V360" s="224"/>
      <c r="W360" s="224"/>
      <c r="X360" s="224"/>
      <c r="Y360" s="224"/>
      <c r="Z360" s="224"/>
    </row>
    <row r="361">
      <c r="A361" s="225" t="str">
        <f>IFERROR(__xludf.DUMMYFUNCTION("""COMPUTED_VALUE"""),"Sand Veil")</f>
        <v>Sand Veil</v>
      </c>
      <c r="B361" s="225" t="str">
        <f>IFERROR(__xludf.DUMMYFUNCTION("""COMPUTED_VALUE"""),"Static")</f>
        <v>Static</v>
      </c>
      <c r="C361" s="225" t="str">
        <f>IFERROR(__xludf.DUMMYFUNCTION("""COMPUTED_VALUE"""),"Effect: The user and allies within 2m have a bonus to Evasion equal to your Tier Level. While the Weather is Sandstorm, Enemies within 2m have a penalty to Accuracy equal to your Tier Level.  ")</f>
        <v>Effect: The user and allies within 2m have a bonus to Evasion equal to your Tier Level. While the Weather is Sandstorm, Enemies within 2m have a penalty to Accuracy equal to your Tier Level.  </v>
      </c>
      <c r="D361" s="225"/>
      <c r="E361" s="225"/>
      <c r="F361" s="225" t="str">
        <f>IFERROR(__xludf.DUMMYFUNCTION("""COMPUTED_VALUE"""),"Defensive")</f>
        <v>Defensive</v>
      </c>
      <c r="G361" s="226" t="str">
        <f>IFERROR(__xludf.DUMMYFUNCTION("""COMPUTED_VALUE"""),"Static
Keywords - Defensive
Effect: The user and allies within 2m have a bonus to Evasion equal to your Tier Level. While the Weather is Sandstorm, Enemies within 2m have a penalty to Accuracy equal to your Tier Level.  ")</f>
        <v>Static
Keywords - Defensive
Effect: The user and allies within 2m have a bonus to Evasion equal to your Tier Level. While the Weather is Sandstorm, Enemies within 2m have a penalty to Accuracy equal to your Tier Level.  </v>
      </c>
      <c r="H361" s="224"/>
      <c r="I361" s="224"/>
      <c r="J361" s="224"/>
      <c r="K361" s="224"/>
      <c r="L361" s="224"/>
      <c r="M361" s="224"/>
      <c r="N361" s="224"/>
      <c r="O361" s="224"/>
      <c r="P361" s="224"/>
      <c r="Q361" s="224"/>
      <c r="R361" s="224"/>
      <c r="S361" s="224"/>
      <c r="T361" s="224"/>
      <c r="U361" s="224"/>
      <c r="V361" s="224"/>
      <c r="W361" s="224"/>
      <c r="X361" s="224"/>
      <c r="Y361" s="224"/>
      <c r="Z361" s="224"/>
    </row>
    <row r="362">
      <c r="A362" s="225" t="str">
        <f>IFERROR(__xludf.DUMMYFUNCTION("""COMPUTED_VALUE"""),"Schooling")</f>
        <v>Schooling</v>
      </c>
      <c r="B362" s="225" t="str">
        <f>IFERROR(__xludf.DUMMYFUNCTION("""COMPUTED_VALUE"""),"Scene - Swift Action")</f>
        <v>Scene - Swift Action</v>
      </c>
      <c r="C362" s="225" t="str">
        <f>IFERROR(__xludf.DUMMYFUNCTION("""COMPUTED_VALUE"""),"Effect: Create a 4x4 Zone with the user in one of the center 4 squares. Any other creatures within the Zone are then pushed to the nearest unoccupied space outside of the Blast. The user then changes to Schooling Form, centered on its current location, an"&amp;"d gains Temporary Hit Points equal to half of its own maximum Hit Points. The user cannot gain Temporary Hit Points from other sources while in Schooling Forme. When the user is below half Maximum Hit Points and has no Temporary Hit Points left, they chan"&amp;"ge back into Solo Forme. If the user would not be able to fit in the space around it at the end of this Ability, this Ability cannot be used.
Bonus: The user has two sets of base stats; Solo and Schooling. The Hit Points of both forms must be the same.")</f>
        <v>Effect: Create a 4x4 Zone with the user in one of the center 4 squares. Any other creatures within the Zone are then pushed to the nearest unoccupied space outside of the Blast. The user then changes to Schooling Form, centered on its current location, and gains Temporary Hit Points equal to half of its own maximum Hit Points. The user cannot gain Temporary Hit Points from other sources while in Schooling Forme. When the user is below half Maximum Hit Points and has no Temporary Hit Points left, they change back into Solo Forme. If the user would not be able to fit in the space around it at the end of this Ability, this Ability cannot be used.
Bonus: The user has two sets of base stats; Solo and Schooling. The Hit Points of both forms must be the same.</v>
      </c>
      <c r="D362" s="225"/>
      <c r="E362" s="225"/>
      <c r="F362" s="225" t="str">
        <f>IFERROR(__xludf.DUMMYFUNCTION("""COMPUTED_VALUE"""),"Innate")</f>
        <v>Innate</v>
      </c>
      <c r="G362" s="226" t="str">
        <f>IFERROR(__xludf.DUMMYFUNCTION("""COMPUTED_VALUE"""),"Scene - Swift Action
Keywords - Innate
Effect: Create a 4x4 Zone with the user in one of the center 4 squares. Any other creatures within the Zone are then pushed to the nearest unoccupied space outside of the Blast. The user then changes to Schooling For"&amp;"m, centered on its current location, and gains Temporary Hit Points equal to half of its own maximum Hit Points. The user cannot gain Temporary Hit Points from other sources while in Schooling Forme. When the user is below half Maximum Hit Points and has "&amp;"no Temporary Hit Points left, they change back into Solo Forme. If the user would not be able to fit in the space around it at the end of this Ability, this Ability cannot be used.
Bonus: The user has two sets of base stats; Solo and Schooling. The Hit Po"&amp;"ints of both forms must be the same.")</f>
        <v>Scene - Swift Action
Keywords - Innate
Effect: Create a 4x4 Zone with the user in one of the center 4 squares. Any other creatures within the Zone are then pushed to the nearest unoccupied space outside of the Blast. The user then changes to Schooling Form, centered on its current location, and gains Temporary Hit Points equal to half of its own maximum Hit Points. The user cannot gain Temporary Hit Points from other sources while in Schooling Forme. When the user is below half Maximum Hit Points and has no Temporary Hit Points left, they change back into Solo Forme. If the user would not be able to fit in the space around it at the end of this Ability, this Ability cannot be used.
Bonus: The user has two sets of base stats; Solo and Schooling. The Hit Points of both forms must be the same.</v>
      </c>
      <c r="H362" s="224"/>
      <c r="I362" s="224"/>
      <c r="J362" s="224"/>
      <c r="K362" s="224"/>
      <c r="L362" s="224"/>
      <c r="M362" s="224"/>
      <c r="N362" s="224"/>
      <c r="O362" s="224"/>
      <c r="P362" s="224"/>
      <c r="Q362" s="224"/>
      <c r="R362" s="224"/>
      <c r="S362" s="224"/>
      <c r="T362" s="224"/>
      <c r="U362" s="224"/>
      <c r="V362" s="224"/>
      <c r="W362" s="224"/>
      <c r="X362" s="224"/>
      <c r="Y362" s="224"/>
      <c r="Z362" s="224"/>
    </row>
    <row r="363">
      <c r="A363" s="225" t="str">
        <f>IFERROR(__xludf.DUMMYFUNCTION("""COMPUTED_VALUE"""),"Scrappy")</f>
        <v>Scrappy</v>
      </c>
      <c r="B363" s="225" t="str">
        <f>IFERROR(__xludf.DUMMYFUNCTION("""COMPUTED_VALUE"""),"At-Will - Free Action")</f>
        <v>At-Will - Free Action</v>
      </c>
      <c r="C363" s="225" t="str">
        <f>IFERROR(__xludf.DUMMYFUNCTION("""COMPUTED_VALUE"""),"Effect: The user gains +1 Blitz Counter. If the user uses a Respite Maneuver, Restores more than 2 Ticks of Hit Points or is Recalled, they lose all of their Blitz Counters. You cannot have more Blitz Counters than double your Tier Level. 
Bonus: The use"&amp;"r gains +1 Accuracy and Critical Hit Range to Melee Attacks for each Blitz Counter they have. Ghost Types are not Immune to the user’s Normal and Fighting Type Attacks.")</f>
        <v>Effect: The user gains +1 Blitz Counter. If the user uses a Respite Maneuver, Restores more than 2 Ticks of Hit Points or is Recalled, they lose all of their Blitz Counters. You cannot have more Blitz Counters than double your Tier Level. 
Bonus: The user gains +1 Accuracy and Critical Hit Range to Melee Attacks for each Blitz Counter they have. Ghost Types are not Immune to the user’s Normal and Fighting Type Attacks.</v>
      </c>
      <c r="D363" s="225" t="str">
        <f>IFERROR(__xludf.DUMMYFUNCTION("""COMPUTED_VALUE"""),"The user hits a Melee Attack")</f>
        <v>The user hits a Melee Attack</v>
      </c>
      <c r="E363" s="225"/>
      <c r="F363" s="225"/>
      <c r="G363" s="226" t="str">
        <f>IFERROR(__xludf.DUMMYFUNCTION("""COMPUTED_VALUE"""),"At-Will - Free Action
Trigger - The user hits a Melee Attack
Effect: The user gains +1 Blitz Counter. If the user uses a Respite Maneuver, Restores more than 2 Ticks of Hit Points or is Recalled, they lose all of their Blitz Counters. You cannot have more"&amp;" Blitz Counters than double your Tier Level. 
Bonus: The user gains +1 Accuracy and Critical Hit Range to Melee Attacks for each Blitz Counter they have. Ghost Types are not Immune to the user’s Normal and Fighting Type Attacks.")</f>
        <v>At-Will - Free Action
Trigger - The user hits a Melee Attack
Effect: The user gains +1 Blitz Counter. If the user uses a Respite Maneuver, Restores more than 2 Ticks of Hit Points or is Recalled, they lose all of their Blitz Counters. You cannot have more Blitz Counters than double your Tier Level. 
Bonus: The user gains +1 Accuracy and Critical Hit Range to Melee Attacks for each Blitz Counter they have. Ghost Types are not Immune to the user’s Normal and Fighting Type Attacks.</v>
      </c>
      <c r="H363" s="224"/>
      <c r="I363" s="224"/>
      <c r="J363" s="224"/>
      <c r="K363" s="224"/>
      <c r="L363" s="224"/>
      <c r="M363" s="224"/>
      <c r="N363" s="224"/>
      <c r="O363" s="224"/>
      <c r="P363" s="224"/>
      <c r="Q363" s="224"/>
      <c r="R363" s="224"/>
      <c r="S363" s="224"/>
      <c r="T363" s="224"/>
      <c r="U363" s="224"/>
      <c r="V363" s="224"/>
      <c r="W363" s="224"/>
      <c r="X363" s="224"/>
      <c r="Y363" s="224"/>
      <c r="Z363" s="224"/>
    </row>
    <row r="364">
      <c r="A364" s="225" t="str">
        <f>IFERROR(__xludf.DUMMYFUNCTION("""COMPUTED_VALUE"""),"Screen Cleaner")</f>
        <v>Screen Cleaner</v>
      </c>
      <c r="B364" s="225" t="str">
        <f>IFERROR(__xludf.DUMMYFUNCTION("""COMPUTED_VALUE"""),"Scene x2 - Swift Action")</f>
        <v>Scene x2 - Swift Action</v>
      </c>
      <c r="C364" s="225" t="str">
        <f>IFERROR(__xludf.DUMMYFUNCTION("""COMPUTED_VALUE"""),"Connection - Barrier. 
Effect: Choose a Coat that the Target is affected by and destroy it.  
Bonus: Whenever the user creates a Blessing with a Standard Action, it has one more Activation or lasts one more Round from its listed Duration.")</f>
        <v>Connection - Barrier. 
Effect: Choose a Coat that the Target is affected by and destroy it.  
Bonus: Whenever the user creates a Blessing with a Standard Action, it has one more Activation or lasts one more Round from its listed Duration.</v>
      </c>
      <c r="D364" s="225"/>
      <c r="E364" s="225" t="str">
        <f>IFERROR(__xludf.DUMMYFUNCTION("""COMPUTED_VALUE"""),"The user or an Adjacent Combatant")</f>
        <v>The user or an Adjacent Combatant</v>
      </c>
      <c r="F364" s="225"/>
      <c r="G364" s="226" t="str">
        <f>IFERROR(__xludf.DUMMYFUNCTION("""COMPUTED_VALUE"""),"Scene x2 - Swift Action
Target - The user or an Adjacent Combatant
Connection - Barrier. 
Effect: Choose a Coat that the Target is affected by and destroy it.  
Bonus: Whenever the user creates a Blessing with a Standard Action, it has one more Activation"&amp;" or lasts one more Round from its listed Duration.")</f>
        <v>Scene x2 - Swift Action
Target - The user or an Adjacent Combatant
Connection - Barrier. 
Effect: Choose a Coat that the Target is affected by and destroy it.  
Bonus: Whenever the user creates a Blessing with a Standard Action, it has one more Activation or lasts one more Round from its listed Duration.</v>
      </c>
      <c r="H364" s="224"/>
      <c r="I364" s="224"/>
      <c r="J364" s="224"/>
      <c r="K364" s="224"/>
      <c r="L364" s="224"/>
      <c r="M364" s="224"/>
      <c r="N364" s="224"/>
      <c r="O364" s="224"/>
      <c r="P364" s="224"/>
      <c r="Q364" s="224"/>
      <c r="R364" s="224"/>
      <c r="S364" s="224"/>
      <c r="T364" s="224"/>
      <c r="U364" s="224"/>
      <c r="V364" s="224"/>
      <c r="W364" s="224"/>
      <c r="X364" s="224"/>
      <c r="Y364" s="224"/>
      <c r="Z364" s="224"/>
    </row>
    <row r="365">
      <c r="A365" s="225" t="str">
        <f>IFERROR(__xludf.DUMMYFUNCTION("""COMPUTED_VALUE"""),"Scorching Strikes")</f>
        <v>Scorching Strikes</v>
      </c>
      <c r="B365" s="225" t="str">
        <f>IFERROR(__xludf.DUMMYFUNCTION("""COMPUTED_VALUE"""),"Scene x2 - Free Action")</f>
        <v>Scene x2 - Free Action</v>
      </c>
      <c r="C365" s="225" t="str">
        <f>IFERROR(__xludf.DUMMYFUNCTION("""COMPUTED_VALUE"""),"Effect: The Target must use a Swift Action in order to perform a Save Check at the end of their Turn and cannot restore Hit Points while Burned this way.
Bonus: The user has a bonus to Effect Ranges equal to Tier Level if a Target has +2 CS or more in any"&amp;" Stat or is Burned. ")</f>
        <v>Effect: The Target must use a Swift Action in order to perform a Save Check at the end of their Turn and cannot restore Hit Points while Burned this way.
Bonus: The user has a bonus to Effect Ranges equal to Tier Level if a Target has +2 CS or more in any Stat or is Burned. </v>
      </c>
      <c r="D365" s="225" t="str">
        <f>IFERROR(__xludf.DUMMYFUNCTION("""COMPUTED_VALUE"""),"The user causes a single Enemy to become Burned")</f>
        <v>The user causes a single Enemy to become Burned</v>
      </c>
      <c r="E365" s="225"/>
      <c r="F365" s="225"/>
      <c r="G365" s="226" t="str">
        <f>IFERROR(__xludf.DUMMYFUNCTION("""COMPUTED_VALUE"""),"Scene x2 - Free Action
Trigger - The user causes a single Enemy to become Burned
Effect: The Target must use a Swift Action in order to perform a Save Check at the end of their Turn and cannot restore Hit Points while Burned this way.
Bonus: The user has "&amp;"a bonus to Effect Ranges equal to Tier Level if a Target has +2 CS or more in any Stat or is Burned. ")</f>
        <v>Scene x2 - Free Action
Trigger - The user causes a single Enemy to become Burned
Effect: The Target must use a Swift Action in order to perform a Save Check at the end of their Turn and cannot restore Hit Points while Burned this way.
Bonus: The user has a bonus to Effect Ranges equal to Tier Level if a Target has +2 CS or more in any Stat or is Burned. </v>
      </c>
      <c r="H365" s="224"/>
      <c r="I365" s="224"/>
      <c r="J365" s="224"/>
      <c r="K365" s="224"/>
      <c r="L365" s="224"/>
      <c r="M365" s="224"/>
      <c r="N365" s="224"/>
      <c r="O365" s="224"/>
      <c r="P365" s="224"/>
      <c r="Q365" s="224"/>
      <c r="R365" s="224"/>
      <c r="S365" s="224"/>
      <c r="T365" s="224"/>
      <c r="U365" s="224"/>
      <c r="V365" s="224"/>
      <c r="W365" s="224"/>
      <c r="X365" s="224"/>
      <c r="Y365" s="224"/>
      <c r="Z365" s="224"/>
    </row>
    <row r="366">
      <c r="A366" s="225" t="str">
        <f>IFERROR(__xludf.DUMMYFUNCTION("""COMPUTED_VALUE"""),"Seasonal")</f>
        <v>Seasonal</v>
      </c>
      <c r="B366" s="225" t="str">
        <f>IFERROR(__xludf.DUMMYFUNCTION("""COMPUTED_VALUE"""),"Static")</f>
        <v>Static</v>
      </c>
      <c r="C366" s="225" t="str">
        <f>IFERROR(__xludf.DUMMYFUNCTION("""COMPUTED_VALUE"""),"Effect: The user’s Ability changes based on the Season.
Spring: Aroma Veil
Summer: Flower Veil
Autumn: Sweet Veil
Winter: Thick Fat")</f>
        <v>Effect: The user’s Ability changes based on the Season.
Spring: Aroma Veil
Summer: Flower Veil
Autumn: Sweet Veil
Winter: Thick Fat</v>
      </c>
      <c r="D366" s="225"/>
      <c r="E366" s="225"/>
      <c r="F366" s="225"/>
      <c r="G366" s="226" t="str">
        <f>IFERROR(__xludf.DUMMYFUNCTION("""COMPUTED_VALUE"""),"Static
Effect: The user’s Ability changes based on the Season.
Spring: Aroma Veil
Summer: Flower Veil
Autumn: Sweet Veil
Winter: Thick Fat")</f>
        <v>Static
Effect: The user’s Ability changes based on the Season.
Spring: Aroma Veil
Summer: Flower Veil
Autumn: Sweet Veil
Winter: Thick Fat</v>
      </c>
      <c r="H366" s="224"/>
      <c r="I366" s="224"/>
      <c r="J366" s="224"/>
      <c r="K366" s="224"/>
      <c r="L366" s="224"/>
      <c r="M366" s="224"/>
      <c r="N366" s="224"/>
      <c r="O366" s="224"/>
      <c r="P366" s="224"/>
      <c r="Q366" s="224"/>
      <c r="R366" s="224"/>
      <c r="S366" s="224"/>
      <c r="T366" s="224"/>
      <c r="U366" s="224"/>
      <c r="V366" s="224"/>
      <c r="W366" s="224"/>
      <c r="X366" s="224"/>
      <c r="Y366" s="224"/>
      <c r="Z366" s="224"/>
    </row>
    <row r="367">
      <c r="A367" s="225" t="str">
        <f>IFERROR(__xludf.DUMMYFUNCTION("""COMPUTED_VALUE"""),"Sentry Units")</f>
        <v>Sentry Units</v>
      </c>
      <c r="B367" s="225" t="str">
        <f>IFERROR(__xludf.DUMMYFUNCTION("""COMPUTED_VALUE"""),"At-Will - Swift Action")</f>
        <v>At-Will - Swift Action</v>
      </c>
      <c r="C367" s="225" t="str">
        <f>IFERROR(__xludf.DUMMYFUNCTION("""COMPUTED_VALUE"""),"Effect: The user creates a Sentry Token in an Adjacent unoccupied space. The user may perform Attacks of Opportunity as if they occupied all spaces their Sentry Tokens are in, ignoring range. The user may originate any Maneuver or Attack from a space that"&amp;" a Sentry Token is occupying. As a Movement Action, the user may slide any number of Sentry Tokens up to 3m each. A Sentry Token is destroyed when Targeted by a Damaging Attack")</f>
        <v>Effect: The user creates a Sentry Token in an Adjacent unoccupied space. The user may perform Attacks of Opportunity as if they occupied all spaces their Sentry Tokens are in, ignoring range. The user may originate any Maneuver or Attack from a space that a Sentry Token is occupying. As a Movement Action, the user may slide any number of Sentry Tokens up to 3m each. A Sentry Token is destroyed when Targeted by a Damaging Attack</v>
      </c>
      <c r="D367" s="225"/>
      <c r="E367" s="225"/>
      <c r="F367" s="225"/>
      <c r="G367" s="226" t="str">
        <f>IFERROR(__xludf.DUMMYFUNCTION("""COMPUTED_VALUE"""),"At-Will - Swift Action
Effect: The user creates a Sentry Token in an Adjacent unoccupied space. The user may perform Attacks of Opportunity as if they occupied all spaces their Sentry Tokens are in, ignoring range. The user may originate any Maneuver or A"&amp;"ttack from a space that a Sentry Token is occupying. As a Movement Action, the user may slide any number of Sentry Tokens up to 3m each. A Sentry Token is destroyed when Targeted by a Damaging Attack")</f>
        <v>At-Will - Swift Action
Effect: The user creates a Sentry Token in an Adjacent unoccupied space. The user may perform Attacks of Opportunity as if they occupied all spaces their Sentry Tokens are in, ignoring range. The user may originate any Maneuver or Attack from a space that a Sentry Token is occupying. As a Movement Action, the user may slide any number of Sentry Tokens up to 3m each. A Sentry Token is destroyed when Targeted by a Damaging Attack</v>
      </c>
      <c r="H367" s="224"/>
      <c r="I367" s="224"/>
      <c r="J367" s="224"/>
      <c r="K367" s="224"/>
      <c r="L367" s="224"/>
      <c r="M367" s="224"/>
      <c r="N367" s="224"/>
      <c r="O367" s="224"/>
      <c r="P367" s="224"/>
      <c r="Q367" s="224"/>
      <c r="R367" s="224"/>
      <c r="S367" s="224"/>
      <c r="T367" s="224"/>
      <c r="U367" s="224"/>
      <c r="V367" s="224"/>
      <c r="W367" s="224"/>
      <c r="X367" s="224"/>
      <c r="Y367" s="224"/>
      <c r="Z367" s="224"/>
    </row>
    <row r="368">
      <c r="A368" s="225" t="str">
        <f>IFERROR(__xludf.DUMMYFUNCTION("""COMPUTED_VALUE"""),"Seed Sower")</f>
        <v>Seed Sower</v>
      </c>
      <c r="B368" s="225" t="str">
        <f>IFERROR(__xludf.DUMMYFUNCTION("""COMPUTED_VALUE"""),"Scene x3 - Free Action")</f>
        <v>Scene x3 - Free Action</v>
      </c>
      <c r="C368" s="225" t="str">
        <f>IFERROR(__xludf.DUMMYFUNCTION("""COMPUTED_VALUE"""),"Connection - Grassy Terrain. 
Effect: Create a 3x3 Zone within 8m of the user. All spaces in the Zone are considered to be affected by the Grassy Terrain Attack. Only the user and Allies are affected by Grassy Terrain created this way. 
Bonus: While the u"&amp;"ser is on Grassy Terrain or the Field is Floral, they have a bonus to Save Checks equal to their Tier Level. ")</f>
        <v>Connection - Grassy Terrain. 
Effect: Create a 3x3 Zone within 8m of the user. All spaces in the Zone are considered to be affected by the Grassy Terrain Attack. Only the user and Allies are affected by Grassy Terrain created this way. 
Bonus: While the user is on Grassy Terrain or the Field is Floral, they have a bonus to Save Checks equal to their Tier Level. </v>
      </c>
      <c r="D368" s="225" t="str">
        <f>IFERROR(__xludf.DUMMYFUNCTION("""COMPUTED_VALUE"""),"The user is hit with an Attack")</f>
        <v>The user is hit with an Attack</v>
      </c>
      <c r="E368" s="225"/>
      <c r="F368" s="225" t="str">
        <f>IFERROR(__xludf.DUMMYFUNCTION("""COMPUTED_VALUE"""),"Defensive")</f>
        <v>Defensive</v>
      </c>
      <c r="G368" s="226" t="str">
        <f>IFERROR(__xludf.DUMMYFUNCTION("""COMPUTED_VALUE"""),"Scene x3 - Free Action
Keywords - Defensive
Trigger - The user is hit with an Attack
Connection - Grassy Terrain. 
Effect: Create a 3x3 Zone within 8m of the user. All spaces in the Zone are considered to be affected by the Grassy Terrain Attack. Only the"&amp;" user and Allies are affected by Grassy Terrain created this way. 
Bonus: While the user is on Grassy Terrain or the Field is Floral, they have a bonus to Save Checks equal to their Tier Level. ")</f>
        <v>Scene x3 - Free Action
Keywords - Defensive
Trigger - The user is hit with an Attack
Connection - Grassy Terrain. 
Effect: Create a 3x3 Zone within 8m of the user. All spaces in the Zone are considered to be affected by the Grassy Terrain Attack. Only the user and Allies are affected by Grassy Terrain created this way. 
Bonus: While the user is on Grassy Terrain or the Field is Floral, they have a bonus to Save Checks equal to their Tier Level. </v>
      </c>
      <c r="H368" s="224"/>
      <c r="I368" s="224"/>
      <c r="J368" s="224"/>
      <c r="K368" s="224"/>
      <c r="L368" s="224"/>
      <c r="M368" s="224"/>
      <c r="N368" s="224"/>
      <c r="O368" s="224"/>
      <c r="P368" s="224"/>
      <c r="Q368" s="224"/>
      <c r="R368" s="224"/>
      <c r="S368" s="224"/>
      <c r="T368" s="224"/>
      <c r="U368" s="224"/>
      <c r="V368" s="224"/>
      <c r="W368" s="224"/>
      <c r="X368" s="224"/>
      <c r="Y368" s="224"/>
      <c r="Z368" s="224"/>
    </row>
    <row r="369">
      <c r="A369" s="225" t="str">
        <f>IFERROR(__xludf.DUMMYFUNCTION("""COMPUTED_VALUE"""),"Serene Grace")</f>
        <v>Serene Grace</v>
      </c>
      <c r="B369" s="225" t="str">
        <f>IFERROR(__xludf.DUMMYFUNCTION("""COMPUTED_VALUE"""),"Static")</f>
        <v>Static</v>
      </c>
      <c r="C369" s="225" t="str">
        <f>IFERROR(__xludf.DUMMYFUNCTION("""COMPUTED_VALUE"""),"Effect: The user has a bonus to Effect Ranges equal to their Tier Level. Whenever the user triggers an Effect Range, they gain a Tick of Temporary Hit Points.")</f>
        <v>Effect: The user has a bonus to Effect Ranges equal to their Tier Level. Whenever the user triggers an Effect Range, they gain a Tick of Temporary Hit Points.</v>
      </c>
      <c r="D369" s="225"/>
      <c r="E369" s="225"/>
      <c r="F369" s="225"/>
      <c r="G369" s="226" t="str">
        <f>IFERROR(__xludf.DUMMYFUNCTION("""COMPUTED_VALUE"""),"Static
Effect: The user has a bonus to Effect Ranges equal to their Tier Level. Whenever the user triggers an Effect Range, they gain a Tick of Temporary Hit Points.")</f>
        <v>Static
Effect: The user has a bonus to Effect Ranges equal to their Tier Level. Whenever the user triggers an Effect Range, they gain a Tick of Temporary Hit Points.</v>
      </c>
      <c r="H369" s="224"/>
      <c r="I369" s="224"/>
      <c r="J369" s="224"/>
      <c r="K369" s="224"/>
      <c r="L369" s="224"/>
      <c r="M369" s="224"/>
      <c r="N369" s="224"/>
      <c r="O369" s="224"/>
      <c r="P369" s="224"/>
      <c r="Q369" s="224"/>
      <c r="R369" s="224"/>
      <c r="S369" s="224"/>
      <c r="T369" s="224"/>
      <c r="U369" s="224"/>
      <c r="V369" s="224"/>
      <c r="W369" s="224"/>
      <c r="X369" s="224"/>
      <c r="Y369" s="224"/>
      <c r="Z369" s="224"/>
    </row>
    <row r="370">
      <c r="A370" s="225" t="str">
        <f>IFERROR(__xludf.DUMMYFUNCTION("""COMPUTED_VALUE"""),"Serpent's Mark")</f>
        <v>Serpent's Mark</v>
      </c>
      <c r="B370" s="225" t="str">
        <f>IFERROR(__xludf.DUMMYFUNCTION("""COMPUTED_VALUE"""),"Static")</f>
        <v>Static</v>
      </c>
      <c r="C370" s="225" t="str">
        <f>IFERROR(__xludf.DUMMYFUNCTION("""COMPUTED_VALUE"""),"Effect: Arbok’s Abilities depend on the Arbok’s hood pattern. To determine its pattern, roll 1d6 upon evolution or upon generation.
1. Attack Pattern - Huge Power
2. Fear Pattern - Regal Challenge
3. Life Pattern - Regenerator
4. Speed Pattern - Accelera"&amp;"te
5. Stealth Pattern - Ambush
6. Toxic Pattern - Deadly Poison")</f>
        <v>Effect: Arbok’s Abilities depend on the Arbok’s hood pattern. To determine its pattern, roll 1d6 upon evolution or upon generation.
1. Attack Pattern - Huge Power
2. Fear Pattern - Regal Challenge
3. Life Pattern - Regenerator
4. Speed Pattern - Accelerate
5. Stealth Pattern - Ambush
6. Toxic Pattern - Deadly Poison</v>
      </c>
      <c r="D370" s="225"/>
      <c r="E370" s="225"/>
      <c r="F370" s="225"/>
      <c r="G370" s="226" t="str">
        <f>IFERROR(__xludf.DUMMYFUNCTION("""COMPUTED_VALUE"""),"Static
Effect: Arbok’s Abilities depend on the Arbok’s hood pattern. To determine its pattern, roll 1d6 upon evolution or upon generation.
1. Attack Pattern - Huge Power
2. Fear Pattern - Regal Challenge
3. Life Pattern - Regenerator
4. Speed Pattern - A"&amp;"ccelerate
5. Stealth Pattern - Ambush
6. Toxic Pattern - Deadly Poison")</f>
        <v>Static
Effect: Arbok’s Abilities depend on the Arbok’s hood pattern. To determine its pattern, roll 1d6 upon evolution or upon generation.
1. Attack Pattern - Huge Power
2. Fear Pattern - Regal Challenge
3. Life Pattern - Regenerator
4. Speed Pattern - Accelerate
5. Stealth Pattern - Ambush
6. Toxic Pattern - Deadly Poison</v>
      </c>
      <c r="H370" s="224"/>
      <c r="I370" s="224"/>
      <c r="J370" s="224"/>
      <c r="K370" s="224"/>
      <c r="L370" s="224"/>
      <c r="M370" s="224"/>
      <c r="N370" s="224"/>
      <c r="O370" s="224"/>
      <c r="P370" s="224"/>
      <c r="Q370" s="224"/>
      <c r="R370" s="224"/>
      <c r="S370" s="224"/>
      <c r="T370" s="224"/>
      <c r="U370" s="224"/>
      <c r="V370" s="224"/>
      <c r="W370" s="224"/>
      <c r="X370" s="224"/>
      <c r="Y370" s="224"/>
      <c r="Z370" s="224"/>
    </row>
    <row r="371">
      <c r="A371" s="225" t="str">
        <f>IFERROR(__xludf.DUMMYFUNCTION("""COMPUTED_VALUE"""),"Shackle")</f>
        <v>Shackle</v>
      </c>
      <c r="B371" s="225" t="str">
        <f>IFERROR(__xludf.DUMMYFUNCTION("""COMPUTED_VALUE"""),"Scene - Swift Action")</f>
        <v>Scene - Swift Action</v>
      </c>
      <c r="C371" s="225" t="str">
        <f>IFERROR(__xludf.DUMMYFUNCTION("""COMPUTED_VALUE"""),"Connection - Destiny Bond. 
Effect: The Marked Enemy becomes Suppressed and Trapped. 
Bonus: Your Ghost Type Attacks have a 15+ Effect Range to Trap all Legal Targets. This Effect Range does not apply to Enemies that are further than 3m away from you.")</f>
        <v>Connection - Destiny Bond. 
Effect: The Marked Enemy becomes Suppressed and Trapped. 
Bonus: Your Ghost Type Attacks have a 15+ Effect Range to Trap all Legal Targets. This Effect Range does not apply to Enemies that are further than 3m away from you.</v>
      </c>
      <c r="D371" s="225" t="str">
        <f>IFERROR(__xludf.DUMMYFUNCTION("""COMPUTED_VALUE"""),"You hit an Enemy with Destiny Bond")</f>
        <v>You hit an Enemy with Destiny Bond</v>
      </c>
      <c r="E371" s="225"/>
      <c r="F371" s="225" t="str">
        <f>IFERROR(__xludf.DUMMYFUNCTION("""COMPUTED_VALUE"""),"Defensive")</f>
        <v>Defensive</v>
      </c>
      <c r="G371" s="226" t="str">
        <f>IFERROR(__xludf.DUMMYFUNCTION("""COMPUTED_VALUE"""),"Scene - Swift Action
Keywords - Defensive
Trigger - You hit an Enemy with Destiny Bond
Connection - Destiny Bond. 
Effect: The Marked Enemy becomes Suppressed and Trapped. 
Bonus: Your Ghost Type Attacks have a 15+ Effect Range to Trap all Legal Targets. "&amp;"This Effect Range does not apply to Enemies that are further than 3m away from you.")</f>
        <v>Scene - Swift Action
Keywords - Defensive
Trigger - You hit an Enemy with Destiny Bond
Connection - Destiny Bond. 
Effect: The Marked Enemy becomes Suppressed and Trapped. 
Bonus: Your Ghost Type Attacks have a 15+ Effect Range to Trap all Legal Targets. This Effect Range does not apply to Enemies that are further than 3m away from you.</v>
      </c>
      <c r="H371" s="224"/>
      <c r="I371" s="224"/>
      <c r="J371" s="224"/>
      <c r="K371" s="224"/>
      <c r="L371" s="224"/>
      <c r="M371" s="224"/>
      <c r="N371" s="224"/>
      <c r="O371" s="224"/>
      <c r="P371" s="224"/>
      <c r="Q371" s="224"/>
      <c r="R371" s="224"/>
      <c r="S371" s="224"/>
      <c r="T371" s="224"/>
      <c r="U371" s="224"/>
      <c r="V371" s="224"/>
      <c r="W371" s="224"/>
      <c r="X371" s="224"/>
      <c r="Y371" s="224"/>
      <c r="Z371" s="224"/>
    </row>
    <row r="372">
      <c r="A372" s="225" t="str">
        <f>IFERROR(__xludf.DUMMYFUNCTION("""COMPUTED_VALUE"""),"Shadow Shield")</f>
        <v>Shadow Shield</v>
      </c>
      <c r="B372" s="225" t="str">
        <f>IFERROR(__xludf.DUMMYFUNCTION("""COMPUTED_VALUE"""),"Scene - Reaction")</f>
        <v>Scene - Reaction</v>
      </c>
      <c r="C372" s="225" t="str">
        <f>IFERROR(__xludf.DUMMYFUNCTION("""COMPUTED_VALUE"""),"Effect: The Target of the Triggering Attack gains 3 Ticks of Temporary Hit Points. If the user is in Foggy Weather, you may choose to not expend the Frequency of Shadow Shield but it only Triggers against non-Adjacent Damaging Attacks.")</f>
        <v>Effect: The Target of the Triggering Attack gains 3 Ticks of Temporary Hit Points. If the user is in Foggy Weather, you may choose to not expend the Frequency of Shadow Shield but it only Triggers against non-Adjacent Damaging Attacks.</v>
      </c>
      <c r="D372" s="225" t="str">
        <f>IFERROR(__xludf.DUMMYFUNCTION("""COMPUTED_VALUE"""),"The user or an Ally within 2m is hit by a Damaging 1-Target Attack ")</f>
        <v>The user or an Ally within 2m is hit by a Damaging 1-Target Attack </v>
      </c>
      <c r="E372" s="225"/>
      <c r="F372" s="225" t="str">
        <f>IFERROR(__xludf.DUMMYFUNCTION("""COMPUTED_VALUE"""),"Defensive")</f>
        <v>Defensive</v>
      </c>
      <c r="G372" s="226" t="str">
        <f>IFERROR(__xludf.DUMMYFUNCTION("""COMPUTED_VALUE"""),"Scene - Reaction
Keywords - Defensive
Trigger - The user or an Ally within 2m is hit by a Damaging 1-Target Attack 
Effect: The Target of the Triggering Attack gains 3 Ticks of Temporary Hit Points. If the user is in Foggy Weather, you may choose to not e"&amp;"xpend the Frequency of Shadow Shield but it only Triggers against non-Adjacent Damaging Attacks.")</f>
        <v>Scene - Reaction
Keywords - Defensive
Trigger - The user or an Ally within 2m is hit by a Damaging 1-Target Attack 
Effect: The Target of the Triggering Attack gains 3 Ticks of Temporary Hit Points. If the user is in Foggy Weather, you may choose to not expend the Frequency of Shadow Shield but it only Triggers against non-Adjacent Damaging Attacks.</v>
      </c>
      <c r="H372" s="224"/>
      <c r="I372" s="224"/>
      <c r="J372" s="224"/>
      <c r="K372" s="224"/>
      <c r="L372" s="224"/>
      <c r="M372" s="224"/>
      <c r="N372" s="224"/>
      <c r="O372" s="224"/>
      <c r="P372" s="224"/>
      <c r="Q372" s="224"/>
      <c r="R372" s="224"/>
      <c r="S372" s="224"/>
      <c r="T372" s="224"/>
      <c r="U372" s="224"/>
      <c r="V372" s="224"/>
      <c r="W372" s="224"/>
      <c r="X372" s="224"/>
      <c r="Y372" s="224"/>
      <c r="Z372" s="224"/>
    </row>
    <row r="373">
      <c r="A373" s="225" t="str">
        <f>IFERROR(__xludf.DUMMYFUNCTION("""COMPUTED_VALUE"""),"Shadow Tag")</f>
        <v>Shadow Tag</v>
      </c>
      <c r="B373" s="225" t="str">
        <f>IFERROR(__xludf.DUMMYFUNCTION("""COMPUTED_VALUE"""),"At-Will - Swift Action")</f>
        <v>At-Will - Swift Action</v>
      </c>
      <c r="C373" s="225" t="str">
        <f>IFERROR(__xludf.DUMMYFUNCTION("""COMPUTED_VALUE"""),"Effect: The Target is considered to be Trapped as if it was Inflicted by their Shadow (Their current space). The Trapped Condition inflicted this way may be cured as a Swift+Movement Action.")</f>
        <v>Effect: The Target is considered to be Trapped as if it was Inflicted by their Shadow (Their current space). The Trapped Condition inflicted this way may be cured as a Swift+Movement Action.</v>
      </c>
      <c r="D373" s="225"/>
      <c r="E373" s="225" t="str">
        <f>IFERROR(__xludf.DUMMYFUNCTION("""COMPUTED_VALUE"""),"An adjacent Trainer or Pokémon")</f>
        <v>An adjacent Trainer or Pokémon</v>
      </c>
      <c r="F373" s="225"/>
      <c r="G373" s="226" t="str">
        <f>IFERROR(__xludf.DUMMYFUNCTION("""COMPUTED_VALUE"""),"At-Will - Swift Action
Target - An adjacent Trainer or Pokémon
Effect: The Target is considered to be Trapped as if it was Inflicted by their Shadow (Their current space). The Trapped Condition inflicted this way may be cured as a Swift+Movement Action.")</f>
        <v>At-Will - Swift Action
Target - An adjacent Trainer or Pokémon
Effect: The Target is considered to be Trapped as if it was Inflicted by their Shadow (Their current space). The Trapped Condition inflicted this way may be cured as a Swift+Movement Action.</v>
      </c>
      <c r="H373" s="224"/>
      <c r="I373" s="224"/>
      <c r="J373" s="224"/>
      <c r="K373" s="224"/>
      <c r="L373" s="224"/>
      <c r="M373" s="224"/>
      <c r="N373" s="224"/>
      <c r="O373" s="224"/>
      <c r="P373" s="224"/>
      <c r="Q373" s="224"/>
      <c r="R373" s="224"/>
      <c r="S373" s="224"/>
      <c r="T373" s="224"/>
      <c r="U373" s="224"/>
      <c r="V373" s="224"/>
      <c r="W373" s="224"/>
      <c r="X373" s="224"/>
      <c r="Y373" s="224"/>
      <c r="Z373" s="224"/>
    </row>
    <row r="374">
      <c r="A374" s="225" t="str">
        <f>IFERROR(__xludf.DUMMYFUNCTION("""COMPUTED_VALUE"""),"Shed Skin")</f>
        <v>Shed Skin</v>
      </c>
      <c r="B374" s="225" t="str">
        <f>IFERROR(__xludf.DUMMYFUNCTION("""COMPUTED_VALUE"""),"At-Will - Swift or Movement Action  ")</f>
        <v>At-Will - Swift or Movement Action  </v>
      </c>
      <c r="C374" s="225" t="str">
        <f>IFERROR(__xludf.DUMMYFUNCTION("""COMPUTED_VALUE"""),"Effect: The user loses all Temporary Hit Points and loses a Tick of HIt Points, then if they lost Hit Points this way, they are cured of a Physical Affliction.")</f>
        <v>Effect: The user loses all Temporary Hit Points and loses a Tick of HIt Points, then if they lost Hit Points this way, they are cured of a Physical Affliction.</v>
      </c>
      <c r="D374" s="225"/>
      <c r="E374" s="225"/>
      <c r="F374" s="225"/>
      <c r="G374" s="226" t="str">
        <f>IFERROR(__xludf.DUMMYFUNCTION("""COMPUTED_VALUE"""),"At-Will - Swift or Movement Action  
Effect: The user loses all Temporary Hit Points and loses a Tick of HIt Points, then if they lost Hit Points this way, they are cured of a Physical Affliction.")</f>
        <v>At-Will - Swift or Movement Action  
Effect: The user loses all Temporary Hit Points and loses a Tick of HIt Points, then if they lost Hit Points this way, they are cured of a Physical Affliction.</v>
      </c>
      <c r="H374" s="224"/>
      <c r="I374" s="224"/>
      <c r="J374" s="224"/>
      <c r="K374" s="224"/>
      <c r="L374" s="224"/>
      <c r="M374" s="224"/>
      <c r="N374" s="224"/>
      <c r="O374" s="224"/>
      <c r="P374" s="224"/>
      <c r="Q374" s="224"/>
      <c r="R374" s="224"/>
      <c r="S374" s="224"/>
      <c r="T374" s="224"/>
      <c r="U374" s="224"/>
      <c r="V374" s="224"/>
      <c r="W374" s="224"/>
      <c r="X374" s="224"/>
      <c r="Y374" s="224"/>
      <c r="Z374" s="224"/>
    </row>
    <row r="375">
      <c r="A375" s="225" t="str">
        <f>IFERROR(__xludf.DUMMYFUNCTION("""COMPUTED_VALUE"""),"Sheer Force")</f>
        <v>Sheer Force</v>
      </c>
      <c r="B375" s="225" t="str">
        <f>IFERROR(__xludf.DUMMYFUNCTION("""COMPUTED_VALUE"""),"Static")</f>
        <v>Static</v>
      </c>
      <c r="C375" s="225" t="str">
        <f>IFERROR(__xludf.DUMMYFUNCTION("""COMPUTED_VALUE"""),"Effect: All of the user’s Damaging Attacks have their Effects Ranges replaced with the following text. “On a 17+, this Attack is one step more effective but cannot exceed 1.5x”. Effect Ranges Modifiers cannot apply to this Effect Range. Whenever the user "&amp;"hits a Damaging Attack that did not Trigger this Effect Range, they have a Damage Bonus equal to their Tier Value. ")</f>
        <v>Effect: All of the user’s Damaging Attacks have their Effects Ranges replaced with the following text. “On a 17+, this Attack is one step more effective but cannot exceed 1.5x”. Effect Ranges Modifiers cannot apply to this Effect Range. Whenever the user hits a Damaging Attack that did not Trigger this Effect Range, they have a Damage Bonus equal to their Tier Value. </v>
      </c>
      <c r="D375" s="225"/>
      <c r="E375" s="225"/>
      <c r="F375" s="225"/>
      <c r="G375" s="226" t="str">
        <f>IFERROR(__xludf.DUMMYFUNCTION("""COMPUTED_VALUE"""),"Static
Effect: All of the user’s Damaging Attacks have their Effects Ranges replaced with the following text. “On a 17+, this Attack is one step more effective but cannot exceed 1.5x”. Effect Ranges Modifiers cannot apply to this Effect Range. Whenever th"&amp;"e user hits a Damaging Attack that did not Trigger this Effect Range, they have a Damage Bonus equal to their Tier Value. ")</f>
        <v>Static
Effect: All of the user’s Damaging Attacks have their Effects Ranges replaced with the following text. “On a 17+, this Attack is one step more effective but cannot exceed 1.5x”. Effect Ranges Modifiers cannot apply to this Effect Range. Whenever the user hits a Damaging Attack that did not Trigger this Effect Range, they have a Damage Bonus equal to their Tier Value. </v>
      </c>
      <c r="H375" s="224"/>
      <c r="I375" s="224"/>
      <c r="J375" s="224"/>
      <c r="K375" s="224"/>
      <c r="L375" s="224"/>
      <c r="M375" s="224"/>
      <c r="N375" s="224"/>
      <c r="O375" s="224"/>
      <c r="P375" s="224"/>
      <c r="Q375" s="224"/>
      <c r="R375" s="224"/>
      <c r="S375" s="224"/>
      <c r="T375" s="224"/>
      <c r="U375" s="224"/>
      <c r="V375" s="224"/>
      <c r="W375" s="224"/>
      <c r="X375" s="224"/>
      <c r="Y375" s="224"/>
      <c r="Z375" s="224"/>
    </row>
    <row r="376">
      <c r="A376" s="225" t="str">
        <f>IFERROR(__xludf.DUMMYFUNCTION("""COMPUTED_VALUE"""),"Shell Armor")</f>
        <v>Shell Armor</v>
      </c>
      <c r="B376" s="225" t="str">
        <f>IFERROR(__xludf.DUMMYFUNCTION("""COMPUTED_VALUE"""),"At-Will - Reaction")</f>
        <v>At-Will - Reaction</v>
      </c>
      <c r="C376" s="225" t="str">
        <f>IFERROR(__xludf.DUMMYFUNCTION("""COMPUTED_VALUE"""),"Effect: The user gains a Tick of Temporary Hit Points, however the user's next Damaging Attack has its damage reduced by their Tick value (Rounded Down).")</f>
        <v>Effect: The user gains a Tick of Temporary Hit Points, however the user's next Damaging Attack has its damage reduced by their Tick value (Rounded Down).</v>
      </c>
      <c r="D376" s="225" t="str">
        <f>IFERROR(__xludf.DUMMYFUNCTION("""COMPUTED_VALUE"""),"The user is hit by a Damaging Attack")</f>
        <v>The user is hit by a Damaging Attack</v>
      </c>
      <c r="E376" s="225"/>
      <c r="F376" s="225" t="str">
        <f>IFERROR(__xludf.DUMMYFUNCTION("""COMPUTED_VALUE"""),"Defensive")</f>
        <v>Defensive</v>
      </c>
      <c r="G376" s="226" t="str">
        <f>IFERROR(__xludf.DUMMYFUNCTION("""COMPUTED_VALUE"""),"At-Will - Reaction
Keywords - Defensive
Trigger - The user is hit by a Damaging Attack
Effect: The user gains a Tick of Temporary Hit Points, however the user's next Damaging Attack has its damage reduced by their Tick value (Rounded Down).")</f>
        <v>At-Will - Reaction
Keywords - Defensive
Trigger - The user is hit by a Damaging Attack
Effect: The user gains a Tick of Temporary Hit Points, however the user's next Damaging Attack has its damage reduced by their Tick value (Rounded Down).</v>
      </c>
      <c r="H376" s="224"/>
      <c r="I376" s="224"/>
      <c r="J376" s="224"/>
      <c r="K376" s="224"/>
      <c r="L376" s="224"/>
      <c r="M376" s="224"/>
      <c r="N376" s="224"/>
      <c r="O376" s="224"/>
      <c r="P376" s="224"/>
      <c r="Q376" s="224"/>
      <c r="R376" s="224"/>
      <c r="S376" s="224"/>
      <c r="T376" s="224"/>
      <c r="U376" s="224"/>
      <c r="V376" s="224"/>
      <c r="W376" s="224"/>
      <c r="X376" s="224"/>
      <c r="Y376" s="224"/>
      <c r="Z376" s="224"/>
    </row>
    <row r="377">
      <c r="A377" s="225" t="str">
        <f>IFERROR(__xludf.DUMMYFUNCTION("""COMPUTED_VALUE"""),"Shell Shield")</f>
        <v>Shell Shield</v>
      </c>
      <c r="B377" s="225" t="str">
        <f>IFERROR(__xludf.DUMMYFUNCTION("""COMPUTED_VALUE"""),"Scene x2 - Free Action")</f>
        <v>Scene x2 - Free Action</v>
      </c>
      <c r="C377" s="225" t="str">
        <f>IFERROR(__xludf.DUMMYFUNCTION("""COMPUTED_VALUE"""),"Connection - WIthdraw. 
Effect: The user gains a Shelled Coat that can be expended as a Reaction upon being hit with a Physical Attack. That Attack is resisted by an additional step. 
Bonus: While the user has a Shelled or Withdrawn Coat, they have Damage"&amp;" Reduction equal to their Tier Value. 
")</f>
        <v>Connection - WIthdraw. 
Effect: The user gains a Shelled Coat that can be expended as a Reaction upon being hit with a Physical Attack. That Attack is resisted by an additional step. 
Bonus: While the user has a Shelled or Withdrawn Coat, they have Damage Reduction equal to their Tier Value. 
</v>
      </c>
      <c r="D377" s="225" t="str">
        <f>IFERROR(__xludf.DUMMYFUNCTION("""COMPUTED_VALUE"""),"The user uses a ""Self"" Range Attack")</f>
        <v>The user uses a "Self" Range Attack</v>
      </c>
      <c r="E377" s="225"/>
      <c r="F377" s="225"/>
      <c r="G377" s="226" t="str">
        <f>IFERROR(__xludf.DUMMYFUNCTION("""COMPUTED_VALUE"""),"Scene x2 - Free Action
Trigger - The user uses a ""Self"" Range Attack
Connection - WIthdraw. 
Effect: The user gains a Shelled Coat that can be expended as a Reaction upon being hit with a Physical Attack. That Attack is resisted by an additional step. 
"&amp;"Bonus: While the user has a Shelled or Withdrawn Coat, they have Damage Reduction equal to their Tier Value. 
")</f>
        <v>Scene x2 - Free Action
Trigger - The user uses a "Self" Range Attack
Connection - WIthdraw. 
Effect: The user gains a Shelled Coat that can be expended as a Reaction upon being hit with a Physical Attack. That Attack is resisted by an additional step. 
Bonus: While the user has a Shelled or Withdrawn Coat, they have Damage Reduction equal to their Tier Value. 
</v>
      </c>
      <c r="H377" s="224"/>
      <c r="I377" s="224"/>
      <c r="J377" s="224"/>
      <c r="K377" s="224"/>
      <c r="L377" s="224"/>
      <c r="M377" s="224"/>
      <c r="N377" s="224"/>
      <c r="O377" s="224"/>
      <c r="P377" s="224"/>
      <c r="Q377" s="224"/>
      <c r="R377" s="224"/>
      <c r="S377" s="224"/>
      <c r="T377" s="224"/>
      <c r="U377" s="224"/>
      <c r="V377" s="224"/>
      <c r="W377" s="224"/>
      <c r="X377" s="224"/>
      <c r="Y377" s="224"/>
      <c r="Z377" s="224"/>
    </row>
    <row r="378">
      <c r="A378" s="225" t="str">
        <f>IFERROR(__xludf.DUMMYFUNCTION("""COMPUTED_VALUE"""),"Shields Down")</f>
        <v>Shields Down</v>
      </c>
      <c r="B378" s="225" t="str">
        <f>IFERROR(__xludf.DUMMYFUNCTION("""COMPUTED_VALUE"""),"Static")</f>
        <v>Static</v>
      </c>
      <c r="C378" s="225" t="str">
        <f>IFERROR(__xludf.DUMMYFUNCTION("""COMPUTED_VALUE"""),"Effect: While the user has more than 50% Hit Points, they remain in their Meteor Form. When they fall below 50% Hit Points, they change to their Core Form until the end of the Scene. While in their Meteor Form, they are Immune to Physical Afflictions. Whe"&amp;"n the user enters Core Form, their Defense Combat Stages may switch with their Attack CS and their Special Defense CS may switch with their Special Attack CS.")</f>
        <v>Effect: While the user has more than 50% Hit Points, they remain in their Meteor Form. When they fall below 50% Hit Points, they change to their Core Form until the end of the Scene. While in their Meteor Form, they are Immune to Physical Afflictions. When the user enters Core Form, their Defense Combat Stages may switch with their Attack CS and their Special Defense CS may switch with their Special Attack CS.</v>
      </c>
      <c r="D378" s="225"/>
      <c r="E378" s="225"/>
      <c r="F378" s="225" t="str">
        <f>IFERROR(__xludf.DUMMYFUNCTION("""COMPUTED_VALUE"""),"Innate")</f>
        <v>Innate</v>
      </c>
      <c r="G378" s="226" t="str">
        <f>IFERROR(__xludf.DUMMYFUNCTION("""COMPUTED_VALUE"""),"Static
Keywords - Innate
Effect: While the user has more than 50% Hit Points, they remain in their Meteor Form. When they fall below 50% Hit Points, they change to their Core Form until the end of the Scene. While in their Meteor Form, they are Immune to "&amp;"Physical Afflictions. When the user enters Core Form, their Defense Combat Stages may switch with their Attack CS and their Special Defense CS may switch with their Special Attack CS.")</f>
        <v>Static
Keywords - Innate
Effect: While the user has more than 50% Hit Points, they remain in their Meteor Form. When they fall below 50% Hit Points, they change to their Core Form until the end of the Scene. While in their Meteor Form, they are Immune to Physical Afflictions. When the user enters Core Form, their Defense Combat Stages may switch with their Attack CS and their Special Defense CS may switch with their Special Attack CS.</v>
      </c>
      <c r="H378" s="224"/>
      <c r="I378" s="224"/>
      <c r="J378" s="224"/>
      <c r="K378" s="224"/>
      <c r="L378" s="224"/>
      <c r="M378" s="224"/>
      <c r="N378" s="224"/>
      <c r="O378" s="224"/>
      <c r="P378" s="224"/>
      <c r="Q378" s="224"/>
      <c r="R378" s="224"/>
      <c r="S378" s="224"/>
      <c r="T378" s="224"/>
      <c r="U378" s="224"/>
      <c r="V378" s="224"/>
      <c r="W378" s="224"/>
      <c r="X378" s="224"/>
      <c r="Y378" s="224"/>
      <c r="Z378" s="224"/>
    </row>
    <row r="379">
      <c r="A379" s="225" t="str">
        <f>IFERROR(__xludf.DUMMYFUNCTION("""COMPUTED_VALUE"""),"Silk Threads")</f>
        <v>Silk Threads</v>
      </c>
      <c r="B379" s="225" t="str">
        <f>IFERROR(__xludf.DUMMYFUNCTION("""COMPUTED_VALUE"""),"At-Will - Swift Action")</f>
        <v>At-Will - Swift Action</v>
      </c>
      <c r="C379" s="225" t="str">
        <f>IFERROR(__xludf.DUMMYFUNCTION("""COMPUTED_VALUE"""),"Connection - String Shot. 
Effect: Choose an unoccupied Space within 3m of the Target to create a Silk Hazard. This Hazard has 1 HP but may be destroyed as a Swift Action by an Adjacent Enemy. While Hazard is not destroyed, the Target is Trapped by it. Th"&amp;"e Target however may ignore the Trapped Condition, moving more than 3m away from the Silk Hazard, but if they do, the Silk Hazard is destroyed then the Target becomes Slowed. 
Bonus: As a Movement Action, the user may create Slowed Terrain in a Close Blas"&amp;"t 2 range. ")</f>
        <v>Connection - String Shot. 
Effect: Choose an unoccupied Space within 3m of the Target to create a Silk Hazard. This Hazard has 1 HP but may be destroyed as a Swift Action by an Adjacent Enemy. While Hazard is not destroyed, the Target is Trapped by it. The Target however may ignore the Trapped Condition, moving more than 3m away from the Silk Hazard, but if they do, the Silk Hazard is destroyed then the Target becomes Slowed. 
Bonus: As a Movement Action, the user may create Slowed Terrain in a Close Blast 2 range. </v>
      </c>
      <c r="D379" s="225" t="str">
        <f>IFERROR(__xludf.DUMMYFUNCTION("""COMPUTED_VALUE"""),"The user hits a Single Enemy with an Attack
")</f>
        <v>The user hits a Single Enemy with an Attack
</v>
      </c>
      <c r="E379" s="225"/>
      <c r="F379" s="225"/>
      <c r="G379" s="226" t="str">
        <f>IFERROR(__xludf.DUMMYFUNCTION("""COMPUTED_VALUE"""),"At-Will - Swift Action
Trigger - The user hits a Single Enemy with an Attack
Connection - String Shot. 
Effect: Choose an unoccupied Space within 3m of the Target to create a Silk Hazard. This Hazard has 1 HP but may be destroyed as a Swift Action by an "&amp;"Adjacent Enemy. While Hazard is not destroyed, the Target is Trapped by it. The Target however may ignore the Trapped Condition, moving more than 3m away from the Silk Hazard, but if they do, the Silk Hazard is destroyed then the Target becomes Slowed. 
B"&amp;"onus: As a Movement Action, the user may create Slowed Terrain in a Close Blast 2 range. ")</f>
        <v>At-Will - Swift Action
Trigger - The user hits a Single Enemy with an Attack
Connection - String Shot. 
Effect: Choose an unoccupied Space within 3m of the Target to create a Silk Hazard. This Hazard has 1 HP but may be destroyed as a Swift Action by an Adjacent Enemy. While Hazard is not destroyed, the Target is Trapped by it. The Target however may ignore the Trapped Condition, moving more than 3m away from the Silk Hazard, but if they do, the Silk Hazard is destroyed then the Target becomes Slowed. 
Bonus: As a Movement Action, the user may create Slowed Terrain in a Close Blast 2 range. </v>
      </c>
      <c r="H379" s="224"/>
      <c r="I379" s="224"/>
      <c r="J379" s="224"/>
      <c r="K379" s="224"/>
      <c r="L379" s="224"/>
      <c r="M379" s="224"/>
      <c r="N379" s="224"/>
      <c r="O379" s="224"/>
      <c r="P379" s="224"/>
      <c r="Q379" s="224"/>
      <c r="R379" s="224"/>
      <c r="S379" s="224"/>
      <c r="T379" s="224"/>
      <c r="U379" s="224"/>
      <c r="V379" s="224"/>
      <c r="W379" s="224"/>
      <c r="X379" s="224"/>
      <c r="Y379" s="224"/>
      <c r="Z379" s="224"/>
    </row>
    <row r="380">
      <c r="A380" s="225" t="str">
        <f>IFERROR(__xludf.DUMMYFUNCTION("""COMPUTED_VALUE"""),"Simple")</f>
        <v>Simple</v>
      </c>
      <c r="B380" s="225" t="str">
        <f>IFERROR(__xludf.DUMMYFUNCTION("""COMPUTED_VALUE"""),"Static")</f>
        <v>Static</v>
      </c>
      <c r="C380" s="225" t="str">
        <f>IFERROR(__xludf.DUMMYFUNCTION("""COMPUTED_VALUE"""),"Effect: The first time the user would gain CS through an Attack or Ability each Round, it is increased by +1. The first time the user would lose CS through an Attack or Ability each Round, they lose an additional -1 CS in that Stat. ")</f>
        <v>Effect: The first time the user would gain CS through an Attack or Ability each Round, it is increased by +1. The first time the user would lose CS through an Attack or Ability each Round, they lose an additional -1 CS in that Stat. </v>
      </c>
      <c r="D380" s="225"/>
      <c r="E380" s="225"/>
      <c r="F380" s="225"/>
      <c r="G380" s="226" t="str">
        <f>IFERROR(__xludf.DUMMYFUNCTION("""COMPUTED_VALUE"""),"Static
Effect: The first time the user would gain CS through an Attack or Ability each Round, it is increased by +1. The first time the user would lose CS through an Attack or Ability each Round, they lose an additional -1 CS in that Stat. ")</f>
        <v>Static
Effect: The first time the user would gain CS through an Attack or Ability each Round, it is increased by +1. The first time the user would lose CS through an Attack or Ability each Round, they lose an additional -1 CS in that Stat. </v>
      </c>
      <c r="H380" s="224"/>
      <c r="I380" s="224"/>
      <c r="J380" s="224"/>
      <c r="K380" s="224"/>
      <c r="L380" s="224"/>
      <c r="M380" s="224"/>
      <c r="N380" s="224"/>
      <c r="O380" s="224"/>
      <c r="P380" s="224"/>
      <c r="Q380" s="224"/>
      <c r="R380" s="224"/>
      <c r="S380" s="224"/>
      <c r="T380" s="224"/>
      <c r="U380" s="224"/>
      <c r="V380" s="224"/>
      <c r="W380" s="224"/>
      <c r="X380" s="224"/>
      <c r="Y380" s="224"/>
      <c r="Z380" s="224"/>
    </row>
    <row r="381">
      <c r="A381" s="225" t="str">
        <f>IFERROR(__xludf.DUMMYFUNCTION("""COMPUTED_VALUE"""),"Sky Diver")</f>
        <v>Sky Diver</v>
      </c>
      <c r="B381" s="225" t="str">
        <f>IFERROR(__xludf.DUMMYFUNCTION("""COMPUTED_VALUE"""),"Scene x2 - Swift Action")</f>
        <v>Scene x2 - Swift Action</v>
      </c>
      <c r="C381" s="225" t="str">
        <f>IFERROR(__xludf.DUMMYFUNCTION("""COMPUTED_VALUE"""),"Effect: The user’s next Damaging Attack has its Range changed to Burst 1, Burst 2 or Melee, Pass. Enemies cannot apply Physical or Special Evasion against this Attack..")</f>
        <v>Effect: The user’s next Damaging Attack has its Range changed to Burst 1, Burst 2 or Melee, Pass. Enemies cannot apply Physical or Special Evasion against this Attack..</v>
      </c>
      <c r="D381" s="225"/>
      <c r="E381" s="225"/>
      <c r="F381" s="225"/>
      <c r="G381" s="226" t="str">
        <f>IFERROR(__xludf.DUMMYFUNCTION("""COMPUTED_VALUE"""),"Scene x2 - Swift Action
Effect: The user’s next Damaging Attack has its Range changed to Burst 1, Burst 2 or Melee, Pass. Enemies cannot apply Physical or Special Evasion against this Attack..")</f>
        <v>Scene x2 - Swift Action
Effect: The user’s next Damaging Attack has its Range changed to Burst 1, Burst 2 or Melee, Pass. Enemies cannot apply Physical or Special Evasion against this Attack..</v>
      </c>
      <c r="H381" s="224"/>
      <c r="I381" s="224"/>
      <c r="J381" s="224"/>
      <c r="K381" s="224"/>
      <c r="L381" s="224"/>
      <c r="M381" s="224"/>
      <c r="N381" s="224"/>
      <c r="O381" s="224"/>
      <c r="P381" s="224"/>
      <c r="Q381" s="224"/>
      <c r="R381" s="224"/>
      <c r="S381" s="224"/>
      <c r="T381" s="224"/>
      <c r="U381" s="224"/>
      <c r="V381" s="224"/>
      <c r="W381" s="224"/>
      <c r="X381" s="224"/>
      <c r="Y381" s="224"/>
      <c r="Z381" s="224"/>
    </row>
    <row r="382">
      <c r="A382" s="225" t="str">
        <f>IFERROR(__xludf.DUMMYFUNCTION("""COMPUTED_VALUE"""),"Slush Rush")</f>
        <v>Slush Rush</v>
      </c>
      <c r="B382" s="225" t="str">
        <f>IFERROR(__xludf.DUMMYFUNCTION("""COMPUTED_VALUE"""),"Static")</f>
        <v>Static</v>
      </c>
      <c r="C382" s="225" t="str">
        <f>IFERROR(__xludf.DUMMYFUNCTION("""COMPUTED_VALUE"""),"Effect: The user may perform Ice Type Attacks as if they had the Priority Keyword. While the Weather is Snowy, the user cannot trigger Attacks of Opportunity and cannot be Slowed.")</f>
        <v>Effect: The user may perform Ice Type Attacks as if they had the Priority Keyword. While the Weather is Snowy, the user cannot trigger Attacks of Opportunity and cannot be Slowed.</v>
      </c>
      <c r="D382" s="225"/>
      <c r="E382" s="225"/>
      <c r="F382" s="225"/>
      <c r="G382" s="226" t="str">
        <f>IFERROR(__xludf.DUMMYFUNCTION("""COMPUTED_VALUE"""),"Static
Effect: The user may perform Ice Type Attacks as if they had the Priority Keyword. While the Weather is Snowy, the user cannot trigger Attacks of Opportunity and cannot be Slowed.")</f>
        <v>Static
Effect: The user may perform Ice Type Attacks as if they had the Priority Keyword. While the Weather is Snowy, the user cannot trigger Attacks of Opportunity and cannot be Slowed.</v>
      </c>
      <c r="H382" s="224"/>
      <c r="I382" s="224"/>
      <c r="J382" s="224"/>
      <c r="K382" s="224"/>
      <c r="L382" s="224"/>
      <c r="M382" s="224"/>
      <c r="N382" s="224"/>
      <c r="O382" s="224"/>
      <c r="P382" s="224"/>
      <c r="Q382" s="224"/>
      <c r="R382" s="224"/>
      <c r="S382" s="224"/>
      <c r="T382" s="224"/>
      <c r="U382" s="224"/>
      <c r="V382" s="224"/>
      <c r="W382" s="224"/>
      <c r="X382" s="224"/>
      <c r="Y382" s="224"/>
      <c r="Z382" s="224"/>
    </row>
    <row r="383">
      <c r="A383" s="225" t="str">
        <f>IFERROR(__xludf.DUMMYFUNCTION("""COMPUTED_VALUE"""),"Sniper")</f>
        <v>Sniper</v>
      </c>
      <c r="B383" s="225" t="str">
        <f>IFERROR(__xludf.DUMMYFUNCTION("""COMPUTED_VALUE"""),"Scene - Movement Action + Reaction")</f>
        <v>Scene - Movement Action + Reaction</v>
      </c>
      <c r="C383" s="225" t="str">
        <f>IFERROR(__xludf.DUMMYFUNCTION("""COMPUTED_VALUE"""),"Effect: The user’s next Ranged 1-Target Attack gains the Sureshot Keyword. If the user has no Combatants within 2m of them, the Frequency of this Ability is not expended.
Bonus: If the user Critically hits a Ranged 1-Target Attack, they gain a Damage Bonu"&amp;"s equal to their Tier Value. 
")</f>
        <v>Effect: The user’s next Ranged 1-Target Attack gains the Sureshot Keyword. If the user has no Combatants within 2m of them, the Frequency of this Ability is not expended.
Bonus: If the user Critically hits a Ranged 1-Target Attack, they gain a Damage Bonus equal to their Tier Value. 
</v>
      </c>
      <c r="D383" s="225"/>
      <c r="E383" s="225"/>
      <c r="F383" s="225"/>
      <c r="G383" s="226" t="str">
        <f>IFERROR(__xludf.DUMMYFUNCTION("""COMPUTED_VALUE"""),"Scene - Movement Action + Reaction
Effect: The user’s next Ranged 1-Target Attack gains the Sureshot Keyword. If the user has no Combatants within 2m of them, the Frequency of this Ability is not expended.
Bonus: If the user Critically hits a Ranged 1-Tar"&amp;"get Attack, they gain a Damage Bonus equal to their Tier Value. 
")</f>
        <v>Scene - Movement Action + Reaction
Effect: The user’s next Ranged 1-Target Attack gains the Sureshot Keyword. If the user has no Combatants within 2m of them, the Frequency of this Ability is not expended.
Bonus: If the user Critically hits a Ranged 1-Target Attack, they gain a Damage Bonus equal to their Tier Value. 
</v>
      </c>
      <c r="H383" s="224"/>
      <c r="I383" s="224"/>
      <c r="J383" s="224"/>
      <c r="K383" s="224"/>
      <c r="L383" s="224"/>
      <c r="M383" s="224"/>
      <c r="N383" s="224"/>
      <c r="O383" s="224"/>
      <c r="P383" s="224"/>
      <c r="Q383" s="224"/>
      <c r="R383" s="224"/>
      <c r="S383" s="224"/>
      <c r="T383" s="224"/>
      <c r="U383" s="224"/>
      <c r="V383" s="224"/>
      <c r="W383" s="224"/>
      <c r="X383" s="224"/>
      <c r="Y383" s="224"/>
      <c r="Z383" s="224"/>
    </row>
    <row r="384">
      <c r="A384" s="225" t="str">
        <f>IFERROR(__xludf.DUMMYFUNCTION("""COMPUTED_VALUE"""),"Snow Cloak")</f>
        <v>Snow Cloak</v>
      </c>
      <c r="B384" s="225" t="str">
        <f>IFERROR(__xludf.DUMMYFUNCTION("""COMPUTED_VALUE"""),"Static")</f>
        <v>Static</v>
      </c>
      <c r="C384" s="225" t="str">
        <f>IFERROR(__xludf.DUMMYFUNCTION("""COMPUTED_VALUE"""),"Effect: The user and allies within 2m have a bonus to Evasion equal to your Tier Level. While the Weather is Snowy or the user is in Tundra Terrain, they are Immune to Critical Hits, instead becoming normal hits.  ")</f>
        <v>Effect: The user and allies within 2m have a bonus to Evasion equal to your Tier Level. While the Weather is Snowy or the user is in Tundra Terrain, they are Immune to Critical Hits, instead becoming normal hits.  </v>
      </c>
      <c r="D384" s="225"/>
      <c r="E384" s="225"/>
      <c r="F384" s="225" t="str">
        <f>IFERROR(__xludf.DUMMYFUNCTION("""COMPUTED_VALUE"""),"Defensive")</f>
        <v>Defensive</v>
      </c>
      <c r="G384" s="226" t="str">
        <f>IFERROR(__xludf.DUMMYFUNCTION("""COMPUTED_VALUE"""),"Static
Keywords - Defensive
Effect: The user and allies within 2m have a bonus to Evasion equal to your Tier Level. While the Weather is Snowy or the user is in Tundra Terrain, they are Immune to Critical Hits, instead becoming normal hits.  ")</f>
        <v>Static
Keywords - Defensive
Effect: The user and allies within 2m have a bonus to Evasion equal to your Tier Level. While the Weather is Snowy or the user is in Tundra Terrain, they are Immune to Critical Hits, instead becoming normal hits.  </v>
      </c>
      <c r="H384" s="224"/>
      <c r="I384" s="224"/>
      <c r="J384" s="224"/>
      <c r="K384" s="224"/>
      <c r="L384" s="224"/>
      <c r="M384" s="224"/>
      <c r="N384" s="224"/>
      <c r="O384" s="224"/>
      <c r="P384" s="224"/>
      <c r="Q384" s="224"/>
      <c r="R384" s="224"/>
      <c r="S384" s="224"/>
      <c r="T384" s="224"/>
      <c r="U384" s="224"/>
      <c r="V384" s="224"/>
      <c r="W384" s="224"/>
      <c r="X384" s="224"/>
      <c r="Y384" s="224"/>
      <c r="Z384" s="224"/>
    </row>
    <row r="385">
      <c r="A385" s="225" t="str">
        <f>IFERROR(__xludf.DUMMYFUNCTION("""COMPUTED_VALUE"""),"Snow Warning")</f>
        <v>Snow Warning</v>
      </c>
      <c r="B385" s="225" t="str">
        <f>IFERROR(__xludf.DUMMYFUNCTION("""COMPUTED_VALUE"""),"At-Will - Swift Action")</f>
        <v>At-Will - Swift Action</v>
      </c>
      <c r="C385" s="225" t="str">
        <f>IFERROR(__xludf.DUMMYFUNCTION("""COMPUTED_VALUE"""),"Connection - Hail.
Effect: The Weather becomes Snowy. 
Bonus: While the Weather is Snowy, the user has a bonus to Save Checks equal to their Tier Level and has a Boon to all Skill Checks while in Combat.")</f>
        <v>Connection - Hail.
Effect: The Weather becomes Snowy. 
Bonus: While the Weather is Snowy, the user has a bonus to Save Checks equal to their Tier Level and has a Boon to all Skill Checks while in Combat.</v>
      </c>
      <c r="D385" s="225"/>
      <c r="E385" s="225"/>
      <c r="F385" s="225"/>
      <c r="G385" s="226" t="str">
        <f>IFERROR(__xludf.DUMMYFUNCTION("""COMPUTED_VALUE"""),"At-Will - Swift Action
Connection - Hail.
Effect: The Weather becomes Snowy. 
Bonus: While the Weather is Snowy, the user has a bonus to Save Checks equal to their Tier Level and has a Boon to all Skill Checks while in Combat.")</f>
        <v>At-Will - Swift Action
Connection - Hail.
Effect: The Weather becomes Snowy. 
Bonus: While the Weather is Snowy, the user has a bonus to Save Checks equal to their Tier Level and has a Boon to all Skill Checks while in Combat.</v>
      </c>
      <c r="H385" s="224"/>
      <c r="I385" s="224"/>
      <c r="J385" s="224"/>
      <c r="K385" s="224"/>
      <c r="L385" s="224"/>
      <c r="M385" s="224"/>
      <c r="N385" s="224"/>
      <c r="O385" s="224"/>
      <c r="P385" s="224"/>
      <c r="Q385" s="224"/>
      <c r="R385" s="224"/>
      <c r="S385" s="224"/>
      <c r="T385" s="224"/>
      <c r="U385" s="224"/>
      <c r="V385" s="224"/>
      <c r="W385" s="224"/>
      <c r="X385" s="224"/>
      <c r="Y385" s="224"/>
      <c r="Z385" s="224"/>
    </row>
    <row r="386">
      <c r="A386" s="225" t="str">
        <f>IFERROR(__xludf.DUMMYFUNCTION("""COMPUTED_VALUE"""),"Snuggle")</f>
        <v>Snuggle</v>
      </c>
      <c r="B386" s="225" t="str">
        <f>IFERROR(__xludf.DUMMYFUNCTION("""COMPUTED_VALUE"""),"At-Will - Swift Action")</f>
        <v>At-Will - Swift Action</v>
      </c>
      <c r="C386" s="225" t="str">
        <f>IFERROR(__xludf.DUMMYFUNCTION("""COMPUTED_VALUE"""),"Effect: The user and the Target gain a Tick of Temporary Hit Points and a bonus to their next Save Check equal to your Tier Level. ")</f>
        <v>Effect: The user and the Target gain a Tick of Temporary Hit Points and a bonus to their next Save Check equal to your Tier Level. </v>
      </c>
      <c r="D386" s="225"/>
      <c r="E386" s="225" t="str">
        <f>IFERROR(__xludf.DUMMYFUNCTION("""COMPUTED_VALUE"""),"An Adjacent Ally")</f>
        <v>An Adjacent Ally</v>
      </c>
      <c r="F386" s="225"/>
      <c r="G386" s="226" t="str">
        <f>IFERROR(__xludf.DUMMYFUNCTION("""COMPUTED_VALUE"""),"At-Will - Swift Action
Target - An Adjacent Ally
Effect: The user and the Target gain a Tick of Temporary Hit Points and a bonus to their next Save Check equal to your Tier Level. ")</f>
        <v>At-Will - Swift Action
Target - An Adjacent Ally
Effect: The user and the Target gain a Tick of Temporary Hit Points and a bonus to their next Save Check equal to your Tier Level. </v>
      </c>
      <c r="H386" s="224"/>
      <c r="I386" s="224"/>
      <c r="J386" s="224"/>
      <c r="K386" s="224"/>
      <c r="L386" s="224"/>
      <c r="M386" s="224"/>
      <c r="N386" s="224"/>
      <c r="O386" s="224"/>
      <c r="P386" s="224"/>
      <c r="Q386" s="224"/>
      <c r="R386" s="224"/>
      <c r="S386" s="224"/>
      <c r="T386" s="224"/>
      <c r="U386" s="224"/>
      <c r="V386" s="224"/>
      <c r="W386" s="224"/>
      <c r="X386" s="224"/>
      <c r="Y386" s="224"/>
      <c r="Z386" s="224"/>
    </row>
    <row r="387">
      <c r="A387" s="225" t="str">
        <f>IFERROR(__xludf.DUMMYFUNCTION("""COMPUTED_VALUE"""),"Solar Conversion")</f>
        <v>Solar Conversion</v>
      </c>
      <c r="B387" s="225" t="str">
        <f>IFERROR(__xludf.DUMMYFUNCTION("""COMPUTED_VALUE"""),"At-Will - Swift Action")</f>
        <v>At-Will - Swift Action</v>
      </c>
      <c r="C387" s="225" t="str">
        <f>IFERROR(__xludf.DUMMYFUNCTION("""COMPUTED_VALUE"""),"Effect: When the user uses Attacks this Turn, you are treated as being in Sunny Weather for the sake of their Effects.
Bonus: When the user ends their Turn in Sunny Weather or while under 50% Hit Points, they gain +1 CS in a Stat of their choice.")</f>
        <v>Effect: When the user uses Attacks this Turn, you are treated as being in Sunny Weather for the sake of their Effects.
Bonus: When the user ends their Turn in Sunny Weather or while under 50% Hit Points, they gain +1 CS in a Stat of their choice.</v>
      </c>
      <c r="D387" s="225"/>
      <c r="E387" s="225"/>
      <c r="F387" s="225"/>
      <c r="G387" s="226" t="str">
        <f>IFERROR(__xludf.DUMMYFUNCTION("""COMPUTED_VALUE"""),"At-Will - Swift Action
Effect: When the user uses Attacks this Turn, you are treated as being in Sunny Weather for the sake of their Effects.
Bonus: When the user ends their Turn in Sunny Weather or while under 50% Hit Points, they gain +1 CS in a Stat of"&amp;" their choice.")</f>
        <v>At-Will - Swift Action
Effect: When the user uses Attacks this Turn, you are treated as being in Sunny Weather for the sake of their Effects.
Bonus: When the user ends their Turn in Sunny Weather or while under 50% Hit Points, they gain +1 CS in a Stat of their choice.</v>
      </c>
      <c r="H387" s="224"/>
      <c r="I387" s="224"/>
      <c r="J387" s="224"/>
      <c r="K387" s="224"/>
      <c r="L387" s="224"/>
      <c r="M387" s="224"/>
      <c r="N387" s="224"/>
      <c r="O387" s="224"/>
      <c r="P387" s="224"/>
      <c r="Q387" s="224"/>
      <c r="R387" s="224"/>
      <c r="S387" s="224"/>
      <c r="T387" s="224"/>
      <c r="U387" s="224"/>
      <c r="V387" s="224"/>
      <c r="W387" s="224"/>
      <c r="X387" s="224"/>
      <c r="Y387" s="224"/>
      <c r="Z387" s="224"/>
    </row>
    <row r="388">
      <c r="A388" s="225" t="str">
        <f>IFERROR(__xludf.DUMMYFUNCTION("""COMPUTED_VALUE"""),"Solar Power")</f>
        <v>Solar Power</v>
      </c>
      <c r="B388" s="225" t="str">
        <f>IFERROR(__xludf.DUMMYFUNCTION("""COMPUTED_VALUE"""),"At-Will - Swift Action")</f>
        <v>At-Will - Swift Action</v>
      </c>
      <c r="C388" s="225" t="str">
        <f>IFERROR(__xludf.DUMMYFUNCTION("""COMPUTED_VALUE"""),"Effect: The user loses a Tick of Hit Points, and gains a bonus to the Triggering Damage Roll equal to their Tick Value. If the Weather is Sunny, Solar Power may be used as a Free Action instead.")</f>
        <v>Effect: The user loses a Tick of Hit Points, and gains a bonus to the Triggering Damage Roll equal to their Tick Value. If the Weather is Sunny, Solar Power may be used as a Free Action instead.</v>
      </c>
      <c r="D388" s="225" t="str">
        <f>IFERROR(__xludf.DUMMYFUNCTION("""COMPUTED_VALUE"""),"The user performs a Damage Roll")</f>
        <v>The user performs a Damage Roll</v>
      </c>
      <c r="E388" s="225"/>
      <c r="F388" s="225"/>
      <c r="G388" s="226" t="str">
        <f>IFERROR(__xludf.DUMMYFUNCTION("""COMPUTED_VALUE"""),"At-Will - Swift Action
Trigger - The user performs a Damage Roll
Effect: The user loses a Tick of Hit Points, and gains a bonus to the Triggering Damage Roll equal to their Tick Value. If the Weather is Sunny, Solar Power may be used as a Free Action inst"&amp;"ead.")</f>
        <v>At-Will - Swift Action
Trigger - The user performs a Damage Roll
Effect: The user loses a Tick of Hit Points, and gains a bonus to the Triggering Damage Roll equal to their Tick Value. If the Weather is Sunny, Solar Power may be used as a Free Action instead.</v>
      </c>
      <c r="H388" s="224"/>
      <c r="I388" s="224"/>
      <c r="J388" s="224"/>
      <c r="K388" s="224"/>
      <c r="L388" s="224"/>
      <c r="M388" s="224"/>
      <c r="N388" s="224"/>
      <c r="O388" s="224"/>
      <c r="P388" s="224"/>
      <c r="Q388" s="224"/>
      <c r="R388" s="224"/>
      <c r="S388" s="224"/>
      <c r="T388" s="224"/>
      <c r="U388" s="224"/>
      <c r="V388" s="224"/>
      <c r="W388" s="224"/>
      <c r="X388" s="224"/>
      <c r="Y388" s="224"/>
      <c r="Z388" s="224"/>
    </row>
    <row r="389">
      <c r="A389" s="225" t="str">
        <f>IFERROR(__xludf.DUMMYFUNCTION("""COMPUTED_VALUE"""),"Solid Ice")</f>
        <v>Solid Ice</v>
      </c>
      <c r="B389" s="225" t="str">
        <f>IFERROR(__xludf.DUMMYFUNCTION("""COMPUTED_VALUE"""),"Scene - Reaction")</f>
        <v>Scene - Reaction</v>
      </c>
      <c r="C389" s="225" t="str">
        <f>IFERROR(__xludf.DUMMYFUNCTION("""COMPUTED_VALUE"""),"Effect: The Triggering Attack is resisted by an additional damage step. 
Bonus: While the Weather is Snowy, the user has Damage Reduction against Physical Attacks equal to their Tier Value.")</f>
        <v>Effect: The Triggering Attack is resisted by an additional damage step. 
Bonus: While the Weather is Snowy, the user has Damage Reduction against Physical Attacks equal to their Tier Value.</v>
      </c>
      <c r="D389" s="225" t="str">
        <f>IFERROR(__xludf.DUMMYFUNCTION("""COMPUTED_VALUE"""),"The user is hit by a Super Effective Attack")</f>
        <v>The user is hit by a Super Effective Attack</v>
      </c>
      <c r="E389" s="225"/>
      <c r="F389" s="225" t="str">
        <f>IFERROR(__xludf.DUMMYFUNCTION("""COMPUTED_VALUE"""),"Defensive")</f>
        <v>Defensive</v>
      </c>
      <c r="G389" s="226" t="str">
        <f>IFERROR(__xludf.DUMMYFUNCTION("""COMPUTED_VALUE"""),"Scene - Reaction
Keywords - Defensive
Trigger - The user is hit by a Super Effective Attack
Effect: The Triggering Attack is resisted by an additional damage step. 
Bonus: While the Weather is Snowy, the user has Damage Reduction against Physical Attacks "&amp;"equal to their Tier Value.")</f>
        <v>Scene - Reaction
Keywords - Defensive
Trigger - The user is hit by a Super Effective Attack
Effect: The Triggering Attack is resisted by an additional damage step. 
Bonus: While the Weather is Snowy, the user has Damage Reduction against Physical Attacks equal to their Tier Value.</v>
      </c>
      <c r="H389" s="224"/>
      <c r="I389" s="224"/>
      <c r="J389" s="224"/>
      <c r="K389" s="224"/>
      <c r="L389" s="224"/>
      <c r="M389" s="224"/>
      <c r="N389" s="224"/>
      <c r="O389" s="224"/>
      <c r="P389" s="224"/>
      <c r="Q389" s="224"/>
      <c r="R389" s="224"/>
      <c r="S389" s="224"/>
      <c r="T389" s="224"/>
      <c r="U389" s="224"/>
      <c r="V389" s="224"/>
      <c r="W389" s="224"/>
      <c r="X389" s="224"/>
      <c r="Y389" s="224"/>
      <c r="Z389" s="224"/>
    </row>
    <row r="390">
      <c r="A390" s="225" t="str">
        <f>IFERROR(__xludf.DUMMYFUNCTION("""COMPUTED_VALUE"""),"Solid Rock")</f>
        <v>Solid Rock</v>
      </c>
      <c r="B390" s="225" t="str">
        <f>IFERROR(__xludf.DUMMYFUNCTION("""COMPUTED_VALUE"""),"Scene - Reaction")</f>
        <v>Scene - Reaction</v>
      </c>
      <c r="C390" s="225" t="str">
        <f>IFERROR(__xludf.DUMMYFUNCTION("""COMPUTED_VALUE"""),"Effect: The Triggering Attack is resisted by an additional damage step. 
Bonus: While the Weather is Sandstorm, the user has Damage Reduction against Super Effective Attacks equal to their Tier Value")</f>
        <v>Effect: The Triggering Attack is resisted by an additional damage step. 
Bonus: While the Weather is Sandstorm, the user has Damage Reduction against Super Effective Attacks equal to their Tier Value</v>
      </c>
      <c r="D390" s="225" t="str">
        <f>IFERROR(__xludf.DUMMYFUNCTION("""COMPUTED_VALUE"""),"The user is hit by a Super Effective Attack")</f>
        <v>The user is hit by a Super Effective Attack</v>
      </c>
      <c r="E390" s="225"/>
      <c r="F390" s="225" t="str">
        <f>IFERROR(__xludf.DUMMYFUNCTION("""COMPUTED_VALUE"""),"Defensive")</f>
        <v>Defensive</v>
      </c>
      <c r="G390" s="226" t="str">
        <f>IFERROR(__xludf.DUMMYFUNCTION("""COMPUTED_VALUE"""),"Scene - Reaction
Keywords - Defensive
Trigger - The user is hit by a Super Effective Attack
Effect: The Triggering Attack is resisted by an additional damage step. 
Bonus: While the Weather is Sandstorm, the user has Damage Reduction against Super Effecti"&amp;"ve Attacks equal to their Tier Value")</f>
        <v>Scene - Reaction
Keywords - Defensive
Trigger - The user is hit by a Super Effective Attack
Effect: The Triggering Attack is resisted by an additional damage step. 
Bonus: While the Weather is Sandstorm, the user has Damage Reduction against Super Effective Attacks equal to their Tier Value</v>
      </c>
      <c r="H390" s="224"/>
      <c r="I390" s="224"/>
      <c r="J390" s="224"/>
      <c r="K390" s="224"/>
      <c r="L390" s="224"/>
      <c r="M390" s="224"/>
      <c r="N390" s="224"/>
      <c r="O390" s="224"/>
      <c r="P390" s="224"/>
      <c r="Q390" s="224"/>
      <c r="R390" s="224"/>
      <c r="S390" s="224"/>
      <c r="T390" s="224"/>
      <c r="U390" s="224"/>
      <c r="V390" s="224"/>
      <c r="W390" s="224"/>
      <c r="X390" s="224"/>
      <c r="Y390" s="224"/>
      <c r="Z390" s="224"/>
    </row>
    <row r="391">
      <c r="A391" s="225" t="str">
        <f>IFERROR(__xludf.DUMMYFUNCTION("""COMPUTED_VALUE"""),"Soothing Tone")</f>
        <v>Soothing Tone</v>
      </c>
      <c r="B391" s="225" t="str">
        <f>IFERROR(__xludf.DUMMYFUNCTION("""COMPUTED_VALUE"""),"At-Will - Swift Action")</f>
        <v>At-Will - Swift Action</v>
      </c>
      <c r="C391" s="225" t="str">
        <f>IFERROR(__xludf.DUMMYFUNCTION("""COMPUTED_VALUE"""),"Connection - Heal Bell. 
Effect: All Allied Targets of the Triggering Attack gain Temporary Hit Points equal to the higher of the user's Total Special Attack or Special Defense (Excludes CS). 
Bonus: Whenever the user uses a Sonic Attack, all allies withi"&amp;"n 3m have a bonus to their next Save Check equal to your Tier Level. ")</f>
        <v>Connection - Heal Bell. 
Effect: All Allied Targets of the Triggering Attack gain Temporary Hit Points equal to the higher of the user's Total Special Attack or Special Defense (Excludes CS). 
Bonus: Whenever the user uses a Sonic Attack, all allies within 3m have a bonus to their next Save Check equal to your Tier Level. </v>
      </c>
      <c r="D391" s="225" t="str">
        <f>IFERROR(__xludf.DUMMYFUNCTION("""COMPUTED_VALUE"""),"You Target an Ally within 3m with an Attack")</f>
        <v>You Target an Ally within 3m with an Attack</v>
      </c>
      <c r="E391" s="225"/>
      <c r="F391" s="225"/>
      <c r="G391" s="226" t="str">
        <f>IFERROR(__xludf.DUMMYFUNCTION("""COMPUTED_VALUE"""),"At-Will - Swift Action
Trigger - You Target an Ally within 3m with an Attack
Connection - Heal Bell. 
Effect: All Allied Targets of the Triggering Attack gain Temporary Hit Points equal to the higher of the user's Total Special Attack or Special Defense ("&amp;"Excludes CS). 
Bonus: Whenever the user uses a Sonic Attack, all allies within 3m have a bonus to their next Save Check equal to your Tier Level. ")</f>
        <v>At-Will - Swift Action
Trigger - You Target an Ally within 3m with an Attack
Connection - Heal Bell. 
Effect: All Allied Targets of the Triggering Attack gain Temporary Hit Points equal to the higher of the user's Total Special Attack or Special Defense (Excludes CS). 
Bonus: Whenever the user uses a Sonic Attack, all allies within 3m have a bonus to their next Save Check equal to your Tier Level. </v>
      </c>
      <c r="H391" s="224"/>
      <c r="I391" s="224"/>
      <c r="J391" s="224"/>
      <c r="K391" s="224"/>
      <c r="L391" s="224"/>
      <c r="M391" s="224"/>
      <c r="N391" s="224"/>
      <c r="O391" s="224"/>
      <c r="P391" s="224"/>
      <c r="Q391" s="224"/>
      <c r="R391" s="224"/>
      <c r="S391" s="224"/>
      <c r="T391" s="224"/>
      <c r="U391" s="224"/>
      <c r="V391" s="224"/>
      <c r="W391" s="224"/>
      <c r="X391" s="224"/>
      <c r="Y391" s="224"/>
      <c r="Z391" s="224"/>
    </row>
    <row r="392">
      <c r="A392" s="225" t="str">
        <f>IFERROR(__xludf.DUMMYFUNCTION("""COMPUTED_VALUE"""),"Sorcery")</f>
        <v>Sorcery</v>
      </c>
      <c r="B392" s="225" t="str">
        <f>IFERROR(__xludf.DUMMYFUNCTION("""COMPUTED_VALUE"""),"Static")</f>
        <v>Static</v>
      </c>
      <c r="C392" s="225" t="str">
        <f>IFERROR(__xludf.DUMMYFUNCTION("""COMPUTED_VALUE"""),"Effect: The user adds +5 Points to their Special Attack Stat in the Extras Column. When the user reaches Level 20 and every interval after that (20, 40, etc) they gain an additional +5. If the user is a Trainer, the Level Intervals are Level 4, 8, 12, 16,"&amp;" then 20. The user may use Physical Category Attacks as if they were Special. If they do, their Range is changed to 4, 1 Target.")</f>
        <v>Effect: The user adds +5 Points to their Special Attack Stat in the Extras Column. When the user reaches Level 20 and every interval after that (20, 40, etc) they gain an additional +5. If the user is a Trainer, the Level Intervals are Level 4, 8, 12, 16, then 20. The user may use Physical Category Attacks as if they were Special. If they do, their Range is changed to 4, 1 Target.</v>
      </c>
      <c r="D392" s="225"/>
      <c r="E392" s="225"/>
      <c r="F392" s="225" t="str">
        <f>IFERROR(__xludf.DUMMYFUNCTION("""COMPUTED_VALUE"""),"Innate")</f>
        <v>Innate</v>
      </c>
      <c r="G392" s="226" t="str">
        <f>IFERROR(__xludf.DUMMYFUNCTION("""COMPUTED_VALUE"""),"Static
Keywords - Innate
Effect: The user adds +5 Points to their Special Attack Stat in the Extras Column. When the user reaches Level 20 and every interval after that (20, 40, etc) they gain an additional +5. If the user is a Trainer, the Level Interval"&amp;"s are Level 4, 8, 12, 16, then 20. The user may use Physical Category Attacks as if they were Special. If they do, their Range is changed to 4, 1 Target.")</f>
        <v>Static
Keywords - Innate
Effect: The user adds +5 Points to their Special Attack Stat in the Extras Column. When the user reaches Level 20 and every interval after that (20, 40, etc) they gain an additional +5. If the user is a Trainer, the Level Intervals are Level 4, 8, 12, 16, then 20. The user may use Physical Category Attacks as if they were Special. If they do, their Range is changed to 4, 1 Target.</v>
      </c>
      <c r="H392" s="224"/>
      <c r="I392" s="224"/>
      <c r="J392" s="224"/>
      <c r="K392" s="224"/>
      <c r="L392" s="224"/>
      <c r="M392" s="224"/>
      <c r="N392" s="224"/>
      <c r="O392" s="224"/>
      <c r="P392" s="224"/>
      <c r="Q392" s="224"/>
      <c r="R392" s="224"/>
      <c r="S392" s="224"/>
      <c r="T392" s="224"/>
      <c r="U392" s="224"/>
      <c r="V392" s="224"/>
      <c r="W392" s="224"/>
      <c r="X392" s="224"/>
      <c r="Y392" s="224"/>
      <c r="Z392" s="224"/>
    </row>
    <row r="393">
      <c r="A393" s="225" t="str">
        <f>IFERROR(__xludf.DUMMYFUNCTION("""COMPUTED_VALUE"""),"Soulstealer")</f>
        <v>Soulstealer</v>
      </c>
      <c r="B393" s="225" t="str">
        <f>IFERROR(__xludf.DUMMYFUNCTION("""COMPUTED_VALUE"""),"At-Will - Swift Action")</f>
        <v>At-Will - Swift Action</v>
      </c>
      <c r="C393" s="225" t="str">
        <f>IFERROR(__xludf.DUMMYFUNCTION("""COMPUTED_VALUE"""),"Effect: The user either restores 2 Ticks of Hit Points, or gains +1 CS in the Target’s highest Base Stat (Choose on tie). The user may only Target an Combatant once per Scene this way.")</f>
        <v>Effect: The user either restores 2 Ticks of Hit Points, or gains +1 CS in the Target’s highest Base Stat (Choose on tie). The user may only Target an Combatant once per Scene this way.</v>
      </c>
      <c r="D393" s="225"/>
      <c r="E393" s="225" t="str">
        <f>IFERROR(__xludf.DUMMYFUNCTION("""COMPUTED_VALUE"""),"An Adjacent Fainted Combatant")</f>
        <v>An Adjacent Fainted Combatant</v>
      </c>
      <c r="F393" s="225"/>
      <c r="G393" s="226" t="str">
        <f>IFERROR(__xludf.DUMMYFUNCTION("""COMPUTED_VALUE"""),"At-Will - Swift Action
Target - An Adjacent Fainted Combatant
Effect: The user either restores 2 Ticks of Hit Points, or gains +1 CS in the Target’s highest Base Stat (Choose on tie). The user may only Target an Combatant once per Scene this way.")</f>
        <v>At-Will - Swift Action
Target - An Adjacent Fainted Combatant
Effect: The user either restores 2 Ticks of Hit Points, or gains +1 CS in the Target’s highest Base Stat (Choose on tie). The user may only Target an Combatant once per Scene this way.</v>
      </c>
      <c r="H393" s="224"/>
      <c r="I393" s="224"/>
      <c r="J393" s="224"/>
      <c r="K393" s="224"/>
      <c r="L393" s="224"/>
      <c r="M393" s="224"/>
      <c r="N393" s="224"/>
      <c r="O393" s="224"/>
      <c r="P393" s="224"/>
      <c r="Q393" s="224"/>
      <c r="R393" s="224"/>
      <c r="S393" s="224"/>
      <c r="T393" s="224"/>
      <c r="U393" s="224"/>
      <c r="V393" s="224"/>
      <c r="W393" s="224"/>
      <c r="X393" s="224"/>
      <c r="Y393" s="224"/>
      <c r="Z393" s="224"/>
    </row>
    <row r="394">
      <c r="A394" s="225" t="str">
        <f>IFERROR(__xludf.DUMMYFUNCTION("""COMPUTED_VALUE"""),"Sound Lance")</f>
        <v>Sound Lance</v>
      </c>
      <c r="B394" s="225" t="str">
        <f>IFERROR(__xludf.DUMMYFUNCTION("""COMPUTED_VALUE"""),"Scene x2 - Swift Action")</f>
        <v>Scene x2 - Swift Action</v>
      </c>
      <c r="C394" s="225" t="str">
        <f>IFERROR(__xludf.DUMMYFUNCTION("""COMPUTED_VALUE"""),"Connection - Supersonic. 
Effect: The range of the Attack is changed to Line 8. If the range would collide with Blocking or Cover Terrain, create a 3x3 Zone where the point of impact would be. All Combatants in that Zone are also Targeted by the Triggerin"&amp;"g Attack and it has Sureshot against them.")</f>
        <v>Connection - Supersonic. 
Effect: The range of the Attack is changed to Line 8. If the range would collide with Blocking or Cover Terrain, create a 3x3 Zone where the point of impact would be. All Combatants in that Zone are also Targeted by the Triggering Attack and it has Sureshot against them.</v>
      </c>
      <c r="D394" s="225" t="str">
        <f>IFERROR(__xludf.DUMMYFUNCTION("""COMPUTED_VALUE"""),"The user would use a Sonic Attack")</f>
        <v>The user would use a Sonic Attack</v>
      </c>
      <c r="E394" s="225"/>
      <c r="F394" s="225"/>
      <c r="G394" s="226" t="str">
        <f>IFERROR(__xludf.DUMMYFUNCTION("""COMPUTED_VALUE"""),"Scene x2 - Swift Action
Trigger - The user would use a Sonic Attack
Connection - Supersonic. 
Effect: The range of the Attack is changed to Line 8. If the range would collide with Blocking or Cover Terrain, create a 3x3 Zone where the point of impact woul"&amp;"d be. All Combatants in that Zone are also Targeted by the Triggering Attack and it has Sureshot against them.")</f>
        <v>Scene x2 - Swift Action
Trigger - The user would use a Sonic Attack
Connection - Supersonic. 
Effect: The range of the Attack is changed to Line 8. If the range would collide with Blocking or Cover Terrain, create a 3x3 Zone where the point of impact would be. All Combatants in that Zone are also Targeted by the Triggering Attack and it has Sureshot against them.</v>
      </c>
      <c r="H394" s="224"/>
      <c r="I394" s="224"/>
      <c r="J394" s="224"/>
      <c r="K394" s="224"/>
      <c r="L394" s="224"/>
      <c r="M394" s="224"/>
      <c r="N394" s="224"/>
      <c r="O394" s="224"/>
      <c r="P394" s="224"/>
      <c r="Q394" s="224"/>
      <c r="R394" s="224"/>
      <c r="S394" s="224"/>
      <c r="T394" s="224"/>
      <c r="U394" s="224"/>
      <c r="V394" s="224"/>
      <c r="W394" s="224"/>
      <c r="X394" s="224"/>
      <c r="Y394" s="224"/>
      <c r="Z394" s="224"/>
    </row>
    <row r="395">
      <c r="A395" s="225" t="str">
        <f>IFERROR(__xludf.DUMMYFUNCTION("""COMPUTED_VALUE"""),"Spectral Cloak")</f>
        <v>Spectral Cloak</v>
      </c>
      <c r="B395" s="225" t="str">
        <f>IFERROR(__xludf.DUMMYFUNCTION("""COMPUTED_VALUE"""),"Static")</f>
        <v>Static</v>
      </c>
      <c r="C395" s="225" t="str">
        <f>IFERROR(__xludf.DUMMYFUNCTION("""COMPUTED_VALUE"""),"Effect: The user and allies within 2m have a bonus to Evasion equal to your Tier Level. While the Weather is Foggy or the user is in Low Lighting, they are Immune to Critical Hits, instead becoming normal hits. ")</f>
        <v>Effect: The user and allies within 2m have a bonus to Evasion equal to your Tier Level. While the Weather is Foggy or the user is in Low Lighting, they are Immune to Critical Hits, instead becoming normal hits. </v>
      </c>
      <c r="D395" s="225"/>
      <c r="E395" s="225"/>
      <c r="F395" s="225" t="str">
        <f>IFERROR(__xludf.DUMMYFUNCTION("""COMPUTED_VALUE"""),"Defensive")</f>
        <v>Defensive</v>
      </c>
      <c r="G395" s="226" t="str">
        <f>IFERROR(__xludf.DUMMYFUNCTION("""COMPUTED_VALUE"""),"Static
Keywords - Defensive
Effect: The user and allies within 2m have a bonus to Evasion equal to your Tier Level. While the Weather is Foggy or the user is in Low Lighting, they are Immune to Critical Hits, instead becoming normal hits. ")</f>
        <v>Static
Keywords - Defensive
Effect: The user and allies within 2m have a bonus to Evasion equal to your Tier Level. While the Weather is Foggy or the user is in Low Lighting, they are Immune to Critical Hits, instead becoming normal hits. </v>
      </c>
      <c r="H395" s="224"/>
      <c r="I395" s="224"/>
      <c r="J395" s="224"/>
      <c r="K395" s="224"/>
      <c r="L395" s="224"/>
      <c r="M395" s="224"/>
      <c r="N395" s="224"/>
      <c r="O395" s="224"/>
      <c r="P395" s="224"/>
      <c r="Q395" s="224"/>
      <c r="R395" s="224"/>
      <c r="S395" s="224"/>
      <c r="T395" s="224"/>
      <c r="U395" s="224"/>
      <c r="V395" s="224"/>
      <c r="W395" s="224"/>
      <c r="X395" s="224"/>
      <c r="Y395" s="224"/>
      <c r="Z395" s="224"/>
    </row>
    <row r="396">
      <c r="A396" s="225" t="str">
        <f>IFERROR(__xludf.DUMMYFUNCTION("""COMPUTED_VALUE"""),"Spectral Legion")</f>
        <v>Spectral Legion</v>
      </c>
      <c r="B396" s="225" t="str">
        <f>IFERROR(__xludf.DUMMYFUNCTION("""COMPUTED_VALUE"""),"Static")</f>
        <v>Static</v>
      </c>
      <c r="C396" s="225" t="str">
        <f>IFERROR(__xludf.DUMMYFUNCTION("""COMPUTED_VALUE"""),"Effect: Whenever the user attacks a single Pokemon that has a Size Category of Large or higher, their Damaging Attacks are treated as +3 higher Damage Base. Whenever the user causes one of these qualifying Pokemon to faint or lose an HP Bar, the user gain"&amp;"s +2 CS in Attack.")</f>
        <v>Effect: Whenever the user attacks a single Pokemon that has a Size Category of Large or higher, their Damaging Attacks are treated as +3 higher Damage Base. Whenever the user causes one of these qualifying Pokemon to faint or lose an HP Bar, the user gains +2 CS in Attack.</v>
      </c>
      <c r="D396" s="225"/>
      <c r="E396" s="225"/>
      <c r="F396" s="225"/>
      <c r="G396" s="226" t="str">
        <f>IFERROR(__xludf.DUMMYFUNCTION("""COMPUTED_VALUE"""),"Static
Effect: Whenever the user attacks a single Pokemon that has a Size Category of Large or higher, their Damaging Attacks are treated as +3 higher Damage Base. Whenever the user causes one of these qualifying Pokemon to faint or lose an HP Bar, the us"&amp;"er gains +2 CS in Attack.")</f>
        <v>Static
Effect: Whenever the user attacks a single Pokemon that has a Size Category of Large or higher, their Damaging Attacks are treated as +3 higher Damage Base. Whenever the user causes one of these qualifying Pokemon to faint or lose an HP Bar, the user gains +2 CS in Attack.</v>
      </c>
      <c r="H396" s="224"/>
      <c r="I396" s="224"/>
      <c r="J396" s="224"/>
      <c r="K396" s="224"/>
      <c r="L396" s="224"/>
      <c r="M396" s="224"/>
      <c r="N396" s="224"/>
      <c r="O396" s="224"/>
      <c r="P396" s="224"/>
      <c r="Q396" s="224"/>
      <c r="R396" s="224"/>
      <c r="S396" s="224"/>
      <c r="T396" s="224"/>
      <c r="U396" s="224"/>
      <c r="V396" s="224"/>
      <c r="W396" s="224"/>
      <c r="X396" s="224"/>
      <c r="Y396" s="224"/>
      <c r="Z396" s="224"/>
    </row>
    <row r="397">
      <c r="A397" s="225" t="str">
        <f>IFERROR(__xludf.DUMMYFUNCTION("""COMPUTED_VALUE"""),"Speed Boost")</f>
        <v>Speed Boost</v>
      </c>
      <c r="B397" s="225" t="str">
        <f>IFERROR(__xludf.DUMMYFUNCTION("""COMPUTED_VALUE"""),"Static")</f>
        <v>Static</v>
      </c>
      <c r="C397" s="225" t="str">
        <f>IFERROR(__xludf.DUMMYFUNCTION("""COMPUTED_VALUE"""),"Connection - Agility. 
Effect: At the end of each Round, the user gains +1 CS in Speed and is cured of the Slowed Affliction if applicable.  
Bonus: The user gains the Quick Capability")</f>
        <v>Connection - Agility. 
Effect: At the end of each Round, the user gains +1 CS in Speed and is cured of the Slowed Affliction if applicable.  
Bonus: The user gains the Quick Capability</v>
      </c>
      <c r="D397" s="225"/>
      <c r="E397" s="225"/>
      <c r="F397" s="225"/>
      <c r="G397" s="226" t="str">
        <f>IFERROR(__xludf.DUMMYFUNCTION("""COMPUTED_VALUE"""),"Static
Connection - Agility. 
Effect: At the end of each Round, the user gains +1 CS in Speed and is cured of the Slowed Affliction if applicable.  
Bonus: The user gains the Quick Capability")</f>
        <v>Static
Connection - Agility. 
Effect: At the end of each Round, the user gains +1 CS in Speed and is cured of the Slowed Affliction if applicable.  
Bonus: The user gains the Quick Capability</v>
      </c>
      <c r="H397" s="224"/>
      <c r="I397" s="224"/>
      <c r="J397" s="224"/>
      <c r="K397" s="224"/>
      <c r="L397" s="224"/>
      <c r="M397" s="224"/>
      <c r="N397" s="224"/>
      <c r="O397" s="224"/>
      <c r="P397" s="224"/>
      <c r="Q397" s="224"/>
      <c r="R397" s="224"/>
      <c r="S397" s="224"/>
      <c r="T397" s="224"/>
      <c r="U397" s="224"/>
      <c r="V397" s="224"/>
      <c r="W397" s="224"/>
      <c r="X397" s="224"/>
      <c r="Y397" s="224"/>
      <c r="Z397" s="224"/>
    </row>
    <row r="398">
      <c r="A398" s="225" t="str">
        <f>IFERROR(__xludf.DUMMYFUNCTION("""COMPUTED_VALUE"""),"Spiked Shelter")</f>
        <v>Spiked Shelter</v>
      </c>
      <c r="B398" s="225" t="str">
        <f>IFERROR(__xludf.DUMMYFUNCTION("""COMPUTED_VALUE"""),"Scene x2 - Standard Action")</f>
        <v>Scene x2 - Standard Action</v>
      </c>
      <c r="C398" s="225" t="str">
        <f>IFERROR(__xludf.DUMMYFUNCTION("""COMPUTED_VALUE"""),"Effect: The Target cannot be Targeted by Attacks until the start of the user's next Turn. If they would be included in an Area of Effect, they take no Damage from the Attack. For this Duration, the user becomes Vulnerable but resists all Physical Attacks "&amp;"by an additional Damage Step and if they're hit by a Melee Attack, the Attack is treated as having the Recoil 1/2 Keyword.")</f>
        <v>Effect: The Target cannot be Targeted by Attacks until the start of the user's next Turn. If they would be included in an Area of Effect, they take no Damage from the Attack. For this Duration, the user becomes Vulnerable but resists all Physical Attacks by an additional Damage Step and if they're hit by a Melee Attack, the Attack is treated as having the Recoil 1/2 Keyword.</v>
      </c>
      <c r="D398" s="225"/>
      <c r="E398" s="225" t="str">
        <f>IFERROR(__xludf.DUMMYFUNCTION("""COMPUTED_VALUE"""),"An Adjacent Ally")</f>
        <v>An Adjacent Ally</v>
      </c>
      <c r="F398" s="225"/>
      <c r="G398" s="226" t="str">
        <f>IFERROR(__xludf.DUMMYFUNCTION("""COMPUTED_VALUE"""),"Scene x2 - Standard Action
Target - An Adjacent Ally
Effect: The Target cannot be Targeted by Attacks until the start of the user's next Turn. If they would be included in an Area of Effect, they take no Damage from the Attack. For this Duration, the user"&amp;" becomes Vulnerable but resists all Physical Attacks by an additional Damage Step and if they're hit by a Melee Attack, the Attack is treated as having the Recoil 1/2 Keyword.")</f>
        <v>Scene x2 - Standard Action
Target - An Adjacent Ally
Effect: The Target cannot be Targeted by Attacks until the start of the user's next Turn. If they would be included in an Area of Effect, they take no Damage from the Attack. For this Duration, the user becomes Vulnerable but resists all Physical Attacks by an additional Damage Step and if they're hit by a Melee Attack, the Attack is treated as having the Recoil 1/2 Keyword.</v>
      </c>
      <c r="H398" s="224"/>
      <c r="I398" s="224"/>
      <c r="J398" s="224"/>
      <c r="K398" s="224"/>
      <c r="L398" s="224"/>
      <c r="M398" s="224"/>
      <c r="N398" s="224"/>
      <c r="O398" s="224"/>
      <c r="P398" s="224"/>
      <c r="Q398" s="224"/>
      <c r="R398" s="224"/>
      <c r="S398" s="224"/>
      <c r="T398" s="224"/>
      <c r="U398" s="224"/>
      <c r="V398" s="224"/>
      <c r="W398" s="224"/>
      <c r="X398" s="224"/>
      <c r="Y398" s="224"/>
      <c r="Z398" s="224"/>
    </row>
    <row r="399">
      <c r="A399" s="225" t="str">
        <f>IFERROR(__xludf.DUMMYFUNCTION("""COMPUTED_VALUE"""),"Spike Shot")</f>
        <v>Spike Shot</v>
      </c>
      <c r="B399" s="225" t="str">
        <f>IFERROR(__xludf.DUMMYFUNCTION("""COMPUTED_VALUE"""),"Static")</f>
        <v>Static</v>
      </c>
      <c r="C399" s="225" t="str">
        <f>IFERROR(__xludf.DUMMYFUNCTION("""COMPUTED_VALUE"""),"Effect: The user may use Attacks with a Range of “Melee, 1-Target” as if they had a Range of “8, 1-Target” instead.The user's attacks Bleed the target on 18+ or extend their Bleed effect range by +2.")</f>
        <v>Effect: The user may use Attacks with a Range of “Melee, 1-Target” as if they had a Range of “8, 1-Target” instead.The user's attacks Bleed the target on 18+ or extend their Bleed effect range by +2.</v>
      </c>
      <c r="D399" s="225"/>
      <c r="E399" s="225"/>
      <c r="F399" s="225"/>
      <c r="G399" s="226" t="str">
        <f>IFERROR(__xludf.DUMMYFUNCTION("""COMPUTED_VALUE"""),"Static
Effect: The user may use Attacks with a Range of “Melee, 1-Target” as if they had a Range of “8, 1-Target” instead.The user's attacks Bleed the target on 18+ or extend their Bleed effect range by +2.")</f>
        <v>Static
Effect: The user may use Attacks with a Range of “Melee, 1-Target” as if they had a Range of “8, 1-Target” instead.The user's attacks Bleed the target on 18+ or extend their Bleed effect range by +2.</v>
      </c>
      <c r="H399" s="224"/>
      <c r="I399" s="224"/>
      <c r="J399" s="224"/>
      <c r="K399" s="224"/>
      <c r="L399" s="224"/>
      <c r="M399" s="224"/>
      <c r="N399" s="224"/>
      <c r="O399" s="224"/>
      <c r="P399" s="224"/>
      <c r="Q399" s="224"/>
      <c r="R399" s="224"/>
      <c r="S399" s="224"/>
      <c r="T399" s="224"/>
      <c r="U399" s="224"/>
      <c r="V399" s="224"/>
      <c r="W399" s="224"/>
      <c r="X399" s="224"/>
      <c r="Y399" s="224"/>
      <c r="Z399" s="224"/>
    </row>
    <row r="400">
      <c r="A400" s="225" t="str">
        <f>IFERROR(__xludf.DUMMYFUNCTION("""COMPUTED_VALUE"""),"Spirit Fire")</f>
        <v>Spirit Fire</v>
      </c>
      <c r="B400" s="225" t="str">
        <f>IFERROR(__xludf.DUMMYFUNCTION("""COMPUTED_VALUE"""),"Scene x2 - Swift Action")</f>
        <v>Scene x2 - Swift Action</v>
      </c>
      <c r="C400" s="225" t="str">
        <f>IFERROR(__xludf.DUMMYFUNCTION("""COMPUTED_VALUE"""),"Effect: They are also Burned. 
Bonus: The user’s Burn Effect Ranges have a bonus equal to your Tier Level. The user is Immune to Fire Type Attacks. ")</f>
        <v>Effect: They are also Burned. 
Bonus: The user’s Burn Effect Ranges have a bonus equal to your Tier Level. The user is Immune to Fire Type Attacks. </v>
      </c>
      <c r="D400" s="225" t="str">
        <f>IFERROR(__xludf.DUMMYFUNCTION("""COMPUTED_VALUE"""),"The user Curses, Dazes or Suppresses an Enemy")</f>
        <v>The user Curses, Dazes or Suppresses an Enemy</v>
      </c>
      <c r="E400" s="225"/>
      <c r="F400" s="225" t="str">
        <f>IFERROR(__xludf.DUMMYFUNCTION("""COMPUTED_VALUE"""),"Defensive")</f>
        <v>Defensive</v>
      </c>
      <c r="G400" s="226" t="str">
        <f>IFERROR(__xludf.DUMMYFUNCTION("""COMPUTED_VALUE"""),"Scene x2 - Swift Action
Keywords - Defensive
Trigger - The user Curses, Dazes or Suppresses an Enemy
Effect: They are also Burned. 
Bonus: The user’s Burn Effect Ranges have a bonus equal to your Tier Level. The user is Immune to Fire Type Attacks. ")</f>
        <v>Scene x2 - Swift Action
Keywords - Defensive
Trigger - The user Curses, Dazes or Suppresses an Enemy
Effect: They are also Burned. 
Bonus: The user’s Burn Effect Ranges have a bonus equal to your Tier Level. The user is Immune to Fire Type Attacks. </v>
      </c>
      <c r="H400" s="224"/>
      <c r="I400" s="224"/>
      <c r="J400" s="224"/>
      <c r="K400" s="224"/>
      <c r="L400" s="224"/>
      <c r="M400" s="224"/>
      <c r="N400" s="224"/>
      <c r="O400" s="224"/>
      <c r="P400" s="224"/>
      <c r="Q400" s="224"/>
      <c r="R400" s="224"/>
      <c r="S400" s="224"/>
      <c r="T400" s="224"/>
      <c r="U400" s="224"/>
      <c r="V400" s="224"/>
      <c r="W400" s="224"/>
      <c r="X400" s="224"/>
      <c r="Y400" s="224"/>
      <c r="Z400" s="224"/>
    </row>
    <row r="401">
      <c r="A401" s="225" t="str">
        <f>IFERROR(__xludf.DUMMYFUNCTION("""COMPUTED_VALUE"""),"Spray Down")</f>
        <v>Spray Down</v>
      </c>
      <c r="B401" s="225" t="str">
        <f>IFERROR(__xludf.DUMMYFUNCTION("""COMPUTED_VALUE"""),"Scene x2 - Swift Action")</f>
        <v>Scene x2 - Swift Action</v>
      </c>
      <c r="C401" s="225" t="str">
        <f>IFERROR(__xludf.DUMMYFUNCTION("""COMPUTED_VALUE"""),"Effect: The Target becomes Slowed. While the Target is Slowed this way, their Movement Capabilities are disabled. If the Target is Flying Type, they are no longer Immune to Ground Type Attacks while Slowed this way. A Target can only be affected by Spray "&amp;"Down once per Scene. ")</f>
        <v>Effect: The Target becomes Slowed. While the Target is Slowed this way, their Movement Capabilities are disabled. If the Target is Flying Type, they are no longer Immune to Ground Type Attacks while Slowed this way. A Target can only be affected by Spray Down once per Scene. </v>
      </c>
      <c r="D401" s="225" t="str">
        <f>IFERROR(__xludf.DUMMYFUNCTION("""COMPUTED_VALUE"""),"The user hits a 1-Target Ranged Attack")</f>
        <v>The user hits a 1-Target Ranged Attack</v>
      </c>
      <c r="E401" s="225"/>
      <c r="F401" s="225"/>
      <c r="G401" s="226" t="str">
        <f>IFERROR(__xludf.DUMMYFUNCTION("""COMPUTED_VALUE"""),"Scene x2 - Swift Action
Trigger - The user hits a 1-Target Ranged Attack
Effect: The Target becomes Slowed. While the Target is Slowed this way, their Movement Capabilities are disabled. If the Target is Flying Type, they are no longer Immune to Ground Ty"&amp;"pe Attacks while Slowed this way. A Target can only be affected by Spray Down once per Scene. ")</f>
        <v>Scene x2 - Swift Action
Trigger - The user hits a 1-Target Ranged Attack
Effect: The Target becomes Slowed. While the Target is Slowed this way, their Movement Capabilities are disabled. If the Target is Flying Type, they are no longer Immune to Ground Type Attacks while Slowed this way. A Target can only be affected by Spray Down once per Scene. </v>
      </c>
      <c r="H401" s="224"/>
      <c r="I401" s="224"/>
      <c r="J401" s="224"/>
      <c r="K401" s="224"/>
      <c r="L401" s="224"/>
      <c r="M401" s="224"/>
      <c r="N401" s="224"/>
      <c r="O401" s="224"/>
      <c r="P401" s="224"/>
      <c r="Q401" s="224"/>
      <c r="R401" s="224"/>
      <c r="S401" s="224"/>
      <c r="T401" s="224"/>
      <c r="U401" s="224"/>
      <c r="V401" s="224"/>
      <c r="W401" s="224"/>
      <c r="X401" s="224"/>
      <c r="Y401" s="224"/>
      <c r="Z401" s="224"/>
    </row>
    <row r="402">
      <c r="A402" s="225" t="str">
        <f>IFERROR(__xludf.DUMMYFUNCTION("""COMPUTED_VALUE"""),"Spirited Challenger")</f>
        <v>Spirited Challenger</v>
      </c>
      <c r="B402" s="225" t="str">
        <f>IFERROR(__xludf.DUMMYFUNCTION("""COMPUTED_VALUE"""),"At-Will - Free Action")</f>
        <v>At-Will - Free Action</v>
      </c>
      <c r="C402" s="225" t="str">
        <f>IFERROR(__xludf.DUMMYFUNCTION("""COMPUTED_VALUE"""),"Effect: The user is Provoked by the Target until they fall below 50% of their Maximum Hit Points
Bonus: The user’s damaging attacks against enemies they’re Provoked by have their DB increased by +3 and have a bonus to Effect Ranges and Crit Ranges equal t"&amp;"o their Tier Level. ")</f>
        <v>Effect: The user is Provoked by the Target until they fall below 50% of their Maximum Hit Points
Bonus: The user’s damaging attacks against enemies they’re Provoked by have their DB increased by +3 and have a bonus to Effect Ranges and Crit Ranges equal to their Tier Level. </v>
      </c>
      <c r="D402" s="225"/>
      <c r="E402" s="225" t="str">
        <f>IFERROR(__xludf.DUMMYFUNCTION("""COMPUTED_VALUE"""),"An Enemy within 5m that is above 50% Max Hit Points")</f>
        <v>An Enemy within 5m that is above 50% Max Hit Points</v>
      </c>
      <c r="F402" s="225"/>
      <c r="G402" s="226" t="str">
        <f>IFERROR(__xludf.DUMMYFUNCTION("""COMPUTED_VALUE"""),"At-Will - Free Action
Target - An Enemy within 5m that is above 50% Max Hit Points
Effect: The user is Provoked by the Target until they fall below 50% of their Maximum Hit Points
Bonus: The user’s damaging attacks against enemies they’re Provoked by have"&amp;" their DB increased by +3 and have a bonus to Effect Ranges and Crit Ranges equal to their Tier Level. ")</f>
        <v>At-Will - Free Action
Target - An Enemy within 5m that is above 50% Max Hit Points
Effect: The user is Provoked by the Target until they fall below 50% of their Maximum Hit Points
Bonus: The user’s damaging attacks against enemies they’re Provoked by have their DB increased by +3 and have a bonus to Effect Ranges and Crit Ranges equal to their Tier Level. </v>
      </c>
      <c r="H402" s="224"/>
      <c r="I402" s="224"/>
      <c r="J402" s="224"/>
      <c r="K402" s="224"/>
      <c r="L402" s="224"/>
      <c r="M402" s="224"/>
      <c r="N402" s="224"/>
      <c r="O402" s="224"/>
      <c r="P402" s="224"/>
      <c r="Q402" s="224"/>
      <c r="R402" s="224"/>
      <c r="S402" s="224"/>
      <c r="T402" s="224"/>
      <c r="U402" s="224"/>
      <c r="V402" s="224"/>
      <c r="W402" s="224"/>
      <c r="X402" s="224"/>
      <c r="Y402" s="224"/>
      <c r="Z402" s="224"/>
    </row>
    <row r="403">
      <c r="A403" s="225" t="str">
        <f>IFERROR(__xludf.DUMMYFUNCTION("""COMPUTED_VALUE"""),"Stakeout")</f>
        <v>Stakeout</v>
      </c>
      <c r="B403" s="225" t="str">
        <f>IFERROR(__xludf.DUMMYFUNCTION("""COMPUTED_VALUE"""),"Static")</f>
        <v>Static</v>
      </c>
      <c r="C403" s="225" t="str">
        <f>IFERROR(__xludf.DUMMYFUNCTION("""COMPUTED_VALUE"""),"Effect: Whenever the user targets an Enemy that has acted in this Round but didn’t target the user, the Target cannot apply Stat Evasion towards their Attacks. If the Target is Flanked, their Attacks that meet this condition instead have the Sureshot Keyw"&amp;"ord.")</f>
        <v>Effect: Whenever the user targets an Enemy that has acted in this Round but didn’t target the user, the Target cannot apply Stat Evasion towards their Attacks. If the Target is Flanked, their Attacks that meet this condition instead have the Sureshot Keyword.</v>
      </c>
      <c r="D403" s="225"/>
      <c r="E403" s="225"/>
      <c r="F403" s="225"/>
      <c r="G403" s="226" t="str">
        <f>IFERROR(__xludf.DUMMYFUNCTION("""COMPUTED_VALUE"""),"Static
Effect: Whenever the user targets an Enemy that has acted in this Round but didn’t target the user, the Target cannot apply Stat Evasion towards their Attacks. If the Target is Flanked, their Attacks that meet this condition instead have the Suresh"&amp;"ot Keyword.")</f>
        <v>Static
Effect: Whenever the user targets an Enemy that has acted in this Round but didn’t target the user, the Target cannot apply Stat Evasion towards their Attacks. If the Target is Flanked, their Attacks that meet this condition instead have the Sureshot Keyword.</v>
      </c>
      <c r="H403" s="224"/>
      <c r="I403" s="224"/>
      <c r="J403" s="224"/>
      <c r="K403" s="224"/>
      <c r="L403" s="224"/>
      <c r="M403" s="224"/>
      <c r="N403" s="224"/>
      <c r="O403" s="224"/>
      <c r="P403" s="224"/>
      <c r="Q403" s="224"/>
      <c r="R403" s="224"/>
      <c r="S403" s="224"/>
      <c r="T403" s="224"/>
      <c r="U403" s="224"/>
      <c r="V403" s="224"/>
      <c r="W403" s="224"/>
      <c r="X403" s="224"/>
      <c r="Y403" s="224"/>
      <c r="Z403" s="224"/>
    </row>
    <row r="404">
      <c r="A404" s="225" t="str">
        <f>IFERROR(__xludf.DUMMYFUNCTION("""COMPUTED_VALUE"""),"Stamina")</f>
        <v>Stamina</v>
      </c>
      <c r="B404" s="225" t="str">
        <f>IFERROR(__xludf.DUMMYFUNCTION("""COMPUTED_VALUE"""),"At-Will - Reaction")</f>
        <v>At-Will - Reaction</v>
      </c>
      <c r="C404" s="225" t="str">
        <f>IFERROR(__xludf.DUMMYFUNCTION("""COMPUTED_VALUE"""),"Effect: The user gains + 1 CS in Defense and a Tick of Temporary Hit Points after Damage Calculations. ")</f>
        <v>Effect: The user gains + 1 CS in Defense and a Tick of Temporary Hit Points after Damage Calculations. </v>
      </c>
      <c r="D404" s="225" t="str">
        <f>IFERROR(__xludf.DUMMYFUNCTION("""COMPUTED_VALUE"""),"The user is hit by a Damaging Attack while they do not have Temporary Hit Points")</f>
        <v>The user is hit by a Damaging Attack while they do not have Temporary Hit Points</v>
      </c>
      <c r="E404" s="225"/>
      <c r="F404" s="225" t="str">
        <f>IFERROR(__xludf.DUMMYFUNCTION("""COMPUTED_VALUE"""),"Defensive")</f>
        <v>Defensive</v>
      </c>
      <c r="G404" s="226" t="str">
        <f>IFERROR(__xludf.DUMMYFUNCTION("""COMPUTED_VALUE"""),"At-Will - Reaction
Keywords - Defensive
Trigger - The user is hit by a Damaging Attack while they do not have Temporary Hit Points
Effect: The user gains + 1 CS in Defense and a Tick of Temporary Hit Points after Damage Calculations. ")</f>
        <v>At-Will - Reaction
Keywords - Defensive
Trigger - The user is hit by a Damaging Attack while they do not have Temporary Hit Points
Effect: The user gains + 1 CS in Defense and a Tick of Temporary Hit Points after Damage Calculations. </v>
      </c>
      <c r="H404" s="224"/>
      <c r="I404" s="224"/>
      <c r="J404" s="224"/>
      <c r="K404" s="224"/>
      <c r="L404" s="224"/>
      <c r="M404" s="224"/>
      <c r="N404" s="224"/>
      <c r="O404" s="224"/>
      <c r="P404" s="224"/>
      <c r="Q404" s="224"/>
      <c r="R404" s="224"/>
      <c r="S404" s="224"/>
      <c r="T404" s="224"/>
      <c r="U404" s="224"/>
      <c r="V404" s="224"/>
      <c r="W404" s="224"/>
      <c r="X404" s="224"/>
      <c r="Y404" s="224"/>
      <c r="Z404" s="224"/>
    </row>
    <row r="405">
      <c r="A405" s="225" t="str">
        <f>IFERROR(__xludf.DUMMYFUNCTION("""COMPUTED_VALUE"""),"Stance Change")</f>
        <v>Stance Change</v>
      </c>
      <c r="B405" s="225" t="str">
        <f>IFERROR(__xludf.DUMMYFUNCTION("""COMPUTED_VALUE"""),"At-Will - Free Action")</f>
        <v>At-Will - Free Action</v>
      </c>
      <c r="C405" s="225" t="str">
        <f>IFERROR(__xludf.DUMMYFUNCTION("""COMPUTED_VALUE"""),"Effect: The user changes between to their Weapon Stance or Shield Stance. Stance Change may only be used once per Round. 
Bonus: While the user is in their Weapon Stance, their Attack Stat swaps with their Defense Stat and their Special Attack Swaps with "&amp;"their Special Defense Stat, without changing CS Values. While the user is in their Shield Stance, their Stat values are reverted to normal. When the user enters a Scene, they must choose a Stance to start in.")</f>
        <v>Effect: The user changes between to their Weapon Stance or Shield Stance. Stance Change may only be used once per Round. 
Bonus: While the user is in their Weapon Stance, their Attack Stat swaps with their Defense Stat and their Special Attack Swaps with their Special Defense Stat, without changing CS Values. While the user is in their Shield Stance, their Stat values are reverted to normal. When the user enters a Scene, they must choose a Stance to start in.</v>
      </c>
      <c r="D405" s="225"/>
      <c r="E405" s="225"/>
      <c r="F405" s="225" t="str">
        <f>IFERROR(__xludf.DUMMYFUNCTION("""COMPUTED_VALUE"""),"Innate")</f>
        <v>Innate</v>
      </c>
      <c r="G405" s="226" t="str">
        <f>IFERROR(__xludf.DUMMYFUNCTION("""COMPUTED_VALUE"""),"At-Will - Free Action
Keywords - Innate
Effect: The user changes between to their Weapon Stance or Shield Stance. Stance Change may only be used once per Round. 
Bonus: While the user is in their Weapon Stance, their Attack Stat swaps with their Defense S"&amp;"tat and their Special Attack Swaps with their Special Defense Stat, without changing CS Values. While the user is in their Shield Stance, their Stat values are reverted to normal. When the user enters a Scene, they must choose a Stance to start in.")</f>
        <v>At-Will - Free Action
Keywords - Innate
Effect: The user changes between to their Weapon Stance or Shield Stance. Stance Change may only be used once per Round. 
Bonus: While the user is in their Weapon Stance, their Attack Stat swaps with their Defense Stat and their Special Attack Swaps with their Special Defense Stat, without changing CS Values. While the user is in their Shield Stance, their Stat values are reverted to normal. When the user enters a Scene, they must choose a Stance to start in.</v>
      </c>
      <c r="H405" s="224"/>
      <c r="I405" s="224"/>
      <c r="J405" s="224"/>
      <c r="K405" s="224"/>
      <c r="L405" s="224"/>
      <c r="M405" s="224"/>
      <c r="N405" s="224"/>
      <c r="O405" s="224"/>
      <c r="P405" s="224"/>
      <c r="Q405" s="224"/>
      <c r="R405" s="224"/>
      <c r="S405" s="224"/>
      <c r="T405" s="224"/>
      <c r="U405" s="224"/>
      <c r="V405" s="224"/>
      <c r="W405" s="224"/>
      <c r="X405" s="224"/>
      <c r="Y405" s="224"/>
      <c r="Z405" s="224"/>
    </row>
    <row r="406">
      <c r="A406" s="225" t="str">
        <f>IFERROR(__xludf.DUMMYFUNCTION("""COMPUTED_VALUE"""),"Starlight")</f>
        <v>Starlight</v>
      </c>
      <c r="B406" s="225" t="str">
        <f>IFERROR(__xludf.DUMMYFUNCTION("""COMPUTED_VALUE"""),"Scene - Swift + Movement Action ")</f>
        <v>Scene - Swift + Movement Action </v>
      </c>
      <c r="C406" s="225" t="str">
        <f>IFERROR(__xludf.DUMMYFUNCTION("""COMPUTED_VALUE"""),"Effect: Choose one of the following Effects to apply to the user. The user gains +1 CS in Defense and Special Defense. The user restores 2 Ticks of Hit Points. The user recovers from 1 Mental Affliction. If the Weather is Foggy or Mystical, all numerical "&amp;"values above are doubled or you may use Starlight without expending its Frequency. ")</f>
        <v>Effect: Choose one of the following Effects to apply to the user. The user gains +1 CS in Defense and Special Defense. The user restores 2 Ticks of Hit Points. The user recovers from 1 Mental Affliction. If the Weather is Foggy or Mystical, all numerical values above are doubled or you may use Starlight without expending its Frequency. </v>
      </c>
      <c r="D406" s="225"/>
      <c r="E406" s="225"/>
      <c r="F406" s="225"/>
      <c r="G406" s="226" t="str">
        <f>IFERROR(__xludf.DUMMYFUNCTION("""COMPUTED_VALUE"""),"Scene - Swift + Movement Action 
Effect: Choose one of the following Effects to apply to the user. The user gains +1 CS in Defense and Special Defense. The user restores 2 Ticks of Hit Points. The user recovers from 1 Mental Affliction. If the Weather is "&amp;"Foggy or Mystical, all numerical values above are doubled or you may use Starlight without expending its Frequency. ")</f>
        <v>Scene - Swift + Movement Action 
Effect: Choose one of the following Effects to apply to the user. The user gains +1 CS in Defense and Special Defense. The user restores 2 Ticks of Hit Points. The user recovers from 1 Mental Affliction. If the Weather is Foggy or Mystical, all numerical values above are doubled or you may use Starlight without expending its Frequency. </v>
      </c>
      <c r="H406" s="224"/>
      <c r="I406" s="224"/>
      <c r="J406" s="224"/>
      <c r="K406" s="224"/>
      <c r="L406" s="224"/>
      <c r="M406" s="224"/>
      <c r="N406" s="224"/>
      <c r="O406" s="224"/>
      <c r="P406" s="224"/>
      <c r="Q406" s="224"/>
      <c r="R406" s="224"/>
      <c r="S406" s="224"/>
      <c r="T406" s="224"/>
      <c r="U406" s="224"/>
      <c r="V406" s="224"/>
      <c r="W406" s="224"/>
      <c r="X406" s="224"/>
      <c r="Y406" s="224"/>
      <c r="Z406" s="224"/>
    </row>
    <row r="407">
      <c r="A407" s="225" t="str">
        <f>IFERROR(__xludf.DUMMYFUNCTION("""COMPUTED_VALUE"""),"Stellar Gem")</f>
        <v>Stellar Gem</v>
      </c>
      <c r="B407" s="225" t="str">
        <f>IFERROR(__xludf.DUMMYFUNCTION("""COMPUTED_VALUE"""),"At-Will - Free Action")</f>
        <v>At-Will - Free Action</v>
      </c>
      <c r="C407" s="225" t="str">
        <f>IFERROR(__xludf.DUMMYFUNCTION("""COMPUTED_VALUE"""),"Effect: The user gains +1 CS in Special Attack or Special Defense. Stellar Gem can only be Triggered twice per Round. 
Bonus: The user’s Psychic Type Attacks gain a bonus to their Effect Ranges equal to the higher Combat Stage of the user’s Special Attack"&amp;" or Special Defense. This bonus cannot exceed double their Tier Level. ")</f>
        <v>Effect: The user gains +1 CS in Special Attack or Special Defense. Stellar Gem can only be Triggered twice per Round. 
Bonus: The user’s Psychic Type Attacks gain a bonus to their Effect Ranges equal to the higher Combat Stage of the user’s Special Attack or Special Defense. This bonus cannot exceed double their Tier Level. </v>
      </c>
      <c r="D407" s="225" t="str">
        <f>IFERROR(__xludf.DUMMYFUNCTION("""COMPUTED_VALUE"""),"The user uses a Psychic Attack or ends their Turn in Mystical Weather")</f>
        <v>The user uses a Psychic Attack or ends their Turn in Mystical Weather</v>
      </c>
      <c r="E407" s="225"/>
      <c r="F407" s="225"/>
      <c r="G407" s="226" t="str">
        <f>IFERROR(__xludf.DUMMYFUNCTION("""COMPUTED_VALUE"""),"At-Will - Free Action
Trigger - The user uses a Psychic Attack or ends their Turn in Mystical Weather
Effect: The user gains +1 CS in Special Attack or Special Defense. Stellar Gem can only be Triggered twice per Round. 
Bonus: The user’s Psychic Type Att"&amp;"acks gain a bonus to their Effect Ranges equal to the higher Combat Stage of the user’s Special Attack or Special Defense. This bonus cannot exceed double their Tier Level. ")</f>
        <v>At-Will - Free Action
Trigger - The user uses a Psychic Attack or ends their Turn in Mystical Weather
Effect: The user gains +1 CS in Special Attack or Special Defense. Stellar Gem can only be Triggered twice per Round. 
Bonus: The user’s Psychic Type Attacks gain a bonus to their Effect Ranges equal to the higher Combat Stage of the user’s Special Attack or Special Defense. This bonus cannot exceed double their Tier Level. </v>
      </c>
      <c r="H407" s="224"/>
      <c r="I407" s="224"/>
      <c r="J407" s="224"/>
      <c r="K407" s="224"/>
      <c r="L407" s="224"/>
      <c r="M407" s="224"/>
      <c r="N407" s="224"/>
      <c r="O407" s="224"/>
      <c r="P407" s="224"/>
      <c r="Q407" s="224"/>
      <c r="R407" s="224"/>
      <c r="S407" s="224"/>
      <c r="T407" s="224"/>
      <c r="U407" s="224"/>
      <c r="V407" s="224"/>
      <c r="W407" s="224"/>
      <c r="X407" s="224"/>
      <c r="Y407" s="224"/>
      <c r="Z407" s="224"/>
    </row>
    <row r="408">
      <c r="A408" s="225" t="str">
        <f>IFERROR(__xludf.DUMMYFUNCTION("""COMPUTED_VALUE"""),"Static")</f>
        <v>Static</v>
      </c>
      <c r="B408" s="225" t="str">
        <f>IFERROR(__xludf.DUMMYFUNCTION("""COMPUTED_VALUE"""),"Scene x2 - Free Action")</f>
        <v>Scene x2 - Free Action</v>
      </c>
      <c r="C408" s="225" t="str">
        <f>IFERROR(__xludf.DUMMYFUNCTION("""COMPUTED_VALUE"""),"Effect: The Triggering Enemy becomes Paralyzed. If the Trigger was being hit with an Attack and the Triggering Enemy is already Paralyzed, they cannot cure the Affliction during their next Save Check.  
Bonus: At the start of the user’s Turn, if they used"&amp;" an Electric Attack last round, all Adjacent Enemies must pass a Standard CR (2) Athletics Check or else they become Paralyzed. If the user is Tier 3, it is a Tough CR (3) Athletics Check instead. ")</f>
        <v>Effect: The Triggering Enemy becomes Paralyzed. If the Trigger was being hit with an Attack and the Triggering Enemy is already Paralyzed, they cannot cure the Affliction during their next Save Check.  
Bonus: At the start of the user’s Turn, if they used an Electric Attack last round, all Adjacent Enemies must pass a Standard CR (2) Athletics Check or else they become Paralyzed. If the user is Tier 3, it is a Tough CR (3) Athletics Check instead. </v>
      </c>
      <c r="D408" s="225" t="str">
        <f>IFERROR(__xludf.DUMMYFUNCTION("""COMPUTED_VALUE"""),"The user is hit by an Adjacent Attack")</f>
        <v>The user is hit by an Adjacent Attack</v>
      </c>
      <c r="E408" s="225"/>
      <c r="F408" s="225" t="str">
        <f>IFERROR(__xludf.DUMMYFUNCTION("""COMPUTED_VALUE"""),"Defensive")</f>
        <v>Defensive</v>
      </c>
      <c r="G408" s="226" t="str">
        <f>IFERROR(__xludf.DUMMYFUNCTION("""COMPUTED_VALUE"""),"Scene x2 - Free Action
Keywords - Defensive
Trigger - The user is hit by an Adjacent Attack
Effect: The Triggering Enemy becomes Paralyzed. If the Trigger was being hit with an Attack and the Triggering Enemy is already Paralyzed, they cannot cure the Aff"&amp;"liction during their next Save Check.  
Bonus: At the start of the user’s Turn, if they used an Electric Attack last round, all Adjacent Enemies must pass a Standard CR (2) Athletics Check or else they become Paralyzed. If the user is Tier 3, it is a Toug"&amp;"h CR (3) Athletics Check instead. ")</f>
        <v>Scene x2 - Free Action
Keywords - Defensive
Trigger - The user is hit by an Adjacent Attack
Effect: The Triggering Enemy becomes Paralyzed. If the Trigger was being hit with an Attack and the Triggering Enemy is already Paralyzed, they cannot cure the Affliction during their next Save Check.  
Bonus: At the start of the user’s Turn, if they used an Electric Attack last round, all Adjacent Enemies must pass a Standard CR (2) Athletics Check or else they become Paralyzed. If the user is Tier 3, it is a Tough CR (3) Athletics Check instead. </v>
      </c>
      <c r="H408" s="224"/>
      <c r="I408" s="224"/>
      <c r="J408" s="224"/>
      <c r="K408" s="224"/>
      <c r="L408" s="224"/>
      <c r="M408" s="224"/>
      <c r="N408" s="224"/>
      <c r="O408" s="224"/>
      <c r="P408" s="224"/>
      <c r="Q408" s="224"/>
      <c r="R408" s="224"/>
      <c r="S408" s="224"/>
      <c r="T408" s="224"/>
      <c r="U408" s="224"/>
      <c r="V408" s="224"/>
      <c r="W408" s="224"/>
      <c r="X408" s="224"/>
      <c r="Y408" s="224"/>
      <c r="Z408" s="224"/>
    </row>
    <row r="409">
      <c r="A409" s="225" t="str">
        <f>IFERROR(__xludf.DUMMYFUNCTION("""COMPUTED_VALUE"""),"Steam Engine")</f>
        <v>Steam Engine</v>
      </c>
      <c r="B409" s="225" t="str">
        <f>IFERROR(__xludf.DUMMYFUNCTION("""COMPUTED_VALUE"""),"Scene x2 – Reaction")</f>
        <v>Scene x2 – Reaction</v>
      </c>
      <c r="C409" s="225" t="str">
        <f>IFERROR(__xludf.DUMMYFUNCTION("""COMPUTED_VALUE"""),"Connection - Smokescreen. 
Effect: The user may use Smokescreen as a Free Action, ignoring Frequency, centered on the user.
Bonus: The user is Immune to Water Type Attacks and cannot have their Accuracy lowered. ")</f>
        <v>Connection - Smokescreen. 
Effect: The user may use Smokescreen as a Free Action, ignoring Frequency, centered on the user.
Bonus: The user is Immune to Water Type Attacks and cannot have their Accuracy lowered. </v>
      </c>
      <c r="D409" s="225" t="str">
        <f>IFERROR(__xludf.DUMMYFUNCTION("""COMPUTED_VALUE"""),"The user is hit by a Fire Type or Water Type Attack, or begins their turn in Sunny or Rainy Weather")</f>
        <v>The user is hit by a Fire Type or Water Type Attack, or begins their turn in Sunny or Rainy Weather</v>
      </c>
      <c r="E409" s="225"/>
      <c r="F409" s="225" t="str">
        <f>IFERROR(__xludf.DUMMYFUNCTION("""COMPUTED_VALUE"""),"Defensive")</f>
        <v>Defensive</v>
      </c>
      <c r="G409" s="226" t="str">
        <f>IFERROR(__xludf.DUMMYFUNCTION("""COMPUTED_VALUE"""),"Scene x2 – Reaction
Keywords - Defensive
Trigger - The user is hit by a Fire Type or Water Type Attack, or begins their turn in Sunny or Rainy Weather
Connection - Smokescreen. 
Effect: The user may use Smokescreen as a Free Action, ignoring Frequency, ce"&amp;"ntered on the user.
Bonus: The user is Immune to Water Type Attacks and cannot have their Accuracy lowered. ")</f>
        <v>Scene x2 – Reaction
Keywords - Defensive
Trigger - The user is hit by a Fire Type or Water Type Attack, or begins their turn in Sunny or Rainy Weather
Connection - Smokescreen. 
Effect: The user may use Smokescreen as a Free Action, ignoring Frequency, centered on the user.
Bonus: The user is Immune to Water Type Attacks and cannot have their Accuracy lowered. </v>
      </c>
      <c r="H409" s="224"/>
      <c r="I409" s="224"/>
      <c r="J409" s="224"/>
      <c r="K409" s="224"/>
      <c r="L409" s="224"/>
      <c r="M409" s="224"/>
      <c r="N409" s="224"/>
      <c r="O409" s="224"/>
      <c r="P409" s="224"/>
      <c r="Q409" s="224"/>
      <c r="R409" s="224"/>
      <c r="S409" s="224"/>
      <c r="T409" s="224"/>
      <c r="U409" s="224"/>
      <c r="V409" s="224"/>
      <c r="W409" s="224"/>
      <c r="X409" s="224"/>
      <c r="Y409" s="224"/>
      <c r="Z409" s="224"/>
    </row>
    <row r="410">
      <c r="A410" s="225" t="str">
        <f>IFERROR(__xludf.DUMMYFUNCTION("""COMPUTED_VALUE"""),"Stench")</f>
        <v>Stench</v>
      </c>
      <c r="B410" s="225" t="str">
        <f>IFERROR(__xludf.DUMMYFUNCTION("""COMPUTED_VALUE"""),"At-Will - Reaction")</f>
        <v>At-Will - Reaction</v>
      </c>
      <c r="C410" s="225" t="str">
        <f>IFERROR(__xludf.DUMMYFUNCTION("""COMPUTED_VALUE"""),"Effect: The Triggering Enemy has a penalty to Accuracy and Save Checks equal to your Tier Level until the end of their next Turn. 
Bonus: All Enemies within 2m of the user have a penalty to Accuracy and Save Checks equal to your Tier Level while within th"&amp;"is range. This does not stack if an Enemy is affected by the Effect of Stench. 
")</f>
        <v>Effect: The Triggering Enemy has a penalty to Accuracy and Save Checks equal to your Tier Level until the end of their next Turn. 
Bonus: All Enemies within 2m of the user have a penalty to Accuracy and Save Checks equal to your Tier Level while within this range. This does not stack if an Enemy is affected by the Effect of Stench. 
</v>
      </c>
      <c r="D410" s="225" t="str">
        <f>IFERROR(__xludf.DUMMYFUNCTION("""COMPUTED_VALUE"""),"The user is hit by an Adjacent Attack")</f>
        <v>The user is hit by an Adjacent Attack</v>
      </c>
      <c r="E410" s="225"/>
      <c r="F410" s="225" t="str">
        <f>IFERROR(__xludf.DUMMYFUNCTION("""COMPUTED_VALUE"""),"Defensive")</f>
        <v>Defensive</v>
      </c>
      <c r="G410" s="226" t="str">
        <f>IFERROR(__xludf.DUMMYFUNCTION("""COMPUTED_VALUE"""),"At-Will - Reaction
Keywords - Defensive
Trigger - The user is hit by an Adjacent Attack
Effect: The Triggering Enemy has a penalty to Accuracy and Save Checks equal to your Tier Level until the end of their next Turn. 
Bonus: All Enemies within 2m of the "&amp;"user have a penalty to Accuracy and Save Checks equal to your Tier Level while within this range. This does not stack if an Enemy is affected by the Effect of Stench. 
")</f>
        <v>At-Will - Reaction
Keywords - Defensive
Trigger - The user is hit by an Adjacent Attack
Effect: The Triggering Enemy has a penalty to Accuracy and Save Checks equal to your Tier Level until the end of their next Turn. 
Bonus: All Enemies within 2m of the user have a penalty to Accuracy and Save Checks equal to your Tier Level while within this range. This does not stack if an Enemy is affected by the Effect of Stench. 
</v>
      </c>
      <c r="H410" s="224"/>
      <c r="I410" s="224"/>
      <c r="J410" s="224"/>
      <c r="K410" s="224"/>
      <c r="L410" s="224"/>
      <c r="M410" s="224"/>
      <c r="N410" s="224"/>
      <c r="O410" s="224"/>
      <c r="P410" s="224"/>
      <c r="Q410" s="224"/>
      <c r="R410" s="224"/>
      <c r="S410" s="224"/>
      <c r="T410" s="224"/>
      <c r="U410" s="224"/>
      <c r="V410" s="224"/>
      <c r="W410" s="224"/>
      <c r="X410" s="224"/>
      <c r="Y410" s="224"/>
      <c r="Z410" s="224"/>
    </row>
    <row r="411">
      <c r="A411" s="225" t="str">
        <f>IFERROR(__xludf.DUMMYFUNCTION("""COMPUTED_VALUE"""),"Sticky Smoke")</f>
        <v>Sticky Smoke</v>
      </c>
      <c r="B411" s="225" t="str">
        <f>IFERROR(__xludf.DUMMYFUNCTION("""COMPUTED_VALUE"""),"Scene x2 - Free Action")</f>
        <v>Scene x2 - Free Action</v>
      </c>
      <c r="C411" s="225" t="str">
        <f>IFERROR(__xludf.DUMMYFUNCTION("""COMPUTED_VALUE"""),"Connection - Smokescreen. 
Effect: The Smoke Hazards created become Sticky. All Enemies that begin or end their turn in Sticky Smoke Hazards have their Accuracy lowered by -1. This penalty may occur multiple times, but only once per turn. This stacks with"&amp;" the usual penalties from Smoke Hazards.
Bonus: As a Swift Action, the user may create a 3x3 Zone, centered on themselves and create Smoke Hazards in all Spaces within the Zone. ")</f>
        <v>Connection - Smokescreen. 
Effect: The Smoke Hazards created become Sticky. All Enemies that begin or end their turn in Sticky Smoke Hazards have their Accuracy lowered by -1. This penalty may occur multiple times, but only once per turn. This stacks with the usual penalties from Smoke Hazards.
Bonus: As a Swift Action, the user may create a 3x3 Zone, centered on themselves and create Smoke Hazards in all Spaces within the Zone. </v>
      </c>
      <c r="D411" s="225" t="str">
        <f>IFERROR(__xludf.DUMMYFUNCTION("""COMPUTED_VALUE"""),"The user creates a Smoke Hazard")</f>
        <v>The user creates a Smoke Hazard</v>
      </c>
      <c r="E411" s="225"/>
      <c r="F411" s="225"/>
      <c r="G411" s="226" t="str">
        <f>IFERROR(__xludf.DUMMYFUNCTION("""COMPUTED_VALUE"""),"Scene x2 - Free Action
Trigger - The user creates a Smoke Hazard
Connection - Smokescreen. 
Effect: The Smoke Hazards created become Sticky. All Enemies that begin or end their turn in Sticky Smoke Hazards have their Accuracy lowered by -1. This penalty m"&amp;"ay occur multiple times, but only once per turn. This stacks with the usual penalties from Smoke Hazards.
Bonus: As a Swift Action, the user may create a 3x3 Zone, centered on themselves and create Smoke Hazards in all Spaces within the Zone. ")</f>
        <v>Scene x2 - Free Action
Trigger - The user creates a Smoke Hazard
Connection - Smokescreen. 
Effect: The Smoke Hazards created become Sticky. All Enemies that begin or end their turn in Sticky Smoke Hazards have their Accuracy lowered by -1. This penalty may occur multiple times, but only once per turn. This stacks with the usual penalties from Smoke Hazards.
Bonus: As a Swift Action, the user may create a 3x3 Zone, centered on themselves and create Smoke Hazards in all Spaces within the Zone. </v>
      </c>
      <c r="H411" s="224"/>
      <c r="I411" s="224"/>
      <c r="J411" s="224"/>
      <c r="K411" s="224"/>
      <c r="L411" s="224"/>
      <c r="M411" s="224"/>
      <c r="N411" s="224"/>
      <c r="O411" s="224"/>
      <c r="P411" s="224"/>
      <c r="Q411" s="224"/>
      <c r="R411" s="224"/>
      <c r="S411" s="224"/>
      <c r="T411" s="224"/>
      <c r="U411" s="224"/>
      <c r="V411" s="224"/>
      <c r="W411" s="224"/>
      <c r="X411" s="224"/>
      <c r="Y411" s="224"/>
      <c r="Z411" s="224"/>
    </row>
    <row r="412">
      <c r="A412" s="225" t="str">
        <f>IFERROR(__xludf.DUMMYFUNCTION("""COMPUTED_VALUE"""),"Sticky Syrup")</f>
        <v>Sticky Syrup</v>
      </c>
      <c r="B412" s="225" t="str">
        <f>IFERROR(__xludf.DUMMYFUNCTION("""COMPUTED_VALUE"""),"At-Will - Swift Action")</f>
        <v>At-Will - Swift Action</v>
      </c>
      <c r="C412" s="225" t="str">
        <f>IFERROR(__xludf.DUMMYFUNCTION("""COMPUTED_VALUE"""),"Effect: All Targets hit by the Triggering Attack gain a Sap Counter (Max 3). Combatants with a Sap Counter have a -2 Penalty to Accuracy for each Counter they have. One Sap Counter can be removed as a Swift Action and using the Respite Maneuver can remove"&amp;" as many Counters as they have.
Bonus: As a Swift Action, the user may turn a 2x2 Zone within 3m of them into Hazardous Terrain. This Hazard has the same Effects as Sticky Syrup’s Effect")</f>
        <v>Effect: All Targets hit by the Triggering Attack gain a Sap Counter (Max 3). Combatants with a Sap Counter have a -2 Penalty to Accuracy for each Counter they have. One Sap Counter can be removed as a Swift Action and using the Respite Maneuver can remove as many Counters as they have.
Bonus: As a Swift Action, the user may turn a 2x2 Zone within 3m of them into Hazardous Terrain. This Hazard has the same Effects as Sticky Syrup’s Effect</v>
      </c>
      <c r="D412" s="225" t="str">
        <f>IFERROR(__xludf.DUMMYFUNCTION("""COMPUTED_VALUE"""),"The user hits with a Bug, Grass or Poison Type Attack")</f>
        <v>The user hits with a Bug, Grass or Poison Type Attack</v>
      </c>
      <c r="E412" s="225"/>
      <c r="F412" s="225"/>
      <c r="G412" s="226" t="str">
        <f>IFERROR(__xludf.DUMMYFUNCTION("""COMPUTED_VALUE"""),"At-Will - Swift Action
Trigger - The user hits with a Bug, Grass or Poison Type Attack
Effect: All Targets hit by the Triggering Attack gain a Sap Counter (Max 3). Combatants with a Sap Counter have a -2 Penalty to Accuracy for each Counter they have. One"&amp;" Sap Counter can be removed as a Swift Action and using the Respite Maneuver can remove as many Counters as they have.
Bonus: As a Swift Action, the user may turn a 2x2 Zone within 3m of them into Hazardous Terrain. This Hazard has the same Effects as Sti"&amp;"cky Syrup’s Effect")</f>
        <v>At-Will - Swift Action
Trigger - The user hits with a Bug, Grass or Poison Type Attack
Effect: All Targets hit by the Triggering Attack gain a Sap Counter (Max 3). Combatants with a Sap Counter have a -2 Penalty to Accuracy for each Counter they have. One Sap Counter can be removed as a Swift Action and using the Respite Maneuver can remove as many Counters as they have.
Bonus: As a Swift Action, the user may turn a 2x2 Zone within 3m of them into Hazardous Terrain. This Hazard has the same Effects as Sticky Syrup’s Effect</v>
      </c>
      <c r="H412" s="224"/>
      <c r="I412" s="224"/>
      <c r="J412" s="224"/>
      <c r="K412" s="224"/>
      <c r="L412" s="224"/>
      <c r="M412" s="224"/>
      <c r="N412" s="224"/>
      <c r="O412" s="224"/>
      <c r="P412" s="224"/>
      <c r="Q412" s="224"/>
      <c r="R412" s="224"/>
      <c r="S412" s="224"/>
      <c r="T412" s="224"/>
      <c r="U412" s="224"/>
      <c r="V412" s="224"/>
      <c r="W412" s="224"/>
      <c r="X412" s="224"/>
      <c r="Y412" s="224"/>
      <c r="Z412" s="224"/>
    </row>
    <row r="413">
      <c r="A413" s="225" t="str">
        <f>IFERROR(__xludf.DUMMYFUNCTION("""COMPUTED_VALUE"""),"Stoicism")</f>
        <v>Stoicism</v>
      </c>
      <c r="B413" s="225" t="str">
        <f>IFERROR(__xludf.DUMMYFUNCTION("""COMPUTED_VALUE"""),"Static")</f>
        <v>Static</v>
      </c>
      <c r="C413" s="225" t="str">
        <f>IFERROR(__xludf.DUMMYFUNCTION("""COMPUTED_VALUE"""),"Effect: The user adds +5 Points to their Defense Stat in the Extras Column. When the user reaches Level 20 and every interval after that (20, 40, etc) they gain an additional +5. If the user is a Trainer, the Level Intervals are Level 4, 8, 12, 16, then 2"&amp;"0. The user may use their Physical Stat Evasion instead of Special Defense when Targeted by a Special Attack if desired.")</f>
        <v>Effect: The user adds +5 Points to their Defense Stat in the Extras Column. When the user reaches Level 20 and every interval after that (20, 40, etc) they gain an additional +5. If the user is a Trainer, the Level Intervals are Level 4, 8, 12, 16, then 20. The user may use their Physical Stat Evasion instead of Special Defense when Targeted by a Special Attack if desired.</v>
      </c>
      <c r="D413" s="225"/>
      <c r="E413" s="225"/>
      <c r="F413" s="225" t="str">
        <f>IFERROR(__xludf.DUMMYFUNCTION("""COMPUTED_VALUE"""),"Innate")</f>
        <v>Innate</v>
      </c>
      <c r="G413" s="226" t="str">
        <f>IFERROR(__xludf.DUMMYFUNCTION("""COMPUTED_VALUE"""),"Static
Keywords - Innate
Effect: The user adds +5 Points to their Defense Stat in the Extras Column. When the user reaches Level 20 and every interval after that (20, 40, etc) they gain an additional +5. If the user is a Trainer, the Level Intervals are L"&amp;"evel 4, 8, 12, 16, then 20. The user may use their Physical Stat Evasion instead of Special Defense when Targeted by a Special Attack if desired.")</f>
        <v>Static
Keywords - Innate
Effect: The user adds +5 Points to their Defense Stat in the Extras Column. When the user reaches Level 20 and every interval after that (20, 40, etc) they gain an additional +5. If the user is a Trainer, the Level Intervals are Level 4, 8, 12, 16, then 20. The user may use their Physical Stat Evasion instead of Special Defense when Targeted by a Special Attack if desired.</v>
      </c>
      <c r="H413" s="224"/>
      <c r="I413" s="224"/>
      <c r="J413" s="224"/>
      <c r="K413" s="224"/>
      <c r="L413" s="224"/>
      <c r="M413" s="224"/>
      <c r="N413" s="224"/>
      <c r="O413" s="224"/>
      <c r="P413" s="224"/>
      <c r="Q413" s="224"/>
      <c r="R413" s="224"/>
      <c r="S413" s="224"/>
      <c r="T413" s="224"/>
      <c r="U413" s="224"/>
      <c r="V413" s="224"/>
      <c r="W413" s="224"/>
      <c r="X413" s="224"/>
      <c r="Y413" s="224"/>
      <c r="Z413" s="224"/>
    </row>
    <row r="414">
      <c r="A414" s="225" t="str">
        <f>IFERROR(__xludf.DUMMYFUNCTION("""COMPUTED_VALUE"""),"Stormlord")</f>
        <v>Stormlord</v>
      </c>
      <c r="B414" s="225" t="str">
        <f>IFERROR(__xludf.DUMMYFUNCTION("""COMPUTED_VALUE"""),"At-Will - Swift Action")</f>
        <v>At-Will - Swift Action</v>
      </c>
      <c r="C414" s="225" t="str">
        <f>IFERROR(__xludf.DUMMYFUNCTION("""COMPUTED_VALUE"""),"Connection - Thunderstorm
Effect: The Weather becomes a Thunderstorm. 
Bonus: While the Weather is Thunderstorm, the user has a bonus to Save Checks equal to their Tier Level and has a Boon to all Skill Checks while in Combat. ")</f>
        <v>Connection - Thunderstorm
Effect: The Weather becomes a Thunderstorm. 
Bonus: While the Weather is Thunderstorm, the user has a bonus to Save Checks equal to their Tier Level and has a Boon to all Skill Checks while in Combat. </v>
      </c>
      <c r="D414" s="225"/>
      <c r="E414" s="225"/>
      <c r="F414" s="225"/>
      <c r="G414" s="226" t="str">
        <f>IFERROR(__xludf.DUMMYFUNCTION("""COMPUTED_VALUE"""),"At-Will - Swift Action
Connection - Thunderstorm
Effect: The Weather becomes a Thunderstorm. 
Bonus: While the Weather is Thunderstorm, the user has a bonus to Save Checks equal to their Tier Level and has a Boon to all Skill Checks while in Combat. ")</f>
        <v>At-Will - Swift Action
Connection - Thunderstorm
Effect: The Weather becomes a Thunderstorm. 
Bonus: While the Weather is Thunderstorm, the user has a bonus to Save Checks equal to their Tier Level and has a Boon to all Skill Checks while in Combat. </v>
      </c>
      <c r="H414" s="224"/>
      <c r="I414" s="224"/>
      <c r="J414" s="224"/>
      <c r="K414" s="224"/>
      <c r="L414" s="224"/>
      <c r="M414" s="224"/>
      <c r="N414" s="224"/>
      <c r="O414" s="224"/>
      <c r="P414" s="224"/>
      <c r="Q414" s="224"/>
      <c r="R414" s="224"/>
      <c r="S414" s="224"/>
      <c r="T414" s="224"/>
      <c r="U414" s="224"/>
      <c r="V414" s="224"/>
      <c r="W414" s="224"/>
      <c r="X414" s="224"/>
      <c r="Y414" s="224"/>
      <c r="Z414" s="224"/>
    </row>
    <row r="415">
      <c r="A415" s="225" t="str">
        <f>IFERROR(__xludf.DUMMYFUNCTION("""COMPUTED_VALUE"""),"Strange Tempo")</f>
        <v>Strange Tempo</v>
      </c>
      <c r="B415" s="225" t="str">
        <f>IFERROR(__xludf.DUMMYFUNCTION("""COMPUTED_VALUE"""),"Scene x2 - Swift Action")</f>
        <v>Scene x2 - Swift Action</v>
      </c>
      <c r="C415" s="225" t="str">
        <f>IFERROR(__xludf.DUMMYFUNCTION("""COMPUTED_VALUE"""),"Effect: The user may activate this Ability if there is an Enemy that is Adjacent to them. The user becomes Dazed, then may perform an Attack of Opportunity against a random Adjacent Enemy as a Free Action.
Bonus: The user may still perform Tactics Maneuve"&amp;"rs while Dazed and may cure themselves of other Afflictions while Dazed. ")</f>
        <v>Effect: The user may activate this Ability if there is an Enemy that is Adjacent to them. The user becomes Dazed, then may perform an Attack of Opportunity against a random Adjacent Enemy as a Free Action.
Bonus: The user may still perform Tactics Maneuvers while Dazed and may cure themselves of other Afflictions while Dazed. </v>
      </c>
      <c r="D415" s="225"/>
      <c r="E415" s="225"/>
      <c r="F415" s="225"/>
      <c r="G415" s="226" t="str">
        <f>IFERROR(__xludf.DUMMYFUNCTION("""COMPUTED_VALUE"""),"Scene x2 - Swift Action
Effect: The user may activate this Ability if there is an Enemy that is Adjacent to them. The user becomes Dazed, then may perform an Attack of Opportunity against a random Adjacent Enemy as a Free Action.
Bonus: The user may still"&amp;" perform Tactics Maneuvers while Dazed and may cure themselves of other Afflictions while Dazed. ")</f>
        <v>Scene x2 - Swift Action
Effect: The user may activate this Ability if there is an Enemy that is Adjacent to them. The user becomes Dazed, then may perform an Attack of Opportunity against a random Adjacent Enemy as a Free Action.
Bonus: The user may still perform Tactics Maneuvers while Dazed and may cure themselves of other Afflictions while Dazed. </v>
      </c>
      <c r="H415" s="224"/>
      <c r="I415" s="224"/>
      <c r="J415" s="224"/>
      <c r="K415" s="224"/>
      <c r="L415" s="224"/>
      <c r="M415" s="224"/>
      <c r="N415" s="224"/>
      <c r="O415" s="224"/>
      <c r="P415" s="224"/>
      <c r="Q415" s="224"/>
      <c r="R415" s="224"/>
      <c r="S415" s="224"/>
      <c r="T415" s="224"/>
      <c r="U415" s="224"/>
      <c r="V415" s="224"/>
      <c r="W415" s="224"/>
      <c r="X415" s="224"/>
      <c r="Y415" s="224"/>
      <c r="Z415" s="224"/>
    </row>
    <row r="416">
      <c r="A416" s="225" t="str">
        <f>IFERROR(__xludf.DUMMYFUNCTION("""COMPUTED_VALUE"""),"Strong Jaw")</f>
        <v>Strong Jaw</v>
      </c>
      <c r="B416" s="225" t="str">
        <f>IFERROR(__xludf.DUMMYFUNCTION("""COMPUTED_VALUE"""),"Scene - Swift Action")</f>
        <v>Scene - Swift Action</v>
      </c>
      <c r="C416" s="225" t="str">
        <f>IFERROR(__xludf.DUMMYFUNCTION("""COMPUTED_VALUE"""),"Effect: The Effect Range automatically Triggers.  
Bonus: The user gains +3 DB to Attacks with the Bite Keyword.")</f>
        <v>Effect: The Effect Range automatically Triggers.  
Bonus: The user gains +3 DB to Attacks with the Bite Keyword.</v>
      </c>
      <c r="D416" s="225" t="str">
        <f>IFERROR(__xludf.DUMMYFUNCTION("""COMPUTED_VALUE"""),"The user hits with an Attack with the Bite Keyword")</f>
        <v>The user hits with an Attack with the Bite Keyword</v>
      </c>
      <c r="E416" s="225"/>
      <c r="F416" s="225"/>
      <c r="G416" s="226" t="str">
        <f>IFERROR(__xludf.DUMMYFUNCTION("""COMPUTED_VALUE"""),"Scene - Swift Action
Trigger - The user hits with an Attack with the Bite Keyword
Effect: The Effect Range automatically Triggers.  
Bonus: The user gains +3 DB to Attacks with the Bite Keyword.")</f>
        <v>Scene - Swift Action
Trigger - The user hits with an Attack with the Bite Keyword
Effect: The Effect Range automatically Triggers.  
Bonus: The user gains +3 DB to Attacks with the Bite Keyword.</v>
      </c>
      <c r="H416" s="224"/>
      <c r="I416" s="224"/>
      <c r="J416" s="224"/>
      <c r="K416" s="224"/>
      <c r="L416" s="224"/>
      <c r="M416" s="224"/>
      <c r="N416" s="224"/>
      <c r="O416" s="224"/>
      <c r="P416" s="224"/>
      <c r="Q416" s="224"/>
      <c r="R416" s="224"/>
      <c r="S416" s="224"/>
      <c r="T416" s="224"/>
      <c r="U416" s="224"/>
      <c r="V416" s="224"/>
      <c r="W416" s="224"/>
      <c r="X416" s="224"/>
      <c r="Y416" s="224"/>
      <c r="Z416" s="224"/>
    </row>
    <row r="417">
      <c r="A417" s="225" t="str">
        <f>IFERROR(__xludf.DUMMYFUNCTION("""COMPUTED_VALUE"""),"Suction Cups")</f>
        <v>Suction Cups</v>
      </c>
      <c r="B417" s="225" t="str">
        <f>IFERROR(__xludf.DUMMYFUNCTION("""COMPUTED_VALUE"""),"At-Will - Movement Action")</f>
        <v>At-Will - Movement Action</v>
      </c>
      <c r="C417" s="225" t="str">
        <f>IFERROR(__xludf.DUMMYFUNCTION("""COMPUTED_VALUE"""),"Effect: The user gains Damage Reduction equal to their Tick Value until the end of the next Round. Damage Reduction gained this way does not stack with itself.
Bonus: The user cannot be Slid.")</f>
        <v>Effect: The user gains Damage Reduction equal to their Tick Value until the end of the next Round. Damage Reduction gained this way does not stack with itself.
Bonus: The user cannot be Slid.</v>
      </c>
      <c r="D417" s="225"/>
      <c r="E417" s="225"/>
      <c r="F417" s="225"/>
      <c r="G417" s="226" t="str">
        <f>IFERROR(__xludf.DUMMYFUNCTION("""COMPUTED_VALUE"""),"At-Will - Movement Action
Effect: The user gains Damage Reduction equal to their Tick Value until the end of the next Round. Damage Reduction gained this way does not stack with itself.
Bonus: The user cannot be Slid.")</f>
        <v>At-Will - Movement Action
Effect: The user gains Damage Reduction equal to their Tick Value until the end of the next Round. Damage Reduction gained this way does not stack with itself.
Bonus: The user cannot be Slid.</v>
      </c>
      <c r="H417" s="224"/>
      <c r="I417" s="224"/>
      <c r="J417" s="224"/>
      <c r="K417" s="224"/>
      <c r="L417" s="224"/>
      <c r="M417" s="224"/>
      <c r="N417" s="224"/>
      <c r="O417" s="224"/>
      <c r="P417" s="224"/>
      <c r="Q417" s="224"/>
      <c r="R417" s="224"/>
      <c r="S417" s="224"/>
      <c r="T417" s="224"/>
      <c r="U417" s="224"/>
      <c r="V417" s="224"/>
      <c r="W417" s="224"/>
      <c r="X417" s="224"/>
      <c r="Y417" s="224"/>
      <c r="Z417" s="224"/>
    </row>
    <row r="418">
      <c r="A418" s="225" t="str">
        <f>IFERROR(__xludf.DUMMYFUNCTION("""COMPUTED_VALUE"""),"Sumo Stance")</f>
        <v>Sumo Stance</v>
      </c>
      <c r="B418" s="225" t="str">
        <f>IFERROR(__xludf.DUMMYFUNCTION("""COMPUTED_VALUE"""),"At-Will - Swift or Movement Action")</f>
        <v>At-Will - Swift or Movement Action</v>
      </c>
      <c r="C418" s="225" t="str">
        <f>IFERROR(__xludf.DUMMYFUNCTION("""COMPUTED_VALUE"""),"Effect: The user enters a Sumo Stance.  
Forceful Stance - The user has a Damage Bonus equal to their Tier Value. When the user hits a Melee Attack, they may use a Push Maneuver as a Free Action. 
Guarding Stance - The user has Damage Reduction equal to t"&amp;"heir Tier Value and cannot have Tactic Maneuvers used against them. ")</f>
        <v>Effect: The user enters a Sumo Stance.  
Forceful Stance - The user has a Damage Bonus equal to their Tier Value. When the user hits a Melee Attack, they may use a Push Maneuver as a Free Action. 
Guarding Stance - The user has Damage Reduction equal to their Tier Value and cannot have Tactic Maneuvers used against them. </v>
      </c>
      <c r="D418" s="225"/>
      <c r="E418" s="225"/>
      <c r="F418" s="225" t="str">
        <f>IFERROR(__xludf.DUMMYFUNCTION("""COMPUTED_VALUE"""),"Defensive")</f>
        <v>Defensive</v>
      </c>
      <c r="G418" s="226" t="str">
        <f>IFERROR(__xludf.DUMMYFUNCTION("""COMPUTED_VALUE"""),"At-Will - Swift or Movement Action
Keywords - Defensive
Effect: The user enters a Sumo Stance.  
Forceful Stance - The user has a Damage Bonus equal to their Tier Value. When the user hits a Melee Attack, they may use a Push Maneuver as a Free Action. 
Gu"&amp;"arding Stance - The user has Damage Reduction equal to their Tier Value and cannot have Tactic Maneuvers used against them. ")</f>
        <v>At-Will - Swift or Movement Action
Keywords - Defensive
Effect: The user enters a Sumo Stance.  
Forceful Stance - The user has a Damage Bonus equal to their Tier Value. When the user hits a Melee Attack, they may use a Push Maneuver as a Free Action. 
Guarding Stance - The user has Damage Reduction equal to their Tier Value and cannot have Tactic Maneuvers used against them. </v>
      </c>
      <c r="H418" s="224"/>
      <c r="I418" s="224"/>
      <c r="J418" s="224"/>
      <c r="K418" s="224"/>
      <c r="L418" s="224"/>
      <c r="M418" s="224"/>
      <c r="N418" s="224"/>
      <c r="O418" s="224"/>
      <c r="P418" s="224"/>
      <c r="Q418" s="224"/>
      <c r="R418" s="224"/>
      <c r="S418" s="224"/>
      <c r="T418" s="224"/>
      <c r="U418" s="224"/>
      <c r="V418" s="224"/>
      <c r="W418" s="224"/>
      <c r="X418" s="224"/>
      <c r="Y418" s="224"/>
      <c r="Z418" s="224"/>
    </row>
    <row r="419">
      <c r="A419" s="225" t="str">
        <f>IFERROR(__xludf.DUMMYFUNCTION("""COMPUTED_VALUE"""),"Sunglow")</f>
        <v>Sunglow</v>
      </c>
      <c r="B419" s="225" t="str">
        <f>IFERROR(__xludf.DUMMYFUNCTION("""COMPUTED_VALUE"""),"Scene - Swift + Movement Action")</f>
        <v>Scene - Swift + Movement Action</v>
      </c>
      <c r="C419" s="225" t="str">
        <f>IFERROR(__xludf.DUMMYFUNCTION("""COMPUTED_VALUE"""),"Effect: Choose one of the following Effects to apply to the user. The user gains +1 CS in Attack and Special Attack. The user restores 2 Ticks of Hit Points. The user recovers from 1 Physical Affliction. If the Weather is Sunny or Mystical, all numerical "&amp;"values above are doubled or you may use Sunglow without expending its Frequency. ")</f>
        <v>Effect: Choose one of the following Effects to apply to the user. The user gains +1 CS in Attack and Special Attack. The user restores 2 Ticks of Hit Points. The user recovers from 1 Physical Affliction. If the Weather is Sunny or Mystical, all numerical values above are doubled or you may use Sunglow without expending its Frequency. </v>
      </c>
      <c r="D419" s="225"/>
      <c r="E419" s="225"/>
      <c r="F419" s="225"/>
      <c r="G419" s="226" t="str">
        <f>IFERROR(__xludf.DUMMYFUNCTION("""COMPUTED_VALUE"""),"Scene - Swift + Movement Action
Effect: Choose one of the following Effects to apply to the user. The user gains +1 CS in Attack and Special Attack. The user restores 2 Ticks of Hit Points. The user recovers from 1 Physical Affliction. If the Weather is S"&amp;"unny or Mystical, all numerical values above are doubled or you may use Sunglow without expending its Frequency. ")</f>
        <v>Scene - Swift + Movement Action
Effect: Choose one of the following Effects to apply to the user. The user gains +1 CS in Attack and Special Attack. The user restores 2 Ticks of Hit Points. The user recovers from 1 Physical Affliction. If the Weather is Sunny or Mystical, all numerical values above are doubled or you may use Sunglow without expending its Frequency. </v>
      </c>
      <c r="H419" s="224"/>
      <c r="I419" s="224"/>
      <c r="J419" s="224"/>
      <c r="K419" s="224"/>
      <c r="L419" s="224"/>
      <c r="M419" s="224"/>
      <c r="N419" s="224"/>
      <c r="O419" s="224"/>
      <c r="P419" s="224"/>
      <c r="Q419" s="224"/>
      <c r="R419" s="224"/>
      <c r="S419" s="224"/>
      <c r="T419" s="224"/>
      <c r="U419" s="224"/>
      <c r="V419" s="224"/>
      <c r="W419" s="224"/>
      <c r="X419" s="224"/>
      <c r="Y419" s="224"/>
      <c r="Z419" s="224"/>
    </row>
    <row r="420">
      <c r="A420" s="225" t="str">
        <f>IFERROR(__xludf.DUMMYFUNCTION("""COMPUTED_VALUE"""),"Super Luck")</f>
        <v>Super Luck</v>
      </c>
      <c r="B420" s="225" t="str">
        <f>IFERROR(__xludf.DUMMYFUNCTION("""COMPUTED_VALUE"""),"Scene - Swift Action")</f>
        <v>Scene - Swift Action</v>
      </c>
      <c r="C420" s="225" t="str">
        <f>IFERROR(__xludf.DUMMYFUNCTION("""COMPUTED_VALUE"""),"Effect: The user may reroll the Triggering d20
Bonus: The user has a bonus to Critical Hit Ranges equal to their Tier Level")</f>
        <v>Effect: The user may reroll the Triggering d20
Bonus: The user has a bonus to Critical Hit Ranges equal to their Tier Level</v>
      </c>
      <c r="D420" s="225" t="str">
        <f>IFERROR(__xludf.DUMMYFUNCTION("""COMPUTED_VALUE"""),"The user rolls a 1 on a d20")</f>
        <v>The user rolls a 1 on a d20</v>
      </c>
      <c r="E420" s="225"/>
      <c r="F420" s="225"/>
      <c r="G420" s="226" t="str">
        <f>IFERROR(__xludf.DUMMYFUNCTION("""COMPUTED_VALUE"""),"Scene - Swift Action
Trigger - The user rolls a 1 on a d20
Effect: The user may reroll the Triggering d20
Bonus: The user has a bonus to Critical Hit Ranges equal to their Tier Level")</f>
        <v>Scene - Swift Action
Trigger - The user rolls a 1 on a d20
Effect: The user may reroll the Triggering d20
Bonus: The user has a bonus to Critical Hit Ranges equal to their Tier Level</v>
      </c>
      <c r="H420" s="224"/>
      <c r="I420" s="224"/>
      <c r="J420" s="224"/>
      <c r="K420" s="224"/>
      <c r="L420" s="224"/>
      <c r="M420" s="224"/>
      <c r="N420" s="224"/>
      <c r="O420" s="224"/>
      <c r="P420" s="224"/>
      <c r="Q420" s="224"/>
      <c r="R420" s="224"/>
      <c r="S420" s="224"/>
      <c r="T420" s="224"/>
      <c r="U420" s="224"/>
      <c r="V420" s="224"/>
      <c r="W420" s="224"/>
      <c r="X420" s="224"/>
      <c r="Y420" s="224"/>
      <c r="Z420" s="224"/>
    </row>
    <row r="421">
      <c r="A421" s="225" t="str">
        <f>IFERROR(__xludf.DUMMYFUNCTION("""COMPUTED_VALUE"""),"Supreme Overlord")</f>
        <v>Supreme Overlord</v>
      </c>
      <c r="B421" s="225" t="str">
        <f>IFERROR(__xludf.DUMMYFUNCTION("""COMPUTED_VALUE"""),"At-Will - Swift Action")</f>
        <v>At-Will - Swift Action</v>
      </c>
      <c r="C421" s="225" t="str">
        <f>IFERROR(__xludf.DUMMYFUNCTION("""COMPUTED_VALUE"""),"Effect: The Target becomes Vulnerable until the start of your next Turn. A Combatant may only be affected by this Effect once per Scene.
Bonus: Whenever an Ally hits an Attack against an Enemy, that Enemy cannot apply Evasion against the user’s Attacks un"&amp;"til the end of your next Turn.")</f>
        <v>Effect: The Target becomes Vulnerable until the start of your next Turn. A Combatant may only be affected by this Effect once per Scene.
Bonus: Whenever an Ally hits an Attack against an Enemy, that Enemy cannot apply Evasion against the user’s Attacks until the end of your next Turn.</v>
      </c>
      <c r="D421" s="225" t="str">
        <f>IFERROR(__xludf.DUMMYFUNCTION("""COMPUTED_VALUE"""),"The user hits with an Attack")</f>
        <v>The user hits with an Attack</v>
      </c>
      <c r="E421" s="225"/>
      <c r="F421" s="225"/>
      <c r="G421" s="226" t="str">
        <f>IFERROR(__xludf.DUMMYFUNCTION("""COMPUTED_VALUE"""),"At-Will - Swift Action
Trigger - The user hits with an Attack
Effect: The Target becomes Vulnerable until the start of your next Turn. A Combatant may only be affected by this Effect once per Scene.
Bonus: Whenever an Ally hits an Attack against an Enemy,"&amp;" that Enemy cannot apply Evasion against the user’s Attacks until the end of your next Turn.")</f>
        <v>At-Will - Swift Action
Trigger - The user hits with an Attack
Effect: The Target becomes Vulnerable until the start of your next Turn. A Combatant may only be affected by this Effect once per Scene.
Bonus: Whenever an Ally hits an Attack against an Enemy, that Enemy cannot apply Evasion against the user’s Attacks until the end of your next Turn.</v>
      </c>
      <c r="H421" s="224"/>
      <c r="I421" s="224"/>
      <c r="J421" s="224"/>
      <c r="K421" s="224"/>
      <c r="L421" s="224"/>
      <c r="M421" s="224"/>
      <c r="N421" s="224"/>
      <c r="O421" s="224"/>
      <c r="P421" s="224"/>
      <c r="Q421" s="224"/>
      <c r="R421" s="224"/>
      <c r="S421" s="224"/>
      <c r="T421" s="224"/>
      <c r="U421" s="224"/>
      <c r="V421" s="224"/>
      <c r="W421" s="224"/>
      <c r="X421" s="224"/>
      <c r="Y421" s="224"/>
      <c r="Z421" s="224"/>
    </row>
    <row r="422">
      <c r="A422" s="225" t="str">
        <f>IFERROR(__xludf.DUMMYFUNCTION("""COMPUTED_VALUE"""),"Surge Surfer")</f>
        <v>Surge Surfer</v>
      </c>
      <c r="B422" s="225" t="str">
        <f>IFERROR(__xludf.DUMMYFUNCTION("""COMPUTED_VALUE"""),"Static")</f>
        <v>Static</v>
      </c>
      <c r="C422" s="225" t="str">
        <f>IFERROR(__xludf.DUMMYFUNCTION("""COMPUTED_VALUE"""),"Effect: While the user is below 50% Hit Points or the Weather is Thunderstorm or Mystical, the user cannot trigger Attacks of Opportunity by moving and they can use Electric Attacks as if their Range was Melee, Pass or Line 4. ")</f>
        <v>Effect: While the user is below 50% Hit Points or the Weather is Thunderstorm or Mystical, the user cannot trigger Attacks of Opportunity by moving and they can use Electric Attacks as if their Range was Melee, Pass or Line 4. </v>
      </c>
      <c r="D422" s="225"/>
      <c r="E422" s="225"/>
      <c r="F422" s="225"/>
      <c r="G422" s="226" t="str">
        <f>IFERROR(__xludf.DUMMYFUNCTION("""COMPUTED_VALUE"""),"Static
Effect: While the user is below 50% Hit Points or the Weather is Thunderstorm or Mystical, the user cannot trigger Attacks of Opportunity by moving and they can use Electric Attacks as if their Range was Melee, Pass or Line 4. ")</f>
        <v>Static
Effect: While the user is below 50% Hit Points or the Weather is Thunderstorm or Mystical, the user cannot trigger Attacks of Opportunity by moving and they can use Electric Attacks as if their Range was Melee, Pass or Line 4. </v>
      </c>
      <c r="H422" s="224"/>
      <c r="I422" s="224"/>
      <c r="J422" s="224"/>
      <c r="K422" s="224"/>
      <c r="L422" s="224"/>
      <c r="M422" s="224"/>
      <c r="N422" s="224"/>
      <c r="O422" s="224"/>
      <c r="P422" s="224"/>
      <c r="Q422" s="224"/>
      <c r="R422" s="224"/>
      <c r="S422" s="224"/>
      <c r="T422" s="224"/>
      <c r="U422" s="224"/>
      <c r="V422" s="224"/>
      <c r="W422" s="224"/>
      <c r="X422" s="224"/>
      <c r="Y422" s="224"/>
      <c r="Z422" s="224"/>
    </row>
    <row r="423">
      <c r="A423" s="225" t="str">
        <f>IFERROR(__xludf.DUMMYFUNCTION("""COMPUTED_VALUE"""),"Sweet Veil")</f>
        <v>Sweet Veil</v>
      </c>
      <c r="B423" s="225" t="str">
        <f>IFERROR(__xludf.DUMMYFUNCTION("""COMPUTED_VALUE"""),"Static")</f>
        <v>Static</v>
      </c>
      <c r="C423" s="225" t="str">
        <f>IFERROR(__xludf.DUMMYFUNCTION("""COMPUTED_VALUE"""),"Effect: The user and allies within 2m are Immune to the Drowsy Affliction and have a bonus to Save Checks equal to your Tier Level. If a Drowsy Ally enters a space within 2m of the user, they are cured of the Drowsy Affliction. ")</f>
        <v>Effect: The user and allies within 2m are Immune to the Drowsy Affliction and have a bonus to Save Checks equal to your Tier Level. If a Drowsy Ally enters a space within 2m of the user, they are cured of the Drowsy Affliction. </v>
      </c>
      <c r="D423" s="225"/>
      <c r="E423" s="225"/>
      <c r="F423" s="225" t="str">
        <f>IFERROR(__xludf.DUMMYFUNCTION("""COMPUTED_VALUE"""),"Defensive")</f>
        <v>Defensive</v>
      </c>
      <c r="G423" s="226" t="str">
        <f>IFERROR(__xludf.DUMMYFUNCTION("""COMPUTED_VALUE"""),"Static
Keywords - Defensive
Effect: The user and allies within 2m are Immune to the Drowsy Affliction and have a bonus to Save Checks equal to your Tier Level. If a Drowsy Ally enters a space within 2m of the user, they are cured of the Drowsy Affliction."&amp;" ")</f>
        <v>Static
Keywords - Defensive
Effect: The user and allies within 2m are Immune to the Drowsy Affliction and have a bonus to Save Checks equal to your Tier Level. If a Drowsy Ally enters a space within 2m of the user, they are cured of the Drowsy Affliction. </v>
      </c>
      <c r="H423" s="224"/>
      <c r="I423" s="224"/>
      <c r="J423" s="224"/>
      <c r="K423" s="224"/>
      <c r="L423" s="224"/>
      <c r="M423" s="224"/>
      <c r="N423" s="224"/>
      <c r="O423" s="224"/>
      <c r="P423" s="224"/>
      <c r="Q423" s="224"/>
      <c r="R423" s="224"/>
      <c r="S423" s="224"/>
      <c r="T423" s="224"/>
      <c r="U423" s="224"/>
      <c r="V423" s="224"/>
      <c r="W423" s="224"/>
      <c r="X423" s="224"/>
      <c r="Y423" s="224"/>
      <c r="Z423" s="224"/>
    </row>
    <row r="424">
      <c r="A424" s="225" t="str">
        <f>IFERROR(__xludf.DUMMYFUNCTION("""COMPUTED_VALUE"""),"Symbiosis")</f>
        <v>Symbiosis</v>
      </c>
      <c r="B424" s="225" t="str">
        <f>IFERROR(__xludf.DUMMYFUNCTION("""COMPUTED_VALUE"""),"Scene x2 - Reaction")</f>
        <v>Scene x2 - Reaction</v>
      </c>
      <c r="C424" s="225" t="str">
        <f>IFERROR(__xludf.DUMMYFUNCTION("""COMPUTED_VALUE"""),"Effect: The Target also has the same Stats increased or decreased by the same amount as the user. ")</f>
        <v>Effect: The Target also has the same Stats increased or decreased by the same amount as the user. </v>
      </c>
      <c r="D424" s="225" t="str">
        <f>IFERROR(__xludf.DUMMYFUNCTION("""COMPUTED_VALUE"""),"The user has their Combat Stages increased or decreased by an Attack")</f>
        <v>The user has their Combat Stages increased or decreased by an Attack</v>
      </c>
      <c r="E424" s="225" t="str">
        <f>IFERROR(__xludf.DUMMYFUNCTION("""COMPUTED_VALUE"""),"A Combatant within 5m")</f>
        <v>A Combatant within 5m</v>
      </c>
      <c r="F424" s="225"/>
      <c r="G424" s="226" t="str">
        <f>IFERROR(__xludf.DUMMYFUNCTION("""COMPUTED_VALUE"""),"Scene x2 - Reaction
Trigger - The user has their Combat Stages increased or decreased by an Attack
Target - A Combatant within 5m
Effect: The Target also has the same Stats increased or decreased by the same amount as the user. ")</f>
        <v>Scene x2 - Reaction
Trigger - The user has their Combat Stages increased or decreased by an Attack
Target - A Combatant within 5m
Effect: The Target also has the same Stats increased or decreased by the same amount as the user. </v>
      </c>
      <c r="H424" s="224"/>
      <c r="I424" s="224"/>
      <c r="J424" s="224"/>
      <c r="K424" s="224"/>
      <c r="L424" s="224"/>
      <c r="M424" s="224"/>
      <c r="N424" s="224"/>
      <c r="O424" s="224"/>
      <c r="P424" s="224"/>
      <c r="Q424" s="224"/>
      <c r="R424" s="224"/>
      <c r="S424" s="224"/>
      <c r="T424" s="224"/>
      <c r="U424" s="224"/>
      <c r="V424" s="224"/>
      <c r="W424" s="224"/>
      <c r="X424" s="224"/>
      <c r="Y424" s="224"/>
      <c r="Z424" s="224"/>
    </row>
    <row r="425">
      <c r="A425" s="225" t="str">
        <f>IFERROR(__xludf.DUMMYFUNCTION("""COMPUTED_VALUE"""),"Synchronize")</f>
        <v>Synchronize</v>
      </c>
      <c r="B425" s="225" t="str">
        <f>IFERROR(__xludf.DUMMYFUNCTION("""COMPUTED_VALUE"""),"Scene x2 - Swift Action ")</f>
        <v>Scene x2 - Swift Action </v>
      </c>
      <c r="C425" s="225" t="str">
        <f>IFERROR(__xludf.DUMMYFUNCTION("""COMPUTED_VALUE"""),"Effect: The Target gains all Status Afflictions that the user is affected by. If the Target is an Ally, instead, they are cured of all Status Afflictions and the user gains all Afflictions cured this way. ")</f>
        <v>Effect: The Target gains all Status Afflictions that the user is affected by. If the Target is an Ally, instead, they are cured of all Status Afflictions and the user gains all Afflictions cured this way. </v>
      </c>
      <c r="D425" s="225"/>
      <c r="E425" s="225" t="str">
        <f>IFERROR(__xludf.DUMMYFUNCTION("""COMPUTED_VALUE"""),"A Combatant within 5m")</f>
        <v>A Combatant within 5m</v>
      </c>
      <c r="F425" s="225"/>
      <c r="G425" s="226" t="str">
        <f>IFERROR(__xludf.DUMMYFUNCTION("""COMPUTED_VALUE"""),"Scene x2 - Swift Action 
Target - A Combatant within 5m
Effect: The Target gains all Status Afflictions that the user is affected by. If the Target is an Ally, instead, they are cured of all Status Afflictions and the user gains all Afflictions cured this"&amp;" way. ")</f>
        <v>Scene x2 - Swift Action 
Target - A Combatant within 5m
Effect: The Target gains all Status Afflictions that the user is affected by. If the Target is an Ally, instead, they are cured of all Status Afflictions and the user gains all Afflictions cured this way. </v>
      </c>
      <c r="H425" s="224"/>
      <c r="I425" s="224"/>
      <c r="J425" s="224"/>
      <c r="K425" s="224"/>
      <c r="L425" s="224"/>
      <c r="M425" s="224"/>
      <c r="N425" s="224"/>
      <c r="O425" s="224"/>
      <c r="P425" s="224"/>
      <c r="Q425" s="224"/>
      <c r="R425" s="224"/>
      <c r="S425" s="224"/>
      <c r="T425" s="224"/>
      <c r="U425" s="224"/>
      <c r="V425" s="224"/>
      <c r="W425" s="224"/>
      <c r="X425" s="224"/>
      <c r="Y425" s="224"/>
      <c r="Z425" s="224"/>
    </row>
    <row r="426">
      <c r="A426" s="225" t="str">
        <f>IFERROR(__xludf.DUMMYFUNCTION("""COMPUTED_VALUE"""),"Tactical Wisdom")</f>
        <v>Tactical Wisdom</v>
      </c>
      <c r="B426" s="225" t="str">
        <f>IFERROR(__xludf.DUMMYFUNCTION("""COMPUTED_VALUE"""),"Scene - Reaction")</f>
        <v>Scene - Reaction</v>
      </c>
      <c r="C426" s="225" t="str">
        <f>IFERROR(__xludf.DUMMYFUNCTION("""COMPUTED_VALUE"""),"Effect: The Triggering Attack instead hits. 
Bonus: The user has a bonus to Accuracy and Effect Ranges on their Psychic Type Attacks equal to their Tier Level.")</f>
        <v>Effect: The Triggering Attack instead hits. 
Bonus: The user has a bonus to Accuracy and Effect Ranges on their Psychic Type Attacks equal to their Tier Level.</v>
      </c>
      <c r="D426" s="225" t="str">
        <f>IFERROR(__xludf.DUMMYFUNCTION("""COMPUTED_VALUE"""),"The user misses a Special Attack")</f>
        <v>The user misses a Special Attack</v>
      </c>
      <c r="E426" s="225"/>
      <c r="F426" s="225"/>
      <c r="G426" s="226" t="str">
        <f>IFERROR(__xludf.DUMMYFUNCTION("""COMPUTED_VALUE"""),"Scene - Reaction
Trigger - The user misses a Special Attack
Effect: The Triggering Attack instead hits. 
Bonus: The user has a bonus to Accuracy and Effect Ranges on their Psychic Type Attacks equal to their Tier Level.")</f>
        <v>Scene - Reaction
Trigger - The user misses a Special Attack
Effect: The Triggering Attack instead hits. 
Bonus: The user has a bonus to Accuracy and Effect Ranges on their Psychic Type Attacks equal to their Tier Level.</v>
      </c>
      <c r="H426" s="224"/>
      <c r="I426" s="224"/>
      <c r="J426" s="224"/>
      <c r="K426" s="224"/>
      <c r="L426" s="224"/>
      <c r="M426" s="224"/>
      <c r="N426" s="224"/>
      <c r="O426" s="224"/>
      <c r="P426" s="224"/>
      <c r="Q426" s="224"/>
      <c r="R426" s="224"/>
      <c r="S426" s="224"/>
      <c r="T426" s="224"/>
      <c r="U426" s="224"/>
      <c r="V426" s="224"/>
      <c r="W426" s="224"/>
      <c r="X426" s="224"/>
      <c r="Y426" s="224"/>
      <c r="Z426" s="224"/>
    </row>
    <row r="427">
      <c r="A427" s="225" t="str">
        <f>IFERROR(__xludf.DUMMYFUNCTION("""COMPUTED_VALUE"""),"Tangling Hair")</f>
        <v>Tangling Hair</v>
      </c>
      <c r="B427" s="225" t="str">
        <f>IFERROR(__xludf.DUMMYFUNCTION("""COMPUTED_VALUE"""),"Scene - Reaction")</f>
        <v>Scene - Reaction</v>
      </c>
      <c r="C427" s="225" t="str">
        <f>IFERROR(__xludf.DUMMYFUNCTION("""COMPUTED_VALUE"""),"Effect: The user may use a Grapple Maneuver as a Free Action against the Triggering Enemy. The user automatically passes the first Grapple Check
Bonus: Enemy Melee Attacks against you have a 15+ Effect Range to cause their user to become Slowed. Their Eff"&amp;"ect Range modifiers do not change this Effect Range. ")</f>
        <v>Effect: The user may use a Grapple Maneuver as a Free Action against the Triggering Enemy. The user automatically passes the first Grapple Check
Bonus: Enemy Melee Attacks against you have a 15+ Effect Range to cause their user to become Slowed. Their Effect Range modifiers do not change this Effect Range. </v>
      </c>
      <c r="D427" s="225" t="str">
        <f>IFERROR(__xludf.DUMMYFUNCTION("""COMPUTED_VALUE"""),"The user it hit by an Adjacent Attack")</f>
        <v>The user it hit by an Adjacent Attack</v>
      </c>
      <c r="E427" s="225"/>
      <c r="F427" s="225"/>
      <c r="G427" s="226" t="str">
        <f>IFERROR(__xludf.DUMMYFUNCTION("""COMPUTED_VALUE"""),"Scene - Reaction
Trigger - The user it hit by an Adjacent Attack
Effect: The user may use a Grapple Maneuver as a Free Action against the Triggering Enemy. The user automatically passes the first Grapple Check
Bonus: Enemy Melee Attacks against you have a"&amp;" 15+ Effect Range to cause their user to become Slowed. Their Effect Range modifiers do not change this Effect Range. ")</f>
        <v>Scene - Reaction
Trigger - The user it hit by an Adjacent Attack
Effect: The user may use a Grapple Maneuver as a Free Action against the Triggering Enemy. The user automatically passes the first Grapple Check
Bonus: Enemy Melee Attacks against you have a 15+ Effect Range to cause their user to become Slowed. Their Effect Range modifiers do not change this Effect Range. </v>
      </c>
      <c r="H427" s="224"/>
      <c r="I427" s="224"/>
      <c r="J427" s="224"/>
      <c r="K427" s="224"/>
      <c r="L427" s="224"/>
      <c r="M427" s="224"/>
      <c r="N427" s="224"/>
      <c r="O427" s="224"/>
      <c r="P427" s="224"/>
      <c r="Q427" s="224"/>
      <c r="R427" s="224"/>
      <c r="S427" s="224"/>
      <c r="T427" s="224"/>
      <c r="U427" s="224"/>
      <c r="V427" s="224"/>
      <c r="W427" s="224"/>
      <c r="X427" s="224"/>
      <c r="Y427" s="224"/>
      <c r="Z427" s="224"/>
    </row>
    <row r="428">
      <c r="A428" s="225" t="str">
        <f>IFERROR(__xludf.DUMMYFUNCTION("""COMPUTED_VALUE"""),"Targeting System")</f>
        <v>Targeting System</v>
      </c>
      <c r="B428" s="225" t="str">
        <f>IFERROR(__xludf.DUMMYFUNCTION("""COMPUTED_VALUE"""),"Static")</f>
        <v>Static</v>
      </c>
      <c r="C428" s="225" t="str">
        <f>IFERROR(__xludf.DUMMYFUNCTION("""COMPUTED_VALUE"""),"Connection – Lock-On. 
Effect: Your 1-Target Ranged Attacks ignore Accuracy Penalties as a result of Terrain. When using Lock-On, you may treat its Range as if it were “3, 2 Targets” or “6, Ranged Blast 3” instead of “10, 1 Target”")</f>
        <v>Connection – Lock-On. 
Effect: Your 1-Target Ranged Attacks ignore Accuracy Penalties as a result of Terrain. When using Lock-On, you may treat its Range as if it were “3, 2 Targets” or “6, Ranged Blast 3” instead of “10, 1 Target”</v>
      </c>
      <c r="D428" s="225"/>
      <c r="E428" s="225"/>
      <c r="F428" s="225"/>
      <c r="G428" s="226" t="str">
        <f>IFERROR(__xludf.DUMMYFUNCTION("""COMPUTED_VALUE"""),"Static
Connection – Lock-On. 
Effect: Your 1-Target Ranged Attacks ignore Accuracy Penalties as a result of Terrain. When using Lock-On, you may treat its Range as if it were “3, 2 Targets” or “6, Ranged Blast 3” instead of “10, 1 Target”")</f>
        <v>Static
Connection – Lock-On. 
Effect: Your 1-Target Ranged Attacks ignore Accuracy Penalties as a result of Terrain. When using Lock-On, you may treat its Range as if it were “3, 2 Targets” or “6, Ranged Blast 3” instead of “10, 1 Target”</v>
      </c>
      <c r="H428" s="224"/>
      <c r="I428" s="224"/>
      <c r="J428" s="224"/>
      <c r="K428" s="224"/>
      <c r="L428" s="224"/>
      <c r="M428" s="224"/>
      <c r="N428" s="224"/>
      <c r="O428" s="224"/>
      <c r="P428" s="224"/>
      <c r="Q428" s="224"/>
      <c r="R428" s="224"/>
      <c r="S428" s="224"/>
      <c r="T428" s="224"/>
      <c r="U428" s="224"/>
      <c r="V428" s="224"/>
      <c r="W428" s="224"/>
      <c r="X428" s="224"/>
      <c r="Y428" s="224"/>
      <c r="Z428" s="224"/>
    </row>
    <row r="429">
      <c r="A429" s="225" t="str">
        <f>IFERROR(__xludf.DUMMYFUNCTION("""COMPUTED_VALUE"""),"Teamwork")</f>
        <v>Teamwork</v>
      </c>
      <c r="B429" s="225" t="str">
        <f>IFERROR(__xludf.DUMMYFUNCTION("""COMPUTED_VALUE"""),"At-Will - Free Action")</f>
        <v>At-Will - Free Action</v>
      </c>
      <c r="C429" s="225" t="str">
        <f>IFERROR(__xludf.DUMMYFUNCTION("""COMPUTED_VALUE"""),"Effect: The Triggering Ally has a bonus to Accuracy for the Triggering Attack equal to your Tier Level.
Bonus: If you have any Modifiers to Save Checks, Adjacent Allies are also treated as having them while next to you unless they have the same modifier f"&amp;"rom the same source. ")</f>
        <v>Effect: The Triggering Ally has a bonus to Accuracy for the Triggering Attack equal to your Tier Level.
Bonus: If you have any Modifiers to Save Checks, Adjacent Allies are also treated as having them while next to you unless they have the same modifier from the same source. </v>
      </c>
      <c r="D429" s="225" t="str">
        <f>IFERROR(__xludf.DUMMYFUNCTION("""COMPUTED_VALUE"""),"An Ally is Targeting an Enemy you’re Adjacent to with an Attack or Maneuver")</f>
        <v>An Ally is Targeting an Enemy you’re Adjacent to with an Attack or Maneuver</v>
      </c>
      <c r="E429" s="225"/>
      <c r="F429" s="225"/>
      <c r="G429" s="226" t="str">
        <f>IFERROR(__xludf.DUMMYFUNCTION("""COMPUTED_VALUE"""),"At-Will - Free Action
Trigger - An Ally is Targeting an Enemy you’re Adjacent to with an Attack or Maneuver
Effect: The Triggering Ally has a bonus to Accuracy for the Triggering Attack equal to your Tier Level.
Bonus: If you have any Modifiers to Save Ch"&amp;"ecks, Adjacent Allies are also treated as having them while next to you unless they have the same modifier from the same source. ")</f>
        <v>At-Will - Free Action
Trigger - An Ally is Targeting an Enemy you’re Adjacent to with an Attack or Maneuver
Effect: The Triggering Ally has a bonus to Accuracy for the Triggering Attack equal to your Tier Level.
Bonus: If you have any Modifiers to Save Checks, Adjacent Allies are also treated as having them while next to you unless they have the same modifier from the same source. </v>
      </c>
      <c r="H429" s="224"/>
      <c r="I429" s="224"/>
      <c r="J429" s="224"/>
      <c r="K429" s="224"/>
      <c r="L429" s="224"/>
      <c r="M429" s="224"/>
      <c r="N429" s="224"/>
      <c r="O429" s="224"/>
      <c r="P429" s="224"/>
      <c r="Q429" s="224"/>
      <c r="R429" s="224"/>
      <c r="S429" s="224"/>
      <c r="T429" s="224"/>
      <c r="U429" s="224"/>
      <c r="V429" s="224"/>
      <c r="W429" s="224"/>
      <c r="X429" s="224"/>
      <c r="Y429" s="224"/>
      <c r="Z429" s="224"/>
    </row>
    <row r="430">
      <c r="A430" s="225" t="str">
        <f>IFERROR(__xludf.DUMMYFUNCTION("""COMPUTED_VALUE"""),"Teardrop Feathers")</f>
        <v>Teardrop Feathers</v>
      </c>
      <c r="B430" s="225" t="str">
        <f>IFERROR(__xludf.DUMMYFUNCTION("""COMPUTED_VALUE"""),"Scene - Swift Action")</f>
        <v>Scene - Swift Action</v>
      </c>
      <c r="C430" s="225" t="str">
        <f>IFERROR(__xludf.DUMMYFUNCTION("""COMPUTED_VALUE"""),"Effect: The Target becomes Entranced or gains the Wounded Affliction of your choice.
Bonus: The user has a Bonus to Critical Hit Ranges equal to half their Speed CS Value (Rounded Up)")</f>
        <v>Effect: The Target becomes Entranced or gains the Wounded Affliction of your choice.
Bonus: The user has a Bonus to Critical Hit Ranges equal to half their Speed CS Value (Rounded Up)</v>
      </c>
      <c r="D430" s="225" t="str">
        <f>IFERROR(__xludf.DUMMYFUNCTION("""COMPUTED_VALUE"""),"The user hits a Damaging Water Type or Melee Attack")</f>
        <v>The user hits a Damaging Water Type or Melee Attack</v>
      </c>
      <c r="E430" s="225"/>
      <c r="F430" s="225"/>
      <c r="G430" s="226" t="str">
        <f>IFERROR(__xludf.DUMMYFUNCTION("""COMPUTED_VALUE"""),"Scene - Swift Action
Trigger - The user hits a Damaging Water Type or Melee Attack
Effect: The Target becomes Entranced or gains the Wounded Affliction of your choice.
Bonus: The user has a Bonus to Critical Hit Ranges equal to half their Speed CS Value ("&amp;"Rounded Up)")</f>
        <v>Scene - Swift Action
Trigger - The user hits a Damaging Water Type or Melee Attack
Effect: The Target becomes Entranced or gains the Wounded Affliction of your choice.
Bonus: The user has a Bonus to Critical Hit Ranges equal to half their Speed CS Value (Rounded Up)</v>
      </c>
      <c r="H430" s="224"/>
      <c r="I430" s="224"/>
      <c r="J430" s="224"/>
      <c r="K430" s="224"/>
      <c r="L430" s="224"/>
      <c r="M430" s="224"/>
      <c r="N430" s="224"/>
      <c r="O430" s="224"/>
      <c r="P430" s="224"/>
      <c r="Q430" s="224"/>
      <c r="R430" s="224"/>
      <c r="S430" s="224"/>
      <c r="T430" s="224"/>
      <c r="U430" s="224"/>
      <c r="V430" s="224"/>
      <c r="W430" s="224"/>
      <c r="X430" s="224"/>
      <c r="Y430" s="224"/>
      <c r="Z430" s="224"/>
    </row>
    <row r="431">
      <c r="A431" s="225" t="str">
        <f>IFERROR(__xludf.DUMMYFUNCTION("""COMPUTED_VALUE"""),"Technician")</f>
        <v>Technician</v>
      </c>
      <c r="B431" s="225" t="str">
        <f>IFERROR(__xludf.DUMMYFUNCTION("""COMPUTED_VALUE"""),"Scene x2 - Swift Action")</f>
        <v>Scene x2 - Swift Action</v>
      </c>
      <c r="C431" s="225" t="str">
        <f>IFERROR(__xludf.DUMMYFUNCTION("""COMPUTED_VALUE"""),"Effect: The Target is treated as Vulnerable against the Attack. 
Bonus: Attacks with a Damage Base of 6 or lower have their Damage Base increased by +3. This bonus always applies to Attacks with the Double Strike or Five Strike Keywords.")</f>
        <v>Effect: The Target is treated as Vulnerable against the Attack. 
Bonus: Attacks with a Damage Base of 6 or lower have their Damage Base increased by +3. This bonus always applies to Attacks with the Double Strike or Five Strike Keywords.</v>
      </c>
      <c r="D431" s="225" t="str">
        <f>IFERROR(__xludf.DUMMYFUNCTION("""COMPUTED_VALUE"""),"The user uses an At-Will Attack")</f>
        <v>The user uses an At-Will Attack</v>
      </c>
      <c r="E431" s="225"/>
      <c r="F431" s="225"/>
      <c r="G431" s="226" t="str">
        <f>IFERROR(__xludf.DUMMYFUNCTION("""COMPUTED_VALUE"""),"Scene x2 - Swift Action
Trigger - The user uses an At-Will Attack
Effect: The Target is treated as Vulnerable against the Attack. 
Bonus: Attacks with a Damage Base of 6 or lower have their Damage Base increased by +3. This bonus always applies to Attacks"&amp;" with the Double Strike or Five Strike Keywords.")</f>
        <v>Scene x2 - Swift Action
Trigger - The user uses an At-Will Attack
Effect: The Target is treated as Vulnerable against the Attack. 
Bonus: Attacks with a Damage Base of 6 or lower have their Damage Base increased by +3. This bonus always applies to Attacks with the Double Strike or Five Strike Keywords.</v>
      </c>
      <c r="H431" s="224"/>
      <c r="I431" s="224"/>
      <c r="J431" s="224"/>
      <c r="K431" s="224"/>
      <c r="L431" s="224"/>
      <c r="M431" s="224"/>
      <c r="N431" s="224"/>
      <c r="O431" s="224"/>
      <c r="P431" s="224"/>
      <c r="Q431" s="224"/>
      <c r="R431" s="224"/>
      <c r="S431" s="224"/>
      <c r="T431" s="224"/>
      <c r="U431" s="224"/>
      <c r="V431" s="224"/>
      <c r="W431" s="224"/>
      <c r="X431" s="224"/>
      <c r="Y431" s="224"/>
      <c r="Z431" s="224"/>
    </row>
    <row r="432">
      <c r="A432" s="225" t="str">
        <f>IFERROR(__xludf.DUMMYFUNCTION("""COMPUTED_VALUE"""),"Telepathy")</f>
        <v>Telepathy</v>
      </c>
      <c r="B432" s="225" t="str">
        <f>IFERROR(__xludf.DUMMYFUNCTION("""COMPUTED_VALUE"""),"Scene - Standard Action")</f>
        <v>Scene - Standard Action</v>
      </c>
      <c r="C432" s="225" t="str">
        <f>IFERROR(__xludf.DUMMYFUNCTION("""COMPUTED_VALUE"""),"Effect: The Triggering Attack misses the Triggering Ally. If the Triggering Attack would Target multiple Allies, this only applies to one of the Targeted Allies.  
Bonus: Whenever an Ally uses a Damaging AOE Attack that would hit you, you may Disengage as"&amp;" a Free Action before the attack resolves *Grants Telepath")</f>
        <v>Effect: The Triggering Attack misses the Triggering Ally. If the Triggering Attack would Target multiple Allies, this only applies to one of the Targeted Allies.  
Bonus: Whenever an Ally uses a Damaging AOE Attack that would hit you, you may Disengage as a Free Action before the attack resolves *Grants Telepath</v>
      </c>
      <c r="D432" s="225" t="str">
        <f>IFERROR(__xludf.DUMMYFUNCTION("""COMPUTED_VALUE"""),"An Ally would be hit by a non-Melee Attack that doesn’t Target you")</f>
        <v>An Ally would be hit by a non-Melee Attack that doesn’t Target you</v>
      </c>
      <c r="E432" s="225"/>
      <c r="F432" s="225" t="str">
        <f>IFERROR(__xludf.DUMMYFUNCTION("""COMPUTED_VALUE"""),"Defensive")</f>
        <v>Defensive</v>
      </c>
      <c r="G432" s="226" t="str">
        <f>IFERROR(__xludf.DUMMYFUNCTION("""COMPUTED_VALUE"""),"Scene - Standard Action
Keywords - Defensive
Trigger - An Ally would be hit by a non-Melee Attack that doesn’t Target you
Effect: The Triggering Attack misses the Triggering Ally. If the Triggering Attack would Target multiple Allies, this only applies to"&amp;" one of the Targeted Allies.  
Bonus: Whenever an Ally uses a Damaging AOE Attack that would hit you, you may Disengage as a Free Action before the attack resolves *Grants Telepath")</f>
        <v>Scene - Standard Action
Keywords - Defensive
Trigger - An Ally would be hit by a non-Melee Attack that doesn’t Target you
Effect: The Triggering Attack misses the Triggering Ally. If the Triggering Attack would Target multiple Allies, this only applies to one of the Targeted Allies.  
Bonus: Whenever an Ally uses a Damaging AOE Attack that would hit you, you may Disengage as a Free Action before the attack resolves *Grants Telepath</v>
      </c>
      <c r="H432" s="224"/>
      <c r="I432" s="224"/>
      <c r="J432" s="224"/>
      <c r="K432" s="224"/>
      <c r="L432" s="224"/>
      <c r="M432" s="224"/>
      <c r="N432" s="224"/>
      <c r="O432" s="224"/>
      <c r="P432" s="224"/>
      <c r="Q432" s="224"/>
      <c r="R432" s="224"/>
      <c r="S432" s="224"/>
      <c r="T432" s="224"/>
      <c r="U432" s="224"/>
      <c r="V432" s="224"/>
      <c r="W432" s="224"/>
      <c r="X432" s="224"/>
      <c r="Y432" s="224"/>
      <c r="Z432" s="224"/>
    </row>
    <row r="433">
      <c r="A433" s="225" t="str">
        <f>IFERROR(__xludf.DUMMYFUNCTION("""COMPUTED_VALUE"""),"Temporal Boost")</f>
        <v>Temporal Boost</v>
      </c>
      <c r="B433" s="225" t="str">
        <f>IFERROR(__xludf.DUMMYFUNCTION("""COMPUTED_VALUE"""),"At-Will - Free Action")</f>
        <v>At-Will - Free Action</v>
      </c>
      <c r="C433" s="225" t="str">
        <f>IFERROR(__xludf.DUMMYFUNCTION("""COMPUTED_VALUE"""),"Effect: The user gains +1 CS in their highest stat (Choose on a Tie). If this Ability Triggers three times this Scene, they instead gain +2 CS in their highest stat and for each subsequent time it triggers.")</f>
        <v>Effect: The user gains +1 CS in their highest stat (Choose on a Tie). If this Ability Triggers three times this Scene, they instead gain +2 CS in their highest stat and for each subsequent time it triggers.</v>
      </c>
      <c r="D433" s="225" t="str">
        <f>IFERROR(__xludf.DUMMYFUNCTION("""COMPUTED_VALUE"""),"A Round Ends")</f>
        <v>A Round Ends</v>
      </c>
      <c r="E433" s="225"/>
      <c r="F433" s="225"/>
      <c r="G433" s="226" t="str">
        <f>IFERROR(__xludf.DUMMYFUNCTION("""COMPUTED_VALUE"""),"At-Will - Free Action
Trigger - A Round Ends
Effect: The user gains +1 CS in their highest stat (Choose on a Tie). If this Ability Triggers three times this Scene, they instead gain +2 CS in their highest stat and for each subsequent time it triggers.")</f>
        <v>At-Will - Free Action
Trigger - A Round Ends
Effect: The user gains +1 CS in their highest stat (Choose on a Tie). If this Ability Triggers three times this Scene, they instead gain +2 CS in their highest stat and for each subsequent time it triggers.</v>
      </c>
      <c r="H433" s="224"/>
      <c r="I433" s="224"/>
      <c r="J433" s="224"/>
      <c r="K433" s="224"/>
      <c r="L433" s="224"/>
      <c r="M433" s="224"/>
      <c r="N433" s="224"/>
      <c r="O433" s="224"/>
      <c r="P433" s="224"/>
      <c r="Q433" s="224"/>
      <c r="R433" s="224"/>
      <c r="S433" s="224"/>
      <c r="T433" s="224"/>
      <c r="U433" s="224"/>
      <c r="V433" s="224"/>
      <c r="W433" s="224"/>
      <c r="X433" s="224"/>
      <c r="Y433" s="224"/>
      <c r="Z433" s="224"/>
    </row>
    <row r="434">
      <c r="A434" s="225" t="str">
        <f>IFERROR(__xludf.DUMMYFUNCTION("""COMPUTED_VALUE"""),"Thermal Exchange")</f>
        <v>Thermal Exchange</v>
      </c>
      <c r="B434" s="225" t="str">
        <f>IFERROR(__xludf.DUMMYFUNCTION("""COMPUTED_VALUE"""),"Scene - Free Action")</f>
        <v>Scene - Free Action</v>
      </c>
      <c r="C434" s="225" t="str">
        <f>IFERROR(__xludf.DUMMYFUNCTION("""COMPUTED_VALUE"""),"Effect: If this Ability was triggered by an Fire Type Attack, the user Ignores any Damage or Effects of the Triggering Attack. Raise the user's Attack by +1 CS. The user's next Damaging Ice Type Attack that successfully hits a Target adds its Damage Dice "&amp;"Roll an extra time to the Damage. If that Attack is avoided via a Defensive Ability or an Attack with the Shield Keyword, this effect is still expended. 
Bonus: The user is Immune to Burns. ")</f>
        <v>Effect: If this Ability was triggered by an Fire Type Attack, the user Ignores any Damage or Effects of the Triggering Attack. Raise the user's Attack by +1 CS. The user's next Damaging Ice Type Attack that successfully hits a Target adds its Damage Dice Roll an extra time to the Damage. If that Attack is avoided via a Defensive Ability or an Attack with the Shield Keyword, this effect is still expended. 
Bonus: The user is Immune to Burns. </v>
      </c>
      <c r="D434" s="225" t="str">
        <f>IFERROR(__xludf.DUMMYFUNCTION("""COMPUTED_VALUE"""),"The user is hit with a Fire Type Attack, ends their Turn in Sunny Weather, or falls below 50% Hit Points")</f>
        <v>The user is hit with a Fire Type Attack, ends their Turn in Sunny Weather, or falls below 50% Hit Points</v>
      </c>
      <c r="E434" s="225"/>
      <c r="F434" s="225" t="str">
        <f>IFERROR(__xludf.DUMMYFUNCTION("""COMPUTED_VALUE"""),"Defensive")</f>
        <v>Defensive</v>
      </c>
      <c r="G434" s="226" t="str">
        <f>IFERROR(__xludf.DUMMYFUNCTION("""COMPUTED_VALUE"""),"Scene - Free Action
Keywords - Defensive
Trigger - The user is hit with a Fire Type Attack, ends their Turn in Sunny Weather, or falls below 50% Hit Points
Effect: If this Ability was triggered by an Fire Type Attack, the user Ignores any Damage or Effect"&amp;"s of the Triggering Attack. Raise the user's Attack by +1 CS. The user's next Damaging Ice Type Attack that successfully hits a Target adds its Damage Dice Roll an extra time to the Damage. If that Attack is avoided via a Defensive Ability or an Attack wi"&amp;"th the Shield Keyword, this effect is still expended. 
Bonus: The user is Immune to Burns. ")</f>
        <v>Scene - Free Action
Keywords - Defensive
Trigger - The user is hit with a Fire Type Attack, ends their Turn in Sunny Weather, or falls below 50% Hit Points
Effect: If this Ability was triggered by an Fire Type Attack, the user Ignores any Damage or Effects of the Triggering Attack. Raise the user's Attack by +1 CS. The user's next Damaging Ice Type Attack that successfully hits a Target adds its Damage Dice Roll an extra time to the Damage. If that Attack is avoided via a Defensive Ability or an Attack with the Shield Keyword, this effect is still expended. 
Bonus: The user is Immune to Burns. </v>
      </c>
      <c r="H434" s="224"/>
      <c r="I434" s="224"/>
      <c r="J434" s="224"/>
      <c r="K434" s="224"/>
      <c r="L434" s="224"/>
      <c r="M434" s="224"/>
      <c r="N434" s="224"/>
      <c r="O434" s="224"/>
      <c r="P434" s="224"/>
      <c r="Q434" s="224"/>
      <c r="R434" s="224"/>
      <c r="S434" s="224"/>
      <c r="T434" s="224"/>
      <c r="U434" s="224"/>
      <c r="V434" s="224"/>
      <c r="W434" s="224"/>
      <c r="X434" s="224"/>
      <c r="Y434" s="224"/>
      <c r="Z434" s="224"/>
    </row>
    <row r="435">
      <c r="A435" s="225" t="str">
        <f>IFERROR(__xludf.DUMMYFUNCTION("""COMPUTED_VALUE"""),"Thick Fat")</f>
        <v>Thick Fat</v>
      </c>
      <c r="B435" s="225" t="str">
        <f>IFERROR(__xludf.DUMMYFUNCTION("""COMPUTED_VALUE"""),"Scene x2 - Reaction")</f>
        <v>Scene x2 - Reaction</v>
      </c>
      <c r="C435" s="225" t="str">
        <f>IFERROR(__xludf.DUMMYFUNCTION("""COMPUTED_VALUE"""),"Effect: The user resists the Triggering Attack by an additional step, however the user becomes Vulnerable after damage calculations until the end of the next Round. 
Bonus: The user resists Fire and Ice Type Attacks by an additional Damage step. ")</f>
        <v>Effect: The user resists the Triggering Attack by an additional step, however the user becomes Vulnerable after damage calculations until the end of the next Round. 
Bonus: The user resists Fire and Ice Type Attacks by an additional Damage step. </v>
      </c>
      <c r="D435" s="225" t="str">
        <f>IFERROR(__xludf.DUMMYFUNCTION("""COMPUTED_VALUE"""),"The user is hit by a Physical or Adjacent Damaging Attack and is not Vulnerable")</f>
        <v>The user is hit by a Physical or Adjacent Damaging Attack and is not Vulnerable</v>
      </c>
      <c r="E435" s="225"/>
      <c r="F435" s="225" t="str">
        <f>IFERROR(__xludf.DUMMYFUNCTION("""COMPUTED_VALUE"""),"Defensive")</f>
        <v>Defensive</v>
      </c>
      <c r="G435" s="226" t="str">
        <f>IFERROR(__xludf.DUMMYFUNCTION("""COMPUTED_VALUE"""),"Scene x2 - Reaction
Keywords - Defensive
Trigger - The user is hit by a Physical or Adjacent Damaging Attack and is not Vulnerable
Effect: The user resists the Triggering Attack by an additional step, however the user becomes Vulnerable after damage calcu"&amp;"lations until the end of the next Round. 
Bonus: The user resists Fire and Ice Type Attacks by an additional Damage step. ")</f>
        <v>Scene x2 - Reaction
Keywords - Defensive
Trigger - The user is hit by a Physical or Adjacent Damaging Attack and is not Vulnerable
Effect: The user resists the Triggering Attack by an additional step, however the user becomes Vulnerable after damage calculations until the end of the next Round. 
Bonus: The user resists Fire and Ice Type Attacks by an additional Damage step. </v>
      </c>
      <c r="H435" s="224"/>
      <c r="I435" s="224"/>
      <c r="J435" s="224"/>
      <c r="K435" s="224"/>
      <c r="L435" s="224"/>
      <c r="M435" s="224"/>
      <c r="N435" s="224"/>
      <c r="O435" s="224"/>
      <c r="P435" s="224"/>
      <c r="Q435" s="224"/>
      <c r="R435" s="224"/>
      <c r="S435" s="224"/>
      <c r="T435" s="224"/>
      <c r="U435" s="224"/>
      <c r="V435" s="224"/>
      <c r="W435" s="224"/>
      <c r="X435" s="224"/>
      <c r="Y435" s="224"/>
      <c r="Z435" s="224"/>
    </row>
    <row r="436">
      <c r="A436" s="225" t="str">
        <f>IFERROR(__xludf.DUMMYFUNCTION("""COMPUTED_VALUE"""),"Thrust")</f>
        <v>Thrust</v>
      </c>
      <c r="B436" s="225" t="str">
        <f>IFERROR(__xludf.DUMMYFUNCTION("""COMPUTED_VALUE"""),"At-Will - Swift Action")</f>
        <v>At-Will - Swift Action</v>
      </c>
      <c r="C436" s="225" t="str">
        <f>IFERROR(__xludf.DUMMYFUNCTION("""COMPUTED_VALUE"""),"Effect: The Target is Slid up to 3m.
Bonus: The user’s Melee Attacks gain the Smite Keyword. The Push Maneuver gains the Sureshot Keyword.")</f>
        <v>Effect: The Target is Slid up to 3m.
Bonus: The user’s Melee Attacks gain the Smite Keyword. The Push Maneuver gains the Sureshot Keyword.</v>
      </c>
      <c r="D436" s="225" t="str">
        <f>IFERROR(__xludf.DUMMYFUNCTION("""COMPUTED_VALUE"""),"The user hits a Melee, 1 Target Attack")</f>
        <v>The user hits a Melee, 1 Target Attack</v>
      </c>
      <c r="E436" s="225"/>
      <c r="F436" s="225"/>
      <c r="G436" s="226" t="str">
        <f>IFERROR(__xludf.DUMMYFUNCTION("""COMPUTED_VALUE"""),"At-Will - Swift Action
Trigger - The user hits a Melee, 1 Target Attack
Effect: The Target is Slid up to 3m.
Bonus: The user’s Melee Attacks gain the Smite Keyword. The Push Maneuver gains the Sureshot Keyword.")</f>
        <v>At-Will - Swift Action
Trigger - The user hits a Melee, 1 Target Attack
Effect: The Target is Slid up to 3m.
Bonus: The user’s Melee Attacks gain the Smite Keyword. The Push Maneuver gains the Sureshot Keyword.</v>
      </c>
      <c r="H436" s="224"/>
      <c r="I436" s="224"/>
      <c r="J436" s="224"/>
      <c r="K436" s="224"/>
      <c r="L436" s="224"/>
      <c r="M436" s="224"/>
      <c r="N436" s="224"/>
      <c r="O436" s="224"/>
      <c r="P436" s="224"/>
      <c r="Q436" s="224"/>
      <c r="R436" s="224"/>
      <c r="S436" s="224"/>
      <c r="T436" s="224"/>
      <c r="U436" s="224"/>
      <c r="V436" s="224"/>
      <c r="W436" s="224"/>
      <c r="X436" s="224"/>
      <c r="Y436" s="224"/>
      <c r="Z436" s="224"/>
    </row>
    <row r="437">
      <c r="A437" s="225" t="str">
        <f>IFERROR(__xludf.DUMMYFUNCTION("""COMPUTED_VALUE"""),"Tidal Smash")</f>
        <v>Tidal Smash</v>
      </c>
      <c r="B437" s="225" t="str">
        <f>IFERROR(__xludf.DUMMYFUNCTION("""COMPUTED_VALUE"""),"At-Will - Swift Action")</f>
        <v>At-Will - Swift Action</v>
      </c>
      <c r="C437" s="225" t="str">
        <f>IFERROR(__xludf.DUMMYFUNCTION("""COMPUTED_VALUE"""),"Effect: The Target loses -2 CS in Defense. If they already had negative Combat Stages in Defense, they also become Vulnerable against the next Attack to Target them. 
Bonus: The user may perform any Water Type Damaging Attack as if its range was Close Bla"&amp;"st 2 or Melee, 1 Target.")</f>
        <v>Effect: The Target loses -2 CS in Defense. If they already had negative Combat Stages in Defense, they also become Vulnerable against the next Attack to Target them. 
Bonus: The user may perform any Water Type Damaging Attack as if its range was Close Blast 2 or Melee, 1 Target.</v>
      </c>
      <c r="D437" s="225" t="str">
        <f>IFERROR(__xludf.DUMMYFUNCTION("""COMPUTED_VALUE"""),"The user hits a Melee, 1 Target Attack")</f>
        <v>The user hits a Melee, 1 Target Attack</v>
      </c>
      <c r="E437" s="225"/>
      <c r="F437" s="225"/>
      <c r="G437" s="226" t="str">
        <f>IFERROR(__xludf.DUMMYFUNCTION("""COMPUTED_VALUE"""),"At-Will - Swift Action
Trigger - The user hits a Melee, 1 Target Attack
Effect: The Target loses -2 CS in Defense. If they already had negative Combat Stages in Defense, they also become Vulnerable against the next Attack to Target them. 
Bonus: The user "&amp;"may perform any Water Type Damaging Attack as if its range was Close Blast 2 or Melee, 1 Target.")</f>
        <v>At-Will - Swift Action
Trigger - The user hits a Melee, 1 Target Attack
Effect: The Target loses -2 CS in Defense. If they already had negative Combat Stages in Defense, they also become Vulnerable against the next Attack to Target them. 
Bonus: The user may perform any Water Type Damaging Attack as if its range was Close Blast 2 or Melee, 1 Target.</v>
      </c>
      <c r="H437" s="224"/>
      <c r="I437" s="224"/>
      <c r="J437" s="224"/>
      <c r="K437" s="224"/>
      <c r="L437" s="224"/>
      <c r="M437" s="224"/>
      <c r="N437" s="224"/>
      <c r="O437" s="224"/>
      <c r="P437" s="224"/>
      <c r="Q437" s="224"/>
      <c r="R437" s="224"/>
      <c r="S437" s="224"/>
      <c r="T437" s="224"/>
      <c r="U437" s="224"/>
      <c r="V437" s="224"/>
      <c r="W437" s="224"/>
      <c r="X437" s="224"/>
      <c r="Y437" s="224"/>
      <c r="Z437" s="224"/>
    </row>
    <row r="438">
      <c r="A438" s="225" t="str">
        <f>IFERROR(__xludf.DUMMYFUNCTION("""COMPUTED_VALUE"""),"Tidal Trap")</f>
        <v>Tidal Trap</v>
      </c>
      <c r="B438" s="225" t="str">
        <f>IFERROR(__xludf.DUMMYFUNCTION("""COMPUTED_VALUE"""),"Static")</f>
        <v>Static</v>
      </c>
      <c r="C438" s="225" t="str">
        <f>IFERROR(__xludf.DUMMYFUNCTION("""COMPUTED_VALUE"""),"Effect: The user’s Water Type Damaging Attacks gain a 15+ Effect Range to cause the Target to become Slowed. If an Enemy is Trapped as a result of you, your Water Attacks have Sureshot against them.")</f>
        <v>Effect: The user’s Water Type Damaging Attacks gain a 15+ Effect Range to cause the Target to become Slowed. If an Enemy is Trapped as a result of you, your Water Attacks have Sureshot against them.</v>
      </c>
      <c r="D438" s="225"/>
      <c r="E438" s="225"/>
      <c r="F438" s="225"/>
      <c r="G438" s="226" t="str">
        <f>IFERROR(__xludf.DUMMYFUNCTION("""COMPUTED_VALUE"""),"Static
Effect: The user’s Water Type Damaging Attacks gain a 15+ Effect Range to cause the Target to become Slowed. If an Enemy is Trapped as a result of you, your Water Attacks have Sureshot against them.")</f>
        <v>Static
Effect: The user’s Water Type Damaging Attacks gain a 15+ Effect Range to cause the Target to become Slowed. If an Enemy is Trapped as a result of you, your Water Attacks have Sureshot against them.</v>
      </c>
      <c r="H438" s="224"/>
      <c r="I438" s="224"/>
      <c r="J438" s="224"/>
      <c r="K438" s="224"/>
      <c r="L438" s="224"/>
      <c r="M438" s="224"/>
      <c r="N438" s="224"/>
      <c r="O438" s="224"/>
      <c r="P438" s="224"/>
      <c r="Q438" s="224"/>
      <c r="R438" s="224"/>
      <c r="S438" s="224"/>
      <c r="T438" s="224"/>
      <c r="U438" s="224"/>
      <c r="V438" s="224"/>
      <c r="W438" s="224"/>
      <c r="X438" s="224"/>
      <c r="Y438" s="224"/>
      <c r="Z438" s="224"/>
    </row>
    <row r="439">
      <c r="A439" s="225" t="str">
        <f>IFERROR(__xludf.DUMMYFUNCTION("""COMPUTED_VALUE"""),"Tinted Lens")</f>
        <v>Tinted Lens</v>
      </c>
      <c r="B439" s="225" t="str">
        <f>IFERROR(__xludf.DUMMYFUNCTION("""COMPUTED_VALUE"""),"Static")</f>
        <v>Static</v>
      </c>
      <c r="C439" s="225" t="str">
        <f>IFERROR(__xludf.DUMMYFUNCTION("""COMPUTED_VALUE"""),"Effect: The user's Damaging Attacks are Resisted 1 Step Less (Up to Neutral Effectiveness). This does not increase the effectiveness for Attacks that deal Damage due to the Smite Keyword. ")</f>
        <v>Effect: The user's Damaging Attacks are Resisted 1 Step Less (Up to Neutral Effectiveness). This does not increase the effectiveness for Attacks that deal Damage due to the Smite Keyword. </v>
      </c>
      <c r="D439" s="225"/>
      <c r="E439" s="225"/>
      <c r="F439" s="225"/>
      <c r="G439" s="226" t="str">
        <f>IFERROR(__xludf.DUMMYFUNCTION("""COMPUTED_VALUE"""),"Static
Effect: The user's Damaging Attacks are Resisted 1 Step Less (Up to Neutral Effectiveness). This does not increase the effectiveness for Attacks that deal Damage due to the Smite Keyword. ")</f>
        <v>Static
Effect: The user's Damaging Attacks are Resisted 1 Step Less (Up to Neutral Effectiveness). This does not increase the effectiveness for Attacks that deal Damage due to the Smite Keyword. </v>
      </c>
      <c r="H439" s="224"/>
      <c r="I439" s="224"/>
      <c r="J439" s="224"/>
      <c r="K439" s="224"/>
      <c r="L439" s="224"/>
      <c r="M439" s="224"/>
      <c r="N439" s="224"/>
      <c r="O439" s="224"/>
      <c r="P439" s="224"/>
      <c r="Q439" s="224"/>
      <c r="R439" s="224"/>
      <c r="S439" s="224"/>
      <c r="T439" s="224"/>
      <c r="U439" s="224"/>
      <c r="V439" s="224"/>
      <c r="W439" s="224"/>
      <c r="X439" s="224"/>
      <c r="Y439" s="224"/>
      <c r="Z439" s="224"/>
    </row>
    <row r="440">
      <c r="A440" s="225" t="str">
        <f>IFERROR(__xludf.DUMMYFUNCTION("""COMPUTED_VALUE"""),"Tochukaso")</f>
        <v>Tochukaso</v>
      </c>
      <c r="B440" s="225" t="str">
        <f>IFERROR(__xludf.DUMMYFUNCTION("""COMPUTED_VALUE"""),"Scene x2 - Swift Action")</f>
        <v>Scene x2 - Swift Action</v>
      </c>
      <c r="C440" s="225" t="str">
        <f>IFERROR(__xludf.DUMMYFUNCTION("""COMPUTED_VALUE"""),"Connection - Poison Powder. 
Effect: While the Enemy is Poisoned this way, they cannot restore Hit Points. 
Bonus: The user is immune to Poison and Bug Type Attacks. ")</f>
        <v>Connection - Poison Powder. 
Effect: While the Enemy is Poisoned this way, they cannot restore Hit Points. 
Bonus: The user is immune to Poison and Bug Type Attacks. </v>
      </c>
      <c r="D440" s="225" t="str">
        <f>IFERROR(__xludf.DUMMYFUNCTION("""COMPUTED_VALUE"""),"The user Poisons a Single Enemy")</f>
        <v>The user Poisons a Single Enemy</v>
      </c>
      <c r="E440" s="225"/>
      <c r="F440" s="225" t="str">
        <f>IFERROR(__xludf.DUMMYFUNCTION("""COMPUTED_VALUE"""),"Defensive")</f>
        <v>Defensive</v>
      </c>
      <c r="G440" s="226" t="str">
        <f>IFERROR(__xludf.DUMMYFUNCTION("""COMPUTED_VALUE"""),"Scene x2 - Swift Action
Keywords - Defensive
Trigger - The user Poisons a Single Enemy
Connection - Poison Powder. 
Effect: While the Enemy is Poisoned this way, they cannot restore Hit Points. 
Bonus: The user is immune to Poison and Bug Type Attacks. ")</f>
        <v>Scene x2 - Swift Action
Keywords - Defensive
Trigger - The user Poisons a Single Enemy
Connection - Poison Powder. 
Effect: While the Enemy is Poisoned this way, they cannot restore Hit Points. 
Bonus: The user is immune to Poison and Bug Type Attacks. </v>
      </c>
      <c r="H440" s="224"/>
      <c r="I440" s="224"/>
      <c r="J440" s="224"/>
      <c r="K440" s="224"/>
      <c r="L440" s="224"/>
      <c r="M440" s="224"/>
      <c r="N440" s="224"/>
      <c r="O440" s="224"/>
      <c r="P440" s="224"/>
      <c r="Q440" s="224"/>
      <c r="R440" s="224"/>
      <c r="S440" s="224"/>
      <c r="T440" s="224"/>
      <c r="U440" s="224"/>
      <c r="V440" s="224"/>
      <c r="W440" s="224"/>
      <c r="X440" s="224"/>
      <c r="Y440" s="224"/>
      <c r="Z440" s="224"/>
    </row>
    <row r="441">
      <c r="A441" s="225" t="str">
        <f>IFERROR(__xludf.DUMMYFUNCTION("""COMPUTED_VALUE"""),"Torrent")</f>
        <v>Torrent</v>
      </c>
      <c r="B441" s="225" t="str">
        <f>IFERROR(__xludf.DUMMYFUNCTION("""COMPUTED_VALUE"""),"Static")</f>
        <v>Static</v>
      </c>
      <c r="C441" s="225" t="str">
        <f>IFERROR(__xludf.DUMMYFUNCTION("""COMPUTED_VALUE"""),"Effect: The user may use non-Self or Field Water Type Attacks as if their Range was Line 6 or Close Blast 2. If the Weather is Rainy or the user is Underwater, their Water Type Damaging Attacks have their area of effect increased by +1 and they have a bon"&amp;"us to Damage Rolls equal to their Tier Value.")</f>
        <v>Effect: The user may use non-Self or Field Water Type Attacks as if their Range was Line 6 or Close Blast 2. If the Weather is Rainy or the user is Underwater, their Water Type Damaging Attacks have their area of effect increased by +1 and they have a bonus to Damage Rolls equal to their Tier Value.</v>
      </c>
      <c r="D441" s="225"/>
      <c r="E441" s="225"/>
      <c r="F441" s="225"/>
      <c r="G441" s="226" t="str">
        <f>IFERROR(__xludf.DUMMYFUNCTION("""COMPUTED_VALUE"""),"Static
Effect: The user may use non-Self or Field Water Type Attacks as if their Range was Line 6 or Close Blast 2. If the Weather is Rainy or the user is Underwater, their Water Type Damaging Attacks have their area of effect increased by +1 and they hav"&amp;"e a bonus to Damage Rolls equal to their Tier Value.")</f>
        <v>Static
Effect: The user may use non-Self or Field Water Type Attacks as if their Range was Line 6 or Close Blast 2. If the Weather is Rainy or the user is Underwater, their Water Type Damaging Attacks have their area of effect increased by +1 and they have a bonus to Damage Rolls equal to their Tier Value.</v>
      </c>
      <c r="H441" s="224"/>
      <c r="I441" s="224"/>
      <c r="J441" s="224"/>
      <c r="K441" s="224"/>
      <c r="L441" s="224"/>
      <c r="M441" s="224"/>
      <c r="N441" s="224"/>
      <c r="O441" s="224"/>
      <c r="P441" s="224"/>
      <c r="Q441" s="224"/>
      <c r="R441" s="224"/>
      <c r="S441" s="224"/>
      <c r="T441" s="224"/>
      <c r="U441" s="224"/>
      <c r="V441" s="224"/>
      <c r="W441" s="224"/>
      <c r="X441" s="224"/>
      <c r="Y441" s="224"/>
      <c r="Z441" s="224"/>
    </row>
    <row r="442">
      <c r="A442" s="225" t="str">
        <f>IFERROR(__xludf.DUMMYFUNCTION("""COMPUTED_VALUE"""),"Tough Claws")</f>
        <v>Tough Claws</v>
      </c>
      <c r="B442" s="225" t="str">
        <f>IFERROR(__xludf.DUMMYFUNCTION("""COMPUTED_VALUE"""),"Scene - Swift Action
")</f>
        <v>Scene - Swift Action
</v>
      </c>
      <c r="C442" s="225" t="str">
        <f>IFERROR(__xludf.DUMMYFUNCTION("""COMPUTED_VALUE"""),"Effect: When Calculating Damage for the Triggering Attack, ignore all Damage Reduction and positive Combat Stages for the Defense Stat. The Target also cannot resist it through means other than Type Effectiveness. 
Bonus: Enemies cannot apply Physical Eva"&amp;"sion against your Physical Melee Attacks")</f>
        <v>Effect: When Calculating Damage for the Triggering Attack, ignore all Damage Reduction and positive Combat Stages for the Defense Stat. The Target also cannot resist it through means other than Type Effectiveness. 
Bonus: Enemies cannot apply Physical Evasion against your Physical Melee Attacks</v>
      </c>
      <c r="D442" s="225" t="str">
        <f>IFERROR(__xludf.DUMMYFUNCTION("""COMPUTED_VALUE"""),"The user hits a Physical Melee Attack")</f>
        <v>The user hits a Physical Melee Attack</v>
      </c>
      <c r="E442" s="225"/>
      <c r="F442" s="225"/>
      <c r="G442" s="226" t="str">
        <f>IFERROR(__xludf.DUMMYFUNCTION("""COMPUTED_VALUE"""),"Scene - Swift Action
Trigger - The user hits a Physical Melee Attack
Effect: When Calculating Damage for the Triggering Attack, ignore all Damage Reduction and positive Combat Stages for the Defense Stat. The Target also cannot resist it through means o"&amp;"ther than Type Effectiveness. 
Bonus: Enemies cannot apply Physical Evasion against your Physical Melee Attacks")</f>
        <v>Scene - Swift Action
Trigger - The user hits a Physical Melee Attack
Effect: When Calculating Damage for the Triggering Attack, ignore all Damage Reduction and positive Combat Stages for the Defense Stat. The Target also cannot resist it through means other than Type Effectiveness. 
Bonus: Enemies cannot apply Physical Evasion against your Physical Melee Attacks</v>
      </c>
      <c r="H442" s="224"/>
      <c r="I442" s="224"/>
      <c r="J442" s="224"/>
      <c r="K442" s="224"/>
      <c r="L442" s="224"/>
      <c r="M442" s="224"/>
      <c r="N442" s="224"/>
      <c r="O442" s="224"/>
      <c r="P442" s="224"/>
      <c r="Q442" s="224"/>
      <c r="R442" s="224"/>
      <c r="S442" s="224"/>
      <c r="T442" s="224"/>
      <c r="U442" s="224"/>
      <c r="V442" s="224"/>
      <c r="W442" s="224"/>
      <c r="X442" s="224"/>
      <c r="Y442" s="224"/>
      <c r="Z442" s="224"/>
    </row>
    <row r="443">
      <c r="A443" s="225" t="str">
        <f>IFERROR(__xludf.DUMMYFUNCTION("""COMPUTED_VALUE"""),"Toxic Debris")</f>
        <v>Toxic Debris</v>
      </c>
      <c r="B443" s="225" t="str">
        <f>IFERROR(__xludf.DUMMYFUNCTION("""COMPUTED_VALUE"""),"At-Will - Reaction")</f>
        <v>At-Will - Reaction</v>
      </c>
      <c r="C443" s="225" t="str">
        <f>IFERROR(__xludf.DUMMYFUNCTION("""COMPUTED_VALUE"""),"Connection - Toxic Spikes. 
Effect: The user uses Toxic Spikes as a Free Action, ignoring its Frequency, however the Attack’s Range is changed to either Burst 1 or Close Blast 3, laying corresponding Hazards in all affected spaces. ")</f>
        <v>Connection - Toxic Spikes. 
Effect: The user uses Toxic Spikes as a Free Action, ignoring its Frequency, however the Attack’s Range is changed to either Burst 1 or Close Blast 3, laying corresponding Hazards in all affected spaces. </v>
      </c>
      <c r="D443" s="225" t="str">
        <f>IFERROR(__xludf.DUMMYFUNCTION("""COMPUTED_VALUE"""),"The user is hit by an Adjacent Attack")</f>
        <v>The user is hit by an Adjacent Attack</v>
      </c>
      <c r="E443" s="225"/>
      <c r="F443" s="225" t="str">
        <f>IFERROR(__xludf.DUMMYFUNCTION("""COMPUTED_VALUE"""),"Defensive")</f>
        <v>Defensive</v>
      </c>
      <c r="G443" s="226" t="str">
        <f>IFERROR(__xludf.DUMMYFUNCTION("""COMPUTED_VALUE"""),"At-Will - Reaction
Keywords - Defensive
Trigger - The user is hit by an Adjacent Attack
Connection - Toxic Spikes. 
Effect: The user uses Toxic Spikes as a Free Action, ignoring its Frequency, however the Attack’s Range is changed to either Burst 1 or Clo"&amp;"se Blast 3, laying corresponding Hazards in all affected spaces. ")</f>
        <v>At-Will - Reaction
Keywords - Defensive
Trigger - The user is hit by an Adjacent Attack
Connection - Toxic Spikes. 
Effect: The user uses Toxic Spikes as a Free Action, ignoring its Frequency, however the Attack’s Range is changed to either Burst 1 or Close Blast 3, laying corresponding Hazards in all affected spaces. </v>
      </c>
      <c r="H443" s="224"/>
      <c r="I443" s="224"/>
      <c r="J443" s="224"/>
      <c r="K443" s="224"/>
      <c r="L443" s="224"/>
      <c r="M443" s="224"/>
      <c r="N443" s="224"/>
      <c r="O443" s="224"/>
      <c r="P443" s="224"/>
      <c r="Q443" s="224"/>
      <c r="R443" s="224"/>
      <c r="S443" s="224"/>
      <c r="T443" s="224"/>
      <c r="U443" s="224"/>
      <c r="V443" s="224"/>
      <c r="W443" s="224"/>
      <c r="X443" s="224"/>
      <c r="Y443" s="224"/>
      <c r="Z443" s="224"/>
    </row>
    <row r="444">
      <c r="A444" s="225" t="str">
        <f>IFERROR(__xludf.DUMMYFUNCTION("""COMPUTED_VALUE"""),"Trace")</f>
        <v>Trace</v>
      </c>
      <c r="B444" s="225" t="str">
        <f>IFERROR(__xludf.DUMMYFUNCTION("""COMPUTED_VALUE"""),"Scene - Swift Action")</f>
        <v>Scene - Swift Action</v>
      </c>
      <c r="C444" s="225" t="str">
        <f>IFERROR(__xludf.DUMMYFUNCTION("""COMPUTED_VALUE"""),"Effect: The GM reveals the Abilities known by the Target(s). The user gains an Ability that one of the Targets know, provided it isn’t Innate or a Boss Ability. This Ability is removed at the end of the Scene. ")</f>
        <v>Effect: The GM reveals the Abilities known by the Target(s). The user gains an Ability that one of the Targets know, provided it isn’t Innate or a Boss Ability. This Ability is removed at the end of the Scene. </v>
      </c>
      <c r="D444" s="225"/>
      <c r="E444" s="225" t="str">
        <f>IFERROR(__xludf.DUMMYFUNCTION("""COMPUTED_VALUE"""),"An Combatant within 8m or all Combatants within 2m")</f>
        <v>An Combatant within 8m or all Combatants within 2m</v>
      </c>
      <c r="F444" s="225"/>
      <c r="G444" s="226" t="str">
        <f>IFERROR(__xludf.DUMMYFUNCTION("""COMPUTED_VALUE"""),"Scene - Swift Action
Target - An Combatant within 8m or all Combatants within 2m
Effect: The GM reveals the Abilities known by the Target(s). The user gains an Ability that one of the Targets know, provided it isn’t Innate or a Boss Ability. This Ability "&amp;"is removed at the end of the Scene. ")</f>
        <v>Scene - Swift Action
Target - An Combatant within 8m or all Combatants within 2m
Effect: The GM reveals the Abilities known by the Target(s). The user gains an Ability that one of the Targets know, provided it isn’t Innate or a Boss Ability. This Ability is removed at the end of the Scene. </v>
      </c>
      <c r="H444" s="224"/>
      <c r="I444" s="224"/>
      <c r="J444" s="224"/>
      <c r="K444" s="224"/>
      <c r="L444" s="224"/>
      <c r="M444" s="224"/>
      <c r="N444" s="224"/>
      <c r="O444" s="224"/>
      <c r="P444" s="224"/>
      <c r="Q444" s="224"/>
      <c r="R444" s="224"/>
      <c r="S444" s="224"/>
      <c r="T444" s="224"/>
      <c r="U444" s="224"/>
      <c r="V444" s="224"/>
      <c r="W444" s="224"/>
      <c r="X444" s="224"/>
      <c r="Y444" s="224"/>
      <c r="Z444" s="224"/>
    </row>
    <row r="445">
      <c r="A445" s="225" t="str">
        <f>IFERROR(__xludf.DUMMYFUNCTION("""COMPUTED_VALUE"""),"Twisted Visions")</f>
        <v>Twisted Visions</v>
      </c>
      <c r="B445" s="225" t="str">
        <f>IFERROR(__xludf.DUMMYFUNCTION("""COMPUTED_VALUE"""),"Static")</f>
        <v>Static</v>
      </c>
      <c r="C445" s="225" t="str">
        <f>IFERROR(__xludf.DUMMYFUNCTION("""COMPUTED_VALUE"""),"Connection - Confuse Ray. 
Effect: The user's Damaging Attacks Daze Targets on an 18+. The user's Daze Effect Ranges (Excluding the one granted by Twisted Visions) are increased by +2. While an Enemy is Dazed as a result of the user, they have a penalty t"&amp;"o Accuracy Rolls equal to your Tier Level.")</f>
        <v>Connection - Confuse Ray. 
Effect: The user's Damaging Attacks Daze Targets on an 18+. The user's Daze Effect Ranges (Excluding the one granted by Twisted Visions) are increased by +2. While an Enemy is Dazed as a result of the user, they have a penalty to Accuracy Rolls equal to your Tier Level.</v>
      </c>
      <c r="D445" s="225"/>
      <c r="E445" s="225"/>
      <c r="F445" s="225"/>
      <c r="G445" s="226" t="str">
        <f>IFERROR(__xludf.DUMMYFUNCTION("""COMPUTED_VALUE"""),"Static
Connection - Confuse Ray. 
Effect: The user's Damaging Attacks Daze Targets on an 18+. The user's Daze Effect Ranges (Excluding the one granted by Twisted Visions) are increased by +2. While an Enemy is Dazed as a result of the user, they have a pe"&amp;"nalty to Accuracy Rolls equal to your Tier Level.")</f>
        <v>Static
Connection - Confuse Ray. 
Effect: The user's Damaging Attacks Daze Targets on an 18+. The user's Daze Effect Ranges (Excluding the one granted by Twisted Visions) are increased by +2. While an Enemy is Dazed as a result of the user, they have a penalty to Accuracy Rolls equal to your Tier Level.</v>
      </c>
      <c r="H445" s="224"/>
      <c r="I445" s="224"/>
      <c r="J445" s="224"/>
      <c r="K445" s="224"/>
      <c r="L445" s="224"/>
      <c r="M445" s="224"/>
      <c r="N445" s="224"/>
      <c r="O445" s="224"/>
      <c r="P445" s="224"/>
      <c r="Q445" s="224"/>
      <c r="R445" s="224"/>
      <c r="S445" s="224"/>
      <c r="T445" s="224"/>
      <c r="U445" s="224"/>
      <c r="V445" s="224"/>
      <c r="W445" s="224"/>
      <c r="X445" s="224"/>
      <c r="Y445" s="224"/>
      <c r="Z445" s="224"/>
    </row>
    <row r="446">
      <c r="A446" s="225" t="str">
        <f>IFERROR(__xludf.DUMMYFUNCTION("""COMPUTED_VALUE"""),"Type Aura")</f>
        <v>Type Aura</v>
      </c>
      <c r="B446" s="225" t="str">
        <f>IFERROR(__xludf.DUMMYFUNCTION("""COMPUTED_VALUE"""),"Static")</f>
        <v>Static</v>
      </c>
      <c r="C446" s="225" t="str">
        <f>IFERROR(__xludf.DUMMYFUNCTION("""COMPUTED_VALUE"""),"Effect: When the user performs an Attack that matches their Type, they have a bonus to Accuracy equal to their Tier Level and a bonus to Damage Rolls equal to their Tier Value. Whenever an Ally within 2m uses an Attack that matches the user’s Type(s), the"&amp;"y also gain this bonus. Type Aura does not stack with multiple sources of itself if it’s the same Type.")</f>
        <v>Effect: When the user performs an Attack that matches their Type, they have a bonus to Accuracy equal to their Tier Level and a bonus to Damage Rolls equal to their Tier Value. Whenever an Ally within 2m uses an Attack that matches the user’s Type(s), they also gain this bonus. Type Aura does not stack with multiple sources of itself if it’s the same Type.</v>
      </c>
      <c r="D446" s="225"/>
      <c r="E446" s="225"/>
      <c r="F446" s="225"/>
      <c r="G446" s="226" t="str">
        <f>IFERROR(__xludf.DUMMYFUNCTION("""COMPUTED_VALUE"""),"Static
Effect: When the user performs an Attack that matches their Type, they have a bonus to Accuracy equal to their Tier Level and a bonus to Damage Rolls equal to their Tier Value. Whenever an Ally within 2m uses an Attack that matches the user’s Type("&amp;"s), they also gain this bonus. Type Aura does not stack with multiple sources of itself if it’s the same Type.")</f>
        <v>Static
Effect: When the user performs an Attack that matches their Type, they have a bonus to Accuracy equal to their Tier Level and a bonus to Damage Rolls equal to their Tier Value. Whenever an Ally within 2m uses an Attack that matches the user’s Type(s), they also gain this bonus. Type Aura does not stack with multiple sources of itself if it’s the same Type.</v>
      </c>
      <c r="H446" s="224"/>
      <c r="I446" s="224"/>
      <c r="J446" s="224"/>
      <c r="K446" s="224"/>
      <c r="L446" s="224"/>
      <c r="M446" s="224"/>
      <c r="N446" s="224"/>
      <c r="O446" s="224"/>
      <c r="P446" s="224"/>
      <c r="Q446" s="224"/>
      <c r="R446" s="224"/>
      <c r="S446" s="224"/>
      <c r="T446" s="224"/>
      <c r="U446" s="224"/>
      <c r="V446" s="224"/>
      <c r="W446" s="224"/>
      <c r="X446" s="224"/>
      <c r="Y446" s="224"/>
      <c r="Z446" s="224"/>
    </row>
    <row r="447">
      <c r="A447" s="225" t="str">
        <f>IFERROR(__xludf.DUMMYFUNCTION("""COMPUTED_VALUE"""),"Ugly")</f>
        <v>Ugly</v>
      </c>
      <c r="B447" s="225" t="str">
        <f>IFERROR(__xludf.DUMMYFUNCTION("""COMPUTED_VALUE"""),"Static")</f>
        <v>Static</v>
      </c>
      <c r="C447" s="225" t="str">
        <f>IFERROR(__xludf.DUMMYFUNCTION("""COMPUTED_VALUE"""),"Effect: All Combatants within 2m of the user are treated as Vulnerable while within this Range. This Pokemon will always have Inept Rank Charm and it cannot be raised. ")</f>
        <v>Effect: All Combatants within 2m of the user are treated as Vulnerable while within this Range. This Pokemon will always have Inept Rank Charm and it cannot be raised. </v>
      </c>
      <c r="D447" s="225"/>
      <c r="E447" s="225"/>
      <c r="F447" s="225"/>
      <c r="G447" s="226" t="str">
        <f>IFERROR(__xludf.DUMMYFUNCTION("""COMPUTED_VALUE"""),"Static
Effect: All Combatants within 2m of the user are treated as Vulnerable while within this Range. This Pokemon will always have Inept Rank Charm and it cannot be raised. ")</f>
        <v>Static
Effect: All Combatants within 2m of the user are treated as Vulnerable while within this Range. This Pokemon will always have Inept Rank Charm and it cannot be raised. </v>
      </c>
      <c r="H447" s="224"/>
      <c r="I447" s="224"/>
      <c r="J447" s="224"/>
      <c r="K447" s="224"/>
      <c r="L447" s="224"/>
      <c r="M447" s="224"/>
      <c r="N447" s="224"/>
      <c r="O447" s="224"/>
      <c r="P447" s="224"/>
      <c r="Q447" s="224"/>
      <c r="R447" s="224"/>
      <c r="S447" s="224"/>
      <c r="T447" s="224"/>
      <c r="U447" s="224"/>
      <c r="V447" s="224"/>
      <c r="W447" s="224"/>
      <c r="X447" s="224"/>
      <c r="Y447" s="224"/>
      <c r="Z447" s="224"/>
    </row>
    <row r="448">
      <c r="A448" s="225" t="str">
        <f>IFERROR(__xludf.DUMMYFUNCTION("""COMPUTED_VALUE"""),"Unanimaus")</f>
        <v>Unanimaus</v>
      </c>
      <c r="B448" s="225" t="str">
        <f>IFERROR(__xludf.DUMMYFUNCTION("""COMPUTED_VALUE"""),"At-Will - Swift Action")</f>
        <v>At-Will - Swift Action</v>
      </c>
      <c r="C448" s="225" t="str">
        <f>IFERROR(__xludf.DUMMYFUNCTION("""COMPUTED_VALUE"""),"Effect: Choose one of the Effects listed below to use when this Ability is Activated. You must have at least the listed number of Mice Token in order to use that Effect.  
2: The user or an Adjacent Ally gains a Tick of Temporary Hit Points
4: You may use"&amp;" an At-Will or EOT Normal Status Attack as a Free Action.
6: You may use an At-Will Damaging Attack as a Free Action, however it is reduced by a Damage Step.
Bonus: The user starts the Scene with 4 Mice Tokens, gaining 1 at the end of each Round and losin"&amp;"g 1 whenever they would be hit with an Attack. As a Standard Action you may gain 2 Mice Tokens or reset to 4 Mice Tokens.")</f>
        <v>Effect: Choose one of the Effects listed below to use when this Ability is Activated. You must have at least the listed number of Mice Token in order to use that Effect.  
2: The user or an Adjacent Ally gains a Tick of Temporary Hit Points
4: You may use an At-Will or EOT Normal Status Attack as a Free Action.
6: You may use an At-Will Damaging Attack as a Free Action, however it is reduced by a Damage Step.
Bonus: The user starts the Scene with 4 Mice Tokens, gaining 1 at the end of each Round and losing 1 whenever they would be hit with an Attack. As a Standard Action you may gain 2 Mice Tokens or reset to 4 Mice Tokens.</v>
      </c>
      <c r="D448" s="225"/>
      <c r="E448" s="225"/>
      <c r="F448" s="225" t="str">
        <f>IFERROR(__xludf.DUMMYFUNCTION("""COMPUTED_VALUE"""),"Innate")</f>
        <v>Innate</v>
      </c>
      <c r="G448" s="226" t="str">
        <f>IFERROR(__xludf.DUMMYFUNCTION("""COMPUTED_VALUE"""),"At-Will - Swift Action
Keywords - Innate
Effect: Choose one of the Effects listed below to use when this Ability is Activated. You must have at least the listed number of Mice Token in order to use that Effect.  
2: The user or an Adjacent Ally gains a Ti"&amp;"ck of Temporary Hit Points
4: You may use an At-Will or EOT Normal Status Attack as a Free Action.
6: You may use an At-Will Damaging Attack as a Free Action, however it is reduced by a Damage Step.
Bonus: The user starts the Scene with 4 Mice Tokens, gai"&amp;"ning 1 at the end of each Round and losing 1 whenever they would be hit with an Attack. As a Standard Action you may gain 2 Mice Tokens or reset to 4 Mice Tokens.")</f>
        <v>At-Will - Swift Action
Keywords - Innate
Effect: Choose one of the Effects listed below to use when this Ability is Activated. You must have at least the listed number of Mice Token in order to use that Effect.  
2: The user or an Adjacent Ally gains a Tick of Temporary Hit Points
4: You may use an At-Will or EOT Normal Status Attack as a Free Action.
6: You may use an At-Will Damaging Attack as a Free Action, however it is reduced by a Damage Step.
Bonus: The user starts the Scene with 4 Mice Tokens, gaining 1 at the end of each Round and losing 1 whenever they would be hit with an Attack. As a Standard Action you may gain 2 Mice Tokens or reset to 4 Mice Tokens.</v>
      </c>
      <c r="H448" s="224"/>
      <c r="I448" s="224"/>
      <c r="J448" s="224"/>
      <c r="K448" s="224"/>
      <c r="L448" s="224"/>
      <c r="M448" s="224"/>
      <c r="N448" s="224"/>
      <c r="O448" s="224"/>
      <c r="P448" s="224"/>
      <c r="Q448" s="224"/>
      <c r="R448" s="224"/>
      <c r="S448" s="224"/>
      <c r="T448" s="224"/>
      <c r="U448" s="224"/>
      <c r="V448" s="224"/>
      <c r="W448" s="224"/>
      <c r="X448" s="224"/>
      <c r="Y448" s="224"/>
      <c r="Z448" s="224"/>
    </row>
    <row r="449">
      <c r="A449" s="225" t="str">
        <f>IFERROR(__xludf.DUMMYFUNCTION("""COMPUTED_VALUE"""),"Unaware")</f>
        <v>Unaware</v>
      </c>
      <c r="B449" s="225" t="str">
        <f>IFERROR(__xludf.DUMMYFUNCTION("""COMPUTED_VALUE"""),"Static")</f>
        <v>Static</v>
      </c>
      <c r="C449" s="225" t="str">
        <f>IFERROR(__xludf.DUMMYFUNCTION("""COMPUTED_VALUE"""),"Effect: When the User is attacking or being attacked, the Enemy must make all damage calculations as if their CS were at their Default Value.")</f>
        <v>Effect: When the User is attacking or being attacked, the Enemy must make all damage calculations as if their CS were at their Default Value.</v>
      </c>
      <c r="D449" s="225"/>
      <c r="E449" s="225"/>
      <c r="F449" s="225" t="str">
        <f>IFERROR(__xludf.DUMMYFUNCTION("""COMPUTED_VALUE"""),"Defensive")</f>
        <v>Defensive</v>
      </c>
      <c r="G449" s="226" t="str">
        <f>IFERROR(__xludf.DUMMYFUNCTION("""COMPUTED_VALUE"""),"Static
Keywords - Defensive
Effect: When the User is attacking or being attacked, the Enemy must make all damage calculations as if their CS were at their Default Value.")</f>
        <v>Static
Keywords - Defensive
Effect: When the User is attacking or being attacked, the Enemy must make all damage calculations as if their CS were at their Default Value.</v>
      </c>
      <c r="H449" s="224"/>
      <c r="I449" s="224"/>
      <c r="J449" s="224"/>
      <c r="K449" s="224"/>
      <c r="L449" s="224"/>
      <c r="M449" s="224"/>
      <c r="N449" s="224"/>
      <c r="O449" s="224"/>
      <c r="P449" s="224"/>
      <c r="Q449" s="224"/>
      <c r="R449" s="224"/>
      <c r="S449" s="224"/>
      <c r="T449" s="224"/>
      <c r="U449" s="224"/>
      <c r="V449" s="224"/>
      <c r="W449" s="224"/>
      <c r="X449" s="224"/>
      <c r="Y449" s="224"/>
      <c r="Z449" s="224"/>
    </row>
    <row r="450">
      <c r="A450" s="225" t="str">
        <f>IFERROR(__xludf.DUMMYFUNCTION("""COMPUTED_VALUE"""),"Unlocked Potential")</f>
        <v>Unlocked Potential</v>
      </c>
      <c r="B450" s="225" t="str">
        <f>IFERROR(__xludf.DUMMYFUNCTION("""COMPUTED_VALUE"""),"At-Will - Swift Action")</f>
        <v>At-Will - Swift Action</v>
      </c>
      <c r="C450" s="225" t="str">
        <f>IFERROR(__xludf.DUMMYFUNCTION("""COMPUTED_VALUE"""),"Effect: The Attack has its range changed to one of the following: Line 6. Burst 2. 3, 2 Targets. Close Blast 3. 6, Ranged Blast 2. 
Bonus: As a Swift Action, the user may change the Type of Hidden Power to any other Type.")</f>
        <v>Effect: The Attack has its range changed to one of the following: Line 6. Burst 2. 3, 2 Targets. Close Blast 3. 6, Ranged Blast 2. 
Bonus: As a Swift Action, the user may change the Type of Hidden Power to any other Type.</v>
      </c>
      <c r="D450" s="225" t="str">
        <f>IFERROR(__xludf.DUMMYFUNCTION("""COMPUTED_VALUE"""),"The user uses Hidden Power")</f>
        <v>The user uses Hidden Power</v>
      </c>
      <c r="E450" s="225"/>
      <c r="F450" s="225"/>
      <c r="G450" s="226" t="str">
        <f>IFERROR(__xludf.DUMMYFUNCTION("""COMPUTED_VALUE"""),"At-Will - Swift Action
Trigger - The user uses Hidden Power
Effect: The Attack has its range changed to one of the following: Line 6. Burst 2. 3, 2 Targets. Close Blast 3. 6, Ranged Blast 2. 
Bonus: As a Swift Action, the user may change the Type of Hidde"&amp;"n Power to any other Type.")</f>
        <v>At-Will - Swift Action
Trigger - The user uses Hidden Power
Effect: The Attack has its range changed to one of the following: Line 6. Burst 2. 3, 2 Targets. Close Blast 3. 6, Ranged Blast 2. 
Bonus: As a Swift Action, the user may change the Type of Hidden Power to any other Type.</v>
      </c>
      <c r="H450" s="224"/>
      <c r="I450" s="224"/>
      <c r="J450" s="224"/>
      <c r="K450" s="224"/>
      <c r="L450" s="224"/>
      <c r="M450" s="224"/>
      <c r="N450" s="224"/>
      <c r="O450" s="224"/>
      <c r="P450" s="224"/>
      <c r="Q450" s="224"/>
      <c r="R450" s="224"/>
      <c r="S450" s="224"/>
      <c r="T450" s="224"/>
      <c r="U450" s="224"/>
      <c r="V450" s="224"/>
      <c r="W450" s="224"/>
      <c r="X450" s="224"/>
      <c r="Y450" s="224"/>
      <c r="Z450" s="224"/>
    </row>
    <row r="451">
      <c r="A451" s="225" t="str">
        <f>IFERROR(__xludf.DUMMYFUNCTION("""COMPUTED_VALUE"""),"Unnerve")</f>
        <v>Unnerve</v>
      </c>
      <c r="B451" s="225" t="str">
        <f>IFERROR(__xludf.DUMMYFUNCTION("""COMPUTED_VALUE"""),"At-Will - Swift Action")</f>
        <v>At-Will - Swift Action</v>
      </c>
      <c r="C451" s="225" t="str">
        <f>IFERROR(__xludf.DUMMYFUNCTION("""COMPUTED_VALUE"""),"Effect: Until the end of their next Turn, the Target cannot gain Positive CS and has a Bane to any Skill Checks performed.")</f>
        <v>Effect: Until the end of their next Turn, the Target cannot gain Positive CS and has a Bane to any Skill Checks performed.</v>
      </c>
      <c r="D451" s="225"/>
      <c r="E451" s="225" t="str">
        <f>IFERROR(__xludf.DUMMYFUNCTION("""COMPUTED_VALUE"""),"An Enemy within 6 meters")</f>
        <v>An Enemy within 6 meters</v>
      </c>
      <c r="F451" s="225"/>
      <c r="G451" s="226" t="str">
        <f>IFERROR(__xludf.DUMMYFUNCTION("""COMPUTED_VALUE"""),"At-Will - Swift Action
Target - An Enemy within 6 meters
Effect: Until the end of their next Turn, the Target cannot gain Positive CS and has a Bane to any Skill Checks performed.")</f>
        <v>At-Will - Swift Action
Target - An Enemy within 6 meters
Effect: Until the end of their next Turn, the Target cannot gain Positive CS and has a Bane to any Skill Checks performed.</v>
      </c>
      <c r="H451" s="224"/>
      <c r="I451" s="224"/>
      <c r="J451" s="224"/>
      <c r="K451" s="224"/>
      <c r="L451" s="224"/>
      <c r="M451" s="224"/>
      <c r="N451" s="224"/>
      <c r="O451" s="224"/>
      <c r="P451" s="224"/>
      <c r="Q451" s="224"/>
      <c r="R451" s="224"/>
      <c r="S451" s="224"/>
      <c r="T451" s="224"/>
      <c r="U451" s="224"/>
      <c r="V451" s="224"/>
      <c r="W451" s="224"/>
      <c r="X451" s="224"/>
      <c r="Y451" s="224"/>
      <c r="Z451" s="224"/>
    </row>
    <row r="452">
      <c r="A452" s="225" t="str">
        <f>IFERROR(__xludf.DUMMYFUNCTION("""COMPUTED_VALUE"""),"Vanguard")</f>
        <v>Vanguard</v>
      </c>
      <c r="B452" s="225" t="str">
        <f>IFERROR(__xludf.DUMMYFUNCTION("""COMPUTED_VALUE"""),"Static")</f>
        <v>Static</v>
      </c>
      <c r="C452" s="225" t="str">
        <f>IFERROR(__xludf.DUMMYFUNCTION("""COMPUTED_VALUE"""),"Effect: Whenever the user Targets an Enemy that hasn't acted yet this Round with an Attack, the Target cannot apply Stat Evasion towards that Attack.")</f>
        <v>Effect: Whenever the user Targets an Enemy that hasn't acted yet this Round with an Attack, the Target cannot apply Stat Evasion towards that Attack.</v>
      </c>
      <c r="D452" s="225"/>
      <c r="E452" s="225"/>
      <c r="F452" s="225"/>
      <c r="G452" s="226" t="str">
        <f>IFERROR(__xludf.DUMMYFUNCTION("""COMPUTED_VALUE"""),"Static
Effect: Whenever the user Targets an Enemy that hasn't acted yet this Round with an Attack, the Target cannot apply Stat Evasion towards that Attack.")</f>
        <v>Static
Effect: Whenever the user Targets an Enemy that hasn't acted yet this Round with an Attack, the Target cannot apply Stat Evasion towards that Attack.</v>
      </c>
      <c r="H452" s="224"/>
      <c r="I452" s="224"/>
      <c r="J452" s="224"/>
      <c r="K452" s="224"/>
      <c r="L452" s="224"/>
      <c r="M452" s="224"/>
      <c r="N452" s="224"/>
      <c r="O452" s="224"/>
      <c r="P452" s="224"/>
      <c r="Q452" s="224"/>
      <c r="R452" s="224"/>
      <c r="S452" s="224"/>
      <c r="T452" s="224"/>
      <c r="U452" s="224"/>
      <c r="V452" s="224"/>
      <c r="W452" s="224"/>
      <c r="X452" s="224"/>
      <c r="Y452" s="224"/>
      <c r="Z452" s="224"/>
    </row>
    <row r="453">
      <c r="A453" s="225" t="str">
        <f>IFERROR(__xludf.DUMMYFUNCTION("""COMPUTED_VALUE"""),"Vanish")</f>
        <v>Vanish</v>
      </c>
      <c r="B453" s="225" t="str">
        <f>IFERROR(__xludf.DUMMYFUNCTION("""COMPUTED_VALUE"""),"Scene - Free Action")</f>
        <v>Scene - Free Action</v>
      </c>
      <c r="C453" s="225" t="str">
        <f>IFERROR(__xludf.DUMMYFUNCTION("""COMPUTED_VALUE"""),"Effect: Until the start of your next Turn, in order for the user to be Targeted by an Enemy, they must pass a Standard CR (2) Perception or Intuition Check. If the user is Tier 2, this becomes a Tough CR (3) Check instead. If they fail this check, they ca"&amp;"nnot Target the user with Attacks, Abilities, etc during that Turn. Vanish cannot be used if the user is the only Combatant on their Team.  
Bonus: If the Weather is Foggy, the user may perform the Hide Maneuver as a Swift Action instead of a Movement Act"&amp;"ion if desired.")</f>
        <v>Effect: Until the start of your next Turn, in order for the user to be Targeted by an Enemy, they must pass a Standard CR (2) Perception or Intuition Check. If the user is Tier 2, this becomes a Tough CR (3) Check instead. If they fail this check, they cannot Target the user with Attacks, Abilities, etc during that Turn. Vanish cannot be used if the user is the only Combatant on their Team.  
Bonus: If the Weather is Foggy, the user may perform the Hide Maneuver as a Swift Action instead of a Movement Action if desired.</v>
      </c>
      <c r="D453" s="225" t="str">
        <f>IFERROR(__xludf.DUMMYFUNCTION("""COMPUTED_VALUE"""),"The user uses the Hide Maneuver")</f>
        <v>The user uses the Hide Maneuver</v>
      </c>
      <c r="E453" s="225"/>
      <c r="F453" s="225" t="str">
        <f>IFERROR(__xludf.DUMMYFUNCTION("""COMPUTED_VALUE"""),"Defensive")</f>
        <v>Defensive</v>
      </c>
      <c r="G453" s="226" t="str">
        <f>IFERROR(__xludf.DUMMYFUNCTION("""COMPUTED_VALUE"""),"Scene - Free Action
Keywords - Defensive
Trigger - The user uses the Hide Maneuver
Effect: Until the start of your next Turn, in order for the user to be Targeted by an Enemy, they must pass a Standard CR (2) Perception or Intuition Check. If the user is "&amp;"Tier 2, this becomes a Tough CR (3) Check instead. If they fail this check, they cannot Target the user with Attacks, Abilities, etc during that Turn. Vanish cannot be used if the user is the only Combatant on their Team.  
Bonus: If the Weather is Foggy,"&amp;" the user may perform the Hide Maneuver as a Swift Action instead of a Movement Action if desired.")</f>
        <v>Scene - Free Action
Keywords - Defensive
Trigger - The user uses the Hide Maneuver
Effect: Until the start of your next Turn, in order for the user to be Targeted by an Enemy, they must pass a Standard CR (2) Perception or Intuition Check. If the user is Tier 2, this becomes a Tough CR (3) Check instead. If they fail this check, they cannot Target the user with Attacks, Abilities, etc during that Turn. Vanish cannot be used if the user is the only Combatant on their Team.  
Bonus: If the Weather is Foggy, the user may perform the Hide Maneuver as a Swift Action instead of a Movement Action if desired.</v>
      </c>
      <c r="H453" s="224"/>
      <c r="I453" s="224"/>
      <c r="J453" s="224"/>
      <c r="K453" s="224"/>
      <c r="L453" s="224"/>
      <c r="M453" s="224"/>
      <c r="N453" s="224"/>
      <c r="O453" s="224"/>
      <c r="P453" s="224"/>
      <c r="Q453" s="224"/>
      <c r="R453" s="224"/>
      <c r="S453" s="224"/>
      <c r="T453" s="224"/>
      <c r="U453" s="224"/>
      <c r="V453" s="224"/>
      <c r="W453" s="224"/>
      <c r="X453" s="224"/>
      <c r="Y453" s="224"/>
      <c r="Z453" s="224"/>
    </row>
    <row r="454">
      <c r="A454" s="225" t="str">
        <f>IFERROR(__xludf.DUMMYFUNCTION("""COMPUTED_VALUE"""),"Vicious")</f>
        <v>Vicious</v>
      </c>
      <c r="B454" s="225" t="str">
        <f>IFERROR(__xludf.DUMMYFUNCTION("""COMPUTED_VALUE"""),"Static")</f>
        <v>Static</v>
      </c>
      <c r="C454" s="225" t="str">
        <f>IFERROR(__xludf.DUMMYFUNCTION("""COMPUTED_VALUE"""),"Connection - Hone Claws. 
Effect: The user’s Damaging Attacks cannot be resisted by Enemies that have a Status Affliction or are under 50% Hit Points.")</f>
        <v>Connection - Hone Claws. 
Effect: The user’s Damaging Attacks cannot be resisted by Enemies that have a Status Affliction or are under 50% Hit Points.</v>
      </c>
      <c r="D454" s="225"/>
      <c r="E454" s="225"/>
      <c r="F454" s="225"/>
      <c r="G454" s="226" t="str">
        <f>IFERROR(__xludf.DUMMYFUNCTION("""COMPUTED_VALUE"""),"Static
Connection - Hone Claws. 
Effect: The user’s Damaging Attacks cannot be resisted by Enemies that have a Status Affliction or are under 50% Hit Points.")</f>
        <v>Static
Connection - Hone Claws. 
Effect: The user’s Damaging Attacks cannot be resisted by Enemies that have a Status Affliction or are under 50% Hit Points.</v>
      </c>
      <c r="H454" s="224"/>
      <c r="I454" s="224"/>
      <c r="J454" s="224"/>
      <c r="K454" s="224"/>
      <c r="L454" s="224"/>
      <c r="M454" s="224"/>
      <c r="N454" s="224"/>
      <c r="O454" s="224"/>
      <c r="P454" s="224"/>
      <c r="Q454" s="224"/>
      <c r="R454" s="224"/>
      <c r="S454" s="224"/>
      <c r="T454" s="224"/>
      <c r="U454" s="224"/>
      <c r="V454" s="224"/>
      <c r="W454" s="224"/>
      <c r="X454" s="224"/>
      <c r="Y454" s="224"/>
      <c r="Z454" s="224"/>
    </row>
    <row r="455">
      <c r="A455" s="225" t="str">
        <f>IFERROR(__xludf.DUMMYFUNCTION("""COMPUTED_VALUE"""),"Vigor")</f>
        <v>Vigor</v>
      </c>
      <c r="B455" s="225" t="str">
        <f>IFERROR(__xludf.DUMMYFUNCTION("""COMPUTED_VALUE"""),"Scene - Free Action")</f>
        <v>Scene - Free Action</v>
      </c>
      <c r="C455" s="225" t="str">
        <f>IFERROR(__xludf.DUMMYFUNCTION("""COMPUTED_VALUE"""),"Connection – Endure. 
Effect: You may either use Endure as a Free Action instead of a Reaction or after the Attack resolves, you restore two Ticks of Hit Points.")</f>
        <v>Connection – Endure. 
Effect: You may either use Endure as a Free Action instead of a Reaction or after the Attack resolves, you restore two Ticks of Hit Points.</v>
      </c>
      <c r="D455" s="225" t="str">
        <f>IFERROR(__xludf.DUMMYFUNCTION("""COMPUTED_VALUE"""),"The user would use Endure")</f>
        <v>The user would use Endure</v>
      </c>
      <c r="E455" s="225"/>
      <c r="F455" s="225" t="str">
        <f>IFERROR(__xludf.DUMMYFUNCTION("""COMPUTED_VALUE"""),"Defensive")</f>
        <v>Defensive</v>
      </c>
      <c r="G455" s="226" t="str">
        <f>IFERROR(__xludf.DUMMYFUNCTION("""COMPUTED_VALUE"""),"Scene - Free Action
Keywords - Defensive
Trigger - The user would use Endure
Connection – Endure. 
Effect: You may either use Endure as a Free Action instead of a Reaction or after the Attack resolves, you restore two Ticks of Hit Points.")</f>
        <v>Scene - Free Action
Keywords - Defensive
Trigger - The user would use Endure
Connection – Endure. 
Effect: You may either use Endure as a Free Action instead of a Reaction or after the Attack resolves, you restore two Ticks of Hit Points.</v>
      </c>
      <c r="H455" s="224"/>
      <c r="I455" s="224"/>
      <c r="J455" s="224"/>
      <c r="K455" s="224"/>
      <c r="L455" s="224"/>
      <c r="M455" s="224"/>
      <c r="N455" s="224"/>
      <c r="O455" s="224"/>
      <c r="P455" s="224"/>
      <c r="Q455" s="224"/>
      <c r="R455" s="224"/>
      <c r="S455" s="224"/>
      <c r="T455" s="224"/>
      <c r="U455" s="224"/>
      <c r="V455" s="224"/>
      <c r="W455" s="224"/>
      <c r="X455" s="224"/>
      <c r="Y455" s="224"/>
      <c r="Z455" s="224"/>
    </row>
    <row r="456">
      <c r="A456" s="225" t="str">
        <f>IFERROR(__xludf.DUMMYFUNCTION("""COMPUTED_VALUE"""),"Vital Spirit")</f>
        <v>Vital Spirit</v>
      </c>
      <c r="B456" s="225" t="str">
        <f>IFERROR(__xludf.DUMMYFUNCTION("""COMPUTED_VALUE"""),"Scene x2 - Swift Action")</f>
        <v>Scene x2 - Swift Action</v>
      </c>
      <c r="C456" s="225" t="str">
        <f>IFERROR(__xludf.DUMMYFUNCTION("""COMPUTED_VALUE"""),"Effect: The user gains a bonus to Accuracy and Save Checks equal to their Tier Level until the start of their next Turn. 
Bonus: The user is immune to Drowsy")</f>
        <v>Effect: The user gains a bonus to Accuracy and Save Checks equal to their Tier Level until the start of their next Turn. 
Bonus: The user is immune to Drowsy</v>
      </c>
      <c r="D456" s="225"/>
      <c r="E456" s="225"/>
      <c r="F456" s="225"/>
      <c r="G456" s="226" t="str">
        <f>IFERROR(__xludf.DUMMYFUNCTION("""COMPUTED_VALUE"""),"Scene x2 - Swift Action
Effect: The user gains a bonus to Accuracy and Save Checks equal to their Tier Level until the start of their next Turn. 
Bonus: The user is immune to Drowsy")</f>
        <v>Scene x2 - Swift Action
Effect: The user gains a bonus to Accuracy and Save Checks equal to their Tier Level until the start of their next Turn. 
Bonus: The user is immune to Drowsy</v>
      </c>
      <c r="H456" s="224"/>
      <c r="I456" s="224"/>
      <c r="J456" s="224"/>
      <c r="K456" s="224"/>
      <c r="L456" s="224"/>
      <c r="M456" s="224"/>
      <c r="N456" s="224"/>
      <c r="O456" s="224"/>
      <c r="P456" s="224"/>
      <c r="Q456" s="224"/>
      <c r="R456" s="224"/>
      <c r="S456" s="224"/>
      <c r="T456" s="224"/>
      <c r="U456" s="224"/>
      <c r="V456" s="224"/>
      <c r="W456" s="224"/>
      <c r="X456" s="224"/>
      <c r="Y456" s="224"/>
      <c r="Z456" s="224"/>
    </row>
    <row r="457">
      <c r="A457" s="225" t="str">
        <f>IFERROR(__xludf.DUMMYFUNCTION("""COMPUTED_VALUE"""),"Volt Absorb")</f>
        <v>Volt Absorb</v>
      </c>
      <c r="B457" s="225" t="str">
        <f>IFERROR(__xludf.DUMMYFUNCTION("""COMPUTED_VALUE"""),"Scene x2 - Swift Action")</f>
        <v>Scene x2 - Swift Action</v>
      </c>
      <c r="C457" s="225" t="str">
        <f>IFERROR(__xludf.DUMMYFUNCTION("""COMPUTED_VALUE"""),"Effect: The Triggering Attack gains the Drain Keyword.
Bonus: At the end of the user’s Turn if the Weather is Thunderstorm, the user restores a Tick of Hit Points. ")</f>
        <v>Effect: The Triggering Attack gains the Drain Keyword.
Bonus: At the end of the user’s Turn if the Weather is Thunderstorm, the user restores a Tick of Hit Points. </v>
      </c>
      <c r="D457" s="225" t="str">
        <f>IFERROR(__xludf.DUMMYFUNCTION("""COMPUTED_VALUE"""),"The user hits an Electric Attack on an Adjacent Target")</f>
        <v>The user hits an Electric Attack on an Adjacent Target</v>
      </c>
      <c r="E457" s="225"/>
      <c r="F457" s="225" t="str">
        <f>IFERROR(__xludf.DUMMYFUNCTION("""COMPUTED_VALUE"""),"Defensive")</f>
        <v>Defensive</v>
      </c>
      <c r="G457" s="226" t="str">
        <f>IFERROR(__xludf.DUMMYFUNCTION("""COMPUTED_VALUE"""),"Scene x2 - Swift Action
Keywords - Defensive
Trigger - The user hits an Electric Attack on an Adjacent Target
Effect: The Triggering Attack gains the Drain Keyword.
Bonus: At the end of the user’s Turn if the Weather is Thunderstorm, the user restores a T"&amp;"ick of Hit Points. ")</f>
        <v>Scene x2 - Swift Action
Keywords - Defensive
Trigger - The user hits an Electric Attack on an Adjacent Target
Effect: The Triggering Attack gains the Drain Keyword.
Bonus: At the end of the user’s Turn if the Weather is Thunderstorm, the user restores a Tick of Hit Points. </v>
      </c>
      <c r="H457" s="224"/>
      <c r="I457" s="224"/>
      <c r="J457" s="224"/>
      <c r="K457" s="224"/>
      <c r="L457" s="224"/>
      <c r="M457" s="224"/>
      <c r="N457" s="224"/>
      <c r="O457" s="224"/>
      <c r="P457" s="224"/>
      <c r="Q457" s="224"/>
      <c r="R457" s="224"/>
      <c r="S457" s="224"/>
      <c r="T457" s="224"/>
      <c r="U457" s="224"/>
      <c r="V457" s="224"/>
      <c r="W457" s="224"/>
      <c r="X457" s="224"/>
      <c r="Y457" s="224"/>
      <c r="Z457" s="224"/>
    </row>
    <row r="458">
      <c r="A458" s="225" t="str">
        <f>IFERROR(__xludf.DUMMYFUNCTION("""COMPUTED_VALUE"""),"Voodoo Doll")</f>
        <v>Voodoo Doll</v>
      </c>
      <c r="B458" s="225" t="str">
        <f>IFERROR(__xludf.DUMMYFUNCTION("""COMPUTED_VALUE"""),"Scene x2 - Reaction")</f>
        <v>Scene x2 - Reaction</v>
      </c>
      <c r="C458" s="225" t="str">
        <f>IFERROR(__xludf.DUMMYFUNCTION("""COMPUTED_VALUE"""),"Effect: The Target also gains the Triggering Status Affliction.
Bonus: Whenever an Ally within 3m takes Damage, as a Free Action, they may instead take none, but you lose Hit Points equal to the Damage they would have taken. This HP Loss cannot be prevent"&amp;"ed. ")</f>
        <v>Effect: The Target also gains the Triggering Status Affliction.
Bonus: Whenever an Ally within 3m takes Damage, as a Free Action, they may instead take none, but you lose Hit Points equal to the Damage they would have taken. This HP Loss cannot be prevented. </v>
      </c>
      <c r="D458" s="225" t="str">
        <f>IFERROR(__xludf.DUMMYFUNCTION("""COMPUTED_VALUE"""),"The user gains a Status Affliction")</f>
        <v>The user gains a Status Affliction</v>
      </c>
      <c r="E458" s="225" t="str">
        <f>IFERROR(__xludf.DUMMYFUNCTION("""COMPUTED_VALUE"""),"An Enemy within 5m")</f>
        <v>An Enemy within 5m</v>
      </c>
      <c r="F458" s="225"/>
      <c r="G458" s="226" t="str">
        <f>IFERROR(__xludf.DUMMYFUNCTION("""COMPUTED_VALUE"""),"Scene x2 - Reaction
Trigger - The user gains a Status Affliction
Target - An Enemy within 5m
Effect: The Target also gains the Triggering Status Affliction.
Bonus: Whenever an Ally within 3m takes Damage, as a Free Action, they may instead take none, but "&amp;"you lose Hit Points equal to the Damage they would have taken. This HP Loss cannot be prevented. ")</f>
        <v>Scene x2 - Reaction
Trigger - The user gains a Status Affliction
Target - An Enemy within 5m
Effect: The Target also gains the Triggering Status Affliction.
Bonus: Whenever an Ally within 3m takes Damage, as a Free Action, they may instead take none, but you lose Hit Points equal to the Damage they would have taken. This HP Loss cannot be prevented. </v>
      </c>
      <c r="H458" s="224"/>
      <c r="I458" s="224"/>
      <c r="J458" s="224"/>
      <c r="K458" s="224"/>
      <c r="L458" s="224"/>
      <c r="M458" s="224"/>
      <c r="N458" s="224"/>
      <c r="O458" s="224"/>
      <c r="P458" s="224"/>
      <c r="Q458" s="224"/>
      <c r="R458" s="224"/>
      <c r="S458" s="224"/>
      <c r="T458" s="224"/>
      <c r="U458" s="224"/>
      <c r="V458" s="224"/>
      <c r="W458" s="224"/>
      <c r="X458" s="224"/>
      <c r="Y458" s="224"/>
      <c r="Z458" s="224"/>
    </row>
    <row r="459">
      <c r="A459" s="225" t="str">
        <f>IFERROR(__xludf.DUMMYFUNCTION("""COMPUTED_VALUE"""),"Wallmaster")</f>
        <v>Wallmaster</v>
      </c>
      <c r="B459" s="225" t="str">
        <f>IFERROR(__xludf.DUMMYFUNCTION("""COMPUTED_VALUE"""),"Static")</f>
        <v>Static</v>
      </c>
      <c r="C459" s="225" t="str">
        <f>IFERROR(__xludf.DUMMYFUNCTION("""COMPUTED_VALUE"""),"Connection - Barrier. 
Effect: When the user uses creates Wall Hazards, instead of being destroyed when hit by an Attack, they have Hit Points equal to double the user's level plus the higher of their Special Attack or Special Defense Stat upon creating i"&amp;"t. Whenever a Wall Hazard created through Barrier is destroyed by an Enemy, all Enemies within 1m of that Hazard are hit with Psychic Typed Basic Attack as a Reaction.")</f>
        <v>Connection - Barrier. 
Effect: When the user uses creates Wall Hazards, instead of being destroyed when hit by an Attack, they have Hit Points equal to double the user's level plus the higher of their Special Attack or Special Defense Stat upon creating it. Whenever a Wall Hazard created through Barrier is destroyed by an Enemy, all Enemies within 1m of that Hazard are hit with Psychic Typed Basic Attack as a Reaction.</v>
      </c>
      <c r="D459" s="225"/>
      <c r="E459" s="225"/>
      <c r="F459" s="225"/>
      <c r="G459" s="226" t="str">
        <f>IFERROR(__xludf.DUMMYFUNCTION("""COMPUTED_VALUE"""),"Static
Connection - Barrier. 
Effect: When the user uses creates Wall Hazards, instead of being destroyed when hit by an Attack, they have Hit Points equal to double the user's level plus the higher of their Special Attack or Special Defense Stat upon cre"&amp;"ating it. Whenever a Wall Hazard created through Barrier is destroyed by an Enemy, all Enemies within 1m of that Hazard are hit with Psychic Typed Basic Attack as a Reaction.")</f>
        <v>Static
Connection - Barrier. 
Effect: When the user uses creates Wall Hazards, instead of being destroyed when hit by an Attack, they have Hit Points equal to double the user's level plus the higher of their Special Attack or Special Defense Stat upon creating it. Whenever a Wall Hazard created through Barrier is destroyed by an Enemy, all Enemies within 1m of that Hazard are hit with Psychic Typed Basic Attack as a Reaction.</v>
      </c>
      <c r="H459" s="224"/>
      <c r="I459" s="224"/>
      <c r="J459" s="224"/>
      <c r="K459" s="224"/>
      <c r="L459" s="224"/>
      <c r="M459" s="224"/>
      <c r="N459" s="224"/>
      <c r="O459" s="224"/>
      <c r="P459" s="224"/>
      <c r="Q459" s="224"/>
      <c r="R459" s="224"/>
      <c r="S459" s="224"/>
      <c r="T459" s="224"/>
      <c r="U459" s="224"/>
      <c r="V459" s="224"/>
      <c r="W459" s="224"/>
      <c r="X459" s="224"/>
      <c r="Y459" s="224"/>
      <c r="Z459" s="224"/>
    </row>
    <row r="460">
      <c r="A460" s="225" t="str">
        <f>IFERROR(__xludf.DUMMYFUNCTION("""COMPUTED_VALUE"""),"Wallop")</f>
        <v>Wallop</v>
      </c>
      <c r="B460" s="225" t="str">
        <f>IFERROR(__xludf.DUMMYFUNCTION("""COMPUTED_VALUE"""),"Scene - Free Action")</f>
        <v>Scene - Free Action</v>
      </c>
      <c r="C460" s="225" t="str">
        <f>IFERROR(__xludf.DUMMYFUNCTION("""COMPUTED_VALUE"""),"Connection - Gigaton Strike. 
Effect: All Targets become Dazed and lose -2 CS in Defense. 
Bonus: The user may use Melee Attacks as if they had a Range of Close Blast 2. These Attacks are still treated as “Melee” for the sake of triggers.")</f>
        <v>Connection - Gigaton Strike. 
Effect: All Targets become Dazed and lose -2 CS in Defense. 
Bonus: The user may use Melee Attacks as if they had a Range of Close Blast 2. These Attacks are still treated as “Melee” for the sake of triggers.</v>
      </c>
      <c r="D460" s="225" t="str">
        <f>IFERROR(__xludf.DUMMYFUNCTION("""COMPUTED_VALUE"""),"The user hits with a Melee Attack")</f>
        <v>The user hits with a Melee Attack</v>
      </c>
      <c r="E460" s="225"/>
      <c r="F460" s="225"/>
      <c r="G460" s="226" t="str">
        <f>IFERROR(__xludf.DUMMYFUNCTION("""COMPUTED_VALUE"""),"Scene - Free Action
Trigger - The user hits with a Melee Attack
Connection - Gigaton Strike. 
Effect: All Targets become Dazed and lose -2 CS in Defense. 
Bonus: The user may use Melee Attacks as if they had a Range of Close Blast 2. These Attacks are sti"&amp;"ll treated as “Melee” for the sake of triggers.")</f>
        <v>Scene - Free Action
Trigger - The user hits with a Melee Attack
Connection - Gigaton Strike. 
Effect: All Targets become Dazed and lose -2 CS in Defense. 
Bonus: The user may use Melee Attacks as if they had a Range of Close Blast 2. These Attacks are still treated as “Melee” for the sake of triggers.</v>
      </c>
      <c r="H460" s="224"/>
      <c r="I460" s="224"/>
      <c r="J460" s="224"/>
      <c r="K460" s="224"/>
      <c r="L460" s="224"/>
      <c r="M460" s="224"/>
      <c r="N460" s="224"/>
      <c r="O460" s="224"/>
      <c r="P460" s="224"/>
      <c r="Q460" s="224"/>
      <c r="R460" s="224"/>
      <c r="S460" s="224"/>
      <c r="T460" s="224"/>
      <c r="U460" s="224"/>
      <c r="V460" s="224"/>
      <c r="W460" s="224"/>
      <c r="X460" s="224"/>
      <c r="Y460" s="224"/>
      <c r="Z460" s="224"/>
    </row>
    <row r="461">
      <c r="A461" s="225" t="str">
        <f>IFERROR(__xludf.DUMMYFUNCTION("""COMPUTED_VALUE"""),"Wash Away")</f>
        <v>Wash Away</v>
      </c>
      <c r="B461" s="225" t="str">
        <f>IFERROR(__xludf.DUMMYFUNCTION("""COMPUTED_VALUE"""),"Scene x2 - Free Action")</f>
        <v>Scene x2 - Free Action</v>
      </c>
      <c r="C461" s="225" t="str">
        <f>IFERROR(__xludf.DUMMYFUNCTION("""COMPUTED_VALUE"""),"Effect: Before Damage Calculations, all CS on Targets hit by the Triggering Attack are reset to their Default and all Coats on the Targets may be destroyed.
Bonus: Once per Scene as a Swift Action, the user may remove a Coat from an Adjacent willing Ally.")</f>
        <v>Effect: Before Damage Calculations, all CS on Targets hit by the Triggering Attack are reset to their Default and all Coats on the Targets may be destroyed.
Bonus: Once per Scene as a Swift Action, the user may remove a Coat from an Adjacent willing Ally.</v>
      </c>
      <c r="D461" s="225" t="str">
        <f>IFERROR(__xludf.DUMMYFUNCTION("""COMPUTED_VALUE"""),"The user hits with a Water Type Attack")</f>
        <v>The user hits with a Water Type Attack</v>
      </c>
      <c r="E461" s="225"/>
      <c r="F461" s="225"/>
      <c r="G461" s="226" t="str">
        <f>IFERROR(__xludf.DUMMYFUNCTION("""COMPUTED_VALUE"""),"Scene x2 - Free Action
Trigger - The user hits with a Water Type Attack
Effect: Before Damage Calculations, all CS on Targets hit by the Triggering Attack are reset to their Default and all Coats on the Targets may be destroyed.
Bonus: Once per Scene as a"&amp;" Swift Action, the user may remove a Coat from an Adjacent willing Ally.")</f>
        <v>Scene x2 - Free Action
Trigger - The user hits with a Water Type Attack
Effect: Before Damage Calculations, all CS on Targets hit by the Triggering Attack are reset to their Default and all Coats on the Targets may be destroyed.
Bonus: Once per Scene as a Swift Action, the user may remove a Coat from an Adjacent willing Ally.</v>
      </c>
      <c r="H461" s="224"/>
      <c r="I461" s="224"/>
      <c r="J461" s="224"/>
      <c r="K461" s="224"/>
      <c r="L461" s="224"/>
      <c r="M461" s="224"/>
      <c r="N461" s="224"/>
      <c r="O461" s="224"/>
      <c r="P461" s="224"/>
      <c r="Q461" s="224"/>
      <c r="R461" s="224"/>
      <c r="S461" s="224"/>
      <c r="T461" s="224"/>
      <c r="U461" s="224"/>
      <c r="V461" s="224"/>
      <c r="W461" s="224"/>
      <c r="X461" s="224"/>
      <c r="Y461" s="224"/>
      <c r="Z461" s="224"/>
    </row>
    <row r="462">
      <c r="A462" s="225" t="str">
        <f>IFERROR(__xludf.DUMMYFUNCTION("""COMPUTED_VALUE"""),"Water Compaction")</f>
        <v>Water Compaction</v>
      </c>
      <c r="B462" s="225" t="str">
        <f>IFERROR(__xludf.DUMMYFUNCTION("""COMPUTED_VALUE"""),"Scene x2 - Reaction")</f>
        <v>Scene x2 - Reaction</v>
      </c>
      <c r="C462" s="225" t="str">
        <f>IFERROR(__xludf.DUMMYFUNCTION("""COMPUTED_VALUE"""),"Effect: The user gains a Compaction Coat. When an Attack hits the user, as a Free Action, they may expend the Coat to resist the Attack one step further. Compaction Coats may be used immediately when gained if desired. ")</f>
        <v>Effect: The user gains a Compaction Coat. When an Attack hits the user, as a Free Action, they may expend the Coat to resist the Attack one step further. Compaction Coats may be used immediately when gained if desired. </v>
      </c>
      <c r="D462" s="225" t="str">
        <f>IFERROR(__xludf.DUMMYFUNCTION("""COMPUTED_VALUE"""),"The user is hit with a Water Type Attack, starts their Turn in Rainy Weather or in Underwater Terrain")</f>
        <v>The user is hit with a Water Type Attack, starts their Turn in Rainy Weather or in Underwater Terrain</v>
      </c>
      <c r="E462" s="225"/>
      <c r="F462" s="225" t="str">
        <f>IFERROR(__xludf.DUMMYFUNCTION("""COMPUTED_VALUE"""),"Defensive")</f>
        <v>Defensive</v>
      </c>
      <c r="G462" s="226" t="str">
        <f>IFERROR(__xludf.DUMMYFUNCTION("""COMPUTED_VALUE"""),"Scene x2 - Reaction
Keywords - Defensive
Trigger - The user is hit with a Water Type Attack, starts their Turn in Rainy Weather or in Underwater Terrain
Effect: The user gains a Compaction Coat. When an Attack hits the user, as a Free Action, they may exp"&amp;"end the Coat to resist the Attack one step further. Compaction Coats may be used immediately when gained if desired. ")</f>
        <v>Scene x2 - Reaction
Keywords - Defensive
Trigger - The user is hit with a Water Type Attack, starts their Turn in Rainy Weather or in Underwater Terrain
Effect: The user gains a Compaction Coat. When an Attack hits the user, as a Free Action, they may expend the Coat to resist the Attack one step further. Compaction Coats may be used immediately when gained if desired. </v>
      </c>
      <c r="H462" s="224"/>
      <c r="I462" s="224"/>
      <c r="J462" s="224"/>
      <c r="K462" s="224"/>
      <c r="L462" s="224"/>
      <c r="M462" s="224"/>
      <c r="N462" s="224"/>
      <c r="O462" s="224"/>
      <c r="P462" s="224"/>
      <c r="Q462" s="224"/>
      <c r="R462" s="224"/>
      <c r="S462" s="224"/>
      <c r="T462" s="224"/>
      <c r="U462" s="224"/>
      <c r="V462" s="224"/>
      <c r="W462" s="224"/>
      <c r="X462" s="224"/>
      <c r="Y462" s="224"/>
      <c r="Z462" s="224"/>
    </row>
    <row r="463">
      <c r="A463" s="225" t="str">
        <f>IFERROR(__xludf.DUMMYFUNCTION("""COMPUTED_VALUE"""),"Water Weapons")</f>
        <v>Water Weapons</v>
      </c>
      <c r="B463" s="225" t="str">
        <f>IFERROR(__xludf.DUMMYFUNCTION("""COMPUTED_VALUE"""),"At-Will - Swift Action")</f>
        <v>At-Will - Swift Action</v>
      </c>
      <c r="C463" s="225" t="str">
        <f>IFERROR(__xludf.DUMMYFUNCTION("""COMPUTED_VALUE"""),"Effect: Choose a Weapon. Depending on the Weapon chosen, the user's Water Type Damaging Attacks may be treated as the listed Range. The user can only be afffected by one Weapon at a time.
» Shuriken - 8, Ranged Blast 2.
» Kunai - Melee, Smite.
» Katana - "&amp;"Melee, Pass. 
Bonus: The user may use Water Type Damaging Attacks as if they were Physical or Special Category.")</f>
        <v>Effect: Choose a Weapon. Depending on the Weapon chosen, the user's Water Type Damaging Attacks may be treated as the listed Range. The user can only be afffected by one Weapon at a time.
» Shuriken - 8, Ranged Blast 2.
» Kunai - Melee, Smite.
» Katana - Melee, Pass. 
Bonus: The user may use Water Type Damaging Attacks as if they were Physical or Special Category.</v>
      </c>
      <c r="D463" s="225"/>
      <c r="E463" s="225"/>
      <c r="F463" s="225"/>
      <c r="G463" s="226" t="str">
        <f>IFERROR(__xludf.DUMMYFUNCTION("""COMPUTED_VALUE"""),"At-Will - Swift Action
Effect: Choose a Weapon. Depending on the Weapon chosen, the user's Water Type Damaging Attacks may be treated as the listed Range. The user can only be afffected by one Weapon at a time.
» Shuriken - 8, Ranged Blast 2.
» Kunai - Me"&amp;"lee, Smite.
» Katana - Melee, Pass. 
Bonus: The user may use Water Type Damaging Attacks as if they were Physical or Special Category.")</f>
        <v>At-Will - Swift Action
Effect: Choose a Weapon. Depending on the Weapon chosen, the user's Water Type Damaging Attacks may be treated as the listed Range. The user can only be afffected by one Weapon at a time.
» Shuriken - 8, Ranged Blast 2.
» Kunai - Melee, Smite.
» Katana - Melee, Pass. 
Bonus: The user may use Water Type Damaging Attacks as if they were Physical or Special Category.</v>
      </c>
      <c r="H463" s="224"/>
      <c r="I463" s="224"/>
      <c r="J463" s="224"/>
      <c r="K463" s="224"/>
      <c r="L463" s="224"/>
      <c r="M463" s="224"/>
      <c r="N463" s="224"/>
      <c r="O463" s="224"/>
      <c r="P463" s="224"/>
      <c r="Q463" s="224"/>
      <c r="R463" s="224"/>
      <c r="S463" s="224"/>
      <c r="T463" s="224"/>
      <c r="U463" s="224"/>
      <c r="V463" s="224"/>
      <c r="W463" s="224"/>
      <c r="X463" s="224"/>
      <c r="Y463" s="224"/>
      <c r="Z463" s="224"/>
    </row>
    <row r="464">
      <c r="A464" s="225" t="str">
        <f>IFERROR(__xludf.DUMMYFUNCTION("""COMPUTED_VALUE"""),"Wave Striker")</f>
        <v>Wave Striker</v>
      </c>
      <c r="B464" s="225" t="str">
        <f>IFERROR(__xludf.DUMMYFUNCTION("""COMPUTED_VALUE"""),"Static")</f>
        <v>Static</v>
      </c>
      <c r="C464" s="225" t="str">
        <f>IFERROR(__xludf.DUMMYFUNCTION("""COMPUTED_VALUE"""),"Connection - Razor Shell. 
Effect: The user’s Attacks with a range of Melee, 1 Target gains the Pass keyword. Attacks with the Pass Keyword gain a 18+ effect range to inflict Wounded. The user's Wounded Effect Ranges (Excluding the one granted by Wave Str"&amp;"iker) are increased by +2. ")</f>
        <v>Connection - Razor Shell. 
Effect: The user’s Attacks with a range of Melee, 1 Target gains the Pass keyword. Attacks with the Pass Keyword gain a 18+ effect range to inflict Wounded. The user's Wounded Effect Ranges (Excluding the one granted by Wave Striker) are increased by +2. </v>
      </c>
      <c r="D464" s="225"/>
      <c r="E464" s="225"/>
      <c r="F464" s="225"/>
      <c r="G464" s="226" t="str">
        <f>IFERROR(__xludf.DUMMYFUNCTION("""COMPUTED_VALUE"""),"Static
Connection - Razor Shell. 
Effect: The user’s Attacks with a range of Melee, 1 Target gains the Pass keyword. Attacks with the Pass Keyword gain a 18+ effect range to inflict Wounded. The user's Wounded Effect Ranges (Excluding the one granted by W"&amp;"ave Striker) are increased by +2. ")</f>
        <v>Static
Connection - Razor Shell. 
Effect: The user’s Attacks with a range of Melee, 1 Target gains the Pass keyword. Attacks with the Pass Keyword gain a 18+ effect range to inflict Wounded. The user's Wounded Effect Ranges (Excluding the one granted by Wave Striker) are increased by +2. </v>
      </c>
      <c r="H464" s="224"/>
      <c r="I464" s="224"/>
      <c r="J464" s="224"/>
      <c r="K464" s="224"/>
      <c r="L464" s="224"/>
      <c r="M464" s="224"/>
      <c r="N464" s="224"/>
      <c r="O464" s="224"/>
      <c r="P464" s="224"/>
      <c r="Q464" s="224"/>
      <c r="R464" s="224"/>
      <c r="S464" s="224"/>
      <c r="T464" s="224"/>
      <c r="U464" s="224"/>
      <c r="V464" s="224"/>
      <c r="W464" s="224"/>
      <c r="X464" s="224"/>
      <c r="Y464" s="224"/>
      <c r="Z464" s="224"/>
    </row>
    <row r="465">
      <c r="A465" s="225" t="str">
        <f>IFERROR(__xludf.DUMMYFUNCTION("""COMPUTED_VALUE"""),"Weather Report")</f>
        <v>Weather Report</v>
      </c>
      <c r="B465" s="225" t="str">
        <f>IFERROR(__xludf.DUMMYFUNCTION("""COMPUTED_VALUE"""),"Scene x2 - Swift Action")</f>
        <v>Scene x2 - Swift Action</v>
      </c>
      <c r="C465" s="225" t="str">
        <f>IFERROR(__xludf.DUMMYFUNCTION("""COMPUTED_VALUE"""),"Effect: Choose a Weather. The chosen Weather is then set on the field until the end the end fo the next Round.")</f>
        <v>Effect: Choose a Weather. The chosen Weather is then set on the field until the end the end fo the next Round.</v>
      </c>
      <c r="D465" s="225"/>
      <c r="E465" s="225"/>
      <c r="F465" s="225"/>
      <c r="G465" s="226" t="str">
        <f>IFERROR(__xludf.DUMMYFUNCTION("""COMPUTED_VALUE"""),"Scene x2 - Swift Action
Effect: Choose a Weather. The chosen Weather is then set on the field until the end the end fo the next Round.")</f>
        <v>Scene x2 - Swift Action
Effect: Choose a Weather. The chosen Weather is then set on the field until the end the end fo the next Round.</v>
      </c>
      <c r="H465" s="224"/>
      <c r="I465" s="224"/>
      <c r="J465" s="224"/>
      <c r="K465" s="224"/>
      <c r="L465" s="224"/>
      <c r="M465" s="224"/>
      <c r="N465" s="224"/>
      <c r="O465" s="224"/>
      <c r="P465" s="224"/>
      <c r="Q465" s="224"/>
      <c r="R465" s="224"/>
      <c r="S465" s="224"/>
      <c r="T465" s="224"/>
      <c r="U465" s="224"/>
      <c r="V465" s="224"/>
      <c r="W465" s="224"/>
      <c r="X465" s="224"/>
      <c r="Y465" s="224"/>
      <c r="Z465" s="224"/>
    </row>
    <row r="466">
      <c r="A466" s="225" t="str">
        <f>IFERROR(__xludf.DUMMYFUNCTION("""COMPUTED_VALUE"""),"Web Mastery")</f>
        <v>Web Mastery</v>
      </c>
      <c r="B466" s="225" t="str">
        <f>IFERROR(__xludf.DUMMYFUNCTION("""COMPUTED_VALUE"""),"Scene x2 - Free Action")</f>
        <v>Scene x2 - Free Action</v>
      </c>
      <c r="C466" s="225" t="str">
        <f>IFERROR(__xludf.DUMMYFUNCTION("""COMPUTED_VALUE"""),"Effect: You may roll Accuracy for the Triggering Attack twice. Targets that would be hit by both rolls lose -2 CS in Speed. 
Bonus: Web Shot and Electroweb increase their Blast Range by +1. Spider Web is changed to 5, Ranged Blast 2. Sticky Web gains +2 H"&amp;"azards.")</f>
        <v>Effect: You may roll Accuracy for the Triggering Attack twice. Targets that would be hit by both rolls lose -2 CS in Speed. 
Bonus: Web Shot and Electroweb increase their Blast Range by +1. Spider Web is changed to 5, Ranged Blast 2. Sticky Web gains +2 Hazards.</v>
      </c>
      <c r="D466" s="225" t="str">
        <f>IFERROR(__xludf.DUMMYFUNCTION("""COMPUTED_VALUE"""),"The user uses an Attack with ""Web"" in its name or a Bug Type Attack")</f>
        <v>The user uses an Attack with "Web" in its name or a Bug Type Attack</v>
      </c>
      <c r="E466" s="225"/>
      <c r="F466" s="225"/>
      <c r="G466" s="226" t="str">
        <f>IFERROR(__xludf.DUMMYFUNCTION("""COMPUTED_VALUE"""),"Scene x2 - Free Action
Trigger - The user uses an Attack with ""Web"" in its name or a Bug Type Attack
Effect: You may roll Accuracy for the Triggering Attack twice. Targets that would be hit by both rolls lose -2 CS in Speed. 
Bonus: Web Shot and Electro"&amp;"web increase their Blast Range by +1. Spider Web is changed to 5, Ranged Blast 2. Sticky Web gains +2 Hazards.")</f>
        <v>Scene x2 - Free Action
Trigger - The user uses an Attack with "Web" in its name or a Bug Type Attack
Effect: You may roll Accuracy for the Triggering Attack twice. Targets that would be hit by both rolls lose -2 CS in Speed. 
Bonus: Web Shot and Electroweb increase their Blast Range by +1. Spider Web is changed to 5, Ranged Blast 2. Sticky Web gains +2 Hazards.</v>
      </c>
      <c r="H466" s="224"/>
      <c r="I466" s="224"/>
      <c r="J466" s="224"/>
      <c r="K466" s="224"/>
      <c r="L466" s="224"/>
      <c r="M466" s="224"/>
      <c r="N466" s="224"/>
      <c r="O466" s="224"/>
      <c r="P466" s="224"/>
      <c r="Q466" s="224"/>
      <c r="R466" s="224"/>
      <c r="S466" s="224"/>
      <c r="T466" s="224"/>
      <c r="U466" s="224"/>
      <c r="V466" s="224"/>
      <c r="W466" s="224"/>
      <c r="X466" s="224"/>
      <c r="Y466" s="224"/>
      <c r="Z466" s="224"/>
    </row>
    <row r="467">
      <c r="A467" s="225" t="str">
        <f>IFERROR(__xludf.DUMMYFUNCTION("""COMPUTED_VALUE"""),"Weird Power")</f>
        <v>Weird Power</v>
      </c>
      <c r="B467" s="225" t="str">
        <f>IFERROR(__xludf.DUMMYFUNCTION("""COMPUTED_VALUE"""),"Static")</f>
        <v>Static</v>
      </c>
      <c r="C467" s="225" t="str">
        <f>IFERROR(__xludf.DUMMYFUNCTION("""COMPUTED_VALUE"""),"Effect: The user may use their Attack as an Offensive Stat when calculating the Damage of their Special Attacks if desired. The user may use their Special Attack as an Offensive Stat when calculating the Damage of their Physical Attacks if desired.  ")</f>
        <v>Effect: The user may use their Attack as an Offensive Stat when calculating the Damage of their Special Attacks if desired. The user may use their Special Attack as an Offensive Stat when calculating the Damage of their Physical Attacks if desired.  </v>
      </c>
      <c r="D467" s="225"/>
      <c r="E467" s="225"/>
      <c r="F467" s="225"/>
      <c r="G467" s="226" t="str">
        <f>IFERROR(__xludf.DUMMYFUNCTION("""COMPUTED_VALUE"""),"Static
Effect: The user may use their Attack as an Offensive Stat when calculating the Damage of their Special Attacks if desired. The user may use their Special Attack as an Offensive Stat when calculating the Damage of their Physical Attacks if desired."&amp;"  ")</f>
        <v>Static
Effect: The user may use their Attack as an Offensive Stat when calculating the Damage of their Special Attacks if desired. The user may use their Special Attack as an Offensive Stat when calculating the Damage of their Physical Attacks if desired.  </v>
      </c>
      <c r="H467" s="224"/>
      <c r="I467" s="224"/>
      <c r="J467" s="224"/>
      <c r="K467" s="224"/>
      <c r="L467" s="224"/>
      <c r="M467" s="224"/>
      <c r="N467" s="224"/>
      <c r="O467" s="224"/>
      <c r="P467" s="224"/>
      <c r="Q467" s="224"/>
      <c r="R467" s="224"/>
      <c r="S467" s="224"/>
      <c r="T467" s="224"/>
      <c r="U467" s="224"/>
      <c r="V467" s="224"/>
      <c r="W467" s="224"/>
      <c r="X467" s="224"/>
      <c r="Y467" s="224"/>
      <c r="Z467" s="224"/>
    </row>
    <row r="468">
      <c r="A468" s="225" t="str">
        <f>IFERROR(__xludf.DUMMYFUNCTION("""COMPUTED_VALUE"""),"Well-Baked Body")</f>
        <v>Well-Baked Body</v>
      </c>
      <c r="B468" s="225" t="str">
        <f>IFERROR(__xludf.DUMMYFUNCTION("""COMPUTED_VALUE"""),"Scene x2 - Reaction")</f>
        <v>Scene x2 - Reaction</v>
      </c>
      <c r="C468" s="225" t="str">
        <f>IFERROR(__xludf.DUMMYFUNCTION("""COMPUTED_VALUE"""),"Effect: The user gains a Toasty Coat. When an Attack hits the user, as a Free Action, they may expend the Coat to resist the Attack one step further. Toasty Coats may be used immediately when gained if desired. ")</f>
        <v>Effect: The user gains a Toasty Coat. When an Attack hits the user, as a Free Action, they may expend the Coat to resist the Attack one step further. Toasty Coats may be used immediately when gained if desired. </v>
      </c>
      <c r="D468" s="225" t="str">
        <f>IFERROR(__xludf.DUMMYFUNCTION("""COMPUTED_VALUE"""),"The user is hit with a Fire Type Attack, starts their Turn in Sunny Weather or in Harsh Heat Terrain")</f>
        <v>The user is hit with a Fire Type Attack, starts their Turn in Sunny Weather or in Harsh Heat Terrain</v>
      </c>
      <c r="E468" s="225"/>
      <c r="F468" s="225" t="str">
        <f>IFERROR(__xludf.DUMMYFUNCTION("""COMPUTED_VALUE"""),"Defensive")</f>
        <v>Defensive</v>
      </c>
      <c r="G468" s="226" t="str">
        <f>IFERROR(__xludf.DUMMYFUNCTION("""COMPUTED_VALUE"""),"Scene x2 - Reaction
Keywords - Defensive
Trigger - The user is hit with a Fire Type Attack, starts their Turn in Sunny Weather or in Harsh Heat Terrain
Effect: The user gains a Toasty Coat. When an Attack hits the user, as a Free Action, they may expend t"&amp;"he Coat to resist the Attack one step further. Toasty Coats may be used immediately when gained if desired. ")</f>
        <v>Scene x2 - Reaction
Keywords - Defensive
Trigger - The user is hit with a Fire Type Attack, starts their Turn in Sunny Weather or in Harsh Heat Terrain
Effect: The user gains a Toasty Coat. When an Attack hits the user, as a Free Action, they may expend the Coat to resist the Attack one step further. Toasty Coats may be used immediately when gained if desired. </v>
      </c>
      <c r="H468" s="224"/>
      <c r="I468" s="224"/>
      <c r="J468" s="224"/>
      <c r="K468" s="224"/>
      <c r="L468" s="224"/>
      <c r="M468" s="224"/>
      <c r="N468" s="224"/>
      <c r="O468" s="224"/>
      <c r="P468" s="224"/>
      <c r="Q468" s="224"/>
      <c r="R468" s="224"/>
      <c r="S468" s="224"/>
      <c r="T468" s="224"/>
      <c r="U468" s="224"/>
      <c r="V468" s="224"/>
      <c r="W468" s="224"/>
      <c r="X468" s="224"/>
      <c r="Y468" s="224"/>
      <c r="Z468" s="224"/>
    </row>
    <row r="469">
      <c r="A469" s="225" t="str">
        <f>IFERROR(__xludf.DUMMYFUNCTION("""COMPUTED_VALUE"""),"Whirlwind Kicks")</f>
        <v>Whirlwind Kicks</v>
      </c>
      <c r="B469" s="225" t="str">
        <f>IFERROR(__xludf.DUMMYFUNCTION("""COMPUTED_VALUE"""),"Scene x2 - Free Action")</f>
        <v>Scene x2 - Free Action</v>
      </c>
      <c r="C469" s="225" t="str">
        <f>IFERROR(__xludf.DUMMYFUNCTION("""COMPUTED_VALUE"""),"Connection – Triple Kick. 
Effect: The user may benefit from +2 accuracy and +2 to DB while using triple kick without giving up attacks.
Bonus: When the user uses the Attack “Rapid Spin” it may have a range of “Burst 1” and become Fighting Type if desired"&amp;". Whenever the user would have an Attack of Opportunity triggered, they may instead use Rapid Spin, ignoring its Frequency.")</f>
        <v>Connection – Triple Kick. 
Effect: The user may benefit from +2 accuracy and +2 to DB while using triple kick without giving up attacks.
Bonus: When the user uses the Attack “Rapid Spin” it may have a range of “Burst 1” and become Fighting Type if desired. Whenever the user would have an Attack of Opportunity triggered, they may instead use Rapid Spin, ignoring its Frequency.</v>
      </c>
      <c r="D469" s="225"/>
      <c r="E469" s="225"/>
      <c r="F469" s="225"/>
      <c r="G469" s="226" t="str">
        <f>IFERROR(__xludf.DUMMYFUNCTION("""COMPUTED_VALUE"""),"Scene x2 - Free Action
Connection – Triple Kick. 
Effect: The user may benefit from +2 accuracy and +2 to DB while using triple kick without giving up attacks.
Bonus: When the user uses the Attack “Rapid Spin” it may have a range of “Burst 1” and become F"&amp;"ighting Type if desired. Whenever the user would have an Attack of Opportunity triggered, they may instead use Rapid Spin, ignoring its Frequency.")</f>
        <v>Scene x2 - Free Action
Connection – Triple Kick. 
Effect: The user may benefit from +2 accuracy and +2 to DB while using triple kick without giving up attacks.
Bonus: When the user uses the Attack “Rapid Spin” it may have a range of “Burst 1” and become Fighting Type if desired. Whenever the user would have an Attack of Opportunity triggered, they may instead use Rapid Spin, ignoring its Frequency.</v>
      </c>
      <c r="H469" s="224"/>
      <c r="I469" s="224"/>
      <c r="J469" s="224"/>
      <c r="K469" s="224"/>
      <c r="L469" s="224"/>
      <c r="M469" s="224"/>
      <c r="N469" s="224"/>
      <c r="O469" s="224"/>
      <c r="P469" s="224"/>
      <c r="Q469" s="224"/>
      <c r="R469" s="224"/>
      <c r="S469" s="224"/>
      <c r="T469" s="224"/>
      <c r="U469" s="224"/>
      <c r="V469" s="224"/>
      <c r="W469" s="224"/>
      <c r="X469" s="224"/>
      <c r="Y469" s="224"/>
      <c r="Z469" s="224"/>
    </row>
    <row r="470">
      <c r="A470" s="225" t="str">
        <f>IFERROR(__xludf.DUMMYFUNCTION("""COMPUTED_VALUE"""),"Wind Power")</f>
        <v>Wind Power</v>
      </c>
      <c r="B470" s="225" t="str">
        <f>IFERROR(__xludf.DUMMYFUNCTION("""COMPUTED_VALUE"""),"At-Will - Free Action")</f>
        <v>At-Will - Free Action</v>
      </c>
      <c r="C470" s="225" t="str">
        <f>IFERROR(__xludf.DUMMYFUNCTION("""COMPUTED_VALUE"""),"Effect: The user gains +1 CS in Attack or Special Attack and is unaffected by the Triggering Enemy Attack, if any. Wind Power may only be Triggered twice per Round. ")</f>
        <v>Effect: The user gains +1 CS in Attack or Special Attack and is unaffected by the Triggering Enemy Attack, if any. Wind Power may only be Triggered twice per Round. </v>
      </c>
      <c r="D470" s="225" t="str">
        <f>IFERROR(__xludf.DUMMYFUNCTION("""COMPUTED_VALUE"""),"The user is hit by a Flying Type Attack, uses a Flying Type Attack or starts their Turn in Windy Weather")</f>
        <v>The user is hit by a Flying Type Attack, uses a Flying Type Attack or starts their Turn in Windy Weather</v>
      </c>
      <c r="E470" s="225"/>
      <c r="F470" s="225"/>
      <c r="G470" s="226" t="str">
        <f>IFERROR(__xludf.DUMMYFUNCTION("""COMPUTED_VALUE"""),"At-Will - Free Action
Trigger - The user is hit by a Flying Type Attack, uses a Flying Type Attack or starts their Turn in Windy Weather
Effect: The user gains +1 CS in Attack or Special Attack and is unaffected by the Triggering Enemy Attack, if any. Win"&amp;"d Power may only be Triggered twice per Round. ")</f>
        <v>At-Will - Free Action
Trigger - The user is hit by a Flying Type Attack, uses a Flying Type Attack or starts their Turn in Windy Weather
Effect: The user gains +1 CS in Attack or Special Attack and is unaffected by the Triggering Enemy Attack, if any. Wind Power may only be Triggered twice per Round. </v>
      </c>
      <c r="H470" s="224"/>
      <c r="I470" s="224"/>
      <c r="J470" s="224"/>
      <c r="K470" s="224"/>
      <c r="L470" s="224"/>
      <c r="M470" s="224"/>
      <c r="N470" s="224"/>
      <c r="O470" s="224"/>
      <c r="P470" s="224"/>
      <c r="Q470" s="224"/>
      <c r="R470" s="224"/>
      <c r="S470" s="224"/>
      <c r="T470" s="224"/>
      <c r="U470" s="224"/>
      <c r="V470" s="224"/>
      <c r="W470" s="224"/>
      <c r="X470" s="224"/>
      <c r="Y470" s="224"/>
      <c r="Z470" s="224"/>
    </row>
    <row r="471">
      <c r="A471" s="225" t="str">
        <f>IFERROR(__xludf.DUMMYFUNCTION("""COMPUTED_VALUE"""),"Wind Rider")</f>
        <v>Wind Rider</v>
      </c>
      <c r="B471" s="225" t="str">
        <f>IFERROR(__xludf.DUMMYFUNCTION("""COMPUTED_VALUE"""),"Static")</f>
        <v>Static</v>
      </c>
      <c r="C471" s="225" t="str">
        <f>IFERROR(__xludf.DUMMYFUNCTION("""COMPUTED_VALUE"""),"Effect: The user’s Melee Attacks gain the Pass Keyword. When using the Pass Keyword, they may move up to 6m instead of 4. If the Weather is Windy, the user cannot trigger Attacks of Opportunity by moving and may Sprint as a Free Action.")</f>
        <v>Effect: The user’s Melee Attacks gain the Pass Keyword. When using the Pass Keyword, they may move up to 6m instead of 4. If the Weather is Windy, the user cannot trigger Attacks of Opportunity by moving and may Sprint as a Free Action.</v>
      </c>
      <c r="D471" s="225"/>
      <c r="E471" s="225"/>
      <c r="F471" s="225"/>
      <c r="G471" s="226" t="str">
        <f>IFERROR(__xludf.DUMMYFUNCTION("""COMPUTED_VALUE"""),"Static
Effect: The user’s Melee Attacks gain the Pass Keyword. When using the Pass Keyword, they may move up to 6m instead of 4. If the Weather is Windy, the user cannot trigger Attacks of Opportunity by moving and may Sprint as a Free Action.")</f>
        <v>Static
Effect: The user’s Melee Attacks gain the Pass Keyword. When using the Pass Keyword, they may move up to 6m instead of 4. If the Weather is Windy, the user cannot trigger Attacks of Opportunity by moving and may Sprint as a Free Action.</v>
      </c>
      <c r="H471" s="224"/>
      <c r="I471" s="224"/>
      <c r="J471" s="224"/>
      <c r="K471" s="224"/>
      <c r="L471" s="224"/>
      <c r="M471" s="224"/>
      <c r="N471" s="224"/>
      <c r="O471" s="224"/>
      <c r="P471" s="224"/>
      <c r="Q471" s="224"/>
      <c r="R471" s="224"/>
      <c r="S471" s="224"/>
      <c r="T471" s="224"/>
      <c r="U471" s="224"/>
      <c r="V471" s="224"/>
      <c r="W471" s="224"/>
      <c r="X471" s="224"/>
      <c r="Y471" s="224"/>
      <c r="Z471" s="224"/>
    </row>
    <row r="472">
      <c r="A472" s="225" t="str">
        <f>IFERROR(__xludf.DUMMYFUNCTION("""COMPUTED_VALUE"""),"Windstorm")</f>
        <v>Windstorm</v>
      </c>
      <c r="B472" s="225" t="str">
        <f>IFERROR(__xludf.DUMMYFUNCTION("""COMPUTED_VALUE"""),"At-Will - Swift Action")</f>
        <v>At-Will - Swift Action</v>
      </c>
      <c r="C472" s="225" t="str">
        <f>IFERROR(__xludf.DUMMYFUNCTION("""COMPUTED_VALUE"""),"Connection - Wind Storm
Effect: The Weather becomes Windy. 
Bonus: While the Weather is Windy, the user has a bonus to Save Checks equal to their Tier Level and has a Boon to all Skill Checks while in Combat. ")</f>
        <v>Connection - Wind Storm
Effect: The Weather becomes Windy. 
Bonus: While the Weather is Windy, the user has a bonus to Save Checks equal to their Tier Level and has a Boon to all Skill Checks while in Combat. </v>
      </c>
      <c r="D472" s="225"/>
      <c r="E472" s="225"/>
      <c r="F472" s="225"/>
      <c r="G472" s="226" t="str">
        <f>IFERROR(__xludf.DUMMYFUNCTION("""COMPUTED_VALUE"""),"At-Will - Swift Action
Connection - Wind Storm
Effect: The Weather becomes Windy. 
Bonus: While the Weather is Windy, the user has a bonus to Save Checks equal to their Tier Level and has a Boon to all Skill Checks while in Combat. ")</f>
        <v>At-Will - Swift Action
Connection - Wind Storm
Effect: The Weather becomes Windy. 
Bonus: While the Weather is Windy, the user has a bonus to Save Checks equal to their Tier Level and has a Boon to all Skill Checks while in Combat. </v>
      </c>
      <c r="H472" s="224"/>
      <c r="I472" s="224"/>
      <c r="J472" s="224"/>
      <c r="K472" s="224"/>
      <c r="L472" s="224"/>
      <c r="M472" s="224"/>
      <c r="N472" s="224"/>
      <c r="O472" s="224"/>
      <c r="P472" s="224"/>
      <c r="Q472" s="224"/>
      <c r="R472" s="224"/>
      <c r="S472" s="224"/>
      <c r="T472" s="224"/>
      <c r="U472" s="224"/>
      <c r="V472" s="224"/>
      <c r="W472" s="224"/>
      <c r="X472" s="224"/>
      <c r="Y472" s="224"/>
      <c r="Z472" s="224"/>
    </row>
    <row r="473">
      <c r="A473" s="225" t="str">
        <f>IFERROR(__xludf.DUMMYFUNCTION("""COMPUTED_VALUE"""),"Winter's Kiss")</f>
        <v>Winter's Kiss</v>
      </c>
      <c r="B473" s="225" t="str">
        <f>IFERROR(__xludf.DUMMYFUNCTION("""COMPUTED_VALUE"""),"Scene - Free Action ")</f>
        <v>Scene - Free Action </v>
      </c>
      <c r="C473" s="225" t="str">
        <f>IFERROR(__xludf.DUMMYFUNCTION("""COMPUTED_VALUE"""),"Effect: They instead are both Chilled and Entranced
Bonus: The user’s Chilled and Entranced Effect Ranges are extended by +2. ")</f>
        <v>Effect: They instead are both Chilled and Entranced
Bonus: The user’s Chilled and Entranced Effect Ranges are extended by +2. </v>
      </c>
      <c r="D473" s="225" t="str">
        <f>IFERROR(__xludf.DUMMYFUNCTION("""COMPUTED_VALUE"""),"The user would Chill or Entrance an Enemy")</f>
        <v>The user would Chill or Entrance an Enemy</v>
      </c>
      <c r="E473" s="225"/>
      <c r="F473" s="225"/>
      <c r="G473" s="226" t="str">
        <f>IFERROR(__xludf.DUMMYFUNCTION("""COMPUTED_VALUE"""),"Scene - Free Action 
Trigger - The user would Chill or Entrance an Enemy
Effect: They instead are both Chilled and Entranced
Bonus: The user’s Chilled and Entranced Effect Ranges are extended by +2. ")</f>
        <v>Scene - Free Action 
Trigger - The user would Chill or Entrance an Enemy
Effect: They instead are both Chilled and Entranced
Bonus: The user’s Chilled and Entranced Effect Ranges are extended by +2. </v>
      </c>
      <c r="H473" s="224"/>
      <c r="I473" s="224"/>
      <c r="J473" s="224"/>
      <c r="K473" s="224"/>
      <c r="L473" s="224"/>
      <c r="M473" s="224"/>
      <c r="N473" s="224"/>
      <c r="O473" s="224"/>
      <c r="P473" s="224"/>
      <c r="Q473" s="224"/>
      <c r="R473" s="224"/>
      <c r="S473" s="224"/>
      <c r="T473" s="224"/>
      <c r="U473" s="224"/>
      <c r="V473" s="224"/>
      <c r="W473" s="224"/>
      <c r="X473" s="224"/>
      <c r="Y473" s="224"/>
      <c r="Z473" s="224"/>
    </row>
    <row r="474">
      <c r="A474" s="225" t="str">
        <f>IFERROR(__xludf.DUMMYFUNCTION("""COMPUTED_VALUE"""),"Wistful Melody")</f>
        <v>Wistful Melody</v>
      </c>
      <c r="B474" s="225" t="str">
        <f>IFERROR(__xludf.DUMMYFUNCTION("""COMPUTED_VALUE"""),"Scene - Free Action")</f>
        <v>Scene - Free Action</v>
      </c>
      <c r="C474" s="225" t="str">
        <f>IFERROR(__xludf.DUMMYFUNCTION("""COMPUTED_VALUE"""),"Connection – Sing. 
Effect: The Targets lose -1 CS in Attack and Special Attack. If the Triggering Attack was Sing, they instead reset their Attack and Special Attack to their Default Value, then lose -2 CS in them. ")</f>
        <v>Connection – Sing. 
Effect: The Targets lose -1 CS in Attack and Special Attack. If the Triggering Attack was Sing, they instead reset their Attack and Special Attack to their Default Value, then lose -2 CS in them. </v>
      </c>
      <c r="D474" s="225" t="str">
        <f>IFERROR(__xludf.DUMMYFUNCTION("""COMPUTED_VALUE"""),"The user uses an Attack with the Sonic Keyword")</f>
        <v>The user uses an Attack with the Sonic Keyword</v>
      </c>
      <c r="E474" s="225"/>
      <c r="F474" s="225"/>
      <c r="G474" s="226" t="str">
        <f>IFERROR(__xludf.DUMMYFUNCTION("""COMPUTED_VALUE"""),"Scene - Free Action
Trigger - The user uses an Attack with the Sonic Keyword
Connection – Sing. 
Effect: The Targets lose -1 CS in Attack and Special Attack. If the Triggering Attack was Sing, they instead reset their Attack and Special Attack to their De"&amp;"fault Value, then lose -2 CS in them. ")</f>
        <v>Scene - Free Action
Trigger - The user uses an Attack with the Sonic Keyword
Connection – Sing. 
Effect: The Targets lose -1 CS in Attack and Special Attack. If the Triggering Attack was Sing, they instead reset their Attack and Special Attack to their Default Value, then lose -2 CS in them. </v>
      </c>
      <c r="H474" s="224"/>
      <c r="I474" s="224"/>
      <c r="J474" s="224"/>
      <c r="K474" s="224"/>
      <c r="L474" s="224"/>
      <c r="M474" s="224"/>
      <c r="N474" s="224"/>
      <c r="O474" s="224"/>
      <c r="P474" s="224"/>
      <c r="Q474" s="224"/>
      <c r="R474" s="224"/>
      <c r="S474" s="224"/>
      <c r="T474" s="224"/>
      <c r="U474" s="224"/>
      <c r="V474" s="224"/>
      <c r="W474" s="224"/>
      <c r="X474" s="224"/>
      <c r="Y474" s="224"/>
      <c r="Z474" s="224"/>
    </row>
    <row r="475">
      <c r="A475" s="225" t="str">
        <f>IFERROR(__xludf.DUMMYFUNCTION("""COMPUTED_VALUE"""),"Wobble")</f>
        <v>Wobble</v>
      </c>
      <c r="B475" s="225" t="str">
        <f>IFERROR(__xludf.DUMMYFUNCTION("""COMPUTED_VALUE"""),"At-Will - Reaction")</f>
        <v>At-Will - Reaction</v>
      </c>
      <c r="C475" s="225" t="str">
        <f>IFERROR(__xludf.DUMMYFUNCTION("""COMPUTED_VALUE"""),"Effect: The Triggering Attack is treated as having the Recoil ½ Keyword. If the Triggering Attack was from an Adjacent Enemy, this may be used as a Free Action instead.")</f>
        <v>Effect: The Triggering Attack is treated as having the Recoil ½ Keyword. If the Triggering Attack was from an Adjacent Enemy, this may be used as a Free Action instead.</v>
      </c>
      <c r="D475" s="225" t="str">
        <f>IFERROR(__xludf.DUMMYFUNCTION("""COMPUTED_VALUE"""),"The user is hit by a Damaging Attack")</f>
        <v>The user is hit by a Damaging Attack</v>
      </c>
      <c r="E475" s="225"/>
      <c r="F475" s="225"/>
      <c r="G475" s="226" t="str">
        <f>IFERROR(__xludf.DUMMYFUNCTION("""COMPUTED_VALUE"""),"At-Will - Reaction
Trigger - The user is hit by a Damaging Attack
Effect: The Triggering Attack is treated as having the Recoil ½ Keyword. If the Triggering Attack was from an Adjacent Enemy, this may be used as a Free Action instead.")</f>
        <v>At-Will - Reaction
Trigger - The user is hit by a Damaging Attack
Effect: The Triggering Attack is treated as having the Recoil ½ Keyword. If the Triggering Attack was from an Adjacent Enemy, this may be used as a Free Action instead.</v>
      </c>
      <c r="H475" s="224"/>
      <c r="I475" s="224"/>
      <c r="J475" s="224"/>
      <c r="K475" s="224"/>
      <c r="L475" s="224"/>
      <c r="M475" s="224"/>
      <c r="N475" s="224"/>
      <c r="O475" s="224"/>
      <c r="P475" s="224"/>
      <c r="Q475" s="224"/>
      <c r="R475" s="224"/>
      <c r="S475" s="224"/>
      <c r="T475" s="224"/>
      <c r="U475" s="224"/>
      <c r="V475" s="224"/>
      <c r="W475" s="224"/>
      <c r="X475" s="224"/>
      <c r="Y475" s="224"/>
      <c r="Z475" s="224"/>
    </row>
    <row r="476">
      <c r="A476" s="225" t="str">
        <f>IFERROR(__xludf.DUMMYFUNCTION("""COMPUTED_VALUE"""),"Wonder Guard")</f>
        <v>Wonder Guard</v>
      </c>
      <c r="B476" s="225" t="str">
        <f>IFERROR(__xludf.DUMMYFUNCTION("""COMPUTED_VALUE"""),"Static")</f>
        <v>Static</v>
      </c>
      <c r="C476" s="225" t="str">
        <f>IFERROR(__xludf.DUMMYFUNCTION("""COMPUTED_VALUE"""),"Effect: The user resists all Damaging Attacks that aren’t Super Effective by an additional damage step. If the user’s Typing would change, this Ability has no Effect.")</f>
        <v>Effect: The user resists all Damaging Attacks that aren’t Super Effective by an additional damage step. If the user’s Typing would change, this Ability has no Effect.</v>
      </c>
      <c r="D476" s="225"/>
      <c r="E476" s="225"/>
      <c r="F476" s="225" t="str">
        <f>IFERROR(__xludf.DUMMYFUNCTION("""COMPUTED_VALUE"""),"Defensive, Innate")</f>
        <v>Defensive, Innate</v>
      </c>
      <c r="G476" s="226" t="str">
        <f>IFERROR(__xludf.DUMMYFUNCTION("""COMPUTED_VALUE"""),"Static
Keywords - Defensive, Innate
Effect: The user resists all Damaging Attacks that aren’t Super Effective by an additional damage step. If the user’s Typing would change, this Ability has no Effect.")</f>
        <v>Static
Keywords - Defensive, Innate
Effect: The user resists all Damaging Attacks that aren’t Super Effective by an additional damage step. If the user’s Typing would change, this Ability has no Effect.</v>
      </c>
      <c r="H476" s="224"/>
      <c r="I476" s="224"/>
      <c r="J476" s="224"/>
      <c r="K476" s="224"/>
      <c r="L476" s="224"/>
      <c r="M476" s="224"/>
      <c r="N476" s="224"/>
      <c r="O476" s="224"/>
      <c r="P476" s="224"/>
      <c r="Q476" s="224"/>
      <c r="R476" s="224"/>
      <c r="S476" s="224"/>
      <c r="T476" s="224"/>
      <c r="U476" s="224"/>
      <c r="V476" s="224"/>
      <c r="W476" s="224"/>
      <c r="X476" s="224"/>
      <c r="Y476" s="224"/>
      <c r="Z476" s="224"/>
    </row>
    <row r="477">
      <c r="A477" s="225" t="str">
        <f>IFERROR(__xludf.DUMMYFUNCTION("""COMPUTED_VALUE"""),"Wonder Skin")</f>
        <v>Wonder Skin</v>
      </c>
      <c r="B477" s="225" t="str">
        <f>IFERROR(__xludf.DUMMYFUNCTION("""COMPUTED_VALUE"""),"Static")</f>
        <v>Static</v>
      </c>
      <c r="C477" s="225" t="str">
        <f>IFERROR(__xludf.DUMMYFUNCTION("""COMPUTED_VALUE"""),"Effect: The user has Uncapped Evasion against Status Attacks equal to their Tier Level. Effect Ranges cannot Trigger against the user. ")</f>
        <v>Effect: The user has Uncapped Evasion against Status Attacks equal to their Tier Level. Effect Ranges cannot Trigger against the user. </v>
      </c>
      <c r="D477" s="225"/>
      <c r="E477" s="225"/>
      <c r="F477" s="225" t="str">
        <f>IFERROR(__xludf.DUMMYFUNCTION("""COMPUTED_VALUE"""),"Defensive")</f>
        <v>Defensive</v>
      </c>
      <c r="G477" s="226" t="str">
        <f>IFERROR(__xludf.DUMMYFUNCTION("""COMPUTED_VALUE"""),"Static
Keywords - Defensive
Effect: The user has Uncapped Evasion against Status Attacks equal to their Tier Level. Effect Ranges cannot Trigger against the user. ")</f>
        <v>Static
Keywords - Defensive
Effect: The user has Uncapped Evasion against Status Attacks equal to their Tier Level. Effect Ranges cannot Trigger against the user. </v>
      </c>
      <c r="H477" s="224"/>
      <c r="I477" s="224"/>
      <c r="J477" s="224"/>
      <c r="K477" s="224"/>
      <c r="L477" s="224"/>
      <c r="M477" s="224"/>
      <c r="N477" s="224"/>
      <c r="O477" s="224"/>
      <c r="P477" s="224"/>
      <c r="Q477" s="224"/>
      <c r="R477" s="224"/>
      <c r="S477" s="224"/>
      <c r="T477" s="224"/>
      <c r="U477" s="224"/>
      <c r="V477" s="224"/>
      <c r="W477" s="224"/>
      <c r="X477" s="224"/>
      <c r="Y477" s="224"/>
      <c r="Z477" s="224"/>
    </row>
    <row r="478">
      <c r="A478" s="225" t="str">
        <f>IFERROR(__xludf.DUMMYFUNCTION("""COMPUTED_VALUE"""),"Zero To Hero")</f>
        <v>Zero To Hero</v>
      </c>
      <c r="B478" s="225" t="str">
        <f>IFERROR(__xludf.DUMMYFUNCTION("""COMPUTED_VALUE"""),"Scene - Free Action")</f>
        <v>Scene - Free Action</v>
      </c>
      <c r="C478" s="225" t="str">
        <f>IFERROR(__xludf.DUMMYFUNCTION("""COMPUTED_VALUE"""),"Effect: The user gains +2 CS to two Stats of their choice and may choose to use a Damaging Attack as if it had the Priority (Advanced) Keyword, however it must be against the Enemy that caused this ability to trigger. If the user is Tier 2+, they may acti"&amp;"vate the Form Change Capability and evolve into Palafin until the end of the Scene")</f>
        <v>Effect: The user gains +2 CS to two Stats of their choice and may choose to use a Damaging Attack as if it had the Priority (Advanced) Keyword, however it must be against the Enemy that caused this ability to trigger. If the user is Tier 2+, they may activate the Form Change Capability and evolve into Palafin until the end of the Scene</v>
      </c>
      <c r="D478" s="225" t="str">
        <f>IFERROR(__xludf.DUMMYFUNCTION("""COMPUTED_VALUE"""),"An Ally drops below 50% Hit Points from an Enemy Attack")</f>
        <v>An Ally drops below 50% Hit Points from an Enemy Attack</v>
      </c>
      <c r="E478" s="225"/>
      <c r="F478" s="225"/>
      <c r="G478" s="226" t="str">
        <f>IFERROR(__xludf.DUMMYFUNCTION("""COMPUTED_VALUE"""),"Scene - Free Action
Trigger - An Ally drops below 50% Hit Points from an Enemy Attack
Effect: The user gains +2 CS to two Stats of their choice and may choose to use a Damaging Attack as if it had the Priority (Advanced) Keyword, however it must be agains"&amp;"t the Enemy that caused this ability to trigger. If the user is Tier 2+, they may activate the Form Change Capability and evolve into Palafin until the end of the Scene")</f>
        <v>Scene - Free Action
Trigger - An Ally drops below 50% Hit Points from an Enemy Attack
Effect: The user gains +2 CS to two Stats of their choice and may choose to use a Damaging Attack as if it had the Priority (Advanced) Keyword, however it must be against the Enemy that caused this ability to trigger. If the user is Tier 2+, they may activate the Form Change Capability and evolve into Palafin until the end of the Scene</v>
      </c>
      <c r="H478" s="224"/>
      <c r="I478" s="224"/>
      <c r="J478" s="224"/>
      <c r="K478" s="224"/>
      <c r="L478" s="224"/>
      <c r="M478" s="224"/>
      <c r="N478" s="224"/>
      <c r="O478" s="224"/>
      <c r="P478" s="224"/>
      <c r="Q478" s="224"/>
      <c r="R478" s="224"/>
      <c r="S478" s="224"/>
      <c r="T478" s="224"/>
      <c r="U478" s="224"/>
      <c r="V478" s="224"/>
      <c r="W478" s="224"/>
      <c r="X478" s="224"/>
      <c r="Y478" s="224"/>
      <c r="Z478" s="224"/>
    </row>
    <row r="479">
      <c r="A479" s="225"/>
      <c r="B479" s="225"/>
      <c r="C479" s="225"/>
      <c r="D479" s="225"/>
      <c r="E479" s="225"/>
      <c r="F479" s="225"/>
      <c r="G479" s="225"/>
      <c r="H479" s="224"/>
      <c r="I479" s="224"/>
      <c r="J479" s="224"/>
      <c r="K479" s="224"/>
      <c r="L479" s="224"/>
      <c r="M479" s="224"/>
      <c r="N479" s="224"/>
      <c r="O479" s="224"/>
      <c r="P479" s="224"/>
      <c r="Q479" s="224"/>
      <c r="R479" s="224"/>
      <c r="S479" s="224"/>
      <c r="T479" s="224"/>
      <c r="U479" s="224"/>
      <c r="V479" s="224"/>
      <c r="W479" s="224"/>
      <c r="X479" s="224"/>
      <c r="Y479" s="224"/>
      <c r="Z479" s="224"/>
    </row>
    <row r="480">
      <c r="A480" s="225"/>
      <c r="B480" s="225"/>
      <c r="C480" s="225"/>
      <c r="D480" s="225"/>
      <c r="E480" s="225"/>
      <c r="F480" s="225"/>
      <c r="G480" s="225"/>
      <c r="H480" s="224"/>
      <c r="I480" s="224"/>
      <c r="J480" s="224"/>
      <c r="K480" s="224"/>
      <c r="L480" s="224"/>
      <c r="M480" s="224"/>
      <c r="N480" s="224"/>
      <c r="O480" s="224"/>
      <c r="P480" s="224"/>
      <c r="Q480" s="224"/>
      <c r="R480" s="224"/>
      <c r="S480" s="224"/>
      <c r="T480" s="224"/>
      <c r="U480" s="224"/>
      <c r="V480" s="224"/>
      <c r="W480" s="224"/>
      <c r="X480" s="224"/>
      <c r="Y480" s="224"/>
      <c r="Z480" s="224"/>
    </row>
    <row r="481">
      <c r="A481" s="225"/>
      <c r="B481" s="225"/>
      <c r="C481" s="225"/>
      <c r="D481" s="225"/>
      <c r="E481" s="225"/>
      <c r="F481" s="225"/>
      <c r="G481" s="225"/>
      <c r="H481" s="224"/>
      <c r="I481" s="224"/>
      <c r="J481" s="224"/>
      <c r="K481" s="224"/>
      <c r="L481" s="224"/>
      <c r="M481" s="224"/>
      <c r="N481" s="224"/>
      <c r="O481" s="224"/>
      <c r="P481" s="224"/>
      <c r="Q481" s="224"/>
      <c r="R481" s="224"/>
      <c r="S481" s="224"/>
      <c r="T481" s="224"/>
      <c r="U481" s="224"/>
      <c r="V481" s="224"/>
      <c r="W481" s="224"/>
      <c r="X481" s="224"/>
      <c r="Y481" s="224"/>
      <c r="Z481" s="224"/>
    </row>
    <row r="482">
      <c r="A482" s="225"/>
      <c r="B482" s="225"/>
      <c r="C482" s="225"/>
      <c r="D482" s="225"/>
      <c r="E482" s="225"/>
      <c r="F482" s="225"/>
      <c r="G482" s="225"/>
      <c r="H482" s="224"/>
      <c r="I482" s="224"/>
      <c r="J482" s="224"/>
      <c r="K482" s="224"/>
      <c r="L482" s="224"/>
      <c r="M482" s="224"/>
      <c r="N482" s="224"/>
      <c r="O482" s="224"/>
      <c r="P482" s="224"/>
      <c r="Q482" s="224"/>
      <c r="R482" s="224"/>
      <c r="S482" s="224"/>
      <c r="T482" s="224"/>
      <c r="U482" s="224"/>
      <c r="V482" s="224"/>
      <c r="W482" s="224"/>
      <c r="X482" s="224"/>
      <c r="Y482" s="224"/>
      <c r="Z482" s="224"/>
    </row>
    <row r="483">
      <c r="A483" s="225"/>
      <c r="B483" s="225"/>
      <c r="C483" s="225"/>
      <c r="D483" s="225"/>
      <c r="E483" s="225"/>
      <c r="F483" s="225"/>
      <c r="G483" s="225"/>
      <c r="H483" s="224"/>
      <c r="I483" s="224"/>
      <c r="J483" s="224"/>
      <c r="K483" s="224"/>
      <c r="L483" s="224"/>
      <c r="M483" s="224"/>
      <c r="N483" s="224"/>
      <c r="O483" s="224"/>
      <c r="P483" s="224"/>
      <c r="Q483" s="224"/>
      <c r="R483" s="224"/>
      <c r="S483" s="224"/>
      <c r="T483" s="224"/>
      <c r="U483" s="224"/>
      <c r="V483" s="224"/>
      <c r="W483" s="224"/>
      <c r="X483" s="224"/>
      <c r="Y483" s="224"/>
      <c r="Z483" s="224"/>
    </row>
    <row r="484">
      <c r="A484" s="225"/>
      <c r="B484" s="225"/>
      <c r="C484" s="225"/>
      <c r="D484" s="225"/>
      <c r="E484" s="225"/>
      <c r="F484" s="225"/>
      <c r="G484" s="225"/>
      <c r="H484" s="224"/>
      <c r="I484" s="224"/>
      <c r="J484" s="224"/>
      <c r="K484" s="224"/>
      <c r="L484" s="224"/>
      <c r="M484" s="224"/>
      <c r="N484" s="224"/>
      <c r="O484" s="224"/>
      <c r="P484" s="224"/>
      <c r="Q484" s="224"/>
      <c r="R484" s="224"/>
      <c r="S484" s="224"/>
      <c r="T484" s="224"/>
      <c r="U484" s="224"/>
      <c r="V484" s="224"/>
      <c r="W484" s="224"/>
      <c r="X484" s="224"/>
      <c r="Y484" s="224"/>
      <c r="Z484" s="224"/>
    </row>
    <row r="485">
      <c r="A485" s="225"/>
      <c r="B485" s="225"/>
      <c r="C485" s="225"/>
      <c r="D485" s="225"/>
      <c r="E485" s="225"/>
      <c r="F485" s="225"/>
      <c r="G485" s="225"/>
      <c r="H485" s="224"/>
      <c r="I485" s="224"/>
      <c r="J485" s="224"/>
      <c r="K485" s="224"/>
      <c r="L485" s="224"/>
      <c r="M485" s="224"/>
      <c r="N485" s="224"/>
      <c r="O485" s="224"/>
      <c r="P485" s="224"/>
      <c r="Q485" s="224"/>
      <c r="R485" s="224"/>
      <c r="S485" s="224"/>
      <c r="T485" s="224"/>
      <c r="U485" s="224"/>
      <c r="V485" s="224"/>
      <c r="W485" s="224"/>
      <c r="X485" s="224"/>
      <c r="Y485" s="224"/>
      <c r="Z485" s="224"/>
    </row>
    <row r="486">
      <c r="A486" s="225"/>
      <c r="B486" s="225"/>
      <c r="C486" s="225"/>
      <c r="D486" s="225"/>
      <c r="E486" s="225"/>
      <c r="F486" s="225"/>
      <c r="G486" s="225"/>
      <c r="H486" s="224"/>
      <c r="I486" s="224"/>
      <c r="J486" s="224"/>
      <c r="K486" s="224"/>
      <c r="L486" s="224"/>
      <c r="M486" s="224"/>
      <c r="N486" s="224"/>
      <c r="O486" s="224"/>
      <c r="P486" s="224"/>
      <c r="Q486" s="224"/>
      <c r="R486" s="224"/>
      <c r="S486" s="224"/>
      <c r="T486" s="224"/>
      <c r="U486" s="224"/>
      <c r="V486" s="224"/>
      <c r="W486" s="224"/>
      <c r="X486" s="224"/>
      <c r="Y486" s="224"/>
      <c r="Z486" s="224"/>
    </row>
    <row r="487">
      <c r="A487" s="225"/>
      <c r="B487" s="225"/>
      <c r="C487" s="225"/>
      <c r="D487" s="225"/>
      <c r="E487" s="225"/>
      <c r="F487" s="225"/>
      <c r="G487" s="225"/>
      <c r="H487" s="224"/>
      <c r="I487" s="224"/>
      <c r="J487" s="224"/>
      <c r="K487" s="224"/>
      <c r="L487" s="224"/>
      <c r="M487" s="224"/>
      <c r="N487" s="224"/>
      <c r="O487" s="224"/>
      <c r="P487" s="224"/>
      <c r="Q487" s="224"/>
      <c r="R487" s="224"/>
      <c r="S487" s="224"/>
      <c r="T487" s="224"/>
      <c r="U487" s="224"/>
      <c r="V487" s="224"/>
      <c r="W487" s="224"/>
      <c r="X487" s="224"/>
      <c r="Y487" s="224"/>
      <c r="Z487" s="224"/>
    </row>
    <row r="488">
      <c r="A488" s="225"/>
      <c r="B488" s="225"/>
      <c r="C488" s="225"/>
      <c r="D488" s="225"/>
      <c r="E488" s="225"/>
      <c r="F488" s="225"/>
      <c r="G488" s="225"/>
      <c r="H488" s="224"/>
      <c r="I488" s="224"/>
      <c r="J488" s="224"/>
      <c r="K488" s="224"/>
      <c r="L488" s="224"/>
      <c r="M488" s="224"/>
      <c r="N488" s="224"/>
      <c r="O488" s="224"/>
      <c r="P488" s="224"/>
      <c r="Q488" s="224"/>
      <c r="R488" s="224"/>
      <c r="S488" s="224"/>
      <c r="T488" s="224"/>
      <c r="U488" s="224"/>
      <c r="V488" s="224"/>
      <c r="W488" s="224"/>
      <c r="X488" s="224"/>
      <c r="Y488" s="224"/>
      <c r="Z488" s="224"/>
    </row>
    <row r="489">
      <c r="A489" s="225"/>
      <c r="B489" s="225"/>
      <c r="C489" s="225"/>
      <c r="D489" s="225"/>
      <c r="E489" s="225"/>
      <c r="F489" s="225"/>
      <c r="G489" s="225"/>
      <c r="H489" s="224"/>
      <c r="I489" s="224"/>
      <c r="J489" s="224"/>
      <c r="K489" s="224"/>
      <c r="L489" s="224"/>
      <c r="M489" s="224"/>
      <c r="N489" s="224"/>
      <c r="O489" s="224"/>
      <c r="P489" s="224"/>
      <c r="Q489" s="224"/>
      <c r="R489" s="224"/>
      <c r="S489" s="224"/>
      <c r="T489" s="224"/>
      <c r="U489" s="224"/>
      <c r="V489" s="224"/>
      <c r="W489" s="224"/>
      <c r="X489" s="224"/>
      <c r="Y489" s="224"/>
      <c r="Z489" s="224"/>
    </row>
    <row r="490">
      <c r="A490" s="225"/>
      <c r="B490" s="225"/>
      <c r="C490" s="225"/>
      <c r="D490" s="225"/>
      <c r="E490" s="225"/>
      <c r="F490" s="225"/>
      <c r="G490" s="225"/>
      <c r="H490" s="224"/>
      <c r="I490" s="224"/>
      <c r="J490" s="224"/>
      <c r="K490" s="224"/>
      <c r="L490" s="224"/>
      <c r="M490" s="224"/>
      <c r="N490" s="224"/>
      <c r="O490" s="224"/>
      <c r="P490" s="224"/>
      <c r="Q490" s="224"/>
      <c r="R490" s="224"/>
      <c r="S490" s="224"/>
      <c r="T490" s="224"/>
      <c r="U490" s="224"/>
      <c r="V490" s="224"/>
      <c r="W490" s="224"/>
      <c r="X490" s="224"/>
      <c r="Y490" s="224"/>
      <c r="Z490" s="224"/>
    </row>
    <row r="491">
      <c r="A491" s="225"/>
      <c r="B491" s="225"/>
      <c r="C491" s="225"/>
      <c r="D491" s="225"/>
      <c r="E491" s="225"/>
      <c r="F491" s="225"/>
      <c r="G491" s="225"/>
      <c r="H491" s="224"/>
      <c r="I491" s="224"/>
      <c r="J491" s="224"/>
      <c r="K491" s="224"/>
      <c r="L491" s="224"/>
      <c r="M491" s="224"/>
      <c r="N491" s="224"/>
      <c r="O491" s="224"/>
      <c r="P491" s="224"/>
      <c r="Q491" s="224"/>
      <c r="R491" s="224"/>
      <c r="S491" s="224"/>
      <c r="T491" s="224"/>
      <c r="U491" s="224"/>
      <c r="V491" s="224"/>
      <c r="W491" s="224"/>
      <c r="X491" s="224"/>
      <c r="Y491" s="224"/>
      <c r="Z491" s="224"/>
    </row>
    <row r="492">
      <c r="A492" s="225"/>
      <c r="B492" s="225"/>
      <c r="C492" s="225"/>
      <c r="D492" s="225"/>
      <c r="E492" s="225"/>
      <c r="F492" s="225"/>
      <c r="G492" s="225"/>
      <c r="H492" s="224"/>
      <c r="I492" s="224"/>
      <c r="J492" s="224"/>
      <c r="K492" s="224"/>
      <c r="L492" s="224"/>
      <c r="M492" s="224"/>
      <c r="N492" s="224"/>
      <c r="O492" s="224"/>
      <c r="P492" s="224"/>
      <c r="Q492" s="224"/>
      <c r="R492" s="224"/>
      <c r="S492" s="224"/>
      <c r="T492" s="224"/>
      <c r="U492" s="224"/>
      <c r="V492" s="224"/>
      <c r="W492" s="224"/>
      <c r="X492" s="224"/>
      <c r="Y492" s="224"/>
      <c r="Z492" s="224"/>
    </row>
    <row r="493">
      <c r="A493" s="225"/>
      <c r="B493" s="225"/>
      <c r="C493" s="225"/>
      <c r="D493" s="225"/>
      <c r="E493" s="225"/>
      <c r="F493" s="225"/>
      <c r="G493" s="225"/>
      <c r="H493" s="224"/>
      <c r="I493" s="224"/>
      <c r="J493" s="224"/>
      <c r="K493" s="224"/>
      <c r="L493" s="224"/>
      <c r="M493" s="224"/>
      <c r="N493" s="224"/>
      <c r="O493" s="224"/>
      <c r="P493" s="224"/>
      <c r="Q493" s="224"/>
      <c r="R493" s="224"/>
      <c r="S493" s="224"/>
      <c r="T493" s="224"/>
      <c r="U493" s="224"/>
      <c r="V493" s="224"/>
      <c r="W493" s="224"/>
      <c r="X493" s="224"/>
      <c r="Y493" s="224"/>
      <c r="Z493" s="224"/>
    </row>
    <row r="494">
      <c r="A494" s="225"/>
      <c r="B494" s="225"/>
      <c r="C494" s="225"/>
      <c r="D494" s="225"/>
      <c r="E494" s="225"/>
      <c r="F494" s="225"/>
      <c r="G494" s="225"/>
      <c r="H494" s="224"/>
      <c r="I494" s="224"/>
      <c r="J494" s="224"/>
      <c r="K494" s="224"/>
      <c r="L494" s="224"/>
      <c r="M494" s="224"/>
      <c r="N494" s="224"/>
      <c r="O494" s="224"/>
      <c r="P494" s="224"/>
      <c r="Q494" s="224"/>
      <c r="R494" s="224"/>
      <c r="S494" s="224"/>
      <c r="T494" s="224"/>
      <c r="U494" s="224"/>
      <c r="V494" s="224"/>
      <c r="W494" s="224"/>
      <c r="X494" s="224"/>
      <c r="Y494" s="224"/>
      <c r="Z494" s="224"/>
    </row>
    <row r="495">
      <c r="A495" s="225"/>
      <c r="B495" s="225"/>
      <c r="C495" s="225"/>
      <c r="D495" s="225"/>
      <c r="E495" s="225"/>
      <c r="F495" s="225"/>
      <c r="G495" s="225"/>
      <c r="H495" s="224"/>
      <c r="I495" s="224"/>
      <c r="J495" s="224"/>
      <c r="K495" s="224"/>
      <c r="L495" s="224"/>
      <c r="M495" s="224"/>
      <c r="N495" s="224"/>
      <c r="O495" s="224"/>
      <c r="P495" s="224"/>
      <c r="Q495" s="224"/>
      <c r="R495" s="224"/>
      <c r="S495" s="224"/>
      <c r="T495" s="224"/>
      <c r="U495" s="224"/>
      <c r="V495" s="224"/>
      <c r="W495" s="224"/>
      <c r="X495" s="224"/>
      <c r="Y495" s="224"/>
      <c r="Z495" s="224"/>
    </row>
    <row r="496">
      <c r="A496" s="225"/>
      <c r="B496" s="225"/>
      <c r="C496" s="225"/>
      <c r="D496" s="225"/>
      <c r="E496" s="225"/>
      <c r="F496" s="225"/>
      <c r="G496" s="225"/>
      <c r="H496" s="224"/>
      <c r="I496" s="224"/>
      <c r="J496" s="224"/>
      <c r="K496" s="224"/>
      <c r="L496" s="224"/>
      <c r="M496" s="224"/>
      <c r="N496" s="224"/>
      <c r="O496" s="224"/>
      <c r="P496" s="224"/>
      <c r="Q496" s="224"/>
      <c r="R496" s="224"/>
      <c r="S496" s="224"/>
      <c r="T496" s="224"/>
      <c r="U496" s="224"/>
      <c r="V496" s="224"/>
      <c r="W496" s="224"/>
      <c r="X496" s="224"/>
      <c r="Y496" s="224"/>
      <c r="Z496" s="224"/>
    </row>
    <row r="497">
      <c r="A497" s="225"/>
      <c r="B497" s="225"/>
      <c r="C497" s="225"/>
      <c r="D497" s="225"/>
      <c r="E497" s="225"/>
      <c r="F497" s="225"/>
      <c r="G497" s="225"/>
      <c r="H497" s="224"/>
      <c r="I497" s="224"/>
      <c r="J497" s="224"/>
      <c r="K497" s="224"/>
      <c r="L497" s="224"/>
      <c r="M497" s="224"/>
      <c r="N497" s="224"/>
      <c r="O497" s="224"/>
      <c r="P497" s="224"/>
      <c r="Q497" s="224"/>
      <c r="R497" s="224"/>
      <c r="S497" s="224"/>
      <c r="T497" s="224"/>
      <c r="U497" s="224"/>
      <c r="V497" s="224"/>
      <c r="W497" s="224"/>
      <c r="X497" s="224"/>
      <c r="Y497" s="224"/>
      <c r="Z497" s="224"/>
    </row>
    <row r="498">
      <c r="A498" s="225"/>
      <c r="B498" s="225"/>
      <c r="C498" s="225"/>
      <c r="D498" s="225"/>
      <c r="E498" s="225"/>
      <c r="F498" s="225"/>
      <c r="G498" s="225"/>
      <c r="H498" s="224"/>
      <c r="I498" s="224"/>
      <c r="J498" s="224"/>
      <c r="K498" s="224"/>
      <c r="L498" s="224"/>
      <c r="M498" s="224"/>
      <c r="N498" s="224"/>
      <c r="O498" s="224"/>
      <c r="P498" s="224"/>
      <c r="Q498" s="224"/>
      <c r="R498" s="224"/>
      <c r="S498" s="224"/>
      <c r="T498" s="224"/>
      <c r="U498" s="224"/>
      <c r="V498" s="224"/>
      <c r="W498" s="224"/>
      <c r="X498" s="224"/>
      <c r="Y498" s="224"/>
      <c r="Z498" s="224"/>
    </row>
    <row r="499">
      <c r="A499" s="225"/>
      <c r="B499" s="225"/>
      <c r="C499" s="225"/>
      <c r="D499" s="225"/>
      <c r="E499" s="225"/>
      <c r="F499" s="225"/>
      <c r="G499" s="225"/>
      <c r="H499" s="224"/>
      <c r="I499" s="224"/>
      <c r="J499" s="224"/>
      <c r="K499" s="224"/>
      <c r="L499" s="224"/>
      <c r="M499" s="224"/>
      <c r="N499" s="224"/>
      <c r="O499" s="224"/>
      <c r="P499" s="224"/>
      <c r="Q499" s="224"/>
      <c r="R499" s="224"/>
      <c r="S499" s="224"/>
      <c r="T499" s="224"/>
      <c r="U499" s="224"/>
      <c r="V499" s="224"/>
      <c r="W499" s="224"/>
      <c r="X499" s="224"/>
      <c r="Y499" s="224"/>
      <c r="Z499" s="224"/>
    </row>
    <row r="500">
      <c r="A500" s="225"/>
      <c r="B500" s="225"/>
      <c r="C500" s="225"/>
      <c r="D500" s="225"/>
      <c r="E500" s="225"/>
      <c r="F500" s="225"/>
      <c r="G500" s="225"/>
      <c r="H500" s="224"/>
      <c r="I500" s="224"/>
      <c r="J500" s="224"/>
      <c r="K500" s="224"/>
      <c r="L500" s="224"/>
      <c r="M500" s="224"/>
      <c r="N500" s="224"/>
      <c r="O500" s="224"/>
      <c r="P500" s="224"/>
      <c r="Q500" s="224"/>
      <c r="R500" s="224"/>
      <c r="S500" s="224"/>
      <c r="T500" s="224"/>
      <c r="U500" s="224"/>
      <c r="V500" s="224"/>
      <c r="W500" s="224"/>
      <c r="X500" s="224"/>
      <c r="Y500" s="224"/>
      <c r="Z500" s="224"/>
    </row>
    <row r="501">
      <c r="A501" s="225"/>
      <c r="B501" s="225"/>
      <c r="C501" s="225"/>
      <c r="D501" s="225"/>
      <c r="E501" s="225"/>
      <c r="F501" s="225"/>
      <c r="G501" s="225"/>
      <c r="H501" s="224"/>
      <c r="I501" s="224"/>
      <c r="J501" s="224"/>
      <c r="K501" s="224"/>
      <c r="L501" s="224"/>
      <c r="M501" s="224"/>
      <c r="N501" s="224"/>
      <c r="O501" s="224"/>
      <c r="P501" s="224"/>
      <c r="Q501" s="224"/>
      <c r="R501" s="224"/>
      <c r="S501" s="224"/>
      <c r="T501" s="224"/>
      <c r="U501" s="224"/>
      <c r="V501" s="224"/>
      <c r="W501" s="224"/>
      <c r="X501" s="224"/>
      <c r="Y501" s="224"/>
      <c r="Z501" s="224"/>
    </row>
    <row r="502">
      <c r="A502" s="225"/>
      <c r="B502" s="225"/>
      <c r="C502" s="225"/>
      <c r="D502" s="225"/>
      <c r="E502" s="225"/>
      <c r="F502" s="225"/>
      <c r="G502" s="225"/>
      <c r="H502" s="224"/>
      <c r="I502" s="224"/>
      <c r="J502" s="224"/>
      <c r="K502" s="224"/>
      <c r="L502" s="224"/>
      <c r="M502" s="224"/>
      <c r="N502" s="224"/>
      <c r="O502" s="224"/>
      <c r="P502" s="224"/>
      <c r="Q502" s="224"/>
      <c r="R502" s="224"/>
      <c r="S502" s="224"/>
      <c r="T502" s="224"/>
      <c r="U502" s="224"/>
      <c r="V502" s="224"/>
      <c r="W502" s="224"/>
      <c r="X502" s="224"/>
      <c r="Y502" s="224"/>
      <c r="Z502" s="224"/>
    </row>
    <row r="503">
      <c r="A503" s="225"/>
      <c r="B503" s="225"/>
      <c r="C503" s="225"/>
      <c r="D503" s="225"/>
      <c r="E503" s="225"/>
      <c r="F503" s="225"/>
      <c r="G503" s="225"/>
      <c r="H503" s="224"/>
      <c r="I503" s="224"/>
      <c r="J503" s="224"/>
      <c r="K503" s="224"/>
      <c r="L503" s="224"/>
      <c r="M503" s="224"/>
      <c r="N503" s="224"/>
      <c r="O503" s="224"/>
      <c r="P503" s="224"/>
      <c r="Q503" s="224"/>
      <c r="R503" s="224"/>
      <c r="S503" s="224"/>
      <c r="T503" s="224"/>
      <c r="U503" s="224"/>
      <c r="V503" s="224"/>
      <c r="W503" s="224"/>
      <c r="X503" s="224"/>
      <c r="Y503" s="224"/>
      <c r="Z503" s="224"/>
    </row>
    <row r="504">
      <c r="A504" s="225"/>
      <c r="B504" s="225"/>
      <c r="C504" s="225"/>
      <c r="D504" s="225"/>
      <c r="E504" s="225"/>
      <c r="F504" s="225"/>
      <c r="G504" s="225"/>
      <c r="H504" s="224"/>
      <c r="I504" s="224"/>
      <c r="J504" s="224"/>
      <c r="K504" s="224"/>
      <c r="L504" s="224"/>
      <c r="M504" s="224"/>
      <c r="N504" s="224"/>
      <c r="O504" s="224"/>
      <c r="P504" s="224"/>
      <c r="Q504" s="224"/>
      <c r="R504" s="224"/>
      <c r="S504" s="224"/>
      <c r="T504" s="224"/>
      <c r="U504" s="224"/>
      <c r="V504" s="224"/>
      <c r="W504" s="224"/>
      <c r="X504" s="224"/>
      <c r="Y504" s="224"/>
      <c r="Z504" s="224"/>
    </row>
    <row r="505">
      <c r="A505" s="225"/>
      <c r="B505" s="225"/>
      <c r="C505" s="225"/>
      <c r="D505" s="225"/>
      <c r="E505" s="225"/>
      <c r="F505" s="225"/>
      <c r="G505" s="225"/>
      <c r="H505" s="224"/>
      <c r="I505" s="224"/>
      <c r="J505" s="224"/>
      <c r="K505" s="224"/>
      <c r="L505" s="224"/>
      <c r="M505" s="224"/>
      <c r="N505" s="224"/>
      <c r="O505" s="224"/>
      <c r="P505" s="224"/>
      <c r="Q505" s="224"/>
      <c r="R505" s="224"/>
      <c r="S505" s="224"/>
      <c r="T505" s="224"/>
      <c r="U505" s="224"/>
      <c r="V505" s="224"/>
      <c r="W505" s="224"/>
      <c r="X505" s="224"/>
      <c r="Y505" s="224"/>
      <c r="Z505" s="224"/>
    </row>
    <row r="506">
      <c r="A506" s="225"/>
      <c r="B506" s="225"/>
      <c r="C506" s="225"/>
      <c r="D506" s="225"/>
      <c r="E506" s="225"/>
      <c r="F506" s="225"/>
      <c r="G506" s="225"/>
      <c r="H506" s="224"/>
      <c r="I506" s="224"/>
      <c r="J506" s="224"/>
      <c r="K506" s="224"/>
      <c r="L506" s="224"/>
      <c r="M506" s="224"/>
      <c r="N506" s="224"/>
      <c r="O506" s="224"/>
      <c r="P506" s="224"/>
      <c r="Q506" s="224"/>
      <c r="R506" s="224"/>
      <c r="S506" s="224"/>
      <c r="T506" s="224"/>
      <c r="U506" s="224"/>
      <c r="V506" s="224"/>
      <c r="W506" s="224"/>
      <c r="X506" s="224"/>
      <c r="Y506" s="224"/>
      <c r="Z506" s="224"/>
    </row>
    <row r="507">
      <c r="A507" s="225"/>
      <c r="B507" s="225"/>
      <c r="C507" s="225"/>
      <c r="D507" s="225"/>
      <c r="E507" s="225"/>
      <c r="F507" s="225"/>
      <c r="G507" s="225"/>
      <c r="H507" s="224"/>
      <c r="I507" s="224"/>
      <c r="J507" s="224"/>
      <c r="K507" s="224"/>
      <c r="L507" s="224"/>
      <c r="M507" s="224"/>
      <c r="N507" s="224"/>
      <c r="O507" s="224"/>
      <c r="P507" s="224"/>
      <c r="Q507" s="224"/>
      <c r="R507" s="224"/>
      <c r="S507" s="224"/>
      <c r="T507" s="224"/>
      <c r="U507" s="224"/>
      <c r="V507" s="224"/>
      <c r="W507" s="224"/>
      <c r="X507" s="224"/>
      <c r="Y507" s="224"/>
      <c r="Z507" s="224"/>
    </row>
    <row r="508">
      <c r="A508" s="225"/>
      <c r="B508" s="225"/>
      <c r="C508" s="225"/>
      <c r="D508" s="225"/>
      <c r="E508" s="225"/>
      <c r="F508" s="225"/>
      <c r="G508" s="225"/>
      <c r="H508" s="224"/>
      <c r="I508" s="224"/>
      <c r="J508" s="224"/>
      <c r="K508" s="224"/>
      <c r="L508" s="224"/>
      <c r="M508" s="224"/>
      <c r="N508" s="224"/>
      <c r="O508" s="224"/>
      <c r="P508" s="224"/>
      <c r="Q508" s="224"/>
      <c r="R508" s="224"/>
      <c r="S508" s="224"/>
      <c r="T508" s="224"/>
      <c r="U508" s="224"/>
      <c r="V508" s="224"/>
      <c r="W508" s="224"/>
      <c r="X508" s="224"/>
      <c r="Y508" s="224"/>
      <c r="Z508" s="224"/>
    </row>
    <row r="509">
      <c r="A509" s="225"/>
      <c r="B509" s="225"/>
      <c r="C509" s="225"/>
      <c r="D509" s="225"/>
      <c r="E509" s="225"/>
      <c r="F509" s="225"/>
      <c r="G509" s="225"/>
      <c r="H509" s="224"/>
      <c r="I509" s="224"/>
      <c r="J509" s="224"/>
      <c r="K509" s="224"/>
      <c r="L509" s="224"/>
      <c r="M509" s="224"/>
      <c r="N509" s="224"/>
      <c r="O509" s="224"/>
      <c r="P509" s="224"/>
      <c r="Q509" s="224"/>
      <c r="R509" s="224"/>
      <c r="S509" s="224"/>
      <c r="T509" s="224"/>
      <c r="U509" s="224"/>
      <c r="V509" s="224"/>
      <c r="W509" s="224"/>
      <c r="X509" s="224"/>
      <c r="Y509" s="224"/>
      <c r="Z509" s="224"/>
    </row>
    <row r="510">
      <c r="A510" s="225"/>
      <c r="B510" s="225"/>
      <c r="C510" s="225"/>
      <c r="D510" s="225"/>
      <c r="E510" s="225"/>
      <c r="F510" s="225"/>
      <c r="G510" s="225"/>
      <c r="H510" s="224"/>
      <c r="I510" s="224"/>
      <c r="J510" s="224"/>
      <c r="K510" s="224"/>
      <c r="L510" s="224"/>
      <c r="M510" s="224"/>
      <c r="N510" s="224"/>
      <c r="O510" s="224"/>
      <c r="P510" s="224"/>
      <c r="Q510" s="224"/>
      <c r="R510" s="224"/>
      <c r="S510" s="224"/>
      <c r="T510" s="224"/>
      <c r="U510" s="224"/>
      <c r="V510" s="224"/>
      <c r="W510" s="224"/>
      <c r="X510" s="224"/>
      <c r="Y510" s="224"/>
      <c r="Z510" s="224"/>
    </row>
    <row r="511">
      <c r="A511" s="225"/>
      <c r="B511" s="225"/>
      <c r="C511" s="225"/>
      <c r="D511" s="225"/>
      <c r="E511" s="225"/>
      <c r="F511" s="225"/>
      <c r="G511" s="225"/>
      <c r="H511" s="224"/>
      <c r="I511" s="224"/>
      <c r="J511" s="224"/>
      <c r="K511" s="224"/>
      <c r="L511" s="224"/>
      <c r="M511" s="224"/>
      <c r="N511" s="224"/>
      <c r="O511" s="224"/>
      <c r="P511" s="224"/>
      <c r="Q511" s="224"/>
      <c r="R511" s="224"/>
      <c r="S511" s="224"/>
      <c r="T511" s="224"/>
      <c r="U511" s="224"/>
      <c r="V511" s="224"/>
      <c r="W511" s="224"/>
      <c r="X511" s="224"/>
      <c r="Y511" s="224"/>
      <c r="Z511" s="224"/>
    </row>
    <row r="512">
      <c r="A512" s="225"/>
      <c r="B512" s="225"/>
      <c r="C512" s="225"/>
      <c r="D512" s="225"/>
      <c r="E512" s="225"/>
      <c r="F512" s="225"/>
      <c r="G512" s="225"/>
      <c r="H512" s="224"/>
      <c r="I512" s="224"/>
      <c r="J512" s="224"/>
      <c r="K512" s="224"/>
      <c r="L512" s="224"/>
      <c r="M512" s="224"/>
      <c r="N512" s="224"/>
      <c r="O512" s="224"/>
      <c r="P512" s="224"/>
      <c r="Q512" s="224"/>
      <c r="R512" s="224"/>
      <c r="S512" s="224"/>
      <c r="T512" s="224"/>
      <c r="U512" s="224"/>
      <c r="V512" s="224"/>
      <c r="W512" s="224"/>
      <c r="X512" s="224"/>
      <c r="Y512" s="224"/>
      <c r="Z512" s="224"/>
    </row>
    <row r="513">
      <c r="A513" s="225"/>
      <c r="B513" s="225"/>
      <c r="C513" s="225"/>
      <c r="D513" s="225"/>
      <c r="E513" s="225"/>
      <c r="F513" s="225"/>
      <c r="G513" s="225"/>
      <c r="H513" s="224"/>
      <c r="I513" s="224"/>
      <c r="J513" s="224"/>
      <c r="K513" s="224"/>
      <c r="L513" s="224"/>
      <c r="M513" s="224"/>
      <c r="N513" s="224"/>
      <c r="O513" s="224"/>
      <c r="P513" s="224"/>
      <c r="Q513" s="224"/>
      <c r="R513" s="224"/>
      <c r="S513" s="224"/>
      <c r="T513" s="224"/>
      <c r="U513" s="224"/>
      <c r="V513" s="224"/>
      <c r="W513" s="224"/>
      <c r="X513" s="224"/>
      <c r="Y513" s="224"/>
      <c r="Z513" s="224"/>
    </row>
    <row r="514">
      <c r="A514" s="225"/>
      <c r="B514" s="225"/>
      <c r="C514" s="225"/>
      <c r="D514" s="225"/>
      <c r="E514" s="225"/>
      <c r="F514" s="225"/>
      <c r="G514" s="225"/>
      <c r="H514" s="224"/>
      <c r="I514" s="224"/>
      <c r="J514" s="224"/>
      <c r="K514" s="224"/>
      <c r="L514" s="224"/>
      <c r="M514" s="224"/>
      <c r="N514" s="224"/>
      <c r="O514" s="224"/>
      <c r="P514" s="224"/>
      <c r="Q514" s="224"/>
      <c r="R514" s="224"/>
      <c r="S514" s="224"/>
      <c r="T514" s="224"/>
      <c r="U514" s="224"/>
      <c r="V514" s="224"/>
      <c r="W514" s="224"/>
      <c r="X514" s="224"/>
      <c r="Y514" s="224"/>
      <c r="Z514" s="224"/>
    </row>
    <row r="515">
      <c r="A515" s="225"/>
      <c r="B515" s="225"/>
      <c r="C515" s="225"/>
      <c r="D515" s="225"/>
      <c r="E515" s="225"/>
      <c r="F515" s="225"/>
      <c r="G515" s="225"/>
      <c r="H515" s="224"/>
      <c r="I515" s="224"/>
      <c r="J515" s="224"/>
      <c r="K515" s="224"/>
      <c r="L515" s="224"/>
      <c r="M515" s="224"/>
      <c r="N515" s="224"/>
      <c r="O515" s="224"/>
      <c r="P515" s="224"/>
      <c r="Q515" s="224"/>
      <c r="R515" s="224"/>
      <c r="S515" s="224"/>
      <c r="T515" s="224"/>
      <c r="U515" s="224"/>
      <c r="V515" s="224"/>
      <c r="W515" s="224"/>
      <c r="X515" s="224"/>
      <c r="Y515" s="224"/>
      <c r="Z515" s="224"/>
    </row>
    <row r="516">
      <c r="A516" s="225"/>
      <c r="B516" s="225"/>
      <c r="C516" s="225"/>
      <c r="D516" s="225"/>
      <c r="E516" s="225"/>
      <c r="F516" s="225"/>
      <c r="G516" s="225"/>
      <c r="H516" s="224"/>
      <c r="I516" s="224"/>
      <c r="J516" s="224"/>
      <c r="K516" s="224"/>
      <c r="L516" s="224"/>
      <c r="M516" s="224"/>
      <c r="N516" s="224"/>
      <c r="O516" s="224"/>
      <c r="P516" s="224"/>
      <c r="Q516" s="224"/>
      <c r="R516" s="224"/>
      <c r="S516" s="224"/>
      <c r="T516" s="224"/>
      <c r="U516" s="224"/>
      <c r="V516" s="224"/>
      <c r="W516" s="224"/>
      <c r="X516" s="224"/>
      <c r="Y516" s="224"/>
      <c r="Z516" s="224"/>
    </row>
    <row r="517">
      <c r="A517" s="225"/>
      <c r="B517" s="225"/>
      <c r="C517" s="225"/>
      <c r="D517" s="225"/>
      <c r="E517" s="225"/>
      <c r="F517" s="225"/>
      <c r="G517" s="225"/>
      <c r="H517" s="224"/>
      <c r="I517" s="224"/>
      <c r="J517" s="224"/>
      <c r="K517" s="224"/>
      <c r="L517" s="224"/>
      <c r="M517" s="224"/>
      <c r="N517" s="224"/>
      <c r="O517" s="224"/>
      <c r="P517" s="224"/>
      <c r="Q517" s="224"/>
      <c r="R517" s="224"/>
      <c r="S517" s="224"/>
      <c r="T517" s="224"/>
      <c r="U517" s="224"/>
      <c r="V517" s="224"/>
      <c r="W517" s="224"/>
      <c r="X517" s="224"/>
      <c r="Y517" s="224"/>
      <c r="Z517" s="224"/>
    </row>
    <row r="518">
      <c r="A518" s="225"/>
      <c r="B518" s="225"/>
      <c r="C518" s="225"/>
      <c r="D518" s="225"/>
      <c r="E518" s="225"/>
      <c r="F518" s="225"/>
      <c r="G518" s="225"/>
      <c r="H518" s="224"/>
      <c r="I518" s="224"/>
      <c r="J518" s="224"/>
      <c r="K518" s="224"/>
      <c r="L518" s="224"/>
      <c r="M518" s="224"/>
      <c r="N518" s="224"/>
      <c r="O518" s="224"/>
      <c r="P518" s="224"/>
      <c r="Q518" s="224"/>
      <c r="R518" s="224"/>
      <c r="S518" s="224"/>
      <c r="T518" s="224"/>
      <c r="U518" s="224"/>
      <c r="V518" s="224"/>
      <c r="W518" s="224"/>
      <c r="X518" s="224"/>
      <c r="Y518" s="224"/>
      <c r="Z518" s="224"/>
    </row>
    <row r="519">
      <c r="A519" s="225"/>
      <c r="B519" s="225"/>
      <c r="C519" s="225"/>
      <c r="D519" s="225"/>
      <c r="E519" s="225"/>
      <c r="F519" s="225"/>
      <c r="G519" s="225"/>
      <c r="H519" s="224"/>
      <c r="I519" s="224"/>
      <c r="J519" s="224"/>
      <c r="K519" s="224"/>
      <c r="L519" s="224"/>
      <c r="M519" s="224"/>
      <c r="N519" s="224"/>
      <c r="O519" s="224"/>
      <c r="P519" s="224"/>
      <c r="Q519" s="224"/>
      <c r="R519" s="224"/>
      <c r="S519" s="224"/>
      <c r="T519" s="224"/>
      <c r="U519" s="224"/>
      <c r="V519" s="224"/>
      <c r="W519" s="224"/>
      <c r="X519" s="224"/>
      <c r="Y519" s="224"/>
      <c r="Z519" s="224"/>
    </row>
    <row r="520">
      <c r="A520" s="225"/>
      <c r="B520" s="225"/>
      <c r="C520" s="225"/>
      <c r="D520" s="225"/>
      <c r="E520" s="225"/>
      <c r="F520" s="225"/>
      <c r="G520" s="225"/>
      <c r="H520" s="224"/>
      <c r="I520" s="224"/>
      <c r="J520" s="224"/>
      <c r="K520" s="224"/>
      <c r="L520" s="224"/>
      <c r="M520" s="224"/>
      <c r="N520" s="224"/>
      <c r="O520" s="224"/>
      <c r="P520" s="224"/>
      <c r="Q520" s="224"/>
      <c r="R520" s="224"/>
      <c r="S520" s="224"/>
      <c r="T520" s="224"/>
      <c r="U520" s="224"/>
      <c r="V520" s="224"/>
      <c r="W520" s="224"/>
      <c r="X520" s="224"/>
      <c r="Y520" s="224"/>
      <c r="Z520" s="224"/>
    </row>
    <row r="521">
      <c r="A521" s="225"/>
      <c r="B521" s="225"/>
      <c r="C521" s="225"/>
      <c r="D521" s="225"/>
      <c r="E521" s="225"/>
      <c r="F521" s="225"/>
      <c r="G521" s="225"/>
      <c r="H521" s="224"/>
      <c r="I521" s="224"/>
      <c r="J521" s="224"/>
      <c r="K521" s="224"/>
      <c r="L521" s="224"/>
      <c r="M521" s="224"/>
      <c r="N521" s="224"/>
      <c r="O521" s="224"/>
      <c r="P521" s="224"/>
      <c r="Q521" s="224"/>
      <c r="R521" s="224"/>
      <c r="S521" s="224"/>
      <c r="T521" s="224"/>
      <c r="U521" s="224"/>
      <c r="V521" s="224"/>
      <c r="W521" s="224"/>
      <c r="X521" s="224"/>
      <c r="Y521" s="224"/>
      <c r="Z521" s="224"/>
    </row>
    <row r="522">
      <c r="A522" s="225"/>
      <c r="B522" s="225"/>
      <c r="C522" s="225"/>
      <c r="D522" s="225"/>
      <c r="E522" s="225"/>
      <c r="F522" s="225"/>
      <c r="G522" s="225"/>
      <c r="H522" s="224"/>
      <c r="I522" s="224"/>
      <c r="J522" s="224"/>
      <c r="K522" s="224"/>
      <c r="L522" s="224"/>
      <c r="M522" s="224"/>
      <c r="N522" s="224"/>
      <c r="O522" s="224"/>
      <c r="P522" s="224"/>
      <c r="Q522" s="224"/>
      <c r="R522" s="224"/>
      <c r="S522" s="224"/>
      <c r="T522" s="224"/>
      <c r="U522" s="224"/>
      <c r="V522" s="224"/>
      <c r="W522" s="224"/>
      <c r="X522" s="224"/>
      <c r="Y522" s="224"/>
      <c r="Z522" s="224"/>
    </row>
    <row r="523">
      <c r="A523" s="225"/>
      <c r="B523" s="225"/>
      <c r="C523" s="225"/>
      <c r="D523" s="225"/>
      <c r="E523" s="225"/>
      <c r="F523" s="225"/>
      <c r="G523" s="225"/>
      <c r="H523" s="224"/>
      <c r="I523" s="224"/>
      <c r="J523" s="224"/>
      <c r="K523" s="224"/>
      <c r="L523" s="224"/>
      <c r="M523" s="224"/>
      <c r="N523" s="224"/>
      <c r="O523" s="224"/>
      <c r="P523" s="224"/>
      <c r="Q523" s="224"/>
      <c r="R523" s="224"/>
      <c r="S523" s="224"/>
      <c r="T523" s="224"/>
      <c r="U523" s="224"/>
      <c r="V523" s="224"/>
      <c r="W523" s="224"/>
      <c r="X523" s="224"/>
      <c r="Y523" s="224"/>
      <c r="Z523" s="224"/>
    </row>
    <row r="524">
      <c r="A524" s="225"/>
      <c r="B524" s="225"/>
      <c r="C524" s="225"/>
      <c r="D524" s="225"/>
      <c r="E524" s="225"/>
      <c r="F524" s="225"/>
      <c r="G524" s="225"/>
      <c r="H524" s="224"/>
      <c r="I524" s="224"/>
      <c r="J524" s="224"/>
      <c r="K524" s="224"/>
      <c r="L524" s="224"/>
      <c r="M524" s="224"/>
      <c r="N524" s="224"/>
      <c r="O524" s="224"/>
      <c r="P524" s="224"/>
      <c r="Q524" s="224"/>
      <c r="R524" s="224"/>
      <c r="S524" s="224"/>
      <c r="T524" s="224"/>
      <c r="U524" s="224"/>
      <c r="V524" s="224"/>
      <c r="W524" s="224"/>
      <c r="X524" s="224"/>
      <c r="Y524" s="224"/>
      <c r="Z524" s="224"/>
    </row>
    <row r="525">
      <c r="A525" s="225"/>
      <c r="B525" s="225"/>
      <c r="C525" s="225"/>
      <c r="D525" s="225"/>
      <c r="E525" s="225"/>
      <c r="F525" s="225"/>
      <c r="G525" s="225"/>
      <c r="H525" s="224"/>
      <c r="I525" s="224"/>
      <c r="J525" s="224"/>
      <c r="K525" s="224"/>
      <c r="L525" s="224"/>
      <c r="M525" s="224"/>
      <c r="N525" s="224"/>
      <c r="O525" s="224"/>
      <c r="P525" s="224"/>
      <c r="Q525" s="224"/>
      <c r="R525" s="224"/>
      <c r="S525" s="224"/>
      <c r="T525" s="224"/>
      <c r="U525" s="224"/>
      <c r="V525" s="224"/>
      <c r="W525" s="224"/>
      <c r="X525" s="224"/>
      <c r="Y525" s="224"/>
      <c r="Z525" s="224"/>
    </row>
    <row r="526">
      <c r="A526" s="225"/>
      <c r="B526" s="225"/>
      <c r="C526" s="225"/>
      <c r="D526" s="225"/>
      <c r="E526" s="225"/>
      <c r="F526" s="225"/>
      <c r="G526" s="225"/>
      <c r="H526" s="224"/>
      <c r="I526" s="224"/>
      <c r="J526" s="224"/>
      <c r="K526" s="224"/>
      <c r="L526" s="224"/>
      <c r="M526" s="224"/>
      <c r="N526" s="224"/>
      <c r="O526" s="224"/>
      <c r="P526" s="224"/>
      <c r="Q526" s="224"/>
      <c r="R526" s="224"/>
      <c r="S526" s="224"/>
      <c r="T526" s="224"/>
      <c r="U526" s="224"/>
      <c r="V526" s="224"/>
      <c r="W526" s="224"/>
      <c r="X526" s="224"/>
      <c r="Y526" s="224"/>
      <c r="Z526" s="224"/>
    </row>
    <row r="527">
      <c r="A527" s="225"/>
      <c r="B527" s="225"/>
      <c r="C527" s="225"/>
      <c r="D527" s="225"/>
      <c r="E527" s="225"/>
      <c r="F527" s="225"/>
      <c r="G527" s="225"/>
      <c r="H527" s="224"/>
      <c r="I527" s="224"/>
      <c r="J527" s="224"/>
      <c r="K527" s="224"/>
      <c r="L527" s="224"/>
      <c r="M527" s="224"/>
      <c r="N527" s="224"/>
      <c r="O527" s="224"/>
      <c r="P527" s="224"/>
      <c r="Q527" s="224"/>
      <c r="R527" s="224"/>
      <c r="S527" s="224"/>
      <c r="T527" s="224"/>
      <c r="U527" s="224"/>
      <c r="V527" s="224"/>
      <c r="W527" s="224"/>
      <c r="X527" s="224"/>
      <c r="Y527" s="224"/>
      <c r="Z527" s="224"/>
    </row>
    <row r="528">
      <c r="A528" s="225"/>
      <c r="B528" s="225"/>
      <c r="C528" s="225"/>
      <c r="D528" s="225"/>
      <c r="E528" s="225"/>
      <c r="F528" s="225"/>
      <c r="G528" s="225"/>
      <c r="H528" s="224"/>
      <c r="I528" s="224"/>
      <c r="J528" s="224"/>
      <c r="K528" s="224"/>
      <c r="L528" s="224"/>
      <c r="M528" s="224"/>
      <c r="N528" s="224"/>
      <c r="O528" s="224"/>
      <c r="P528" s="224"/>
      <c r="Q528" s="224"/>
      <c r="R528" s="224"/>
      <c r="S528" s="224"/>
      <c r="T528" s="224"/>
      <c r="U528" s="224"/>
      <c r="V528" s="224"/>
      <c r="W528" s="224"/>
      <c r="X528" s="224"/>
      <c r="Y528" s="224"/>
      <c r="Z528" s="224"/>
    </row>
    <row r="529">
      <c r="A529" s="225"/>
      <c r="B529" s="225"/>
      <c r="C529" s="225"/>
      <c r="D529" s="225"/>
      <c r="E529" s="225"/>
      <c r="F529" s="225"/>
      <c r="G529" s="225"/>
      <c r="H529" s="224"/>
      <c r="I529" s="224"/>
      <c r="J529" s="224"/>
      <c r="K529" s="224"/>
      <c r="L529" s="224"/>
      <c r="M529" s="224"/>
      <c r="N529" s="224"/>
      <c r="O529" s="224"/>
      <c r="P529" s="224"/>
      <c r="Q529" s="224"/>
      <c r="R529" s="224"/>
      <c r="S529" s="224"/>
      <c r="T529" s="224"/>
      <c r="U529" s="224"/>
      <c r="V529" s="224"/>
      <c r="W529" s="224"/>
      <c r="X529" s="224"/>
      <c r="Y529" s="224"/>
      <c r="Z529" s="224"/>
    </row>
    <row r="530">
      <c r="A530" s="225"/>
      <c r="B530" s="225"/>
      <c r="C530" s="225"/>
      <c r="D530" s="225"/>
      <c r="E530" s="225"/>
      <c r="F530" s="225"/>
      <c r="G530" s="225"/>
      <c r="H530" s="224"/>
      <c r="I530" s="224"/>
      <c r="J530" s="224"/>
      <c r="K530" s="224"/>
      <c r="L530" s="224"/>
      <c r="M530" s="224"/>
      <c r="N530" s="224"/>
      <c r="O530" s="224"/>
      <c r="P530" s="224"/>
      <c r="Q530" s="224"/>
      <c r="R530" s="224"/>
      <c r="S530" s="224"/>
      <c r="T530" s="224"/>
      <c r="U530" s="224"/>
      <c r="V530" s="224"/>
      <c r="W530" s="224"/>
      <c r="X530" s="224"/>
      <c r="Y530" s="224"/>
      <c r="Z530" s="224"/>
    </row>
    <row r="531">
      <c r="A531" s="225"/>
      <c r="B531" s="225"/>
      <c r="C531" s="225"/>
      <c r="D531" s="225"/>
      <c r="E531" s="225"/>
      <c r="F531" s="225"/>
      <c r="G531" s="225"/>
      <c r="H531" s="224"/>
      <c r="I531" s="224"/>
      <c r="J531" s="224"/>
      <c r="K531" s="224"/>
      <c r="L531" s="224"/>
      <c r="M531" s="224"/>
      <c r="N531" s="224"/>
      <c r="O531" s="224"/>
      <c r="P531" s="224"/>
      <c r="Q531" s="224"/>
      <c r="R531" s="224"/>
      <c r="S531" s="224"/>
      <c r="T531" s="224"/>
      <c r="U531" s="224"/>
      <c r="V531" s="224"/>
      <c r="W531" s="224"/>
      <c r="X531" s="224"/>
      <c r="Y531" s="224"/>
      <c r="Z531" s="224"/>
    </row>
    <row r="532">
      <c r="A532" s="225"/>
      <c r="B532" s="225"/>
      <c r="C532" s="225"/>
      <c r="D532" s="225"/>
      <c r="E532" s="225"/>
      <c r="F532" s="225"/>
      <c r="G532" s="225"/>
      <c r="H532" s="224"/>
      <c r="I532" s="224"/>
      <c r="J532" s="224"/>
      <c r="K532" s="224"/>
      <c r="L532" s="224"/>
      <c r="M532" s="224"/>
      <c r="N532" s="224"/>
      <c r="O532" s="224"/>
      <c r="P532" s="224"/>
      <c r="Q532" s="224"/>
      <c r="R532" s="224"/>
      <c r="S532" s="224"/>
      <c r="T532" s="224"/>
      <c r="U532" s="224"/>
      <c r="V532" s="224"/>
      <c r="W532" s="224"/>
      <c r="X532" s="224"/>
      <c r="Y532" s="224"/>
      <c r="Z532" s="224"/>
    </row>
    <row r="533">
      <c r="A533" s="225"/>
      <c r="B533" s="225"/>
      <c r="C533" s="225"/>
      <c r="D533" s="225"/>
      <c r="E533" s="225"/>
      <c r="F533" s="225"/>
      <c r="G533" s="225"/>
      <c r="H533" s="224"/>
      <c r="I533" s="224"/>
      <c r="J533" s="224"/>
      <c r="K533" s="224"/>
      <c r="L533" s="224"/>
      <c r="M533" s="224"/>
      <c r="N533" s="224"/>
      <c r="O533" s="224"/>
      <c r="P533" s="224"/>
      <c r="Q533" s="224"/>
      <c r="R533" s="224"/>
      <c r="S533" s="224"/>
      <c r="T533" s="224"/>
      <c r="U533" s="224"/>
      <c r="V533" s="224"/>
      <c r="W533" s="224"/>
      <c r="X533" s="224"/>
      <c r="Y533" s="224"/>
      <c r="Z533" s="224"/>
    </row>
    <row r="534">
      <c r="A534" s="225"/>
      <c r="B534" s="225"/>
      <c r="C534" s="225"/>
      <c r="D534" s="225"/>
      <c r="E534" s="225"/>
      <c r="F534" s="225"/>
      <c r="G534" s="225"/>
      <c r="H534" s="224"/>
      <c r="I534" s="224"/>
      <c r="J534" s="224"/>
      <c r="K534" s="224"/>
      <c r="L534" s="224"/>
      <c r="M534" s="224"/>
      <c r="N534" s="224"/>
      <c r="O534" s="224"/>
      <c r="P534" s="224"/>
      <c r="Q534" s="224"/>
      <c r="R534" s="224"/>
      <c r="S534" s="224"/>
      <c r="T534" s="224"/>
      <c r="U534" s="224"/>
      <c r="V534" s="224"/>
      <c r="W534" s="224"/>
      <c r="X534" s="224"/>
      <c r="Y534" s="224"/>
      <c r="Z534" s="224"/>
    </row>
    <row r="535">
      <c r="A535" s="225"/>
      <c r="B535" s="225"/>
      <c r="C535" s="225"/>
      <c r="D535" s="225"/>
      <c r="E535" s="225"/>
      <c r="F535" s="225"/>
      <c r="G535" s="225"/>
      <c r="H535" s="224"/>
      <c r="I535" s="224"/>
      <c r="J535" s="224"/>
      <c r="K535" s="224"/>
      <c r="L535" s="224"/>
      <c r="M535" s="224"/>
      <c r="N535" s="224"/>
      <c r="O535" s="224"/>
      <c r="P535" s="224"/>
      <c r="Q535" s="224"/>
      <c r="R535" s="224"/>
      <c r="S535" s="224"/>
      <c r="T535" s="224"/>
      <c r="U535" s="224"/>
      <c r="V535" s="224"/>
      <c r="W535" s="224"/>
      <c r="X535" s="224"/>
      <c r="Y535" s="224"/>
      <c r="Z535" s="224"/>
    </row>
    <row r="536">
      <c r="A536" s="225"/>
      <c r="B536" s="225"/>
      <c r="C536" s="225"/>
      <c r="D536" s="225"/>
      <c r="E536" s="225"/>
      <c r="F536" s="225"/>
      <c r="G536" s="225"/>
      <c r="H536" s="224"/>
      <c r="I536" s="224"/>
      <c r="J536" s="224"/>
      <c r="K536" s="224"/>
      <c r="L536" s="224"/>
      <c r="M536" s="224"/>
      <c r="N536" s="224"/>
      <c r="O536" s="224"/>
      <c r="P536" s="224"/>
      <c r="Q536" s="224"/>
      <c r="R536" s="224"/>
      <c r="S536" s="224"/>
      <c r="T536" s="224"/>
      <c r="U536" s="224"/>
      <c r="V536" s="224"/>
      <c r="W536" s="224"/>
      <c r="X536" s="224"/>
      <c r="Y536" s="224"/>
      <c r="Z536" s="224"/>
    </row>
    <row r="537">
      <c r="A537" s="225"/>
      <c r="B537" s="225"/>
      <c r="C537" s="225"/>
      <c r="D537" s="225"/>
      <c r="E537" s="225"/>
      <c r="F537" s="225"/>
      <c r="G537" s="225"/>
      <c r="H537" s="224"/>
      <c r="I537" s="224"/>
      <c r="J537" s="224"/>
      <c r="K537" s="224"/>
      <c r="L537" s="224"/>
      <c r="M537" s="224"/>
      <c r="N537" s="224"/>
      <c r="O537" s="224"/>
      <c r="P537" s="224"/>
      <c r="Q537" s="224"/>
      <c r="R537" s="224"/>
      <c r="S537" s="224"/>
      <c r="T537" s="224"/>
      <c r="U537" s="224"/>
      <c r="V537" s="224"/>
      <c r="W537" s="224"/>
      <c r="X537" s="224"/>
      <c r="Y537" s="224"/>
      <c r="Z537" s="224"/>
    </row>
    <row r="538">
      <c r="A538" s="225"/>
      <c r="B538" s="225"/>
      <c r="C538" s="225"/>
      <c r="D538" s="225"/>
      <c r="E538" s="225"/>
      <c r="F538" s="225"/>
      <c r="G538" s="225"/>
      <c r="H538" s="224"/>
      <c r="I538" s="224"/>
      <c r="J538" s="224"/>
      <c r="K538" s="224"/>
      <c r="L538" s="224"/>
      <c r="M538" s="224"/>
      <c r="N538" s="224"/>
      <c r="O538" s="224"/>
      <c r="P538" s="224"/>
      <c r="Q538" s="224"/>
      <c r="R538" s="224"/>
      <c r="S538" s="224"/>
      <c r="T538" s="224"/>
      <c r="U538" s="224"/>
      <c r="V538" s="224"/>
      <c r="W538" s="224"/>
      <c r="X538" s="224"/>
      <c r="Y538" s="224"/>
      <c r="Z538" s="224"/>
    </row>
    <row r="539">
      <c r="A539" s="225"/>
      <c r="B539" s="225"/>
      <c r="C539" s="225"/>
      <c r="D539" s="225"/>
      <c r="E539" s="225"/>
      <c r="F539" s="225"/>
      <c r="G539" s="225"/>
      <c r="H539" s="224"/>
      <c r="I539" s="224"/>
      <c r="J539" s="224"/>
      <c r="K539" s="224"/>
      <c r="L539" s="224"/>
      <c r="M539" s="224"/>
      <c r="N539" s="224"/>
      <c r="O539" s="224"/>
      <c r="P539" s="224"/>
      <c r="Q539" s="224"/>
      <c r="R539" s="224"/>
      <c r="S539" s="224"/>
      <c r="T539" s="224"/>
      <c r="U539" s="224"/>
      <c r="V539" s="224"/>
      <c r="W539" s="224"/>
      <c r="X539" s="224"/>
      <c r="Y539" s="224"/>
      <c r="Z539" s="224"/>
    </row>
    <row r="540">
      <c r="A540" s="225"/>
      <c r="B540" s="225"/>
      <c r="C540" s="225"/>
      <c r="D540" s="225"/>
      <c r="E540" s="225"/>
      <c r="F540" s="225"/>
      <c r="G540" s="225"/>
      <c r="H540" s="224"/>
      <c r="I540" s="224"/>
      <c r="J540" s="224"/>
      <c r="K540" s="224"/>
      <c r="L540" s="224"/>
      <c r="M540" s="224"/>
      <c r="N540" s="224"/>
      <c r="O540" s="224"/>
      <c r="P540" s="224"/>
      <c r="Q540" s="224"/>
      <c r="R540" s="224"/>
      <c r="S540" s="224"/>
      <c r="T540" s="224"/>
      <c r="U540" s="224"/>
      <c r="V540" s="224"/>
      <c r="W540" s="224"/>
      <c r="X540" s="224"/>
      <c r="Y540" s="224"/>
      <c r="Z540" s="224"/>
    </row>
    <row r="541">
      <c r="A541" s="225"/>
      <c r="B541" s="225"/>
      <c r="C541" s="225"/>
      <c r="D541" s="225"/>
      <c r="E541" s="225"/>
      <c r="F541" s="225"/>
      <c r="G541" s="225"/>
      <c r="H541" s="224"/>
      <c r="I541" s="224"/>
      <c r="J541" s="224"/>
      <c r="K541" s="224"/>
      <c r="L541" s="224"/>
      <c r="M541" s="224"/>
      <c r="N541" s="224"/>
      <c r="O541" s="224"/>
      <c r="P541" s="224"/>
      <c r="Q541" s="224"/>
      <c r="R541" s="224"/>
      <c r="S541" s="224"/>
      <c r="T541" s="224"/>
      <c r="U541" s="224"/>
      <c r="V541" s="224"/>
      <c r="W541" s="224"/>
      <c r="X541" s="224"/>
      <c r="Y541" s="224"/>
      <c r="Z541" s="224"/>
    </row>
    <row r="542">
      <c r="A542" s="225"/>
      <c r="B542" s="225"/>
      <c r="C542" s="225"/>
      <c r="D542" s="225"/>
      <c r="E542" s="225"/>
      <c r="F542" s="225"/>
      <c r="G542" s="225"/>
      <c r="H542" s="224"/>
      <c r="I542" s="224"/>
      <c r="J542" s="224"/>
      <c r="K542" s="224"/>
      <c r="L542" s="224"/>
      <c r="M542" s="224"/>
      <c r="N542" s="224"/>
      <c r="O542" s="224"/>
      <c r="P542" s="224"/>
      <c r="Q542" s="224"/>
      <c r="R542" s="224"/>
      <c r="S542" s="224"/>
      <c r="T542" s="224"/>
      <c r="U542" s="224"/>
      <c r="V542" s="224"/>
      <c r="W542" s="224"/>
      <c r="X542" s="224"/>
      <c r="Y542" s="224"/>
      <c r="Z542" s="224"/>
    </row>
    <row r="543">
      <c r="A543" s="225"/>
      <c r="B543" s="225"/>
      <c r="C543" s="225"/>
      <c r="D543" s="225"/>
      <c r="E543" s="225"/>
      <c r="F543" s="225"/>
      <c r="G543" s="225"/>
      <c r="H543" s="224"/>
      <c r="I543" s="224"/>
      <c r="J543" s="224"/>
      <c r="K543" s="224"/>
      <c r="L543" s="224"/>
      <c r="M543" s="224"/>
      <c r="N543" s="224"/>
      <c r="O543" s="224"/>
      <c r="P543" s="224"/>
      <c r="Q543" s="224"/>
      <c r="R543" s="224"/>
      <c r="S543" s="224"/>
      <c r="T543" s="224"/>
      <c r="U543" s="224"/>
      <c r="V543" s="224"/>
      <c r="W543" s="224"/>
      <c r="X543" s="224"/>
      <c r="Y543" s="224"/>
      <c r="Z543" s="224"/>
    </row>
    <row r="544">
      <c r="A544" s="225"/>
      <c r="B544" s="225"/>
      <c r="C544" s="225"/>
      <c r="D544" s="225"/>
      <c r="E544" s="225"/>
      <c r="F544" s="225"/>
      <c r="G544" s="225"/>
      <c r="H544" s="224"/>
      <c r="I544" s="224"/>
      <c r="J544" s="224"/>
      <c r="K544" s="224"/>
      <c r="L544" s="224"/>
      <c r="M544" s="224"/>
      <c r="N544" s="224"/>
      <c r="O544" s="224"/>
      <c r="P544" s="224"/>
      <c r="Q544" s="224"/>
      <c r="R544" s="224"/>
      <c r="S544" s="224"/>
      <c r="T544" s="224"/>
      <c r="U544" s="224"/>
      <c r="V544" s="224"/>
      <c r="W544" s="224"/>
      <c r="X544" s="224"/>
      <c r="Y544" s="224"/>
      <c r="Z544" s="224"/>
    </row>
    <row r="545">
      <c r="A545" s="225"/>
      <c r="B545" s="225"/>
      <c r="C545" s="225"/>
      <c r="D545" s="225"/>
      <c r="E545" s="225"/>
      <c r="F545" s="225"/>
      <c r="G545" s="225"/>
      <c r="H545" s="224"/>
      <c r="I545" s="224"/>
      <c r="J545" s="224"/>
      <c r="K545" s="224"/>
      <c r="L545" s="224"/>
      <c r="M545" s="224"/>
      <c r="N545" s="224"/>
      <c r="O545" s="224"/>
      <c r="P545" s="224"/>
      <c r="Q545" s="224"/>
      <c r="R545" s="224"/>
      <c r="S545" s="224"/>
      <c r="T545" s="224"/>
      <c r="U545" s="224"/>
      <c r="V545" s="224"/>
      <c r="W545" s="224"/>
      <c r="X545" s="224"/>
      <c r="Y545" s="224"/>
      <c r="Z545" s="224"/>
    </row>
    <row r="546">
      <c r="A546" s="225"/>
      <c r="B546" s="225"/>
      <c r="C546" s="225"/>
      <c r="D546" s="225"/>
      <c r="E546" s="225"/>
      <c r="F546" s="225"/>
      <c r="G546" s="225"/>
      <c r="H546" s="224"/>
      <c r="I546" s="224"/>
      <c r="J546" s="224"/>
      <c r="K546" s="224"/>
      <c r="L546" s="224"/>
      <c r="M546" s="224"/>
      <c r="N546" s="224"/>
      <c r="O546" s="224"/>
      <c r="P546" s="224"/>
      <c r="Q546" s="224"/>
      <c r="R546" s="224"/>
      <c r="S546" s="224"/>
      <c r="T546" s="224"/>
      <c r="U546" s="224"/>
      <c r="V546" s="224"/>
      <c r="W546" s="224"/>
      <c r="X546" s="224"/>
      <c r="Y546" s="224"/>
      <c r="Z546" s="224"/>
    </row>
    <row r="547">
      <c r="A547" s="225"/>
      <c r="B547" s="225"/>
      <c r="C547" s="225"/>
      <c r="D547" s="225"/>
      <c r="E547" s="225"/>
      <c r="F547" s="225"/>
      <c r="G547" s="225"/>
      <c r="H547" s="224"/>
      <c r="I547" s="224"/>
      <c r="J547" s="224"/>
      <c r="K547" s="224"/>
      <c r="L547" s="224"/>
      <c r="M547" s="224"/>
      <c r="N547" s="224"/>
      <c r="O547" s="224"/>
      <c r="P547" s="224"/>
      <c r="Q547" s="224"/>
      <c r="R547" s="224"/>
      <c r="S547" s="224"/>
      <c r="T547" s="224"/>
      <c r="U547" s="224"/>
      <c r="V547" s="224"/>
      <c r="W547" s="224"/>
      <c r="X547" s="224"/>
      <c r="Y547" s="224"/>
      <c r="Z547" s="224"/>
    </row>
    <row r="548">
      <c r="A548" s="225"/>
      <c r="B548" s="225"/>
      <c r="C548" s="225"/>
      <c r="D548" s="225"/>
      <c r="E548" s="225"/>
      <c r="F548" s="225"/>
      <c r="G548" s="225"/>
      <c r="H548" s="224"/>
      <c r="I548" s="224"/>
      <c r="J548" s="224"/>
      <c r="K548" s="224"/>
      <c r="L548" s="224"/>
      <c r="M548" s="224"/>
      <c r="N548" s="224"/>
      <c r="O548" s="224"/>
      <c r="P548" s="224"/>
      <c r="Q548" s="224"/>
      <c r="R548" s="224"/>
      <c r="S548" s="224"/>
      <c r="T548" s="224"/>
      <c r="U548" s="224"/>
      <c r="V548" s="224"/>
      <c r="W548" s="224"/>
      <c r="X548" s="224"/>
      <c r="Y548" s="224"/>
      <c r="Z548" s="224"/>
    </row>
    <row r="549">
      <c r="A549" s="225"/>
      <c r="B549" s="225"/>
      <c r="C549" s="225"/>
      <c r="D549" s="225"/>
      <c r="E549" s="225"/>
      <c r="F549" s="225"/>
      <c r="G549" s="225"/>
      <c r="H549" s="224"/>
      <c r="I549" s="224"/>
      <c r="J549" s="224"/>
      <c r="K549" s="224"/>
      <c r="L549" s="224"/>
      <c r="M549" s="224"/>
      <c r="N549" s="224"/>
      <c r="O549" s="224"/>
      <c r="P549" s="224"/>
      <c r="Q549" s="224"/>
      <c r="R549" s="224"/>
      <c r="S549" s="224"/>
      <c r="T549" s="224"/>
      <c r="U549" s="224"/>
      <c r="V549" s="224"/>
      <c r="W549" s="224"/>
      <c r="X549" s="224"/>
      <c r="Y549" s="224"/>
      <c r="Z549" s="224"/>
    </row>
    <row r="550">
      <c r="A550" s="225"/>
      <c r="B550" s="225"/>
      <c r="C550" s="225"/>
      <c r="D550" s="225"/>
      <c r="E550" s="225"/>
      <c r="F550" s="225"/>
      <c r="G550" s="225"/>
      <c r="H550" s="224"/>
      <c r="I550" s="224"/>
      <c r="J550" s="224"/>
      <c r="K550" s="224"/>
      <c r="L550" s="224"/>
      <c r="M550" s="224"/>
      <c r="N550" s="224"/>
      <c r="O550" s="224"/>
      <c r="P550" s="224"/>
      <c r="Q550" s="224"/>
      <c r="R550" s="224"/>
      <c r="S550" s="224"/>
      <c r="T550" s="224"/>
      <c r="U550" s="224"/>
      <c r="V550" s="224"/>
      <c r="W550" s="224"/>
      <c r="X550" s="224"/>
      <c r="Y550" s="224"/>
      <c r="Z550" s="224"/>
    </row>
    <row r="551">
      <c r="A551" s="225"/>
      <c r="B551" s="225"/>
      <c r="C551" s="225"/>
      <c r="D551" s="225"/>
      <c r="E551" s="225"/>
      <c r="F551" s="225"/>
      <c r="G551" s="225"/>
      <c r="H551" s="224"/>
      <c r="I551" s="224"/>
      <c r="J551" s="224"/>
      <c r="K551" s="224"/>
      <c r="L551" s="224"/>
      <c r="M551" s="224"/>
      <c r="N551" s="224"/>
      <c r="O551" s="224"/>
      <c r="P551" s="224"/>
      <c r="Q551" s="224"/>
      <c r="R551" s="224"/>
      <c r="S551" s="224"/>
      <c r="T551" s="224"/>
      <c r="U551" s="224"/>
      <c r="V551" s="224"/>
      <c r="W551" s="224"/>
      <c r="X551" s="224"/>
      <c r="Y551" s="224"/>
      <c r="Z551" s="224"/>
    </row>
    <row r="552">
      <c r="A552" s="225"/>
      <c r="B552" s="225"/>
      <c r="C552" s="225"/>
      <c r="D552" s="225"/>
      <c r="E552" s="225"/>
      <c r="F552" s="225"/>
      <c r="G552" s="225"/>
      <c r="H552" s="224"/>
      <c r="I552" s="224"/>
      <c r="J552" s="224"/>
      <c r="K552" s="224"/>
      <c r="L552" s="224"/>
      <c r="M552" s="224"/>
      <c r="N552" s="224"/>
      <c r="O552" s="224"/>
      <c r="P552" s="224"/>
      <c r="Q552" s="224"/>
      <c r="R552" s="224"/>
      <c r="S552" s="224"/>
      <c r="T552" s="224"/>
      <c r="U552" s="224"/>
      <c r="V552" s="224"/>
      <c r="W552" s="224"/>
      <c r="X552" s="224"/>
      <c r="Y552" s="224"/>
      <c r="Z552" s="224"/>
    </row>
    <row r="553">
      <c r="A553" s="225"/>
      <c r="B553" s="225"/>
      <c r="C553" s="225"/>
      <c r="D553" s="225"/>
      <c r="E553" s="225"/>
      <c r="F553" s="225"/>
      <c r="G553" s="225"/>
      <c r="H553" s="224"/>
      <c r="I553" s="224"/>
      <c r="J553" s="224"/>
      <c r="K553" s="224"/>
      <c r="L553" s="224"/>
      <c r="M553" s="224"/>
      <c r="N553" s="224"/>
      <c r="O553" s="224"/>
      <c r="P553" s="224"/>
      <c r="Q553" s="224"/>
      <c r="R553" s="224"/>
      <c r="S553" s="224"/>
      <c r="T553" s="224"/>
      <c r="U553" s="224"/>
      <c r="V553" s="224"/>
      <c r="W553" s="224"/>
      <c r="X553" s="224"/>
      <c r="Y553" s="224"/>
      <c r="Z553" s="224"/>
    </row>
    <row r="554">
      <c r="A554" s="225"/>
      <c r="B554" s="225"/>
      <c r="C554" s="225"/>
      <c r="D554" s="225"/>
      <c r="E554" s="225"/>
      <c r="F554" s="225"/>
      <c r="G554" s="225"/>
      <c r="H554" s="224"/>
      <c r="I554" s="224"/>
      <c r="J554" s="224"/>
      <c r="K554" s="224"/>
      <c r="L554" s="224"/>
      <c r="M554" s="224"/>
      <c r="N554" s="224"/>
      <c r="O554" s="224"/>
      <c r="P554" s="224"/>
      <c r="Q554" s="224"/>
      <c r="R554" s="224"/>
      <c r="S554" s="224"/>
      <c r="T554" s="224"/>
      <c r="U554" s="224"/>
      <c r="V554" s="224"/>
      <c r="W554" s="224"/>
      <c r="X554" s="224"/>
      <c r="Y554" s="224"/>
      <c r="Z554" s="224"/>
    </row>
    <row r="555">
      <c r="A555" s="225"/>
      <c r="B555" s="225"/>
      <c r="C555" s="225"/>
      <c r="D555" s="225"/>
      <c r="E555" s="225"/>
      <c r="F555" s="225"/>
      <c r="G555" s="225"/>
      <c r="H555" s="224"/>
      <c r="I555" s="224"/>
      <c r="J555" s="224"/>
      <c r="K555" s="224"/>
      <c r="L555" s="224"/>
      <c r="M555" s="224"/>
      <c r="N555" s="224"/>
      <c r="O555" s="224"/>
      <c r="P555" s="224"/>
      <c r="Q555" s="224"/>
      <c r="R555" s="224"/>
      <c r="S555" s="224"/>
      <c r="T555" s="224"/>
      <c r="U555" s="224"/>
      <c r="V555" s="224"/>
      <c r="W555" s="224"/>
      <c r="X555" s="224"/>
      <c r="Y555" s="224"/>
      <c r="Z555" s="224"/>
    </row>
    <row r="556">
      <c r="A556" s="225"/>
      <c r="B556" s="225"/>
      <c r="C556" s="225"/>
      <c r="D556" s="225"/>
      <c r="E556" s="225"/>
      <c r="F556" s="225"/>
      <c r="G556" s="225"/>
      <c r="H556" s="224"/>
      <c r="I556" s="224"/>
      <c r="J556" s="224"/>
      <c r="K556" s="224"/>
      <c r="L556" s="224"/>
      <c r="M556" s="224"/>
      <c r="N556" s="224"/>
      <c r="O556" s="224"/>
      <c r="P556" s="224"/>
      <c r="Q556" s="224"/>
      <c r="R556" s="224"/>
      <c r="S556" s="224"/>
      <c r="T556" s="224"/>
      <c r="U556" s="224"/>
      <c r="V556" s="224"/>
      <c r="W556" s="224"/>
      <c r="X556" s="224"/>
      <c r="Y556" s="224"/>
      <c r="Z556" s="224"/>
    </row>
    <row r="557">
      <c r="A557" s="225"/>
      <c r="B557" s="225"/>
      <c r="C557" s="225"/>
      <c r="D557" s="225"/>
      <c r="E557" s="225"/>
      <c r="F557" s="225"/>
      <c r="G557" s="225"/>
      <c r="H557" s="224"/>
      <c r="I557" s="224"/>
      <c r="J557" s="224"/>
      <c r="K557" s="224"/>
      <c r="L557" s="224"/>
      <c r="M557" s="224"/>
      <c r="N557" s="224"/>
      <c r="O557" s="224"/>
      <c r="P557" s="224"/>
      <c r="Q557" s="224"/>
      <c r="R557" s="224"/>
      <c r="S557" s="224"/>
      <c r="T557" s="224"/>
      <c r="U557" s="224"/>
      <c r="V557" s="224"/>
      <c r="W557" s="224"/>
      <c r="X557" s="224"/>
      <c r="Y557" s="224"/>
      <c r="Z557" s="224"/>
    </row>
    <row r="558">
      <c r="A558" s="225"/>
      <c r="B558" s="225"/>
      <c r="C558" s="225"/>
      <c r="D558" s="225"/>
      <c r="E558" s="225"/>
      <c r="F558" s="225"/>
      <c r="G558" s="225"/>
      <c r="H558" s="224"/>
      <c r="I558" s="224"/>
      <c r="J558" s="224"/>
      <c r="K558" s="224"/>
      <c r="L558" s="224"/>
      <c r="M558" s="224"/>
      <c r="N558" s="224"/>
      <c r="O558" s="224"/>
      <c r="P558" s="224"/>
      <c r="Q558" s="224"/>
      <c r="R558" s="224"/>
      <c r="S558" s="224"/>
      <c r="T558" s="224"/>
      <c r="U558" s="224"/>
      <c r="V558" s="224"/>
      <c r="W558" s="224"/>
      <c r="X558" s="224"/>
      <c r="Y558" s="224"/>
      <c r="Z558" s="224"/>
    </row>
    <row r="559">
      <c r="A559" s="225"/>
      <c r="B559" s="225"/>
      <c r="C559" s="225"/>
      <c r="D559" s="225"/>
      <c r="E559" s="225"/>
      <c r="F559" s="225"/>
      <c r="G559" s="225"/>
      <c r="H559" s="224"/>
      <c r="I559" s="224"/>
      <c r="J559" s="224"/>
      <c r="K559" s="224"/>
      <c r="L559" s="224"/>
      <c r="M559" s="224"/>
      <c r="N559" s="224"/>
      <c r="O559" s="224"/>
      <c r="P559" s="224"/>
      <c r="Q559" s="224"/>
      <c r="R559" s="224"/>
      <c r="S559" s="224"/>
      <c r="T559" s="224"/>
      <c r="U559" s="224"/>
      <c r="V559" s="224"/>
      <c r="W559" s="224"/>
      <c r="X559" s="224"/>
      <c r="Y559" s="224"/>
      <c r="Z559" s="224"/>
    </row>
    <row r="560">
      <c r="A560" s="225"/>
      <c r="B560" s="225"/>
      <c r="C560" s="225"/>
      <c r="D560" s="225"/>
      <c r="E560" s="225"/>
      <c r="F560" s="225"/>
      <c r="G560" s="225"/>
      <c r="H560" s="224"/>
      <c r="I560" s="224"/>
      <c r="J560" s="224"/>
      <c r="K560" s="224"/>
      <c r="L560" s="224"/>
      <c r="M560" s="224"/>
      <c r="N560" s="224"/>
      <c r="O560" s="224"/>
      <c r="P560" s="224"/>
      <c r="Q560" s="224"/>
      <c r="R560" s="224"/>
      <c r="S560" s="224"/>
      <c r="T560" s="224"/>
      <c r="U560" s="224"/>
      <c r="V560" s="224"/>
      <c r="W560" s="224"/>
      <c r="X560" s="224"/>
      <c r="Y560" s="224"/>
      <c r="Z560" s="224"/>
    </row>
    <row r="561">
      <c r="A561" s="225"/>
      <c r="B561" s="225"/>
      <c r="C561" s="225"/>
      <c r="D561" s="225"/>
      <c r="E561" s="225"/>
      <c r="F561" s="225"/>
      <c r="G561" s="225"/>
      <c r="H561" s="224"/>
      <c r="I561" s="224"/>
      <c r="J561" s="224"/>
      <c r="K561" s="224"/>
      <c r="L561" s="224"/>
      <c r="M561" s="224"/>
      <c r="N561" s="224"/>
      <c r="O561" s="224"/>
      <c r="P561" s="224"/>
      <c r="Q561" s="224"/>
      <c r="R561" s="224"/>
      <c r="S561" s="224"/>
      <c r="T561" s="224"/>
      <c r="U561" s="224"/>
      <c r="V561" s="224"/>
      <c r="W561" s="224"/>
      <c r="X561" s="224"/>
      <c r="Y561" s="224"/>
      <c r="Z561" s="224"/>
    </row>
    <row r="562">
      <c r="A562" s="225"/>
      <c r="B562" s="225"/>
      <c r="C562" s="225"/>
      <c r="D562" s="225"/>
      <c r="E562" s="225"/>
      <c r="F562" s="225"/>
      <c r="G562" s="225"/>
      <c r="H562" s="224"/>
      <c r="I562" s="224"/>
      <c r="J562" s="224"/>
      <c r="K562" s="224"/>
      <c r="L562" s="224"/>
      <c r="M562" s="224"/>
      <c r="N562" s="224"/>
      <c r="O562" s="224"/>
      <c r="P562" s="224"/>
      <c r="Q562" s="224"/>
      <c r="R562" s="224"/>
      <c r="S562" s="224"/>
      <c r="T562" s="224"/>
      <c r="U562" s="224"/>
      <c r="V562" s="224"/>
      <c r="W562" s="224"/>
      <c r="X562" s="224"/>
      <c r="Y562" s="224"/>
      <c r="Z562" s="224"/>
    </row>
    <row r="563">
      <c r="A563" s="225"/>
      <c r="B563" s="225"/>
      <c r="C563" s="225"/>
      <c r="D563" s="225"/>
      <c r="E563" s="225"/>
      <c r="F563" s="225"/>
      <c r="G563" s="225"/>
      <c r="H563" s="224"/>
      <c r="I563" s="224"/>
      <c r="J563" s="224"/>
      <c r="K563" s="224"/>
      <c r="L563" s="224"/>
      <c r="M563" s="224"/>
      <c r="N563" s="224"/>
      <c r="O563" s="224"/>
      <c r="P563" s="224"/>
      <c r="Q563" s="224"/>
      <c r="R563" s="224"/>
      <c r="S563" s="224"/>
      <c r="T563" s="224"/>
      <c r="U563" s="224"/>
      <c r="V563" s="224"/>
      <c r="W563" s="224"/>
      <c r="X563" s="224"/>
      <c r="Y563" s="224"/>
      <c r="Z563" s="224"/>
    </row>
    <row r="564">
      <c r="A564" s="225"/>
      <c r="B564" s="225"/>
      <c r="C564" s="225"/>
      <c r="D564" s="225"/>
      <c r="E564" s="225"/>
      <c r="F564" s="225"/>
      <c r="G564" s="225"/>
      <c r="H564" s="224"/>
      <c r="I564" s="224"/>
      <c r="J564" s="224"/>
      <c r="K564" s="224"/>
      <c r="L564" s="224"/>
      <c r="M564" s="224"/>
      <c r="N564" s="224"/>
      <c r="O564" s="224"/>
      <c r="P564" s="224"/>
      <c r="Q564" s="224"/>
      <c r="R564" s="224"/>
      <c r="S564" s="224"/>
      <c r="T564" s="224"/>
      <c r="U564" s="224"/>
      <c r="V564" s="224"/>
      <c r="W564" s="224"/>
      <c r="X564" s="224"/>
      <c r="Y564" s="224"/>
      <c r="Z564" s="224"/>
    </row>
    <row r="565">
      <c r="A565" s="225"/>
      <c r="B565" s="225"/>
      <c r="C565" s="225"/>
      <c r="D565" s="225"/>
      <c r="E565" s="225"/>
      <c r="F565" s="225"/>
      <c r="G565" s="225"/>
      <c r="H565" s="224"/>
      <c r="I565" s="224"/>
      <c r="J565" s="224"/>
      <c r="K565" s="224"/>
      <c r="L565" s="224"/>
      <c r="M565" s="224"/>
      <c r="N565" s="224"/>
      <c r="O565" s="224"/>
      <c r="P565" s="224"/>
      <c r="Q565" s="224"/>
      <c r="R565" s="224"/>
      <c r="S565" s="224"/>
      <c r="T565" s="224"/>
      <c r="U565" s="224"/>
      <c r="V565" s="224"/>
      <c r="W565" s="224"/>
      <c r="X565" s="224"/>
      <c r="Y565" s="224"/>
      <c r="Z565" s="224"/>
    </row>
    <row r="566">
      <c r="A566" s="225"/>
      <c r="B566" s="225"/>
      <c r="C566" s="225"/>
      <c r="D566" s="225"/>
      <c r="E566" s="225"/>
      <c r="F566" s="225"/>
      <c r="G566" s="225"/>
      <c r="H566" s="224"/>
      <c r="I566" s="224"/>
      <c r="J566" s="224"/>
      <c r="K566" s="224"/>
      <c r="L566" s="224"/>
      <c r="M566" s="224"/>
      <c r="N566" s="224"/>
      <c r="O566" s="224"/>
      <c r="P566" s="224"/>
      <c r="Q566" s="224"/>
      <c r="R566" s="224"/>
      <c r="S566" s="224"/>
      <c r="T566" s="224"/>
      <c r="U566" s="224"/>
      <c r="V566" s="224"/>
      <c r="W566" s="224"/>
      <c r="X566" s="224"/>
      <c r="Y566" s="224"/>
      <c r="Z566" s="224"/>
    </row>
    <row r="567">
      <c r="A567" s="225"/>
      <c r="B567" s="225"/>
      <c r="C567" s="225"/>
      <c r="D567" s="225"/>
      <c r="E567" s="225"/>
      <c r="F567" s="225"/>
      <c r="G567" s="225"/>
      <c r="H567" s="224"/>
      <c r="I567" s="224"/>
      <c r="J567" s="224"/>
      <c r="K567" s="224"/>
      <c r="L567" s="224"/>
      <c r="M567" s="224"/>
      <c r="N567" s="224"/>
      <c r="O567" s="224"/>
      <c r="P567" s="224"/>
      <c r="Q567" s="224"/>
      <c r="R567" s="224"/>
      <c r="S567" s="224"/>
      <c r="T567" s="224"/>
      <c r="U567" s="224"/>
      <c r="V567" s="224"/>
      <c r="W567" s="224"/>
      <c r="X567" s="224"/>
      <c r="Y567" s="224"/>
      <c r="Z567" s="224"/>
    </row>
    <row r="568">
      <c r="A568" s="225"/>
      <c r="B568" s="225"/>
      <c r="C568" s="225"/>
      <c r="D568" s="225"/>
      <c r="E568" s="225"/>
      <c r="F568" s="225"/>
      <c r="G568" s="225"/>
      <c r="H568" s="224"/>
      <c r="I568" s="224"/>
      <c r="J568" s="224"/>
      <c r="K568" s="224"/>
      <c r="L568" s="224"/>
      <c r="M568" s="224"/>
      <c r="N568" s="224"/>
      <c r="O568" s="224"/>
      <c r="P568" s="224"/>
      <c r="Q568" s="224"/>
      <c r="R568" s="224"/>
      <c r="S568" s="224"/>
      <c r="T568" s="224"/>
      <c r="U568" s="224"/>
      <c r="V568" s="224"/>
      <c r="W568" s="224"/>
      <c r="X568" s="224"/>
      <c r="Y568" s="224"/>
      <c r="Z568" s="224"/>
    </row>
    <row r="569">
      <c r="A569" s="225"/>
      <c r="B569" s="225"/>
      <c r="C569" s="225"/>
      <c r="D569" s="225"/>
      <c r="E569" s="225"/>
      <c r="F569" s="225"/>
      <c r="G569" s="225"/>
      <c r="H569" s="224"/>
      <c r="I569" s="224"/>
      <c r="J569" s="224"/>
      <c r="K569" s="224"/>
      <c r="L569" s="224"/>
      <c r="M569" s="224"/>
      <c r="N569" s="224"/>
      <c r="O569" s="224"/>
      <c r="P569" s="224"/>
      <c r="Q569" s="224"/>
      <c r="R569" s="224"/>
      <c r="S569" s="224"/>
      <c r="T569" s="224"/>
      <c r="U569" s="224"/>
      <c r="V569" s="224"/>
      <c r="W569" s="224"/>
      <c r="X569" s="224"/>
      <c r="Y569" s="224"/>
      <c r="Z569" s="224"/>
    </row>
    <row r="570">
      <c r="A570" s="225"/>
      <c r="B570" s="225"/>
      <c r="C570" s="225"/>
      <c r="D570" s="225"/>
      <c r="E570" s="225"/>
      <c r="F570" s="225"/>
      <c r="G570" s="225"/>
      <c r="H570" s="224"/>
      <c r="I570" s="224"/>
      <c r="J570" s="224"/>
      <c r="K570" s="224"/>
      <c r="L570" s="224"/>
      <c r="M570" s="224"/>
      <c r="N570" s="224"/>
      <c r="O570" s="224"/>
      <c r="P570" s="224"/>
      <c r="Q570" s="224"/>
      <c r="R570" s="224"/>
      <c r="S570" s="224"/>
      <c r="T570" s="224"/>
      <c r="U570" s="224"/>
      <c r="V570" s="224"/>
      <c r="W570" s="224"/>
      <c r="X570" s="224"/>
      <c r="Y570" s="224"/>
      <c r="Z570" s="224"/>
    </row>
    <row r="571">
      <c r="A571" s="225"/>
      <c r="B571" s="225"/>
      <c r="C571" s="225"/>
      <c r="D571" s="225"/>
      <c r="E571" s="225"/>
      <c r="F571" s="225"/>
      <c r="G571" s="225"/>
      <c r="H571" s="224"/>
      <c r="I571" s="224"/>
      <c r="J571" s="224"/>
      <c r="K571" s="224"/>
      <c r="L571" s="224"/>
      <c r="M571" s="224"/>
      <c r="N571" s="224"/>
      <c r="O571" s="224"/>
      <c r="P571" s="224"/>
      <c r="Q571" s="224"/>
      <c r="R571" s="224"/>
      <c r="S571" s="224"/>
      <c r="T571" s="224"/>
      <c r="U571" s="224"/>
      <c r="V571" s="224"/>
      <c r="W571" s="224"/>
      <c r="X571" s="224"/>
      <c r="Y571" s="224"/>
      <c r="Z571" s="224"/>
    </row>
    <row r="572">
      <c r="A572" s="225"/>
      <c r="B572" s="225"/>
      <c r="C572" s="225"/>
      <c r="D572" s="225"/>
      <c r="E572" s="225"/>
      <c r="F572" s="225"/>
      <c r="G572" s="225"/>
      <c r="H572" s="224"/>
      <c r="I572" s="224"/>
      <c r="J572" s="224"/>
      <c r="K572" s="224"/>
      <c r="L572" s="224"/>
      <c r="M572" s="224"/>
      <c r="N572" s="224"/>
      <c r="O572" s="224"/>
      <c r="P572" s="224"/>
      <c r="Q572" s="224"/>
      <c r="R572" s="224"/>
      <c r="S572" s="224"/>
      <c r="T572" s="224"/>
      <c r="U572" s="224"/>
      <c r="V572" s="224"/>
      <c r="W572" s="224"/>
      <c r="X572" s="224"/>
      <c r="Y572" s="224"/>
      <c r="Z572" s="224"/>
    </row>
    <row r="573">
      <c r="A573" s="225"/>
      <c r="B573" s="225"/>
      <c r="C573" s="225"/>
      <c r="D573" s="225"/>
      <c r="E573" s="225"/>
      <c r="F573" s="225"/>
      <c r="G573" s="225"/>
      <c r="H573" s="224"/>
      <c r="I573" s="224"/>
      <c r="J573" s="224"/>
      <c r="K573" s="224"/>
      <c r="L573" s="224"/>
      <c r="M573" s="224"/>
      <c r="N573" s="224"/>
      <c r="O573" s="224"/>
      <c r="P573" s="224"/>
      <c r="Q573" s="224"/>
      <c r="R573" s="224"/>
      <c r="S573" s="224"/>
      <c r="T573" s="224"/>
      <c r="U573" s="224"/>
      <c r="V573" s="224"/>
      <c r="W573" s="224"/>
      <c r="X573" s="224"/>
      <c r="Y573" s="224"/>
      <c r="Z573" s="224"/>
    </row>
    <row r="574">
      <c r="A574" s="225"/>
      <c r="B574" s="225"/>
      <c r="C574" s="225"/>
      <c r="D574" s="225"/>
      <c r="E574" s="225"/>
      <c r="F574" s="225"/>
      <c r="G574" s="225"/>
      <c r="H574" s="224"/>
      <c r="I574" s="224"/>
      <c r="J574" s="224"/>
      <c r="K574" s="224"/>
      <c r="L574" s="224"/>
      <c r="M574" s="224"/>
      <c r="N574" s="224"/>
      <c r="O574" s="224"/>
      <c r="P574" s="224"/>
      <c r="Q574" s="224"/>
      <c r="R574" s="224"/>
      <c r="S574" s="224"/>
      <c r="T574" s="224"/>
      <c r="U574" s="224"/>
      <c r="V574" s="224"/>
      <c r="W574" s="224"/>
      <c r="X574" s="224"/>
      <c r="Y574" s="224"/>
      <c r="Z574" s="224"/>
    </row>
    <row r="575">
      <c r="A575" s="225"/>
      <c r="B575" s="225"/>
      <c r="C575" s="225"/>
      <c r="D575" s="225"/>
      <c r="E575" s="225"/>
      <c r="F575" s="225"/>
      <c r="G575" s="225"/>
      <c r="H575" s="224"/>
      <c r="I575" s="224"/>
      <c r="J575" s="224"/>
      <c r="K575" s="224"/>
      <c r="L575" s="224"/>
      <c r="M575" s="224"/>
      <c r="N575" s="224"/>
      <c r="O575" s="224"/>
      <c r="P575" s="224"/>
      <c r="Q575" s="224"/>
      <c r="R575" s="224"/>
      <c r="S575" s="224"/>
      <c r="T575" s="224"/>
      <c r="U575" s="224"/>
      <c r="V575" s="224"/>
      <c r="W575" s="224"/>
      <c r="X575" s="224"/>
      <c r="Y575" s="224"/>
      <c r="Z575" s="224"/>
    </row>
    <row r="576">
      <c r="A576" s="225"/>
      <c r="B576" s="225"/>
      <c r="C576" s="225"/>
      <c r="D576" s="225"/>
      <c r="E576" s="225"/>
      <c r="F576" s="225"/>
      <c r="G576" s="225"/>
      <c r="H576" s="224"/>
      <c r="I576" s="224"/>
      <c r="J576" s="224"/>
      <c r="K576" s="224"/>
      <c r="L576" s="224"/>
      <c r="M576" s="224"/>
      <c r="N576" s="224"/>
      <c r="O576" s="224"/>
      <c r="P576" s="224"/>
      <c r="Q576" s="224"/>
      <c r="R576" s="224"/>
      <c r="S576" s="224"/>
      <c r="T576" s="224"/>
      <c r="U576" s="224"/>
      <c r="V576" s="224"/>
      <c r="W576" s="224"/>
      <c r="X576" s="224"/>
      <c r="Y576" s="224"/>
      <c r="Z576" s="224"/>
    </row>
    <row r="577">
      <c r="A577" s="225"/>
      <c r="B577" s="225"/>
      <c r="C577" s="225"/>
      <c r="D577" s="225"/>
      <c r="E577" s="225"/>
      <c r="F577" s="225"/>
      <c r="G577" s="225"/>
      <c r="H577" s="224"/>
      <c r="I577" s="224"/>
      <c r="J577" s="224"/>
      <c r="K577" s="224"/>
      <c r="L577" s="224"/>
      <c r="M577" s="224"/>
      <c r="N577" s="224"/>
      <c r="O577" s="224"/>
      <c r="P577" s="224"/>
      <c r="Q577" s="224"/>
      <c r="R577" s="224"/>
      <c r="S577" s="224"/>
      <c r="T577" s="224"/>
      <c r="U577" s="224"/>
      <c r="V577" s="224"/>
      <c r="W577" s="224"/>
      <c r="X577" s="224"/>
      <c r="Y577" s="224"/>
      <c r="Z577" s="224"/>
    </row>
    <row r="578">
      <c r="A578" s="225"/>
      <c r="B578" s="225"/>
      <c r="C578" s="225"/>
      <c r="D578" s="225"/>
      <c r="E578" s="225"/>
      <c r="F578" s="225"/>
      <c r="G578" s="225"/>
      <c r="H578" s="224"/>
      <c r="I578" s="224"/>
      <c r="J578" s="224"/>
      <c r="K578" s="224"/>
      <c r="L578" s="224"/>
      <c r="M578" s="224"/>
      <c r="N578" s="224"/>
      <c r="O578" s="224"/>
      <c r="P578" s="224"/>
      <c r="Q578" s="224"/>
      <c r="R578" s="224"/>
      <c r="S578" s="224"/>
      <c r="T578" s="224"/>
      <c r="U578" s="224"/>
      <c r="V578" s="224"/>
      <c r="W578" s="224"/>
      <c r="X578" s="224"/>
      <c r="Y578" s="224"/>
      <c r="Z578" s="224"/>
    </row>
    <row r="579">
      <c r="A579" s="225"/>
      <c r="B579" s="225"/>
      <c r="C579" s="225"/>
      <c r="D579" s="225"/>
      <c r="E579" s="225"/>
      <c r="F579" s="225"/>
      <c r="G579" s="225"/>
      <c r="H579" s="224"/>
      <c r="I579" s="224"/>
      <c r="J579" s="224"/>
      <c r="K579" s="224"/>
      <c r="L579" s="224"/>
      <c r="M579" s="224"/>
      <c r="N579" s="224"/>
      <c r="O579" s="224"/>
      <c r="P579" s="224"/>
      <c r="Q579" s="224"/>
      <c r="R579" s="224"/>
      <c r="S579" s="224"/>
      <c r="T579" s="224"/>
      <c r="U579" s="224"/>
      <c r="V579" s="224"/>
      <c r="W579" s="224"/>
      <c r="X579" s="224"/>
      <c r="Y579" s="224"/>
      <c r="Z579" s="224"/>
    </row>
    <row r="580">
      <c r="A580" s="225"/>
      <c r="B580" s="225"/>
      <c r="C580" s="225"/>
      <c r="D580" s="225"/>
      <c r="E580" s="225"/>
      <c r="F580" s="225"/>
      <c r="G580" s="225"/>
      <c r="H580" s="224"/>
      <c r="I580" s="224"/>
      <c r="J580" s="224"/>
      <c r="K580" s="224"/>
      <c r="L580" s="224"/>
      <c r="M580" s="224"/>
      <c r="N580" s="224"/>
      <c r="O580" s="224"/>
      <c r="P580" s="224"/>
      <c r="Q580" s="224"/>
      <c r="R580" s="224"/>
      <c r="S580" s="224"/>
      <c r="T580" s="224"/>
      <c r="U580" s="224"/>
      <c r="V580" s="224"/>
      <c r="W580" s="224"/>
      <c r="X580" s="224"/>
      <c r="Y580" s="224"/>
      <c r="Z580" s="224"/>
    </row>
    <row r="581">
      <c r="A581" s="225"/>
      <c r="B581" s="225"/>
      <c r="C581" s="225"/>
      <c r="D581" s="225"/>
      <c r="E581" s="225"/>
      <c r="F581" s="225"/>
      <c r="G581" s="225"/>
      <c r="H581" s="224"/>
      <c r="I581" s="224"/>
      <c r="J581" s="224"/>
      <c r="K581" s="224"/>
      <c r="L581" s="224"/>
      <c r="M581" s="224"/>
      <c r="N581" s="224"/>
      <c r="O581" s="224"/>
      <c r="P581" s="224"/>
      <c r="Q581" s="224"/>
      <c r="R581" s="224"/>
      <c r="S581" s="224"/>
      <c r="T581" s="224"/>
      <c r="U581" s="224"/>
      <c r="V581" s="224"/>
      <c r="W581" s="224"/>
      <c r="X581" s="224"/>
      <c r="Y581" s="224"/>
      <c r="Z581" s="224"/>
    </row>
    <row r="582">
      <c r="A582" s="225"/>
      <c r="B582" s="225"/>
      <c r="C582" s="225"/>
      <c r="D582" s="225"/>
      <c r="E582" s="225"/>
      <c r="F582" s="225"/>
      <c r="G582" s="225"/>
      <c r="H582" s="224"/>
      <c r="I582" s="224"/>
      <c r="J582" s="224"/>
      <c r="K582" s="224"/>
      <c r="L582" s="224"/>
      <c r="M582" s="224"/>
      <c r="N582" s="224"/>
      <c r="O582" s="224"/>
      <c r="P582" s="224"/>
      <c r="Q582" s="224"/>
      <c r="R582" s="224"/>
      <c r="S582" s="224"/>
      <c r="T582" s="224"/>
      <c r="U582" s="224"/>
      <c r="V582" s="224"/>
      <c r="W582" s="224"/>
      <c r="X582" s="224"/>
      <c r="Y582" s="224"/>
      <c r="Z582" s="224"/>
    </row>
    <row r="583">
      <c r="A583" s="225"/>
      <c r="B583" s="225"/>
      <c r="C583" s="225"/>
      <c r="D583" s="225"/>
      <c r="E583" s="225"/>
      <c r="F583" s="225"/>
      <c r="G583" s="225"/>
      <c r="H583" s="224"/>
      <c r="I583" s="224"/>
      <c r="J583" s="224"/>
      <c r="K583" s="224"/>
      <c r="L583" s="224"/>
      <c r="M583" s="224"/>
      <c r="N583" s="224"/>
      <c r="O583" s="224"/>
      <c r="P583" s="224"/>
      <c r="Q583" s="224"/>
      <c r="R583" s="224"/>
      <c r="S583" s="224"/>
      <c r="T583" s="224"/>
      <c r="U583" s="224"/>
      <c r="V583" s="224"/>
      <c r="W583" s="224"/>
      <c r="X583" s="224"/>
      <c r="Y583" s="224"/>
      <c r="Z583" s="224"/>
    </row>
    <row r="584">
      <c r="A584" s="225"/>
      <c r="B584" s="225"/>
      <c r="C584" s="225"/>
      <c r="D584" s="225"/>
      <c r="E584" s="225"/>
      <c r="F584" s="225"/>
      <c r="G584" s="225"/>
      <c r="H584" s="224"/>
      <c r="I584" s="224"/>
      <c r="J584" s="224"/>
      <c r="K584" s="224"/>
      <c r="L584" s="224"/>
      <c r="M584" s="224"/>
      <c r="N584" s="224"/>
      <c r="O584" s="224"/>
      <c r="P584" s="224"/>
      <c r="Q584" s="224"/>
      <c r="R584" s="224"/>
      <c r="S584" s="224"/>
      <c r="T584" s="224"/>
      <c r="U584" s="224"/>
      <c r="V584" s="224"/>
      <c r="W584" s="224"/>
      <c r="X584" s="224"/>
      <c r="Y584" s="224"/>
      <c r="Z584" s="224"/>
    </row>
    <row r="585">
      <c r="A585" s="225"/>
      <c r="B585" s="225"/>
      <c r="C585" s="225"/>
      <c r="D585" s="225"/>
      <c r="E585" s="225"/>
      <c r="F585" s="225"/>
      <c r="G585" s="225"/>
      <c r="H585" s="224"/>
      <c r="I585" s="224"/>
      <c r="J585" s="224"/>
      <c r="K585" s="224"/>
      <c r="L585" s="224"/>
      <c r="M585" s="224"/>
      <c r="N585" s="224"/>
      <c r="O585" s="224"/>
      <c r="P585" s="224"/>
      <c r="Q585" s="224"/>
      <c r="R585" s="224"/>
      <c r="S585" s="224"/>
      <c r="T585" s="224"/>
      <c r="U585" s="224"/>
      <c r="V585" s="224"/>
      <c r="W585" s="224"/>
      <c r="X585" s="224"/>
      <c r="Y585" s="224"/>
      <c r="Z585" s="224"/>
    </row>
    <row r="586">
      <c r="A586" s="225"/>
      <c r="B586" s="225"/>
      <c r="C586" s="225"/>
      <c r="D586" s="225"/>
      <c r="E586" s="225"/>
      <c r="F586" s="225"/>
      <c r="G586" s="225"/>
      <c r="H586" s="224"/>
      <c r="I586" s="224"/>
      <c r="J586" s="224"/>
      <c r="K586" s="224"/>
      <c r="L586" s="224"/>
      <c r="M586" s="224"/>
      <c r="N586" s="224"/>
      <c r="O586" s="224"/>
      <c r="P586" s="224"/>
      <c r="Q586" s="224"/>
      <c r="R586" s="224"/>
      <c r="S586" s="224"/>
      <c r="T586" s="224"/>
      <c r="U586" s="224"/>
      <c r="V586" s="224"/>
      <c r="W586" s="224"/>
      <c r="X586" s="224"/>
      <c r="Y586" s="224"/>
      <c r="Z586" s="224"/>
    </row>
    <row r="587">
      <c r="A587" s="225"/>
      <c r="B587" s="225"/>
      <c r="C587" s="225"/>
      <c r="D587" s="225"/>
      <c r="E587" s="225"/>
      <c r="F587" s="225"/>
      <c r="G587" s="225"/>
      <c r="H587" s="224"/>
      <c r="I587" s="224"/>
      <c r="J587" s="224"/>
      <c r="K587" s="224"/>
      <c r="L587" s="224"/>
      <c r="M587" s="224"/>
      <c r="N587" s="224"/>
      <c r="O587" s="224"/>
      <c r="P587" s="224"/>
      <c r="Q587" s="224"/>
      <c r="R587" s="224"/>
      <c r="S587" s="224"/>
      <c r="T587" s="224"/>
      <c r="U587" s="224"/>
      <c r="V587" s="224"/>
      <c r="W587" s="224"/>
      <c r="X587" s="224"/>
      <c r="Y587" s="224"/>
      <c r="Z587" s="224"/>
    </row>
    <row r="588">
      <c r="A588" s="225"/>
      <c r="B588" s="225"/>
      <c r="C588" s="225"/>
      <c r="D588" s="225"/>
      <c r="E588" s="225"/>
      <c r="F588" s="225"/>
      <c r="G588" s="225"/>
      <c r="H588" s="224"/>
      <c r="I588" s="224"/>
      <c r="J588" s="224"/>
      <c r="K588" s="224"/>
      <c r="L588" s="224"/>
      <c r="M588" s="224"/>
      <c r="N588" s="224"/>
      <c r="O588" s="224"/>
      <c r="P588" s="224"/>
      <c r="Q588" s="224"/>
      <c r="R588" s="224"/>
      <c r="S588" s="224"/>
      <c r="T588" s="224"/>
      <c r="U588" s="224"/>
      <c r="V588" s="224"/>
      <c r="W588" s="224"/>
      <c r="X588" s="224"/>
      <c r="Y588" s="224"/>
      <c r="Z588" s="224"/>
    </row>
    <row r="589">
      <c r="A589" s="225"/>
      <c r="B589" s="225"/>
      <c r="C589" s="225"/>
      <c r="D589" s="225"/>
      <c r="E589" s="225"/>
      <c r="F589" s="225"/>
      <c r="G589" s="225"/>
      <c r="H589" s="224"/>
      <c r="I589" s="224"/>
      <c r="J589" s="224"/>
      <c r="K589" s="224"/>
      <c r="L589" s="224"/>
      <c r="M589" s="224"/>
      <c r="N589" s="224"/>
      <c r="O589" s="224"/>
      <c r="P589" s="224"/>
      <c r="Q589" s="224"/>
      <c r="R589" s="224"/>
      <c r="S589" s="224"/>
      <c r="T589" s="224"/>
      <c r="U589" s="224"/>
      <c r="V589" s="224"/>
      <c r="W589" s="224"/>
      <c r="X589" s="224"/>
      <c r="Y589" s="224"/>
      <c r="Z589" s="224"/>
    </row>
    <row r="590">
      <c r="A590" s="225"/>
      <c r="B590" s="225"/>
      <c r="C590" s="225"/>
      <c r="D590" s="225"/>
      <c r="E590" s="225"/>
      <c r="F590" s="225"/>
      <c r="G590" s="225"/>
      <c r="H590" s="224"/>
      <c r="I590" s="224"/>
      <c r="J590" s="224"/>
      <c r="K590" s="224"/>
      <c r="L590" s="224"/>
      <c r="M590" s="224"/>
      <c r="N590" s="224"/>
      <c r="O590" s="224"/>
      <c r="P590" s="224"/>
      <c r="Q590" s="224"/>
      <c r="R590" s="224"/>
      <c r="S590" s="224"/>
      <c r="T590" s="224"/>
      <c r="U590" s="224"/>
      <c r="V590" s="224"/>
      <c r="W590" s="224"/>
      <c r="X590" s="224"/>
      <c r="Y590" s="224"/>
      <c r="Z590" s="224"/>
    </row>
    <row r="591">
      <c r="A591" s="225"/>
      <c r="B591" s="225"/>
      <c r="C591" s="225"/>
      <c r="D591" s="225"/>
      <c r="E591" s="225"/>
      <c r="F591" s="225"/>
      <c r="G591" s="225"/>
      <c r="H591" s="224"/>
      <c r="I591" s="224"/>
      <c r="J591" s="224"/>
      <c r="K591" s="224"/>
      <c r="L591" s="224"/>
      <c r="M591" s="224"/>
      <c r="N591" s="224"/>
      <c r="O591" s="224"/>
      <c r="P591" s="224"/>
      <c r="Q591" s="224"/>
      <c r="R591" s="224"/>
      <c r="S591" s="224"/>
      <c r="T591" s="224"/>
      <c r="U591" s="224"/>
      <c r="V591" s="224"/>
      <c r="W591" s="224"/>
      <c r="X591" s="224"/>
      <c r="Y591" s="224"/>
      <c r="Z591" s="224"/>
    </row>
    <row r="592">
      <c r="A592" s="225"/>
      <c r="B592" s="225"/>
      <c r="C592" s="225"/>
      <c r="D592" s="225"/>
      <c r="E592" s="225"/>
      <c r="F592" s="225"/>
      <c r="G592" s="225"/>
      <c r="H592" s="224"/>
      <c r="I592" s="224"/>
      <c r="J592" s="224"/>
      <c r="K592" s="224"/>
      <c r="L592" s="224"/>
      <c r="M592" s="224"/>
      <c r="N592" s="224"/>
      <c r="O592" s="224"/>
      <c r="P592" s="224"/>
      <c r="Q592" s="224"/>
      <c r="R592" s="224"/>
      <c r="S592" s="224"/>
      <c r="T592" s="224"/>
      <c r="U592" s="224"/>
      <c r="V592" s="224"/>
      <c r="W592" s="224"/>
      <c r="X592" s="224"/>
      <c r="Y592" s="224"/>
      <c r="Z592" s="224"/>
    </row>
    <row r="593">
      <c r="A593" s="225"/>
      <c r="B593" s="225"/>
      <c r="C593" s="225"/>
      <c r="D593" s="225"/>
      <c r="E593" s="225"/>
      <c r="F593" s="225"/>
      <c r="G593" s="225"/>
      <c r="H593" s="224"/>
      <c r="I593" s="224"/>
      <c r="J593" s="224"/>
      <c r="K593" s="224"/>
      <c r="L593" s="224"/>
      <c r="M593" s="224"/>
      <c r="N593" s="224"/>
      <c r="O593" s="224"/>
      <c r="P593" s="224"/>
      <c r="Q593" s="224"/>
      <c r="R593" s="224"/>
      <c r="S593" s="224"/>
      <c r="T593" s="224"/>
      <c r="U593" s="224"/>
      <c r="V593" s="224"/>
      <c r="W593" s="224"/>
      <c r="X593" s="224"/>
      <c r="Y593" s="224"/>
      <c r="Z593" s="224"/>
    </row>
    <row r="594">
      <c r="A594" s="225"/>
      <c r="B594" s="225"/>
      <c r="C594" s="225"/>
      <c r="D594" s="225"/>
      <c r="E594" s="225"/>
      <c r="F594" s="225"/>
      <c r="G594" s="225"/>
      <c r="H594" s="224"/>
      <c r="I594" s="224"/>
      <c r="J594" s="224"/>
      <c r="K594" s="224"/>
      <c r="L594" s="224"/>
      <c r="M594" s="224"/>
      <c r="N594" s="224"/>
      <c r="O594" s="224"/>
      <c r="P594" s="224"/>
      <c r="Q594" s="224"/>
      <c r="R594" s="224"/>
      <c r="S594" s="224"/>
      <c r="T594" s="224"/>
      <c r="U594" s="224"/>
      <c r="V594" s="224"/>
      <c r="W594" s="224"/>
      <c r="X594" s="224"/>
      <c r="Y594" s="224"/>
      <c r="Z594" s="224"/>
    </row>
    <row r="595">
      <c r="A595" s="225"/>
      <c r="B595" s="225"/>
      <c r="C595" s="225"/>
      <c r="D595" s="225"/>
      <c r="E595" s="225"/>
      <c r="F595" s="225"/>
      <c r="G595" s="225"/>
      <c r="H595" s="224"/>
      <c r="I595" s="224"/>
      <c r="J595" s="224"/>
      <c r="K595" s="224"/>
      <c r="L595" s="224"/>
      <c r="M595" s="224"/>
      <c r="N595" s="224"/>
      <c r="O595" s="224"/>
      <c r="P595" s="224"/>
      <c r="Q595" s="224"/>
      <c r="R595" s="224"/>
      <c r="S595" s="224"/>
      <c r="T595" s="224"/>
      <c r="U595" s="224"/>
      <c r="V595" s="224"/>
      <c r="W595" s="224"/>
      <c r="X595" s="224"/>
      <c r="Y595" s="224"/>
      <c r="Z595" s="224"/>
    </row>
    <row r="596">
      <c r="A596" s="225"/>
      <c r="B596" s="225"/>
      <c r="C596" s="225"/>
      <c r="D596" s="225"/>
      <c r="E596" s="225"/>
      <c r="F596" s="225"/>
      <c r="G596" s="225"/>
      <c r="H596" s="224"/>
      <c r="I596" s="224"/>
      <c r="J596" s="224"/>
      <c r="K596" s="224"/>
      <c r="L596" s="224"/>
      <c r="M596" s="224"/>
      <c r="N596" s="224"/>
      <c r="O596" s="224"/>
      <c r="P596" s="224"/>
      <c r="Q596" s="224"/>
      <c r="R596" s="224"/>
      <c r="S596" s="224"/>
      <c r="T596" s="224"/>
      <c r="U596" s="224"/>
      <c r="V596" s="224"/>
      <c r="W596" s="224"/>
      <c r="X596" s="224"/>
      <c r="Y596" s="224"/>
      <c r="Z596" s="224"/>
    </row>
    <row r="597">
      <c r="A597" s="225"/>
      <c r="B597" s="225"/>
      <c r="C597" s="225"/>
      <c r="D597" s="225"/>
      <c r="E597" s="225"/>
      <c r="F597" s="225"/>
      <c r="G597" s="225"/>
      <c r="H597" s="224"/>
      <c r="I597" s="224"/>
      <c r="J597" s="224"/>
      <c r="K597" s="224"/>
      <c r="L597" s="224"/>
      <c r="M597" s="224"/>
      <c r="N597" s="224"/>
      <c r="O597" s="224"/>
      <c r="P597" s="224"/>
      <c r="Q597" s="224"/>
      <c r="R597" s="224"/>
      <c r="S597" s="224"/>
      <c r="T597" s="224"/>
      <c r="U597" s="224"/>
      <c r="V597" s="224"/>
      <c r="W597" s="224"/>
      <c r="X597" s="224"/>
      <c r="Y597" s="224"/>
      <c r="Z597" s="224"/>
    </row>
    <row r="598">
      <c r="A598" s="225"/>
      <c r="B598" s="225"/>
      <c r="C598" s="225"/>
      <c r="D598" s="225"/>
      <c r="E598" s="225"/>
      <c r="F598" s="225"/>
      <c r="G598" s="225"/>
      <c r="H598" s="224"/>
      <c r="I598" s="224"/>
      <c r="J598" s="224"/>
      <c r="K598" s="224"/>
      <c r="L598" s="224"/>
      <c r="M598" s="224"/>
      <c r="N598" s="224"/>
      <c r="O598" s="224"/>
      <c r="P598" s="224"/>
      <c r="Q598" s="224"/>
      <c r="R598" s="224"/>
      <c r="S598" s="224"/>
      <c r="T598" s="224"/>
      <c r="U598" s="224"/>
      <c r="V598" s="224"/>
      <c r="W598" s="224"/>
      <c r="X598" s="224"/>
      <c r="Y598" s="224"/>
      <c r="Z598" s="224"/>
    </row>
    <row r="599">
      <c r="A599" s="225"/>
      <c r="B599" s="225"/>
      <c r="C599" s="225"/>
      <c r="D599" s="225"/>
      <c r="E599" s="225"/>
      <c r="F599" s="225"/>
      <c r="G599" s="225"/>
      <c r="H599" s="224"/>
      <c r="I599" s="224"/>
      <c r="J599" s="224"/>
      <c r="K599" s="224"/>
      <c r="L599" s="224"/>
      <c r="M599" s="224"/>
      <c r="N599" s="224"/>
      <c r="O599" s="224"/>
      <c r="P599" s="224"/>
      <c r="Q599" s="224"/>
      <c r="R599" s="224"/>
      <c r="S599" s="224"/>
      <c r="T599" s="224"/>
      <c r="U599" s="224"/>
      <c r="V599" s="224"/>
      <c r="W599" s="224"/>
      <c r="X599" s="224"/>
      <c r="Y599" s="224"/>
      <c r="Z599" s="224"/>
    </row>
    <row r="600">
      <c r="A600" s="225"/>
      <c r="B600" s="225"/>
      <c r="C600" s="225"/>
      <c r="D600" s="225"/>
      <c r="E600" s="225"/>
      <c r="F600" s="225"/>
      <c r="G600" s="225"/>
      <c r="H600" s="224"/>
      <c r="I600" s="224"/>
      <c r="J600" s="224"/>
      <c r="K600" s="224"/>
      <c r="L600" s="224"/>
      <c r="M600" s="224"/>
      <c r="N600" s="224"/>
      <c r="O600" s="224"/>
      <c r="P600" s="224"/>
      <c r="Q600" s="224"/>
      <c r="R600" s="224"/>
      <c r="S600" s="224"/>
      <c r="T600" s="224"/>
      <c r="U600" s="224"/>
      <c r="V600" s="224"/>
      <c r="W600" s="224"/>
      <c r="X600" s="224"/>
      <c r="Y600" s="224"/>
      <c r="Z600" s="224"/>
    </row>
    <row r="601">
      <c r="A601" s="225"/>
      <c r="B601" s="225"/>
      <c r="C601" s="225"/>
      <c r="D601" s="225"/>
      <c r="E601" s="225"/>
      <c r="F601" s="225"/>
      <c r="G601" s="225"/>
      <c r="H601" s="224"/>
      <c r="I601" s="224"/>
      <c r="J601" s="224"/>
      <c r="K601" s="224"/>
      <c r="L601" s="224"/>
      <c r="M601" s="224"/>
      <c r="N601" s="224"/>
      <c r="O601" s="224"/>
      <c r="P601" s="224"/>
      <c r="Q601" s="224"/>
      <c r="R601" s="224"/>
      <c r="S601" s="224"/>
      <c r="T601" s="224"/>
      <c r="U601" s="224"/>
      <c r="V601" s="224"/>
      <c r="W601" s="224"/>
      <c r="X601" s="224"/>
      <c r="Y601" s="224"/>
      <c r="Z601" s="224"/>
    </row>
    <row r="602">
      <c r="A602" s="225"/>
      <c r="B602" s="225"/>
      <c r="C602" s="225"/>
      <c r="D602" s="225"/>
      <c r="E602" s="225"/>
      <c r="F602" s="225"/>
      <c r="G602" s="225"/>
      <c r="H602" s="224"/>
      <c r="I602" s="224"/>
      <c r="J602" s="224"/>
      <c r="K602" s="224"/>
      <c r="L602" s="224"/>
      <c r="M602" s="224"/>
      <c r="N602" s="224"/>
      <c r="O602" s="224"/>
      <c r="P602" s="224"/>
      <c r="Q602" s="224"/>
      <c r="R602" s="224"/>
      <c r="S602" s="224"/>
      <c r="T602" s="224"/>
      <c r="U602" s="224"/>
      <c r="V602" s="224"/>
      <c r="W602" s="224"/>
      <c r="X602" s="224"/>
      <c r="Y602" s="224"/>
      <c r="Z602" s="224"/>
    </row>
    <row r="603">
      <c r="A603" s="225"/>
      <c r="B603" s="225"/>
      <c r="C603" s="225"/>
      <c r="D603" s="225"/>
      <c r="E603" s="225"/>
      <c r="F603" s="225"/>
      <c r="G603" s="225"/>
      <c r="H603" s="224"/>
      <c r="I603" s="224"/>
      <c r="J603" s="224"/>
      <c r="K603" s="224"/>
      <c r="L603" s="224"/>
      <c r="M603" s="224"/>
      <c r="N603" s="224"/>
      <c r="O603" s="224"/>
      <c r="P603" s="224"/>
      <c r="Q603" s="224"/>
      <c r="R603" s="224"/>
      <c r="S603" s="224"/>
      <c r="T603" s="224"/>
      <c r="U603" s="224"/>
      <c r="V603" s="224"/>
      <c r="W603" s="224"/>
      <c r="X603" s="224"/>
      <c r="Y603" s="224"/>
      <c r="Z603" s="224"/>
    </row>
    <row r="604">
      <c r="A604" s="225"/>
      <c r="B604" s="225"/>
      <c r="C604" s="225"/>
      <c r="D604" s="225"/>
      <c r="E604" s="225"/>
      <c r="F604" s="225"/>
      <c r="G604" s="225"/>
      <c r="H604" s="224"/>
      <c r="I604" s="224"/>
      <c r="J604" s="224"/>
      <c r="K604" s="224"/>
      <c r="L604" s="224"/>
      <c r="M604" s="224"/>
      <c r="N604" s="224"/>
      <c r="O604" s="224"/>
      <c r="P604" s="224"/>
      <c r="Q604" s="224"/>
      <c r="R604" s="224"/>
      <c r="S604" s="224"/>
      <c r="T604" s="224"/>
      <c r="U604" s="224"/>
      <c r="V604" s="224"/>
      <c r="W604" s="224"/>
      <c r="X604" s="224"/>
      <c r="Y604" s="224"/>
      <c r="Z604" s="224"/>
    </row>
    <row r="605">
      <c r="A605" s="225"/>
      <c r="B605" s="225"/>
      <c r="C605" s="225"/>
      <c r="D605" s="225"/>
      <c r="E605" s="225"/>
      <c r="F605" s="225"/>
      <c r="G605" s="225"/>
      <c r="H605" s="224"/>
      <c r="I605" s="224"/>
      <c r="J605" s="224"/>
      <c r="K605" s="224"/>
      <c r="L605" s="224"/>
      <c r="M605" s="224"/>
      <c r="N605" s="224"/>
      <c r="O605" s="224"/>
      <c r="P605" s="224"/>
      <c r="Q605" s="224"/>
      <c r="R605" s="224"/>
      <c r="S605" s="224"/>
      <c r="T605" s="224"/>
      <c r="U605" s="224"/>
      <c r="V605" s="224"/>
      <c r="W605" s="224"/>
      <c r="X605" s="224"/>
      <c r="Y605" s="224"/>
      <c r="Z605" s="224"/>
    </row>
    <row r="606">
      <c r="A606" s="225"/>
      <c r="B606" s="225"/>
      <c r="C606" s="225"/>
      <c r="D606" s="225"/>
      <c r="E606" s="225"/>
      <c r="F606" s="225"/>
      <c r="G606" s="225"/>
      <c r="H606" s="224"/>
      <c r="I606" s="224"/>
      <c r="J606" s="224"/>
      <c r="K606" s="224"/>
      <c r="L606" s="224"/>
      <c r="M606" s="224"/>
      <c r="N606" s="224"/>
      <c r="O606" s="224"/>
      <c r="P606" s="224"/>
      <c r="Q606" s="224"/>
      <c r="R606" s="224"/>
      <c r="S606" s="224"/>
      <c r="T606" s="224"/>
      <c r="U606" s="224"/>
      <c r="V606" s="224"/>
      <c r="W606" s="224"/>
      <c r="X606" s="224"/>
      <c r="Y606" s="224"/>
      <c r="Z606" s="224"/>
    </row>
    <row r="607">
      <c r="A607" s="225"/>
      <c r="B607" s="225"/>
      <c r="C607" s="225"/>
      <c r="D607" s="225"/>
      <c r="E607" s="225"/>
      <c r="F607" s="225"/>
      <c r="G607" s="225"/>
      <c r="H607" s="224"/>
      <c r="I607" s="224"/>
      <c r="J607" s="224"/>
      <c r="K607" s="224"/>
      <c r="L607" s="224"/>
      <c r="M607" s="224"/>
      <c r="N607" s="224"/>
      <c r="O607" s="224"/>
      <c r="P607" s="224"/>
      <c r="Q607" s="224"/>
      <c r="R607" s="224"/>
      <c r="S607" s="224"/>
      <c r="T607" s="224"/>
      <c r="U607" s="224"/>
      <c r="V607" s="224"/>
      <c r="W607" s="224"/>
      <c r="X607" s="224"/>
      <c r="Y607" s="224"/>
      <c r="Z607" s="224"/>
    </row>
    <row r="608">
      <c r="A608" s="225"/>
      <c r="B608" s="225"/>
      <c r="C608" s="225"/>
      <c r="D608" s="225"/>
      <c r="E608" s="225"/>
      <c r="F608" s="225"/>
      <c r="G608" s="225"/>
      <c r="H608" s="224"/>
      <c r="I608" s="224"/>
      <c r="J608" s="224"/>
      <c r="K608" s="224"/>
      <c r="L608" s="224"/>
      <c r="M608" s="224"/>
      <c r="N608" s="224"/>
      <c r="O608" s="224"/>
      <c r="P608" s="224"/>
      <c r="Q608" s="224"/>
      <c r="R608" s="224"/>
      <c r="S608" s="224"/>
      <c r="T608" s="224"/>
      <c r="U608" s="224"/>
      <c r="V608" s="224"/>
      <c r="W608" s="224"/>
      <c r="X608" s="224"/>
      <c r="Y608" s="224"/>
      <c r="Z608" s="224"/>
    </row>
    <row r="609">
      <c r="A609" s="225"/>
      <c r="B609" s="225"/>
      <c r="C609" s="225"/>
      <c r="D609" s="225"/>
      <c r="E609" s="225"/>
      <c r="F609" s="225"/>
      <c r="G609" s="225"/>
      <c r="H609" s="224"/>
      <c r="I609" s="224"/>
      <c r="J609" s="224"/>
      <c r="K609" s="224"/>
      <c r="L609" s="224"/>
      <c r="M609" s="224"/>
      <c r="N609" s="224"/>
      <c r="O609" s="224"/>
      <c r="P609" s="224"/>
      <c r="Q609" s="224"/>
      <c r="R609" s="224"/>
      <c r="S609" s="224"/>
      <c r="T609" s="224"/>
      <c r="U609" s="224"/>
      <c r="V609" s="224"/>
      <c r="W609" s="224"/>
      <c r="X609" s="224"/>
      <c r="Y609" s="224"/>
      <c r="Z609" s="224"/>
    </row>
    <row r="610">
      <c r="A610" s="225"/>
      <c r="B610" s="225"/>
      <c r="C610" s="225"/>
      <c r="D610" s="225"/>
      <c r="E610" s="225"/>
      <c r="F610" s="225"/>
      <c r="G610" s="225"/>
      <c r="H610" s="224"/>
      <c r="I610" s="224"/>
      <c r="J610" s="224"/>
      <c r="K610" s="224"/>
      <c r="L610" s="224"/>
      <c r="M610" s="224"/>
      <c r="N610" s="224"/>
      <c r="O610" s="224"/>
      <c r="P610" s="224"/>
      <c r="Q610" s="224"/>
      <c r="R610" s="224"/>
      <c r="S610" s="224"/>
      <c r="T610" s="224"/>
      <c r="U610" s="224"/>
      <c r="V610" s="224"/>
      <c r="W610" s="224"/>
      <c r="X610" s="224"/>
      <c r="Y610" s="224"/>
      <c r="Z610" s="224"/>
    </row>
    <row r="611">
      <c r="A611" s="225"/>
      <c r="B611" s="225"/>
      <c r="C611" s="225"/>
      <c r="D611" s="225"/>
      <c r="E611" s="225"/>
      <c r="F611" s="225"/>
      <c r="G611" s="225"/>
      <c r="H611" s="224"/>
      <c r="I611" s="224"/>
      <c r="J611" s="224"/>
      <c r="K611" s="224"/>
      <c r="L611" s="224"/>
      <c r="M611" s="224"/>
      <c r="N611" s="224"/>
      <c r="O611" s="224"/>
      <c r="P611" s="224"/>
      <c r="Q611" s="224"/>
      <c r="R611" s="224"/>
      <c r="S611" s="224"/>
      <c r="T611" s="224"/>
      <c r="U611" s="224"/>
      <c r="V611" s="224"/>
      <c r="W611" s="224"/>
      <c r="X611" s="224"/>
      <c r="Y611" s="224"/>
      <c r="Z611" s="224"/>
    </row>
    <row r="612">
      <c r="A612" s="225"/>
      <c r="B612" s="225"/>
      <c r="C612" s="225"/>
      <c r="D612" s="225"/>
      <c r="E612" s="225"/>
      <c r="F612" s="225"/>
      <c r="G612" s="225"/>
      <c r="H612" s="224"/>
      <c r="I612" s="224"/>
      <c r="J612" s="224"/>
      <c r="K612" s="224"/>
      <c r="L612" s="224"/>
      <c r="M612" s="224"/>
      <c r="N612" s="224"/>
      <c r="O612" s="224"/>
      <c r="P612" s="224"/>
      <c r="Q612" s="224"/>
      <c r="R612" s="224"/>
      <c r="S612" s="224"/>
      <c r="T612" s="224"/>
      <c r="U612" s="224"/>
      <c r="V612" s="224"/>
      <c r="W612" s="224"/>
      <c r="X612" s="224"/>
      <c r="Y612" s="224"/>
      <c r="Z612" s="224"/>
    </row>
    <row r="613">
      <c r="A613" s="225"/>
      <c r="B613" s="225"/>
      <c r="C613" s="225"/>
      <c r="D613" s="225"/>
      <c r="E613" s="225"/>
      <c r="F613" s="225"/>
      <c r="G613" s="225"/>
      <c r="H613" s="224"/>
      <c r="I613" s="224"/>
      <c r="J613" s="224"/>
      <c r="K613" s="224"/>
      <c r="L613" s="224"/>
      <c r="M613" s="224"/>
      <c r="N613" s="224"/>
      <c r="O613" s="224"/>
      <c r="P613" s="224"/>
      <c r="Q613" s="224"/>
      <c r="R613" s="224"/>
      <c r="S613" s="224"/>
      <c r="T613" s="224"/>
      <c r="U613" s="224"/>
      <c r="V613" s="224"/>
      <c r="W613" s="224"/>
      <c r="X613" s="224"/>
      <c r="Y613" s="224"/>
      <c r="Z613" s="224"/>
    </row>
    <row r="614">
      <c r="A614" s="225"/>
      <c r="B614" s="225"/>
      <c r="C614" s="225"/>
      <c r="D614" s="225"/>
      <c r="E614" s="225"/>
      <c r="F614" s="225"/>
      <c r="G614" s="225"/>
      <c r="H614" s="224"/>
      <c r="I614" s="224"/>
      <c r="J614" s="224"/>
      <c r="K614" s="224"/>
      <c r="L614" s="224"/>
      <c r="M614" s="224"/>
      <c r="N614" s="224"/>
      <c r="O614" s="224"/>
      <c r="P614" s="224"/>
      <c r="Q614" s="224"/>
      <c r="R614" s="224"/>
      <c r="S614" s="224"/>
      <c r="T614" s="224"/>
      <c r="U614" s="224"/>
      <c r="V614" s="224"/>
      <c r="W614" s="224"/>
      <c r="X614" s="224"/>
      <c r="Y614" s="224"/>
      <c r="Z614" s="224"/>
    </row>
    <row r="615">
      <c r="A615" s="225"/>
      <c r="B615" s="225"/>
      <c r="C615" s="225"/>
      <c r="D615" s="225"/>
      <c r="E615" s="225"/>
      <c r="F615" s="225"/>
      <c r="G615" s="225"/>
      <c r="H615" s="224"/>
      <c r="I615" s="224"/>
      <c r="J615" s="224"/>
      <c r="K615" s="224"/>
      <c r="L615" s="224"/>
      <c r="M615" s="224"/>
      <c r="N615" s="224"/>
      <c r="O615" s="224"/>
      <c r="P615" s="224"/>
      <c r="Q615" s="224"/>
      <c r="R615" s="224"/>
      <c r="S615" s="224"/>
      <c r="T615" s="224"/>
      <c r="U615" s="224"/>
      <c r="V615" s="224"/>
      <c r="W615" s="224"/>
      <c r="X615" s="224"/>
      <c r="Y615" s="224"/>
      <c r="Z615" s="224"/>
    </row>
    <row r="616">
      <c r="A616" s="225"/>
      <c r="B616" s="225"/>
      <c r="C616" s="225"/>
      <c r="D616" s="225"/>
      <c r="E616" s="225"/>
      <c r="F616" s="225"/>
      <c r="G616" s="225"/>
      <c r="H616" s="224"/>
      <c r="I616" s="224"/>
      <c r="J616" s="224"/>
      <c r="K616" s="224"/>
      <c r="L616" s="224"/>
      <c r="M616" s="224"/>
      <c r="N616" s="224"/>
      <c r="O616" s="224"/>
      <c r="P616" s="224"/>
      <c r="Q616" s="224"/>
      <c r="R616" s="224"/>
      <c r="S616" s="224"/>
      <c r="T616" s="224"/>
      <c r="U616" s="224"/>
      <c r="V616" s="224"/>
      <c r="W616" s="224"/>
      <c r="X616" s="224"/>
      <c r="Y616" s="224"/>
      <c r="Z616" s="224"/>
    </row>
    <row r="617">
      <c r="A617" s="225"/>
      <c r="B617" s="225"/>
      <c r="C617" s="225"/>
      <c r="D617" s="225"/>
      <c r="E617" s="225"/>
      <c r="F617" s="225"/>
      <c r="G617" s="225"/>
      <c r="H617" s="224"/>
      <c r="I617" s="224"/>
      <c r="J617" s="224"/>
      <c r="K617" s="224"/>
      <c r="L617" s="224"/>
      <c r="M617" s="224"/>
      <c r="N617" s="224"/>
      <c r="O617" s="224"/>
      <c r="P617" s="224"/>
      <c r="Q617" s="224"/>
      <c r="R617" s="224"/>
      <c r="S617" s="224"/>
      <c r="T617" s="224"/>
      <c r="U617" s="224"/>
      <c r="V617" s="224"/>
      <c r="W617" s="224"/>
      <c r="X617" s="224"/>
      <c r="Y617" s="224"/>
      <c r="Z617" s="224"/>
    </row>
    <row r="618">
      <c r="A618" s="225"/>
      <c r="B618" s="225"/>
      <c r="C618" s="225"/>
      <c r="D618" s="225"/>
      <c r="E618" s="225"/>
      <c r="F618" s="225"/>
      <c r="G618" s="225"/>
      <c r="H618" s="224"/>
      <c r="I618" s="224"/>
      <c r="J618" s="224"/>
      <c r="K618" s="224"/>
      <c r="L618" s="224"/>
      <c r="M618" s="224"/>
      <c r="N618" s="224"/>
      <c r="O618" s="224"/>
      <c r="P618" s="224"/>
      <c r="Q618" s="224"/>
      <c r="R618" s="224"/>
      <c r="S618" s="224"/>
      <c r="T618" s="224"/>
      <c r="U618" s="224"/>
      <c r="V618" s="224"/>
      <c r="W618" s="224"/>
      <c r="X618" s="224"/>
      <c r="Y618" s="224"/>
      <c r="Z618" s="224"/>
    </row>
    <row r="619">
      <c r="A619" s="225"/>
      <c r="B619" s="225"/>
      <c r="C619" s="225"/>
      <c r="D619" s="225"/>
      <c r="E619" s="225"/>
      <c r="F619" s="225"/>
      <c r="G619" s="225"/>
      <c r="H619" s="224"/>
      <c r="I619" s="224"/>
      <c r="J619" s="224"/>
      <c r="K619" s="224"/>
      <c r="L619" s="224"/>
      <c r="M619" s="224"/>
      <c r="N619" s="224"/>
      <c r="O619" s="224"/>
      <c r="P619" s="224"/>
      <c r="Q619" s="224"/>
      <c r="R619" s="224"/>
      <c r="S619" s="224"/>
      <c r="T619" s="224"/>
      <c r="U619" s="224"/>
      <c r="V619" s="224"/>
      <c r="W619" s="224"/>
      <c r="X619" s="224"/>
      <c r="Y619" s="224"/>
      <c r="Z619" s="224"/>
    </row>
    <row r="620">
      <c r="A620" s="225"/>
      <c r="B620" s="225"/>
      <c r="C620" s="225"/>
      <c r="D620" s="225"/>
      <c r="E620" s="225"/>
      <c r="F620" s="225"/>
      <c r="G620" s="225"/>
      <c r="H620" s="224"/>
      <c r="I620" s="224"/>
      <c r="J620" s="224"/>
      <c r="K620" s="224"/>
      <c r="L620" s="224"/>
      <c r="M620" s="224"/>
      <c r="N620" s="224"/>
      <c r="O620" s="224"/>
      <c r="P620" s="224"/>
      <c r="Q620" s="224"/>
      <c r="R620" s="224"/>
      <c r="S620" s="224"/>
      <c r="T620" s="224"/>
      <c r="U620" s="224"/>
      <c r="V620" s="224"/>
      <c r="W620" s="224"/>
      <c r="X620" s="224"/>
      <c r="Y620" s="224"/>
      <c r="Z620" s="224"/>
    </row>
    <row r="621">
      <c r="A621" s="225"/>
      <c r="B621" s="225"/>
      <c r="C621" s="225"/>
      <c r="D621" s="225"/>
      <c r="E621" s="225"/>
      <c r="F621" s="225"/>
      <c r="G621" s="225"/>
      <c r="H621" s="224"/>
      <c r="I621" s="224"/>
      <c r="J621" s="224"/>
      <c r="K621" s="224"/>
      <c r="L621" s="224"/>
      <c r="M621" s="224"/>
      <c r="N621" s="224"/>
      <c r="O621" s="224"/>
      <c r="P621" s="224"/>
      <c r="Q621" s="224"/>
      <c r="R621" s="224"/>
      <c r="S621" s="224"/>
      <c r="T621" s="224"/>
      <c r="U621" s="224"/>
      <c r="V621" s="224"/>
      <c r="W621" s="224"/>
      <c r="X621" s="224"/>
      <c r="Y621" s="224"/>
      <c r="Z621" s="224"/>
    </row>
    <row r="622">
      <c r="A622" s="225"/>
      <c r="B622" s="225"/>
      <c r="C622" s="225"/>
      <c r="D622" s="225"/>
      <c r="E622" s="225"/>
      <c r="F622" s="225"/>
      <c r="G622" s="225"/>
      <c r="H622" s="224"/>
      <c r="I622" s="224"/>
      <c r="J622" s="224"/>
      <c r="K622" s="224"/>
      <c r="L622" s="224"/>
      <c r="M622" s="224"/>
      <c r="N622" s="224"/>
      <c r="O622" s="224"/>
      <c r="P622" s="224"/>
      <c r="Q622" s="224"/>
      <c r="R622" s="224"/>
      <c r="S622" s="224"/>
      <c r="T622" s="224"/>
      <c r="U622" s="224"/>
      <c r="V622" s="224"/>
      <c r="W622" s="224"/>
      <c r="X622" s="224"/>
      <c r="Y622" s="224"/>
      <c r="Z622" s="224"/>
    </row>
    <row r="623">
      <c r="A623" s="225"/>
      <c r="B623" s="225"/>
      <c r="C623" s="225"/>
      <c r="D623" s="225"/>
      <c r="E623" s="225"/>
      <c r="F623" s="225"/>
      <c r="G623" s="225"/>
      <c r="H623" s="224"/>
      <c r="I623" s="224"/>
      <c r="J623" s="224"/>
      <c r="K623" s="224"/>
      <c r="L623" s="224"/>
      <c r="M623" s="224"/>
      <c r="N623" s="224"/>
      <c r="O623" s="224"/>
      <c r="P623" s="224"/>
      <c r="Q623" s="224"/>
      <c r="R623" s="224"/>
      <c r="S623" s="224"/>
      <c r="T623" s="224"/>
      <c r="U623" s="224"/>
      <c r="V623" s="224"/>
      <c r="W623" s="224"/>
      <c r="X623" s="224"/>
      <c r="Y623" s="224"/>
      <c r="Z623" s="224"/>
    </row>
    <row r="624">
      <c r="A624" s="225"/>
      <c r="B624" s="225"/>
      <c r="C624" s="225"/>
      <c r="D624" s="225"/>
      <c r="E624" s="225"/>
      <c r="F624" s="225"/>
      <c r="G624" s="225"/>
      <c r="H624" s="224"/>
      <c r="I624" s="224"/>
      <c r="J624" s="224"/>
      <c r="K624" s="224"/>
      <c r="L624" s="224"/>
      <c r="M624" s="224"/>
      <c r="N624" s="224"/>
      <c r="O624" s="224"/>
      <c r="P624" s="224"/>
      <c r="Q624" s="224"/>
      <c r="R624" s="224"/>
      <c r="S624" s="224"/>
      <c r="T624" s="224"/>
      <c r="U624" s="224"/>
      <c r="V624" s="224"/>
      <c r="W624" s="224"/>
      <c r="X624" s="224"/>
      <c r="Y624" s="224"/>
      <c r="Z624" s="224"/>
    </row>
    <row r="625">
      <c r="A625" s="225"/>
      <c r="B625" s="225"/>
      <c r="C625" s="225"/>
      <c r="D625" s="225"/>
      <c r="E625" s="225"/>
      <c r="F625" s="225"/>
      <c r="G625" s="225"/>
      <c r="H625" s="224"/>
      <c r="I625" s="224"/>
      <c r="J625" s="224"/>
      <c r="K625" s="224"/>
      <c r="L625" s="224"/>
      <c r="M625" s="224"/>
      <c r="N625" s="224"/>
      <c r="O625" s="224"/>
      <c r="P625" s="224"/>
      <c r="Q625" s="224"/>
      <c r="R625" s="224"/>
      <c r="S625" s="224"/>
      <c r="T625" s="224"/>
      <c r="U625" s="224"/>
      <c r="V625" s="224"/>
      <c r="W625" s="224"/>
      <c r="X625" s="224"/>
      <c r="Y625" s="224"/>
      <c r="Z625" s="224"/>
    </row>
    <row r="626">
      <c r="A626" s="225"/>
      <c r="B626" s="225"/>
      <c r="C626" s="225"/>
      <c r="D626" s="225"/>
      <c r="E626" s="225"/>
      <c r="F626" s="225"/>
      <c r="G626" s="225"/>
      <c r="H626" s="224"/>
      <c r="I626" s="224"/>
      <c r="J626" s="224"/>
      <c r="K626" s="224"/>
      <c r="L626" s="224"/>
      <c r="M626" s="224"/>
      <c r="N626" s="224"/>
      <c r="O626" s="224"/>
      <c r="P626" s="224"/>
      <c r="Q626" s="224"/>
      <c r="R626" s="224"/>
      <c r="S626" s="224"/>
      <c r="T626" s="224"/>
      <c r="U626" s="224"/>
      <c r="V626" s="224"/>
      <c r="W626" s="224"/>
      <c r="X626" s="224"/>
      <c r="Y626" s="224"/>
      <c r="Z626" s="224"/>
    </row>
    <row r="627">
      <c r="A627" s="225"/>
      <c r="B627" s="225"/>
      <c r="C627" s="225"/>
      <c r="D627" s="225"/>
      <c r="E627" s="225"/>
      <c r="F627" s="225"/>
      <c r="G627" s="225"/>
      <c r="H627" s="224"/>
      <c r="I627" s="224"/>
      <c r="J627" s="224"/>
      <c r="K627" s="224"/>
      <c r="L627" s="224"/>
      <c r="M627" s="224"/>
      <c r="N627" s="224"/>
      <c r="O627" s="224"/>
      <c r="P627" s="224"/>
      <c r="Q627" s="224"/>
      <c r="R627" s="224"/>
      <c r="S627" s="224"/>
      <c r="T627" s="224"/>
      <c r="U627" s="224"/>
      <c r="V627" s="224"/>
      <c r="W627" s="224"/>
      <c r="X627" s="224"/>
      <c r="Y627" s="224"/>
      <c r="Z627" s="224"/>
    </row>
    <row r="628">
      <c r="A628" s="225"/>
      <c r="B628" s="225"/>
      <c r="C628" s="225"/>
      <c r="D628" s="225"/>
      <c r="E628" s="225"/>
      <c r="F628" s="225"/>
      <c r="G628" s="225"/>
      <c r="H628" s="224"/>
      <c r="I628" s="224"/>
      <c r="J628" s="224"/>
      <c r="K628" s="224"/>
      <c r="L628" s="224"/>
      <c r="M628" s="224"/>
      <c r="N628" s="224"/>
      <c r="O628" s="224"/>
      <c r="P628" s="224"/>
      <c r="Q628" s="224"/>
      <c r="R628" s="224"/>
      <c r="S628" s="224"/>
      <c r="T628" s="224"/>
      <c r="U628" s="224"/>
      <c r="V628" s="224"/>
      <c r="W628" s="224"/>
      <c r="X628" s="224"/>
      <c r="Y628" s="224"/>
      <c r="Z628" s="224"/>
    </row>
    <row r="629">
      <c r="A629" s="225"/>
      <c r="B629" s="225"/>
      <c r="C629" s="225"/>
      <c r="D629" s="225"/>
      <c r="E629" s="225"/>
      <c r="F629" s="225"/>
      <c r="G629" s="225"/>
      <c r="H629" s="224"/>
      <c r="I629" s="224"/>
      <c r="J629" s="224"/>
      <c r="K629" s="224"/>
      <c r="L629" s="224"/>
      <c r="M629" s="224"/>
      <c r="N629" s="224"/>
      <c r="O629" s="224"/>
      <c r="P629" s="224"/>
      <c r="Q629" s="224"/>
      <c r="R629" s="224"/>
      <c r="S629" s="224"/>
      <c r="T629" s="224"/>
      <c r="U629" s="224"/>
      <c r="V629" s="224"/>
      <c r="W629" s="224"/>
      <c r="X629" s="224"/>
      <c r="Y629" s="224"/>
      <c r="Z629" s="224"/>
    </row>
    <row r="630">
      <c r="A630" s="225"/>
      <c r="B630" s="225"/>
      <c r="C630" s="225"/>
      <c r="D630" s="225"/>
      <c r="E630" s="225"/>
      <c r="F630" s="225"/>
      <c r="G630" s="225"/>
      <c r="H630" s="224"/>
      <c r="I630" s="224"/>
      <c r="J630" s="224"/>
      <c r="K630" s="224"/>
      <c r="L630" s="224"/>
      <c r="M630" s="224"/>
      <c r="N630" s="224"/>
      <c r="O630" s="224"/>
      <c r="P630" s="224"/>
      <c r="Q630" s="224"/>
      <c r="R630" s="224"/>
      <c r="S630" s="224"/>
      <c r="T630" s="224"/>
      <c r="U630" s="224"/>
      <c r="V630" s="224"/>
      <c r="W630" s="224"/>
      <c r="X630" s="224"/>
      <c r="Y630" s="224"/>
      <c r="Z630" s="224"/>
    </row>
    <row r="631">
      <c r="A631" s="225"/>
      <c r="B631" s="225"/>
      <c r="C631" s="225"/>
      <c r="D631" s="225"/>
      <c r="E631" s="225"/>
      <c r="F631" s="225"/>
      <c r="G631" s="225"/>
      <c r="H631" s="224"/>
      <c r="I631" s="224"/>
      <c r="J631" s="224"/>
      <c r="K631" s="224"/>
      <c r="L631" s="224"/>
      <c r="M631" s="224"/>
      <c r="N631" s="224"/>
      <c r="O631" s="224"/>
      <c r="P631" s="224"/>
      <c r="Q631" s="224"/>
      <c r="R631" s="224"/>
      <c r="S631" s="224"/>
      <c r="T631" s="224"/>
      <c r="U631" s="224"/>
      <c r="V631" s="224"/>
      <c r="W631" s="224"/>
      <c r="X631" s="224"/>
      <c r="Y631" s="224"/>
      <c r="Z631" s="224"/>
    </row>
    <row r="632">
      <c r="A632" s="225"/>
      <c r="B632" s="225"/>
      <c r="C632" s="225"/>
      <c r="D632" s="225"/>
      <c r="E632" s="225"/>
      <c r="F632" s="225"/>
      <c r="G632" s="225"/>
      <c r="H632" s="224"/>
      <c r="I632" s="224"/>
      <c r="J632" s="224"/>
      <c r="K632" s="224"/>
      <c r="L632" s="224"/>
      <c r="M632" s="224"/>
      <c r="N632" s="224"/>
      <c r="O632" s="224"/>
      <c r="P632" s="224"/>
      <c r="Q632" s="224"/>
      <c r="R632" s="224"/>
      <c r="S632" s="224"/>
      <c r="T632" s="224"/>
      <c r="U632" s="224"/>
      <c r="V632" s="224"/>
      <c r="W632" s="224"/>
      <c r="X632" s="224"/>
      <c r="Y632" s="224"/>
      <c r="Z632" s="224"/>
    </row>
    <row r="633">
      <c r="A633" s="225"/>
      <c r="B633" s="225"/>
      <c r="C633" s="225"/>
      <c r="D633" s="225"/>
      <c r="E633" s="225"/>
      <c r="F633" s="225"/>
      <c r="G633" s="225"/>
      <c r="H633" s="224"/>
      <c r="I633" s="224"/>
      <c r="J633" s="224"/>
      <c r="K633" s="224"/>
      <c r="L633" s="224"/>
      <c r="M633" s="224"/>
      <c r="N633" s="224"/>
      <c r="O633" s="224"/>
      <c r="P633" s="224"/>
      <c r="Q633" s="224"/>
      <c r="R633" s="224"/>
      <c r="S633" s="224"/>
      <c r="T633" s="224"/>
      <c r="U633" s="224"/>
      <c r="V633" s="224"/>
      <c r="W633" s="224"/>
      <c r="X633" s="224"/>
      <c r="Y633" s="224"/>
      <c r="Z633" s="224"/>
    </row>
    <row r="634">
      <c r="A634" s="225"/>
      <c r="B634" s="225"/>
      <c r="C634" s="225"/>
      <c r="D634" s="225"/>
      <c r="E634" s="225"/>
      <c r="F634" s="225"/>
      <c r="G634" s="225"/>
      <c r="H634" s="224"/>
      <c r="I634" s="224"/>
      <c r="J634" s="224"/>
      <c r="K634" s="224"/>
      <c r="L634" s="224"/>
      <c r="M634" s="224"/>
      <c r="N634" s="224"/>
      <c r="O634" s="224"/>
      <c r="P634" s="224"/>
      <c r="Q634" s="224"/>
      <c r="R634" s="224"/>
      <c r="S634" s="224"/>
      <c r="T634" s="224"/>
      <c r="U634" s="224"/>
      <c r="V634" s="224"/>
      <c r="W634" s="224"/>
      <c r="X634" s="224"/>
      <c r="Y634" s="224"/>
      <c r="Z634" s="224"/>
    </row>
    <row r="635">
      <c r="A635" s="225"/>
      <c r="B635" s="225"/>
      <c r="C635" s="225"/>
      <c r="D635" s="225"/>
      <c r="E635" s="225"/>
      <c r="F635" s="225"/>
      <c r="G635" s="225"/>
      <c r="H635" s="224"/>
      <c r="I635" s="224"/>
      <c r="J635" s="224"/>
      <c r="K635" s="224"/>
      <c r="L635" s="224"/>
      <c r="M635" s="224"/>
      <c r="N635" s="224"/>
      <c r="O635" s="224"/>
      <c r="P635" s="224"/>
      <c r="Q635" s="224"/>
      <c r="R635" s="224"/>
      <c r="S635" s="224"/>
      <c r="T635" s="224"/>
      <c r="U635" s="224"/>
      <c r="V635" s="224"/>
      <c r="W635" s="224"/>
      <c r="X635" s="224"/>
      <c r="Y635" s="224"/>
      <c r="Z635" s="224"/>
    </row>
    <row r="636">
      <c r="A636" s="225"/>
      <c r="B636" s="225"/>
      <c r="C636" s="225"/>
      <c r="D636" s="225"/>
      <c r="E636" s="225"/>
      <c r="F636" s="225"/>
      <c r="G636" s="225"/>
      <c r="H636" s="224"/>
      <c r="I636" s="224"/>
      <c r="J636" s="224"/>
      <c r="K636" s="224"/>
      <c r="L636" s="224"/>
      <c r="M636" s="224"/>
      <c r="N636" s="224"/>
      <c r="O636" s="224"/>
      <c r="P636" s="224"/>
      <c r="Q636" s="224"/>
      <c r="R636" s="224"/>
      <c r="S636" s="224"/>
      <c r="T636" s="224"/>
      <c r="U636" s="224"/>
      <c r="V636" s="224"/>
      <c r="W636" s="224"/>
      <c r="X636" s="224"/>
      <c r="Y636" s="224"/>
      <c r="Z636" s="224"/>
    </row>
    <row r="637">
      <c r="A637" s="225"/>
      <c r="B637" s="225"/>
      <c r="C637" s="225"/>
      <c r="D637" s="225"/>
      <c r="E637" s="225"/>
      <c r="F637" s="225"/>
      <c r="G637" s="225"/>
      <c r="H637" s="224"/>
      <c r="I637" s="224"/>
      <c r="J637" s="224"/>
      <c r="K637" s="224"/>
      <c r="L637" s="224"/>
      <c r="M637" s="224"/>
      <c r="N637" s="224"/>
      <c r="O637" s="224"/>
      <c r="P637" s="224"/>
      <c r="Q637" s="224"/>
      <c r="R637" s="224"/>
      <c r="S637" s="224"/>
      <c r="T637" s="224"/>
      <c r="U637" s="224"/>
      <c r="V637" s="224"/>
      <c r="W637" s="224"/>
      <c r="X637" s="224"/>
      <c r="Y637" s="224"/>
      <c r="Z637" s="224"/>
    </row>
    <row r="638">
      <c r="A638" s="225"/>
      <c r="B638" s="225"/>
      <c r="C638" s="225"/>
      <c r="D638" s="225"/>
      <c r="E638" s="225"/>
      <c r="F638" s="225"/>
      <c r="G638" s="225"/>
      <c r="H638" s="224"/>
      <c r="I638" s="224"/>
      <c r="J638" s="224"/>
      <c r="K638" s="224"/>
      <c r="L638" s="224"/>
      <c r="M638" s="224"/>
      <c r="N638" s="224"/>
      <c r="O638" s="224"/>
      <c r="P638" s="224"/>
      <c r="Q638" s="224"/>
      <c r="R638" s="224"/>
      <c r="S638" s="224"/>
      <c r="T638" s="224"/>
      <c r="U638" s="224"/>
      <c r="V638" s="224"/>
      <c r="W638" s="224"/>
      <c r="X638" s="224"/>
      <c r="Y638" s="224"/>
      <c r="Z638" s="224"/>
    </row>
    <row r="639">
      <c r="A639" s="225"/>
      <c r="B639" s="225"/>
      <c r="C639" s="225"/>
      <c r="D639" s="225"/>
      <c r="E639" s="225"/>
      <c r="F639" s="225"/>
      <c r="G639" s="225"/>
      <c r="H639" s="224"/>
      <c r="I639" s="224"/>
      <c r="J639" s="224"/>
      <c r="K639" s="224"/>
      <c r="L639" s="224"/>
      <c r="M639" s="224"/>
      <c r="N639" s="224"/>
      <c r="O639" s="224"/>
      <c r="P639" s="224"/>
      <c r="Q639" s="224"/>
      <c r="R639" s="224"/>
      <c r="S639" s="224"/>
      <c r="T639" s="224"/>
      <c r="U639" s="224"/>
      <c r="V639" s="224"/>
      <c r="W639" s="224"/>
      <c r="X639" s="224"/>
      <c r="Y639" s="224"/>
      <c r="Z639" s="224"/>
    </row>
    <row r="640">
      <c r="A640" s="225"/>
      <c r="B640" s="225"/>
      <c r="C640" s="225"/>
      <c r="D640" s="225"/>
      <c r="E640" s="225"/>
      <c r="F640" s="225"/>
      <c r="G640" s="225"/>
      <c r="H640" s="224"/>
      <c r="I640" s="224"/>
      <c r="J640" s="224"/>
      <c r="K640" s="224"/>
      <c r="L640" s="224"/>
      <c r="M640" s="224"/>
      <c r="N640" s="224"/>
      <c r="O640" s="224"/>
      <c r="P640" s="224"/>
      <c r="Q640" s="224"/>
      <c r="R640" s="224"/>
      <c r="S640" s="224"/>
      <c r="T640" s="224"/>
      <c r="U640" s="224"/>
      <c r="V640" s="224"/>
      <c r="W640" s="224"/>
      <c r="X640" s="224"/>
      <c r="Y640" s="224"/>
      <c r="Z640" s="224"/>
    </row>
    <row r="641">
      <c r="A641" s="225"/>
      <c r="B641" s="225"/>
      <c r="C641" s="225"/>
      <c r="D641" s="225"/>
      <c r="E641" s="225"/>
      <c r="F641" s="225"/>
      <c r="G641" s="225"/>
      <c r="H641" s="224"/>
      <c r="I641" s="224"/>
      <c r="J641" s="224"/>
      <c r="K641" s="224"/>
      <c r="L641" s="224"/>
      <c r="M641" s="224"/>
      <c r="N641" s="224"/>
      <c r="O641" s="224"/>
      <c r="P641" s="224"/>
      <c r="Q641" s="224"/>
      <c r="R641" s="224"/>
      <c r="S641" s="224"/>
      <c r="T641" s="224"/>
      <c r="U641" s="224"/>
      <c r="V641" s="224"/>
      <c r="W641" s="224"/>
      <c r="X641" s="224"/>
      <c r="Y641" s="224"/>
      <c r="Z641" s="224"/>
    </row>
    <row r="642">
      <c r="A642" s="225"/>
      <c r="B642" s="225"/>
      <c r="C642" s="225"/>
      <c r="D642" s="225"/>
      <c r="E642" s="225"/>
      <c r="F642" s="225"/>
      <c r="G642" s="225"/>
      <c r="H642" s="224"/>
      <c r="I642" s="224"/>
      <c r="J642" s="224"/>
      <c r="K642" s="224"/>
      <c r="L642" s="224"/>
      <c r="M642" s="224"/>
      <c r="N642" s="224"/>
      <c r="O642" s="224"/>
      <c r="P642" s="224"/>
      <c r="Q642" s="224"/>
      <c r="R642" s="224"/>
      <c r="S642" s="224"/>
      <c r="T642" s="224"/>
      <c r="U642" s="224"/>
      <c r="V642" s="224"/>
      <c r="W642" s="224"/>
      <c r="X642" s="224"/>
      <c r="Y642" s="224"/>
      <c r="Z642" s="224"/>
    </row>
    <row r="643">
      <c r="A643" s="225"/>
      <c r="B643" s="225"/>
      <c r="C643" s="225"/>
      <c r="D643" s="225"/>
      <c r="E643" s="225"/>
      <c r="F643" s="225"/>
      <c r="G643" s="225"/>
      <c r="H643" s="224"/>
      <c r="I643" s="224"/>
      <c r="J643" s="224"/>
      <c r="K643" s="224"/>
      <c r="L643" s="224"/>
      <c r="M643" s="224"/>
      <c r="N643" s="224"/>
      <c r="O643" s="224"/>
      <c r="P643" s="224"/>
      <c r="Q643" s="224"/>
      <c r="R643" s="224"/>
      <c r="S643" s="224"/>
      <c r="T643" s="224"/>
      <c r="U643" s="224"/>
      <c r="V643" s="224"/>
      <c r="W643" s="224"/>
      <c r="X643" s="224"/>
      <c r="Y643" s="224"/>
      <c r="Z643" s="224"/>
    </row>
    <row r="644">
      <c r="A644" s="225"/>
      <c r="B644" s="225"/>
      <c r="C644" s="225"/>
      <c r="D644" s="225"/>
      <c r="E644" s="225"/>
      <c r="F644" s="225"/>
      <c r="G644" s="225"/>
      <c r="H644" s="224"/>
      <c r="I644" s="224"/>
      <c r="J644" s="224"/>
      <c r="K644" s="224"/>
      <c r="L644" s="224"/>
      <c r="M644" s="224"/>
      <c r="N644" s="224"/>
      <c r="O644" s="224"/>
      <c r="P644" s="224"/>
      <c r="Q644" s="224"/>
      <c r="R644" s="224"/>
      <c r="S644" s="224"/>
      <c r="T644" s="224"/>
      <c r="U644" s="224"/>
      <c r="V644" s="224"/>
      <c r="W644" s="224"/>
      <c r="X644" s="224"/>
      <c r="Y644" s="224"/>
      <c r="Z644" s="224"/>
    </row>
    <row r="645">
      <c r="A645" s="225"/>
      <c r="B645" s="225"/>
      <c r="C645" s="225"/>
      <c r="D645" s="225"/>
      <c r="E645" s="225"/>
      <c r="F645" s="225"/>
      <c r="G645" s="225"/>
      <c r="H645" s="224"/>
      <c r="I645" s="224"/>
      <c r="J645" s="224"/>
      <c r="K645" s="224"/>
      <c r="L645" s="224"/>
      <c r="M645" s="224"/>
      <c r="N645" s="224"/>
      <c r="O645" s="224"/>
      <c r="P645" s="224"/>
      <c r="Q645" s="224"/>
      <c r="R645" s="224"/>
      <c r="S645" s="224"/>
      <c r="T645" s="224"/>
      <c r="U645" s="224"/>
      <c r="V645" s="224"/>
      <c r="W645" s="224"/>
      <c r="X645" s="224"/>
      <c r="Y645" s="224"/>
      <c r="Z645" s="224"/>
    </row>
    <row r="646">
      <c r="A646" s="225"/>
      <c r="B646" s="225"/>
      <c r="C646" s="225"/>
      <c r="D646" s="225"/>
      <c r="E646" s="225"/>
      <c r="F646" s="225"/>
      <c r="G646" s="225"/>
      <c r="H646" s="224"/>
      <c r="I646" s="224"/>
      <c r="J646" s="224"/>
      <c r="K646" s="224"/>
      <c r="L646" s="224"/>
      <c r="M646" s="224"/>
      <c r="N646" s="224"/>
      <c r="O646" s="224"/>
      <c r="P646" s="224"/>
      <c r="Q646" s="224"/>
      <c r="R646" s="224"/>
      <c r="S646" s="224"/>
      <c r="T646" s="224"/>
      <c r="U646" s="224"/>
      <c r="V646" s="224"/>
      <c r="W646" s="224"/>
      <c r="X646" s="224"/>
      <c r="Y646" s="224"/>
      <c r="Z646" s="224"/>
    </row>
    <row r="647">
      <c r="A647" s="225"/>
      <c r="B647" s="225"/>
      <c r="C647" s="225"/>
      <c r="D647" s="225"/>
      <c r="E647" s="225"/>
      <c r="F647" s="225"/>
      <c r="G647" s="225"/>
      <c r="H647" s="224"/>
      <c r="I647" s="224"/>
      <c r="J647" s="224"/>
      <c r="K647" s="224"/>
      <c r="L647" s="224"/>
      <c r="M647" s="224"/>
      <c r="N647" s="224"/>
      <c r="O647" s="224"/>
      <c r="P647" s="224"/>
      <c r="Q647" s="224"/>
      <c r="R647" s="224"/>
      <c r="S647" s="224"/>
      <c r="T647" s="224"/>
      <c r="U647" s="224"/>
      <c r="V647" s="224"/>
      <c r="W647" s="224"/>
      <c r="X647" s="224"/>
      <c r="Y647" s="224"/>
      <c r="Z647" s="224"/>
    </row>
    <row r="648">
      <c r="A648" s="225"/>
      <c r="B648" s="225"/>
      <c r="C648" s="225"/>
      <c r="D648" s="225"/>
      <c r="E648" s="225"/>
      <c r="F648" s="225"/>
      <c r="G648" s="225"/>
      <c r="H648" s="224"/>
      <c r="I648" s="224"/>
      <c r="J648" s="224"/>
      <c r="K648" s="224"/>
      <c r="L648" s="224"/>
      <c r="M648" s="224"/>
      <c r="N648" s="224"/>
      <c r="O648" s="224"/>
      <c r="P648" s="224"/>
      <c r="Q648" s="224"/>
      <c r="R648" s="224"/>
      <c r="S648" s="224"/>
      <c r="T648" s="224"/>
      <c r="U648" s="224"/>
      <c r="V648" s="224"/>
      <c r="W648" s="224"/>
      <c r="X648" s="224"/>
      <c r="Y648" s="224"/>
      <c r="Z648" s="224"/>
    </row>
    <row r="649">
      <c r="A649" s="225"/>
      <c r="B649" s="225"/>
      <c r="C649" s="225"/>
      <c r="D649" s="225"/>
      <c r="E649" s="225"/>
      <c r="F649" s="225"/>
      <c r="G649" s="225"/>
      <c r="H649" s="224"/>
      <c r="I649" s="224"/>
      <c r="J649" s="224"/>
      <c r="K649" s="224"/>
      <c r="L649" s="224"/>
      <c r="M649" s="224"/>
      <c r="N649" s="224"/>
      <c r="O649" s="224"/>
      <c r="P649" s="224"/>
      <c r="Q649" s="224"/>
      <c r="R649" s="224"/>
      <c r="S649" s="224"/>
      <c r="T649" s="224"/>
      <c r="U649" s="224"/>
      <c r="V649" s="224"/>
      <c r="W649" s="224"/>
      <c r="X649" s="224"/>
      <c r="Y649" s="224"/>
      <c r="Z649" s="224"/>
    </row>
    <row r="650">
      <c r="A650" s="225"/>
      <c r="B650" s="225"/>
      <c r="C650" s="225"/>
      <c r="D650" s="225"/>
      <c r="E650" s="225"/>
      <c r="F650" s="225"/>
      <c r="G650" s="225"/>
      <c r="H650" s="224"/>
      <c r="I650" s="224"/>
      <c r="J650" s="224"/>
      <c r="K650" s="224"/>
      <c r="L650" s="224"/>
      <c r="M650" s="224"/>
      <c r="N650" s="224"/>
      <c r="O650" s="224"/>
      <c r="P650" s="224"/>
      <c r="Q650" s="224"/>
      <c r="R650" s="224"/>
      <c r="S650" s="224"/>
      <c r="T650" s="224"/>
      <c r="U650" s="224"/>
      <c r="V650" s="224"/>
      <c r="W650" s="224"/>
      <c r="X650" s="224"/>
      <c r="Y650" s="224"/>
      <c r="Z650" s="224"/>
    </row>
    <row r="651">
      <c r="A651" s="225"/>
      <c r="B651" s="225"/>
      <c r="C651" s="225"/>
      <c r="D651" s="225"/>
      <c r="E651" s="225"/>
      <c r="F651" s="225"/>
      <c r="G651" s="225"/>
      <c r="H651" s="224"/>
      <c r="I651" s="224"/>
      <c r="J651" s="224"/>
      <c r="K651" s="224"/>
      <c r="L651" s="224"/>
      <c r="M651" s="224"/>
      <c r="N651" s="224"/>
      <c r="O651" s="224"/>
      <c r="P651" s="224"/>
      <c r="Q651" s="224"/>
      <c r="R651" s="224"/>
      <c r="S651" s="224"/>
      <c r="T651" s="224"/>
      <c r="U651" s="224"/>
      <c r="V651" s="224"/>
      <c r="W651" s="224"/>
      <c r="X651" s="224"/>
      <c r="Y651" s="224"/>
      <c r="Z651" s="224"/>
    </row>
    <row r="652">
      <c r="A652" s="225"/>
      <c r="B652" s="225"/>
      <c r="C652" s="225"/>
      <c r="D652" s="225"/>
      <c r="E652" s="225"/>
      <c r="F652" s="225"/>
      <c r="G652" s="225"/>
      <c r="H652" s="224"/>
      <c r="I652" s="224"/>
      <c r="J652" s="224"/>
      <c r="K652" s="224"/>
      <c r="L652" s="224"/>
      <c r="M652" s="224"/>
      <c r="N652" s="224"/>
      <c r="O652" s="224"/>
      <c r="P652" s="224"/>
      <c r="Q652" s="224"/>
      <c r="R652" s="224"/>
      <c r="S652" s="224"/>
      <c r="T652" s="224"/>
      <c r="U652" s="224"/>
      <c r="V652" s="224"/>
      <c r="W652" s="224"/>
      <c r="X652" s="224"/>
      <c r="Y652" s="224"/>
      <c r="Z652" s="224"/>
    </row>
    <row r="653">
      <c r="A653" s="225"/>
      <c r="B653" s="225"/>
      <c r="C653" s="225"/>
      <c r="D653" s="225"/>
      <c r="E653" s="225"/>
      <c r="F653" s="225"/>
      <c r="G653" s="225"/>
      <c r="H653" s="224"/>
      <c r="I653" s="224"/>
      <c r="J653" s="224"/>
      <c r="K653" s="224"/>
      <c r="L653" s="224"/>
      <c r="M653" s="224"/>
      <c r="N653" s="224"/>
      <c r="O653" s="224"/>
      <c r="P653" s="224"/>
      <c r="Q653" s="224"/>
      <c r="R653" s="224"/>
      <c r="S653" s="224"/>
      <c r="T653" s="224"/>
      <c r="U653" s="224"/>
      <c r="V653" s="224"/>
      <c r="W653" s="224"/>
      <c r="X653" s="224"/>
      <c r="Y653" s="224"/>
      <c r="Z653" s="224"/>
    </row>
    <row r="654">
      <c r="A654" s="225"/>
      <c r="B654" s="225"/>
      <c r="C654" s="225"/>
      <c r="D654" s="225"/>
      <c r="E654" s="225"/>
      <c r="F654" s="225"/>
      <c r="G654" s="225"/>
      <c r="H654" s="224"/>
      <c r="I654" s="224"/>
      <c r="J654" s="224"/>
      <c r="K654" s="224"/>
      <c r="L654" s="224"/>
      <c r="M654" s="224"/>
      <c r="N654" s="224"/>
      <c r="O654" s="224"/>
      <c r="P654" s="224"/>
      <c r="Q654" s="224"/>
      <c r="R654" s="224"/>
      <c r="S654" s="224"/>
      <c r="T654" s="224"/>
      <c r="U654" s="224"/>
      <c r="V654" s="224"/>
      <c r="W654" s="224"/>
      <c r="X654" s="224"/>
      <c r="Y654" s="224"/>
      <c r="Z654" s="224"/>
    </row>
    <row r="655">
      <c r="A655" s="225"/>
      <c r="B655" s="225"/>
      <c r="C655" s="225"/>
      <c r="D655" s="225"/>
      <c r="E655" s="225"/>
      <c r="F655" s="225"/>
      <c r="G655" s="225"/>
      <c r="H655" s="224"/>
      <c r="I655" s="224"/>
      <c r="J655" s="224"/>
      <c r="K655" s="224"/>
      <c r="L655" s="224"/>
      <c r="M655" s="224"/>
      <c r="N655" s="224"/>
      <c r="O655" s="224"/>
      <c r="P655" s="224"/>
      <c r="Q655" s="224"/>
      <c r="R655" s="224"/>
      <c r="S655" s="224"/>
      <c r="T655" s="224"/>
      <c r="U655" s="224"/>
      <c r="V655" s="224"/>
      <c r="W655" s="224"/>
      <c r="X655" s="224"/>
      <c r="Y655" s="224"/>
      <c r="Z655" s="224"/>
    </row>
    <row r="656">
      <c r="A656" s="225"/>
      <c r="B656" s="225"/>
      <c r="C656" s="225"/>
      <c r="D656" s="225"/>
      <c r="E656" s="225"/>
      <c r="F656" s="225"/>
      <c r="G656" s="225"/>
      <c r="H656" s="224"/>
      <c r="I656" s="224"/>
      <c r="J656" s="224"/>
      <c r="K656" s="224"/>
      <c r="L656" s="224"/>
      <c r="M656" s="224"/>
      <c r="N656" s="224"/>
      <c r="O656" s="224"/>
      <c r="P656" s="224"/>
      <c r="Q656" s="224"/>
      <c r="R656" s="224"/>
      <c r="S656" s="224"/>
      <c r="T656" s="224"/>
      <c r="U656" s="224"/>
      <c r="V656" s="224"/>
      <c r="W656" s="224"/>
      <c r="X656" s="224"/>
      <c r="Y656" s="224"/>
      <c r="Z656" s="224"/>
    </row>
    <row r="657">
      <c r="A657" s="225"/>
      <c r="B657" s="225"/>
      <c r="C657" s="225"/>
      <c r="D657" s="225"/>
      <c r="E657" s="225"/>
      <c r="F657" s="225"/>
      <c r="G657" s="225"/>
      <c r="H657" s="224"/>
      <c r="I657" s="224"/>
      <c r="J657" s="224"/>
      <c r="K657" s="224"/>
      <c r="L657" s="224"/>
      <c r="M657" s="224"/>
      <c r="N657" s="224"/>
      <c r="O657" s="224"/>
      <c r="P657" s="224"/>
      <c r="Q657" s="224"/>
      <c r="R657" s="224"/>
      <c r="S657" s="224"/>
      <c r="T657" s="224"/>
      <c r="U657" s="224"/>
      <c r="V657" s="224"/>
      <c r="W657" s="224"/>
      <c r="X657" s="224"/>
      <c r="Y657" s="224"/>
      <c r="Z657" s="224"/>
    </row>
    <row r="658">
      <c r="A658" s="225"/>
      <c r="B658" s="225"/>
      <c r="C658" s="225"/>
      <c r="D658" s="225"/>
      <c r="E658" s="225"/>
      <c r="F658" s="225"/>
      <c r="G658" s="225"/>
      <c r="H658" s="224"/>
      <c r="I658" s="224"/>
      <c r="J658" s="224"/>
      <c r="K658" s="224"/>
      <c r="L658" s="224"/>
      <c r="M658" s="224"/>
      <c r="N658" s="224"/>
      <c r="O658" s="224"/>
      <c r="P658" s="224"/>
      <c r="Q658" s="224"/>
      <c r="R658" s="224"/>
      <c r="S658" s="224"/>
      <c r="T658" s="224"/>
      <c r="U658" s="224"/>
      <c r="V658" s="224"/>
      <c r="W658" s="224"/>
      <c r="X658" s="224"/>
      <c r="Y658" s="224"/>
      <c r="Z658" s="224"/>
    </row>
    <row r="659">
      <c r="A659" s="225"/>
      <c r="B659" s="225"/>
      <c r="C659" s="225"/>
      <c r="D659" s="225"/>
      <c r="E659" s="225"/>
      <c r="F659" s="225"/>
      <c r="G659" s="225"/>
      <c r="H659" s="224"/>
      <c r="I659" s="224"/>
      <c r="J659" s="224"/>
      <c r="K659" s="224"/>
      <c r="L659" s="224"/>
      <c r="M659" s="224"/>
      <c r="N659" s="224"/>
      <c r="O659" s="224"/>
      <c r="P659" s="224"/>
      <c r="Q659" s="224"/>
      <c r="R659" s="224"/>
      <c r="S659" s="224"/>
      <c r="T659" s="224"/>
      <c r="U659" s="224"/>
      <c r="V659" s="224"/>
      <c r="W659" s="224"/>
      <c r="X659" s="224"/>
      <c r="Y659" s="224"/>
      <c r="Z659" s="224"/>
    </row>
    <row r="660">
      <c r="A660" s="225"/>
      <c r="B660" s="225"/>
      <c r="C660" s="225"/>
      <c r="D660" s="225"/>
      <c r="E660" s="225"/>
      <c r="F660" s="225"/>
      <c r="G660" s="225"/>
      <c r="H660" s="224"/>
      <c r="I660" s="224"/>
      <c r="J660" s="224"/>
      <c r="K660" s="224"/>
      <c r="L660" s="224"/>
      <c r="M660" s="224"/>
      <c r="N660" s="224"/>
      <c r="O660" s="224"/>
      <c r="P660" s="224"/>
      <c r="Q660" s="224"/>
      <c r="R660" s="224"/>
      <c r="S660" s="224"/>
      <c r="T660" s="224"/>
      <c r="U660" s="224"/>
      <c r="V660" s="224"/>
      <c r="W660" s="224"/>
      <c r="X660" s="224"/>
      <c r="Y660" s="224"/>
      <c r="Z660" s="224"/>
    </row>
    <row r="661">
      <c r="A661" s="225"/>
      <c r="B661" s="225"/>
      <c r="C661" s="225"/>
      <c r="D661" s="225"/>
      <c r="E661" s="225"/>
      <c r="F661" s="225"/>
      <c r="G661" s="225"/>
      <c r="H661" s="224"/>
      <c r="I661" s="224"/>
      <c r="J661" s="224"/>
      <c r="K661" s="224"/>
      <c r="L661" s="224"/>
      <c r="M661" s="224"/>
      <c r="N661" s="224"/>
      <c r="O661" s="224"/>
      <c r="P661" s="224"/>
      <c r="Q661" s="224"/>
      <c r="R661" s="224"/>
      <c r="S661" s="224"/>
      <c r="T661" s="224"/>
      <c r="U661" s="224"/>
      <c r="V661" s="224"/>
      <c r="W661" s="224"/>
      <c r="X661" s="224"/>
      <c r="Y661" s="224"/>
      <c r="Z661" s="224"/>
    </row>
    <row r="662">
      <c r="A662" s="225"/>
      <c r="B662" s="225"/>
      <c r="C662" s="225"/>
      <c r="D662" s="225"/>
      <c r="E662" s="225"/>
      <c r="F662" s="225"/>
      <c r="G662" s="225"/>
      <c r="H662" s="224"/>
      <c r="I662" s="224"/>
      <c r="J662" s="224"/>
      <c r="K662" s="224"/>
      <c r="L662" s="224"/>
      <c r="M662" s="224"/>
      <c r="N662" s="224"/>
      <c r="O662" s="224"/>
      <c r="P662" s="224"/>
      <c r="Q662" s="224"/>
      <c r="R662" s="224"/>
      <c r="S662" s="224"/>
      <c r="T662" s="224"/>
      <c r="U662" s="224"/>
      <c r="V662" s="224"/>
      <c r="W662" s="224"/>
      <c r="X662" s="224"/>
      <c r="Y662" s="224"/>
      <c r="Z662" s="224"/>
    </row>
    <row r="663">
      <c r="A663" s="225"/>
      <c r="B663" s="225"/>
      <c r="C663" s="225"/>
      <c r="D663" s="225"/>
      <c r="E663" s="225"/>
      <c r="F663" s="225"/>
      <c r="G663" s="225"/>
      <c r="H663" s="224"/>
      <c r="I663" s="224"/>
      <c r="J663" s="224"/>
      <c r="K663" s="224"/>
      <c r="L663" s="224"/>
      <c r="M663" s="224"/>
      <c r="N663" s="224"/>
      <c r="O663" s="224"/>
      <c r="P663" s="224"/>
      <c r="Q663" s="224"/>
      <c r="R663" s="224"/>
      <c r="S663" s="224"/>
      <c r="T663" s="224"/>
      <c r="U663" s="224"/>
      <c r="V663" s="224"/>
      <c r="W663" s="224"/>
      <c r="X663" s="224"/>
      <c r="Y663" s="224"/>
      <c r="Z663" s="224"/>
    </row>
    <row r="664">
      <c r="A664" s="225"/>
      <c r="B664" s="225"/>
      <c r="C664" s="225"/>
      <c r="D664" s="225"/>
      <c r="E664" s="225"/>
      <c r="F664" s="225"/>
      <c r="G664" s="225"/>
      <c r="H664" s="224"/>
      <c r="I664" s="224"/>
      <c r="J664" s="224"/>
      <c r="K664" s="224"/>
      <c r="L664" s="224"/>
      <c r="M664" s="224"/>
      <c r="N664" s="224"/>
      <c r="O664" s="224"/>
      <c r="P664" s="224"/>
      <c r="Q664" s="224"/>
      <c r="R664" s="224"/>
      <c r="S664" s="224"/>
      <c r="T664" s="224"/>
      <c r="U664" s="224"/>
      <c r="V664" s="224"/>
      <c r="W664" s="224"/>
      <c r="X664" s="224"/>
      <c r="Y664" s="224"/>
      <c r="Z664" s="224"/>
    </row>
    <row r="665">
      <c r="A665" s="225"/>
      <c r="B665" s="225"/>
      <c r="C665" s="225"/>
      <c r="D665" s="225"/>
      <c r="E665" s="225"/>
      <c r="F665" s="225"/>
      <c r="G665" s="225"/>
      <c r="H665" s="224"/>
      <c r="I665" s="224"/>
      <c r="J665" s="224"/>
      <c r="K665" s="224"/>
      <c r="L665" s="224"/>
      <c r="M665" s="224"/>
      <c r="N665" s="224"/>
      <c r="O665" s="224"/>
      <c r="P665" s="224"/>
      <c r="Q665" s="224"/>
      <c r="R665" s="224"/>
      <c r="S665" s="224"/>
      <c r="T665" s="224"/>
      <c r="U665" s="224"/>
      <c r="V665" s="224"/>
      <c r="W665" s="224"/>
      <c r="X665" s="224"/>
      <c r="Y665" s="224"/>
      <c r="Z665" s="224"/>
    </row>
    <row r="666">
      <c r="A666" s="225"/>
      <c r="B666" s="225"/>
      <c r="C666" s="225"/>
      <c r="D666" s="225"/>
      <c r="E666" s="225"/>
      <c r="F666" s="225"/>
      <c r="G666" s="225"/>
      <c r="H666" s="224"/>
      <c r="I666" s="224"/>
      <c r="J666" s="224"/>
      <c r="K666" s="224"/>
      <c r="L666" s="224"/>
      <c r="M666" s="224"/>
      <c r="N666" s="224"/>
      <c r="O666" s="224"/>
      <c r="P666" s="224"/>
      <c r="Q666" s="224"/>
      <c r="R666" s="224"/>
      <c r="S666" s="224"/>
      <c r="T666" s="224"/>
      <c r="U666" s="224"/>
      <c r="V666" s="224"/>
      <c r="W666" s="224"/>
      <c r="X666" s="224"/>
      <c r="Y666" s="224"/>
      <c r="Z666" s="224"/>
    </row>
    <row r="667">
      <c r="A667" s="225"/>
      <c r="B667" s="225"/>
      <c r="C667" s="225"/>
      <c r="D667" s="225"/>
      <c r="E667" s="225"/>
      <c r="F667" s="225"/>
      <c r="G667" s="225"/>
      <c r="H667" s="224"/>
      <c r="I667" s="224"/>
      <c r="J667" s="224"/>
      <c r="K667" s="224"/>
      <c r="L667" s="224"/>
      <c r="M667" s="224"/>
      <c r="N667" s="224"/>
      <c r="O667" s="224"/>
      <c r="P667" s="224"/>
      <c r="Q667" s="224"/>
      <c r="R667" s="224"/>
      <c r="S667" s="224"/>
      <c r="T667" s="224"/>
      <c r="U667" s="224"/>
      <c r="V667" s="224"/>
      <c r="W667" s="224"/>
      <c r="X667" s="224"/>
      <c r="Y667" s="224"/>
      <c r="Z667" s="224"/>
    </row>
    <row r="668">
      <c r="A668" s="225"/>
      <c r="B668" s="225"/>
      <c r="C668" s="225"/>
      <c r="D668" s="225"/>
      <c r="E668" s="225"/>
      <c r="F668" s="225"/>
      <c r="G668" s="225"/>
      <c r="H668" s="224"/>
      <c r="I668" s="224"/>
      <c r="J668" s="224"/>
      <c r="K668" s="224"/>
      <c r="L668" s="224"/>
      <c r="M668" s="224"/>
      <c r="N668" s="224"/>
      <c r="O668" s="224"/>
      <c r="P668" s="224"/>
      <c r="Q668" s="224"/>
      <c r="R668" s="224"/>
      <c r="S668" s="224"/>
      <c r="T668" s="224"/>
      <c r="U668" s="224"/>
      <c r="V668" s="224"/>
      <c r="W668" s="224"/>
      <c r="X668" s="224"/>
      <c r="Y668" s="224"/>
      <c r="Z668" s="224"/>
    </row>
    <row r="669">
      <c r="A669" s="225"/>
      <c r="B669" s="225"/>
      <c r="C669" s="225"/>
      <c r="D669" s="225"/>
      <c r="E669" s="225"/>
      <c r="F669" s="225"/>
      <c r="G669" s="225"/>
      <c r="H669" s="224"/>
      <c r="I669" s="224"/>
      <c r="J669" s="224"/>
      <c r="K669" s="224"/>
      <c r="L669" s="224"/>
      <c r="M669" s="224"/>
      <c r="N669" s="224"/>
      <c r="O669" s="224"/>
      <c r="P669" s="224"/>
      <c r="Q669" s="224"/>
      <c r="R669" s="224"/>
      <c r="S669" s="224"/>
      <c r="T669" s="224"/>
      <c r="U669" s="224"/>
      <c r="V669" s="224"/>
      <c r="W669" s="224"/>
      <c r="X669" s="224"/>
      <c r="Y669" s="224"/>
      <c r="Z669" s="224"/>
    </row>
    <row r="670">
      <c r="A670" s="225"/>
      <c r="B670" s="225"/>
      <c r="C670" s="225"/>
      <c r="D670" s="225"/>
      <c r="E670" s="225"/>
      <c r="F670" s="225"/>
      <c r="G670" s="225"/>
      <c r="H670" s="224"/>
      <c r="I670" s="224"/>
      <c r="J670" s="224"/>
      <c r="K670" s="224"/>
      <c r="L670" s="224"/>
      <c r="M670" s="224"/>
      <c r="N670" s="224"/>
      <c r="O670" s="224"/>
      <c r="P670" s="224"/>
      <c r="Q670" s="224"/>
      <c r="R670" s="224"/>
      <c r="S670" s="224"/>
      <c r="T670" s="224"/>
      <c r="U670" s="224"/>
      <c r="V670" s="224"/>
      <c r="W670" s="224"/>
      <c r="X670" s="224"/>
      <c r="Y670" s="224"/>
      <c r="Z670" s="224"/>
    </row>
    <row r="671">
      <c r="A671" s="225"/>
      <c r="B671" s="225"/>
      <c r="C671" s="225"/>
      <c r="D671" s="225"/>
      <c r="E671" s="225"/>
      <c r="F671" s="225"/>
      <c r="G671" s="225"/>
      <c r="H671" s="224"/>
      <c r="I671" s="224"/>
      <c r="J671" s="224"/>
      <c r="K671" s="224"/>
      <c r="L671" s="224"/>
      <c r="M671" s="224"/>
      <c r="N671" s="224"/>
      <c r="O671" s="224"/>
      <c r="P671" s="224"/>
      <c r="Q671" s="224"/>
      <c r="R671" s="224"/>
      <c r="S671" s="224"/>
      <c r="T671" s="224"/>
      <c r="U671" s="224"/>
      <c r="V671" s="224"/>
      <c r="W671" s="224"/>
      <c r="X671" s="224"/>
      <c r="Y671" s="224"/>
      <c r="Z671" s="224"/>
    </row>
    <row r="672">
      <c r="A672" s="225"/>
      <c r="B672" s="225"/>
      <c r="C672" s="225"/>
      <c r="D672" s="225"/>
      <c r="E672" s="225"/>
      <c r="F672" s="225"/>
      <c r="G672" s="225"/>
      <c r="H672" s="224"/>
      <c r="I672" s="224"/>
      <c r="J672" s="224"/>
      <c r="K672" s="224"/>
      <c r="L672" s="224"/>
      <c r="M672" s="224"/>
      <c r="N672" s="224"/>
      <c r="O672" s="224"/>
      <c r="P672" s="224"/>
      <c r="Q672" s="224"/>
      <c r="R672" s="224"/>
      <c r="S672" s="224"/>
      <c r="T672" s="224"/>
      <c r="U672" s="224"/>
      <c r="V672" s="224"/>
      <c r="W672" s="224"/>
      <c r="X672" s="224"/>
      <c r="Y672" s="224"/>
      <c r="Z672" s="224"/>
    </row>
    <row r="673">
      <c r="A673" s="225"/>
      <c r="B673" s="225"/>
      <c r="C673" s="225"/>
      <c r="D673" s="225"/>
      <c r="E673" s="225"/>
      <c r="F673" s="225"/>
      <c r="G673" s="225"/>
      <c r="H673" s="224"/>
      <c r="I673" s="224"/>
      <c r="J673" s="224"/>
      <c r="K673" s="224"/>
      <c r="L673" s="224"/>
      <c r="M673" s="224"/>
      <c r="N673" s="224"/>
      <c r="O673" s="224"/>
      <c r="P673" s="224"/>
      <c r="Q673" s="224"/>
      <c r="R673" s="224"/>
      <c r="S673" s="224"/>
      <c r="T673" s="224"/>
      <c r="U673" s="224"/>
      <c r="V673" s="224"/>
      <c r="W673" s="224"/>
      <c r="X673" s="224"/>
      <c r="Y673" s="224"/>
      <c r="Z673" s="224"/>
    </row>
    <row r="674">
      <c r="A674" s="225"/>
      <c r="B674" s="225"/>
      <c r="C674" s="225"/>
      <c r="D674" s="225"/>
      <c r="E674" s="225"/>
      <c r="F674" s="225"/>
      <c r="G674" s="225"/>
      <c r="H674" s="224"/>
      <c r="I674" s="224"/>
      <c r="J674" s="224"/>
      <c r="K674" s="224"/>
      <c r="L674" s="224"/>
      <c r="M674" s="224"/>
      <c r="N674" s="224"/>
      <c r="O674" s="224"/>
      <c r="P674" s="224"/>
      <c r="Q674" s="224"/>
      <c r="R674" s="224"/>
      <c r="S674" s="224"/>
      <c r="T674" s="224"/>
      <c r="U674" s="224"/>
      <c r="V674" s="224"/>
      <c r="W674" s="224"/>
      <c r="X674" s="224"/>
      <c r="Y674" s="224"/>
      <c r="Z674" s="224"/>
    </row>
    <row r="675">
      <c r="A675" s="225"/>
      <c r="B675" s="225"/>
      <c r="C675" s="225"/>
      <c r="D675" s="225"/>
      <c r="E675" s="225"/>
      <c r="F675" s="225"/>
      <c r="G675" s="225"/>
      <c r="H675" s="224"/>
      <c r="I675" s="224"/>
      <c r="J675" s="224"/>
      <c r="K675" s="224"/>
      <c r="L675" s="224"/>
      <c r="M675" s="224"/>
      <c r="N675" s="224"/>
      <c r="O675" s="224"/>
      <c r="P675" s="224"/>
      <c r="Q675" s="224"/>
      <c r="R675" s="224"/>
      <c r="S675" s="224"/>
      <c r="T675" s="224"/>
      <c r="U675" s="224"/>
      <c r="V675" s="224"/>
      <c r="W675" s="224"/>
      <c r="X675" s="224"/>
      <c r="Y675" s="224"/>
      <c r="Z675" s="224"/>
    </row>
    <row r="676">
      <c r="A676" s="225"/>
      <c r="B676" s="225"/>
      <c r="C676" s="225"/>
      <c r="D676" s="225"/>
      <c r="E676" s="225"/>
      <c r="F676" s="225"/>
      <c r="G676" s="225"/>
      <c r="H676" s="224"/>
      <c r="I676" s="224"/>
      <c r="J676" s="224"/>
      <c r="K676" s="224"/>
      <c r="L676" s="224"/>
      <c r="M676" s="224"/>
      <c r="N676" s="224"/>
      <c r="O676" s="224"/>
      <c r="P676" s="224"/>
      <c r="Q676" s="224"/>
      <c r="R676" s="224"/>
      <c r="S676" s="224"/>
      <c r="T676" s="224"/>
      <c r="U676" s="224"/>
      <c r="V676" s="224"/>
      <c r="W676" s="224"/>
      <c r="X676" s="224"/>
      <c r="Y676" s="224"/>
      <c r="Z676" s="224"/>
    </row>
    <row r="677">
      <c r="A677" s="225"/>
      <c r="B677" s="225"/>
      <c r="C677" s="225"/>
      <c r="D677" s="225"/>
      <c r="E677" s="225"/>
      <c r="F677" s="225"/>
      <c r="G677" s="225"/>
      <c r="H677" s="224"/>
      <c r="I677" s="224"/>
      <c r="J677" s="224"/>
      <c r="K677" s="224"/>
      <c r="L677" s="224"/>
      <c r="M677" s="224"/>
      <c r="N677" s="224"/>
      <c r="O677" s="224"/>
      <c r="P677" s="224"/>
      <c r="Q677" s="224"/>
      <c r="R677" s="224"/>
      <c r="S677" s="224"/>
      <c r="T677" s="224"/>
      <c r="U677" s="224"/>
      <c r="V677" s="224"/>
      <c r="W677" s="224"/>
      <c r="X677" s="224"/>
      <c r="Y677" s="224"/>
      <c r="Z677" s="224"/>
    </row>
    <row r="678">
      <c r="A678" s="225"/>
      <c r="B678" s="225"/>
      <c r="C678" s="225"/>
      <c r="D678" s="225"/>
      <c r="E678" s="225"/>
      <c r="F678" s="225"/>
      <c r="G678" s="225"/>
      <c r="H678" s="224"/>
      <c r="I678" s="224"/>
      <c r="J678" s="224"/>
      <c r="K678" s="224"/>
      <c r="L678" s="224"/>
      <c r="M678" s="224"/>
      <c r="N678" s="224"/>
      <c r="O678" s="224"/>
      <c r="P678" s="224"/>
      <c r="Q678" s="224"/>
      <c r="R678" s="224"/>
      <c r="S678" s="224"/>
      <c r="T678" s="224"/>
      <c r="U678" s="224"/>
      <c r="V678" s="224"/>
      <c r="W678" s="224"/>
      <c r="X678" s="224"/>
      <c r="Y678" s="224"/>
      <c r="Z678" s="224"/>
    </row>
    <row r="679">
      <c r="A679" s="225"/>
      <c r="B679" s="225"/>
      <c r="C679" s="225"/>
      <c r="D679" s="225"/>
      <c r="E679" s="225"/>
      <c r="F679" s="225"/>
      <c r="G679" s="225"/>
      <c r="H679" s="224"/>
      <c r="I679" s="224"/>
      <c r="J679" s="224"/>
      <c r="K679" s="224"/>
      <c r="L679" s="224"/>
      <c r="M679" s="224"/>
      <c r="N679" s="224"/>
      <c r="O679" s="224"/>
      <c r="P679" s="224"/>
      <c r="Q679" s="224"/>
      <c r="R679" s="224"/>
      <c r="S679" s="224"/>
      <c r="T679" s="224"/>
      <c r="U679" s="224"/>
      <c r="V679" s="224"/>
      <c r="W679" s="224"/>
      <c r="X679" s="224"/>
      <c r="Y679" s="224"/>
      <c r="Z679" s="224"/>
    </row>
    <row r="680">
      <c r="A680" s="225"/>
      <c r="B680" s="225"/>
      <c r="C680" s="225"/>
      <c r="D680" s="225"/>
      <c r="E680" s="225"/>
      <c r="F680" s="225"/>
      <c r="G680" s="225"/>
      <c r="H680" s="224"/>
      <c r="I680" s="224"/>
      <c r="J680" s="224"/>
      <c r="K680" s="224"/>
      <c r="L680" s="224"/>
      <c r="M680" s="224"/>
      <c r="N680" s="224"/>
      <c r="O680" s="224"/>
      <c r="P680" s="224"/>
      <c r="Q680" s="224"/>
      <c r="R680" s="224"/>
      <c r="S680" s="224"/>
      <c r="T680" s="224"/>
      <c r="U680" s="224"/>
      <c r="V680" s="224"/>
      <c r="W680" s="224"/>
      <c r="X680" s="224"/>
      <c r="Y680" s="224"/>
      <c r="Z680" s="224"/>
    </row>
    <row r="681">
      <c r="A681" s="225"/>
      <c r="B681" s="225"/>
      <c r="C681" s="225"/>
      <c r="D681" s="225"/>
      <c r="E681" s="225"/>
      <c r="F681" s="225"/>
      <c r="G681" s="225"/>
      <c r="H681" s="224"/>
      <c r="I681" s="224"/>
      <c r="J681" s="224"/>
      <c r="K681" s="224"/>
      <c r="L681" s="224"/>
      <c r="M681" s="224"/>
      <c r="N681" s="224"/>
      <c r="O681" s="224"/>
      <c r="P681" s="224"/>
      <c r="Q681" s="224"/>
      <c r="R681" s="224"/>
      <c r="S681" s="224"/>
      <c r="T681" s="224"/>
      <c r="U681" s="224"/>
      <c r="V681" s="224"/>
      <c r="W681" s="224"/>
      <c r="X681" s="224"/>
      <c r="Y681" s="224"/>
      <c r="Z681" s="224"/>
    </row>
    <row r="682">
      <c r="A682" s="225"/>
      <c r="B682" s="225"/>
      <c r="C682" s="225"/>
      <c r="D682" s="225"/>
      <c r="E682" s="225"/>
      <c r="F682" s="225"/>
      <c r="G682" s="225"/>
      <c r="H682" s="224"/>
      <c r="I682" s="224"/>
      <c r="J682" s="224"/>
      <c r="K682" s="224"/>
      <c r="L682" s="224"/>
      <c r="M682" s="224"/>
      <c r="N682" s="224"/>
      <c r="O682" s="224"/>
      <c r="P682" s="224"/>
      <c r="Q682" s="224"/>
      <c r="R682" s="224"/>
      <c r="S682" s="224"/>
      <c r="T682" s="224"/>
      <c r="U682" s="224"/>
      <c r="V682" s="224"/>
      <c r="W682" s="224"/>
      <c r="X682" s="224"/>
      <c r="Y682" s="224"/>
      <c r="Z682" s="224"/>
    </row>
    <row r="683">
      <c r="A683" s="225"/>
      <c r="B683" s="225"/>
      <c r="C683" s="225"/>
      <c r="D683" s="225"/>
      <c r="E683" s="225"/>
      <c r="F683" s="225"/>
      <c r="G683" s="225"/>
      <c r="H683" s="224"/>
      <c r="I683" s="224"/>
      <c r="J683" s="224"/>
      <c r="K683" s="224"/>
      <c r="L683" s="224"/>
      <c r="M683" s="224"/>
      <c r="N683" s="224"/>
      <c r="O683" s="224"/>
      <c r="P683" s="224"/>
      <c r="Q683" s="224"/>
      <c r="R683" s="224"/>
      <c r="S683" s="224"/>
      <c r="T683" s="224"/>
      <c r="U683" s="224"/>
      <c r="V683" s="224"/>
      <c r="W683" s="224"/>
      <c r="X683" s="224"/>
      <c r="Y683" s="224"/>
      <c r="Z683" s="224"/>
    </row>
    <row r="684">
      <c r="A684" s="225"/>
      <c r="B684" s="225"/>
      <c r="C684" s="225"/>
      <c r="D684" s="225"/>
      <c r="E684" s="225"/>
      <c r="F684" s="225"/>
      <c r="G684" s="225"/>
      <c r="H684" s="224"/>
      <c r="I684" s="224"/>
      <c r="J684" s="224"/>
      <c r="K684" s="224"/>
      <c r="L684" s="224"/>
      <c r="M684" s="224"/>
      <c r="N684" s="224"/>
      <c r="O684" s="224"/>
      <c r="P684" s="224"/>
      <c r="Q684" s="224"/>
      <c r="R684" s="224"/>
      <c r="S684" s="224"/>
      <c r="T684" s="224"/>
      <c r="U684" s="224"/>
      <c r="V684" s="224"/>
      <c r="W684" s="224"/>
      <c r="X684" s="224"/>
      <c r="Y684" s="224"/>
      <c r="Z684" s="224"/>
    </row>
    <row r="685">
      <c r="A685" s="225"/>
      <c r="B685" s="225"/>
      <c r="C685" s="225"/>
      <c r="D685" s="225"/>
      <c r="E685" s="225"/>
      <c r="F685" s="225"/>
      <c r="G685" s="225"/>
      <c r="H685" s="224"/>
      <c r="I685" s="224"/>
      <c r="J685" s="224"/>
      <c r="K685" s="224"/>
      <c r="L685" s="224"/>
      <c r="M685" s="224"/>
      <c r="N685" s="224"/>
      <c r="O685" s="224"/>
      <c r="P685" s="224"/>
      <c r="Q685" s="224"/>
      <c r="R685" s="224"/>
      <c r="S685" s="224"/>
      <c r="T685" s="224"/>
      <c r="U685" s="224"/>
      <c r="V685" s="224"/>
      <c r="W685" s="224"/>
      <c r="X685" s="224"/>
      <c r="Y685" s="224"/>
      <c r="Z685" s="224"/>
    </row>
    <row r="686">
      <c r="A686" s="225"/>
      <c r="B686" s="225"/>
      <c r="C686" s="225"/>
      <c r="D686" s="225"/>
      <c r="E686" s="225"/>
      <c r="F686" s="225"/>
      <c r="G686" s="225"/>
      <c r="H686" s="224"/>
      <c r="I686" s="224"/>
      <c r="J686" s="224"/>
      <c r="K686" s="224"/>
      <c r="L686" s="224"/>
      <c r="M686" s="224"/>
      <c r="N686" s="224"/>
      <c r="O686" s="224"/>
      <c r="P686" s="224"/>
      <c r="Q686" s="224"/>
      <c r="R686" s="224"/>
      <c r="S686" s="224"/>
      <c r="T686" s="224"/>
      <c r="U686" s="224"/>
      <c r="V686" s="224"/>
      <c r="W686" s="224"/>
      <c r="X686" s="224"/>
      <c r="Y686" s="224"/>
      <c r="Z686" s="224"/>
    </row>
    <row r="687">
      <c r="A687" s="225"/>
      <c r="B687" s="225"/>
      <c r="C687" s="225"/>
      <c r="D687" s="225"/>
      <c r="E687" s="225"/>
      <c r="F687" s="225"/>
      <c r="G687" s="225"/>
      <c r="H687" s="224"/>
      <c r="I687" s="224"/>
      <c r="J687" s="224"/>
      <c r="K687" s="224"/>
      <c r="L687" s="224"/>
      <c r="M687" s="224"/>
      <c r="N687" s="224"/>
      <c r="O687" s="224"/>
      <c r="P687" s="224"/>
      <c r="Q687" s="224"/>
      <c r="R687" s="224"/>
      <c r="S687" s="224"/>
      <c r="T687" s="224"/>
      <c r="U687" s="224"/>
      <c r="V687" s="224"/>
      <c r="W687" s="224"/>
      <c r="X687" s="224"/>
      <c r="Y687" s="224"/>
      <c r="Z687" s="224"/>
    </row>
    <row r="688">
      <c r="A688" s="225"/>
      <c r="B688" s="225"/>
      <c r="C688" s="225"/>
      <c r="D688" s="225"/>
      <c r="E688" s="225"/>
      <c r="F688" s="225"/>
      <c r="G688" s="225"/>
      <c r="H688" s="224"/>
      <c r="I688" s="224"/>
      <c r="J688" s="224"/>
      <c r="K688" s="224"/>
      <c r="L688" s="224"/>
      <c r="M688" s="224"/>
      <c r="N688" s="224"/>
      <c r="O688" s="224"/>
      <c r="P688" s="224"/>
      <c r="Q688" s="224"/>
      <c r="R688" s="224"/>
      <c r="S688" s="224"/>
      <c r="T688" s="224"/>
      <c r="U688" s="224"/>
      <c r="V688" s="224"/>
      <c r="W688" s="224"/>
      <c r="X688" s="224"/>
      <c r="Y688" s="224"/>
      <c r="Z688" s="224"/>
    </row>
    <row r="689">
      <c r="A689" s="225"/>
      <c r="B689" s="225"/>
      <c r="C689" s="225"/>
      <c r="D689" s="225"/>
      <c r="E689" s="225"/>
      <c r="F689" s="225"/>
      <c r="G689" s="225"/>
      <c r="H689" s="224"/>
      <c r="I689" s="224"/>
      <c r="J689" s="224"/>
      <c r="K689" s="224"/>
      <c r="L689" s="224"/>
      <c r="M689" s="224"/>
      <c r="N689" s="224"/>
      <c r="O689" s="224"/>
      <c r="P689" s="224"/>
      <c r="Q689" s="224"/>
      <c r="R689" s="224"/>
      <c r="S689" s="224"/>
      <c r="T689" s="224"/>
      <c r="U689" s="224"/>
      <c r="V689" s="224"/>
      <c r="W689" s="224"/>
      <c r="X689" s="224"/>
      <c r="Y689" s="224"/>
      <c r="Z689" s="224"/>
    </row>
    <row r="690">
      <c r="A690" s="225"/>
      <c r="B690" s="225"/>
      <c r="C690" s="225"/>
      <c r="D690" s="225"/>
      <c r="E690" s="225"/>
      <c r="F690" s="225"/>
      <c r="G690" s="225"/>
      <c r="H690" s="224"/>
      <c r="I690" s="224"/>
      <c r="J690" s="224"/>
      <c r="K690" s="224"/>
      <c r="L690" s="224"/>
      <c r="M690" s="224"/>
      <c r="N690" s="224"/>
      <c r="O690" s="224"/>
      <c r="P690" s="224"/>
      <c r="Q690" s="224"/>
      <c r="R690" s="224"/>
      <c r="S690" s="224"/>
      <c r="T690" s="224"/>
      <c r="U690" s="224"/>
      <c r="V690" s="224"/>
      <c r="W690" s="224"/>
      <c r="X690" s="224"/>
      <c r="Y690" s="224"/>
      <c r="Z690" s="224"/>
    </row>
    <row r="691">
      <c r="A691" s="225"/>
      <c r="B691" s="225"/>
      <c r="C691" s="225"/>
      <c r="D691" s="225"/>
      <c r="E691" s="225"/>
      <c r="F691" s="225"/>
      <c r="G691" s="225"/>
      <c r="H691" s="224"/>
      <c r="I691" s="224"/>
      <c r="J691" s="224"/>
      <c r="K691" s="224"/>
      <c r="L691" s="224"/>
      <c r="M691" s="224"/>
      <c r="N691" s="224"/>
      <c r="O691" s="224"/>
      <c r="P691" s="224"/>
      <c r="Q691" s="224"/>
      <c r="R691" s="224"/>
      <c r="S691" s="224"/>
      <c r="T691" s="224"/>
      <c r="U691" s="224"/>
      <c r="V691" s="224"/>
      <c r="W691" s="224"/>
      <c r="X691" s="224"/>
      <c r="Y691" s="224"/>
      <c r="Z691" s="224"/>
    </row>
    <row r="692">
      <c r="A692" s="225"/>
      <c r="B692" s="225"/>
      <c r="C692" s="225"/>
      <c r="D692" s="225"/>
      <c r="E692" s="225"/>
      <c r="F692" s="225"/>
      <c r="G692" s="225"/>
      <c r="H692" s="224"/>
      <c r="I692" s="224"/>
      <c r="J692" s="224"/>
      <c r="K692" s="224"/>
      <c r="L692" s="224"/>
      <c r="M692" s="224"/>
      <c r="N692" s="224"/>
      <c r="O692" s="224"/>
      <c r="P692" s="224"/>
      <c r="Q692" s="224"/>
      <c r="R692" s="224"/>
      <c r="S692" s="224"/>
      <c r="T692" s="224"/>
      <c r="U692" s="224"/>
      <c r="V692" s="224"/>
      <c r="W692" s="224"/>
      <c r="X692" s="224"/>
      <c r="Y692" s="224"/>
      <c r="Z692" s="224"/>
    </row>
    <row r="693">
      <c r="A693" s="225"/>
      <c r="B693" s="225"/>
      <c r="C693" s="225"/>
      <c r="D693" s="225"/>
      <c r="E693" s="225"/>
      <c r="F693" s="225"/>
      <c r="G693" s="225"/>
      <c r="H693" s="224"/>
      <c r="I693" s="224"/>
      <c r="J693" s="224"/>
      <c r="K693" s="224"/>
      <c r="L693" s="224"/>
      <c r="M693" s="224"/>
      <c r="N693" s="224"/>
      <c r="O693" s="224"/>
      <c r="P693" s="224"/>
      <c r="Q693" s="224"/>
      <c r="R693" s="224"/>
      <c r="S693" s="224"/>
      <c r="T693" s="224"/>
      <c r="U693" s="224"/>
      <c r="V693" s="224"/>
      <c r="W693" s="224"/>
      <c r="X693" s="224"/>
      <c r="Y693" s="224"/>
      <c r="Z693" s="224"/>
    </row>
    <row r="694">
      <c r="A694" s="225"/>
      <c r="B694" s="225"/>
      <c r="C694" s="225"/>
      <c r="D694" s="225"/>
      <c r="E694" s="225"/>
      <c r="F694" s="225"/>
      <c r="G694" s="225"/>
      <c r="H694" s="224"/>
      <c r="I694" s="224"/>
      <c r="J694" s="224"/>
      <c r="K694" s="224"/>
      <c r="L694" s="224"/>
      <c r="M694" s="224"/>
      <c r="N694" s="224"/>
      <c r="O694" s="224"/>
      <c r="P694" s="224"/>
      <c r="Q694" s="224"/>
      <c r="R694" s="224"/>
      <c r="S694" s="224"/>
      <c r="T694" s="224"/>
      <c r="U694" s="224"/>
      <c r="V694" s="224"/>
      <c r="W694" s="224"/>
      <c r="X694" s="224"/>
      <c r="Y694" s="224"/>
      <c r="Z694" s="224"/>
    </row>
    <row r="695">
      <c r="A695" s="225"/>
      <c r="B695" s="225"/>
      <c r="C695" s="225"/>
      <c r="D695" s="225"/>
      <c r="E695" s="225"/>
      <c r="F695" s="225"/>
      <c r="G695" s="225"/>
      <c r="H695" s="224"/>
      <c r="I695" s="224"/>
      <c r="J695" s="224"/>
      <c r="K695" s="224"/>
      <c r="L695" s="224"/>
      <c r="M695" s="224"/>
      <c r="N695" s="224"/>
      <c r="O695" s="224"/>
      <c r="P695" s="224"/>
      <c r="Q695" s="224"/>
      <c r="R695" s="224"/>
      <c r="S695" s="224"/>
      <c r="T695" s="224"/>
      <c r="U695" s="224"/>
      <c r="V695" s="224"/>
      <c r="W695" s="224"/>
      <c r="X695" s="224"/>
      <c r="Y695" s="224"/>
      <c r="Z695" s="224"/>
    </row>
    <row r="696">
      <c r="A696" s="225"/>
      <c r="B696" s="225"/>
      <c r="C696" s="225"/>
      <c r="D696" s="225"/>
      <c r="E696" s="225"/>
      <c r="F696" s="225"/>
      <c r="G696" s="225"/>
      <c r="H696" s="224"/>
      <c r="I696" s="224"/>
      <c r="J696" s="224"/>
      <c r="K696" s="224"/>
      <c r="L696" s="224"/>
      <c r="M696" s="224"/>
      <c r="N696" s="224"/>
      <c r="O696" s="224"/>
      <c r="P696" s="224"/>
      <c r="Q696" s="224"/>
      <c r="R696" s="224"/>
      <c r="S696" s="224"/>
      <c r="T696" s="224"/>
      <c r="U696" s="224"/>
      <c r="V696" s="224"/>
      <c r="W696" s="224"/>
      <c r="X696" s="224"/>
      <c r="Y696" s="224"/>
      <c r="Z696" s="224"/>
    </row>
    <row r="697">
      <c r="A697" s="225"/>
      <c r="B697" s="225"/>
      <c r="C697" s="225"/>
      <c r="D697" s="225"/>
      <c r="E697" s="225"/>
      <c r="F697" s="225"/>
      <c r="G697" s="225"/>
      <c r="H697" s="224"/>
      <c r="I697" s="224"/>
      <c r="J697" s="224"/>
      <c r="K697" s="224"/>
      <c r="L697" s="224"/>
      <c r="M697" s="224"/>
      <c r="N697" s="224"/>
      <c r="O697" s="224"/>
      <c r="P697" s="224"/>
      <c r="Q697" s="224"/>
      <c r="R697" s="224"/>
      <c r="S697" s="224"/>
      <c r="T697" s="224"/>
      <c r="U697" s="224"/>
      <c r="V697" s="224"/>
      <c r="W697" s="224"/>
      <c r="X697" s="224"/>
      <c r="Y697" s="224"/>
      <c r="Z697" s="224"/>
    </row>
    <row r="698">
      <c r="A698" s="225"/>
      <c r="B698" s="225"/>
      <c r="C698" s="225"/>
      <c r="D698" s="225"/>
      <c r="E698" s="225"/>
      <c r="F698" s="225"/>
      <c r="G698" s="225"/>
      <c r="H698" s="224"/>
      <c r="I698" s="224"/>
      <c r="J698" s="224"/>
      <c r="K698" s="224"/>
      <c r="L698" s="224"/>
      <c r="M698" s="224"/>
      <c r="N698" s="224"/>
      <c r="O698" s="224"/>
      <c r="P698" s="224"/>
      <c r="Q698" s="224"/>
      <c r="R698" s="224"/>
      <c r="S698" s="224"/>
      <c r="T698" s="224"/>
      <c r="U698" s="224"/>
      <c r="V698" s="224"/>
      <c r="W698" s="224"/>
      <c r="X698" s="224"/>
      <c r="Y698" s="224"/>
      <c r="Z698" s="224"/>
    </row>
    <row r="699">
      <c r="A699" s="225"/>
      <c r="B699" s="225"/>
      <c r="C699" s="225"/>
      <c r="D699" s="225"/>
      <c r="E699" s="225"/>
      <c r="F699" s="225"/>
      <c r="G699" s="225"/>
      <c r="H699" s="224"/>
      <c r="I699" s="224"/>
      <c r="J699" s="224"/>
      <c r="K699" s="224"/>
      <c r="L699" s="224"/>
      <c r="M699" s="224"/>
      <c r="N699" s="224"/>
      <c r="O699" s="224"/>
      <c r="P699" s="224"/>
      <c r="Q699" s="224"/>
      <c r="R699" s="224"/>
      <c r="S699" s="224"/>
      <c r="T699" s="224"/>
      <c r="U699" s="224"/>
      <c r="V699" s="224"/>
      <c r="W699" s="224"/>
      <c r="X699" s="224"/>
      <c r="Y699" s="224"/>
      <c r="Z699" s="224"/>
    </row>
    <row r="700">
      <c r="A700" s="225"/>
      <c r="B700" s="225"/>
      <c r="C700" s="225"/>
      <c r="D700" s="225"/>
      <c r="E700" s="225"/>
      <c r="F700" s="225"/>
      <c r="G700" s="225"/>
      <c r="H700" s="224"/>
      <c r="I700" s="224"/>
      <c r="J700" s="224"/>
      <c r="K700" s="224"/>
      <c r="L700" s="224"/>
      <c r="M700" s="224"/>
      <c r="N700" s="224"/>
      <c r="O700" s="224"/>
      <c r="P700" s="224"/>
      <c r="Q700" s="224"/>
      <c r="R700" s="224"/>
      <c r="S700" s="224"/>
      <c r="T700" s="224"/>
      <c r="U700" s="224"/>
      <c r="V700" s="224"/>
      <c r="W700" s="224"/>
      <c r="X700" s="224"/>
      <c r="Y700" s="224"/>
      <c r="Z700" s="224"/>
    </row>
    <row r="701">
      <c r="A701" s="225"/>
      <c r="B701" s="225"/>
      <c r="C701" s="225"/>
      <c r="D701" s="225"/>
      <c r="E701" s="225"/>
      <c r="F701" s="225"/>
      <c r="G701" s="225"/>
      <c r="H701" s="224"/>
      <c r="I701" s="224"/>
      <c r="J701" s="224"/>
      <c r="K701" s="224"/>
      <c r="L701" s="224"/>
      <c r="M701" s="224"/>
      <c r="N701" s="224"/>
      <c r="O701" s="224"/>
      <c r="P701" s="224"/>
      <c r="Q701" s="224"/>
      <c r="R701" s="224"/>
      <c r="S701" s="224"/>
      <c r="T701" s="224"/>
      <c r="U701" s="224"/>
      <c r="V701" s="224"/>
      <c r="W701" s="224"/>
      <c r="X701" s="224"/>
      <c r="Y701" s="224"/>
      <c r="Z701" s="224"/>
    </row>
    <row r="702">
      <c r="A702" s="225"/>
      <c r="B702" s="225"/>
      <c r="C702" s="225"/>
      <c r="D702" s="225"/>
      <c r="E702" s="225"/>
      <c r="F702" s="225"/>
      <c r="G702" s="225"/>
      <c r="H702" s="224"/>
      <c r="I702" s="224"/>
      <c r="J702" s="224"/>
      <c r="K702" s="224"/>
      <c r="L702" s="224"/>
      <c r="M702" s="224"/>
      <c r="N702" s="224"/>
      <c r="O702" s="224"/>
      <c r="P702" s="224"/>
      <c r="Q702" s="224"/>
      <c r="R702" s="224"/>
      <c r="S702" s="224"/>
      <c r="T702" s="224"/>
      <c r="U702" s="224"/>
      <c r="V702" s="224"/>
      <c r="W702" s="224"/>
      <c r="X702" s="224"/>
      <c r="Y702" s="224"/>
      <c r="Z702" s="224"/>
    </row>
    <row r="703">
      <c r="A703" s="225"/>
      <c r="B703" s="225"/>
      <c r="C703" s="225"/>
      <c r="D703" s="225"/>
      <c r="E703" s="225"/>
      <c r="F703" s="225"/>
      <c r="G703" s="225"/>
      <c r="H703" s="224"/>
      <c r="I703" s="224"/>
      <c r="J703" s="224"/>
      <c r="K703" s="224"/>
      <c r="L703" s="224"/>
      <c r="M703" s="224"/>
      <c r="N703" s="224"/>
      <c r="O703" s="224"/>
      <c r="P703" s="224"/>
      <c r="Q703" s="224"/>
      <c r="R703" s="224"/>
      <c r="S703" s="224"/>
      <c r="T703" s="224"/>
      <c r="U703" s="224"/>
      <c r="V703" s="224"/>
      <c r="W703" s="224"/>
      <c r="X703" s="224"/>
      <c r="Y703" s="224"/>
      <c r="Z703" s="224"/>
    </row>
    <row r="704">
      <c r="A704" s="225"/>
      <c r="B704" s="225"/>
      <c r="C704" s="225"/>
      <c r="D704" s="225"/>
      <c r="E704" s="225"/>
      <c r="F704" s="225"/>
      <c r="G704" s="225"/>
      <c r="H704" s="224"/>
      <c r="I704" s="224"/>
      <c r="J704" s="224"/>
      <c r="K704" s="224"/>
      <c r="L704" s="224"/>
      <c r="M704" s="224"/>
      <c r="N704" s="224"/>
      <c r="O704" s="224"/>
      <c r="P704" s="224"/>
      <c r="Q704" s="224"/>
      <c r="R704" s="224"/>
      <c r="S704" s="224"/>
      <c r="T704" s="224"/>
      <c r="U704" s="224"/>
      <c r="V704" s="224"/>
      <c r="W704" s="224"/>
      <c r="X704" s="224"/>
      <c r="Y704" s="224"/>
      <c r="Z704" s="224"/>
    </row>
    <row r="705">
      <c r="A705" s="225"/>
      <c r="B705" s="225"/>
      <c r="C705" s="225"/>
      <c r="D705" s="225"/>
      <c r="E705" s="225"/>
      <c r="F705" s="225"/>
      <c r="G705" s="225"/>
      <c r="H705" s="224"/>
      <c r="I705" s="224"/>
      <c r="J705" s="224"/>
      <c r="K705" s="224"/>
      <c r="L705" s="224"/>
      <c r="M705" s="224"/>
      <c r="N705" s="224"/>
      <c r="O705" s="224"/>
      <c r="P705" s="224"/>
      <c r="Q705" s="224"/>
      <c r="R705" s="224"/>
      <c r="S705" s="224"/>
      <c r="T705" s="224"/>
      <c r="U705" s="224"/>
      <c r="V705" s="224"/>
      <c r="W705" s="224"/>
      <c r="X705" s="224"/>
      <c r="Y705" s="224"/>
      <c r="Z705" s="224"/>
    </row>
    <row r="706">
      <c r="A706" s="225"/>
      <c r="B706" s="225"/>
      <c r="C706" s="225"/>
      <c r="D706" s="225"/>
      <c r="E706" s="225"/>
      <c r="F706" s="225"/>
      <c r="G706" s="225"/>
      <c r="H706" s="224"/>
      <c r="I706" s="224"/>
      <c r="J706" s="224"/>
      <c r="K706" s="224"/>
      <c r="L706" s="224"/>
      <c r="M706" s="224"/>
      <c r="N706" s="224"/>
      <c r="O706" s="224"/>
      <c r="P706" s="224"/>
      <c r="Q706" s="224"/>
      <c r="R706" s="224"/>
      <c r="S706" s="224"/>
      <c r="T706" s="224"/>
      <c r="U706" s="224"/>
      <c r="V706" s="224"/>
      <c r="W706" s="224"/>
      <c r="X706" s="224"/>
      <c r="Y706" s="224"/>
      <c r="Z706" s="224"/>
    </row>
    <row r="707">
      <c r="A707" s="225"/>
      <c r="B707" s="225"/>
      <c r="C707" s="225"/>
      <c r="D707" s="225"/>
      <c r="E707" s="225"/>
      <c r="F707" s="225"/>
      <c r="G707" s="225"/>
      <c r="H707" s="224"/>
      <c r="I707" s="224"/>
      <c r="J707" s="224"/>
      <c r="K707" s="224"/>
      <c r="L707" s="224"/>
      <c r="M707" s="224"/>
      <c r="N707" s="224"/>
      <c r="O707" s="224"/>
      <c r="P707" s="224"/>
      <c r="Q707" s="224"/>
      <c r="R707" s="224"/>
      <c r="S707" s="224"/>
      <c r="T707" s="224"/>
      <c r="U707" s="224"/>
      <c r="V707" s="224"/>
      <c r="W707" s="224"/>
      <c r="X707" s="224"/>
      <c r="Y707" s="224"/>
      <c r="Z707" s="224"/>
    </row>
    <row r="708">
      <c r="A708" s="225"/>
      <c r="B708" s="225"/>
      <c r="C708" s="225"/>
      <c r="D708" s="225"/>
      <c r="E708" s="225"/>
      <c r="F708" s="225"/>
      <c r="G708" s="225"/>
      <c r="H708" s="224"/>
      <c r="I708" s="224"/>
      <c r="J708" s="224"/>
      <c r="K708" s="224"/>
      <c r="L708" s="224"/>
      <c r="M708" s="224"/>
      <c r="N708" s="224"/>
      <c r="O708" s="224"/>
      <c r="P708" s="224"/>
      <c r="Q708" s="224"/>
      <c r="R708" s="224"/>
      <c r="S708" s="224"/>
      <c r="T708" s="224"/>
      <c r="U708" s="224"/>
      <c r="V708" s="224"/>
      <c r="W708" s="224"/>
      <c r="X708" s="224"/>
      <c r="Y708" s="224"/>
      <c r="Z708" s="224"/>
    </row>
    <row r="709">
      <c r="A709" s="225"/>
      <c r="B709" s="225"/>
      <c r="C709" s="225"/>
      <c r="D709" s="225"/>
      <c r="E709" s="225"/>
      <c r="F709" s="225"/>
      <c r="G709" s="225"/>
      <c r="H709" s="224"/>
      <c r="I709" s="224"/>
      <c r="J709" s="224"/>
      <c r="K709" s="224"/>
      <c r="L709" s="224"/>
      <c r="M709" s="224"/>
      <c r="N709" s="224"/>
      <c r="O709" s="224"/>
      <c r="P709" s="224"/>
      <c r="Q709" s="224"/>
      <c r="R709" s="224"/>
      <c r="S709" s="224"/>
      <c r="T709" s="224"/>
      <c r="U709" s="224"/>
      <c r="V709" s="224"/>
      <c r="W709" s="224"/>
      <c r="X709" s="224"/>
      <c r="Y709" s="224"/>
      <c r="Z709" s="224"/>
    </row>
    <row r="710">
      <c r="A710" s="225"/>
      <c r="B710" s="225"/>
      <c r="C710" s="225"/>
      <c r="D710" s="225"/>
      <c r="E710" s="225"/>
      <c r="F710" s="225"/>
      <c r="G710" s="225"/>
      <c r="H710" s="224"/>
      <c r="I710" s="224"/>
      <c r="J710" s="224"/>
      <c r="K710" s="224"/>
      <c r="L710" s="224"/>
      <c r="M710" s="224"/>
      <c r="N710" s="224"/>
      <c r="O710" s="224"/>
      <c r="P710" s="224"/>
      <c r="Q710" s="224"/>
      <c r="R710" s="224"/>
      <c r="S710" s="224"/>
      <c r="T710" s="224"/>
      <c r="U710" s="224"/>
      <c r="V710" s="224"/>
      <c r="W710" s="224"/>
      <c r="X710" s="224"/>
      <c r="Y710" s="224"/>
      <c r="Z710" s="224"/>
    </row>
    <row r="711">
      <c r="A711" s="225"/>
      <c r="B711" s="225"/>
      <c r="C711" s="225"/>
      <c r="D711" s="225"/>
      <c r="E711" s="225"/>
      <c r="F711" s="225"/>
      <c r="G711" s="225"/>
      <c r="H711" s="224"/>
      <c r="I711" s="224"/>
      <c r="J711" s="224"/>
      <c r="K711" s="224"/>
      <c r="L711" s="224"/>
      <c r="M711" s="224"/>
      <c r="N711" s="224"/>
      <c r="O711" s="224"/>
      <c r="P711" s="224"/>
      <c r="Q711" s="224"/>
      <c r="R711" s="224"/>
      <c r="S711" s="224"/>
      <c r="T711" s="224"/>
      <c r="U711" s="224"/>
      <c r="V711" s="224"/>
      <c r="W711" s="224"/>
      <c r="X711" s="224"/>
      <c r="Y711" s="224"/>
      <c r="Z711" s="224"/>
    </row>
    <row r="712">
      <c r="A712" s="225"/>
      <c r="B712" s="225"/>
      <c r="C712" s="225"/>
      <c r="D712" s="225"/>
      <c r="E712" s="225"/>
      <c r="F712" s="225"/>
      <c r="G712" s="225"/>
      <c r="H712" s="224"/>
      <c r="I712" s="224"/>
      <c r="J712" s="224"/>
      <c r="K712" s="224"/>
      <c r="L712" s="224"/>
      <c r="M712" s="224"/>
      <c r="N712" s="224"/>
      <c r="O712" s="224"/>
      <c r="P712" s="224"/>
      <c r="Q712" s="224"/>
      <c r="R712" s="224"/>
      <c r="S712" s="224"/>
      <c r="T712" s="224"/>
      <c r="U712" s="224"/>
      <c r="V712" s="224"/>
      <c r="W712" s="224"/>
      <c r="X712" s="224"/>
      <c r="Y712" s="224"/>
      <c r="Z712" s="224"/>
    </row>
    <row r="713">
      <c r="A713" s="225"/>
      <c r="B713" s="225"/>
      <c r="C713" s="225"/>
      <c r="D713" s="225"/>
      <c r="E713" s="225"/>
      <c r="F713" s="225"/>
      <c r="G713" s="225"/>
      <c r="H713" s="224"/>
      <c r="I713" s="224"/>
      <c r="J713" s="224"/>
      <c r="K713" s="224"/>
      <c r="L713" s="224"/>
      <c r="M713" s="224"/>
      <c r="N713" s="224"/>
      <c r="O713" s="224"/>
      <c r="P713" s="224"/>
      <c r="Q713" s="224"/>
      <c r="R713" s="224"/>
      <c r="S713" s="224"/>
      <c r="T713" s="224"/>
      <c r="U713" s="224"/>
      <c r="V713" s="224"/>
      <c r="W713" s="224"/>
      <c r="X713" s="224"/>
      <c r="Y713" s="224"/>
      <c r="Z713" s="224"/>
    </row>
    <row r="714">
      <c r="A714" s="225"/>
      <c r="B714" s="225"/>
      <c r="C714" s="225"/>
      <c r="D714" s="225"/>
      <c r="E714" s="225"/>
      <c r="F714" s="225"/>
      <c r="G714" s="225"/>
      <c r="H714" s="224"/>
      <c r="I714" s="224"/>
      <c r="J714" s="224"/>
      <c r="K714" s="224"/>
      <c r="L714" s="224"/>
      <c r="M714" s="224"/>
      <c r="N714" s="224"/>
      <c r="O714" s="224"/>
      <c r="P714" s="224"/>
      <c r="Q714" s="224"/>
      <c r="R714" s="224"/>
      <c r="S714" s="224"/>
      <c r="T714" s="224"/>
      <c r="U714" s="224"/>
      <c r="V714" s="224"/>
      <c r="W714" s="224"/>
      <c r="X714" s="224"/>
      <c r="Y714" s="224"/>
      <c r="Z714" s="224"/>
    </row>
    <row r="715">
      <c r="A715" s="225"/>
      <c r="B715" s="225"/>
      <c r="C715" s="225"/>
      <c r="D715" s="225"/>
      <c r="E715" s="225"/>
      <c r="F715" s="225"/>
      <c r="G715" s="225"/>
      <c r="H715" s="224"/>
      <c r="I715" s="224"/>
      <c r="J715" s="224"/>
      <c r="K715" s="224"/>
      <c r="L715" s="224"/>
      <c r="M715" s="224"/>
      <c r="N715" s="224"/>
      <c r="O715" s="224"/>
      <c r="P715" s="224"/>
      <c r="Q715" s="224"/>
      <c r="R715" s="224"/>
      <c r="S715" s="224"/>
      <c r="T715" s="224"/>
      <c r="U715" s="224"/>
      <c r="V715" s="224"/>
      <c r="W715" s="224"/>
      <c r="X715" s="224"/>
      <c r="Y715" s="224"/>
      <c r="Z715" s="224"/>
    </row>
    <row r="716">
      <c r="A716" s="225"/>
      <c r="B716" s="225"/>
      <c r="C716" s="225"/>
      <c r="D716" s="225"/>
      <c r="E716" s="225"/>
      <c r="F716" s="225"/>
      <c r="G716" s="225"/>
      <c r="H716" s="224"/>
      <c r="I716" s="224"/>
      <c r="J716" s="224"/>
      <c r="K716" s="224"/>
      <c r="L716" s="224"/>
      <c r="M716" s="224"/>
      <c r="N716" s="224"/>
      <c r="O716" s="224"/>
      <c r="P716" s="224"/>
      <c r="Q716" s="224"/>
      <c r="R716" s="224"/>
      <c r="S716" s="224"/>
      <c r="T716" s="224"/>
      <c r="U716" s="224"/>
      <c r="V716" s="224"/>
      <c r="W716" s="224"/>
      <c r="X716" s="224"/>
      <c r="Y716" s="224"/>
      <c r="Z716" s="224"/>
    </row>
    <row r="717">
      <c r="A717" s="225"/>
      <c r="B717" s="225"/>
      <c r="C717" s="225"/>
      <c r="D717" s="225"/>
      <c r="E717" s="225"/>
      <c r="F717" s="225"/>
      <c r="G717" s="225"/>
      <c r="H717" s="224"/>
      <c r="I717" s="224"/>
      <c r="J717" s="224"/>
      <c r="K717" s="224"/>
      <c r="L717" s="224"/>
      <c r="M717" s="224"/>
      <c r="N717" s="224"/>
      <c r="O717" s="224"/>
      <c r="P717" s="224"/>
      <c r="Q717" s="224"/>
      <c r="R717" s="224"/>
      <c r="S717" s="224"/>
      <c r="T717" s="224"/>
      <c r="U717" s="224"/>
      <c r="V717" s="224"/>
      <c r="W717" s="224"/>
      <c r="X717" s="224"/>
      <c r="Y717" s="224"/>
      <c r="Z717" s="224"/>
    </row>
    <row r="718">
      <c r="A718" s="225"/>
      <c r="B718" s="225"/>
      <c r="C718" s="225"/>
      <c r="D718" s="225"/>
      <c r="E718" s="225"/>
      <c r="F718" s="225"/>
      <c r="G718" s="225"/>
      <c r="H718" s="224"/>
      <c r="I718" s="224"/>
      <c r="J718" s="224"/>
      <c r="K718" s="224"/>
      <c r="L718" s="224"/>
      <c r="M718" s="224"/>
      <c r="N718" s="224"/>
      <c r="O718" s="224"/>
      <c r="P718" s="224"/>
      <c r="Q718" s="224"/>
      <c r="R718" s="224"/>
      <c r="S718" s="224"/>
      <c r="T718" s="224"/>
      <c r="U718" s="224"/>
      <c r="V718" s="224"/>
      <c r="W718" s="224"/>
      <c r="X718" s="224"/>
      <c r="Y718" s="224"/>
      <c r="Z718" s="224"/>
    </row>
    <row r="719">
      <c r="A719" s="225"/>
      <c r="B719" s="225"/>
      <c r="C719" s="225"/>
      <c r="D719" s="225"/>
      <c r="E719" s="225"/>
      <c r="F719" s="225"/>
      <c r="G719" s="225"/>
      <c r="H719" s="224"/>
      <c r="I719" s="224"/>
      <c r="J719" s="224"/>
      <c r="K719" s="224"/>
      <c r="L719" s="224"/>
      <c r="M719" s="224"/>
      <c r="N719" s="224"/>
      <c r="O719" s="224"/>
      <c r="P719" s="224"/>
      <c r="Q719" s="224"/>
      <c r="R719" s="224"/>
      <c r="S719" s="224"/>
      <c r="T719" s="224"/>
      <c r="U719" s="224"/>
      <c r="V719" s="224"/>
      <c r="W719" s="224"/>
      <c r="X719" s="224"/>
      <c r="Y719" s="224"/>
      <c r="Z719" s="224"/>
    </row>
    <row r="720">
      <c r="A720" s="225"/>
      <c r="B720" s="225"/>
      <c r="C720" s="225"/>
      <c r="D720" s="225"/>
      <c r="E720" s="225"/>
      <c r="F720" s="225"/>
      <c r="G720" s="225"/>
      <c r="H720" s="224"/>
      <c r="I720" s="224"/>
      <c r="J720" s="224"/>
      <c r="K720" s="224"/>
      <c r="L720" s="224"/>
      <c r="M720" s="224"/>
      <c r="N720" s="224"/>
      <c r="O720" s="224"/>
      <c r="P720" s="224"/>
      <c r="Q720" s="224"/>
      <c r="R720" s="224"/>
      <c r="S720" s="224"/>
      <c r="T720" s="224"/>
      <c r="U720" s="224"/>
      <c r="V720" s="224"/>
      <c r="W720" s="224"/>
      <c r="X720" s="224"/>
      <c r="Y720" s="224"/>
      <c r="Z720" s="224"/>
    </row>
    <row r="721">
      <c r="A721" s="225"/>
      <c r="B721" s="225"/>
      <c r="C721" s="225"/>
      <c r="D721" s="225"/>
      <c r="E721" s="225"/>
      <c r="F721" s="225"/>
      <c r="G721" s="225"/>
      <c r="H721" s="224"/>
      <c r="I721" s="224"/>
      <c r="J721" s="224"/>
      <c r="K721" s="224"/>
      <c r="L721" s="224"/>
      <c r="M721" s="224"/>
      <c r="N721" s="224"/>
      <c r="O721" s="224"/>
      <c r="P721" s="224"/>
      <c r="Q721" s="224"/>
      <c r="R721" s="224"/>
      <c r="S721" s="224"/>
      <c r="T721" s="224"/>
      <c r="U721" s="224"/>
      <c r="V721" s="224"/>
      <c r="W721" s="224"/>
      <c r="X721" s="224"/>
      <c r="Y721" s="224"/>
      <c r="Z721" s="224"/>
    </row>
    <row r="722">
      <c r="A722" s="225"/>
      <c r="B722" s="225"/>
      <c r="C722" s="225"/>
      <c r="D722" s="225"/>
      <c r="E722" s="225"/>
      <c r="F722" s="225"/>
      <c r="G722" s="225"/>
      <c r="H722" s="224"/>
      <c r="I722" s="224"/>
      <c r="J722" s="224"/>
      <c r="K722" s="224"/>
      <c r="L722" s="224"/>
      <c r="M722" s="224"/>
      <c r="N722" s="224"/>
      <c r="O722" s="224"/>
      <c r="P722" s="224"/>
      <c r="Q722" s="224"/>
      <c r="R722" s="224"/>
      <c r="S722" s="224"/>
      <c r="T722" s="224"/>
      <c r="U722" s="224"/>
      <c r="V722" s="224"/>
      <c r="W722" s="224"/>
      <c r="X722" s="224"/>
      <c r="Y722" s="224"/>
      <c r="Z722" s="224"/>
    </row>
    <row r="723">
      <c r="A723" s="225"/>
      <c r="B723" s="225"/>
      <c r="C723" s="225"/>
      <c r="D723" s="225"/>
      <c r="E723" s="225"/>
      <c r="F723" s="225"/>
      <c r="G723" s="225"/>
      <c r="H723" s="224"/>
      <c r="I723" s="224"/>
      <c r="J723" s="224"/>
      <c r="K723" s="224"/>
      <c r="L723" s="224"/>
      <c r="M723" s="224"/>
      <c r="N723" s="224"/>
      <c r="O723" s="224"/>
      <c r="P723" s="224"/>
      <c r="Q723" s="224"/>
      <c r="R723" s="224"/>
      <c r="S723" s="224"/>
      <c r="T723" s="224"/>
      <c r="U723" s="224"/>
      <c r="V723" s="224"/>
      <c r="W723" s="224"/>
      <c r="X723" s="224"/>
      <c r="Y723" s="224"/>
      <c r="Z723" s="224"/>
    </row>
    <row r="724">
      <c r="A724" s="225"/>
      <c r="B724" s="225"/>
      <c r="C724" s="225"/>
      <c r="D724" s="225"/>
      <c r="E724" s="225"/>
      <c r="F724" s="225"/>
      <c r="G724" s="225"/>
      <c r="H724" s="224"/>
      <c r="I724" s="224"/>
      <c r="J724" s="224"/>
      <c r="K724" s="224"/>
      <c r="L724" s="224"/>
      <c r="M724" s="224"/>
      <c r="N724" s="224"/>
      <c r="O724" s="224"/>
      <c r="P724" s="224"/>
      <c r="Q724" s="224"/>
      <c r="R724" s="224"/>
      <c r="S724" s="224"/>
      <c r="T724" s="224"/>
      <c r="U724" s="224"/>
      <c r="V724" s="224"/>
      <c r="W724" s="224"/>
      <c r="X724" s="224"/>
      <c r="Y724" s="224"/>
      <c r="Z724" s="224"/>
    </row>
    <row r="725">
      <c r="A725" s="225"/>
      <c r="B725" s="225"/>
      <c r="C725" s="225"/>
      <c r="D725" s="225"/>
      <c r="E725" s="225"/>
      <c r="F725" s="225"/>
      <c r="G725" s="225"/>
      <c r="H725" s="224"/>
      <c r="I725" s="224"/>
      <c r="J725" s="224"/>
      <c r="K725" s="224"/>
      <c r="L725" s="224"/>
      <c r="M725" s="224"/>
      <c r="N725" s="224"/>
      <c r="O725" s="224"/>
      <c r="P725" s="224"/>
      <c r="Q725" s="224"/>
      <c r="R725" s="224"/>
      <c r="S725" s="224"/>
      <c r="T725" s="224"/>
      <c r="U725" s="224"/>
      <c r="V725" s="224"/>
      <c r="W725" s="224"/>
      <c r="X725" s="224"/>
      <c r="Y725" s="224"/>
      <c r="Z725" s="224"/>
    </row>
    <row r="726">
      <c r="A726" s="225"/>
      <c r="B726" s="225"/>
      <c r="C726" s="225"/>
      <c r="D726" s="225"/>
      <c r="E726" s="225"/>
      <c r="F726" s="225"/>
      <c r="G726" s="225"/>
      <c r="H726" s="224"/>
      <c r="I726" s="224"/>
      <c r="J726" s="224"/>
      <c r="K726" s="224"/>
      <c r="L726" s="224"/>
      <c r="M726" s="224"/>
      <c r="N726" s="224"/>
      <c r="O726" s="224"/>
      <c r="P726" s="224"/>
      <c r="Q726" s="224"/>
      <c r="R726" s="224"/>
      <c r="S726" s="224"/>
      <c r="T726" s="224"/>
      <c r="U726" s="224"/>
      <c r="V726" s="224"/>
      <c r="W726" s="224"/>
      <c r="X726" s="224"/>
      <c r="Y726" s="224"/>
      <c r="Z726" s="224"/>
    </row>
    <row r="727">
      <c r="A727" s="225"/>
      <c r="B727" s="225"/>
      <c r="C727" s="225"/>
      <c r="D727" s="225"/>
      <c r="E727" s="225"/>
      <c r="F727" s="225"/>
      <c r="G727" s="225"/>
      <c r="H727" s="224"/>
      <c r="I727" s="224"/>
      <c r="J727" s="224"/>
      <c r="K727" s="224"/>
      <c r="L727" s="224"/>
      <c r="M727" s="224"/>
      <c r="N727" s="224"/>
      <c r="O727" s="224"/>
      <c r="P727" s="224"/>
      <c r="Q727" s="224"/>
      <c r="R727" s="224"/>
      <c r="S727" s="224"/>
      <c r="T727" s="224"/>
      <c r="U727" s="224"/>
      <c r="V727" s="224"/>
      <c r="W727" s="224"/>
      <c r="X727" s="224"/>
      <c r="Y727" s="224"/>
      <c r="Z727" s="224"/>
    </row>
    <row r="728">
      <c r="A728" s="225"/>
      <c r="B728" s="225"/>
      <c r="C728" s="225"/>
      <c r="D728" s="225"/>
      <c r="E728" s="225"/>
      <c r="F728" s="225"/>
      <c r="G728" s="225"/>
      <c r="H728" s="224"/>
      <c r="I728" s="224"/>
      <c r="J728" s="224"/>
      <c r="K728" s="224"/>
      <c r="L728" s="224"/>
      <c r="M728" s="224"/>
      <c r="N728" s="224"/>
      <c r="O728" s="224"/>
      <c r="P728" s="224"/>
      <c r="Q728" s="224"/>
      <c r="R728" s="224"/>
      <c r="S728" s="224"/>
      <c r="T728" s="224"/>
      <c r="U728" s="224"/>
      <c r="V728" s="224"/>
      <c r="W728" s="224"/>
      <c r="X728" s="224"/>
      <c r="Y728" s="224"/>
      <c r="Z728" s="224"/>
    </row>
    <row r="729">
      <c r="A729" s="225"/>
      <c r="B729" s="225"/>
      <c r="C729" s="225"/>
      <c r="D729" s="225"/>
      <c r="E729" s="225"/>
      <c r="F729" s="225"/>
      <c r="G729" s="225"/>
      <c r="H729" s="224"/>
      <c r="I729" s="224"/>
      <c r="J729" s="224"/>
      <c r="K729" s="224"/>
      <c r="L729" s="224"/>
      <c r="M729" s="224"/>
      <c r="N729" s="224"/>
      <c r="O729" s="224"/>
      <c r="P729" s="224"/>
      <c r="Q729" s="224"/>
      <c r="R729" s="224"/>
      <c r="S729" s="224"/>
      <c r="T729" s="224"/>
      <c r="U729" s="224"/>
      <c r="V729" s="224"/>
      <c r="W729" s="224"/>
      <c r="X729" s="224"/>
      <c r="Y729" s="224"/>
      <c r="Z729" s="224"/>
    </row>
    <row r="730">
      <c r="A730" s="225"/>
      <c r="B730" s="225"/>
      <c r="C730" s="225"/>
      <c r="D730" s="225"/>
      <c r="E730" s="225"/>
      <c r="F730" s="225"/>
      <c r="G730" s="225"/>
      <c r="H730" s="224"/>
      <c r="I730" s="224"/>
      <c r="J730" s="224"/>
      <c r="K730" s="224"/>
      <c r="L730" s="224"/>
      <c r="M730" s="224"/>
      <c r="N730" s="224"/>
      <c r="O730" s="224"/>
      <c r="P730" s="224"/>
      <c r="Q730" s="224"/>
      <c r="R730" s="224"/>
      <c r="S730" s="224"/>
      <c r="T730" s="224"/>
      <c r="U730" s="224"/>
      <c r="V730" s="224"/>
      <c r="W730" s="224"/>
      <c r="X730" s="224"/>
      <c r="Y730" s="224"/>
      <c r="Z730" s="224"/>
    </row>
    <row r="731">
      <c r="A731" s="225"/>
      <c r="B731" s="225"/>
      <c r="C731" s="225"/>
      <c r="D731" s="225"/>
      <c r="E731" s="225"/>
      <c r="F731" s="225"/>
      <c r="G731" s="225"/>
      <c r="H731" s="224"/>
      <c r="I731" s="224"/>
      <c r="J731" s="224"/>
      <c r="K731" s="224"/>
      <c r="L731" s="224"/>
      <c r="M731" s="224"/>
      <c r="N731" s="224"/>
      <c r="O731" s="224"/>
      <c r="P731" s="224"/>
      <c r="Q731" s="224"/>
      <c r="R731" s="224"/>
      <c r="S731" s="224"/>
      <c r="T731" s="224"/>
      <c r="U731" s="224"/>
      <c r="V731" s="224"/>
      <c r="W731" s="224"/>
      <c r="X731" s="224"/>
      <c r="Y731" s="224"/>
      <c r="Z731" s="224"/>
    </row>
    <row r="732">
      <c r="A732" s="225"/>
      <c r="B732" s="225"/>
      <c r="C732" s="225"/>
      <c r="D732" s="225"/>
      <c r="E732" s="225"/>
      <c r="F732" s="225"/>
      <c r="G732" s="225"/>
      <c r="H732" s="224"/>
      <c r="I732" s="224"/>
      <c r="J732" s="224"/>
      <c r="K732" s="224"/>
      <c r="L732" s="224"/>
      <c r="M732" s="224"/>
      <c r="N732" s="224"/>
      <c r="O732" s="224"/>
      <c r="P732" s="224"/>
      <c r="Q732" s="224"/>
      <c r="R732" s="224"/>
      <c r="S732" s="224"/>
      <c r="T732" s="224"/>
      <c r="U732" s="224"/>
      <c r="V732" s="224"/>
      <c r="W732" s="224"/>
      <c r="X732" s="224"/>
      <c r="Y732" s="224"/>
      <c r="Z732" s="224"/>
    </row>
    <row r="733">
      <c r="A733" s="225"/>
      <c r="B733" s="225"/>
      <c r="C733" s="225"/>
      <c r="D733" s="225"/>
      <c r="E733" s="225"/>
      <c r="F733" s="225"/>
      <c r="G733" s="225"/>
      <c r="H733" s="224"/>
      <c r="I733" s="224"/>
      <c r="J733" s="224"/>
      <c r="K733" s="224"/>
      <c r="L733" s="224"/>
      <c r="M733" s="224"/>
      <c r="N733" s="224"/>
      <c r="O733" s="224"/>
      <c r="P733" s="224"/>
      <c r="Q733" s="224"/>
      <c r="R733" s="224"/>
      <c r="S733" s="224"/>
      <c r="T733" s="224"/>
      <c r="U733" s="224"/>
      <c r="V733" s="224"/>
      <c r="W733" s="224"/>
      <c r="X733" s="224"/>
      <c r="Y733" s="224"/>
      <c r="Z733" s="224"/>
    </row>
    <row r="734">
      <c r="A734" s="225"/>
      <c r="B734" s="225"/>
      <c r="C734" s="225"/>
      <c r="D734" s="225"/>
      <c r="E734" s="225"/>
      <c r="F734" s="225"/>
      <c r="G734" s="225"/>
      <c r="H734" s="224"/>
      <c r="I734" s="224"/>
      <c r="J734" s="224"/>
      <c r="K734" s="224"/>
      <c r="L734" s="224"/>
      <c r="M734" s="224"/>
      <c r="N734" s="224"/>
      <c r="O734" s="224"/>
      <c r="P734" s="224"/>
      <c r="Q734" s="224"/>
      <c r="R734" s="224"/>
      <c r="S734" s="224"/>
      <c r="T734" s="224"/>
      <c r="U734" s="224"/>
      <c r="V734" s="224"/>
      <c r="W734" s="224"/>
      <c r="X734" s="224"/>
      <c r="Y734" s="224"/>
      <c r="Z734" s="224"/>
    </row>
    <row r="735">
      <c r="A735" s="225"/>
      <c r="B735" s="225"/>
      <c r="C735" s="225"/>
      <c r="D735" s="225"/>
      <c r="E735" s="225"/>
      <c r="F735" s="225"/>
      <c r="G735" s="225"/>
      <c r="H735" s="224"/>
      <c r="I735" s="224"/>
      <c r="J735" s="224"/>
      <c r="K735" s="224"/>
      <c r="L735" s="224"/>
      <c r="M735" s="224"/>
      <c r="N735" s="224"/>
      <c r="O735" s="224"/>
      <c r="P735" s="224"/>
      <c r="Q735" s="224"/>
      <c r="R735" s="224"/>
      <c r="S735" s="224"/>
      <c r="T735" s="224"/>
      <c r="U735" s="224"/>
      <c r="V735" s="224"/>
      <c r="W735" s="224"/>
      <c r="X735" s="224"/>
      <c r="Y735" s="224"/>
      <c r="Z735" s="224"/>
    </row>
    <row r="736">
      <c r="A736" s="225"/>
      <c r="B736" s="225"/>
      <c r="C736" s="225"/>
      <c r="D736" s="225"/>
      <c r="E736" s="225"/>
      <c r="F736" s="225"/>
      <c r="G736" s="225"/>
      <c r="H736" s="224"/>
      <c r="I736" s="224"/>
      <c r="J736" s="224"/>
      <c r="K736" s="224"/>
      <c r="L736" s="224"/>
      <c r="M736" s="224"/>
      <c r="N736" s="224"/>
      <c r="O736" s="224"/>
      <c r="P736" s="224"/>
      <c r="Q736" s="224"/>
      <c r="R736" s="224"/>
      <c r="S736" s="224"/>
      <c r="T736" s="224"/>
      <c r="U736" s="224"/>
      <c r="V736" s="224"/>
      <c r="W736" s="224"/>
      <c r="X736" s="224"/>
      <c r="Y736" s="224"/>
      <c r="Z736" s="224"/>
    </row>
    <row r="737">
      <c r="A737" s="225"/>
      <c r="B737" s="225"/>
      <c r="C737" s="225"/>
      <c r="D737" s="225"/>
      <c r="E737" s="225"/>
      <c r="F737" s="225"/>
      <c r="G737" s="225"/>
      <c r="H737" s="224"/>
      <c r="I737" s="224"/>
      <c r="J737" s="224"/>
      <c r="K737" s="224"/>
      <c r="L737" s="224"/>
      <c r="M737" s="224"/>
      <c r="N737" s="224"/>
      <c r="O737" s="224"/>
      <c r="P737" s="224"/>
      <c r="Q737" s="224"/>
      <c r="R737" s="224"/>
      <c r="S737" s="224"/>
      <c r="T737" s="224"/>
      <c r="U737" s="224"/>
      <c r="V737" s="224"/>
      <c r="W737" s="224"/>
      <c r="X737" s="224"/>
      <c r="Y737" s="224"/>
      <c r="Z737" s="224"/>
    </row>
    <row r="738">
      <c r="A738" s="225"/>
      <c r="B738" s="225"/>
      <c r="C738" s="225"/>
      <c r="D738" s="225"/>
      <c r="E738" s="225"/>
      <c r="F738" s="225"/>
      <c r="G738" s="225"/>
      <c r="H738" s="224"/>
      <c r="I738" s="224"/>
      <c r="J738" s="224"/>
      <c r="K738" s="224"/>
      <c r="L738" s="224"/>
      <c r="M738" s="224"/>
      <c r="N738" s="224"/>
      <c r="O738" s="224"/>
      <c r="P738" s="224"/>
      <c r="Q738" s="224"/>
      <c r="R738" s="224"/>
      <c r="S738" s="224"/>
      <c r="T738" s="224"/>
      <c r="U738" s="224"/>
      <c r="V738" s="224"/>
      <c r="W738" s="224"/>
      <c r="X738" s="224"/>
      <c r="Y738" s="224"/>
      <c r="Z738" s="224"/>
    </row>
    <row r="739">
      <c r="A739" s="225"/>
      <c r="B739" s="225"/>
      <c r="C739" s="225"/>
      <c r="D739" s="225"/>
      <c r="E739" s="225"/>
      <c r="F739" s="225"/>
      <c r="G739" s="225"/>
      <c r="H739" s="224"/>
      <c r="I739" s="224"/>
      <c r="J739" s="224"/>
      <c r="K739" s="224"/>
      <c r="L739" s="224"/>
      <c r="M739" s="224"/>
      <c r="N739" s="224"/>
      <c r="O739" s="224"/>
      <c r="P739" s="224"/>
      <c r="Q739" s="224"/>
      <c r="R739" s="224"/>
      <c r="S739" s="224"/>
      <c r="T739" s="224"/>
      <c r="U739" s="224"/>
      <c r="V739" s="224"/>
      <c r="W739" s="224"/>
      <c r="X739" s="224"/>
      <c r="Y739" s="224"/>
      <c r="Z739" s="224"/>
    </row>
    <row r="740">
      <c r="A740" s="225"/>
      <c r="B740" s="225"/>
      <c r="C740" s="225"/>
      <c r="D740" s="225"/>
      <c r="E740" s="225"/>
      <c r="F740" s="225"/>
      <c r="G740" s="225"/>
      <c r="H740" s="224"/>
      <c r="I740" s="224"/>
      <c r="J740" s="224"/>
      <c r="K740" s="224"/>
      <c r="L740" s="224"/>
      <c r="M740" s="224"/>
      <c r="N740" s="224"/>
      <c r="O740" s="224"/>
      <c r="P740" s="224"/>
      <c r="Q740" s="224"/>
      <c r="R740" s="224"/>
      <c r="S740" s="224"/>
      <c r="T740" s="224"/>
      <c r="U740" s="224"/>
      <c r="V740" s="224"/>
      <c r="W740" s="224"/>
      <c r="X740" s="224"/>
      <c r="Y740" s="224"/>
      <c r="Z740" s="224"/>
    </row>
    <row r="741">
      <c r="A741" s="225"/>
      <c r="B741" s="225"/>
      <c r="C741" s="225"/>
      <c r="D741" s="225"/>
      <c r="E741" s="225"/>
      <c r="F741" s="225"/>
      <c r="G741" s="225"/>
      <c r="H741" s="224"/>
      <c r="I741" s="224"/>
      <c r="J741" s="224"/>
      <c r="K741" s="224"/>
      <c r="L741" s="224"/>
      <c r="M741" s="224"/>
      <c r="N741" s="224"/>
      <c r="O741" s="224"/>
      <c r="P741" s="224"/>
      <c r="Q741" s="224"/>
      <c r="R741" s="224"/>
      <c r="S741" s="224"/>
      <c r="T741" s="224"/>
      <c r="U741" s="224"/>
      <c r="V741" s="224"/>
      <c r="W741" s="224"/>
      <c r="X741" s="224"/>
      <c r="Y741" s="224"/>
      <c r="Z741" s="224"/>
    </row>
    <row r="742">
      <c r="A742" s="225"/>
      <c r="B742" s="225"/>
      <c r="C742" s="225"/>
      <c r="D742" s="225"/>
      <c r="E742" s="225"/>
      <c r="F742" s="225"/>
      <c r="G742" s="225"/>
      <c r="H742" s="224"/>
      <c r="I742" s="224"/>
      <c r="J742" s="224"/>
      <c r="K742" s="224"/>
      <c r="L742" s="224"/>
      <c r="M742" s="224"/>
      <c r="N742" s="224"/>
      <c r="O742" s="224"/>
      <c r="P742" s="224"/>
      <c r="Q742" s="224"/>
      <c r="R742" s="224"/>
      <c r="S742" s="224"/>
      <c r="T742" s="224"/>
      <c r="U742" s="224"/>
      <c r="V742" s="224"/>
      <c r="W742" s="224"/>
      <c r="X742" s="224"/>
      <c r="Y742" s="224"/>
      <c r="Z742" s="224"/>
    </row>
    <row r="743">
      <c r="A743" s="225"/>
      <c r="B743" s="225"/>
      <c r="C743" s="225"/>
      <c r="D743" s="225"/>
      <c r="E743" s="225"/>
      <c r="F743" s="225"/>
      <c r="G743" s="225"/>
      <c r="H743" s="224"/>
      <c r="I743" s="224"/>
      <c r="J743" s="224"/>
      <c r="K743" s="224"/>
      <c r="L743" s="224"/>
      <c r="M743" s="224"/>
      <c r="N743" s="224"/>
      <c r="O743" s="224"/>
      <c r="P743" s="224"/>
      <c r="Q743" s="224"/>
      <c r="R743" s="224"/>
      <c r="S743" s="224"/>
      <c r="T743" s="224"/>
      <c r="U743" s="224"/>
      <c r="V743" s="224"/>
      <c r="W743" s="224"/>
      <c r="X743" s="224"/>
      <c r="Y743" s="224"/>
      <c r="Z743" s="224"/>
    </row>
    <row r="744">
      <c r="A744" s="225"/>
      <c r="B744" s="225"/>
      <c r="C744" s="225"/>
      <c r="D744" s="225"/>
      <c r="E744" s="225"/>
      <c r="F744" s="225"/>
      <c r="G744" s="225"/>
      <c r="H744" s="224"/>
      <c r="I744" s="224"/>
      <c r="J744" s="224"/>
      <c r="K744" s="224"/>
      <c r="L744" s="224"/>
      <c r="M744" s="224"/>
      <c r="N744" s="224"/>
      <c r="O744" s="224"/>
      <c r="P744" s="224"/>
      <c r="Q744" s="224"/>
      <c r="R744" s="224"/>
      <c r="S744" s="224"/>
      <c r="T744" s="224"/>
      <c r="U744" s="224"/>
      <c r="V744" s="224"/>
      <c r="W744" s="224"/>
      <c r="X744" s="224"/>
      <c r="Y744" s="224"/>
      <c r="Z744" s="224"/>
    </row>
    <row r="745">
      <c r="A745" s="225"/>
      <c r="B745" s="225"/>
      <c r="C745" s="225"/>
      <c r="D745" s="225"/>
      <c r="E745" s="225"/>
      <c r="F745" s="225"/>
      <c r="G745" s="225"/>
      <c r="H745" s="224"/>
      <c r="I745" s="224"/>
      <c r="J745" s="224"/>
      <c r="K745" s="224"/>
      <c r="L745" s="224"/>
      <c r="M745" s="224"/>
      <c r="N745" s="224"/>
      <c r="O745" s="224"/>
      <c r="P745" s="224"/>
      <c r="Q745" s="224"/>
      <c r="R745" s="224"/>
      <c r="S745" s="224"/>
      <c r="T745" s="224"/>
      <c r="U745" s="224"/>
      <c r="V745" s="224"/>
      <c r="W745" s="224"/>
      <c r="X745" s="224"/>
      <c r="Y745" s="224"/>
      <c r="Z745" s="224"/>
    </row>
    <row r="746">
      <c r="A746" s="225"/>
      <c r="B746" s="225"/>
      <c r="C746" s="225"/>
      <c r="D746" s="225"/>
      <c r="E746" s="225"/>
      <c r="F746" s="225"/>
      <c r="G746" s="225"/>
      <c r="H746" s="224"/>
      <c r="I746" s="224"/>
      <c r="J746" s="224"/>
      <c r="K746" s="224"/>
      <c r="L746" s="224"/>
      <c r="M746" s="224"/>
      <c r="N746" s="224"/>
      <c r="O746" s="224"/>
      <c r="P746" s="224"/>
      <c r="Q746" s="224"/>
      <c r="R746" s="224"/>
      <c r="S746" s="224"/>
      <c r="T746" s="224"/>
      <c r="U746" s="224"/>
      <c r="V746" s="224"/>
      <c r="W746" s="224"/>
      <c r="X746" s="224"/>
      <c r="Y746" s="224"/>
      <c r="Z746" s="224"/>
    </row>
    <row r="747">
      <c r="A747" s="225"/>
      <c r="B747" s="225"/>
      <c r="C747" s="225"/>
      <c r="D747" s="225"/>
      <c r="E747" s="225"/>
      <c r="F747" s="225"/>
      <c r="G747" s="225"/>
      <c r="H747" s="224"/>
      <c r="I747" s="224"/>
      <c r="J747" s="224"/>
      <c r="K747" s="224"/>
      <c r="L747" s="224"/>
      <c r="M747" s="224"/>
      <c r="N747" s="224"/>
      <c r="O747" s="224"/>
      <c r="P747" s="224"/>
      <c r="Q747" s="224"/>
      <c r="R747" s="224"/>
      <c r="S747" s="224"/>
      <c r="T747" s="224"/>
      <c r="U747" s="224"/>
      <c r="V747" s="224"/>
      <c r="W747" s="224"/>
      <c r="X747" s="224"/>
      <c r="Y747" s="224"/>
      <c r="Z747" s="224"/>
    </row>
    <row r="748">
      <c r="A748" s="225"/>
      <c r="B748" s="225"/>
      <c r="C748" s="225"/>
      <c r="D748" s="225"/>
      <c r="E748" s="225"/>
      <c r="F748" s="225"/>
      <c r="G748" s="225"/>
      <c r="H748" s="224"/>
      <c r="I748" s="224"/>
      <c r="J748" s="224"/>
      <c r="K748" s="224"/>
      <c r="L748" s="224"/>
      <c r="M748" s="224"/>
      <c r="N748" s="224"/>
      <c r="O748" s="224"/>
      <c r="P748" s="224"/>
      <c r="Q748" s="224"/>
      <c r="R748" s="224"/>
      <c r="S748" s="224"/>
      <c r="T748" s="224"/>
      <c r="U748" s="224"/>
      <c r="V748" s="224"/>
      <c r="W748" s="224"/>
      <c r="X748" s="224"/>
      <c r="Y748" s="224"/>
      <c r="Z748" s="224"/>
    </row>
    <row r="749">
      <c r="A749" s="225"/>
      <c r="B749" s="225"/>
      <c r="C749" s="225"/>
      <c r="D749" s="225"/>
      <c r="E749" s="225"/>
      <c r="F749" s="225"/>
      <c r="G749" s="225"/>
      <c r="H749" s="224"/>
      <c r="I749" s="224"/>
      <c r="J749" s="224"/>
      <c r="K749" s="224"/>
      <c r="L749" s="224"/>
      <c r="M749" s="224"/>
      <c r="N749" s="224"/>
      <c r="O749" s="224"/>
      <c r="P749" s="224"/>
      <c r="Q749" s="224"/>
      <c r="R749" s="224"/>
      <c r="S749" s="224"/>
      <c r="T749" s="224"/>
      <c r="U749" s="224"/>
      <c r="V749" s="224"/>
      <c r="W749" s="224"/>
      <c r="X749" s="224"/>
      <c r="Y749" s="224"/>
      <c r="Z749" s="224"/>
    </row>
    <row r="750">
      <c r="A750" s="225"/>
      <c r="B750" s="225"/>
      <c r="C750" s="225"/>
      <c r="D750" s="225"/>
      <c r="E750" s="225"/>
      <c r="F750" s="225"/>
      <c r="G750" s="225"/>
      <c r="H750" s="224"/>
      <c r="I750" s="224"/>
      <c r="J750" s="224"/>
      <c r="K750" s="224"/>
      <c r="L750" s="224"/>
      <c r="M750" s="224"/>
      <c r="N750" s="224"/>
      <c r="O750" s="224"/>
      <c r="P750" s="224"/>
      <c r="Q750" s="224"/>
      <c r="R750" s="224"/>
      <c r="S750" s="224"/>
      <c r="T750" s="224"/>
      <c r="U750" s="224"/>
      <c r="V750" s="224"/>
      <c r="W750" s="224"/>
      <c r="X750" s="224"/>
      <c r="Y750" s="224"/>
      <c r="Z750" s="224"/>
    </row>
    <row r="751">
      <c r="A751" s="225"/>
      <c r="B751" s="225"/>
      <c r="C751" s="225"/>
      <c r="D751" s="225"/>
      <c r="E751" s="225"/>
      <c r="F751" s="225"/>
      <c r="G751" s="225"/>
      <c r="H751" s="224"/>
      <c r="I751" s="224"/>
      <c r="J751" s="224"/>
      <c r="K751" s="224"/>
      <c r="L751" s="224"/>
      <c r="M751" s="224"/>
      <c r="N751" s="224"/>
      <c r="O751" s="224"/>
      <c r="P751" s="224"/>
      <c r="Q751" s="224"/>
      <c r="R751" s="224"/>
      <c r="S751" s="224"/>
      <c r="T751" s="224"/>
      <c r="U751" s="224"/>
      <c r="V751" s="224"/>
      <c r="W751" s="224"/>
      <c r="X751" s="224"/>
      <c r="Y751" s="224"/>
      <c r="Z751" s="224"/>
    </row>
    <row r="752">
      <c r="A752" s="225"/>
      <c r="B752" s="225"/>
      <c r="C752" s="225"/>
      <c r="D752" s="225"/>
      <c r="E752" s="225"/>
      <c r="F752" s="225"/>
      <c r="G752" s="225"/>
      <c r="H752" s="224"/>
      <c r="I752" s="224"/>
      <c r="J752" s="224"/>
      <c r="K752" s="224"/>
      <c r="L752" s="224"/>
      <c r="M752" s="224"/>
      <c r="N752" s="224"/>
      <c r="O752" s="224"/>
      <c r="P752" s="224"/>
      <c r="Q752" s="224"/>
      <c r="R752" s="224"/>
      <c r="S752" s="224"/>
      <c r="T752" s="224"/>
      <c r="U752" s="224"/>
      <c r="V752" s="224"/>
      <c r="W752" s="224"/>
      <c r="X752" s="224"/>
      <c r="Y752" s="224"/>
      <c r="Z752" s="224"/>
    </row>
    <row r="753">
      <c r="A753" s="225"/>
      <c r="B753" s="225"/>
      <c r="C753" s="225"/>
      <c r="D753" s="225"/>
      <c r="E753" s="225"/>
      <c r="F753" s="225"/>
      <c r="G753" s="225"/>
      <c r="H753" s="224"/>
      <c r="I753" s="224"/>
      <c r="J753" s="224"/>
      <c r="K753" s="224"/>
      <c r="L753" s="224"/>
      <c r="M753" s="224"/>
      <c r="N753" s="224"/>
      <c r="O753" s="224"/>
      <c r="P753" s="224"/>
      <c r="Q753" s="224"/>
      <c r="R753" s="224"/>
      <c r="S753" s="224"/>
      <c r="T753" s="224"/>
      <c r="U753" s="224"/>
      <c r="V753" s="224"/>
      <c r="W753" s="224"/>
      <c r="X753" s="224"/>
      <c r="Y753" s="224"/>
      <c r="Z753" s="224"/>
    </row>
    <row r="754">
      <c r="A754" s="225"/>
      <c r="B754" s="225"/>
      <c r="C754" s="225"/>
      <c r="D754" s="225"/>
      <c r="E754" s="225"/>
      <c r="F754" s="225"/>
      <c r="G754" s="225"/>
      <c r="H754" s="224"/>
      <c r="I754" s="224"/>
      <c r="J754" s="224"/>
      <c r="K754" s="224"/>
      <c r="L754" s="224"/>
      <c r="M754" s="224"/>
      <c r="N754" s="224"/>
      <c r="O754" s="224"/>
      <c r="P754" s="224"/>
      <c r="Q754" s="224"/>
      <c r="R754" s="224"/>
      <c r="S754" s="224"/>
      <c r="T754" s="224"/>
      <c r="U754" s="224"/>
      <c r="V754" s="224"/>
      <c r="W754" s="224"/>
      <c r="X754" s="224"/>
      <c r="Y754" s="224"/>
      <c r="Z754" s="224"/>
    </row>
    <row r="755">
      <c r="A755" s="225"/>
      <c r="B755" s="225"/>
      <c r="C755" s="225"/>
      <c r="D755" s="225"/>
      <c r="E755" s="225"/>
      <c r="F755" s="225"/>
      <c r="G755" s="225"/>
      <c r="H755" s="224"/>
      <c r="I755" s="224"/>
      <c r="J755" s="224"/>
      <c r="K755" s="224"/>
      <c r="L755" s="224"/>
      <c r="M755" s="224"/>
      <c r="N755" s="224"/>
      <c r="O755" s="224"/>
      <c r="P755" s="224"/>
      <c r="Q755" s="224"/>
      <c r="R755" s="224"/>
      <c r="S755" s="224"/>
      <c r="T755" s="224"/>
      <c r="U755" s="224"/>
      <c r="V755" s="224"/>
      <c r="W755" s="224"/>
      <c r="X755" s="224"/>
      <c r="Y755" s="224"/>
      <c r="Z755" s="224"/>
    </row>
    <row r="756">
      <c r="A756" s="225"/>
      <c r="B756" s="225"/>
      <c r="C756" s="225"/>
      <c r="D756" s="225"/>
      <c r="E756" s="225"/>
      <c r="F756" s="225"/>
      <c r="G756" s="225"/>
      <c r="H756" s="224"/>
      <c r="I756" s="224"/>
      <c r="J756" s="224"/>
      <c r="K756" s="224"/>
      <c r="L756" s="224"/>
      <c r="M756" s="224"/>
      <c r="N756" s="224"/>
      <c r="O756" s="224"/>
      <c r="P756" s="224"/>
      <c r="Q756" s="224"/>
      <c r="R756" s="224"/>
      <c r="S756" s="224"/>
      <c r="T756" s="224"/>
      <c r="U756" s="224"/>
      <c r="V756" s="224"/>
      <c r="W756" s="224"/>
      <c r="X756" s="224"/>
      <c r="Y756" s="224"/>
      <c r="Z756" s="224"/>
    </row>
    <row r="757">
      <c r="A757" s="225"/>
      <c r="B757" s="225"/>
      <c r="C757" s="225"/>
      <c r="D757" s="225"/>
      <c r="E757" s="225"/>
      <c r="F757" s="225"/>
      <c r="G757" s="225"/>
      <c r="H757" s="224"/>
      <c r="I757" s="224"/>
      <c r="J757" s="224"/>
      <c r="K757" s="224"/>
      <c r="L757" s="224"/>
      <c r="M757" s="224"/>
      <c r="N757" s="224"/>
      <c r="O757" s="224"/>
      <c r="P757" s="224"/>
      <c r="Q757" s="224"/>
      <c r="R757" s="224"/>
      <c r="S757" s="224"/>
      <c r="T757" s="224"/>
      <c r="U757" s="224"/>
      <c r="V757" s="224"/>
      <c r="W757" s="224"/>
      <c r="X757" s="224"/>
      <c r="Y757" s="224"/>
      <c r="Z757" s="224"/>
    </row>
    <row r="758">
      <c r="A758" s="225"/>
      <c r="B758" s="225"/>
      <c r="C758" s="225"/>
      <c r="D758" s="225"/>
      <c r="E758" s="225"/>
      <c r="F758" s="225"/>
      <c r="G758" s="225"/>
      <c r="H758" s="224"/>
      <c r="I758" s="224"/>
      <c r="J758" s="224"/>
      <c r="K758" s="224"/>
      <c r="L758" s="224"/>
      <c r="M758" s="224"/>
      <c r="N758" s="224"/>
      <c r="O758" s="224"/>
      <c r="P758" s="224"/>
      <c r="Q758" s="224"/>
      <c r="R758" s="224"/>
      <c r="S758" s="224"/>
      <c r="T758" s="224"/>
      <c r="U758" s="224"/>
      <c r="V758" s="224"/>
      <c r="W758" s="224"/>
      <c r="X758" s="224"/>
      <c r="Y758" s="224"/>
      <c r="Z758" s="224"/>
    </row>
    <row r="759">
      <c r="A759" s="225"/>
      <c r="B759" s="225"/>
      <c r="C759" s="225"/>
      <c r="D759" s="225"/>
      <c r="E759" s="225"/>
      <c r="F759" s="225"/>
      <c r="G759" s="225"/>
      <c r="H759" s="224"/>
      <c r="I759" s="224"/>
      <c r="J759" s="224"/>
      <c r="K759" s="224"/>
      <c r="L759" s="224"/>
      <c r="M759" s="224"/>
      <c r="N759" s="224"/>
      <c r="O759" s="224"/>
      <c r="P759" s="224"/>
      <c r="Q759" s="224"/>
      <c r="R759" s="224"/>
      <c r="S759" s="224"/>
      <c r="T759" s="224"/>
      <c r="U759" s="224"/>
      <c r="V759" s="224"/>
      <c r="W759" s="224"/>
      <c r="X759" s="224"/>
      <c r="Y759" s="224"/>
      <c r="Z759" s="224"/>
    </row>
    <row r="760">
      <c r="A760" s="225"/>
      <c r="B760" s="225"/>
      <c r="C760" s="225"/>
      <c r="D760" s="225"/>
      <c r="E760" s="225"/>
      <c r="F760" s="225"/>
      <c r="G760" s="225"/>
      <c r="H760" s="224"/>
      <c r="I760" s="224"/>
      <c r="J760" s="224"/>
      <c r="K760" s="224"/>
      <c r="L760" s="224"/>
      <c r="M760" s="224"/>
      <c r="N760" s="224"/>
      <c r="O760" s="224"/>
      <c r="P760" s="224"/>
      <c r="Q760" s="224"/>
      <c r="R760" s="224"/>
      <c r="S760" s="224"/>
      <c r="T760" s="224"/>
      <c r="U760" s="224"/>
      <c r="V760" s="224"/>
      <c r="W760" s="224"/>
      <c r="X760" s="224"/>
      <c r="Y760" s="224"/>
      <c r="Z760" s="224"/>
    </row>
    <row r="761">
      <c r="A761" s="225"/>
      <c r="B761" s="225"/>
      <c r="C761" s="225"/>
      <c r="D761" s="225"/>
      <c r="E761" s="225"/>
      <c r="F761" s="225"/>
      <c r="G761" s="225"/>
      <c r="H761" s="224"/>
      <c r="I761" s="224"/>
      <c r="J761" s="224"/>
      <c r="K761" s="224"/>
      <c r="L761" s="224"/>
      <c r="M761" s="224"/>
      <c r="N761" s="224"/>
      <c r="O761" s="224"/>
      <c r="P761" s="224"/>
      <c r="Q761" s="224"/>
      <c r="R761" s="224"/>
      <c r="S761" s="224"/>
      <c r="T761" s="224"/>
      <c r="U761" s="224"/>
      <c r="V761" s="224"/>
      <c r="W761" s="224"/>
      <c r="X761" s="224"/>
      <c r="Y761" s="224"/>
      <c r="Z761" s="224"/>
    </row>
    <row r="762">
      <c r="A762" s="225"/>
      <c r="B762" s="225"/>
      <c r="C762" s="225"/>
      <c r="D762" s="225"/>
      <c r="E762" s="225"/>
      <c r="F762" s="225"/>
      <c r="G762" s="225"/>
      <c r="H762" s="224"/>
      <c r="I762" s="224"/>
      <c r="J762" s="224"/>
      <c r="K762" s="224"/>
      <c r="L762" s="224"/>
      <c r="M762" s="224"/>
      <c r="N762" s="224"/>
      <c r="O762" s="224"/>
      <c r="P762" s="224"/>
      <c r="Q762" s="224"/>
      <c r="R762" s="224"/>
      <c r="S762" s="224"/>
      <c r="T762" s="224"/>
      <c r="U762" s="224"/>
      <c r="V762" s="224"/>
      <c r="W762" s="224"/>
      <c r="X762" s="224"/>
      <c r="Y762" s="224"/>
      <c r="Z762" s="224"/>
    </row>
    <row r="763">
      <c r="A763" s="225"/>
      <c r="B763" s="225"/>
      <c r="C763" s="225"/>
      <c r="D763" s="225"/>
      <c r="E763" s="225"/>
      <c r="F763" s="225"/>
      <c r="G763" s="225"/>
      <c r="H763" s="224"/>
      <c r="I763" s="224"/>
      <c r="J763" s="224"/>
      <c r="K763" s="224"/>
      <c r="L763" s="224"/>
      <c r="M763" s="224"/>
      <c r="N763" s="224"/>
      <c r="O763" s="224"/>
      <c r="P763" s="224"/>
      <c r="Q763" s="224"/>
      <c r="R763" s="224"/>
      <c r="S763" s="224"/>
      <c r="T763" s="224"/>
      <c r="U763" s="224"/>
      <c r="V763" s="224"/>
      <c r="W763" s="224"/>
      <c r="X763" s="224"/>
      <c r="Y763" s="224"/>
      <c r="Z763" s="224"/>
    </row>
    <row r="764">
      <c r="A764" s="225"/>
      <c r="B764" s="225"/>
      <c r="C764" s="225"/>
      <c r="D764" s="225"/>
      <c r="E764" s="225"/>
      <c r="F764" s="225"/>
      <c r="G764" s="225"/>
      <c r="H764" s="224"/>
      <c r="I764" s="224"/>
      <c r="J764" s="224"/>
      <c r="K764" s="224"/>
      <c r="L764" s="224"/>
      <c r="M764" s="224"/>
      <c r="N764" s="224"/>
      <c r="O764" s="224"/>
      <c r="P764" s="224"/>
      <c r="Q764" s="224"/>
      <c r="R764" s="224"/>
      <c r="S764" s="224"/>
      <c r="T764" s="224"/>
      <c r="U764" s="224"/>
      <c r="V764" s="224"/>
      <c r="W764" s="224"/>
      <c r="X764" s="224"/>
      <c r="Y764" s="224"/>
      <c r="Z764" s="224"/>
    </row>
    <row r="765">
      <c r="A765" s="225"/>
      <c r="B765" s="225"/>
      <c r="C765" s="225"/>
      <c r="D765" s="225"/>
      <c r="E765" s="225"/>
      <c r="F765" s="225"/>
      <c r="G765" s="225"/>
      <c r="H765" s="224"/>
      <c r="I765" s="224"/>
      <c r="J765" s="224"/>
      <c r="K765" s="224"/>
      <c r="L765" s="224"/>
      <c r="M765" s="224"/>
      <c r="N765" s="224"/>
      <c r="O765" s="224"/>
      <c r="P765" s="224"/>
      <c r="Q765" s="224"/>
      <c r="R765" s="224"/>
      <c r="S765" s="224"/>
      <c r="T765" s="224"/>
      <c r="U765" s="224"/>
      <c r="V765" s="224"/>
      <c r="W765" s="224"/>
      <c r="X765" s="224"/>
      <c r="Y765" s="224"/>
      <c r="Z765" s="224"/>
    </row>
    <row r="766">
      <c r="A766" s="225"/>
      <c r="B766" s="225"/>
      <c r="C766" s="225"/>
      <c r="D766" s="225"/>
      <c r="E766" s="225"/>
      <c r="F766" s="225"/>
      <c r="G766" s="225"/>
      <c r="H766" s="224"/>
      <c r="I766" s="224"/>
      <c r="J766" s="224"/>
      <c r="K766" s="224"/>
      <c r="L766" s="224"/>
      <c r="M766" s="224"/>
      <c r="N766" s="224"/>
      <c r="O766" s="224"/>
      <c r="P766" s="224"/>
      <c r="Q766" s="224"/>
      <c r="R766" s="224"/>
      <c r="S766" s="224"/>
      <c r="T766" s="224"/>
      <c r="U766" s="224"/>
      <c r="V766" s="224"/>
      <c r="W766" s="224"/>
      <c r="X766" s="224"/>
      <c r="Y766" s="224"/>
      <c r="Z766" s="224"/>
    </row>
    <row r="767">
      <c r="A767" s="225"/>
      <c r="B767" s="225"/>
      <c r="C767" s="225"/>
      <c r="D767" s="225"/>
      <c r="E767" s="225"/>
      <c r="F767" s="225"/>
      <c r="G767" s="225"/>
      <c r="H767" s="224"/>
      <c r="I767" s="224"/>
      <c r="J767" s="224"/>
      <c r="K767" s="224"/>
      <c r="L767" s="224"/>
      <c r="M767" s="224"/>
      <c r="N767" s="224"/>
      <c r="O767" s="224"/>
      <c r="P767" s="224"/>
      <c r="Q767" s="224"/>
      <c r="R767" s="224"/>
      <c r="S767" s="224"/>
      <c r="T767" s="224"/>
      <c r="U767" s="224"/>
      <c r="V767" s="224"/>
      <c r="W767" s="224"/>
      <c r="X767" s="224"/>
      <c r="Y767" s="224"/>
      <c r="Z767" s="224"/>
    </row>
    <row r="768">
      <c r="A768" s="225"/>
      <c r="B768" s="225"/>
      <c r="C768" s="225"/>
      <c r="D768" s="225"/>
      <c r="E768" s="225"/>
      <c r="F768" s="225"/>
      <c r="G768" s="225"/>
      <c r="H768" s="224"/>
      <c r="I768" s="224"/>
      <c r="J768" s="224"/>
      <c r="K768" s="224"/>
      <c r="L768" s="224"/>
      <c r="M768" s="224"/>
      <c r="N768" s="224"/>
      <c r="O768" s="224"/>
      <c r="P768" s="224"/>
      <c r="Q768" s="224"/>
      <c r="R768" s="224"/>
      <c r="S768" s="224"/>
      <c r="T768" s="224"/>
      <c r="U768" s="224"/>
      <c r="V768" s="224"/>
      <c r="W768" s="224"/>
      <c r="X768" s="224"/>
      <c r="Y768" s="224"/>
      <c r="Z768" s="224"/>
    </row>
    <row r="769">
      <c r="A769" s="225"/>
      <c r="B769" s="225"/>
      <c r="C769" s="225"/>
      <c r="D769" s="225"/>
      <c r="E769" s="225"/>
      <c r="F769" s="225"/>
      <c r="G769" s="225"/>
      <c r="H769" s="224"/>
      <c r="I769" s="224"/>
      <c r="J769" s="224"/>
      <c r="K769" s="224"/>
      <c r="L769" s="224"/>
      <c r="M769" s="224"/>
      <c r="N769" s="224"/>
      <c r="O769" s="224"/>
      <c r="P769" s="224"/>
      <c r="Q769" s="224"/>
      <c r="R769" s="224"/>
      <c r="S769" s="224"/>
      <c r="T769" s="224"/>
      <c r="U769" s="224"/>
      <c r="V769" s="224"/>
      <c r="W769" s="224"/>
      <c r="X769" s="224"/>
      <c r="Y769" s="224"/>
      <c r="Z769" s="224"/>
    </row>
    <row r="770">
      <c r="A770" s="225"/>
      <c r="B770" s="225"/>
      <c r="C770" s="225"/>
      <c r="D770" s="225"/>
      <c r="E770" s="225"/>
      <c r="F770" s="225"/>
      <c r="G770" s="225"/>
      <c r="H770" s="224"/>
      <c r="I770" s="224"/>
      <c r="J770" s="224"/>
      <c r="K770" s="224"/>
      <c r="L770" s="224"/>
      <c r="M770" s="224"/>
      <c r="N770" s="224"/>
      <c r="O770" s="224"/>
      <c r="P770" s="224"/>
      <c r="Q770" s="224"/>
      <c r="R770" s="224"/>
      <c r="S770" s="224"/>
      <c r="T770" s="224"/>
      <c r="U770" s="224"/>
      <c r="V770" s="224"/>
      <c r="W770" s="224"/>
      <c r="X770" s="224"/>
      <c r="Y770" s="224"/>
      <c r="Z770" s="224"/>
    </row>
    <row r="771">
      <c r="A771" s="225"/>
      <c r="B771" s="225"/>
      <c r="C771" s="225"/>
      <c r="D771" s="225"/>
      <c r="E771" s="225"/>
      <c r="F771" s="225"/>
      <c r="G771" s="225"/>
      <c r="H771" s="224"/>
      <c r="I771" s="224"/>
      <c r="J771" s="224"/>
      <c r="K771" s="224"/>
      <c r="L771" s="224"/>
      <c r="M771" s="224"/>
      <c r="N771" s="224"/>
      <c r="O771" s="224"/>
      <c r="P771" s="224"/>
      <c r="Q771" s="224"/>
      <c r="R771" s="224"/>
      <c r="S771" s="224"/>
      <c r="T771" s="224"/>
      <c r="U771" s="224"/>
      <c r="V771" s="224"/>
      <c r="W771" s="224"/>
      <c r="X771" s="224"/>
      <c r="Y771" s="224"/>
      <c r="Z771" s="224"/>
    </row>
    <row r="772">
      <c r="A772" s="225"/>
      <c r="B772" s="225"/>
      <c r="C772" s="225"/>
      <c r="D772" s="225"/>
      <c r="E772" s="225"/>
      <c r="F772" s="225"/>
      <c r="G772" s="225"/>
      <c r="H772" s="224"/>
      <c r="I772" s="224"/>
      <c r="J772" s="224"/>
      <c r="K772" s="224"/>
      <c r="L772" s="224"/>
      <c r="M772" s="224"/>
      <c r="N772" s="224"/>
      <c r="O772" s="224"/>
      <c r="P772" s="224"/>
      <c r="Q772" s="224"/>
      <c r="R772" s="224"/>
      <c r="S772" s="224"/>
      <c r="T772" s="224"/>
      <c r="U772" s="224"/>
      <c r="V772" s="224"/>
      <c r="W772" s="224"/>
      <c r="X772" s="224"/>
      <c r="Y772" s="224"/>
      <c r="Z772" s="224"/>
    </row>
    <row r="773">
      <c r="A773" s="225"/>
      <c r="B773" s="225"/>
      <c r="C773" s="225"/>
      <c r="D773" s="225"/>
      <c r="E773" s="225"/>
      <c r="F773" s="225"/>
      <c r="G773" s="225"/>
      <c r="H773" s="224"/>
      <c r="I773" s="224"/>
      <c r="J773" s="224"/>
      <c r="K773" s="224"/>
      <c r="L773" s="224"/>
      <c r="M773" s="224"/>
      <c r="N773" s="224"/>
      <c r="O773" s="224"/>
      <c r="P773" s="224"/>
      <c r="Q773" s="224"/>
      <c r="R773" s="224"/>
      <c r="S773" s="224"/>
      <c r="T773" s="224"/>
      <c r="U773" s="224"/>
      <c r="V773" s="224"/>
      <c r="W773" s="224"/>
      <c r="X773" s="224"/>
      <c r="Y773" s="224"/>
      <c r="Z773" s="224"/>
    </row>
    <row r="774">
      <c r="A774" s="225"/>
      <c r="B774" s="225"/>
      <c r="C774" s="225"/>
      <c r="D774" s="225"/>
      <c r="E774" s="225"/>
      <c r="F774" s="225"/>
      <c r="G774" s="225"/>
      <c r="H774" s="224"/>
      <c r="I774" s="224"/>
      <c r="J774" s="224"/>
      <c r="K774" s="224"/>
      <c r="L774" s="224"/>
      <c r="M774" s="224"/>
      <c r="N774" s="224"/>
      <c r="O774" s="224"/>
      <c r="P774" s="224"/>
      <c r="Q774" s="224"/>
      <c r="R774" s="224"/>
      <c r="S774" s="224"/>
      <c r="T774" s="224"/>
      <c r="U774" s="224"/>
      <c r="V774" s="224"/>
      <c r="W774" s="224"/>
      <c r="X774" s="224"/>
      <c r="Y774" s="224"/>
      <c r="Z774" s="224"/>
    </row>
    <row r="775">
      <c r="A775" s="225"/>
      <c r="B775" s="225"/>
      <c r="C775" s="225"/>
      <c r="D775" s="225"/>
      <c r="E775" s="225"/>
      <c r="F775" s="225"/>
      <c r="G775" s="225"/>
      <c r="H775" s="224"/>
      <c r="I775" s="224"/>
      <c r="J775" s="224"/>
      <c r="K775" s="224"/>
      <c r="L775" s="224"/>
      <c r="M775" s="224"/>
      <c r="N775" s="224"/>
      <c r="O775" s="224"/>
      <c r="P775" s="224"/>
      <c r="Q775" s="224"/>
      <c r="R775" s="224"/>
      <c r="S775" s="224"/>
      <c r="T775" s="224"/>
      <c r="U775" s="224"/>
      <c r="V775" s="224"/>
      <c r="W775" s="224"/>
      <c r="X775" s="224"/>
      <c r="Y775" s="224"/>
      <c r="Z775" s="224"/>
    </row>
    <row r="776">
      <c r="A776" s="225"/>
      <c r="B776" s="225"/>
      <c r="C776" s="225"/>
      <c r="D776" s="225"/>
      <c r="E776" s="225"/>
      <c r="F776" s="225"/>
      <c r="G776" s="225"/>
      <c r="H776" s="224"/>
      <c r="I776" s="224"/>
      <c r="J776" s="224"/>
      <c r="K776" s="224"/>
      <c r="L776" s="224"/>
      <c r="M776" s="224"/>
      <c r="N776" s="224"/>
      <c r="O776" s="224"/>
      <c r="P776" s="224"/>
      <c r="Q776" s="224"/>
      <c r="R776" s="224"/>
      <c r="S776" s="224"/>
      <c r="T776" s="224"/>
      <c r="U776" s="224"/>
      <c r="V776" s="224"/>
      <c r="W776" s="224"/>
      <c r="X776" s="224"/>
      <c r="Y776" s="224"/>
      <c r="Z776" s="224"/>
    </row>
    <row r="777">
      <c r="A777" s="225"/>
      <c r="B777" s="225"/>
      <c r="C777" s="225"/>
      <c r="D777" s="225"/>
      <c r="E777" s="225"/>
      <c r="F777" s="225"/>
      <c r="G777" s="225"/>
      <c r="H777" s="224"/>
      <c r="I777" s="224"/>
      <c r="J777" s="224"/>
      <c r="K777" s="224"/>
      <c r="L777" s="224"/>
      <c r="M777" s="224"/>
      <c r="N777" s="224"/>
      <c r="O777" s="224"/>
      <c r="P777" s="224"/>
      <c r="Q777" s="224"/>
      <c r="R777" s="224"/>
      <c r="S777" s="224"/>
      <c r="T777" s="224"/>
      <c r="U777" s="224"/>
      <c r="V777" s="224"/>
      <c r="W777" s="224"/>
      <c r="X777" s="224"/>
      <c r="Y777" s="224"/>
      <c r="Z777" s="224"/>
    </row>
    <row r="778">
      <c r="A778" s="225"/>
      <c r="B778" s="225"/>
      <c r="C778" s="225"/>
      <c r="D778" s="225"/>
      <c r="E778" s="225"/>
      <c r="F778" s="225"/>
      <c r="G778" s="225"/>
      <c r="H778" s="224"/>
      <c r="I778" s="224"/>
      <c r="J778" s="224"/>
      <c r="K778" s="224"/>
      <c r="L778" s="224"/>
      <c r="M778" s="224"/>
      <c r="N778" s="224"/>
      <c r="O778" s="224"/>
      <c r="P778" s="224"/>
      <c r="Q778" s="224"/>
      <c r="R778" s="224"/>
      <c r="S778" s="224"/>
      <c r="T778" s="224"/>
      <c r="U778" s="224"/>
      <c r="V778" s="224"/>
      <c r="W778" s="224"/>
      <c r="X778" s="224"/>
      <c r="Y778" s="224"/>
      <c r="Z778" s="224"/>
    </row>
    <row r="779">
      <c r="A779" s="225"/>
      <c r="B779" s="225"/>
      <c r="C779" s="225"/>
      <c r="D779" s="225"/>
      <c r="E779" s="225"/>
      <c r="F779" s="225"/>
      <c r="G779" s="225"/>
      <c r="H779" s="224"/>
      <c r="I779" s="224"/>
      <c r="J779" s="224"/>
      <c r="K779" s="224"/>
      <c r="L779" s="224"/>
      <c r="M779" s="224"/>
      <c r="N779" s="224"/>
      <c r="O779" s="224"/>
      <c r="P779" s="224"/>
      <c r="Q779" s="224"/>
      <c r="R779" s="224"/>
      <c r="S779" s="224"/>
      <c r="T779" s="224"/>
      <c r="U779" s="224"/>
      <c r="V779" s="224"/>
      <c r="W779" s="224"/>
      <c r="X779" s="224"/>
      <c r="Y779" s="224"/>
      <c r="Z779" s="224"/>
    </row>
    <row r="780">
      <c r="A780" s="225"/>
      <c r="B780" s="225"/>
      <c r="C780" s="225"/>
      <c r="D780" s="225"/>
      <c r="E780" s="225"/>
      <c r="F780" s="225"/>
      <c r="G780" s="225"/>
      <c r="H780" s="224"/>
      <c r="I780" s="224"/>
      <c r="J780" s="224"/>
      <c r="K780" s="224"/>
      <c r="L780" s="224"/>
      <c r="M780" s="224"/>
      <c r="N780" s="224"/>
      <c r="O780" s="224"/>
      <c r="P780" s="224"/>
      <c r="Q780" s="224"/>
      <c r="R780" s="224"/>
      <c r="S780" s="224"/>
      <c r="T780" s="224"/>
      <c r="U780" s="224"/>
      <c r="V780" s="224"/>
      <c r="W780" s="224"/>
      <c r="X780" s="224"/>
      <c r="Y780" s="224"/>
      <c r="Z780" s="224"/>
    </row>
    <row r="781">
      <c r="A781" s="225"/>
      <c r="B781" s="225"/>
      <c r="C781" s="225"/>
      <c r="D781" s="225"/>
      <c r="E781" s="225"/>
      <c r="F781" s="225"/>
      <c r="G781" s="225"/>
      <c r="H781" s="224"/>
      <c r="I781" s="224"/>
      <c r="J781" s="224"/>
      <c r="K781" s="224"/>
      <c r="L781" s="224"/>
      <c r="M781" s="224"/>
      <c r="N781" s="224"/>
      <c r="O781" s="224"/>
      <c r="P781" s="224"/>
      <c r="Q781" s="224"/>
      <c r="R781" s="224"/>
      <c r="S781" s="224"/>
      <c r="T781" s="224"/>
      <c r="U781" s="224"/>
      <c r="V781" s="224"/>
      <c r="W781" s="224"/>
      <c r="X781" s="224"/>
      <c r="Y781" s="224"/>
      <c r="Z781" s="224"/>
    </row>
    <row r="782">
      <c r="A782" s="225"/>
      <c r="B782" s="225"/>
      <c r="C782" s="225"/>
      <c r="D782" s="225"/>
      <c r="E782" s="225"/>
      <c r="F782" s="225"/>
      <c r="G782" s="225"/>
      <c r="H782" s="224"/>
      <c r="I782" s="224"/>
      <c r="J782" s="224"/>
      <c r="K782" s="224"/>
      <c r="L782" s="224"/>
      <c r="M782" s="224"/>
      <c r="N782" s="224"/>
      <c r="O782" s="224"/>
      <c r="P782" s="224"/>
      <c r="Q782" s="224"/>
      <c r="R782" s="224"/>
      <c r="S782" s="224"/>
      <c r="T782" s="224"/>
      <c r="U782" s="224"/>
      <c r="V782" s="224"/>
      <c r="W782" s="224"/>
      <c r="X782" s="224"/>
      <c r="Y782" s="224"/>
      <c r="Z782" s="224"/>
    </row>
    <row r="783">
      <c r="A783" s="225"/>
      <c r="B783" s="225"/>
      <c r="C783" s="225"/>
      <c r="D783" s="225"/>
      <c r="E783" s="225"/>
      <c r="F783" s="225"/>
      <c r="G783" s="225"/>
      <c r="H783" s="224"/>
      <c r="I783" s="224"/>
      <c r="J783" s="224"/>
      <c r="K783" s="224"/>
      <c r="L783" s="224"/>
      <c r="M783" s="224"/>
      <c r="N783" s="224"/>
      <c r="O783" s="224"/>
      <c r="P783" s="224"/>
      <c r="Q783" s="224"/>
      <c r="R783" s="224"/>
      <c r="S783" s="224"/>
      <c r="T783" s="224"/>
      <c r="U783" s="224"/>
      <c r="V783" s="224"/>
      <c r="W783" s="224"/>
      <c r="X783" s="224"/>
      <c r="Y783" s="224"/>
      <c r="Z783" s="224"/>
    </row>
    <row r="784">
      <c r="A784" s="225"/>
      <c r="B784" s="225"/>
      <c r="C784" s="225"/>
      <c r="D784" s="225"/>
      <c r="E784" s="225"/>
      <c r="F784" s="225"/>
      <c r="G784" s="225"/>
      <c r="H784" s="224"/>
      <c r="I784" s="224"/>
      <c r="J784" s="224"/>
      <c r="K784" s="224"/>
      <c r="L784" s="224"/>
      <c r="M784" s="224"/>
      <c r="N784" s="224"/>
      <c r="O784" s="224"/>
      <c r="P784" s="224"/>
      <c r="Q784" s="224"/>
      <c r="R784" s="224"/>
      <c r="S784" s="224"/>
      <c r="T784" s="224"/>
      <c r="U784" s="224"/>
      <c r="V784" s="224"/>
      <c r="W784" s="224"/>
      <c r="X784" s="224"/>
      <c r="Y784" s="224"/>
      <c r="Z784" s="224"/>
    </row>
    <row r="785">
      <c r="A785" s="225"/>
      <c r="B785" s="225"/>
      <c r="C785" s="225"/>
      <c r="D785" s="225"/>
      <c r="E785" s="225"/>
      <c r="F785" s="225"/>
      <c r="G785" s="225"/>
      <c r="H785" s="224"/>
      <c r="I785" s="224"/>
      <c r="J785" s="224"/>
      <c r="K785" s="224"/>
      <c r="L785" s="224"/>
      <c r="M785" s="224"/>
      <c r="N785" s="224"/>
      <c r="O785" s="224"/>
      <c r="P785" s="224"/>
      <c r="Q785" s="224"/>
      <c r="R785" s="224"/>
      <c r="S785" s="224"/>
      <c r="T785" s="224"/>
      <c r="U785" s="224"/>
      <c r="V785" s="224"/>
      <c r="W785" s="224"/>
      <c r="X785" s="224"/>
      <c r="Y785" s="224"/>
      <c r="Z785" s="224"/>
    </row>
    <row r="786">
      <c r="A786" s="225"/>
      <c r="B786" s="225"/>
      <c r="C786" s="225"/>
      <c r="D786" s="225"/>
      <c r="E786" s="225"/>
      <c r="F786" s="225"/>
      <c r="G786" s="225"/>
      <c r="H786" s="224"/>
      <c r="I786" s="224"/>
      <c r="J786" s="224"/>
      <c r="K786" s="224"/>
      <c r="L786" s="224"/>
      <c r="M786" s="224"/>
      <c r="N786" s="224"/>
      <c r="O786" s="224"/>
      <c r="P786" s="224"/>
      <c r="Q786" s="224"/>
      <c r="R786" s="224"/>
      <c r="S786" s="224"/>
      <c r="T786" s="224"/>
      <c r="U786" s="224"/>
      <c r="V786" s="224"/>
      <c r="W786" s="224"/>
      <c r="X786" s="224"/>
      <c r="Y786" s="224"/>
      <c r="Z786" s="224"/>
    </row>
    <row r="787">
      <c r="A787" s="225"/>
      <c r="B787" s="225"/>
      <c r="C787" s="225"/>
      <c r="D787" s="225"/>
      <c r="E787" s="225"/>
      <c r="F787" s="225"/>
      <c r="G787" s="225"/>
      <c r="H787" s="224"/>
      <c r="I787" s="224"/>
      <c r="J787" s="224"/>
      <c r="K787" s="224"/>
      <c r="L787" s="224"/>
      <c r="M787" s="224"/>
      <c r="N787" s="224"/>
      <c r="O787" s="224"/>
      <c r="P787" s="224"/>
      <c r="Q787" s="224"/>
      <c r="R787" s="224"/>
      <c r="S787" s="224"/>
      <c r="T787" s="224"/>
      <c r="U787" s="224"/>
      <c r="V787" s="224"/>
      <c r="W787" s="224"/>
      <c r="X787" s="224"/>
      <c r="Y787" s="224"/>
      <c r="Z787" s="224"/>
    </row>
    <row r="788">
      <c r="A788" s="225"/>
      <c r="B788" s="225"/>
      <c r="C788" s="225"/>
      <c r="D788" s="225"/>
      <c r="E788" s="225"/>
      <c r="F788" s="225"/>
      <c r="G788" s="225"/>
      <c r="H788" s="224"/>
      <c r="I788" s="224"/>
      <c r="J788" s="224"/>
      <c r="K788" s="224"/>
      <c r="L788" s="224"/>
      <c r="M788" s="224"/>
      <c r="N788" s="224"/>
      <c r="O788" s="224"/>
      <c r="P788" s="224"/>
      <c r="Q788" s="224"/>
      <c r="R788" s="224"/>
      <c r="S788" s="224"/>
      <c r="T788" s="224"/>
      <c r="U788" s="224"/>
      <c r="V788" s="224"/>
      <c r="W788" s="224"/>
      <c r="X788" s="224"/>
      <c r="Y788" s="224"/>
      <c r="Z788" s="224"/>
    </row>
    <row r="789">
      <c r="A789" s="225"/>
      <c r="B789" s="225"/>
      <c r="C789" s="225"/>
      <c r="D789" s="225"/>
      <c r="E789" s="225"/>
      <c r="F789" s="225"/>
      <c r="G789" s="225"/>
      <c r="H789" s="224"/>
      <c r="I789" s="224"/>
      <c r="J789" s="224"/>
      <c r="K789" s="224"/>
      <c r="L789" s="224"/>
      <c r="M789" s="224"/>
      <c r="N789" s="224"/>
      <c r="O789" s="224"/>
      <c r="P789" s="224"/>
      <c r="Q789" s="224"/>
      <c r="R789" s="224"/>
      <c r="S789" s="224"/>
      <c r="T789" s="224"/>
      <c r="U789" s="224"/>
      <c r="V789" s="224"/>
      <c r="W789" s="224"/>
      <c r="X789" s="224"/>
      <c r="Y789" s="224"/>
      <c r="Z789" s="224"/>
    </row>
    <row r="790">
      <c r="A790" s="225"/>
      <c r="B790" s="225"/>
      <c r="C790" s="225"/>
      <c r="D790" s="225"/>
      <c r="E790" s="225"/>
      <c r="F790" s="225"/>
      <c r="G790" s="225"/>
      <c r="H790" s="224"/>
      <c r="I790" s="224"/>
      <c r="J790" s="224"/>
      <c r="K790" s="224"/>
      <c r="L790" s="224"/>
      <c r="M790" s="224"/>
      <c r="N790" s="224"/>
      <c r="O790" s="224"/>
      <c r="P790" s="224"/>
      <c r="Q790" s="224"/>
      <c r="R790" s="224"/>
      <c r="S790" s="224"/>
      <c r="T790" s="224"/>
      <c r="U790" s="224"/>
      <c r="V790" s="224"/>
      <c r="W790" s="224"/>
      <c r="X790" s="224"/>
      <c r="Y790" s="224"/>
      <c r="Z790" s="224"/>
    </row>
    <row r="791">
      <c r="A791" s="225"/>
      <c r="B791" s="225"/>
      <c r="C791" s="225"/>
      <c r="D791" s="225"/>
      <c r="E791" s="225"/>
      <c r="F791" s="225"/>
      <c r="G791" s="225"/>
      <c r="H791" s="224"/>
      <c r="I791" s="224"/>
      <c r="J791" s="224"/>
      <c r="K791" s="224"/>
      <c r="L791" s="224"/>
      <c r="M791" s="224"/>
      <c r="N791" s="224"/>
      <c r="O791" s="224"/>
      <c r="P791" s="224"/>
      <c r="Q791" s="224"/>
      <c r="R791" s="224"/>
      <c r="S791" s="224"/>
      <c r="T791" s="224"/>
      <c r="U791" s="224"/>
      <c r="V791" s="224"/>
      <c r="W791" s="224"/>
      <c r="X791" s="224"/>
      <c r="Y791" s="224"/>
      <c r="Z791" s="224"/>
    </row>
    <row r="792">
      <c r="A792" s="225"/>
      <c r="B792" s="225"/>
      <c r="C792" s="225"/>
      <c r="D792" s="225"/>
      <c r="E792" s="225"/>
      <c r="F792" s="225"/>
      <c r="G792" s="225"/>
      <c r="H792" s="224"/>
      <c r="I792" s="224"/>
      <c r="J792" s="224"/>
      <c r="K792" s="224"/>
      <c r="L792" s="224"/>
      <c r="M792" s="224"/>
      <c r="N792" s="224"/>
      <c r="O792" s="224"/>
      <c r="P792" s="224"/>
      <c r="Q792" s="224"/>
      <c r="R792" s="224"/>
      <c r="S792" s="224"/>
      <c r="T792" s="224"/>
      <c r="U792" s="224"/>
      <c r="V792" s="224"/>
      <c r="W792" s="224"/>
      <c r="X792" s="224"/>
      <c r="Y792" s="224"/>
      <c r="Z792" s="224"/>
    </row>
    <row r="793">
      <c r="A793" s="225"/>
      <c r="B793" s="225"/>
      <c r="C793" s="225"/>
      <c r="D793" s="225"/>
      <c r="E793" s="225"/>
      <c r="F793" s="225"/>
      <c r="G793" s="225"/>
      <c r="H793" s="224"/>
      <c r="I793" s="224"/>
      <c r="J793" s="224"/>
      <c r="K793" s="224"/>
      <c r="L793" s="224"/>
      <c r="M793" s="224"/>
      <c r="N793" s="224"/>
      <c r="O793" s="224"/>
      <c r="P793" s="224"/>
      <c r="Q793" s="224"/>
      <c r="R793" s="224"/>
      <c r="S793" s="224"/>
      <c r="T793" s="224"/>
      <c r="U793" s="224"/>
      <c r="V793" s="224"/>
      <c r="W793" s="224"/>
      <c r="X793" s="224"/>
      <c r="Y793" s="224"/>
      <c r="Z793" s="224"/>
    </row>
    <row r="794">
      <c r="A794" s="225"/>
      <c r="B794" s="225"/>
      <c r="C794" s="225"/>
      <c r="D794" s="225"/>
      <c r="E794" s="225"/>
      <c r="F794" s="225"/>
      <c r="G794" s="225"/>
      <c r="H794" s="224"/>
      <c r="I794" s="224"/>
      <c r="J794" s="224"/>
      <c r="K794" s="224"/>
      <c r="L794" s="224"/>
      <c r="M794" s="224"/>
      <c r="N794" s="224"/>
      <c r="O794" s="224"/>
      <c r="P794" s="224"/>
      <c r="Q794" s="224"/>
      <c r="R794" s="224"/>
      <c r="S794" s="224"/>
      <c r="T794" s="224"/>
      <c r="U794" s="224"/>
      <c r="V794" s="224"/>
      <c r="W794" s="224"/>
      <c r="X794" s="224"/>
      <c r="Y794" s="224"/>
      <c r="Z794" s="224"/>
    </row>
    <row r="795">
      <c r="A795" s="225"/>
      <c r="B795" s="225"/>
      <c r="C795" s="225"/>
      <c r="D795" s="225"/>
      <c r="E795" s="225"/>
      <c r="F795" s="225"/>
      <c r="G795" s="225"/>
      <c r="H795" s="224"/>
      <c r="I795" s="224"/>
      <c r="J795" s="224"/>
      <c r="K795" s="224"/>
      <c r="L795" s="224"/>
      <c r="M795" s="224"/>
      <c r="N795" s="224"/>
      <c r="O795" s="224"/>
      <c r="P795" s="224"/>
      <c r="Q795" s="224"/>
      <c r="R795" s="224"/>
      <c r="S795" s="224"/>
      <c r="T795" s="224"/>
      <c r="U795" s="224"/>
      <c r="V795" s="224"/>
      <c r="W795" s="224"/>
      <c r="X795" s="224"/>
      <c r="Y795" s="224"/>
      <c r="Z795" s="224"/>
    </row>
    <row r="796">
      <c r="A796" s="225"/>
      <c r="B796" s="225"/>
      <c r="C796" s="225"/>
      <c r="D796" s="225"/>
      <c r="E796" s="225"/>
      <c r="F796" s="225"/>
      <c r="G796" s="225"/>
      <c r="H796" s="224"/>
      <c r="I796" s="224"/>
      <c r="J796" s="224"/>
      <c r="K796" s="224"/>
      <c r="L796" s="224"/>
      <c r="M796" s="224"/>
      <c r="N796" s="224"/>
      <c r="O796" s="224"/>
      <c r="P796" s="224"/>
      <c r="Q796" s="224"/>
      <c r="R796" s="224"/>
      <c r="S796" s="224"/>
      <c r="T796" s="224"/>
      <c r="U796" s="224"/>
      <c r="V796" s="224"/>
      <c r="W796" s="224"/>
      <c r="X796" s="224"/>
      <c r="Y796" s="224"/>
      <c r="Z796" s="224"/>
    </row>
    <row r="797">
      <c r="A797" s="225"/>
      <c r="B797" s="225"/>
      <c r="C797" s="225"/>
      <c r="D797" s="225"/>
      <c r="E797" s="225"/>
      <c r="F797" s="225"/>
      <c r="G797" s="225"/>
      <c r="H797" s="224"/>
      <c r="I797" s="224"/>
      <c r="J797" s="224"/>
      <c r="K797" s="224"/>
      <c r="L797" s="224"/>
      <c r="M797" s="224"/>
      <c r="N797" s="224"/>
      <c r="O797" s="224"/>
      <c r="P797" s="224"/>
      <c r="Q797" s="224"/>
      <c r="R797" s="224"/>
      <c r="S797" s="224"/>
      <c r="T797" s="224"/>
      <c r="U797" s="224"/>
      <c r="V797" s="224"/>
      <c r="W797" s="224"/>
      <c r="X797" s="224"/>
      <c r="Y797" s="224"/>
      <c r="Z797" s="224"/>
    </row>
    <row r="798">
      <c r="A798" s="225"/>
      <c r="B798" s="225"/>
      <c r="C798" s="225"/>
      <c r="D798" s="225"/>
      <c r="E798" s="225"/>
      <c r="F798" s="225"/>
      <c r="G798" s="225"/>
      <c r="H798" s="224"/>
      <c r="I798" s="224"/>
      <c r="J798" s="224"/>
      <c r="K798" s="224"/>
      <c r="L798" s="224"/>
      <c r="M798" s="224"/>
      <c r="N798" s="224"/>
      <c r="O798" s="224"/>
      <c r="P798" s="224"/>
      <c r="Q798" s="224"/>
      <c r="R798" s="224"/>
      <c r="S798" s="224"/>
      <c r="T798" s="224"/>
      <c r="U798" s="224"/>
      <c r="V798" s="224"/>
      <c r="W798" s="224"/>
      <c r="X798" s="224"/>
      <c r="Y798" s="224"/>
      <c r="Z798" s="224"/>
    </row>
    <row r="799">
      <c r="A799" s="225"/>
      <c r="B799" s="225"/>
      <c r="C799" s="225"/>
      <c r="D799" s="225"/>
      <c r="E799" s="225"/>
      <c r="F799" s="225"/>
      <c r="G799" s="225"/>
      <c r="H799" s="224"/>
      <c r="I799" s="224"/>
      <c r="J799" s="224"/>
      <c r="K799" s="224"/>
      <c r="L799" s="224"/>
      <c r="M799" s="224"/>
      <c r="N799" s="224"/>
      <c r="O799" s="224"/>
      <c r="P799" s="224"/>
      <c r="Q799" s="224"/>
      <c r="R799" s="224"/>
      <c r="S799" s="224"/>
      <c r="T799" s="224"/>
      <c r="U799" s="224"/>
      <c r="V799" s="224"/>
      <c r="W799" s="224"/>
      <c r="X799" s="224"/>
      <c r="Y799" s="224"/>
      <c r="Z799" s="224"/>
    </row>
    <row r="800">
      <c r="A800" s="225"/>
      <c r="B800" s="225"/>
      <c r="C800" s="225"/>
      <c r="D800" s="225"/>
      <c r="E800" s="225"/>
      <c r="F800" s="225"/>
      <c r="G800" s="225"/>
      <c r="H800" s="224"/>
      <c r="I800" s="224"/>
      <c r="J800" s="224"/>
      <c r="K800" s="224"/>
      <c r="L800" s="224"/>
      <c r="M800" s="224"/>
      <c r="N800" s="224"/>
      <c r="O800" s="224"/>
      <c r="P800" s="224"/>
      <c r="Q800" s="224"/>
      <c r="R800" s="224"/>
      <c r="S800" s="224"/>
      <c r="T800" s="224"/>
      <c r="U800" s="224"/>
      <c r="V800" s="224"/>
      <c r="W800" s="224"/>
      <c r="X800" s="224"/>
      <c r="Y800" s="224"/>
      <c r="Z800" s="224"/>
    </row>
    <row r="801">
      <c r="A801" s="225"/>
      <c r="B801" s="225"/>
      <c r="C801" s="225"/>
      <c r="D801" s="225"/>
      <c r="E801" s="225"/>
      <c r="F801" s="225"/>
      <c r="G801" s="225"/>
      <c r="H801" s="224"/>
      <c r="I801" s="224"/>
      <c r="J801" s="224"/>
      <c r="K801" s="224"/>
      <c r="L801" s="224"/>
      <c r="M801" s="224"/>
      <c r="N801" s="224"/>
      <c r="O801" s="224"/>
      <c r="P801" s="224"/>
      <c r="Q801" s="224"/>
      <c r="R801" s="224"/>
      <c r="S801" s="224"/>
      <c r="T801" s="224"/>
      <c r="U801" s="224"/>
      <c r="V801" s="224"/>
      <c r="W801" s="224"/>
      <c r="X801" s="224"/>
      <c r="Y801" s="224"/>
      <c r="Z801" s="224"/>
    </row>
    <row r="802">
      <c r="A802" s="225"/>
      <c r="B802" s="225"/>
      <c r="C802" s="225"/>
      <c r="D802" s="225"/>
      <c r="E802" s="225"/>
      <c r="F802" s="225"/>
      <c r="G802" s="225"/>
      <c r="H802" s="224"/>
      <c r="I802" s="224"/>
      <c r="J802" s="224"/>
      <c r="K802" s="224"/>
      <c r="L802" s="224"/>
      <c r="M802" s="224"/>
      <c r="N802" s="224"/>
      <c r="O802" s="224"/>
      <c r="P802" s="224"/>
      <c r="Q802" s="224"/>
      <c r="R802" s="224"/>
      <c r="S802" s="224"/>
      <c r="T802" s="224"/>
      <c r="U802" s="224"/>
      <c r="V802" s="224"/>
      <c r="W802" s="224"/>
      <c r="X802" s="224"/>
      <c r="Y802" s="224"/>
      <c r="Z802" s="224"/>
    </row>
    <row r="803">
      <c r="A803" s="225"/>
      <c r="B803" s="225"/>
      <c r="C803" s="225"/>
      <c r="D803" s="225"/>
      <c r="E803" s="225"/>
      <c r="F803" s="225"/>
      <c r="G803" s="225"/>
      <c r="H803" s="224"/>
      <c r="I803" s="224"/>
      <c r="J803" s="224"/>
      <c r="K803" s="224"/>
      <c r="L803" s="224"/>
      <c r="M803" s="224"/>
      <c r="N803" s="224"/>
      <c r="O803" s="224"/>
      <c r="P803" s="224"/>
      <c r="Q803" s="224"/>
      <c r="R803" s="224"/>
      <c r="S803" s="224"/>
      <c r="T803" s="224"/>
      <c r="U803" s="224"/>
      <c r="V803" s="224"/>
      <c r="W803" s="224"/>
      <c r="X803" s="224"/>
      <c r="Y803" s="224"/>
      <c r="Z803" s="224"/>
    </row>
    <row r="804">
      <c r="A804" s="225"/>
      <c r="B804" s="225"/>
      <c r="C804" s="225"/>
      <c r="D804" s="225"/>
      <c r="E804" s="225"/>
      <c r="F804" s="225"/>
      <c r="G804" s="225"/>
      <c r="H804" s="224"/>
      <c r="I804" s="224"/>
      <c r="J804" s="224"/>
      <c r="K804" s="224"/>
      <c r="L804" s="224"/>
      <c r="M804" s="224"/>
      <c r="N804" s="224"/>
      <c r="O804" s="224"/>
      <c r="P804" s="224"/>
      <c r="Q804" s="224"/>
      <c r="R804" s="224"/>
      <c r="S804" s="224"/>
      <c r="T804" s="224"/>
      <c r="U804" s="224"/>
      <c r="V804" s="224"/>
      <c r="W804" s="224"/>
      <c r="X804" s="224"/>
      <c r="Y804" s="224"/>
      <c r="Z804" s="224"/>
    </row>
    <row r="805">
      <c r="A805" s="225"/>
      <c r="B805" s="225"/>
      <c r="C805" s="225"/>
      <c r="D805" s="225"/>
      <c r="E805" s="225"/>
      <c r="F805" s="225"/>
      <c r="G805" s="225"/>
      <c r="H805" s="224"/>
      <c r="I805" s="224"/>
      <c r="J805" s="224"/>
      <c r="K805" s="224"/>
      <c r="L805" s="224"/>
      <c r="M805" s="224"/>
      <c r="N805" s="224"/>
      <c r="O805" s="224"/>
      <c r="P805" s="224"/>
      <c r="Q805" s="224"/>
      <c r="R805" s="224"/>
      <c r="S805" s="224"/>
      <c r="T805" s="224"/>
      <c r="U805" s="224"/>
      <c r="V805" s="224"/>
      <c r="W805" s="224"/>
      <c r="X805" s="224"/>
      <c r="Y805" s="224"/>
      <c r="Z805" s="224"/>
    </row>
    <row r="806">
      <c r="A806" s="225"/>
      <c r="B806" s="225"/>
      <c r="C806" s="225"/>
      <c r="D806" s="225"/>
      <c r="E806" s="225"/>
      <c r="F806" s="225"/>
      <c r="G806" s="225"/>
      <c r="H806" s="224"/>
      <c r="I806" s="224"/>
      <c r="J806" s="224"/>
      <c r="K806" s="224"/>
      <c r="L806" s="224"/>
      <c r="M806" s="224"/>
      <c r="N806" s="224"/>
      <c r="O806" s="224"/>
      <c r="P806" s="224"/>
      <c r="Q806" s="224"/>
      <c r="R806" s="224"/>
      <c r="S806" s="224"/>
      <c r="T806" s="224"/>
      <c r="U806" s="224"/>
      <c r="V806" s="224"/>
      <c r="W806" s="224"/>
      <c r="X806" s="224"/>
      <c r="Y806" s="224"/>
      <c r="Z806" s="224"/>
    </row>
    <row r="807">
      <c r="A807" s="225"/>
      <c r="B807" s="225"/>
      <c r="C807" s="225"/>
      <c r="D807" s="225"/>
      <c r="E807" s="225"/>
      <c r="F807" s="225"/>
      <c r="G807" s="225"/>
      <c r="H807" s="224"/>
      <c r="I807" s="224"/>
      <c r="J807" s="224"/>
      <c r="K807" s="224"/>
      <c r="L807" s="224"/>
      <c r="M807" s="224"/>
      <c r="N807" s="224"/>
      <c r="O807" s="224"/>
      <c r="P807" s="224"/>
      <c r="Q807" s="224"/>
      <c r="R807" s="224"/>
      <c r="S807" s="224"/>
      <c r="T807" s="224"/>
      <c r="U807" s="224"/>
      <c r="V807" s="224"/>
      <c r="W807" s="224"/>
      <c r="X807" s="224"/>
      <c r="Y807" s="224"/>
      <c r="Z807" s="224"/>
    </row>
    <row r="808">
      <c r="A808" s="225"/>
      <c r="B808" s="225"/>
      <c r="C808" s="225"/>
      <c r="D808" s="225"/>
      <c r="E808" s="225"/>
      <c r="F808" s="225"/>
      <c r="G808" s="225"/>
      <c r="H808" s="224"/>
      <c r="I808" s="224"/>
      <c r="J808" s="224"/>
      <c r="K808" s="224"/>
      <c r="L808" s="224"/>
      <c r="M808" s="224"/>
      <c r="N808" s="224"/>
      <c r="O808" s="224"/>
      <c r="P808" s="224"/>
      <c r="Q808" s="224"/>
      <c r="R808" s="224"/>
      <c r="S808" s="224"/>
      <c r="T808" s="224"/>
      <c r="U808" s="224"/>
      <c r="V808" s="224"/>
      <c r="W808" s="224"/>
      <c r="X808" s="224"/>
      <c r="Y808" s="224"/>
      <c r="Z808" s="224"/>
    </row>
    <row r="809">
      <c r="A809" s="225"/>
      <c r="B809" s="225"/>
      <c r="C809" s="225"/>
      <c r="D809" s="225"/>
      <c r="E809" s="225"/>
      <c r="F809" s="225"/>
      <c r="G809" s="225"/>
      <c r="H809" s="224"/>
      <c r="I809" s="224"/>
      <c r="J809" s="224"/>
      <c r="K809" s="224"/>
      <c r="L809" s="224"/>
      <c r="M809" s="224"/>
      <c r="N809" s="224"/>
      <c r="O809" s="224"/>
      <c r="P809" s="224"/>
      <c r="Q809" s="224"/>
      <c r="R809" s="224"/>
      <c r="S809" s="224"/>
      <c r="T809" s="224"/>
      <c r="U809" s="224"/>
      <c r="V809" s="224"/>
      <c r="W809" s="224"/>
      <c r="X809" s="224"/>
      <c r="Y809" s="224"/>
      <c r="Z809" s="224"/>
    </row>
    <row r="810">
      <c r="A810" s="225"/>
      <c r="B810" s="225"/>
      <c r="C810" s="225"/>
      <c r="D810" s="225"/>
      <c r="E810" s="225"/>
      <c r="F810" s="225"/>
      <c r="G810" s="225"/>
      <c r="H810" s="224"/>
      <c r="I810" s="224"/>
      <c r="J810" s="224"/>
      <c r="K810" s="224"/>
      <c r="L810" s="224"/>
      <c r="M810" s="224"/>
      <c r="N810" s="224"/>
      <c r="O810" s="224"/>
      <c r="P810" s="224"/>
      <c r="Q810" s="224"/>
      <c r="R810" s="224"/>
      <c r="S810" s="224"/>
      <c r="T810" s="224"/>
      <c r="U810" s="224"/>
      <c r="V810" s="224"/>
      <c r="W810" s="224"/>
      <c r="X810" s="224"/>
      <c r="Y810" s="224"/>
      <c r="Z810" s="224"/>
    </row>
    <row r="811">
      <c r="A811" s="225"/>
      <c r="B811" s="225"/>
      <c r="C811" s="225"/>
      <c r="D811" s="225"/>
      <c r="E811" s="225"/>
      <c r="F811" s="225"/>
      <c r="G811" s="225"/>
      <c r="H811" s="224"/>
      <c r="I811" s="224"/>
      <c r="J811" s="224"/>
      <c r="K811" s="224"/>
      <c r="L811" s="224"/>
      <c r="M811" s="224"/>
      <c r="N811" s="224"/>
      <c r="O811" s="224"/>
      <c r="P811" s="224"/>
      <c r="Q811" s="224"/>
      <c r="R811" s="224"/>
      <c r="S811" s="224"/>
      <c r="T811" s="224"/>
      <c r="U811" s="224"/>
      <c r="V811" s="224"/>
      <c r="W811" s="224"/>
      <c r="X811" s="224"/>
      <c r="Y811" s="224"/>
      <c r="Z811" s="224"/>
    </row>
    <row r="812">
      <c r="A812" s="225"/>
      <c r="B812" s="225"/>
      <c r="C812" s="225"/>
      <c r="D812" s="225"/>
      <c r="E812" s="225"/>
      <c r="F812" s="225"/>
      <c r="G812" s="225"/>
      <c r="H812" s="224"/>
      <c r="I812" s="224"/>
      <c r="J812" s="224"/>
      <c r="K812" s="224"/>
      <c r="L812" s="224"/>
      <c r="M812" s="224"/>
      <c r="N812" s="224"/>
      <c r="O812" s="224"/>
      <c r="P812" s="224"/>
      <c r="Q812" s="224"/>
      <c r="R812" s="224"/>
      <c r="S812" s="224"/>
      <c r="T812" s="224"/>
      <c r="U812" s="224"/>
      <c r="V812" s="224"/>
      <c r="W812" s="224"/>
      <c r="X812" s="224"/>
      <c r="Y812" s="224"/>
      <c r="Z812" s="224"/>
    </row>
    <row r="813">
      <c r="A813" s="225"/>
      <c r="B813" s="225"/>
      <c r="C813" s="225"/>
      <c r="D813" s="225"/>
      <c r="E813" s="225"/>
      <c r="F813" s="225"/>
      <c r="G813" s="225"/>
      <c r="H813" s="224"/>
      <c r="I813" s="224"/>
      <c r="J813" s="224"/>
      <c r="K813" s="224"/>
      <c r="L813" s="224"/>
      <c r="M813" s="224"/>
      <c r="N813" s="224"/>
      <c r="O813" s="224"/>
      <c r="P813" s="224"/>
      <c r="Q813" s="224"/>
      <c r="R813" s="224"/>
      <c r="S813" s="224"/>
      <c r="T813" s="224"/>
      <c r="U813" s="224"/>
      <c r="V813" s="224"/>
      <c r="W813" s="224"/>
      <c r="X813" s="224"/>
      <c r="Y813" s="224"/>
      <c r="Z813" s="224"/>
    </row>
    <row r="814">
      <c r="A814" s="225"/>
      <c r="B814" s="225"/>
      <c r="C814" s="225"/>
      <c r="D814" s="225"/>
      <c r="E814" s="225"/>
      <c r="F814" s="225"/>
      <c r="G814" s="225"/>
      <c r="H814" s="224"/>
      <c r="I814" s="224"/>
      <c r="J814" s="224"/>
      <c r="K814" s="224"/>
      <c r="L814" s="224"/>
      <c r="M814" s="224"/>
      <c r="N814" s="224"/>
      <c r="O814" s="224"/>
      <c r="P814" s="224"/>
      <c r="Q814" s="224"/>
      <c r="R814" s="224"/>
      <c r="S814" s="224"/>
      <c r="T814" s="224"/>
      <c r="U814" s="224"/>
      <c r="V814" s="224"/>
      <c r="W814" s="224"/>
      <c r="X814" s="224"/>
      <c r="Y814" s="224"/>
      <c r="Z814" s="224"/>
    </row>
    <row r="815">
      <c r="A815" s="225"/>
      <c r="B815" s="225"/>
      <c r="C815" s="225"/>
      <c r="D815" s="225"/>
      <c r="E815" s="225"/>
      <c r="F815" s="225"/>
      <c r="G815" s="225"/>
      <c r="H815" s="224"/>
      <c r="I815" s="224"/>
      <c r="J815" s="224"/>
      <c r="K815" s="224"/>
      <c r="L815" s="224"/>
      <c r="M815" s="224"/>
      <c r="N815" s="224"/>
      <c r="O815" s="224"/>
      <c r="P815" s="224"/>
      <c r="Q815" s="224"/>
      <c r="R815" s="224"/>
      <c r="S815" s="224"/>
      <c r="T815" s="224"/>
      <c r="U815" s="224"/>
      <c r="V815" s="224"/>
      <c r="W815" s="224"/>
      <c r="X815" s="224"/>
      <c r="Y815" s="224"/>
      <c r="Z815" s="224"/>
    </row>
    <row r="816">
      <c r="A816" s="225"/>
      <c r="B816" s="225"/>
      <c r="C816" s="225"/>
      <c r="D816" s="225"/>
      <c r="E816" s="225"/>
      <c r="F816" s="225"/>
      <c r="G816" s="225"/>
      <c r="H816" s="224"/>
      <c r="I816" s="224"/>
      <c r="J816" s="224"/>
      <c r="K816" s="224"/>
      <c r="L816" s="224"/>
      <c r="M816" s="224"/>
      <c r="N816" s="224"/>
      <c r="O816" s="224"/>
      <c r="P816" s="224"/>
      <c r="Q816" s="224"/>
      <c r="R816" s="224"/>
      <c r="S816" s="224"/>
      <c r="T816" s="224"/>
      <c r="U816" s="224"/>
      <c r="V816" s="224"/>
      <c r="W816" s="224"/>
      <c r="X816" s="224"/>
      <c r="Y816" s="224"/>
      <c r="Z816" s="224"/>
    </row>
    <row r="817">
      <c r="A817" s="225"/>
      <c r="B817" s="225"/>
      <c r="C817" s="225"/>
      <c r="D817" s="225"/>
      <c r="E817" s="225"/>
      <c r="F817" s="225"/>
      <c r="G817" s="225"/>
      <c r="H817" s="224"/>
      <c r="I817" s="224"/>
      <c r="J817" s="224"/>
      <c r="K817" s="224"/>
      <c r="L817" s="224"/>
      <c r="M817" s="224"/>
      <c r="N817" s="224"/>
      <c r="O817" s="224"/>
      <c r="P817" s="224"/>
      <c r="Q817" s="224"/>
      <c r="R817" s="224"/>
      <c r="S817" s="224"/>
      <c r="T817" s="224"/>
      <c r="U817" s="224"/>
      <c r="V817" s="224"/>
      <c r="W817" s="224"/>
      <c r="X817" s="224"/>
      <c r="Y817" s="224"/>
      <c r="Z817" s="224"/>
    </row>
    <row r="818">
      <c r="A818" s="225"/>
      <c r="B818" s="225"/>
      <c r="C818" s="225"/>
      <c r="D818" s="225"/>
      <c r="E818" s="225"/>
      <c r="F818" s="225"/>
      <c r="G818" s="225"/>
      <c r="H818" s="224"/>
      <c r="I818" s="224"/>
      <c r="J818" s="224"/>
      <c r="K818" s="224"/>
      <c r="L818" s="224"/>
      <c r="M818" s="224"/>
      <c r="N818" s="224"/>
      <c r="O818" s="224"/>
      <c r="P818" s="224"/>
      <c r="Q818" s="224"/>
      <c r="R818" s="224"/>
      <c r="S818" s="224"/>
      <c r="T818" s="224"/>
      <c r="U818" s="224"/>
      <c r="V818" s="224"/>
      <c r="W818" s="224"/>
      <c r="X818" s="224"/>
      <c r="Y818" s="224"/>
      <c r="Z818" s="224"/>
    </row>
    <row r="819">
      <c r="A819" s="225"/>
      <c r="B819" s="225"/>
      <c r="C819" s="225"/>
      <c r="D819" s="225"/>
      <c r="E819" s="225"/>
      <c r="F819" s="225"/>
      <c r="G819" s="225"/>
      <c r="H819" s="224"/>
      <c r="I819" s="224"/>
      <c r="J819" s="224"/>
      <c r="K819" s="224"/>
      <c r="L819" s="224"/>
      <c r="M819" s="224"/>
      <c r="N819" s="224"/>
      <c r="O819" s="224"/>
      <c r="P819" s="224"/>
      <c r="Q819" s="224"/>
      <c r="R819" s="224"/>
      <c r="S819" s="224"/>
      <c r="T819" s="224"/>
      <c r="U819" s="224"/>
      <c r="V819" s="224"/>
      <c r="W819" s="224"/>
      <c r="X819" s="224"/>
      <c r="Y819" s="224"/>
      <c r="Z819" s="224"/>
    </row>
    <row r="820">
      <c r="A820" s="225"/>
      <c r="B820" s="225"/>
      <c r="C820" s="225"/>
      <c r="D820" s="225"/>
      <c r="E820" s="225"/>
      <c r="F820" s="225"/>
      <c r="G820" s="225"/>
      <c r="H820" s="224"/>
      <c r="I820" s="224"/>
      <c r="J820" s="224"/>
      <c r="K820" s="224"/>
      <c r="L820" s="224"/>
      <c r="M820" s="224"/>
      <c r="N820" s="224"/>
      <c r="O820" s="224"/>
      <c r="P820" s="224"/>
      <c r="Q820" s="224"/>
      <c r="R820" s="224"/>
      <c r="S820" s="224"/>
      <c r="T820" s="224"/>
      <c r="U820" s="224"/>
      <c r="V820" s="224"/>
      <c r="W820" s="224"/>
      <c r="X820" s="224"/>
      <c r="Y820" s="224"/>
      <c r="Z820" s="224"/>
    </row>
    <row r="821">
      <c r="A821" s="225"/>
      <c r="B821" s="225"/>
      <c r="C821" s="225"/>
      <c r="D821" s="225"/>
      <c r="E821" s="225"/>
      <c r="F821" s="225"/>
      <c r="G821" s="225"/>
      <c r="H821" s="224"/>
      <c r="I821" s="224"/>
      <c r="J821" s="224"/>
      <c r="K821" s="224"/>
      <c r="L821" s="224"/>
      <c r="M821" s="224"/>
      <c r="N821" s="224"/>
      <c r="O821" s="224"/>
      <c r="P821" s="224"/>
      <c r="Q821" s="224"/>
      <c r="R821" s="224"/>
      <c r="S821" s="224"/>
      <c r="T821" s="224"/>
      <c r="U821" s="224"/>
      <c r="V821" s="224"/>
      <c r="W821" s="224"/>
      <c r="X821" s="224"/>
      <c r="Y821" s="224"/>
      <c r="Z821" s="224"/>
    </row>
    <row r="822">
      <c r="A822" s="225"/>
      <c r="B822" s="225"/>
      <c r="C822" s="225"/>
      <c r="D822" s="225"/>
      <c r="E822" s="225"/>
      <c r="F822" s="225"/>
      <c r="G822" s="225"/>
      <c r="H822" s="224"/>
      <c r="I822" s="224"/>
      <c r="J822" s="224"/>
      <c r="K822" s="224"/>
      <c r="L822" s="224"/>
      <c r="M822" s="224"/>
      <c r="N822" s="224"/>
      <c r="O822" s="224"/>
      <c r="P822" s="224"/>
      <c r="Q822" s="224"/>
      <c r="R822" s="224"/>
      <c r="S822" s="224"/>
      <c r="T822" s="224"/>
      <c r="U822" s="224"/>
      <c r="V822" s="224"/>
      <c r="W822" s="224"/>
      <c r="X822" s="224"/>
      <c r="Y822" s="224"/>
      <c r="Z822" s="224"/>
    </row>
    <row r="823">
      <c r="A823" s="225"/>
      <c r="B823" s="225"/>
      <c r="C823" s="225"/>
      <c r="D823" s="225"/>
      <c r="E823" s="225"/>
      <c r="F823" s="225"/>
      <c r="G823" s="225"/>
      <c r="H823" s="224"/>
      <c r="I823" s="224"/>
      <c r="J823" s="224"/>
      <c r="K823" s="224"/>
      <c r="L823" s="224"/>
      <c r="M823" s="224"/>
      <c r="N823" s="224"/>
      <c r="O823" s="224"/>
      <c r="P823" s="224"/>
      <c r="Q823" s="224"/>
      <c r="R823" s="224"/>
      <c r="S823" s="224"/>
      <c r="T823" s="224"/>
      <c r="U823" s="224"/>
      <c r="V823" s="224"/>
      <c r="W823" s="224"/>
      <c r="X823" s="224"/>
      <c r="Y823" s="224"/>
      <c r="Z823" s="224"/>
    </row>
    <row r="824">
      <c r="A824" s="225"/>
      <c r="B824" s="225"/>
      <c r="C824" s="225"/>
      <c r="D824" s="225"/>
      <c r="E824" s="225"/>
      <c r="F824" s="225"/>
      <c r="G824" s="225"/>
      <c r="H824" s="224"/>
      <c r="I824" s="224"/>
      <c r="J824" s="224"/>
      <c r="K824" s="224"/>
      <c r="L824" s="224"/>
      <c r="M824" s="224"/>
      <c r="N824" s="224"/>
      <c r="O824" s="224"/>
      <c r="P824" s="224"/>
      <c r="Q824" s="224"/>
      <c r="R824" s="224"/>
      <c r="S824" s="224"/>
      <c r="T824" s="224"/>
      <c r="U824" s="224"/>
      <c r="V824" s="224"/>
      <c r="W824" s="224"/>
      <c r="X824" s="224"/>
      <c r="Y824" s="224"/>
      <c r="Z824" s="224"/>
    </row>
    <row r="825">
      <c r="A825" s="225"/>
      <c r="B825" s="225"/>
      <c r="C825" s="225"/>
      <c r="D825" s="225"/>
      <c r="E825" s="225"/>
      <c r="F825" s="225"/>
      <c r="G825" s="225"/>
      <c r="H825" s="224"/>
      <c r="I825" s="224"/>
      <c r="J825" s="224"/>
      <c r="K825" s="224"/>
      <c r="L825" s="224"/>
      <c r="M825" s="224"/>
      <c r="N825" s="224"/>
      <c r="O825" s="224"/>
      <c r="P825" s="224"/>
      <c r="Q825" s="224"/>
      <c r="R825" s="224"/>
      <c r="S825" s="224"/>
      <c r="T825" s="224"/>
      <c r="U825" s="224"/>
      <c r="V825" s="224"/>
      <c r="W825" s="224"/>
      <c r="X825" s="224"/>
      <c r="Y825" s="224"/>
      <c r="Z825" s="224"/>
    </row>
    <row r="826">
      <c r="A826" s="225"/>
      <c r="B826" s="225"/>
      <c r="C826" s="225"/>
      <c r="D826" s="225"/>
      <c r="E826" s="225"/>
      <c r="F826" s="225"/>
      <c r="G826" s="225"/>
      <c r="H826" s="224"/>
      <c r="I826" s="224"/>
      <c r="J826" s="224"/>
      <c r="K826" s="224"/>
      <c r="L826" s="224"/>
      <c r="M826" s="224"/>
      <c r="N826" s="224"/>
      <c r="O826" s="224"/>
      <c r="P826" s="224"/>
      <c r="Q826" s="224"/>
      <c r="R826" s="224"/>
      <c r="S826" s="224"/>
      <c r="T826" s="224"/>
      <c r="U826" s="224"/>
      <c r="V826" s="224"/>
      <c r="W826" s="224"/>
      <c r="X826" s="224"/>
      <c r="Y826" s="224"/>
      <c r="Z826" s="224"/>
    </row>
    <row r="827">
      <c r="A827" s="225"/>
      <c r="B827" s="225"/>
      <c r="C827" s="225"/>
      <c r="D827" s="225"/>
      <c r="E827" s="225"/>
      <c r="F827" s="225"/>
      <c r="G827" s="225"/>
      <c r="H827" s="224"/>
      <c r="I827" s="224"/>
      <c r="J827" s="224"/>
      <c r="K827" s="224"/>
      <c r="L827" s="224"/>
      <c r="M827" s="224"/>
      <c r="N827" s="224"/>
      <c r="O827" s="224"/>
      <c r="P827" s="224"/>
      <c r="Q827" s="224"/>
      <c r="R827" s="224"/>
      <c r="S827" s="224"/>
      <c r="T827" s="224"/>
      <c r="U827" s="224"/>
      <c r="V827" s="224"/>
      <c r="W827" s="224"/>
      <c r="X827" s="224"/>
      <c r="Y827" s="224"/>
      <c r="Z827" s="224"/>
    </row>
    <row r="828">
      <c r="A828" s="225"/>
      <c r="B828" s="225"/>
      <c r="C828" s="225"/>
      <c r="D828" s="225"/>
      <c r="E828" s="225"/>
      <c r="F828" s="225"/>
      <c r="G828" s="225"/>
      <c r="H828" s="224"/>
      <c r="I828" s="224"/>
      <c r="J828" s="224"/>
      <c r="K828" s="224"/>
      <c r="L828" s="224"/>
      <c r="M828" s="224"/>
      <c r="N828" s="224"/>
      <c r="O828" s="224"/>
      <c r="P828" s="224"/>
      <c r="Q828" s="224"/>
      <c r="R828" s="224"/>
      <c r="S828" s="224"/>
      <c r="T828" s="224"/>
      <c r="U828" s="224"/>
      <c r="V828" s="224"/>
      <c r="W828" s="224"/>
      <c r="X828" s="224"/>
      <c r="Y828" s="224"/>
      <c r="Z828" s="224"/>
    </row>
    <row r="829">
      <c r="A829" s="225"/>
      <c r="B829" s="225"/>
      <c r="C829" s="225"/>
      <c r="D829" s="225"/>
      <c r="E829" s="225"/>
      <c r="F829" s="225"/>
      <c r="G829" s="225"/>
      <c r="H829" s="224"/>
      <c r="I829" s="224"/>
      <c r="J829" s="224"/>
      <c r="K829" s="224"/>
      <c r="L829" s="224"/>
      <c r="M829" s="224"/>
      <c r="N829" s="224"/>
      <c r="O829" s="224"/>
      <c r="P829" s="224"/>
      <c r="Q829" s="224"/>
      <c r="R829" s="224"/>
      <c r="S829" s="224"/>
      <c r="T829" s="224"/>
      <c r="U829" s="224"/>
      <c r="V829" s="224"/>
      <c r="W829" s="224"/>
      <c r="X829" s="224"/>
      <c r="Y829" s="224"/>
      <c r="Z829" s="224"/>
    </row>
    <row r="830">
      <c r="A830" s="225"/>
      <c r="B830" s="225"/>
      <c r="C830" s="225"/>
      <c r="D830" s="225"/>
      <c r="E830" s="225"/>
      <c r="F830" s="225"/>
      <c r="G830" s="225"/>
      <c r="H830" s="224"/>
      <c r="I830" s="224"/>
      <c r="J830" s="224"/>
      <c r="K830" s="224"/>
      <c r="L830" s="224"/>
      <c r="M830" s="224"/>
      <c r="N830" s="224"/>
      <c r="O830" s="224"/>
      <c r="P830" s="224"/>
      <c r="Q830" s="224"/>
      <c r="R830" s="224"/>
      <c r="S830" s="224"/>
      <c r="T830" s="224"/>
      <c r="U830" s="224"/>
      <c r="V830" s="224"/>
      <c r="W830" s="224"/>
      <c r="X830" s="224"/>
      <c r="Y830" s="224"/>
      <c r="Z830" s="224"/>
    </row>
    <row r="831">
      <c r="A831" s="225"/>
      <c r="B831" s="225"/>
      <c r="C831" s="225"/>
      <c r="D831" s="225"/>
      <c r="E831" s="225"/>
      <c r="F831" s="225"/>
      <c r="G831" s="225"/>
      <c r="H831" s="224"/>
      <c r="I831" s="224"/>
      <c r="J831" s="224"/>
      <c r="K831" s="224"/>
      <c r="L831" s="224"/>
      <c r="M831" s="224"/>
      <c r="N831" s="224"/>
      <c r="O831" s="224"/>
      <c r="P831" s="224"/>
      <c r="Q831" s="224"/>
      <c r="R831" s="224"/>
      <c r="S831" s="224"/>
      <c r="T831" s="224"/>
      <c r="U831" s="224"/>
      <c r="V831" s="224"/>
      <c r="W831" s="224"/>
      <c r="X831" s="224"/>
      <c r="Y831" s="224"/>
      <c r="Z831" s="224"/>
    </row>
    <row r="832">
      <c r="A832" s="225"/>
      <c r="B832" s="225"/>
      <c r="C832" s="225"/>
      <c r="D832" s="225"/>
      <c r="E832" s="225"/>
      <c r="F832" s="225"/>
      <c r="G832" s="225"/>
      <c r="H832" s="224"/>
      <c r="I832" s="224"/>
      <c r="J832" s="224"/>
      <c r="K832" s="224"/>
      <c r="L832" s="224"/>
      <c r="M832" s="224"/>
      <c r="N832" s="224"/>
      <c r="O832" s="224"/>
      <c r="P832" s="224"/>
      <c r="Q832" s="224"/>
      <c r="R832" s="224"/>
      <c r="S832" s="224"/>
      <c r="T832" s="224"/>
      <c r="U832" s="224"/>
      <c r="V832" s="224"/>
      <c r="W832" s="224"/>
      <c r="X832" s="224"/>
      <c r="Y832" s="224"/>
      <c r="Z832" s="224"/>
    </row>
    <row r="833">
      <c r="A833" s="225"/>
      <c r="B833" s="225"/>
      <c r="C833" s="225"/>
      <c r="D833" s="225"/>
      <c r="E833" s="225"/>
      <c r="F833" s="225"/>
      <c r="G833" s="225"/>
      <c r="H833" s="224"/>
      <c r="I833" s="224"/>
      <c r="J833" s="224"/>
      <c r="K833" s="224"/>
      <c r="L833" s="224"/>
      <c r="M833" s="224"/>
      <c r="N833" s="224"/>
      <c r="O833" s="224"/>
      <c r="P833" s="224"/>
      <c r="Q833" s="224"/>
      <c r="R833" s="224"/>
      <c r="S833" s="224"/>
      <c r="T833" s="224"/>
      <c r="U833" s="224"/>
      <c r="V833" s="224"/>
      <c r="W833" s="224"/>
      <c r="X833" s="224"/>
      <c r="Y833" s="224"/>
      <c r="Z833" s="224"/>
    </row>
    <row r="834">
      <c r="A834" s="225"/>
      <c r="B834" s="225"/>
      <c r="C834" s="225"/>
      <c r="D834" s="225"/>
      <c r="E834" s="225"/>
      <c r="F834" s="225"/>
      <c r="G834" s="225"/>
      <c r="H834" s="224"/>
      <c r="I834" s="224"/>
      <c r="J834" s="224"/>
      <c r="K834" s="224"/>
      <c r="L834" s="224"/>
      <c r="M834" s="224"/>
      <c r="N834" s="224"/>
      <c r="O834" s="224"/>
      <c r="P834" s="224"/>
      <c r="Q834" s="224"/>
      <c r="R834" s="224"/>
      <c r="S834" s="224"/>
      <c r="T834" s="224"/>
      <c r="U834" s="224"/>
      <c r="V834" s="224"/>
      <c r="W834" s="224"/>
      <c r="X834" s="224"/>
      <c r="Y834" s="224"/>
      <c r="Z834" s="224"/>
    </row>
    <row r="835">
      <c r="A835" s="225"/>
      <c r="B835" s="225"/>
      <c r="C835" s="225"/>
      <c r="D835" s="225"/>
      <c r="E835" s="225"/>
      <c r="F835" s="225"/>
      <c r="G835" s="225"/>
      <c r="H835" s="224"/>
      <c r="I835" s="224"/>
      <c r="J835" s="224"/>
      <c r="K835" s="224"/>
      <c r="L835" s="224"/>
      <c r="M835" s="224"/>
      <c r="N835" s="224"/>
      <c r="O835" s="224"/>
      <c r="P835" s="224"/>
      <c r="Q835" s="224"/>
      <c r="R835" s="224"/>
      <c r="S835" s="224"/>
      <c r="T835" s="224"/>
      <c r="U835" s="224"/>
      <c r="V835" s="224"/>
      <c r="W835" s="224"/>
      <c r="X835" s="224"/>
      <c r="Y835" s="224"/>
      <c r="Z835" s="224"/>
    </row>
    <row r="836">
      <c r="A836" s="225"/>
      <c r="B836" s="225"/>
      <c r="C836" s="225"/>
      <c r="D836" s="225"/>
      <c r="E836" s="225"/>
      <c r="F836" s="225"/>
      <c r="G836" s="225"/>
      <c r="H836" s="224"/>
      <c r="I836" s="224"/>
      <c r="J836" s="224"/>
      <c r="K836" s="224"/>
      <c r="L836" s="224"/>
      <c r="M836" s="224"/>
      <c r="N836" s="224"/>
      <c r="O836" s="224"/>
      <c r="P836" s="224"/>
      <c r="Q836" s="224"/>
      <c r="R836" s="224"/>
      <c r="S836" s="224"/>
      <c r="T836" s="224"/>
      <c r="U836" s="224"/>
      <c r="V836" s="224"/>
      <c r="W836" s="224"/>
      <c r="X836" s="224"/>
      <c r="Y836" s="224"/>
      <c r="Z836" s="224"/>
    </row>
    <row r="837">
      <c r="A837" s="225"/>
      <c r="B837" s="225"/>
      <c r="C837" s="225"/>
      <c r="D837" s="225"/>
      <c r="E837" s="225"/>
      <c r="F837" s="225"/>
      <c r="G837" s="225"/>
      <c r="H837" s="224"/>
      <c r="I837" s="224"/>
      <c r="J837" s="224"/>
      <c r="K837" s="224"/>
      <c r="L837" s="224"/>
      <c r="M837" s="224"/>
      <c r="N837" s="224"/>
      <c r="O837" s="224"/>
      <c r="P837" s="224"/>
      <c r="Q837" s="224"/>
      <c r="R837" s="224"/>
      <c r="S837" s="224"/>
      <c r="T837" s="224"/>
      <c r="U837" s="224"/>
      <c r="V837" s="224"/>
      <c r="W837" s="224"/>
      <c r="X837" s="224"/>
      <c r="Y837" s="224"/>
      <c r="Z837" s="224"/>
    </row>
    <row r="838">
      <c r="A838" s="225"/>
      <c r="B838" s="225"/>
      <c r="C838" s="225"/>
      <c r="D838" s="225"/>
      <c r="E838" s="225"/>
      <c r="F838" s="225"/>
      <c r="G838" s="225"/>
      <c r="H838" s="224"/>
      <c r="I838" s="224"/>
      <c r="J838" s="224"/>
      <c r="K838" s="224"/>
      <c r="L838" s="224"/>
      <c r="M838" s="224"/>
      <c r="N838" s="224"/>
      <c r="O838" s="224"/>
      <c r="P838" s="224"/>
      <c r="Q838" s="224"/>
      <c r="R838" s="224"/>
      <c r="S838" s="224"/>
      <c r="T838" s="224"/>
      <c r="U838" s="224"/>
      <c r="V838" s="224"/>
      <c r="W838" s="224"/>
      <c r="X838" s="224"/>
      <c r="Y838" s="224"/>
      <c r="Z838" s="224"/>
    </row>
    <row r="839">
      <c r="A839" s="225"/>
      <c r="B839" s="225"/>
      <c r="C839" s="225"/>
      <c r="D839" s="225"/>
      <c r="E839" s="225"/>
      <c r="F839" s="225"/>
      <c r="G839" s="225"/>
      <c r="H839" s="224"/>
      <c r="I839" s="224"/>
      <c r="J839" s="224"/>
      <c r="K839" s="224"/>
      <c r="L839" s="224"/>
      <c r="M839" s="224"/>
      <c r="N839" s="224"/>
      <c r="O839" s="224"/>
      <c r="P839" s="224"/>
      <c r="Q839" s="224"/>
      <c r="R839" s="224"/>
      <c r="S839" s="224"/>
      <c r="T839" s="224"/>
      <c r="U839" s="224"/>
      <c r="V839" s="224"/>
      <c r="W839" s="224"/>
      <c r="X839" s="224"/>
      <c r="Y839" s="224"/>
      <c r="Z839" s="224"/>
    </row>
    <row r="840">
      <c r="A840" s="225"/>
      <c r="B840" s="225"/>
      <c r="C840" s="225"/>
      <c r="D840" s="225"/>
      <c r="E840" s="225"/>
      <c r="F840" s="225"/>
      <c r="G840" s="225"/>
      <c r="H840" s="224"/>
      <c r="I840" s="224"/>
      <c r="J840" s="224"/>
      <c r="K840" s="224"/>
      <c r="L840" s="224"/>
      <c r="M840" s="224"/>
      <c r="N840" s="224"/>
      <c r="O840" s="224"/>
      <c r="P840" s="224"/>
      <c r="Q840" s="224"/>
      <c r="R840" s="224"/>
      <c r="S840" s="224"/>
      <c r="T840" s="224"/>
      <c r="U840" s="224"/>
      <c r="V840" s="224"/>
      <c r="W840" s="224"/>
      <c r="X840" s="224"/>
      <c r="Y840" s="224"/>
      <c r="Z840" s="224"/>
    </row>
    <row r="841">
      <c r="A841" s="225"/>
      <c r="B841" s="225"/>
      <c r="C841" s="225"/>
      <c r="D841" s="225"/>
      <c r="E841" s="225"/>
      <c r="F841" s="225"/>
      <c r="G841" s="225"/>
      <c r="H841" s="224"/>
      <c r="I841" s="224"/>
      <c r="J841" s="224"/>
      <c r="K841" s="224"/>
      <c r="L841" s="224"/>
      <c r="M841" s="224"/>
      <c r="N841" s="224"/>
      <c r="O841" s="224"/>
      <c r="P841" s="224"/>
      <c r="Q841" s="224"/>
      <c r="R841" s="224"/>
      <c r="S841" s="224"/>
      <c r="T841" s="224"/>
      <c r="U841" s="224"/>
      <c r="V841" s="224"/>
      <c r="W841" s="224"/>
      <c r="X841" s="224"/>
      <c r="Y841" s="224"/>
      <c r="Z841" s="224"/>
    </row>
    <row r="842">
      <c r="A842" s="225"/>
      <c r="B842" s="225"/>
      <c r="C842" s="225"/>
      <c r="D842" s="225"/>
      <c r="E842" s="225"/>
      <c r="F842" s="225"/>
      <c r="G842" s="225"/>
      <c r="H842" s="224"/>
      <c r="I842" s="224"/>
      <c r="J842" s="224"/>
      <c r="K842" s="224"/>
      <c r="L842" s="224"/>
      <c r="M842" s="224"/>
      <c r="N842" s="224"/>
      <c r="O842" s="224"/>
      <c r="P842" s="224"/>
      <c r="Q842" s="224"/>
      <c r="R842" s="224"/>
      <c r="S842" s="224"/>
      <c r="T842" s="224"/>
      <c r="U842" s="224"/>
      <c r="V842" s="224"/>
      <c r="W842" s="224"/>
      <c r="X842" s="224"/>
      <c r="Y842" s="224"/>
      <c r="Z842" s="224"/>
    </row>
    <row r="843">
      <c r="A843" s="225"/>
      <c r="B843" s="225"/>
      <c r="C843" s="225"/>
      <c r="D843" s="225"/>
      <c r="E843" s="225"/>
      <c r="F843" s="225"/>
      <c r="G843" s="225"/>
      <c r="H843" s="224"/>
      <c r="I843" s="224"/>
      <c r="J843" s="224"/>
      <c r="K843" s="224"/>
      <c r="L843" s="224"/>
      <c r="M843" s="224"/>
      <c r="N843" s="224"/>
      <c r="O843" s="224"/>
      <c r="P843" s="224"/>
      <c r="Q843" s="224"/>
      <c r="R843" s="224"/>
      <c r="S843" s="224"/>
      <c r="T843" s="224"/>
      <c r="U843" s="224"/>
      <c r="V843" s="224"/>
      <c r="W843" s="224"/>
      <c r="X843" s="224"/>
      <c r="Y843" s="224"/>
      <c r="Z843" s="224"/>
    </row>
    <row r="844">
      <c r="A844" s="225"/>
      <c r="B844" s="225"/>
      <c r="C844" s="225"/>
      <c r="D844" s="225"/>
      <c r="E844" s="225"/>
      <c r="F844" s="225"/>
      <c r="G844" s="225"/>
      <c r="H844" s="224"/>
      <c r="I844" s="224"/>
      <c r="J844" s="224"/>
      <c r="K844" s="224"/>
      <c r="L844" s="224"/>
      <c r="M844" s="224"/>
      <c r="N844" s="224"/>
      <c r="O844" s="224"/>
      <c r="P844" s="224"/>
      <c r="Q844" s="224"/>
      <c r="R844" s="224"/>
      <c r="S844" s="224"/>
      <c r="T844" s="224"/>
      <c r="U844" s="224"/>
      <c r="V844" s="224"/>
      <c r="W844" s="224"/>
      <c r="X844" s="224"/>
      <c r="Y844" s="224"/>
      <c r="Z844" s="224"/>
    </row>
    <row r="845">
      <c r="A845" s="225"/>
      <c r="B845" s="225"/>
      <c r="C845" s="225"/>
      <c r="D845" s="225"/>
      <c r="E845" s="225"/>
      <c r="F845" s="225"/>
      <c r="G845" s="225"/>
      <c r="H845" s="224"/>
      <c r="I845" s="224"/>
      <c r="J845" s="224"/>
      <c r="K845" s="224"/>
      <c r="L845" s="224"/>
      <c r="M845" s="224"/>
      <c r="N845" s="224"/>
      <c r="O845" s="224"/>
      <c r="P845" s="224"/>
      <c r="Q845" s="224"/>
      <c r="R845" s="224"/>
      <c r="S845" s="224"/>
      <c r="T845" s="224"/>
      <c r="U845" s="224"/>
      <c r="V845" s="224"/>
      <c r="W845" s="224"/>
      <c r="X845" s="224"/>
      <c r="Y845" s="224"/>
      <c r="Z845" s="224"/>
    </row>
    <row r="846">
      <c r="A846" s="225"/>
      <c r="B846" s="225"/>
      <c r="C846" s="225"/>
      <c r="D846" s="225"/>
      <c r="E846" s="225"/>
      <c r="F846" s="225"/>
      <c r="G846" s="225"/>
      <c r="H846" s="224"/>
      <c r="I846" s="224"/>
      <c r="J846" s="224"/>
      <c r="K846" s="224"/>
      <c r="L846" s="224"/>
      <c r="M846" s="224"/>
      <c r="N846" s="224"/>
      <c r="O846" s="224"/>
      <c r="P846" s="224"/>
      <c r="Q846" s="224"/>
      <c r="R846" s="224"/>
      <c r="S846" s="224"/>
      <c r="T846" s="224"/>
      <c r="U846" s="224"/>
      <c r="V846" s="224"/>
      <c r="W846" s="224"/>
      <c r="X846" s="224"/>
      <c r="Y846" s="224"/>
      <c r="Z846" s="224"/>
    </row>
    <row r="847">
      <c r="A847" s="225"/>
      <c r="B847" s="225"/>
      <c r="C847" s="225"/>
      <c r="D847" s="225"/>
      <c r="E847" s="225"/>
      <c r="F847" s="225"/>
      <c r="G847" s="225"/>
      <c r="H847" s="224"/>
      <c r="I847" s="224"/>
      <c r="J847" s="224"/>
      <c r="K847" s="224"/>
      <c r="L847" s="224"/>
      <c r="M847" s="224"/>
      <c r="N847" s="224"/>
      <c r="O847" s="224"/>
      <c r="P847" s="224"/>
      <c r="Q847" s="224"/>
      <c r="R847" s="224"/>
      <c r="S847" s="224"/>
      <c r="T847" s="224"/>
      <c r="U847" s="224"/>
      <c r="V847" s="224"/>
      <c r="W847" s="224"/>
      <c r="X847" s="224"/>
      <c r="Y847" s="224"/>
      <c r="Z847" s="224"/>
    </row>
    <row r="848">
      <c r="A848" s="225"/>
      <c r="B848" s="225"/>
      <c r="C848" s="225"/>
      <c r="D848" s="225"/>
      <c r="E848" s="225"/>
      <c r="F848" s="225"/>
      <c r="G848" s="225"/>
      <c r="H848" s="224"/>
      <c r="I848" s="224"/>
      <c r="J848" s="224"/>
      <c r="K848" s="224"/>
      <c r="L848" s="224"/>
      <c r="M848" s="224"/>
      <c r="N848" s="224"/>
      <c r="O848" s="224"/>
      <c r="P848" s="224"/>
      <c r="Q848" s="224"/>
      <c r="R848" s="224"/>
      <c r="S848" s="224"/>
      <c r="T848" s="224"/>
      <c r="U848" s="224"/>
      <c r="V848" s="224"/>
      <c r="W848" s="224"/>
      <c r="X848" s="224"/>
      <c r="Y848" s="224"/>
      <c r="Z848" s="224"/>
    </row>
    <row r="849">
      <c r="A849" s="225"/>
      <c r="B849" s="225"/>
      <c r="C849" s="225"/>
      <c r="D849" s="225"/>
      <c r="E849" s="225"/>
      <c r="F849" s="225"/>
      <c r="G849" s="225"/>
      <c r="H849" s="224"/>
      <c r="I849" s="224"/>
      <c r="J849" s="224"/>
      <c r="K849" s="224"/>
      <c r="L849" s="224"/>
      <c r="M849" s="224"/>
      <c r="N849" s="224"/>
      <c r="O849" s="224"/>
      <c r="P849" s="224"/>
      <c r="Q849" s="224"/>
      <c r="R849" s="224"/>
      <c r="S849" s="224"/>
      <c r="T849" s="224"/>
      <c r="U849" s="224"/>
      <c r="V849" s="224"/>
      <c r="W849" s="224"/>
      <c r="X849" s="224"/>
      <c r="Y849" s="224"/>
      <c r="Z849" s="224"/>
    </row>
    <row r="850">
      <c r="A850" s="225"/>
      <c r="B850" s="225"/>
      <c r="C850" s="225"/>
      <c r="D850" s="225"/>
      <c r="E850" s="225"/>
      <c r="F850" s="225"/>
      <c r="G850" s="225"/>
      <c r="H850" s="224"/>
      <c r="I850" s="224"/>
      <c r="J850" s="224"/>
      <c r="K850" s="224"/>
      <c r="L850" s="224"/>
      <c r="M850" s="224"/>
      <c r="N850" s="224"/>
      <c r="O850" s="224"/>
      <c r="P850" s="224"/>
      <c r="Q850" s="224"/>
      <c r="R850" s="224"/>
      <c r="S850" s="224"/>
      <c r="T850" s="224"/>
      <c r="U850" s="224"/>
      <c r="V850" s="224"/>
      <c r="W850" s="224"/>
      <c r="X850" s="224"/>
      <c r="Y850" s="224"/>
      <c r="Z850" s="224"/>
    </row>
    <row r="851">
      <c r="A851" s="225"/>
      <c r="B851" s="225"/>
      <c r="C851" s="225"/>
      <c r="D851" s="225"/>
      <c r="E851" s="225"/>
      <c r="F851" s="225"/>
      <c r="G851" s="225"/>
      <c r="H851" s="224"/>
      <c r="I851" s="224"/>
      <c r="J851" s="224"/>
      <c r="K851" s="224"/>
      <c r="L851" s="224"/>
      <c r="M851" s="224"/>
      <c r="N851" s="224"/>
      <c r="O851" s="224"/>
      <c r="P851" s="224"/>
      <c r="Q851" s="224"/>
      <c r="R851" s="224"/>
      <c r="S851" s="224"/>
      <c r="T851" s="224"/>
      <c r="U851" s="224"/>
      <c r="V851" s="224"/>
      <c r="W851" s="224"/>
      <c r="X851" s="224"/>
      <c r="Y851" s="224"/>
      <c r="Z851" s="224"/>
    </row>
    <row r="852">
      <c r="A852" s="225"/>
      <c r="B852" s="225"/>
      <c r="C852" s="225"/>
      <c r="D852" s="225"/>
      <c r="E852" s="225"/>
      <c r="F852" s="225"/>
      <c r="G852" s="225"/>
      <c r="H852" s="224"/>
      <c r="I852" s="224"/>
      <c r="J852" s="224"/>
      <c r="K852" s="224"/>
      <c r="L852" s="224"/>
      <c r="M852" s="224"/>
      <c r="N852" s="224"/>
      <c r="O852" s="224"/>
      <c r="P852" s="224"/>
      <c r="Q852" s="224"/>
      <c r="R852" s="224"/>
      <c r="S852" s="224"/>
      <c r="T852" s="224"/>
      <c r="U852" s="224"/>
      <c r="V852" s="224"/>
      <c r="W852" s="224"/>
      <c r="X852" s="224"/>
      <c r="Y852" s="224"/>
      <c r="Z852" s="224"/>
    </row>
    <row r="853">
      <c r="A853" s="225"/>
      <c r="B853" s="225"/>
      <c r="C853" s="225"/>
      <c r="D853" s="225"/>
      <c r="E853" s="225"/>
      <c r="F853" s="225"/>
      <c r="G853" s="225"/>
      <c r="H853" s="224"/>
      <c r="I853" s="224"/>
      <c r="J853" s="224"/>
      <c r="K853" s="224"/>
      <c r="L853" s="224"/>
      <c r="M853" s="224"/>
      <c r="N853" s="224"/>
      <c r="O853" s="224"/>
      <c r="P853" s="224"/>
      <c r="Q853" s="224"/>
      <c r="R853" s="224"/>
      <c r="S853" s="224"/>
      <c r="T853" s="224"/>
      <c r="U853" s="224"/>
      <c r="V853" s="224"/>
      <c r="W853" s="224"/>
      <c r="X853" s="224"/>
      <c r="Y853" s="224"/>
      <c r="Z853" s="224"/>
    </row>
    <row r="854">
      <c r="A854" s="225"/>
      <c r="B854" s="225"/>
      <c r="C854" s="225"/>
      <c r="D854" s="225"/>
      <c r="E854" s="225"/>
      <c r="F854" s="225"/>
      <c r="G854" s="225"/>
      <c r="H854" s="224"/>
      <c r="I854" s="224"/>
      <c r="J854" s="224"/>
      <c r="K854" s="224"/>
      <c r="L854" s="224"/>
      <c r="M854" s="224"/>
      <c r="N854" s="224"/>
      <c r="O854" s="224"/>
      <c r="P854" s="224"/>
      <c r="Q854" s="224"/>
      <c r="R854" s="224"/>
      <c r="S854" s="224"/>
      <c r="T854" s="224"/>
      <c r="U854" s="224"/>
      <c r="V854" s="224"/>
      <c r="W854" s="224"/>
      <c r="X854" s="224"/>
      <c r="Y854" s="224"/>
      <c r="Z854" s="224"/>
    </row>
    <row r="855">
      <c r="A855" s="225"/>
      <c r="B855" s="225"/>
      <c r="C855" s="225"/>
      <c r="D855" s="225"/>
      <c r="E855" s="225"/>
      <c r="F855" s="225"/>
      <c r="G855" s="225"/>
      <c r="H855" s="224"/>
      <c r="I855" s="224"/>
      <c r="J855" s="224"/>
      <c r="K855" s="224"/>
      <c r="L855" s="224"/>
      <c r="M855" s="224"/>
      <c r="N855" s="224"/>
      <c r="O855" s="224"/>
      <c r="P855" s="224"/>
      <c r="Q855" s="224"/>
      <c r="R855" s="224"/>
      <c r="S855" s="224"/>
      <c r="T855" s="224"/>
      <c r="U855" s="224"/>
      <c r="V855" s="224"/>
      <c r="W855" s="224"/>
      <c r="X855" s="224"/>
      <c r="Y855" s="224"/>
      <c r="Z855" s="224"/>
    </row>
    <row r="856">
      <c r="A856" s="225"/>
      <c r="B856" s="225"/>
      <c r="C856" s="225"/>
      <c r="D856" s="225"/>
      <c r="E856" s="225"/>
      <c r="F856" s="225"/>
      <c r="G856" s="225"/>
      <c r="H856" s="224"/>
      <c r="I856" s="224"/>
      <c r="J856" s="224"/>
      <c r="K856" s="224"/>
      <c r="L856" s="224"/>
      <c r="M856" s="224"/>
      <c r="N856" s="224"/>
      <c r="O856" s="224"/>
      <c r="P856" s="224"/>
      <c r="Q856" s="224"/>
      <c r="R856" s="224"/>
      <c r="S856" s="224"/>
      <c r="T856" s="224"/>
      <c r="U856" s="224"/>
      <c r="V856" s="224"/>
      <c r="W856" s="224"/>
      <c r="X856" s="224"/>
      <c r="Y856" s="224"/>
      <c r="Z856" s="224"/>
    </row>
    <row r="857">
      <c r="A857" s="225"/>
      <c r="B857" s="225"/>
      <c r="C857" s="225"/>
      <c r="D857" s="225"/>
      <c r="E857" s="225"/>
      <c r="F857" s="225"/>
      <c r="G857" s="225"/>
      <c r="H857" s="224"/>
      <c r="I857" s="224"/>
      <c r="J857" s="224"/>
      <c r="K857" s="224"/>
      <c r="L857" s="224"/>
      <c r="M857" s="224"/>
      <c r="N857" s="224"/>
      <c r="O857" s="224"/>
      <c r="P857" s="224"/>
      <c r="Q857" s="224"/>
      <c r="R857" s="224"/>
      <c r="S857" s="224"/>
      <c r="T857" s="224"/>
      <c r="U857" s="224"/>
      <c r="V857" s="224"/>
      <c r="W857" s="224"/>
      <c r="X857" s="224"/>
      <c r="Y857" s="224"/>
      <c r="Z857" s="224"/>
    </row>
    <row r="858">
      <c r="A858" s="225"/>
      <c r="B858" s="225"/>
      <c r="C858" s="225"/>
      <c r="D858" s="225"/>
      <c r="E858" s="225"/>
      <c r="F858" s="225"/>
      <c r="G858" s="225"/>
      <c r="H858" s="224"/>
      <c r="I858" s="224"/>
      <c r="J858" s="224"/>
      <c r="K858" s="224"/>
      <c r="L858" s="224"/>
      <c r="M858" s="224"/>
      <c r="N858" s="224"/>
      <c r="O858" s="224"/>
      <c r="P858" s="224"/>
      <c r="Q858" s="224"/>
      <c r="R858" s="224"/>
      <c r="S858" s="224"/>
      <c r="T858" s="224"/>
      <c r="U858" s="224"/>
      <c r="V858" s="224"/>
      <c r="W858" s="224"/>
      <c r="X858" s="224"/>
      <c r="Y858" s="224"/>
      <c r="Z858" s="224"/>
    </row>
    <row r="859">
      <c r="A859" s="225"/>
      <c r="B859" s="225"/>
      <c r="C859" s="225"/>
      <c r="D859" s="225"/>
      <c r="E859" s="225"/>
      <c r="F859" s="225"/>
      <c r="G859" s="225"/>
      <c r="H859" s="224"/>
      <c r="I859" s="224"/>
      <c r="J859" s="224"/>
      <c r="K859" s="224"/>
      <c r="L859" s="224"/>
      <c r="M859" s="224"/>
      <c r="N859" s="224"/>
      <c r="O859" s="224"/>
      <c r="P859" s="224"/>
      <c r="Q859" s="224"/>
      <c r="R859" s="224"/>
      <c r="S859" s="224"/>
      <c r="T859" s="224"/>
      <c r="U859" s="224"/>
      <c r="V859" s="224"/>
      <c r="W859" s="224"/>
      <c r="X859" s="224"/>
      <c r="Y859" s="224"/>
      <c r="Z859" s="224"/>
    </row>
    <row r="860">
      <c r="A860" s="225"/>
      <c r="B860" s="225"/>
      <c r="C860" s="225"/>
      <c r="D860" s="225"/>
      <c r="E860" s="225"/>
      <c r="F860" s="225"/>
      <c r="G860" s="225"/>
      <c r="H860" s="224"/>
      <c r="I860" s="224"/>
      <c r="J860" s="224"/>
      <c r="K860" s="224"/>
      <c r="L860" s="224"/>
      <c r="M860" s="224"/>
      <c r="N860" s="224"/>
      <c r="O860" s="224"/>
      <c r="P860" s="224"/>
      <c r="Q860" s="224"/>
      <c r="R860" s="224"/>
      <c r="S860" s="224"/>
      <c r="T860" s="224"/>
      <c r="U860" s="224"/>
      <c r="V860" s="224"/>
      <c r="W860" s="224"/>
      <c r="X860" s="224"/>
      <c r="Y860" s="224"/>
      <c r="Z860" s="224"/>
    </row>
    <row r="861">
      <c r="A861" s="225"/>
      <c r="B861" s="225"/>
      <c r="C861" s="225"/>
      <c r="D861" s="225"/>
      <c r="E861" s="225"/>
      <c r="F861" s="225"/>
      <c r="G861" s="225"/>
      <c r="H861" s="224"/>
      <c r="I861" s="224"/>
      <c r="J861" s="224"/>
      <c r="K861" s="224"/>
      <c r="L861" s="224"/>
      <c r="M861" s="224"/>
      <c r="N861" s="224"/>
      <c r="O861" s="224"/>
      <c r="P861" s="224"/>
      <c r="Q861" s="224"/>
      <c r="R861" s="224"/>
      <c r="S861" s="224"/>
      <c r="T861" s="224"/>
      <c r="U861" s="224"/>
      <c r="V861" s="224"/>
      <c r="W861" s="224"/>
      <c r="X861" s="224"/>
      <c r="Y861" s="224"/>
      <c r="Z861" s="224"/>
    </row>
    <row r="862">
      <c r="A862" s="225"/>
      <c r="B862" s="225"/>
      <c r="C862" s="225"/>
      <c r="D862" s="225"/>
      <c r="E862" s="225"/>
      <c r="F862" s="225"/>
      <c r="G862" s="225"/>
      <c r="H862" s="224"/>
      <c r="I862" s="224"/>
      <c r="J862" s="224"/>
      <c r="K862" s="224"/>
      <c r="L862" s="224"/>
      <c r="M862" s="224"/>
      <c r="N862" s="224"/>
      <c r="O862" s="224"/>
      <c r="P862" s="224"/>
      <c r="Q862" s="224"/>
      <c r="R862" s="224"/>
      <c r="S862" s="224"/>
      <c r="T862" s="224"/>
      <c r="U862" s="224"/>
      <c r="V862" s="224"/>
      <c r="W862" s="224"/>
      <c r="X862" s="224"/>
      <c r="Y862" s="224"/>
      <c r="Z862" s="224"/>
    </row>
    <row r="863">
      <c r="A863" s="225"/>
      <c r="B863" s="225"/>
      <c r="C863" s="225"/>
      <c r="D863" s="225"/>
      <c r="E863" s="225"/>
      <c r="F863" s="225"/>
      <c r="G863" s="225"/>
      <c r="H863" s="224"/>
      <c r="I863" s="224"/>
      <c r="J863" s="224"/>
      <c r="K863" s="224"/>
      <c r="L863" s="224"/>
      <c r="M863" s="224"/>
      <c r="N863" s="224"/>
      <c r="O863" s="224"/>
      <c r="P863" s="224"/>
      <c r="Q863" s="224"/>
      <c r="R863" s="224"/>
      <c r="S863" s="224"/>
      <c r="T863" s="224"/>
      <c r="U863" s="224"/>
      <c r="V863" s="224"/>
      <c r="W863" s="224"/>
      <c r="X863" s="224"/>
      <c r="Y863" s="224"/>
      <c r="Z863" s="224"/>
    </row>
    <row r="864">
      <c r="A864" s="225"/>
      <c r="B864" s="225"/>
      <c r="C864" s="225"/>
      <c r="D864" s="225"/>
      <c r="E864" s="225"/>
      <c r="F864" s="225"/>
      <c r="G864" s="225"/>
      <c r="H864" s="224"/>
      <c r="I864" s="224"/>
      <c r="J864" s="224"/>
      <c r="K864" s="224"/>
      <c r="L864" s="224"/>
      <c r="M864" s="224"/>
      <c r="N864" s="224"/>
      <c r="O864" s="224"/>
      <c r="P864" s="224"/>
      <c r="Q864" s="224"/>
      <c r="R864" s="224"/>
      <c r="S864" s="224"/>
      <c r="T864" s="224"/>
      <c r="U864" s="224"/>
      <c r="V864" s="224"/>
      <c r="W864" s="224"/>
      <c r="X864" s="224"/>
      <c r="Y864" s="224"/>
      <c r="Z864" s="224"/>
    </row>
    <row r="865">
      <c r="A865" s="225"/>
      <c r="B865" s="225"/>
      <c r="C865" s="225"/>
      <c r="D865" s="225"/>
      <c r="E865" s="225"/>
      <c r="F865" s="225"/>
      <c r="G865" s="225"/>
      <c r="H865" s="224"/>
      <c r="I865" s="224"/>
      <c r="J865" s="224"/>
      <c r="K865" s="224"/>
      <c r="L865" s="224"/>
      <c r="M865" s="224"/>
      <c r="N865" s="224"/>
      <c r="O865" s="224"/>
      <c r="P865" s="224"/>
      <c r="Q865" s="224"/>
      <c r="R865" s="224"/>
      <c r="S865" s="224"/>
      <c r="T865" s="224"/>
      <c r="U865" s="224"/>
      <c r="V865" s="224"/>
      <c r="W865" s="224"/>
      <c r="X865" s="224"/>
      <c r="Y865" s="224"/>
      <c r="Z865" s="224"/>
    </row>
    <row r="866">
      <c r="A866" s="225"/>
      <c r="B866" s="225"/>
      <c r="C866" s="225"/>
      <c r="D866" s="225"/>
      <c r="E866" s="225"/>
      <c r="F866" s="225"/>
      <c r="G866" s="225"/>
      <c r="H866" s="224"/>
      <c r="I866" s="224"/>
      <c r="J866" s="224"/>
      <c r="K866" s="224"/>
      <c r="L866" s="224"/>
      <c r="M866" s="224"/>
      <c r="N866" s="224"/>
      <c r="O866" s="224"/>
      <c r="P866" s="224"/>
      <c r="Q866" s="224"/>
      <c r="R866" s="224"/>
      <c r="S866" s="224"/>
      <c r="T866" s="224"/>
      <c r="U866" s="224"/>
      <c r="V866" s="224"/>
      <c r="W866" s="224"/>
      <c r="X866" s="224"/>
      <c r="Y866" s="224"/>
      <c r="Z866" s="224"/>
    </row>
    <row r="867">
      <c r="A867" s="225"/>
      <c r="B867" s="225"/>
      <c r="C867" s="225"/>
      <c r="D867" s="225"/>
      <c r="E867" s="225"/>
      <c r="F867" s="225"/>
      <c r="G867" s="225"/>
      <c r="H867" s="224"/>
      <c r="I867" s="224"/>
      <c r="J867" s="224"/>
      <c r="K867" s="224"/>
      <c r="L867" s="224"/>
      <c r="M867" s="224"/>
      <c r="N867" s="224"/>
      <c r="O867" s="224"/>
      <c r="P867" s="224"/>
      <c r="Q867" s="224"/>
      <c r="R867" s="224"/>
      <c r="S867" s="224"/>
      <c r="T867" s="224"/>
      <c r="U867" s="224"/>
      <c r="V867" s="224"/>
      <c r="W867" s="224"/>
      <c r="X867" s="224"/>
      <c r="Y867" s="224"/>
      <c r="Z867" s="224"/>
    </row>
    <row r="868">
      <c r="A868" s="225"/>
      <c r="B868" s="225"/>
      <c r="C868" s="225"/>
      <c r="D868" s="225"/>
      <c r="E868" s="225"/>
      <c r="F868" s="225"/>
      <c r="G868" s="225"/>
      <c r="H868" s="224"/>
      <c r="I868" s="224"/>
      <c r="J868" s="224"/>
      <c r="K868" s="224"/>
      <c r="L868" s="224"/>
      <c r="M868" s="224"/>
      <c r="N868" s="224"/>
      <c r="O868" s="224"/>
      <c r="P868" s="224"/>
      <c r="Q868" s="224"/>
      <c r="R868" s="224"/>
      <c r="S868" s="224"/>
      <c r="T868" s="224"/>
      <c r="U868" s="224"/>
      <c r="V868" s="224"/>
      <c r="W868" s="224"/>
      <c r="X868" s="224"/>
      <c r="Y868" s="224"/>
      <c r="Z868" s="224"/>
    </row>
    <row r="869">
      <c r="A869" s="225"/>
      <c r="B869" s="225"/>
      <c r="C869" s="225"/>
      <c r="D869" s="225"/>
      <c r="E869" s="225"/>
      <c r="F869" s="225"/>
      <c r="G869" s="225"/>
      <c r="H869" s="224"/>
      <c r="I869" s="224"/>
      <c r="J869" s="224"/>
      <c r="K869" s="224"/>
      <c r="L869" s="224"/>
      <c r="M869" s="224"/>
      <c r="N869" s="224"/>
      <c r="O869" s="224"/>
      <c r="P869" s="224"/>
      <c r="Q869" s="224"/>
      <c r="R869" s="224"/>
      <c r="S869" s="224"/>
      <c r="T869" s="224"/>
      <c r="U869" s="224"/>
      <c r="V869" s="224"/>
      <c r="W869" s="224"/>
      <c r="X869" s="224"/>
      <c r="Y869" s="224"/>
      <c r="Z869" s="224"/>
    </row>
    <row r="870">
      <c r="A870" s="225"/>
      <c r="B870" s="225"/>
      <c r="C870" s="225"/>
      <c r="D870" s="225"/>
      <c r="E870" s="225"/>
      <c r="F870" s="225"/>
      <c r="G870" s="225"/>
      <c r="H870" s="224"/>
      <c r="I870" s="224"/>
      <c r="J870" s="224"/>
      <c r="K870" s="224"/>
      <c r="L870" s="224"/>
      <c r="M870" s="224"/>
      <c r="N870" s="224"/>
      <c r="O870" s="224"/>
      <c r="P870" s="224"/>
      <c r="Q870" s="224"/>
      <c r="R870" s="224"/>
      <c r="S870" s="224"/>
      <c r="T870" s="224"/>
      <c r="U870" s="224"/>
      <c r="V870" s="224"/>
      <c r="W870" s="224"/>
      <c r="X870" s="224"/>
      <c r="Y870" s="224"/>
      <c r="Z870" s="224"/>
    </row>
    <row r="871">
      <c r="A871" s="225"/>
      <c r="B871" s="225"/>
      <c r="C871" s="225"/>
      <c r="D871" s="225"/>
      <c r="E871" s="225"/>
      <c r="F871" s="225"/>
      <c r="G871" s="225"/>
      <c r="H871" s="224"/>
      <c r="I871" s="224"/>
      <c r="J871" s="224"/>
      <c r="K871" s="224"/>
      <c r="L871" s="224"/>
      <c r="M871" s="224"/>
      <c r="N871" s="224"/>
      <c r="O871" s="224"/>
      <c r="P871" s="224"/>
      <c r="Q871" s="224"/>
      <c r="R871" s="224"/>
      <c r="S871" s="224"/>
      <c r="T871" s="224"/>
      <c r="U871" s="224"/>
      <c r="V871" s="224"/>
      <c r="W871" s="224"/>
      <c r="X871" s="224"/>
      <c r="Y871" s="224"/>
      <c r="Z871" s="224"/>
    </row>
    <row r="872">
      <c r="A872" s="225"/>
      <c r="B872" s="225"/>
      <c r="C872" s="225"/>
      <c r="D872" s="225"/>
      <c r="E872" s="225"/>
      <c r="F872" s="225"/>
      <c r="G872" s="225"/>
      <c r="H872" s="224"/>
      <c r="I872" s="224"/>
      <c r="J872" s="224"/>
      <c r="K872" s="224"/>
      <c r="L872" s="224"/>
      <c r="M872" s="224"/>
      <c r="N872" s="224"/>
      <c r="O872" s="224"/>
      <c r="P872" s="224"/>
      <c r="Q872" s="224"/>
      <c r="R872" s="224"/>
      <c r="S872" s="224"/>
      <c r="T872" s="224"/>
      <c r="U872" s="224"/>
      <c r="V872" s="224"/>
      <c r="W872" s="224"/>
      <c r="X872" s="224"/>
      <c r="Y872" s="224"/>
      <c r="Z872" s="224"/>
    </row>
    <row r="873">
      <c r="A873" s="225"/>
      <c r="B873" s="225"/>
      <c r="C873" s="225"/>
      <c r="D873" s="225"/>
      <c r="E873" s="225"/>
      <c r="F873" s="225"/>
      <c r="G873" s="225"/>
      <c r="H873" s="224"/>
      <c r="I873" s="224"/>
      <c r="J873" s="224"/>
      <c r="K873" s="224"/>
      <c r="L873" s="224"/>
      <c r="M873" s="224"/>
      <c r="N873" s="224"/>
      <c r="O873" s="224"/>
      <c r="P873" s="224"/>
      <c r="Q873" s="224"/>
      <c r="R873" s="224"/>
      <c r="S873" s="224"/>
      <c r="T873" s="224"/>
      <c r="U873" s="224"/>
      <c r="V873" s="224"/>
      <c r="W873" s="224"/>
      <c r="X873" s="224"/>
      <c r="Y873" s="224"/>
      <c r="Z873" s="224"/>
    </row>
    <row r="874">
      <c r="A874" s="225"/>
      <c r="B874" s="225"/>
      <c r="C874" s="225"/>
      <c r="D874" s="225"/>
      <c r="E874" s="225"/>
      <c r="F874" s="225"/>
      <c r="G874" s="225"/>
      <c r="H874" s="224"/>
      <c r="I874" s="224"/>
      <c r="J874" s="224"/>
      <c r="K874" s="224"/>
      <c r="L874" s="224"/>
      <c r="M874" s="224"/>
      <c r="N874" s="224"/>
      <c r="O874" s="224"/>
      <c r="P874" s="224"/>
      <c r="Q874" s="224"/>
      <c r="R874" s="224"/>
      <c r="S874" s="224"/>
      <c r="T874" s="224"/>
      <c r="U874" s="224"/>
      <c r="V874" s="224"/>
      <c r="W874" s="224"/>
      <c r="X874" s="224"/>
      <c r="Y874" s="224"/>
      <c r="Z874" s="224"/>
    </row>
    <row r="875">
      <c r="A875" s="225"/>
      <c r="B875" s="225"/>
      <c r="C875" s="225"/>
      <c r="D875" s="225"/>
      <c r="E875" s="225"/>
      <c r="F875" s="225"/>
      <c r="G875" s="225"/>
      <c r="H875" s="224"/>
      <c r="I875" s="224"/>
      <c r="J875" s="224"/>
      <c r="K875" s="224"/>
      <c r="L875" s="224"/>
      <c r="M875" s="224"/>
      <c r="N875" s="224"/>
      <c r="O875" s="224"/>
      <c r="P875" s="224"/>
      <c r="Q875" s="224"/>
      <c r="R875" s="224"/>
      <c r="S875" s="224"/>
      <c r="T875" s="224"/>
      <c r="U875" s="224"/>
      <c r="V875" s="224"/>
      <c r="W875" s="224"/>
      <c r="X875" s="224"/>
      <c r="Y875" s="224"/>
      <c r="Z875" s="224"/>
    </row>
    <row r="876">
      <c r="A876" s="225"/>
      <c r="B876" s="225"/>
      <c r="C876" s="225"/>
      <c r="D876" s="225"/>
      <c r="E876" s="225"/>
      <c r="F876" s="225"/>
      <c r="G876" s="225"/>
      <c r="H876" s="224"/>
      <c r="I876" s="224"/>
      <c r="J876" s="224"/>
      <c r="K876" s="224"/>
      <c r="L876" s="224"/>
      <c r="M876" s="224"/>
      <c r="N876" s="224"/>
      <c r="O876" s="224"/>
      <c r="P876" s="224"/>
      <c r="Q876" s="224"/>
      <c r="R876" s="224"/>
      <c r="S876" s="224"/>
      <c r="T876" s="224"/>
      <c r="U876" s="224"/>
      <c r="V876" s="224"/>
      <c r="W876" s="224"/>
      <c r="X876" s="224"/>
      <c r="Y876" s="224"/>
      <c r="Z876" s="224"/>
    </row>
    <row r="877">
      <c r="A877" s="225"/>
      <c r="B877" s="225"/>
      <c r="C877" s="225"/>
      <c r="D877" s="225"/>
      <c r="E877" s="225"/>
      <c r="F877" s="225"/>
      <c r="G877" s="225"/>
      <c r="H877" s="224"/>
      <c r="I877" s="224"/>
      <c r="J877" s="224"/>
      <c r="K877" s="224"/>
      <c r="L877" s="224"/>
      <c r="M877" s="224"/>
      <c r="N877" s="224"/>
      <c r="O877" s="224"/>
      <c r="P877" s="224"/>
      <c r="Q877" s="224"/>
      <c r="R877" s="224"/>
      <c r="S877" s="224"/>
      <c r="T877" s="224"/>
      <c r="U877" s="224"/>
      <c r="V877" s="224"/>
      <c r="W877" s="224"/>
      <c r="X877" s="224"/>
      <c r="Y877" s="224"/>
      <c r="Z877" s="224"/>
    </row>
    <row r="878">
      <c r="A878" s="225"/>
      <c r="B878" s="225"/>
      <c r="C878" s="225"/>
      <c r="D878" s="225"/>
      <c r="E878" s="225"/>
      <c r="F878" s="225"/>
      <c r="G878" s="225"/>
      <c r="H878" s="224"/>
      <c r="I878" s="224"/>
      <c r="J878" s="224"/>
      <c r="K878" s="224"/>
      <c r="L878" s="224"/>
      <c r="M878" s="224"/>
      <c r="N878" s="224"/>
      <c r="O878" s="224"/>
      <c r="P878" s="224"/>
      <c r="Q878" s="224"/>
      <c r="R878" s="224"/>
      <c r="S878" s="224"/>
      <c r="T878" s="224"/>
      <c r="U878" s="224"/>
      <c r="V878" s="224"/>
      <c r="W878" s="224"/>
      <c r="X878" s="224"/>
      <c r="Y878" s="224"/>
      <c r="Z878" s="224"/>
    </row>
    <row r="879">
      <c r="A879" s="225"/>
      <c r="B879" s="225"/>
      <c r="C879" s="225"/>
      <c r="D879" s="225"/>
      <c r="E879" s="225"/>
      <c r="F879" s="225"/>
      <c r="G879" s="225"/>
      <c r="H879" s="224"/>
      <c r="I879" s="224"/>
      <c r="J879" s="224"/>
      <c r="K879" s="224"/>
      <c r="L879" s="224"/>
      <c r="M879" s="224"/>
      <c r="N879" s="224"/>
      <c r="O879" s="224"/>
      <c r="P879" s="224"/>
      <c r="Q879" s="224"/>
      <c r="R879" s="224"/>
      <c r="S879" s="224"/>
      <c r="T879" s="224"/>
      <c r="U879" s="224"/>
      <c r="V879" s="224"/>
      <c r="W879" s="224"/>
      <c r="X879" s="224"/>
      <c r="Y879" s="224"/>
      <c r="Z879" s="224"/>
    </row>
    <row r="880">
      <c r="A880" s="225"/>
      <c r="B880" s="225"/>
      <c r="C880" s="225"/>
      <c r="D880" s="225"/>
      <c r="E880" s="225"/>
      <c r="F880" s="225"/>
      <c r="G880" s="225"/>
      <c r="H880" s="224"/>
      <c r="I880" s="224"/>
      <c r="J880" s="224"/>
      <c r="K880" s="224"/>
      <c r="L880" s="224"/>
      <c r="M880" s="224"/>
      <c r="N880" s="224"/>
      <c r="O880" s="224"/>
      <c r="P880" s="224"/>
      <c r="Q880" s="224"/>
      <c r="R880" s="224"/>
      <c r="S880" s="224"/>
      <c r="T880" s="224"/>
      <c r="U880" s="224"/>
      <c r="V880" s="224"/>
      <c r="W880" s="224"/>
      <c r="X880" s="224"/>
      <c r="Y880" s="224"/>
      <c r="Z880" s="224"/>
    </row>
    <row r="881">
      <c r="A881" s="225"/>
      <c r="B881" s="225"/>
      <c r="C881" s="225"/>
      <c r="D881" s="225"/>
      <c r="E881" s="225"/>
      <c r="F881" s="225"/>
      <c r="G881" s="225"/>
      <c r="H881" s="224"/>
      <c r="I881" s="224"/>
      <c r="J881" s="224"/>
      <c r="K881" s="224"/>
      <c r="L881" s="224"/>
      <c r="M881" s="224"/>
      <c r="N881" s="224"/>
      <c r="O881" s="224"/>
      <c r="P881" s="224"/>
      <c r="Q881" s="224"/>
      <c r="R881" s="224"/>
      <c r="S881" s="224"/>
      <c r="T881" s="224"/>
      <c r="U881" s="224"/>
      <c r="V881" s="224"/>
      <c r="W881" s="224"/>
      <c r="X881" s="224"/>
      <c r="Y881" s="224"/>
      <c r="Z881" s="224"/>
    </row>
    <row r="882">
      <c r="A882" s="225"/>
      <c r="B882" s="225"/>
      <c r="C882" s="225"/>
      <c r="D882" s="225"/>
      <c r="E882" s="225"/>
      <c r="F882" s="225"/>
      <c r="G882" s="225"/>
      <c r="H882" s="224"/>
      <c r="I882" s="224"/>
      <c r="J882" s="224"/>
      <c r="K882" s="224"/>
      <c r="L882" s="224"/>
      <c r="M882" s="224"/>
      <c r="N882" s="224"/>
      <c r="O882" s="224"/>
      <c r="P882" s="224"/>
      <c r="Q882" s="224"/>
      <c r="R882" s="224"/>
      <c r="S882" s="224"/>
      <c r="T882" s="224"/>
      <c r="U882" s="224"/>
      <c r="V882" s="224"/>
      <c r="W882" s="224"/>
      <c r="X882" s="224"/>
      <c r="Y882" s="224"/>
      <c r="Z882" s="224"/>
    </row>
    <row r="883">
      <c r="A883" s="225"/>
      <c r="B883" s="225"/>
      <c r="C883" s="225"/>
      <c r="D883" s="225"/>
      <c r="E883" s="225"/>
      <c r="F883" s="225"/>
      <c r="G883" s="225"/>
      <c r="H883" s="224"/>
      <c r="I883" s="224"/>
      <c r="J883" s="224"/>
      <c r="K883" s="224"/>
      <c r="L883" s="224"/>
      <c r="M883" s="224"/>
      <c r="N883" s="224"/>
      <c r="O883" s="224"/>
      <c r="P883" s="224"/>
      <c r="Q883" s="224"/>
      <c r="R883" s="224"/>
      <c r="S883" s="224"/>
      <c r="T883" s="224"/>
      <c r="U883" s="224"/>
      <c r="V883" s="224"/>
      <c r="W883" s="224"/>
      <c r="X883" s="224"/>
      <c r="Y883" s="224"/>
      <c r="Z883" s="224"/>
    </row>
    <row r="884">
      <c r="A884" s="225"/>
      <c r="B884" s="225"/>
      <c r="C884" s="225"/>
      <c r="D884" s="225"/>
      <c r="E884" s="225"/>
      <c r="F884" s="225"/>
      <c r="G884" s="225"/>
      <c r="H884" s="224"/>
      <c r="I884" s="224"/>
      <c r="J884" s="224"/>
      <c r="K884" s="224"/>
      <c r="L884" s="224"/>
      <c r="M884" s="224"/>
      <c r="N884" s="224"/>
      <c r="O884" s="224"/>
      <c r="P884" s="224"/>
      <c r="Q884" s="224"/>
      <c r="R884" s="224"/>
      <c r="S884" s="224"/>
      <c r="T884" s="224"/>
      <c r="U884" s="224"/>
      <c r="V884" s="224"/>
      <c r="W884" s="224"/>
      <c r="X884" s="224"/>
      <c r="Y884" s="224"/>
      <c r="Z884" s="224"/>
    </row>
    <row r="885">
      <c r="A885" s="225"/>
      <c r="B885" s="225"/>
      <c r="C885" s="225"/>
      <c r="D885" s="225"/>
      <c r="E885" s="225"/>
      <c r="F885" s="225"/>
      <c r="G885" s="225"/>
      <c r="H885" s="224"/>
      <c r="I885" s="224"/>
      <c r="J885" s="224"/>
      <c r="K885" s="224"/>
      <c r="L885" s="224"/>
      <c r="M885" s="224"/>
      <c r="N885" s="224"/>
      <c r="O885" s="224"/>
      <c r="P885" s="224"/>
      <c r="Q885" s="224"/>
      <c r="R885" s="224"/>
      <c r="S885" s="224"/>
      <c r="T885" s="224"/>
      <c r="U885" s="224"/>
      <c r="V885" s="224"/>
      <c r="W885" s="224"/>
      <c r="X885" s="224"/>
      <c r="Y885" s="224"/>
      <c r="Z885" s="224"/>
    </row>
    <row r="886">
      <c r="A886" s="225"/>
      <c r="B886" s="225"/>
      <c r="C886" s="225"/>
      <c r="D886" s="225"/>
      <c r="E886" s="225"/>
      <c r="F886" s="225"/>
      <c r="G886" s="225"/>
      <c r="H886" s="224"/>
      <c r="I886" s="224"/>
      <c r="J886" s="224"/>
      <c r="K886" s="224"/>
      <c r="L886" s="224"/>
      <c r="M886" s="224"/>
      <c r="N886" s="224"/>
      <c r="O886" s="224"/>
      <c r="P886" s="224"/>
      <c r="Q886" s="224"/>
      <c r="R886" s="224"/>
      <c r="S886" s="224"/>
      <c r="T886" s="224"/>
      <c r="U886" s="224"/>
      <c r="V886" s="224"/>
      <c r="W886" s="224"/>
      <c r="X886" s="224"/>
      <c r="Y886" s="224"/>
      <c r="Z886" s="224"/>
    </row>
    <row r="887">
      <c r="A887" s="225"/>
      <c r="B887" s="225"/>
      <c r="C887" s="225"/>
      <c r="D887" s="225"/>
      <c r="E887" s="225"/>
      <c r="F887" s="225"/>
      <c r="G887" s="225"/>
      <c r="H887" s="224"/>
      <c r="I887" s="224"/>
      <c r="J887" s="224"/>
      <c r="K887" s="224"/>
      <c r="L887" s="224"/>
      <c r="M887" s="224"/>
      <c r="N887" s="224"/>
      <c r="O887" s="224"/>
      <c r="P887" s="224"/>
      <c r="Q887" s="224"/>
      <c r="R887" s="224"/>
      <c r="S887" s="224"/>
      <c r="T887" s="224"/>
      <c r="U887" s="224"/>
      <c r="V887" s="224"/>
      <c r="W887" s="224"/>
      <c r="X887" s="224"/>
      <c r="Y887" s="224"/>
      <c r="Z887" s="224"/>
    </row>
    <row r="888">
      <c r="A888" s="225"/>
      <c r="B888" s="225"/>
      <c r="C888" s="225"/>
      <c r="D888" s="225"/>
      <c r="E888" s="225"/>
      <c r="F888" s="225"/>
      <c r="G888" s="225"/>
      <c r="H888" s="224"/>
      <c r="I888" s="224"/>
      <c r="J888" s="224"/>
      <c r="K888" s="224"/>
      <c r="L888" s="224"/>
      <c r="M888" s="224"/>
      <c r="N888" s="224"/>
      <c r="O888" s="224"/>
      <c r="P888" s="224"/>
      <c r="Q888" s="224"/>
      <c r="R888" s="224"/>
      <c r="S888" s="224"/>
      <c r="T888" s="224"/>
      <c r="U888" s="224"/>
      <c r="V888" s="224"/>
      <c r="W888" s="224"/>
      <c r="X888" s="224"/>
      <c r="Y888" s="224"/>
      <c r="Z888" s="224"/>
    </row>
    <row r="889">
      <c r="A889" s="225"/>
      <c r="B889" s="225"/>
      <c r="C889" s="225"/>
      <c r="D889" s="225"/>
      <c r="E889" s="225"/>
      <c r="F889" s="225"/>
      <c r="G889" s="225"/>
      <c r="H889" s="224"/>
      <c r="I889" s="224"/>
      <c r="J889" s="224"/>
      <c r="K889" s="224"/>
      <c r="L889" s="224"/>
      <c r="M889" s="224"/>
      <c r="N889" s="224"/>
      <c r="O889" s="224"/>
      <c r="P889" s="224"/>
      <c r="Q889" s="224"/>
      <c r="R889" s="224"/>
      <c r="S889" s="224"/>
      <c r="T889" s="224"/>
      <c r="U889" s="224"/>
      <c r="V889" s="224"/>
      <c r="W889" s="224"/>
      <c r="X889" s="224"/>
      <c r="Y889" s="224"/>
      <c r="Z889" s="224"/>
    </row>
    <row r="890">
      <c r="A890" s="225"/>
      <c r="B890" s="225"/>
      <c r="C890" s="225"/>
      <c r="D890" s="225"/>
      <c r="E890" s="225"/>
      <c r="F890" s="225"/>
      <c r="G890" s="225"/>
      <c r="H890" s="224"/>
      <c r="I890" s="224"/>
      <c r="J890" s="224"/>
      <c r="K890" s="224"/>
      <c r="L890" s="224"/>
      <c r="M890" s="224"/>
      <c r="N890" s="224"/>
      <c r="O890" s="224"/>
      <c r="P890" s="224"/>
      <c r="Q890" s="224"/>
      <c r="R890" s="224"/>
      <c r="S890" s="224"/>
      <c r="T890" s="224"/>
      <c r="U890" s="224"/>
      <c r="V890" s="224"/>
      <c r="W890" s="224"/>
      <c r="X890" s="224"/>
      <c r="Y890" s="224"/>
      <c r="Z890" s="224"/>
    </row>
    <row r="891">
      <c r="A891" s="225"/>
      <c r="B891" s="225"/>
      <c r="C891" s="225"/>
      <c r="D891" s="225"/>
      <c r="E891" s="225"/>
      <c r="F891" s="225"/>
      <c r="G891" s="225"/>
      <c r="H891" s="224"/>
      <c r="I891" s="224"/>
      <c r="J891" s="224"/>
      <c r="K891" s="224"/>
      <c r="L891" s="224"/>
      <c r="M891" s="224"/>
      <c r="N891" s="224"/>
      <c r="O891" s="224"/>
      <c r="P891" s="224"/>
      <c r="Q891" s="224"/>
      <c r="R891" s="224"/>
      <c r="S891" s="224"/>
      <c r="T891" s="224"/>
      <c r="U891" s="224"/>
      <c r="V891" s="224"/>
      <c r="W891" s="224"/>
      <c r="X891" s="224"/>
      <c r="Y891" s="224"/>
      <c r="Z891" s="224"/>
    </row>
    <row r="892">
      <c r="A892" s="225"/>
      <c r="B892" s="225"/>
      <c r="C892" s="225"/>
      <c r="D892" s="225"/>
      <c r="E892" s="225"/>
      <c r="F892" s="225"/>
      <c r="G892" s="225"/>
      <c r="H892" s="224"/>
      <c r="I892" s="224"/>
      <c r="J892" s="224"/>
      <c r="K892" s="224"/>
      <c r="L892" s="224"/>
      <c r="M892" s="224"/>
      <c r="N892" s="224"/>
      <c r="O892" s="224"/>
      <c r="P892" s="224"/>
      <c r="Q892" s="224"/>
      <c r="R892" s="224"/>
      <c r="S892" s="224"/>
      <c r="T892" s="224"/>
      <c r="U892" s="224"/>
      <c r="V892" s="224"/>
      <c r="W892" s="224"/>
      <c r="X892" s="224"/>
      <c r="Y892" s="224"/>
      <c r="Z892" s="224"/>
    </row>
    <row r="893">
      <c r="A893" s="225"/>
      <c r="B893" s="225"/>
      <c r="C893" s="225"/>
      <c r="D893" s="225"/>
      <c r="E893" s="225"/>
      <c r="F893" s="225"/>
      <c r="G893" s="225"/>
      <c r="H893" s="224"/>
      <c r="I893" s="224"/>
      <c r="J893" s="224"/>
      <c r="K893" s="224"/>
      <c r="L893" s="224"/>
      <c r="M893" s="224"/>
      <c r="N893" s="224"/>
      <c r="O893" s="224"/>
      <c r="P893" s="224"/>
      <c r="Q893" s="224"/>
      <c r="R893" s="224"/>
      <c r="S893" s="224"/>
      <c r="T893" s="224"/>
      <c r="U893" s="224"/>
      <c r="V893" s="224"/>
      <c r="W893" s="224"/>
      <c r="X893" s="224"/>
      <c r="Y893" s="224"/>
      <c r="Z893" s="224"/>
    </row>
    <row r="894">
      <c r="A894" s="225"/>
      <c r="B894" s="225"/>
      <c r="C894" s="225"/>
      <c r="D894" s="225"/>
      <c r="E894" s="225"/>
      <c r="F894" s="225"/>
      <c r="G894" s="225"/>
      <c r="H894" s="224"/>
      <c r="I894" s="224"/>
      <c r="J894" s="224"/>
      <c r="K894" s="224"/>
      <c r="L894" s="224"/>
      <c r="M894" s="224"/>
      <c r="N894" s="224"/>
      <c r="O894" s="224"/>
      <c r="P894" s="224"/>
      <c r="Q894" s="224"/>
      <c r="R894" s="224"/>
      <c r="S894" s="224"/>
      <c r="T894" s="224"/>
      <c r="U894" s="224"/>
      <c r="V894" s="224"/>
      <c r="W894" s="224"/>
      <c r="X894" s="224"/>
      <c r="Y894" s="224"/>
      <c r="Z894" s="224"/>
    </row>
    <row r="895">
      <c r="A895" s="225"/>
      <c r="B895" s="225"/>
      <c r="C895" s="225"/>
      <c r="D895" s="225"/>
      <c r="E895" s="225"/>
      <c r="F895" s="225"/>
      <c r="G895" s="225"/>
      <c r="H895" s="224"/>
      <c r="I895" s="224"/>
      <c r="J895" s="224"/>
      <c r="K895" s="224"/>
      <c r="L895" s="224"/>
      <c r="M895" s="224"/>
      <c r="N895" s="224"/>
      <c r="O895" s="224"/>
      <c r="P895" s="224"/>
      <c r="Q895" s="224"/>
      <c r="R895" s="224"/>
      <c r="S895" s="224"/>
      <c r="T895" s="224"/>
      <c r="U895" s="224"/>
      <c r="V895" s="224"/>
      <c r="W895" s="224"/>
      <c r="X895" s="224"/>
      <c r="Y895" s="224"/>
      <c r="Z895" s="224"/>
    </row>
    <row r="896">
      <c r="A896" s="225"/>
      <c r="B896" s="225"/>
      <c r="C896" s="225"/>
      <c r="D896" s="225"/>
      <c r="E896" s="225"/>
      <c r="F896" s="225"/>
      <c r="G896" s="225"/>
      <c r="H896" s="224"/>
      <c r="I896" s="224"/>
      <c r="J896" s="224"/>
      <c r="K896" s="224"/>
      <c r="L896" s="224"/>
      <c r="M896" s="224"/>
      <c r="N896" s="224"/>
      <c r="O896" s="224"/>
      <c r="P896" s="224"/>
      <c r="Q896" s="224"/>
      <c r="R896" s="224"/>
      <c r="S896" s="224"/>
      <c r="T896" s="224"/>
      <c r="U896" s="224"/>
      <c r="V896" s="224"/>
      <c r="W896" s="224"/>
      <c r="X896" s="224"/>
      <c r="Y896" s="224"/>
      <c r="Z896" s="224"/>
    </row>
    <row r="897">
      <c r="A897" s="225"/>
      <c r="B897" s="225"/>
      <c r="C897" s="225"/>
      <c r="D897" s="225"/>
      <c r="E897" s="225"/>
      <c r="F897" s="225"/>
      <c r="G897" s="225"/>
      <c r="H897" s="224"/>
      <c r="I897" s="224"/>
      <c r="J897" s="224"/>
      <c r="K897" s="224"/>
      <c r="L897" s="224"/>
      <c r="M897" s="224"/>
      <c r="N897" s="224"/>
      <c r="O897" s="224"/>
      <c r="P897" s="224"/>
      <c r="Q897" s="224"/>
      <c r="R897" s="224"/>
      <c r="S897" s="224"/>
      <c r="T897" s="224"/>
      <c r="U897" s="224"/>
      <c r="V897" s="224"/>
      <c r="W897" s="224"/>
      <c r="X897" s="224"/>
      <c r="Y897" s="224"/>
      <c r="Z897" s="224"/>
    </row>
    <row r="898">
      <c r="A898" s="225"/>
      <c r="B898" s="225"/>
      <c r="C898" s="225"/>
      <c r="D898" s="225"/>
      <c r="E898" s="225"/>
      <c r="F898" s="225"/>
      <c r="G898" s="225"/>
      <c r="H898" s="224"/>
      <c r="I898" s="224"/>
      <c r="J898" s="224"/>
      <c r="K898" s="224"/>
      <c r="L898" s="224"/>
      <c r="M898" s="224"/>
      <c r="N898" s="224"/>
      <c r="O898" s="224"/>
      <c r="P898" s="224"/>
      <c r="Q898" s="224"/>
      <c r="R898" s="224"/>
      <c r="S898" s="224"/>
      <c r="T898" s="224"/>
      <c r="U898" s="224"/>
      <c r="V898" s="224"/>
      <c r="W898" s="224"/>
      <c r="X898" s="224"/>
      <c r="Y898" s="224"/>
      <c r="Z898" s="224"/>
    </row>
    <row r="899">
      <c r="A899" s="225"/>
      <c r="B899" s="225"/>
      <c r="C899" s="225"/>
      <c r="D899" s="225"/>
      <c r="E899" s="225"/>
      <c r="F899" s="225"/>
      <c r="G899" s="225"/>
      <c r="H899" s="224"/>
      <c r="I899" s="224"/>
      <c r="J899" s="224"/>
      <c r="K899" s="224"/>
      <c r="L899" s="224"/>
      <c r="M899" s="224"/>
      <c r="N899" s="224"/>
      <c r="O899" s="224"/>
      <c r="P899" s="224"/>
      <c r="Q899" s="224"/>
      <c r="R899" s="224"/>
      <c r="S899" s="224"/>
      <c r="T899" s="224"/>
      <c r="U899" s="224"/>
      <c r="V899" s="224"/>
      <c r="W899" s="224"/>
      <c r="X899" s="224"/>
      <c r="Y899" s="224"/>
      <c r="Z899" s="224"/>
    </row>
    <row r="900">
      <c r="A900" s="225"/>
      <c r="B900" s="225"/>
      <c r="C900" s="225"/>
      <c r="D900" s="225"/>
      <c r="E900" s="225"/>
      <c r="F900" s="225"/>
      <c r="G900" s="225"/>
      <c r="H900" s="224"/>
      <c r="I900" s="224"/>
      <c r="J900" s="224"/>
      <c r="K900" s="224"/>
      <c r="L900" s="224"/>
      <c r="M900" s="224"/>
      <c r="N900" s="224"/>
      <c r="O900" s="224"/>
      <c r="P900" s="224"/>
      <c r="Q900" s="224"/>
      <c r="R900" s="224"/>
      <c r="S900" s="224"/>
      <c r="T900" s="224"/>
      <c r="U900" s="224"/>
      <c r="V900" s="224"/>
      <c r="W900" s="224"/>
      <c r="X900" s="224"/>
      <c r="Y900" s="224"/>
      <c r="Z900" s="224"/>
    </row>
    <row r="901">
      <c r="A901" s="225"/>
      <c r="B901" s="225"/>
      <c r="C901" s="225"/>
      <c r="D901" s="225"/>
      <c r="E901" s="225"/>
      <c r="F901" s="225"/>
      <c r="G901" s="225"/>
      <c r="H901" s="224"/>
      <c r="I901" s="224"/>
      <c r="J901" s="224"/>
      <c r="K901" s="224"/>
      <c r="L901" s="224"/>
      <c r="M901" s="224"/>
      <c r="N901" s="224"/>
      <c r="O901" s="224"/>
      <c r="P901" s="224"/>
      <c r="Q901" s="224"/>
      <c r="R901" s="224"/>
      <c r="S901" s="224"/>
      <c r="T901" s="224"/>
      <c r="U901" s="224"/>
      <c r="V901" s="224"/>
      <c r="W901" s="224"/>
      <c r="X901" s="224"/>
      <c r="Y901" s="224"/>
      <c r="Z901" s="224"/>
    </row>
    <row r="902">
      <c r="A902" s="225"/>
      <c r="B902" s="225"/>
      <c r="C902" s="225"/>
      <c r="D902" s="225"/>
      <c r="E902" s="225"/>
      <c r="F902" s="225"/>
      <c r="G902" s="225"/>
      <c r="H902" s="224"/>
      <c r="I902" s="224"/>
      <c r="J902" s="224"/>
      <c r="K902" s="224"/>
      <c r="L902" s="224"/>
      <c r="M902" s="224"/>
      <c r="N902" s="224"/>
      <c r="O902" s="224"/>
      <c r="P902" s="224"/>
      <c r="Q902" s="224"/>
      <c r="R902" s="224"/>
      <c r="S902" s="224"/>
      <c r="T902" s="224"/>
      <c r="U902" s="224"/>
      <c r="V902" s="224"/>
      <c r="W902" s="224"/>
      <c r="X902" s="224"/>
      <c r="Y902" s="224"/>
      <c r="Z902" s="224"/>
    </row>
    <row r="903">
      <c r="A903" s="225"/>
      <c r="B903" s="225"/>
      <c r="C903" s="225"/>
      <c r="D903" s="225"/>
      <c r="E903" s="225"/>
      <c r="F903" s="225"/>
      <c r="G903" s="225"/>
      <c r="H903" s="224"/>
      <c r="I903" s="224"/>
      <c r="J903" s="224"/>
      <c r="K903" s="224"/>
      <c r="L903" s="224"/>
      <c r="M903" s="224"/>
      <c r="N903" s="224"/>
      <c r="O903" s="224"/>
      <c r="P903" s="224"/>
      <c r="Q903" s="224"/>
      <c r="R903" s="224"/>
      <c r="S903" s="224"/>
      <c r="T903" s="224"/>
      <c r="U903" s="224"/>
      <c r="V903" s="224"/>
      <c r="W903" s="224"/>
      <c r="X903" s="224"/>
      <c r="Y903" s="224"/>
      <c r="Z903" s="224"/>
    </row>
    <row r="904">
      <c r="A904" s="225"/>
      <c r="B904" s="225"/>
      <c r="C904" s="225"/>
      <c r="D904" s="225"/>
      <c r="E904" s="225"/>
      <c r="F904" s="225"/>
      <c r="G904" s="225"/>
      <c r="H904" s="224"/>
      <c r="I904" s="224"/>
      <c r="J904" s="224"/>
      <c r="K904" s="224"/>
      <c r="L904" s="224"/>
      <c r="M904" s="224"/>
      <c r="N904" s="224"/>
      <c r="O904" s="224"/>
      <c r="P904" s="224"/>
      <c r="Q904" s="224"/>
      <c r="R904" s="224"/>
      <c r="S904" s="224"/>
      <c r="T904" s="224"/>
      <c r="U904" s="224"/>
      <c r="V904" s="224"/>
      <c r="W904" s="224"/>
      <c r="X904" s="224"/>
      <c r="Y904" s="224"/>
      <c r="Z904" s="224"/>
    </row>
    <row r="905">
      <c r="A905" s="225"/>
      <c r="B905" s="225"/>
      <c r="C905" s="225"/>
      <c r="D905" s="225"/>
      <c r="E905" s="225"/>
      <c r="F905" s="225"/>
      <c r="G905" s="225"/>
      <c r="H905" s="224"/>
      <c r="I905" s="224"/>
      <c r="J905" s="224"/>
      <c r="K905" s="224"/>
      <c r="L905" s="224"/>
      <c r="M905" s="224"/>
      <c r="N905" s="224"/>
      <c r="O905" s="224"/>
      <c r="P905" s="224"/>
      <c r="Q905" s="224"/>
      <c r="R905" s="224"/>
      <c r="S905" s="224"/>
      <c r="T905" s="224"/>
      <c r="U905" s="224"/>
      <c r="V905" s="224"/>
      <c r="W905" s="224"/>
      <c r="X905" s="224"/>
      <c r="Y905" s="224"/>
      <c r="Z905" s="224"/>
    </row>
    <row r="906">
      <c r="A906" s="225"/>
      <c r="B906" s="225"/>
      <c r="C906" s="225"/>
      <c r="D906" s="225"/>
      <c r="E906" s="225"/>
      <c r="F906" s="225"/>
      <c r="G906" s="225"/>
      <c r="H906" s="224"/>
      <c r="I906" s="224"/>
      <c r="J906" s="224"/>
      <c r="K906" s="224"/>
      <c r="L906" s="224"/>
      <c r="M906" s="224"/>
      <c r="N906" s="224"/>
      <c r="O906" s="224"/>
      <c r="P906" s="224"/>
      <c r="Q906" s="224"/>
      <c r="R906" s="224"/>
      <c r="S906" s="224"/>
      <c r="T906" s="224"/>
      <c r="U906" s="224"/>
      <c r="V906" s="224"/>
      <c r="W906" s="224"/>
      <c r="X906" s="224"/>
      <c r="Y906" s="224"/>
      <c r="Z906" s="224"/>
    </row>
    <row r="907">
      <c r="A907" s="225"/>
      <c r="B907" s="225"/>
      <c r="C907" s="225"/>
      <c r="D907" s="225"/>
      <c r="E907" s="225"/>
      <c r="F907" s="225"/>
      <c r="G907" s="225"/>
      <c r="H907" s="224"/>
      <c r="I907" s="224"/>
      <c r="J907" s="224"/>
      <c r="K907" s="224"/>
      <c r="L907" s="224"/>
      <c r="M907" s="224"/>
      <c r="N907" s="224"/>
      <c r="O907" s="224"/>
      <c r="P907" s="224"/>
      <c r="Q907" s="224"/>
      <c r="R907" s="224"/>
      <c r="S907" s="224"/>
      <c r="T907" s="224"/>
      <c r="U907" s="224"/>
      <c r="V907" s="224"/>
      <c r="W907" s="224"/>
      <c r="X907" s="224"/>
      <c r="Y907" s="224"/>
      <c r="Z907" s="224"/>
    </row>
    <row r="908">
      <c r="A908" s="225"/>
      <c r="B908" s="225"/>
      <c r="C908" s="225"/>
      <c r="D908" s="225"/>
      <c r="E908" s="225"/>
      <c r="F908" s="225"/>
      <c r="G908" s="225"/>
      <c r="H908" s="224"/>
      <c r="I908" s="224"/>
      <c r="J908" s="224"/>
      <c r="K908" s="224"/>
      <c r="L908" s="224"/>
      <c r="M908" s="224"/>
      <c r="N908" s="224"/>
      <c r="O908" s="224"/>
      <c r="P908" s="224"/>
      <c r="Q908" s="224"/>
      <c r="R908" s="224"/>
      <c r="S908" s="224"/>
      <c r="T908" s="224"/>
      <c r="U908" s="224"/>
      <c r="V908" s="224"/>
      <c r="W908" s="224"/>
      <c r="X908" s="224"/>
      <c r="Y908" s="224"/>
      <c r="Z908" s="224"/>
    </row>
    <row r="909">
      <c r="A909" s="225"/>
      <c r="B909" s="225"/>
      <c r="C909" s="225"/>
      <c r="D909" s="225"/>
      <c r="E909" s="225"/>
      <c r="F909" s="225"/>
      <c r="G909" s="225"/>
      <c r="H909" s="224"/>
      <c r="I909" s="224"/>
      <c r="J909" s="224"/>
      <c r="K909" s="224"/>
      <c r="L909" s="224"/>
      <c r="M909" s="224"/>
      <c r="N909" s="224"/>
      <c r="O909" s="224"/>
      <c r="P909" s="224"/>
      <c r="Q909" s="224"/>
      <c r="R909" s="224"/>
      <c r="S909" s="224"/>
      <c r="T909" s="224"/>
      <c r="U909" s="224"/>
      <c r="V909" s="224"/>
      <c r="W909" s="224"/>
      <c r="X909" s="224"/>
      <c r="Y909" s="224"/>
      <c r="Z909" s="224"/>
    </row>
    <row r="910">
      <c r="A910" s="225"/>
      <c r="B910" s="225"/>
      <c r="C910" s="225"/>
      <c r="D910" s="225"/>
      <c r="E910" s="225"/>
      <c r="F910" s="225"/>
      <c r="G910" s="225"/>
      <c r="H910" s="224"/>
      <c r="I910" s="224"/>
      <c r="J910" s="224"/>
      <c r="K910" s="224"/>
      <c r="L910" s="224"/>
      <c r="M910" s="224"/>
      <c r="N910" s="224"/>
      <c r="O910" s="224"/>
      <c r="P910" s="224"/>
      <c r="Q910" s="224"/>
      <c r="R910" s="224"/>
      <c r="S910" s="224"/>
      <c r="T910" s="224"/>
      <c r="U910" s="224"/>
      <c r="V910" s="224"/>
      <c r="W910" s="224"/>
      <c r="X910" s="224"/>
      <c r="Y910" s="224"/>
      <c r="Z910" s="224"/>
    </row>
    <row r="911">
      <c r="A911" s="225"/>
      <c r="B911" s="225"/>
      <c r="C911" s="225"/>
      <c r="D911" s="225"/>
      <c r="E911" s="225"/>
      <c r="F911" s="225"/>
      <c r="G911" s="225"/>
      <c r="H911" s="224"/>
      <c r="I911" s="224"/>
      <c r="J911" s="224"/>
      <c r="K911" s="224"/>
      <c r="L911" s="224"/>
      <c r="M911" s="224"/>
      <c r="N911" s="224"/>
      <c r="O911" s="224"/>
      <c r="P911" s="224"/>
      <c r="Q911" s="224"/>
      <c r="R911" s="224"/>
      <c r="S911" s="224"/>
      <c r="T911" s="224"/>
      <c r="U911" s="224"/>
      <c r="V911" s="224"/>
      <c r="W911" s="224"/>
      <c r="X911" s="224"/>
      <c r="Y911" s="224"/>
      <c r="Z911" s="224"/>
    </row>
    <row r="912">
      <c r="A912" s="225"/>
      <c r="B912" s="225"/>
      <c r="C912" s="225"/>
      <c r="D912" s="225"/>
      <c r="E912" s="225"/>
      <c r="F912" s="225"/>
      <c r="G912" s="225"/>
      <c r="H912" s="224"/>
      <c r="I912" s="224"/>
      <c r="J912" s="224"/>
      <c r="K912" s="224"/>
      <c r="L912" s="224"/>
      <c r="M912" s="224"/>
      <c r="N912" s="224"/>
      <c r="O912" s="224"/>
      <c r="P912" s="224"/>
      <c r="Q912" s="224"/>
      <c r="R912" s="224"/>
      <c r="S912" s="224"/>
      <c r="T912" s="224"/>
      <c r="U912" s="224"/>
      <c r="V912" s="224"/>
      <c r="W912" s="224"/>
      <c r="X912" s="224"/>
      <c r="Y912" s="224"/>
      <c r="Z912" s="224"/>
    </row>
    <row r="913">
      <c r="A913" s="225"/>
      <c r="B913" s="225"/>
      <c r="C913" s="225"/>
      <c r="D913" s="225"/>
      <c r="E913" s="225"/>
      <c r="F913" s="225"/>
      <c r="G913" s="225"/>
      <c r="H913" s="224"/>
      <c r="I913" s="224"/>
      <c r="J913" s="224"/>
      <c r="K913" s="224"/>
      <c r="L913" s="224"/>
      <c r="M913" s="224"/>
      <c r="N913" s="224"/>
      <c r="O913" s="224"/>
      <c r="P913" s="224"/>
      <c r="Q913" s="224"/>
      <c r="R913" s="224"/>
      <c r="S913" s="224"/>
      <c r="T913" s="224"/>
      <c r="U913" s="224"/>
      <c r="V913" s="224"/>
      <c r="W913" s="224"/>
      <c r="X913" s="224"/>
      <c r="Y913" s="224"/>
      <c r="Z913" s="224"/>
    </row>
    <row r="914">
      <c r="A914" s="225"/>
      <c r="B914" s="225"/>
      <c r="C914" s="225"/>
      <c r="D914" s="225"/>
      <c r="E914" s="225"/>
      <c r="F914" s="225"/>
      <c r="G914" s="225"/>
      <c r="H914" s="224"/>
      <c r="I914" s="224"/>
      <c r="J914" s="224"/>
      <c r="K914" s="224"/>
      <c r="L914" s="224"/>
      <c r="M914" s="224"/>
      <c r="N914" s="224"/>
      <c r="O914" s="224"/>
      <c r="P914" s="224"/>
      <c r="Q914" s="224"/>
      <c r="R914" s="224"/>
      <c r="S914" s="224"/>
      <c r="T914" s="224"/>
      <c r="U914" s="224"/>
      <c r="V914" s="224"/>
      <c r="W914" s="224"/>
      <c r="X914" s="224"/>
      <c r="Y914" s="224"/>
      <c r="Z914" s="224"/>
    </row>
    <row r="915">
      <c r="A915" s="225"/>
      <c r="B915" s="225"/>
      <c r="C915" s="225"/>
      <c r="D915" s="225"/>
      <c r="E915" s="225"/>
      <c r="F915" s="225"/>
      <c r="G915" s="225"/>
      <c r="H915" s="224"/>
      <c r="I915" s="224"/>
      <c r="J915" s="224"/>
      <c r="K915" s="224"/>
      <c r="L915" s="224"/>
      <c r="M915" s="224"/>
      <c r="N915" s="224"/>
      <c r="O915" s="224"/>
      <c r="P915" s="224"/>
      <c r="Q915" s="224"/>
      <c r="R915" s="224"/>
      <c r="S915" s="224"/>
      <c r="T915" s="224"/>
      <c r="U915" s="224"/>
      <c r="V915" s="224"/>
      <c r="W915" s="224"/>
      <c r="X915" s="224"/>
      <c r="Y915" s="224"/>
      <c r="Z915" s="224"/>
    </row>
    <row r="916">
      <c r="A916" s="225"/>
      <c r="B916" s="225"/>
      <c r="C916" s="225"/>
      <c r="D916" s="225"/>
      <c r="E916" s="225"/>
      <c r="F916" s="225"/>
      <c r="G916" s="225"/>
      <c r="H916" s="224"/>
      <c r="I916" s="224"/>
      <c r="J916" s="224"/>
      <c r="K916" s="224"/>
      <c r="L916" s="224"/>
      <c r="M916" s="224"/>
      <c r="N916" s="224"/>
      <c r="O916" s="224"/>
      <c r="P916" s="224"/>
      <c r="Q916" s="224"/>
      <c r="R916" s="224"/>
      <c r="S916" s="224"/>
      <c r="T916" s="224"/>
      <c r="U916" s="224"/>
      <c r="V916" s="224"/>
      <c r="W916" s="224"/>
      <c r="X916" s="224"/>
      <c r="Y916" s="224"/>
      <c r="Z916" s="224"/>
    </row>
    <row r="917">
      <c r="A917" s="225"/>
      <c r="B917" s="225"/>
      <c r="C917" s="225"/>
      <c r="D917" s="225"/>
      <c r="E917" s="225"/>
      <c r="F917" s="225"/>
      <c r="G917" s="225"/>
      <c r="H917" s="224"/>
      <c r="I917" s="224"/>
      <c r="J917" s="224"/>
      <c r="K917" s="224"/>
      <c r="L917" s="224"/>
      <c r="M917" s="224"/>
      <c r="N917" s="224"/>
      <c r="O917" s="224"/>
      <c r="P917" s="224"/>
      <c r="Q917" s="224"/>
      <c r="R917" s="224"/>
      <c r="S917" s="224"/>
      <c r="T917" s="224"/>
      <c r="U917" s="224"/>
      <c r="V917" s="224"/>
      <c r="W917" s="224"/>
      <c r="X917" s="224"/>
      <c r="Y917" s="224"/>
      <c r="Z917" s="224"/>
    </row>
    <row r="918">
      <c r="A918" s="225"/>
      <c r="B918" s="225"/>
      <c r="C918" s="225"/>
      <c r="D918" s="225"/>
      <c r="E918" s="225"/>
      <c r="F918" s="225"/>
      <c r="G918" s="225"/>
      <c r="H918" s="224"/>
      <c r="I918" s="224"/>
      <c r="J918" s="224"/>
      <c r="K918" s="224"/>
      <c r="L918" s="224"/>
      <c r="M918" s="224"/>
      <c r="N918" s="224"/>
      <c r="O918" s="224"/>
      <c r="P918" s="224"/>
      <c r="Q918" s="224"/>
      <c r="R918" s="224"/>
      <c r="S918" s="224"/>
      <c r="T918" s="224"/>
      <c r="U918" s="224"/>
      <c r="V918" s="224"/>
      <c r="W918" s="224"/>
      <c r="X918" s="224"/>
      <c r="Y918" s="224"/>
      <c r="Z918" s="224"/>
    </row>
    <row r="919">
      <c r="A919" s="225"/>
      <c r="B919" s="225"/>
      <c r="C919" s="225"/>
      <c r="D919" s="225"/>
      <c r="E919" s="225"/>
      <c r="F919" s="225"/>
      <c r="G919" s="225"/>
      <c r="H919" s="224"/>
      <c r="I919" s="224"/>
      <c r="J919" s="224"/>
      <c r="K919" s="224"/>
      <c r="L919" s="224"/>
      <c r="M919" s="224"/>
      <c r="N919" s="224"/>
      <c r="O919" s="224"/>
      <c r="P919" s="224"/>
      <c r="Q919" s="224"/>
      <c r="R919" s="224"/>
      <c r="S919" s="224"/>
      <c r="T919" s="224"/>
      <c r="U919" s="224"/>
      <c r="V919" s="224"/>
      <c r="W919" s="224"/>
      <c r="X919" s="224"/>
      <c r="Y919" s="224"/>
      <c r="Z919" s="224"/>
    </row>
    <row r="920">
      <c r="A920" s="225"/>
      <c r="B920" s="225"/>
      <c r="C920" s="225"/>
      <c r="D920" s="225"/>
      <c r="E920" s="225"/>
      <c r="F920" s="225"/>
      <c r="G920" s="225"/>
      <c r="H920" s="224"/>
      <c r="I920" s="224"/>
      <c r="J920" s="224"/>
      <c r="K920" s="224"/>
      <c r="L920" s="224"/>
      <c r="M920" s="224"/>
      <c r="N920" s="224"/>
      <c r="O920" s="224"/>
      <c r="P920" s="224"/>
      <c r="Q920" s="224"/>
      <c r="R920" s="224"/>
      <c r="S920" s="224"/>
      <c r="T920" s="224"/>
      <c r="U920" s="224"/>
      <c r="V920" s="224"/>
      <c r="W920" s="224"/>
      <c r="X920" s="224"/>
      <c r="Y920" s="224"/>
      <c r="Z920" s="224"/>
    </row>
    <row r="921">
      <c r="A921" s="225"/>
      <c r="B921" s="225"/>
      <c r="C921" s="225"/>
      <c r="D921" s="225"/>
      <c r="E921" s="225"/>
      <c r="F921" s="225"/>
      <c r="G921" s="225"/>
      <c r="H921" s="224"/>
      <c r="I921" s="224"/>
      <c r="J921" s="224"/>
      <c r="K921" s="224"/>
      <c r="L921" s="224"/>
      <c r="M921" s="224"/>
      <c r="N921" s="224"/>
      <c r="O921" s="224"/>
      <c r="P921" s="224"/>
      <c r="Q921" s="224"/>
      <c r="R921" s="224"/>
      <c r="S921" s="224"/>
      <c r="T921" s="224"/>
      <c r="U921" s="224"/>
      <c r="V921" s="224"/>
      <c r="W921" s="224"/>
      <c r="X921" s="224"/>
      <c r="Y921" s="224"/>
      <c r="Z921" s="224"/>
    </row>
    <row r="922">
      <c r="A922" s="225"/>
      <c r="B922" s="225"/>
      <c r="C922" s="225"/>
      <c r="D922" s="225"/>
      <c r="E922" s="225"/>
      <c r="F922" s="225"/>
      <c r="G922" s="225"/>
      <c r="H922" s="224"/>
      <c r="I922" s="224"/>
      <c r="J922" s="224"/>
      <c r="K922" s="224"/>
      <c r="L922" s="224"/>
      <c r="M922" s="224"/>
      <c r="N922" s="224"/>
      <c r="O922" s="224"/>
      <c r="P922" s="224"/>
      <c r="Q922" s="224"/>
      <c r="R922" s="224"/>
      <c r="S922" s="224"/>
      <c r="T922" s="224"/>
      <c r="U922" s="224"/>
      <c r="V922" s="224"/>
      <c r="W922" s="224"/>
      <c r="X922" s="224"/>
      <c r="Y922" s="224"/>
      <c r="Z922" s="224"/>
    </row>
    <row r="923">
      <c r="A923" s="225"/>
      <c r="B923" s="225"/>
      <c r="C923" s="225"/>
      <c r="D923" s="225"/>
      <c r="E923" s="225"/>
      <c r="F923" s="225"/>
      <c r="G923" s="225"/>
      <c r="H923" s="224"/>
      <c r="I923" s="224"/>
      <c r="J923" s="224"/>
      <c r="K923" s="224"/>
      <c r="L923" s="224"/>
      <c r="M923" s="224"/>
      <c r="N923" s="224"/>
      <c r="O923" s="224"/>
      <c r="P923" s="224"/>
      <c r="Q923" s="224"/>
      <c r="R923" s="224"/>
      <c r="S923" s="224"/>
      <c r="T923" s="224"/>
      <c r="U923" s="224"/>
      <c r="V923" s="224"/>
      <c r="W923" s="224"/>
      <c r="X923" s="224"/>
      <c r="Y923" s="224"/>
      <c r="Z923" s="224"/>
    </row>
    <row r="924">
      <c r="A924" s="225"/>
      <c r="B924" s="225"/>
      <c r="C924" s="225"/>
      <c r="D924" s="225"/>
      <c r="E924" s="225"/>
      <c r="F924" s="225"/>
      <c r="G924" s="225"/>
      <c r="H924" s="224"/>
      <c r="I924" s="224"/>
      <c r="J924" s="224"/>
      <c r="K924" s="224"/>
      <c r="L924" s="224"/>
      <c r="M924" s="224"/>
      <c r="N924" s="224"/>
      <c r="O924" s="224"/>
      <c r="P924" s="224"/>
      <c r="Q924" s="224"/>
      <c r="R924" s="224"/>
      <c r="S924" s="224"/>
      <c r="T924" s="224"/>
      <c r="U924" s="224"/>
      <c r="V924" s="224"/>
      <c r="W924" s="224"/>
      <c r="X924" s="224"/>
      <c r="Y924" s="224"/>
      <c r="Z924" s="224"/>
    </row>
    <row r="925">
      <c r="A925" s="225"/>
      <c r="B925" s="225"/>
      <c r="C925" s="225"/>
      <c r="D925" s="225"/>
      <c r="E925" s="225"/>
      <c r="F925" s="225"/>
      <c r="G925" s="225"/>
      <c r="H925" s="224"/>
      <c r="I925" s="224"/>
      <c r="J925" s="224"/>
      <c r="K925" s="224"/>
      <c r="L925" s="224"/>
      <c r="M925" s="224"/>
      <c r="N925" s="224"/>
      <c r="O925" s="224"/>
      <c r="P925" s="224"/>
      <c r="Q925" s="224"/>
      <c r="R925" s="224"/>
      <c r="S925" s="224"/>
      <c r="T925" s="224"/>
      <c r="U925" s="224"/>
      <c r="V925" s="224"/>
      <c r="W925" s="224"/>
      <c r="X925" s="224"/>
      <c r="Y925" s="224"/>
      <c r="Z925" s="224"/>
    </row>
    <row r="926">
      <c r="A926" s="225"/>
      <c r="B926" s="225"/>
      <c r="C926" s="225"/>
      <c r="D926" s="225"/>
      <c r="E926" s="225"/>
      <c r="F926" s="225"/>
      <c r="G926" s="225"/>
      <c r="H926" s="224"/>
      <c r="I926" s="224"/>
      <c r="J926" s="224"/>
      <c r="K926" s="224"/>
      <c r="L926" s="224"/>
      <c r="M926" s="224"/>
      <c r="N926" s="224"/>
      <c r="O926" s="224"/>
      <c r="P926" s="224"/>
      <c r="Q926" s="224"/>
      <c r="R926" s="224"/>
      <c r="S926" s="224"/>
      <c r="T926" s="224"/>
      <c r="U926" s="224"/>
      <c r="V926" s="224"/>
      <c r="W926" s="224"/>
      <c r="X926" s="224"/>
      <c r="Y926" s="224"/>
      <c r="Z926" s="224"/>
    </row>
    <row r="927">
      <c r="A927" s="225"/>
      <c r="B927" s="225"/>
      <c r="C927" s="225"/>
      <c r="D927" s="225"/>
      <c r="E927" s="225"/>
      <c r="F927" s="225"/>
      <c r="G927" s="225"/>
      <c r="H927" s="224"/>
      <c r="I927" s="224"/>
      <c r="J927" s="224"/>
      <c r="K927" s="224"/>
      <c r="L927" s="224"/>
      <c r="M927" s="224"/>
      <c r="N927" s="224"/>
      <c r="O927" s="224"/>
      <c r="P927" s="224"/>
      <c r="Q927" s="224"/>
      <c r="R927" s="224"/>
      <c r="S927" s="224"/>
      <c r="T927" s="224"/>
      <c r="U927" s="224"/>
      <c r="V927" s="224"/>
      <c r="W927" s="224"/>
      <c r="X927" s="224"/>
      <c r="Y927" s="224"/>
      <c r="Z927" s="224"/>
    </row>
    <row r="928">
      <c r="A928" s="225"/>
      <c r="B928" s="225"/>
      <c r="C928" s="225"/>
      <c r="D928" s="225"/>
      <c r="E928" s="225"/>
      <c r="F928" s="225"/>
      <c r="G928" s="225"/>
      <c r="H928" s="224"/>
      <c r="I928" s="224"/>
      <c r="J928" s="224"/>
      <c r="K928" s="224"/>
      <c r="L928" s="224"/>
      <c r="M928" s="224"/>
      <c r="N928" s="224"/>
      <c r="O928" s="224"/>
      <c r="P928" s="224"/>
      <c r="Q928" s="224"/>
      <c r="R928" s="224"/>
      <c r="S928" s="224"/>
      <c r="T928" s="224"/>
      <c r="U928" s="224"/>
      <c r="V928" s="224"/>
      <c r="W928" s="224"/>
      <c r="X928" s="224"/>
      <c r="Y928" s="224"/>
      <c r="Z928" s="224"/>
    </row>
    <row r="929">
      <c r="A929" s="225"/>
      <c r="B929" s="225"/>
      <c r="C929" s="225"/>
      <c r="D929" s="225"/>
      <c r="E929" s="225"/>
      <c r="F929" s="225"/>
      <c r="G929" s="225"/>
      <c r="H929" s="224"/>
      <c r="I929" s="224"/>
      <c r="J929" s="224"/>
      <c r="K929" s="224"/>
      <c r="L929" s="224"/>
      <c r="M929" s="224"/>
      <c r="N929" s="224"/>
      <c r="O929" s="224"/>
      <c r="P929" s="224"/>
      <c r="Q929" s="224"/>
      <c r="R929" s="224"/>
      <c r="S929" s="224"/>
      <c r="T929" s="224"/>
      <c r="U929" s="224"/>
      <c r="V929" s="224"/>
      <c r="W929" s="224"/>
      <c r="X929" s="224"/>
      <c r="Y929" s="224"/>
      <c r="Z929" s="224"/>
    </row>
    <row r="930">
      <c r="A930" s="225"/>
      <c r="B930" s="225"/>
      <c r="C930" s="225"/>
      <c r="D930" s="225"/>
      <c r="E930" s="225"/>
      <c r="F930" s="225"/>
      <c r="G930" s="225"/>
      <c r="H930" s="224"/>
      <c r="I930" s="224"/>
      <c r="J930" s="224"/>
      <c r="K930" s="224"/>
      <c r="L930" s="224"/>
      <c r="M930" s="224"/>
      <c r="N930" s="224"/>
      <c r="O930" s="224"/>
      <c r="P930" s="224"/>
      <c r="Q930" s="224"/>
      <c r="R930" s="224"/>
      <c r="S930" s="224"/>
      <c r="T930" s="224"/>
      <c r="U930" s="224"/>
      <c r="V930" s="224"/>
      <c r="W930" s="224"/>
      <c r="X930" s="224"/>
      <c r="Y930" s="224"/>
      <c r="Z930" s="224"/>
    </row>
    <row r="931">
      <c r="A931" s="225"/>
      <c r="B931" s="225"/>
      <c r="C931" s="225"/>
      <c r="D931" s="225"/>
      <c r="E931" s="225"/>
      <c r="F931" s="225"/>
      <c r="G931" s="225"/>
      <c r="H931" s="224"/>
      <c r="I931" s="224"/>
      <c r="J931" s="224"/>
      <c r="K931" s="224"/>
      <c r="L931" s="224"/>
      <c r="M931" s="224"/>
      <c r="N931" s="224"/>
      <c r="O931" s="224"/>
      <c r="P931" s="224"/>
      <c r="Q931" s="224"/>
      <c r="R931" s="224"/>
      <c r="S931" s="224"/>
      <c r="T931" s="224"/>
      <c r="U931" s="224"/>
      <c r="V931" s="224"/>
      <c r="W931" s="224"/>
      <c r="X931" s="224"/>
      <c r="Y931" s="224"/>
      <c r="Z931" s="224"/>
    </row>
    <row r="932">
      <c r="A932" s="225"/>
      <c r="B932" s="225"/>
      <c r="C932" s="225"/>
      <c r="D932" s="225"/>
      <c r="E932" s="225"/>
      <c r="F932" s="225"/>
      <c r="G932" s="225"/>
      <c r="H932" s="224"/>
      <c r="I932" s="224"/>
      <c r="J932" s="224"/>
      <c r="K932" s="224"/>
      <c r="L932" s="224"/>
      <c r="M932" s="224"/>
      <c r="N932" s="224"/>
      <c r="O932" s="224"/>
      <c r="P932" s="224"/>
      <c r="Q932" s="224"/>
      <c r="R932" s="224"/>
      <c r="S932" s="224"/>
      <c r="T932" s="224"/>
      <c r="U932" s="224"/>
      <c r="V932" s="224"/>
      <c r="W932" s="224"/>
      <c r="X932" s="224"/>
      <c r="Y932" s="224"/>
      <c r="Z932" s="224"/>
    </row>
    <row r="933">
      <c r="A933" s="225"/>
      <c r="B933" s="225"/>
      <c r="C933" s="225"/>
      <c r="D933" s="225"/>
      <c r="E933" s="225"/>
      <c r="F933" s="225"/>
      <c r="G933" s="225"/>
      <c r="H933" s="224"/>
      <c r="I933" s="224"/>
      <c r="J933" s="224"/>
      <c r="K933" s="224"/>
      <c r="L933" s="224"/>
      <c r="M933" s="224"/>
      <c r="N933" s="224"/>
      <c r="O933" s="224"/>
      <c r="P933" s="224"/>
      <c r="Q933" s="224"/>
      <c r="R933" s="224"/>
      <c r="S933" s="224"/>
      <c r="T933" s="224"/>
      <c r="U933" s="224"/>
      <c r="V933" s="224"/>
      <c r="W933" s="224"/>
      <c r="X933" s="224"/>
      <c r="Y933" s="224"/>
      <c r="Z933" s="224"/>
    </row>
    <row r="934">
      <c r="A934" s="225"/>
      <c r="B934" s="225"/>
      <c r="C934" s="225"/>
      <c r="D934" s="225"/>
      <c r="E934" s="225"/>
      <c r="F934" s="225"/>
      <c r="G934" s="225"/>
      <c r="H934" s="224"/>
      <c r="I934" s="224"/>
      <c r="J934" s="224"/>
      <c r="K934" s="224"/>
      <c r="L934" s="224"/>
      <c r="M934" s="224"/>
      <c r="N934" s="224"/>
      <c r="O934" s="224"/>
      <c r="P934" s="224"/>
      <c r="Q934" s="224"/>
      <c r="R934" s="224"/>
      <c r="S934" s="224"/>
      <c r="T934" s="224"/>
      <c r="U934" s="224"/>
      <c r="V934" s="224"/>
      <c r="W934" s="224"/>
      <c r="X934" s="224"/>
      <c r="Y934" s="224"/>
      <c r="Z934" s="224"/>
    </row>
    <row r="935">
      <c r="A935" s="225"/>
      <c r="B935" s="225"/>
      <c r="C935" s="225"/>
      <c r="D935" s="225"/>
      <c r="E935" s="225"/>
      <c r="F935" s="225"/>
      <c r="G935" s="225"/>
      <c r="H935" s="224"/>
      <c r="I935" s="224"/>
      <c r="J935" s="224"/>
      <c r="K935" s="224"/>
      <c r="L935" s="224"/>
      <c r="M935" s="224"/>
      <c r="N935" s="224"/>
      <c r="O935" s="224"/>
      <c r="P935" s="224"/>
      <c r="Q935" s="224"/>
      <c r="R935" s="224"/>
      <c r="S935" s="224"/>
      <c r="T935" s="224"/>
      <c r="U935" s="224"/>
      <c r="V935" s="224"/>
      <c r="W935" s="224"/>
      <c r="X935" s="224"/>
      <c r="Y935" s="224"/>
      <c r="Z935" s="224"/>
    </row>
    <row r="936">
      <c r="A936" s="225"/>
      <c r="B936" s="225"/>
      <c r="C936" s="225"/>
      <c r="D936" s="225"/>
      <c r="E936" s="225"/>
      <c r="F936" s="225"/>
      <c r="G936" s="225"/>
      <c r="H936" s="224"/>
      <c r="I936" s="224"/>
      <c r="J936" s="224"/>
      <c r="K936" s="224"/>
      <c r="L936" s="224"/>
      <c r="M936" s="224"/>
      <c r="N936" s="224"/>
      <c r="O936" s="224"/>
      <c r="P936" s="224"/>
      <c r="Q936" s="224"/>
      <c r="R936" s="224"/>
      <c r="S936" s="224"/>
      <c r="T936" s="224"/>
      <c r="U936" s="224"/>
      <c r="V936" s="224"/>
      <c r="W936" s="224"/>
      <c r="X936" s="224"/>
      <c r="Y936" s="224"/>
      <c r="Z936" s="224"/>
    </row>
    <row r="937">
      <c r="A937" s="225"/>
      <c r="B937" s="225"/>
      <c r="C937" s="225"/>
      <c r="D937" s="225"/>
      <c r="E937" s="225"/>
      <c r="F937" s="225"/>
      <c r="G937" s="225"/>
      <c r="H937" s="224"/>
      <c r="I937" s="224"/>
      <c r="J937" s="224"/>
      <c r="K937" s="224"/>
      <c r="L937" s="224"/>
      <c r="M937" s="224"/>
      <c r="N937" s="224"/>
      <c r="O937" s="224"/>
      <c r="P937" s="224"/>
      <c r="Q937" s="224"/>
      <c r="R937" s="224"/>
      <c r="S937" s="224"/>
      <c r="T937" s="224"/>
      <c r="U937" s="224"/>
      <c r="V937" s="224"/>
      <c r="W937" s="224"/>
      <c r="X937" s="224"/>
      <c r="Y937" s="224"/>
      <c r="Z937" s="224"/>
    </row>
    <row r="938">
      <c r="A938" s="225"/>
      <c r="B938" s="225"/>
      <c r="C938" s="225"/>
      <c r="D938" s="225"/>
      <c r="E938" s="225"/>
      <c r="F938" s="225"/>
      <c r="G938" s="225"/>
      <c r="H938" s="224"/>
      <c r="I938" s="224"/>
      <c r="J938" s="224"/>
      <c r="K938" s="224"/>
      <c r="L938" s="224"/>
      <c r="M938" s="224"/>
      <c r="N938" s="224"/>
      <c r="O938" s="224"/>
      <c r="P938" s="224"/>
      <c r="Q938" s="224"/>
      <c r="R938" s="224"/>
      <c r="S938" s="224"/>
      <c r="T938" s="224"/>
      <c r="U938" s="224"/>
      <c r="V938" s="224"/>
      <c r="W938" s="224"/>
      <c r="X938" s="224"/>
      <c r="Y938" s="224"/>
      <c r="Z938" s="224"/>
    </row>
    <row r="939">
      <c r="A939" s="225"/>
      <c r="B939" s="225"/>
      <c r="C939" s="225"/>
      <c r="D939" s="225"/>
      <c r="E939" s="225"/>
      <c r="F939" s="225"/>
      <c r="G939" s="225"/>
      <c r="H939" s="224"/>
      <c r="I939" s="224"/>
      <c r="J939" s="224"/>
      <c r="K939" s="224"/>
      <c r="L939" s="224"/>
      <c r="M939" s="224"/>
      <c r="N939" s="224"/>
      <c r="O939" s="224"/>
      <c r="P939" s="224"/>
      <c r="Q939" s="224"/>
      <c r="R939" s="224"/>
      <c r="S939" s="224"/>
      <c r="T939" s="224"/>
      <c r="U939" s="224"/>
      <c r="V939" s="224"/>
      <c r="W939" s="224"/>
      <c r="X939" s="224"/>
      <c r="Y939" s="224"/>
      <c r="Z939" s="224"/>
    </row>
    <row r="940">
      <c r="A940" s="225"/>
      <c r="B940" s="225"/>
      <c r="C940" s="225"/>
      <c r="D940" s="225"/>
      <c r="E940" s="225"/>
      <c r="F940" s="225"/>
      <c r="G940" s="225"/>
      <c r="H940" s="224"/>
      <c r="I940" s="224"/>
      <c r="J940" s="224"/>
      <c r="K940" s="224"/>
      <c r="L940" s="224"/>
      <c r="M940" s="224"/>
      <c r="N940" s="224"/>
      <c r="O940" s="224"/>
      <c r="P940" s="224"/>
      <c r="Q940" s="224"/>
      <c r="R940" s="224"/>
      <c r="S940" s="224"/>
      <c r="T940" s="224"/>
      <c r="U940" s="224"/>
      <c r="V940" s="224"/>
      <c r="W940" s="224"/>
      <c r="X940" s="224"/>
      <c r="Y940" s="224"/>
      <c r="Z940" s="224"/>
    </row>
    <row r="941">
      <c r="A941" s="225"/>
      <c r="B941" s="225"/>
      <c r="C941" s="225"/>
      <c r="D941" s="225"/>
      <c r="E941" s="225"/>
      <c r="F941" s="225"/>
      <c r="G941" s="225"/>
      <c r="H941" s="224"/>
      <c r="I941" s="224"/>
      <c r="J941" s="224"/>
      <c r="K941" s="224"/>
      <c r="L941" s="224"/>
      <c r="M941" s="224"/>
      <c r="N941" s="224"/>
      <c r="O941" s="224"/>
      <c r="P941" s="224"/>
      <c r="Q941" s="224"/>
      <c r="R941" s="224"/>
      <c r="S941" s="224"/>
      <c r="T941" s="224"/>
      <c r="U941" s="224"/>
      <c r="V941" s="224"/>
      <c r="W941" s="224"/>
      <c r="X941" s="224"/>
      <c r="Y941" s="224"/>
      <c r="Z941" s="224"/>
    </row>
    <row r="942">
      <c r="A942" s="225"/>
      <c r="B942" s="225"/>
      <c r="C942" s="225"/>
      <c r="D942" s="225"/>
      <c r="E942" s="225"/>
      <c r="F942" s="225"/>
      <c r="G942" s="225"/>
      <c r="H942" s="224"/>
      <c r="I942" s="224"/>
      <c r="J942" s="224"/>
      <c r="K942" s="224"/>
      <c r="L942" s="224"/>
      <c r="M942" s="224"/>
      <c r="N942" s="224"/>
      <c r="O942" s="224"/>
      <c r="P942" s="224"/>
      <c r="Q942" s="224"/>
      <c r="R942" s="224"/>
      <c r="S942" s="224"/>
      <c r="T942" s="224"/>
      <c r="U942" s="224"/>
      <c r="V942" s="224"/>
      <c r="W942" s="224"/>
      <c r="X942" s="224"/>
      <c r="Y942" s="224"/>
      <c r="Z942" s="224"/>
    </row>
    <row r="943">
      <c r="A943" s="225"/>
      <c r="B943" s="225"/>
      <c r="C943" s="225"/>
      <c r="D943" s="225"/>
      <c r="E943" s="225"/>
      <c r="F943" s="225"/>
      <c r="G943" s="225"/>
      <c r="H943" s="224"/>
      <c r="I943" s="224"/>
      <c r="J943" s="224"/>
      <c r="K943" s="224"/>
      <c r="L943" s="224"/>
      <c r="M943" s="224"/>
      <c r="N943" s="224"/>
      <c r="O943" s="224"/>
      <c r="P943" s="224"/>
      <c r="Q943" s="224"/>
      <c r="R943" s="224"/>
      <c r="S943" s="224"/>
      <c r="T943" s="224"/>
      <c r="U943" s="224"/>
      <c r="V943" s="224"/>
      <c r="W943" s="224"/>
      <c r="X943" s="224"/>
      <c r="Y943" s="224"/>
      <c r="Z943" s="224"/>
    </row>
    <row r="944">
      <c r="A944" s="225"/>
      <c r="B944" s="225"/>
      <c r="C944" s="225"/>
      <c r="D944" s="225"/>
      <c r="E944" s="225"/>
      <c r="F944" s="225"/>
      <c r="G944" s="225"/>
      <c r="H944" s="224"/>
      <c r="I944" s="224"/>
      <c r="J944" s="224"/>
      <c r="K944" s="224"/>
      <c r="L944" s="224"/>
      <c r="M944" s="224"/>
      <c r="N944" s="224"/>
      <c r="O944" s="224"/>
      <c r="P944" s="224"/>
      <c r="Q944" s="224"/>
      <c r="R944" s="224"/>
      <c r="S944" s="224"/>
      <c r="T944" s="224"/>
      <c r="U944" s="224"/>
      <c r="V944" s="224"/>
      <c r="W944" s="224"/>
      <c r="X944" s="224"/>
      <c r="Y944" s="224"/>
      <c r="Z944" s="224"/>
    </row>
    <row r="945">
      <c r="A945" s="225"/>
      <c r="B945" s="225"/>
      <c r="C945" s="225"/>
      <c r="D945" s="225"/>
      <c r="E945" s="225"/>
      <c r="F945" s="225"/>
      <c r="G945" s="225"/>
      <c r="H945" s="224"/>
      <c r="I945" s="224"/>
      <c r="J945" s="224"/>
      <c r="K945" s="224"/>
      <c r="L945" s="224"/>
      <c r="M945" s="224"/>
      <c r="N945" s="224"/>
      <c r="O945" s="224"/>
      <c r="P945" s="224"/>
      <c r="Q945" s="224"/>
      <c r="R945" s="224"/>
      <c r="S945" s="224"/>
      <c r="T945" s="224"/>
      <c r="U945" s="224"/>
      <c r="V945" s="224"/>
      <c r="W945" s="224"/>
      <c r="X945" s="224"/>
      <c r="Y945" s="224"/>
      <c r="Z945" s="224"/>
    </row>
    <row r="946">
      <c r="A946" s="225"/>
      <c r="B946" s="225"/>
      <c r="C946" s="225"/>
      <c r="D946" s="225"/>
      <c r="E946" s="225"/>
      <c r="F946" s="225"/>
      <c r="G946" s="225"/>
      <c r="H946" s="224"/>
      <c r="I946" s="224"/>
      <c r="J946" s="224"/>
      <c r="K946" s="224"/>
      <c r="L946" s="224"/>
      <c r="M946" s="224"/>
      <c r="N946" s="224"/>
      <c r="O946" s="224"/>
      <c r="P946" s="224"/>
      <c r="Q946" s="224"/>
      <c r="R946" s="224"/>
      <c r="S946" s="224"/>
      <c r="T946" s="224"/>
      <c r="U946" s="224"/>
      <c r="V946" s="224"/>
      <c r="W946" s="224"/>
      <c r="X946" s="224"/>
      <c r="Y946" s="224"/>
      <c r="Z946" s="224"/>
    </row>
    <row r="947">
      <c r="A947" s="225"/>
      <c r="B947" s="225"/>
      <c r="C947" s="225"/>
      <c r="D947" s="225"/>
      <c r="E947" s="225"/>
      <c r="F947" s="225"/>
      <c r="G947" s="225"/>
      <c r="H947" s="224"/>
      <c r="I947" s="224"/>
      <c r="J947" s="224"/>
      <c r="K947" s="224"/>
      <c r="L947" s="224"/>
      <c r="M947" s="224"/>
      <c r="N947" s="224"/>
      <c r="O947" s="224"/>
      <c r="P947" s="224"/>
      <c r="Q947" s="224"/>
      <c r="R947" s="224"/>
      <c r="S947" s="224"/>
      <c r="T947" s="224"/>
      <c r="U947" s="224"/>
      <c r="V947" s="224"/>
      <c r="W947" s="224"/>
      <c r="X947" s="224"/>
      <c r="Y947" s="224"/>
      <c r="Z947" s="224"/>
    </row>
    <row r="948">
      <c r="A948" s="225"/>
      <c r="B948" s="225"/>
      <c r="C948" s="225"/>
      <c r="D948" s="225"/>
      <c r="E948" s="225"/>
      <c r="F948" s="225"/>
      <c r="G948" s="225"/>
      <c r="H948" s="224"/>
      <c r="I948" s="224"/>
      <c r="J948" s="224"/>
      <c r="K948" s="224"/>
      <c r="L948" s="224"/>
      <c r="M948" s="224"/>
      <c r="N948" s="224"/>
      <c r="O948" s="224"/>
      <c r="P948" s="224"/>
      <c r="Q948" s="224"/>
      <c r="R948" s="224"/>
      <c r="S948" s="224"/>
      <c r="T948" s="224"/>
      <c r="U948" s="224"/>
      <c r="V948" s="224"/>
      <c r="W948" s="224"/>
      <c r="X948" s="224"/>
      <c r="Y948" s="224"/>
      <c r="Z948" s="224"/>
    </row>
    <row r="949">
      <c r="A949" s="225"/>
      <c r="B949" s="225"/>
      <c r="C949" s="225"/>
      <c r="D949" s="225"/>
      <c r="E949" s="225"/>
      <c r="F949" s="225"/>
      <c r="G949" s="225"/>
      <c r="H949" s="224"/>
      <c r="I949" s="224"/>
      <c r="J949" s="224"/>
      <c r="K949" s="224"/>
      <c r="L949" s="224"/>
      <c r="M949" s="224"/>
      <c r="N949" s="224"/>
      <c r="O949" s="224"/>
      <c r="P949" s="224"/>
      <c r="Q949" s="224"/>
      <c r="R949" s="224"/>
      <c r="S949" s="224"/>
      <c r="T949" s="224"/>
      <c r="U949" s="224"/>
      <c r="V949" s="224"/>
      <c r="W949" s="224"/>
      <c r="X949" s="224"/>
      <c r="Y949" s="224"/>
      <c r="Z949" s="224"/>
    </row>
    <row r="950">
      <c r="A950" s="225"/>
      <c r="B950" s="225"/>
      <c r="C950" s="225"/>
      <c r="D950" s="225"/>
      <c r="E950" s="225"/>
      <c r="F950" s="225"/>
      <c r="G950" s="225"/>
      <c r="H950" s="224"/>
      <c r="I950" s="224"/>
      <c r="J950" s="224"/>
      <c r="K950" s="224"/>
      <c r="L950" s="224"/>
      <c r="M950" s="224"/>
      <c r="N950" s="224"/>
      <c r="O950" s="224"/>
      <c r="P950" s="224"/>
      <c r="Q950" s="224"/>
      <c r="R950" s="224"/>
      <c r="S950" s="224"/>
      <c r="T950" s="224"/>
      <c r="U950" s="224"/>
      <c r="V950" s="224"/>
      <c r="W950" s="224"/>
      <c r="X950" s="224"/>
      <c r="Y950" s="224"/>
      <c r="Z950" s="224"/>
    </row>
    <row r="951">
      <c r="A951" s="225"/>
      <c r="B951" s="225"/>
      <c r="C951" s="225"/>
      <c r="D951" s="225"/>
      <c r="E951" s="225"/>
      <c r="F951" s="225"/>
      <c r="G951" s="225"/>
      <c r="H951" s="224"/>
      <c r="I951" s="224"/>
      <c r="J951" s="224"/>
      <c r="K951" s="224"/>
      <c r="L951" s="224"/>
      <c r="M951" s="224"/>
      <c r="N951" s="224"/>
      <c r="O951" s="224"/>
      <c r="P951" s="224"/>
      <c r="Q951" s="224"/>
      <c r="R951" s="224"/>
      <c r="S951" s="224"/>
      <c r="T951" s="224"/>
      <c r="U951" s="224"/>
      <c r="V951" s="224"/>
      <c r="W951" s="224"/>
      <c r="X951" s="224"/>
      <c r="Y951" s="224"/>
      <c r="Z951" s="224"/>
    </row>
    <row r="952">
      <c r="A952" s="225"/>
      <c r="B952" s="225"/>
      <c r="C952" s="225"/>
      <c r="D952" s="225"/>
      <c r="E952" s="225"/>
      <c r="F952" s="225"/>
      <c r="G952" s="225"/>
      <c r="H952" s="224"/>
      <c r="I952" s="224"/>
      <c r="J952" s="224"/>
      <c r="K952" s="224"/>
      <c r="L952" s="224"/>
      <c r="M952" s="224"/>
      <c r="N952" s="224"/>
      <c r="O952" s="224"/>
      <c r="P952" s="224"/>
      <c r="Q952" s="224"/>
      <c r="R952" s="224"/>
      <c r="S952" s="224"/>
      <c r="T952" s="224"/>
      <c r="U952" s="224"/>
      <c r="V952" s="224"/>
      <c r="W952" s="224"/>
      <c r="X952" s="224"/>
      <c r="Y952" s="224"/>
      <c r="Z952" s="224"/>
    </row>
    <row r="953">
      <c r="A953" s="225"/>
      <c r="B953" s="225"/>
      <c r="C953" s="225"/>
      <c r="D953" s="225"/>
      <c r="E953" s="225"/>
      <c r="F953" s="225"/>
      <c r="G953" s="225"/>
      <c r="H953" s="224"/>
      <c r="I953" s="224"/>
      <c r="J953" s="224"/>
      <c r="K953" s="224"/>
      <c r="L953" s="224"/>
      <c r="M953" s="224"/>
      <c r="N953" s="224"/>
      <c r="O953" s="224"/>
      <c r="P953" s="224"/>
      <c r="Q953" s="224"/>
      <c r="R953" s="224"/>
      <c r="S953" s="224"/>
      <c r="T953" s="224"/>
      <c r="U953" s="224"/>
      <c r="V953" s="224"/>
      <c r="W953" s="224"/>
      <c r="X953" s="224"/>
      <c r="Y953" s="224"/>
      <c r="Z953" s="224"/>
    </row>
    <row r="954">
      <c r="A954" s="225"/>
      <c r="B954" s="225"/>
      <c r="C954" s="225"/>
      <c r="D954" s="225"/>
      <c r="E954" s="225"/>
      <c r="F954" s="225"/>
      <c r="G954" s="225"/>
      <c r="H954" s="224"/>
      <c r="I954" s="224"/>
      <c r="J954" s="224"/>
      <c r="K954" s="224"/>
      <c r="L954" s="224"/>
      <c r="M954" s="224"/>
      <c r="N954" s="224"/>
      <c r="O954" s="224"/>
      <c r="P954" s="224"/>
      <c r="Q954" s="224"/>
      <c r="R954" s="224"/>
      <c r="S954" s="224"/>
      <c r="T954" s="224"/>
      <c r="U954" s="224"/>
      <c r="V954" s="224"/>
      <c r="W954" s="224"/>
      <c r="X954" s="224"/>
      <c r="Y954" s="224"/>
      <c r="Z954" s="224"/>
    </row>
    <row r="955">
      <c r="A955" s="225"/>
      <c r="B955" s="225"/>
      <c r="C955" s="225"/>
      <c r="D955" s="225"/>
      <c r="E955" s="225"/>
      <c r="F955" s="225"/>
      <c r="G955" s="225"/>
      <c r="H955" s="224"/>
      <c r="I955" s="224"/>
      <c r="J955" s="224"/>
      <c r="K955" s="224"/>
      <c r="L955" s="224"/>
      <c r="M955" s="224"/>
      <c r="N955" s="224"/>
      <c r="O955" s="224"/>
      <c r="P955" s="224"/>
      <c r="Q955" s="224"/>
      <c r="R955" s="224"/>
      <c r="S955" s="224"/>
      <c r="T955" s="224"/>
      <c r="U955" s="224"/>
      <c r="V955" s="224"/>
      <c r="W955" s="224"/>
      <c r="X955" s="224"/>
      <c r="Y955" s="224"/>
      <c r="Z955" s="224"/>
    </row>
    <row r="956">
      <c r="A956" s="225"/>
      <c r="B956" s="225"/>
      <c r="C956" s="225"/>
      <c r="D956" s="225"/>
      <c r="E956" s="225"/>
      <c r="F956" s="225"/>
      <c r="G956" s="225"/>
      <c r="H956" s="224"/>
      <c r="I956" s="224"/>
      <c r="J956" s="224"/>
      <c r="K956" s="224"/>
      <c r="L956" s="224"/>
      <c r="M956" s="224"/>
      <c r="N956" s="224"/>
      <c r="O956" s="224"/>
      <c r="P956" s="224"/>
      <c r="Q956" s="224"/>
      <c r="R956" s="224"/>
      <c r="S956" s="224"/>
      <c r="T956" s="224"/>
      <c r="U956" s="224"/>
      <c r="V956" s="224"/>
      <c r="W956" s="224"/>
      <c r="X956" s="224"/>
      <c r="Y956" s="224"/>
      <c r="Z956" s="224"/>
    </row>
    <row r="957">
      <c r="A957" s="225"/>
      <c r="B957" s="225"/>
      <c r="C957" s="225"/>
      <c r="D957" s="225"/>
      <c r="E957" s="225"/>
      <c r="F957" s="225"/>
      <c r="G957" s="225"/>
      <c r="H957" s="224"/>
      <c r="I957" s="224"/>
      <c r="J957" s="224"/>
      <c r="K957" s="224"/>
      <c r="L957" s="224"/>
      <c r="M957" s="224"/>
      <c r="N957" s="224"/>
      <c r="O957" s="224"/>
      <c r="P957" s="224"/>
      <c r="Q957" s="224"/>
      <c r="R957" s="224"/>
      <c r="S957" s="224"/>
      <c r="T957" s="224"/>
      <c r="U957" s="224"/>
      <c r="V957" s="224"/>
      <c r="W957" s="224"/>
      <c r="X957" s="224"/>
      <c r="Y957" s="224"/>
      <c r="Z957" s="224"/>
    </row>
    <row r="958">
      <c r="A958" s="225"/>
      <c r="B958" s="225"/>
      <c r="C958" s="225"/>
      <c r="D958" s="225"/>
      <c r="E958" s="225"/>
      <c r="F958" s="225"/>
      <c r="G958" s="225"/>
      <c r="H958" s="224"/>
      <c r="I958" s="224"/>
      <c r="J958" s="224"/>
      <c r="K958" s="224"/>
      <c r="L958" s="224"/>
      <c r="M958" s="224"/>
      <c r="N958" s="224"/>
      <c r="O958" s="224"/>
      <c r="P958" s="224"/>
      <c r="Q958" s="224"/>
      <c r="R958" s="224"/>
      <c r="S958" s="224"/>
      <c r="T958" s="224"/>
      <c r="U958" s="224"/>
      <c r="V958" s="224"/>
      <c r="W958" s="224"/>
      <c r="X958" s="224"/>
      <c r="Y958" s="224"/>
      <c r="Z958" s="224"/>
    </row>
    <row r="959">
      <c r="A959" s="225"/>
      <c r="B959" s="225"/>
      <c r="C959" s="225"/>
      <c r="D959" s="225"/>
      <c r="E959" s="225"/>
      <c r="F959" s="225"/>
      <c r="G959" s="225"/>
      <c r="H959" s="224"/>
      <c r="I959" s="224"/>
      <c r="J959" s="224"/>
      <c r="K959" s="224"/>
      <c r="L959" s="224"/>
      <c r="M959" s="224"/>
      <c r="N959" s="224"/>
      <c r="O959" s="224"/>
      <c r="P959" s="224"/>
      <c r="Q959" s="224"/>
      <c r="R959" s="224"/>
      <c r="S959" s="224"/>
      <c r="T959" s="224"/>
      <c r="U959" s="224"/>
      <c r="V959" s="224"/>
      <c r="W959" s="224"/>
      <c r="X959" s="224"/>
      <c r="Y959" s="224"/>
      <c r="Z959" s="224"/>
    </row>
    <row r="960">
      <c r="A960" s="225"/>
      <c r="B960" s="225"/>
      <c r="C960" s="225"/>
      <c r="D960" s="225"/>
      <c r="E960" s="225"/>
      <c r="F960" s="225"/>
      <c r="G960" s="225"/>
      <c r="H960" s="224"/>
      <c r="I960" s="224"/>
      <c r="J960" s="224"/>
      <c r="K960" s="224"/>
      <c r="L960" s="224"/>
      <c r="M960" s="224"/>
      <c r="N960" s="224"/>
      <c r="O960" s="224"/>
      <c r="P960" s="224"/>
      <c r="Q960" s="224"/>
      <c r="R960" s="224"/>
      <c r="S960" s="224"/>
      <c r="T960" s="224"/>
      <c r="U960" s="224"/>
      <c r="V960" s="224"/>
      <c r="W960" s="224"/>
      <c r="X960" s="224"/>
      <c r="Y960" s="224"/>
      <c r="Z960" s="224"/>
    </row>
    <row r="961">
      <c r="A961" s="225"/>
      <c r="B961" s="225"/>
      <c r="C961" s="225"/>
      <c r="D961" s="225"/>
      <c r="E961" s="225"/>
      <c r="F961" s="225"/>
      <c r="G961" s="225"/>
      <c r="H961" s="224"/>
      <c r="I961" s="224"/>
      <c r="J961" s="224"/>
      <c r="K961" s="224"/>
      <c r="L961" s="224"/>
      <c r="M961" s="224"/>
      <c r="N961" s="224"/>
      <c r="O961" s="224"/>
      <c r="P961" s="224"/>
      <c r="Q961" s="224"/>
      <c r="R961" s="224"/>
      <c r="S961" s="224"/>
      <c r="T961" s="224"/>
      <c r="U961" s="224"/>
      <c r="V961" s="224"/>
      <c r="W961" s="224"/>
      <c r="X961" s="224"/>
      <c r="Y961" s="224"/>
      <c r="Z961" s="224"/>
    </row>
    <row r="962">
      <c r="A962" s="225"/>
      <c r="B962" s="225"/>
      <c r="C962" s="225"/>
      <c r="D962" s="225"/>
      <c r="E962" s="225"/>
      <c r="F962" s="225"/>
      <c r="G962" s="225"/>
      <c r="H962" s="224"/>
      <c r="I962" s="224"/>
      <c r="J962" s="224"/>
      <c r="K962" s="224"/>
      <c r="L962" s="224"/>
      <c r="M962" s="224"/>
      <c r="N962" s="224"/>
      <c r="O962" s="224"/>
      <c r="P962" s="224"/>
      <c r="Q962" s="224"/>
      <c r="R962" s="224"/>
      <c r="S962" s="224"/>
      <c r="T962" s="224"/>
      <c r="U962" s="224"/>
      <c r="V962" s="224"/>
      <c r="W962" s="224"/>
      <c r="X962" s="224"/>
      <c r="Y962" s="224"/>
      <c r="Z962" s="224"/>
    </row>
    <row r="963">
      <c r="A963" s="225"/>
      <c r="B963" s="225"/>
      <c r="C963" s="225"/>
      <c r="D963" s="225"/>
      <c r="E963" s="225"/>
      <c r="F963" s="225"/>
      <c r="G963" s="225"/>
      <c r="H963" s="224"/>
      <c r="I963" s="224"/>
      <c r="J963" s="224"/>
      <c r="K963" s="224"/>
      <c r="L963" s="224"/>
      <c r="M963" s="224"/>
      <c r="N963" s="224"/>
      <c r="O963" s="224"/>
      <c r="P963" s="224"/>
      <c r="Q963" s="224"/>
      <c r="R963" s="224"/>
      <c r="S963" s="224"/>
      <c r="T963" s="224"/>
      <c r="U963" s="224"/>
      <c r="V963" s="224"/>
      <c r="W963" s="224"/>
      <c r="X963" s="224"/>
      <c r="Y963" s="224"/>
      <c r="Z963" s="224"/>
    </row>
    <row r="964">
      <c r="A964" s="225"/>
      <c r="B964" s="225"/>
      <c r="C964" s="225"/>
      <c r="D964" s="225"/>
      <c r="E964" s="225"/>
      <c r="F964" s="225"/>
      <c r="G964" s="225"/>
      <c r="H964" s="224"/>
      <c r="I964" s="224"/>
      <c r="J964" s="224"/>
      <c r="K964" s="224"/>
      <c r="L964" s="224"/>
      <c r="M964" s="224"/>
      <c r="N964" s="224"/>
      <c r="O964" s="224"/>
      <c r="P964" s="224"/>
      <c r="Q964" s="224"/>
      <c r="R964" s="224"/>
      <c r="S964" s="224"/>
      <c r="T964" s="224"/>
      <c r="U964" s="224"/>
      <c r="V964" s="224"/>
      <c r="W964" s="224"/>
      <c r="X964" s="224"/>
      <c r="Y964" s="224"/>
      <c r="Z964" s="224"/>
    </row>
    <row r="965">
      <c r="A965" s="225"/>
      <c r="B965" s="225"/>
      <c r="C965" s="225"/>
      <c r="D965" s="225"/>
      <c r="E965" s="225"/>
      <c r="F965" s="225"/>
      <c r="G965" s="225"/>
      <c r="H965" s="224"/>
      <c r="I965" s="224"/>
      <c r="J965" s="224"/>
      <c r="K965" s="224"/>
      <c r="L965" s="224"/>
      <c r="M965" s="224"/>
      <c r="N965" s="224"/>
      <c r="O965" s="224"/>
      <c r="P965" s="224"/>
      <c r="Q965" s="224"/>
      <c r="R965" s="224"/>
      <c r="S965" s="224"/>
      <c r="T965" s="224"/>
      <c r="U965" s="224"/>
      <c r="V965" s="224"/>
      <c r="W965" s="224"/>
      <c r="X965" s="224"/>
      <c r="Y965" s="224"/>
      <c r="Z965" s="224"/>
    </row>
    <row r="966">
      <c r="A966" s="225"/>
      <c r="B966" s="225"/>
      <c r="C966" s="225"/>
      <c r="D966" s="225"/>
      <c r="E966" s="225"/>
      <c r="F966" s="225"/>
      <c r="G966" s="225"/>
      <c r="H966" s="224"/>
      <c r="I966" s="224"/>
      <c r="J966" s="224"/>
      <c r="K966" s="224"/>
      <c r="L966" s="224"/>
      <c r="M966" s="224"/>
      <c r="N966" s="224"/>
      <c r="O966" s="224"/>
      <c r="P966" s="224"/>
      <c r="Q966" s="224"/>
      <c r="R966" s="224"/>
      <c r="S966" s="224"/>
      <c r="T966" s="224"/>
      <c r="U966" s="224"/>
      <c r="V966" s="224"/>
      <c r="W966" s="224"/>
      <c r="X966" s="224"/>
      <c r="Y966" s="224"/>
      <c r="Z966" s="224"/>
    </row>
    <row r="967">
      <c r="A967" s="225"/>
      <c r="B967" s="225"/>
      <c r="C967" s="225"/>
      <c r="D967" s="225"/>
      <c r="E967" s="225"/>
      <c r="F967" s="225"/>
      <c r="G967" s="225"/>
      <c r="H967" s="224"/>
      <c r="I967" s="224"/>
      <c r="J967" s="224"/>
      <c r="K967" s="224"/>
      <c r="L967" s="224"/>
      <c r="M967" s="224"/>
      <c r="N967" s="224"/>
      <c r="O967" s="224"/>
      <c r="P967" s="224"/>
      <c r="Q967" s="224"/>
      <c r="R967" s="224"/>
      <c r="S967" s="224"/>
      <c r="T967" s="224"/>
      <c r="U967" s="224"/>
      <c r="V967" s="224"/>
      <c r="W967" s="224"/>
      <c r="X967" s="224"/>
      <c r="Y967" s="224"/>
      <c r="Z967" s="224"/>
    </row>
    <row r="968">
      <c r="A968" s="225"/>
      <c r="B968" s="225"/>
      <c r="C968" s="225"/>
      <c r="D968" s="225"/>
      <c r="E968" s="225"/>
      <c r="F968" s="225"/>
      <c r="G968" s="225"/>
      <c r="H968" s="224"/>
      <c r="I968" s="224"/>
      <c r="J968" s="224"/>
      <c r="K968" s="224"/>
      <c r="L968" s="224"/>
      <c r="M968" s="224"/>
      <c r="N968" s="224"/>
      <c r="O968" s="224"/>
      <c r="P968" s="224"/>
      <c r="Q968" s="224"/>
      <c r="R968" s="224"/>
      <c r="S968" s="224"/>
      <c r="T968" s="224"/>
      <c r="U968" s="224"/>
      <c r="V968" s="224"/>
      <c r="W968" s="224"/>
      <c r="X968" s="224"/>
      <c r="Y968" s="224"/>
      <c r="Z968" s="224"/>
    </row>
    <row r="969">
      <c r="A969" s="225"/>
      <c r="B969" s="225"/>
      <c r="C969" s="225"/>
      <c r="D969" s="225"/>
      <c r="E969" s="225"/>
      <c r="F969" s="225"/>
      <c r="G969" s="225"/>
      <c r="H969" s="224"/>
      <c r="I969" s="224"/>
      <c r="J969" s="224"/>
      <c r="K969" s="224"/>
      <c r="L969" s="224"/>
      <c r="M969" s="224"/>
      <c r="N969" s="224"/>
      <c r="O969" s="224"/>
      <c r="P969" s="224"/>
      <c r="Q969" s="224"/>
      <c r="R969" s="224"/>
      <c r="S969" s="224"/>
      <c r="T969" s="224"/>
      <c r="U969" s="224"/>
      <c r="V969" s="224"/>
      <c r="W969" s="224"/>
      <c r="X969" s="224"/>
      <c r="Y969" s="224"/>
      <c r="Z969" s="224"/>
    </row>
    <row r="970">
      <c r="A970" s="225"/>
      <c r="B970" s="225"/>
      <c r="C970" s="225"/>
      <c r="D970" s="225"/>
      <c r="E970" s="225"/>
      <c r="F970" s="225"/>
      <c r="G970" s="225"/>
      <c r="H970" s="224"/>
      <c r="I970" s="224"/>
      <c r="J970" s="224"/>
      <c r="K970" s="224"/>
      <c r="L970" s="224"/>
      <c r="M970" s="224"/>
      <c r="N970" s="224"/>
      <c r="O970" s="224"/>
      <c r="P970" s="224"/>
      <c r="Q970" s="224"/>
      <c r="R970" s="224"/>
      <c r="S970" s="224"/>
      <c r="T970" s="224"/>
      <c r="U970" s="224"/>
      <c r="V970" s="224"/>
      <c r="W970" s="224"/>
      <c r="X970" s="224"/>
      <c r="Y970" s="224"/>
      <c r="Z970" s="224"/>
    </row>
    <row r="971">
      <c r="A971" s="225"/>
      <c r="B971" s="225"/>
      <c r="C971" s="225"/>
      <c r="D971" s="225"/>
      <c r="E971" s="225"/>
      <c r="F971" s="225"/>
      <c r="G971" s="225"/>
      <c r="H971" s="224"/>
      <c r="I971" s="224"/>
      <c r="J971" s="224"/>
      <c r="K971" s="224"/>
      <c r="L971" s="224"/>
      <c r="M971" s="224"/>
      <c r="N971" s="224"/>
      <c r="O971" s="224"/>
      <c r="P971" s="224"/>
      <c r="Q971" s="224"/>
      <c r="R971" s="224"/>
      <c r="S971" s="224"/>
      <c r="T971" s="224"/>
      <c r="U971" s="224"/>
      <c r="V971" s="224"/>
      <c r="W971" s="224"/>
      <c r="X971" s="224"/>
      <c r="Y971" s="224"/>
      <c r="Z971" s="224"/>
    </row>
    <row r="972">
      <c r="A972" s="225"/>
      <c r="B972" s="225"/>
      <c r="C972" s="225"/>
      <c r="D972" s="225"/>
      <c r="E972" s="225"/>
      <c r="F972" s="225"/>
      <c r="G972" s="225"/>
      <c r="H972" s="224"/>
      <c r="I972" s="224"/>
      <c r="J972" s="224"/>
      <c r="K972" s="224"/>
      <c r="L972" s="224"/>
      <c r="M972" s="224"/>
      <c r="N972" s="224"/>
      <c r="O972" s="224"/>
      <c r="P972" s="224"/>
      <c r="Q972" s="224"/>
      <c r="R972" s="224"/>
      <c r="S972" s="224"/>
      <c r="T972" s="224"/>
      <c r="U972" s="224"/>
      <c r="V972" s="224"/>
      <c r="W972" s="224"/>
      <c r="X972" s="224"/>
      <c r="Y972" s="224"/>
      <c r="Z972" s="224"/>
    </row>
    <row r="973">
      <c r="A973" s="225"/>
      <c r="B973" s="225"/>
      <c r="C973" s="225"/>
      <c r="D973" s="225"/>
      <c r="E973" s="225"/>
      <c r="F973" s="225"/>
      <c r="G973" s="225"/>
      <c r="H973" s="224"/>
      <c r="I973" s="224"/>
      <c r="J973" s="224"/>
      <c r="K973" s="224"/>
      <c r="L973" s="224"/>
      <c r="M973" s="224"/>
      <c r="N973" s="224"/>
      <c r="O973" s="224"/>
      <c r="P973" s="224"/>
      <c r="Q973" s="224"/>
      <c r="R973" s="224"/>
      <c r="S973" s="224"/>
      <c r="T973" s="224"/>
      <c r="U973" s="224"/>
      <c r="V973" s="224"/>
      <c r="W973" s="224"/>
      <c r="X973" s="224"/>
      <c r="Y973" s="224"/>
      <c r="Z973" s="224"/>
    </row>
    <row r="974">
      <c r="A974" s="225"/>
      <c r="B974" s="225"/>
      <c r="C974" s="225"/>
      <c r="D974" s="225"/>
      <c r="E974" s="225"/>
      <c r="F974" s="225"/>
      <c r="G974" s="225"/>
      <c r="H974" s="224"/>
      <c r="I974" s="224"/>
      <c r="J974" s="224"/>
      <c r="K974" s="224"/>
      <c r="L974" s="224"/>
      <c r="M974" s="224"/>
      <c r="N974" s="224"/>
      <c r="O974" s="224"/>
      <c r="P974" s="224"/>
      <c r="Q974" s="224"/>
      <c r="R974" s="224"/>
      <c r="S974" s="224"/>
      <c r="T974" s="224"/>
      <c r="U974" s="224"/>
      <c r="V974" s="224"/>
      <c r="W974" s="224"/>
      <c r="X974" s="224"/>
      <c r="Y974" s="224"/>
      <c r="Z974" s="224"/>
    </row>
    <row r="975">
      <c r="A975" s="225"/>
      <c r="B975" s="225"/>
      <c r="C975" s="225"/>
      <c r="D975" s="225"/>
      <c r="E975" s="225"/>
      <c r="F975" s="225"/>
      <c r="G975" s="225"/>
      <c r="H975" s="224"/>
      <c r="I975" s="224"/>
      <c r="J975" s="224"/>
      <c r="K975" s="224"/>
      <c r="L975" s="224"/>
      <c r="M975" s="224"/>
      <c r="N975" s="224"/>
      <c r="O975" s="224"/>
      <c r="P975" s="224"/>
      <c r="Q975" s="224"/>
      <c r="R975" s="224"/>
      <c r="S975" s="224"/>
      <c r="T975" s="224"/>
      <c r="U975" s="224"/>
      <c r="V975" s="224"/>
      <c r="W975" s="224"/>
      <c r="X975" s="224"/>
      <c r="Y975" s="224"/>
      <c r="Z975" s="224"/>
    </row>
    <row r="976">
      <c r="A976" s="225"/>
      <c r="B976" s="225"/>
      <c r="C976" s="225"/>
      <c r="D976" s="225"/>
      <c r="E976" s="225"/>
      <c r="F976" s="225"/>
      <c r="G976" s="225"/>
      <c r="H976" s="224"/>
      <c r="I976" s="224"/>
      <c r="J976" s="224"/>
      <c r="K976" s="224"/>
      <c r="L976" s="224"/>
      <c r="M976" s="224"/>
      <c r="N976" s="224"/>
      <c r="O976" s="224"/>
      <c r="P976" s="224"/>
      <c r="Q976" s="224"/>
      <c r="R976" s="224"/>
      <c r="S976" s="224"/>
      <c r="T976" s="224"/>
      <c r="U976" s="224"/>
      <c r="V976" s="224"/>
      <c r="W976" s="224"/>
      <c r="X976" s="224"/>
      <c r="Y976" s="224"/>
      <c r="Z976" s="224"/>
    </row>
    <row r="977">
      <c r="A977" s="225"/>
      <c r="B977" s="225"/>
      <c r="C977" s="225"/>
      <c r="D977" s="225"/>
      <c r="E977" s="225"/>
      <c r="F977" s="225"/>
      <c r="G977" s="225"/>
      <c r="H977" s="224"/>
      <c r="I977" s="224"/>
      <c r="J977" s="224"/>
      <c r="K977" s="224"/>
      <c r="L977" s="224"/>
      <c r="M977" s="224"/>
      <c r="N977" s="224"/>
      <c r="O977" s="224"/>
      <c r="P977" s="224"/>
      <c r="Q977" s="224"/>
      <c r="R977" s="224"/>
      <c r="S977" s="224"/>
      <c r="T977" s="224"/>
      <c r="U977" s="224"/>
      <c r="V977" s="224"/>
      <c r="W977" s="224"/>
      <c r="X977" s="224"/>
      <c r="Y977" s="224"/>
      <c r="Z977" s="224"/>
    </row>
    <row r="978">
      <c r="A978" s="225"/>
      <c r="B978" s="225"/>
      <c r="C978" s="225"/>
      <c r="D978" s="225"/>
      <c r="E978" s="225"/>
      <c r="F978" s="225"/>
      <c r="G978" s="225"/>
      <c r="H978" s="224"/>
      <c r="I978" s="224"/>
      <c r="J978" s="224"/>
      <c r="K978" s="224"/>
      <c r="L978" s="224"/>
      <c r="M978" s="224"/>
      <c r="N978" s="224"/>
      <c r="O978" s="224"/>
      <c r="P978" s="224"/>
      <c r="Q978" s="224"/>
      <c r="R978" s="224"/>
      <c r="S978" s="224"/>
      <c r="T978" s="224"/>
      <c r="U978" s="224"/>
      <c r="V978" s="224"/>
      <c r="W978" s="224"/>
      <c r="X978" s="224"/>
      <c r="Y978" s="224"/>
      <c r="Z978" s="224"/>
    </row>
    <row r="979">
      <c r="A979" s="225"/>
      <c r="B979" s="225"/>
      <c r="C979" s="225"/>
      <c r="D979" s="225"/>
      <c r="E979" s="225"/>
      <c r="F979" s="225"/>
      <c r="G979" s="225"/>
      <c r="H979" s="224"/>
      <c r="I979" s="224"/>
      <c r="J979" s="224"/>
      <c r="K979" s="224"/>
      <c r="L979" s="224"/>
      <c r="M979" s="224"/>
      <c r="N979" s="224"/>
      <c r="O979" s="224"/>
      <c r="P979" s="224"/>
      <c r="Q979" s="224"/>
      <c r="R979" s="224"/>
      <c r="S979" s="224"/>
      <c r="T979" s="224"/>
      <c r="U979" s="224"/>
      <c r="V979" s="224"/>
      <c r="W979" s="224"/>
      <c r="X979" s="224"/>
      <c r="Y979" s="224"/>
      <c r="Z979" s="224"/>
    </row>
    <row r="980">
      <c r="A980" s="225"/>
      <c r="B980" s="225"/>
      <c r="C980" s="225"/>
      <c r="D980" s="225"/>
      <c r="E980" s="225"/>
      <c r="F980" s="225"/>
      <c r="G980" s="225"/>
      <c r="H980" s="224"/>
      <c r="I980" s="224"/>
      <c r="J980" s="224"/>
      <c r="K980" s="224"/>
      <c r="L980" s="224"/>
      <c r="M980" s="224"/>
      <c r="N980" s="224"/>
      <c r="O980" s="224"/>
      <c r="P980" s="224"/>
      <c r="Q980" s="224"/>
      <c r="R980" s="224"/>
      <c r="S980" s="224"/>
      <c r="T980" s="224"/>
      <c r="U980" s="224"/>
      <c r="V980" s="224"/>
      <c r="W980" s="224"/>
      <c r="X980" s="224"/>
      <c r="Y980" s="224"/>
      <c r="Z980" s="224"/>
    </row>
    <row r="981">
      <c r="A981" s="225"/>
      <c r="B981" s="225"/>
      <c r="C981" s="225"/>
      <c r="D981" s="225"/>
      <c r="E981" s="225"/>
      <c r="F981" s="225"/>
      <c r="G981" s="225"/>
      <c r="H981" s="224"/>
      <c r="I981" s="224"/>
      <c r="J981" s="224"/>
      <c r="K981" s="224"/>
      <c r="L981" s="224"/>
      <c r="M981" s="224"/>
      <c r="N981" s="224"/>
      <c r="O981" s="224"/>
      <c r="P981" s="224"/>
      <c r="Q981" s="224"/>
      <c r="R981" s="224"/>
      <c r="S981" s="224"/>
      <c r="T981" s="224"/>
      <c r="U981" s="224"/>
      <c r="V981" s="224"/>
      <c r="W981" s="224"/>
      <c r="X981" s="224"/>
      <c r="Y981" s="224"/>
      <c r="Z981" s="224"/>
    </row>
    <row r="982">
      <c r="A982" s="225"/>
      <c r="B982" s="225"/>
      <c r="C982" s="225"/>
      <c r="D982" s="225"/>
      <c r="E982" s="225"/>
      <c r="F982" s="225"/>
      <c r="G982" s="225"/>
      <c r="H982" s="224"/>
      <c r="I982" s="224"/>
      <c r="J982" s="224"/>
      <c r="K982" s="224"/>
      <c r="L982" s="224"/>
      <c r="M982" s="224"/>
      <c r="N982" s="224"/>
      <c r="O982" s="224"/>
      <c r="P982" s="224"/>
      <c r="Q982" s="224"/>
      <c r="R982" s="224"/>
      <c r="S982" s="224"/>
      <c r="T982" s="224"/>
      <c r="U982" s="224"/>
      <c r="V982" s="224"/>
      <c r="W982" s="224"/>
      <c r="X982" s="224"/>
      <c r="Y982" s="224"/>
      <c r="Z982" s="224"/>
    </row>
    <row r="983">
      <c r="A983" s="225"/>
      <c r="B983" s="225"/>
      <c r="C983" s="225"/>
      <c r="D983" s="225"/>
      <c r="E983" s="225"/>
      <c r="F983" s="225"/>
      <c r="G983" s="225"/>
      <c r="H983" s="224"/>
      <c r="I983" s="224"/>
      <c r="J983" s="224"/>
      <c r="K983" s="224"/>
      <c r="L983" s="224"/>
      <c r="M983" s="224"/>
      <c r="N983" s="224"/>
      <c r="O983" s="224"/>
      <c r="P983" s="224"/>
      <c r="Q983" s="224"/>
      <c r="R983" s="224"/>
      <c r="S983" s="224"/>
      <c r="T983" s="224"/>
      <c r="U983" s="224"/>
      <c r="V983" s="224"/>
      <c r="W983" s="224"/>
      <c r="X983" s="224"/>
      <c r="Y983" s="224"/>
      <c r="Z983" s="224"/>
    </row>
    <row r="984">
      <c r="A984" s="225"/>
      <c r="B984" s="225"/>
      <c r="C984" s="225"/>
      <c r="D984" s="225"/>
      <c r="E984" s="225"/>
      <c r="F984" s="225"/>
      <c r="G984" s="225"/>
      <c r="H984" s="224"/>
      <c r="I984" s="224"/>
      <c r="J984" s="224"/>
      <c r="K984" s="224"/>
      <c r="L984" s="224"/>
      <c r="M984" s="224"/>
      <c r="N984" s="224"/>
      <c r="O984" s="224"/>
      <c r="P984" s="224"/>
      <c r="Q984" s="224"/>
      <c r="R984" s="224"/>
      <c r="S984" s="224"/>
      <c r="T984" s="224"/>
      <c r="U984" s="224"/>
      <c r="V984" s="224"/>
      <c r="W984" s="224"/>
      <c r="X984" s="224"/>
      <c r="Y984" s="224"/>
      <c r="Z984" s="224"/>
    </row>
    <row r="985">
      <c r="A985" s="225"/>
      <c r="B985" s="225"/>
      <c r="C985" s="225"/>
      <c r="D985" s="225"/>
      <c r="E985" s="225"/>
      <c r="F985" s="225"/>
      <c r="G985" s="225"/>
      <c r="H985" s="224"/>
      <c r="I985" s="224"/>
      <c r="J985" s="224"/>
      <c r="K985" s="224"/>
      <c r="L985" s="224"/>
      <c r="M985" s="224"/>
      <c r="N985" s="224"/>
      <c r="O985" s="224"/>
      <c r="P985" s="224"/>
      <c r="Q985" s="224"/>
      <c r="R985" s="224"/>
      <c r="S985" s="224"/>
      <c r="T985" s="224"/>
      <c r="U985" s="224"/>
      <c r="V985" s="224"/>
      <c r="W985" s="224"/>
      <c r="X985" s="224"/>
      <c r="Y985" s="224"/>
      <c r="Z985" s="224"/>
    </row>
    <row r="986">
      <c r="A986" s="225"/>
      <c r="B986" s="225"/>
      <c r="C986" s="225"/>
      <c r="D986" s="225"/>
      <c r="E986" s="225"/>
      <c r="F986" s="225"/>
      <c r="G986" s="225"/>
      <c r="H986" s="224"/>
      <c r="I986" s="224"/>
      <c r="J986" s="224"/>
      <c r="K986" s="224"/>
      <c r="L986" s="224"/>
      <c r="M986" s="224"/>
      <c r="N986" s="224"/>
      <c r="O986" s="224"/>
      <c r="P986" s="224"/>
      <c r="Q986" s="224"/>
      <c r="R986" s="224"/>
      <c r="S986" s="224"/>
      <c r="T986" s="224"/>
      <c r="U986" s="224"/>
      <c r="V986" s="224"/>
      <c r="W986" s="224"/>
      <c r="X986" s="224"/>
      <c r="Y986" s="224"/>
      <c r="Z986" s="224"/>
    </row>
    <row r="987">
      <c r="A987" s="225"/>
      <c r="B987" s="225"/>
      <c r="C987" s="225"/>
      <c r="D987" s="225"/>
      <c r="E987" s="225"/>
      <c r="F987" s="225"/>
      <c r="G987" s="225"/>
      <c r="H987" s="224"/>
      <c r="I987" s="224"/>
      <c r="J987" s="224"/>
      <c r="K987" s="224"/>
      <c r="L987" s="224"/>
      <c r="M987" s="224"/>
      <c r="N987" s="224"/>
      <c r="O987" s="224"/>
      <c r="P987" s="224"/>
      <c r="Q987" s="224"/>
      <c r="R987" s="224"/>
      <c r="S987" s="224"/>
      <c r="T987" s="224"/>
      <c r="U987" s="224"/>
      <c r="V987" s="224"/>
      <c r="W987" s="224"/>
      <c r="X987" s="224"/>
      <c r="Y987" s="224"/>
      <c r="Z987" s="224"/>
    </row>
    <row r="988">
      <c r="A988" s="225"/>
      <c r="B988" s="225"/>
      <c r="C988" s="225"/>
      <c r="D988" s="225"/>
      <c r="E988" s="225"/>
      <c r="F988" s="225"/>
      <c r="G988" s="225"/>
      <c r="H988" s="224"/>
      <c r="I988" s="224"/>
      <c r="J988" s="224"/>
      <c r="K988" s="224"/>
      <c r="L988" s="224"/>
      <c r="M988" s="224"/>
      <c r="N988" s="224"/>
      <c r="O988" s="224"/>
      <c r="P988" s="224"/>
      <c r="Q988" s="224"/>
      <c r="R988" s="224"/>
      <c r="S988" s="224"/>
      <c r="T988" s="224"/>
      <c r="U988" s="224"/>
      <c r="V988" s="224"/>
      <c r="W988" s="224"/>
      <c r="X988" s="224"/>
      <c r="Y988" s="224"/>
      <c r="Z988" s="224"/>
    </row>
    <row r="989">
      <c r="A989" s="225"/>
      <c r="B989" s="225"/>
      <c r="C989" s="225"/>
      <c r="D989" s="225"/>
      <c r="E989" s="225"/>
      <c r="F989" s="225"/>
      <c r="G989" s="225"/>
      <c r="H989" s="224"/>
      <c r="I989" s="224"/>
      <c r="J989" s="224"/>
      <c r="K989" s="224"/>
      <c r="L989" s="224"/>
      <c r="M989" s="224"/>
      <c r="N989" s="224"/>
      <c r="O989" s="224"/>
      <c r="P989" s="224"/>
      <c r="Q989" s="224"/>
      <c r="R989" s="224"/>
      <c r="S989" s="224"/>
      <c r="T989" s="224"/>
      <c r="U989" s="224"/>
      <c r="V989" s="224"/>
      <c r="W989" s="224"/>
      <c r="X989" s="224"/>
      <c r="Y989" s="224"/>
      <c r="Z989" s="224"/>
    </row>
    <row r="990">
      <c r="A990" s="225"/>
      <c r="B990" s="225"/>
      <c r="C990" s="225"/>
      <c r="D990" s="225"/>
      <c r="E990" s="225"/>
      <c r="F990" s="225"/>
      <c r="G990" s="225"/>
      <c r="H990" s="224"/>
      <c r="I990" s="224"/>
      <c r="J990" s="224"/>
      <c r="K990" s="224"/>
      <c r="L990" s="224"/>
      <c r="M990" s="224"/>
      <c r="N990" s="224"/>
      <c r="O990" s="224"/>
      <c r="P990" s="224"/>
      <c r="Q990" s="224"/>
      <c r="R990" s="224"/>
      <c r="S990" s="224"/>
      <c r="T990" s="224"/>
      <c r="U990" s="224"/>
      <c r="V990" s="224"/>
      <c r="W990" s="224"/>
      <c r="X990" s="224"/>
      <c r="Y990" s="224"/>
      <c r="Z990" s="224"/>
    </row>
    <row r="991">
      <c r="A991" s="225"/>
      <c r="B991" s="225"/>
      <c r="C991" s="225"/>
      <c r="D991" s="225"/>
      <c r="E991" s="225"/>
      <c r="F991" s="225"/>
      <c r="G991" s="225"/>
      <c r="H991" s="224"/>
      <c r="I991" s="224"/>
      <c r="J991" s="224"/>
      <c r="K991" s="224"/>
      <c r="L991" s="224"/>
      <c r="M991" s="224"/>
      <c r="N991" s="224"/>
      <c r="O991" s="224"/>
      <c r="P991" s="224"/>
      <c r="Q991" s="224"/>
      <c r="R991" s="224"/>
      <c r="S991" s="224"/>
      <c r="T991" s="224"/>
      <c r="U991" s="224"/>
      <c r="V991" s="224"/>
      <c r="W991" s="224"/>
      <c r="X991" s="224"/>
      <c r="Y991" s="224"/>
      <c r="Z991" s="224"/>
    </row>
    <row r="992">
      <c r="A992" s="225"/>
      <c r="B992" s="225"/>
      <c r="C992" s="225"/>
      <c r="D992" s="225"/>
      <c r="E992" s="225"/>
      <c r="F992" s="225"/>
      <c r="G992" s="225"/>
      <c r="H992" s="224"/>
      <c r="I992" s="224"/>
      <c r="J992" s="224"/>
      <c r="K992" s="224"/>
      <c r="L992" s="224"/>
      <c r="M992" s="224"/>
      <c r="N992" s="224"/>
      <c r="O992" s="224"/>
      <c r="P992" s="224"/>
      <c r="Q992" s="224"/>
      <c r="R992" s="224"/>
      <c r="S992" s="224"/>
      <c r="T992" s="224"/>
      <c r="U992" s="224"/>
      <c r="V992" s="224"/>
      <c r="W992" s="224"/>
      <c r="X992" s="224"/>
      <c r="Y992" s="224"/>
      <c r="Z992" s="224"/>
    </row>
    <row r="993">
      <c r="A993" s="225"/>
      <c r="B993" s="225"/>
      <c r="C993" s="225"/>
      <c r="D993" s="225"/>
      <c r="E993" s="225"/>
      <c r="F993" s="225"/>
      <c r="G993" s="225"/>
      <c r="H993" s="224"/>
      <c r="I993" s="224"/>
      <c r="J993" s="224"/>
      <c r="K993" s="224"/>
      <c r="L993" s="224"/>
      <c r="M993" s="224"/>
      <c r="N993" s="224"/>
      <c r="O993" s="224"/>
      <c r="P993" s="224"/>
      <c r="Q993" s="224"/>
      <c r="R993" s="224"/>
      <c r="S993" s="224"/>
      <c r="T993" s="224"/>
      <c r="U993" s="224"/>
      <c r="V993" s="224"/>
      <c r="W993" s="224"/>
      <c r="X993" s="224"/>
      <c r="Y993" s="224"/>
      <c r="Z993" s="224"/>
    </row>
    <row r="994">
      <c r="A994" s="225"/>
      <c r="B994" s="225"/>
      <c r="C994" s="225"/>
      <c r="D994" s="225"/>
      <c r="E994" s="225"/>
      <c r="F994" s="225"/>
      <c r="G994" s="225"/>
      <c r="H994" s="224"/>
      <c r="I994" s="224"/>
      <c r="J994" s="224"/>
      <c r="K994" s="224"/>
      <c r="L994" s="224"/>
      <c r="M994" s="224"/>
      <c r="N994" s="224"/>
      <c r="O994" s="224"/>
      <c r="P994" s="224"/>
      <c r="Q994" s="224"/>
      <c r="R994" s="224"/>
      <c r="S994" s="224"/>
      <c r="T994" s="224"/>
      <c r="U994" s="224"/>
      <c r="V994" s="224"/>
      <c r="W994" s="224"/>
      <c r="X994" s="224"/>
      <c r="Y994" s="224"/>
      <c r="Z994" s="224"/>
    </row>
    <row r="995">
      <c r="A995" s="225"/>
      <c r="B995" s="225"/>
      <c r="C995" s="225"/>
      <c r="D995" s="225"/>
      <c r="E995" s="225"/>
      <c r="F995" s="225"/>
      <c r="G995" s="225"/>
      <c r="H995" s="224"/>
      <c r="I995" s="224"/>
      <c r="J995" s="224"/>
      <c r="K995" s="224"/>
      <c r="L995" s="224"/>
      <c r="M995" s="224"/>
      <c r="N995" s="224"/>
      <c r="O995" s="224"/>
      <c r="P995" s="224"/>
      <c r="Q995" s="224"/>
      <c r="R995" s="224"/>
      <c r="S995" s="224"/>
      <c r="T995" s="224"/>
      <c r="U995" s="224"/>
      <c r="V995" s="224"/>
      <c r="W995" s="224"/>
      <c r="X995" s="224"/>
      <c r="Y995" s="224"/>
      <c r="Z995" s="224"/>
    </row>
    <row r="996">
      <c r="A996" s="225"/>
      <c r="B996" s="225"/>
      <c r="C996" s="225"/>
      <c r="D996" s="225"/>
      <c r="E996" s="225"/>
      <c r="F996" s="225"/>
      <c r="G996" s="225"/>
      <c r="H996" s="224"/>
      <c r="I996" s="224"/>
      <c r="J996" s="224"/>
      <c r="K996" s="224"/>
      <c r="L996" s="224"/>
      <c r="M996" s="224"/>
      <c r="N996" s="224"/>
      <c r="O996" s="224"/>
      <c r="P996" s="224"/>
      <c r="Q996" s="224"/>
      <c r="R996" s="224"/>
      <c r="S996" s="224"/>
      <c r="T996" s="224"/>
      <c r="U996" s="224"/>
      <c r="V996" s="224"/>
      <c r="W996" s="224"/>
      <c r="X996" s="224"/>
      <c r="Y996" s="224"/>
      <c r="Z996" s="224"/>
    </row>
    <row r="997">
      <c r="A997" s="225"/>
      <c r="B997" s="225"/>
      <c r="C997" s="225"/>
      <c r="D997" s="225"/>
      <c r="E997" s="225"/>
      <c r="F997" s="225"/>
      <c r="G997" s="225"/>
      <c r="H997" s="224"/>
      <c r="I997" s="224"/>
      <c r="J997" s="224"/>
      <c r="K997" s="224"/>
      <c r="L997" s="224"/>
      <c r="M997" s="224"/>
      <c r="N997" s="224"/>
      <c r="O997" s="224"/>
      <c r="P997" s="224"/>
      <c r="Q997" s="224"/>
      <c r="R997" s="224"/>
      <c r="S997" s="224"/>
      <c r="T997" s="224"/>
      <c r="U997" s="224"/>
      <c r="V997" s="224"/>
      <c r="W997" s="224"/>
      <c r="X997" s="224"/>
      <c r="Y997" s="224"/>
      <c r="Z997" s="224"/>
    </row>
    <row r="998">
      <c r="A998" s="225"/>
      <c r="B998" s="225"/>
      <c r="C998" s="225"/>
      <c r="D998" s="225"/>
      <c r="E998" s="225"/>
      <c r="F998" s="225"/>
      <c r="G998" s="225"/>
      <c r="H998" s="224"/>
      <c r="I998" s="224"/>
      <c r="J998" s="224"/>
      <c r="K998" s="224"/>
      <c r="L998" s="224"/>
      <c r="M998" s="224"/>
      <c r="N998" s="224"/>
      <c r="O998" s="224"/>
      <c r="P998" s="224"/>
      <c r="Q998" s="224"/>
      <c r="R998" s="224"/>
      <c r="S998" s="224"/>
      <c r="T998" s="224"/>
      <c r="U998" s="224"/>
      <c r="V998" s="224"/>
      <c r="W998" s="224"/>
      <c r="X998" s="224"/>
      <c r="Y998" s="224"/>
      <c r="Z998" s="224"/>
    </row>
    <row r="999">
      <c r="A999" s="225"/>
      <c r="B999" s="225"/>
      <c r="C999" s="225"/>
      <c r="D999" s="225"/>
      <c r="E999" s="225"/>
      <c r="F999" s="225"/>
      <c r="G999" s="225"/>
      <c r="H999" s="224"/>
      <c r="I999" s="224"/>
      <c r="J999" s="224"/>
      <c r="K999" s="224"/>
      <c r="L999" s="224"/>
      <c r="M999" s="224"/>
      <c r="N999" s="224"/>
      <c r="O999" s="224"/>
      <c r="P999" s="224"/>
      <c r="Q999" s="224"/>
      <c r="R999" s="224"/>
      <c r="S999" s="224"/>
      <c r="T999" s="224"/>
      <c r="U999" s="224"/>
      <c r="V999" s="224"/>
      <c r="W999" s="224"/>
      <c r="X999" s="224"/>
      <c r="Y999" s="224"/>
      <c r="Z999" s="224"/>
    </row>
    <row r="1000">
      <c r="A1000" s="225"/>
      <c r="B1000" s="225"/>
      <c r="C1000" s="225"/>
      <c r="D1000" s="225"/>
      <c r="E1000" s="225"/>
      <c r="F1000" s="225"/>
      <c r="G1000" s="225"/>
      <c r="H1000" s="224"/>
      <c r="I1000" s="224"/>
      <c r="J1000" s="224"/>
      <c r="K1000" s="224"/>
      <c r="L1000" s="224"/>
      <c r="M1000" s="224"/>
      <c r="N1000" s="224"/>
      <c r="O1000" s="224"/>
      <c r="P1000" s="224"/>
      <c r="Q1000" s="224"/>
      <c r="R1000" s="224"/>
      <c r="S1000" s="224"/>
      <c r="T1000" s="224"/>
      <c r="U1000" s="224"/>
      <c r="V1000" s="224"/>
      <c r="W1000" s="224"/>
      <c r="X1000" s="224"/>
      <c r="Y1000" s="224"/>
      <c r="Z1000" s="224"/>
    </row>
    <row r="1001">
      <c r="A1001" s="225"/>
      <c r="B1001" s="225"/>
      <c r="C1001" s="225"/>
      <c r="D1001" s="225"/>
      <c r="E1001" s="225"/>
      <c r="F1001" s="225"/>
      <c r="G1001" s="225"/>
      <c r="H1001" s="224"/>
      <c r="I1001" s="224"/>
      <c r="J1001" s="224"/>
      <c r="K1001" s="224"/>
      <c r="L1001" s="224"/>
      <c r="M1001" s="224"/>
      <c r="N1001" s="224"/>
      <c r="O1001" s="224"/>
      <c r="P1001" s="224"/>
      <c r="Q1001" s="224"/>
      <c r="R1001" s="224"/>
      <c r="S1001" s="224"/>
      <c r="T1001" s="224"/>
      <c r="U1001" s="224"/>
      <c r="V1001" s="224"/>
      <c r="W1001" s="224"/>
      <c r="X1001" s="224"/>
      <c r="Y1001" s="224"/>
      <c r="Z1001" s="224"/>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30" t="s">
        <v>202</v>
      </c>
      <c r="B1" s="231" t="s">
        <v>81</v>
      </c>
      <c r="C1" s="232" t="s">
        <v>203</v>
      </c>
      <c r="D1" s="232" t="s">
        <v>81</v>
      </c>
      <c r="E1" s="233" t="s">
        <v>204</v>
      </c>
      <c r="F1" s="233" t="s">
        <v>205</v>
      </c>
      <c r="G1" s="234" t="s">
        <v>206</v>
      </c>
      <c r="H1" s="234" t="s">
        <v>205</v>
      </c>
      <c r="I1" s="235"/>
      <c r="J1" s="235"/>
      <c r="K1" s="235"/>
      <c r="L1" s="235"/>
      <c r="M1" s="235"/>
      <c r="N1" s="235"/>
      <c r="O1" s="235"/>
      <c r="P1" s="235"/>
      <c r="Q1" s="235"/>
      <c r="R1" s="235"/>
      <c r="S1" s="235"/>
      <c r="T1" s="235"/>
      <c r="U1" s="235"/>
      <c r="V1" s="235"/>
      <c r="W1" s="235"/>
      <c r="X1" s="235"/>
      <c r="Y1" s="235"/>
      <c r="Z1" s="235"/>
    </row>
    <row r="2">
      <c r="A2" s="236" t="str">
        <f>IFERROR(__xludf.DUMMYFUNCTION("IMPORTRANGE('Homebrew Sheet'!$A$6,""'Misc Data'!$A$2:$H$51"")"),"")</f>
        <v/>
      </c>
      <c r="B2" s="236"/>
      <c r="C2" s="237"/>
      <c r="D2" s="237"/>
      <c r="E2" s="238"/>
      <c r="F2" s="238"/>
      <c r="G2" s="239"/>
      <c r="H2" s="239"/>
      <c r="I2" s="235"/>
      <c r="J2" s="235"/>
      <c r="K2" s="235"/>
      <c r="L2" s="235"/>
      <c r="M2" s="235"/>
      <c r="N2" s="235"/>
      <c r="O2" s="235"/>
      <c r="P2" s="235"/>
      <c r="Q2" s="235"/>
      <c r="R2" s="235"/>
      <c r="S2" s="235"/>
      <c r="T2" s="235"/>
      <c r="U2" s="235"/>
      <c r="V2" s="235"/>
      <c r="W2" s="235"/>
      <c r="X2" s="235"/>
      <c r="Y2" s="235"/>
      <c r="Z2" s="235"/>
    </row>
    <row r="3">
      <c r="A3" s="236"/>
      <c r="B3" s="236"/>
      <c r="C3" s="237"/>
      <c r="D3" s="237"/>
      <c r="E3" s="238"/>
      <c r="F3" s="238"/>
      <c r="G3" s="239"/>
      <c r="H3" s="239"/>
      <c r="I3" s="235"/>
      <c r="J3" s="235"/>
      <c r="K3" s="235"/>
      <c r="L3" s="235"/>
      <c r="M3" s="235"/>
      <c r="N3" s="235"/>
      <c r="O3" s="235"/>
      <c r="P3" s="235"/>
      <c r="Q3" s="235"/>
      <c r="R3" s="235"/>
      <c r="S3" s="235"/>
      <c r="T3" s="235"/>
      <c r="U3" s="235"/>
      <c r="V3" s="235"/>
      <c r="W3" s="235"/>
      <c r="X3" s="235"/>
      <c r="Y3" s="235"/>
      <c r="Z3" s="235"/>
    </row>
    <row r="4">
      <c r="A4" s="236"/>
      <c r="B4" s="236"/>
      <c r="C4" s="237"/>
      <c r="D4" s="237"/>
      <c r="E4" s="238"/>
      <c r="F4" s="238"/>
      <c r="G4" s="239"/>
      <c r="H4" s="239"/>
      <c r="I4" s="235"/>
      <c r="J4" s="235"/>
      <c r="K4" s="235"/>
      <c r="L4" s="235"/>
      <c r="M4" s="235"/>
      <c r="N4" s="235"/>
      <c r="O4" s="235"/>
      <c r="P4" s="235"/>
      <c r="Q4" s="235"/>
      <c r="R4" s="235"/>
      <c r="S4" s="235"/>
      <c r="T4" s="235"/>
      <c r="U4" s="235"/>
      <c r="V4" s="235"/>
      <c r="W4" s="235"/>
      <c r="X4" s="235"/>
      <c r="Y4" s="235"/>
      <c r="Z4" s="235"/>
    </row>
    <row r="5">
      <c r="A5" s="236"/>
      <c r="B5" s="236"/>
      <c r="C5" s="237"/>
      <c r="D5" s="237"/>
      <c r="E5" s="238"/>
      <c r="F5" s="238"/>
      <c r="G5" s="239"/>
      <c r="H5" s="239"/>
      <c r="I5" s="235"/>
      <c r="J5" s="235"/>
      <c r="K5" s="235"/>
      <c r="L5" s="235"/>
      <c r="M5" s="235"/>
      <c r="N5" s="235"/>
      <c r="O5" s="235"/>
      <c r="P5" s="235"/>
      <c r="Q5" s="235"/>
      <c r="R5" s="235"/>
      <c r="S5" s="235"/>
      <c r="T5" s="235"/>
      <c r="U5" s="235"/>
      <c r="V5" s="235"/>
      <c r="W5" s="235"/>
      <c r="X5" s="235"/>
      <c r="Y5" s="235"/>
      <c r="Z5" s="235"/>
    </row>
    <row r="6">
      <c r="A6" s="236"/>
      <c r="B6" s="236"/>
      <c r="C6" s="237"/>
      <c r="D6" s="237"/>
      <c r="E6" s="238"/>
      <c r="F6" s="238"/>
      <c r="G6" s="239"/>
      <c r="H6" s="239"/>
      <c r="I6" s="235"/>
      <c r="J6" s="235"/>
      <c r="K6" s="235"/>
      <c r="L6" s="235"/>
      <c r="M6" s="235"/>
      <c r="N6" s="235"/>
      <c r="O6" s="235"/>
      <c r="P6" s="235"/>
      <c r="Q6" s="235"/>
      <c r="R6" s="235"/>
      <c r="S6" s="235"/>
      <c r="T6" s="235"/>
      <c r="U6" s="235"/>
      <c r="V6" s="235"/>
      <c r="W6" s="235"/>
      <c r="X6" s="235"/>
      <c r="Y6" s="235"/>
      <c r="Z6" s="235"/>
    </row>
    <row r="7">
      <c r="A7" s="236"/>
      <c r="B7" s="236"/>
      <c r="C7" s="237"/>
      <c r="D7" s="237"/>
      <c r="E7" s="238"/>
      <c r="F7" s="238"/>
      <c r="G7" s="239"/>
      <c r="H7" s="239"/>
      <c r="I7" s="235"/>
      <c r="J7" s="235"/>
      <c r="K7" s="235"/>
      <c r="L7" s="235"/>
      <c r="M7" s="235"/>
      <c r="N7" s="235"/>
      <c r="O7" s="235"/>
      <c r="P7" s="235"/>
      <c r="Q7" s="235"/>
      <c r="R7" s="235"/>
      <c r="S7" s="235"/>
      <c r="T7" s="235"/>
      <c r="U7" s="235"/>
      <c r="V7" s="235"/>
      <c r="W7" s="235"/>
      <c r="X7" s="235"/>
      <c r="Y7" s="235"/>
      <c r="Z7" s="235"/>
    </row>
    <row r="8">
      <c r="A8" s="236"/>
      <c r="B8" s="236"/>
      <c r="C8" s="237"/>
      <c r="D8" s="237"/>
      <c r="E8" s="238"/>
      <c r="F8" s="238"/>
      <c r="G8" s="239"/>
      <c r="H8" s="239"/>
      <c r="I8" s="235"/>
      <c r="J8" s="235"/>
      <c r="K8" s="235"/>
      <c r="L8" s="235"/>
      <c r="M8" s="235"/>
      <c r="N8" s="235"/>
      <c r="O8" s="235"/>
      <c r="P8" s="235"/>
      <c r="Q8" s="235"/>
      <c r="R8" s="235"/>
      <c r="S8" s="235"/>
      <c r="T8" s="235"/>
      <c r="U8" s="235"/>
      <c r="V8" s="235"/>
      <c r="W8" s="235"/>
      <c r="X8" s="235"/>
      <c r="Y8" s="235"/>
      <c r="Z8" s="235"/>
    </row>
    <row r="9">
      <c r="A9" s="236"/>
      <c r="B9" s="236"/>
      <c r="C9" s="237"/>
      <c r="D9" s="237"/>
      <c r="E9" s="238"/>
      <c r="F9" s="238"/>
      <c r="G9" s="239"/>
      <c r="H9" s="239"/>
      <c r="I9" s="235"/>
      <c r="J9" s="235"/>
      <c r="K9" s="235"/>
      <c r="L9" s="235"/>
      <c r="M9" s="235"/>
      <c r="N9" s="235"/>
      <c r="O9" s="235"/>
      <c r="P9" s="235"/>
      <c r="Q9" s="235"/>
      <c r="R9" s="235"/>
      <c r="S9" s="235"/>
      <c r="T9" s="235"/>
      <c r="U9" s="235"/>
      <c r="V9" s="235"/>
      <c r="W9" s="235"/>
      <c r="X9" s="235"/>
      <c r="Y9" s="235"/>
      <c r="Z9" s="235"/>
    </row>
    <row r="10">
      <c r="A10" s="236"/>
      <c r="B10" s="236"/>
      <c r="C10" s="237"/>
      <c r="D10" s="237"/>
      <c r="E10" s="238"/>
      <c r="F10" s="238"/>
      <c r="G10" s="239"/>
      <c r="H10" s="239"/>
      <c r="I10" s="235"/>
      <c r="J10" s="235"/>
      <c r="K10" s="235"/>
      <c r="L10" s="235"/>
      <c r="M10" s="235"/>
      <c r="N10" s="235"/>
      <c r="O10" s="235"/>
      <c r="P10" s="235"/>
      <c r="Q10" s="235"/>
      <c r="R10" s="235"/>
      <c r="S10" s="235"/>
      <c r="T10" s="235"/>
      <c r="U10" s="235"/>
      <c r="V10" s="235"/>
      <c r="W10" s="235"/>
      <c r="X10" s="235"/>
      <c r="Y10" s="235"/>
      <c r="Z10" s="235"/>
    </row>
    <row r="11">
      <c r="A11" s="236"/>
      <c r="B11" s="236"/>
      <c r="C11" s="237"/>
      <c r="D11" s="237"/>
      <c r="E11" s="238"/>
      <c r="F11" s="238"/>
      <c r="G11" s="239"/>
      <c r="H11" s="239"/>
      <c r="I11" s="235"/>
      <c r="J11" s="235"/>
      <c r="K11" s="235"/>
      <c r="L11" s="235"/>
      <c r="M11" s="235"/>
      <c r="N11" s="235"/>
      <c r="O11" s="235"/>
      <c r="P11" s="235"/>
      <c r="Q11" s="235"/>
      <c r="R11" s="235"/>
      <c r="S11" s="235"/>
      <c r="T11" s="235"/>
      <c r="U11" s="235"/>
      <c r="V11" s="235"/>
      <c r="W11" s="235"/>
      <c r="X11" s="235"/>
      <c r="Y11" s="235"/>
      <c r="Z11" s="235"/>
    </row>
    <row r="12">
      <c r="A12" s="236"/>
      <c r="B12" s="236"/>
      <c r="C12" s="237"/>
      <c r="D12" s="237"/>
      <c r="E12" s="238"/>
      <c r="F12" s="238"/>
      <c r="G12" s="239"/>
      <c r="H12" s="239"/>
      <c r="I12" s="235"/>
      <c r="J12" s="235"/>
      <c r="K12" s="235"/>
      <c r="L12" s="235"/>
      <c r="M12" s="235"/>
      <c r="N12" s="235"/>
      <c r="O12" s="235"/>
      <c r="P12" s="235"/>
      <c r="Q12" s="235"/>
      <c r="R12" s="235"/>
      <c r="S12" s="235"/>
      <c r="T12" s="235"/>
      <c r="U12" s="235"/>
      <c r="V12" s="235"/>
      <c r="W12" s="235"/>
      <c r="X12" s="235"/>
      <c r="Y12" s="235"/>
      <c r="Z12" s="235"/>
    </row>
    <row r="13">
      <c r="A13" s="236"/>
      <c r="B13" s="236"/>
      <c r="C13" s="237"/>
      <c r="D13" s="237"/>
      <c r="E13" s="238"/>
      <c r="F13" s="238"/>
      <c r="G13" s="239"/>
      <c r="H13" s="239"/>
      <c r="I13" s="235"/>
      <c r="J13" s="235"/>
      <c r="K13" s="235"/>
      <c r="L13" s="235"/>
      <c r="M13" s="235"/>
      <c r="N13" s="235"/>
      <c r="O13" s="235"/>
      <c r="P13" s="235"/>
      <c r="Q13" s="235"/>
      <c r="R13" s="235"/>
      <c r="S13" s="235"/>
      <c r="T13" s="235"/>
      <c r="U13" s="235"/>
      <c r="V13" s="235"/>
      <c r="W13" s="235"/>
      <c r="X13" s="235"/>
      <c r="Y13" s="235"/>
      <c r="Z13" s="235"/>
    </row>
    <row r="14">
      <c r="A14" s="236"/>
      <c r="B14" s="236"/>
      <c r="C14" s="237"/>
      <c r="D14" s="237"/>
      <c r="E14" s="238"/>
      <c r="F14" s="238"/>
      <c r="G14" s="239"/>
      <c r="H14" s="239"/>
      <c r="I14" s="235"/>
      <c r="J14" s="235"/>
      <c r="K14" s="235"/>
      <c r="L14" s="235"/>
      <c r="M14" s="235"/>
      <c r="N14" s="235"/>
      <c r="O14" s="235"/>
      <c r="P14" s="235"/>
      <c r="Q14" s="235"/>
      <c r="R14" s="235"/>
      <c r="S14" s="235"/>
      <c r="T14" s="235"/>
      <c r="U14" s="235"/>
      <c r="V14" s="235"/>
      <c r="W14" s="235"/>
      <c r="X14" s="235"/>
      <c r="Y14" s="235"/>
      <c r="Z14" s="235"/>
    </row>
    <row r="15">
      <c r="A15" s="236"/>
      <c r="B15" s="236"/>
      <c r="C15" s="237"/>
      <c r="D15" s="237"/>
      <c r="E15" s="238"/>
      <c r="F15" s="238"/>
      <c r="G15" s="239"/>
      <c r="H15" s="239"/>
      <c r="I15" s="235"/>
      <c r="J15" s="235"/>
      <c r="K15" s="235"/>
      <c r="L15" s="235"/>
      <c r="M15" s="235"/>
      <c r="N15" s="235"/>
      <c r="O15" s="235"/>
      <c r="P15" s="235"/>
      <c r="Q15" s="235"/>
      <c r="R15" s="235"/>
      <c r="S15" s="235"/>
      <c r="T15" s="235"/>
      <c r="U15" s="235"/>
      <c r="V15" s="235"/>
      <c r="W15" s="235"/>
      <c r="X15" s="235"/>
      <c r="Y15" s="235"/>
      <c r="Z15" s="235"/>
    </row>
    <row r="16">
      <c r="A16" s="236"/>
      <c r="B16" s="236"/>
      <c r="C16" s="237"/>
      <c r="D16" s="237"/>
      <c r="E16" s="238"/>
      <c r="F16" s="238"/>
      <c r="G16" s="239"/>
      <c r="H16" s="239"/>
      <c r="I16" s="235"/>
      <c r="J16" s="235"/>
      <c r="K16" s="235"/>
      <c r="L16" s="235"/>
      <c r="M16" s="235"/>
      <c r="N16" s="235"/>
      <c r="O16" s="235"/>
      <c r="P16" s="235"/>
      <c r="Q16" s="235"/>
      <c r="R16" s="235"/>
      <c r="S16" s="235"/>
      <c r="T16" s="235"/>
      <c r="U16" s="235"/>
      <c r="V16" s="235"/>
      <c r="W16" s="235"/>
      <c r="X16" s="235"/>
      <c r="Y16" s="235"/>
      <c r="Z16" s="235"/>
    </row>
    <row r="17">
      <c r="A17" s="236"/>
      <c r="B17" s="236"/>
      <c r="C17" s="237"/>
      <c r="D17" s="237"/>
      <c r="E17" s="238"/>
      <c r="F17" s="238"/>
      <c r="G17" s="239"/>
      <c r="H17" s="239"/>
      <c r="I17" s="235"/>
      <c r="J17" s="235"/>
      <c r="K17" s="235"/>
      <c r="L17" s="235"/>
      <c r="M17" s="235"/>
      <c r="N17" s="235"/>
      <c r="O17" s="235"/>
      <c r="P17" s="235"/>
      <c r="Q17" s="235"/>
      <c r="R17" s="235"/>
      <c r="S17" s="235"/>
      <c r="T17" s="235"/>
      <c r="U17" s="235"/>
      <c r="V17" s="235"/>
      <c r="W17" s="235"/>
      <c r="X17" s="235"/>
      <c r="Y17" s="235"/>
      <c r="Z17" s="235"/>
    </row>
    <row r="18">
      <c r="A18" s="236"/>
      <c r="B18" s="236"/>
      <c r="C18" s="237"/>
      <c r="D18" s="237"/>
      <c r="E18" s="238"/>
      <c r="F18" s="238"/>
      <c r="G18" s="239"/>
      <c r="H18" s="239"/>
      <c r="I18" s="235"/>
      <c r="J18" s="235"/>
      <c r="K18" s="235"/>
      <c r="L18" s="235"/>
      <c r="M18" s="235"/>
      <c r="N18" s="235"/>
      <c r="O18" s="235"/>
      <c r="P18" s="235"/>
      <c r="Q18" s="235"/>
      <c r="R18" s="235"/>
      <c r="S18" s="235"/>
      <c r="T18" s="235"/>
      <c r="U18" s="235"/>
      <c r="V18" s="235"/>
      <c r="W18" s="235"/>
      <c r="X18" s="235"/>
      <c r="Y18" s="235"/>
      <c r="Z18" s="235"/>
    </row>
    <row r="19">
      <c r="A19" s="236"/>
      <c r="B19" s="236"/>
      <c r="C19" s="237"/>
      <c r="D19" s="237"/>
      <c r="E19" s="238"/>
      <c r="F19" s="238"/>
      <c r="G19" s="239"/>
      <c r="H19" s="239"/>
      <c r="I19" s="235"/>
      <c r="J19" s="235"/>
      <c r="K19" s="235"/>
      <c r="L19" s="235"/>
      <c r="M19" s="235"/>
      <c r="N19" s="235"/>
      <c r="O19" s="235"/>
      <c r="P19" s="235"/>
      <c r="Q19" s="235"/>
      <c r="R19" s="235"/>
      <c r="S19" s="235"/>
      <c r="T19" s="235"/>
      <c r="U19" s="235"/>
      <c r="V19" s="235"/>
      <c r="W19" s="235"/>
      <c r="X19" s="235"/>
      <c r="Y19" s="235"/>
      <c r="Z19" s="235"/>
    </row>
    <row r="20">
      <c r="A20" s="236"/>
      <c r="B20" s="236"/>
      <c r="C20" s="237"/>
      <c r="D20" s="237"/>
      <c r="E20" s="238"/>
      <c r="F20" s="238"/>
      <c r="G20" s="239"/>
      <c r="H20" s="239"/>
      <c r="I20" s="235"/>
      <c r="J20" s="235"/>
      <c r="K20" s="235"/>
      <c r="L20" s="235"/>
      <c r="M20" s="235"/>
      <c r="N20" s="235"/>
      <c r="O20" s="235"/>
      <c r="P20" s="235"/>
      <c r="Q20" s="235"/>
      <c r="R20" s="235"/>
      <c r="S20" s="235"/>
      <c r="T20" s="235"/>
      <c r="U20" s="235"/>
      <c r="V20" s="235"/>
      <c r="W20" s="235"/>
      <c r="X20" s="235"/>
      <c r="Y20" s="235"/>
      <c r="Z20" s="235"/>
    </row>
    <row r="21">
      <c r="A21" s="236"/>
      <c r="B21" s="236"/>
      <c r="C21" s="237"/>
      <c r="D21" s="237"/>
      <c r="E21" s="238"/>
      <c r="F21" s="238"/>
      <c r="G21" s="239"/>
      <c r="H21" s="239"/>
      <c r="I21" s="235"/>
      <c r="J21" s="235"/>
      <c r="K21" s="235"/>
      <c r="L21" s="235"/>
      <c r="M21" s="235"/>
      <c r="N21" s="235"/>
      <c r="O21" s="235"/>
      <c r="P21" s="235"/>
      <c r="Q21" s="235"/>
      <c r="R21" s="235"/>
      <c r="S21" s="235"/>
      <c r="T21" s="235"/>
      <c r="U21" s="235"/>
      <c r="V21" s="235"/>
      <c r="W21" s="235"/>
      <c r="X21" s="235"/>
      <c r="Y21" s="235"/>
      <c r="Z21" s="235"/>
    </row>
    <row r="22">
      <c r="A22" s="236"/>
      <c r="B22" s="236"/>
      <c r="C22" s="237"/>
      <c r="D22" s="237"/>
      <c r="E22" s="238"/>
      <c r="F22" s="238"/>
      <c r="G22" s="239"/>
      <c r="H22" s="239"/>
      <c r="I22" s="235"/>
      <c r="J22" s="235"/>
      <c r="K22" s="235"/>
      <c r="L22" s="235"/>
      <c r="M22" s="235"/>
      <c r="N22" s="235"/>
      <c r="O22" s="235"/>
      <c r="P22" s="235"/>
      <c r="Q22" s="235"/>
      <c r="R22" s="235"/>
      <c r="S22" s="235"/>
      <c r="T22" s="235"/>
      <c r="U22" s="235"/>
      <c r="V22" s="235"/>
      <c r="W22" s="235"/>
      <c r="X22" s="235"/>
      <c r="Y22" s="235"/>
      <c r="Z22" s="235"/>
    </row>
    <row r="23">
      <c r="A23" s="236"/>
      <c r="B23" s="236"/>
      <c r="C23" s="237"/>
      <c r="D23" s="237"/>
      <c r="E23" s="238"/>
      <c r="F23" s="238"/>
      <c r="G23" s="239"/>
      <c r="H23" s="239"/>
      <c r="I23" s="235"/>
      <c r="J23" s="235"/>
      <c r="K23" s="235"/>
      <c r="L23" s="235"/>
      <c r="M23" s="235"/>
      <c r="N23" s="235"/>
      <c r="O23" s="235"/>
      <c r="P23" s="235"/>
      <c r="Q23" s="235"/>
      <c r="R23" s="235"/>
      <c r="S23" s="235"/>
      <c r="T23" s="235"/>
      <c r="U23" s="235"/>
      <c r="V23" s="235"/>
      <c r="W23" s="235"/>
      <c r="X23" s="235"/>
      <c r="Y23" s="235"/>
      <c r="Z23" s="235"/>
    </row>
    <row r="24">
      <c r="A24" s="236"/>
      <c r="B24" s="236"/>
      <c r="C24" s="237"/>
      <c r="D24" s="237"/>
      <c r="E24" s="238"/>
      <c r="F24" s="238"/>
      <c r="G24" s="239"/>
      <c r="H24" s="239"/>
      <c r="I24" s="235"/>
      <c r="J24" s="235"/>
      <c r="K24" s="235"/>
      <c r="L24" s="235"/>
      <c r="M24" s="235"/>
      <c r="N24" s="235"/>
      <c r="O24" s="235"/>
      <c r="P24" s="235"/>
      <c r="Q24" s="235"/>
      <c r="R24" s="235"/>
      <c r="S24" s="235"/>
      <c r="T24" s="235"/>
      <c r="U24" s="235"/>
      <c r="V24" s="235"/>
      <c r="W24" s="235"/>
      <c r="X24" s="235"/>
      <c r="Y24" s="235"/>
      <c r="Z24" s="235"/>
    </row>
    <row r="25">
      <c r="A25" s="236"/>
      <c r="B25" s="236"/>
      <c r="C25" s="237"/>
      <c r="D25" s="237"/>
      <c r="E25" s="238"/>
      <c r="F25" s="238"/>
      <c r="G25" s="239"/>
      <c r="H25" s="239"/>
      <c r="I25" s="235"/>
      <c r="J25" s="235"/>
      <c r="K25" s="235"/>
      <c r="L25" s="235"/>
      <c r="M25" s="235"/>
      <c r="N25" s="235"/>
      <c r="O25" s="235"/>
      <c r="P25" s="235"/>
      <c r="Q25" s="235"/>
      <c r="R25" s="235"/>
      <c r="S25" s="235"/>
      <c r="T25" s="235"/>
      <c r="U25" s="235"/>
      <c r="V25" s="235"/>
      <c r="W25" s="235"/>
      <c r="X25" s="235"/>
      <c r="Y25" s="235"/>
      <c r="Z25" s="235"/>
    </row>
    <row r="26">
      <c r="A26" s="236"/>
      <c r="B26" s="236"/>
      <c r="C26" s="237"/>
      <c r="D26" s="237"/>
      <c r="E26" s="238"/>
      <c r="F26" s="238"/>
      <c r="G26" s="239"/>
      <c r="H26" s="239"/>
      <c r="I26" s="235"/>
      <c r="J26" s="235"/>
      <c r="K26" s="235"/>
      <c r="L26" s="235"/>
      <c r="M26" s="235"/>
      <c r="N26" s="235"/>
      <c r="O26" s="235"/>
      <c r="P26" s="235"/>
      <c r="Q26" s="235"/>
      <c r="R26" s="235"/>
      <c r="S26" s="235"/>
      <c r="T26" s="235"/>
      <c r="U26" s="235"/>
      <c r="V26" s="235"/>
      <c r="W26" s="235"/>
      <c r="X26" s="235"/>
      <c r="Y26" s="235"/>
      <c r="Z26" s="235"/>
    </row>
    <row r="27">
      <c r="A27" s="236"/>
      <c r="B27" s="236"/>
      <c r="C27" s="237"/>
      <c r="D27" s="237"/>
      <c r="E27" s="238"/>
      <c r="F27" s="238"/>
      <c r="G27" s="239"/>
      <c r="H27" s="239"/>
      <c r="I27" s="235"/>
      <c r="J27" s="235"/>
      <c r="K27" s="235"/>
      <c r="L27" s="235"/>
      <c r="M27" s="235"/>
      <c r="N27" s="235"/>
      <c r="O27" s="235"/>
      <c r="P27" s="235"/>
      <c r="Q27" s="235"/>
      <c r="R27" s="235"/>
      <c r="S27" s="235"/>
      <c r="T27" s="235"/>
      <c r="U27" s="235"/>
      <c r="V27" s="235"/>
      <c r="W27" s="235"/>
      <c r="X27" s="235"/>
      <c r="Y27" s="235"/>
      <c r="Z27" s="235"/>
    </row>
    <row r="28">
      <c r="A28" s="236"/>
      <c r="B28" s="236"/>
      <c r="C28" s="237"/>
      <c r="D28" s="237"/>
      <c r="E28" s="238"/>
      <c r="F28" s="238"/>
      <c r="G28" s="239"/>
      <c r="H28" s="239"/>
      <c r="I28" s="235"/>
      <c r="J28" s="235"/>
      <c r="K28" s="235"/>
      <c r="L28" s="235"/>
      <c r="M28" s="235"/>
      <c r="N28" s="235"/>
      <c r="O28" s="235"/>
      <c r="P28" s="235"/>
      <c r="Q28" s="235"/>
      <c r="R28" s="235"/>
      <c r="S28" s="235"/>
      <c r="T28" s="235"/>
      <c r="U28" s="235"/>
      <c r="V28" s="235"/>
      <c r="W28" s="235"/>
      <c r="X28" s="235"/>
      <c r="Y28" s="235"/>
      <c r="Z28" s="235"/>
    </row>
    <row r="29">
      <c r="A29" s="236"/>
      <c r="B29" s="236"/>
      <c r="C29" s="237"/>
      <c r="D29" s="237"/>
      <c r="E29" s="238"/>
      <c r="F29" s="238"/>
      <c r="G29" s="239"/>
      <c r="H29" s="239"/>
      <c r="I29" s="235"/>
      <c r="J29" s="235"/>
      <c r="K29" s="235"/>
      <c r="L29" s="235"/>
      <c r="M29" s="235"/>
      <c r="N29" s="235"/>
      <c r="O29" s="235"/>
      <c r="P29" s="235"/>
      <c r="Q29" s="235"/>
      <c r="R29" s="235"/>
      <c r="S29" s="235"/>
      <c r="T29" s="235"/>
      <c r="U29" s="235"/>
      <c r="V29" s="235"/>
      <c r="W29" s="235"/>
      <c r="X29" s="235"/>
      <c r="Y29" s="235"/>
      <c r="Z29" s="235"/>
    </row>
    <row r="30">
      <c r="A30" s="236"/>
      <c r="B30" s="236"/>
      <c r="C30" s="237"/>
      <c r="D30" s="237"/>
      <c r="E30" s="238"/>
      <c r="F30" s="238"/>
      <c r="G30" s="239"/>
      <c r="H30" s="239"/>
      <c r="I30" s="235"/>
      <c r="J30" s="235"/>
      <c r="K30" s="235"/>
      <c r="L30" s="235"/>
      <c r="M30" s="235"/>
      <c r="N30" s="235"/>
      <c r="O30" s="235"/>
      <c r="P30" s="235"/>
      <c r="Q30" s="235"/>
      <c r="R30" s="235"/>
      <c r="S30" s="235"/>
      <c r="T30" s="235"/>
      <c r="U30" s="235"/>
      <c r="V30" s="235"/>
      <c r="W30" s="235"/>
      <c r="X30" s="235"/>
      <c r="Y30" s="235"/>
      <c r="Z30" s="235"/>
    </row>
    <row r="31">
      <c r="A31" s="236"/>
      <c r="B31" s="236"/>
      <c r="C31" s="237"/>
      <c r="D31" s="237"/>
      <c r="E31" s="238"/>
      <c r="F31" s="238"/>
      <c r="G31" s="239"/>
      <c r="H31" s="239"/>
      <c r="I31" s="235"/>
      <c r="J31" s="235"/>
      <c r="K31" s="235"/>
      <c r="L31" s="235"/>
      <c r="M31" s="235"/>
      <c r="N31" s="235"/>
      <c r="O31" s="235"/>
      <c r="P31" s="235"/>
      <c r="Q31" s="235"/>
      <c r="R31" s="235"/>
      <c r="S31" s="235"/>
      <c r="T31" s="235"/>
      <c r="U31" s="235"/>
      <c r="V31" s="235"/>
      <c r="W31" s="235"/>
      <c r="X31" s="235"/>
      <c r="Y31" s="235"/>
      <c r="Z31" s="235"/>
    </row>
    <row r="32">
      <c r="A32" s="236"/>
      <c r="B32" s="236"/>
      <c r="C32" s="237"/>
      <c r="D32" s="237"/>
      <c r="E32" s="238"/>
      <c r="F32" s="238"/>
      <c r="G32" s="239"/>
      <c r="H32" s="239"/>
      <c r="I32" s="235"/>
      <c r="J32" s="235"/>
      <c r="K32" s="235"/>
      <c r="L32" s="235"/>
      <c r="M32" s="235"/>
      <c r="N32" s="235"/>
      <c r="O32" s="235"/>
      <c r="P32" s="235"/>
      <c r="Q32" s="235"/>
      <c r="R32" s="235"/>
      <c r="S32" s="235"/>
      <c r="T32" s="235"/>
      <c r="U32" s="235"/>
      <c r="V32" s="235"/>
      <c r="W32" s="235"/>
      <c r="X32" s="235"/>
      <c r="Y32" s="235"/>
      <c r="Z32" s="235"/>
    </row>
    <row r="33">
      <c r="A33" s="236"/>
      <c r="B33" s="236"/>
      <c r="C33" s="237"/>
      <c r="D33" s="237"/>
      <c r="E33" s="238"/>
      <c r="F33" s="238"/>
      <c r="G33" s="239"/>
      <c r="H33" s="239"/>
      <c r="I33" s="235"/>
      <c r="J33" s="235"/>
      <c r="K33" s="235"/>
      <c r="L33" s="235"/>
      <c r="M33" s="235"/>
      <c r="N33" s="235"/>
      <c r="O33" s="235"/>
      <c r="P33" s="235"/>
      <c r="Q33" s="235"/>
      <c r="R33" s="235"/>
      <c r="S33" s="235"/>
      <c r="T33" s="235"/>
      <c r="U33" s="235"/>
      <c r="V33" s="235"/>
      <c r="W33" s="235"/>
      <c r="X33" s="235"/>
      <c r="Y33" s="235"/>
      <c r="Z33" s="235"/>
    </row>
    <row r="34">
      <c r="A34" s="236"/>
      <c r="B34" s="236"/>
      <c r="C34" s="237"/>
      <c r="D34" s="237"/>
      <c r="E34" s="238"/>
      <c r="F34" s="238"/>
      <c r="G34" s="239"/>
      <c r="H34" s="239"/>
      <c r="I34" s="235"/>
      <c r="J34" s="235"/>
      <c r="K34" s="235"/>
      <c r="L34" s="235"/>
      <c r="M34" s="235"/>
      <c r="N34" s="235"/>
      <c r="O34" s="235"/>
      <c r="P34" s="235"/>
      <c r="Q34" s="235"/>
      <c r="R34" s="235"/>
      <c r="S34" s="235"/>
      <c r="T34" s="235"/>
      <c r="U34" s="235"/>
      <c r="V34" s="235"/>
      <c r="W34" s="235"/>
      <c r="X34" s="235"/>
      <c r="Y34" s="235"/>
      <c r="Z34" s="235"/>
    </row>
    <row r="35">
      <c r="A35" s="236"/>
      <c r="B35" s="236"/>
      <c r="C35" s="237"/>
      <c r="D35" s="237"/>
      <c r="E35" s="238"/>
      <c r="F35" s="238"/>
      <c r="G35" s="239"/>
      <c r="H35" s="239"/>
      <c r="I35" s="235"/>
      <c r="J35" s="235"/>
      <c r="K35" s="235"/>
      <c r="L35" s="235"/>
      <c r="M35" s="235"/>
      <c r="N35" s="235"/>
      <c r="O35" s="235"/>
      <c r="P35" s="235"/>
      <c r="Q35" s="235"/>
      <c r="R35" s="235"/>
      <c r="S35" s="235"/>
      <c r="T35" s="235"/>
      <c r="U35" s="235"/>
      <c r="V35" s="235"/>
      <c r="W35" s="235"/>
      <c r="X35" s="235"/>
      <c r="Y35" s="235"/>
      <c r="Z35" s="235"/>
    </row>
    <row r="36">
      <c r="A36" s="236"/>
      <c r="B36" s="236"/>
      <c r="C36" s="237"/>
      <c r="D36" s="237"/>
      <c r="E36" s="238"/>
      <c r="F36" s="238"/>
      <c r="G36" s="239"/>
      <c r="H36" s="239"/>
      <c r="I36" s="235"/>
      <c r="J36" s="235"/>
      <c r="K36" s="235"/>
      <c r="L36" s="235"/>
      <c r="M36" s="235"/>
      <c r="N36" s="235"/>
      <c r="O36" s="235"/>
      <c r="P36" s="235"/>
      <c r="Q36" s="235"/>
      <c r="R36" s="235"/>
      <c r="S36" s="235"/>
      <c r="T36" s="235"/>
      <c r="U36" s="235"/>
      <c r="V36" s="235"/>
      <c r="W36" s="235"/>
      <c r="X36" s="235"/>
      <c r="Y36" s="235"/>
      <c r="Z36" s="235"/>
    </row>
    <row r="37">
      <c r="A37" s="236"/>
      <c r="B37" s="236"/>
      <c r="C37" s="237"/>
      <c r="D37" s="237"/>
      <c r="E37" s="238"/>
      <c r="F37" s="238"/>
      <c r="G37" s="239"/>
      <c r="H37" s="239"/>
      <c r="I37" s="235"/>
      <c r="J37" s="235"/>
      <c r="K37" s="235"/>
      <c r="L37" s="235"/>
      <c r="M37" s="235"/>
      <c r="N37" s="235"/>
      <c r="O37" s="235"/>
      <c r="P37" s="235"/>
      <c r="Q37" s="235"/>
      <c r="R37" s="235"/>
      <c r="S37" s="235"/>
      <c r="T37" s="235"/>
      <c r="U37" s="235"/>
      <c r="V37" s="235"/>
      <c r="W37" s="235"/>
      <c r="X37" s="235"/>
      <c r="Y37" s="235"/>
      <c r="Z37" s="235"/>
    </row>
    <row r="38">
      <c r="A38" s="236"/>
      <c r="B38" s="236"/>
      <c r="C38" s="237"/>
      <c r="D38" s="237"/>
      <c r="E38" s="238"/>
      <c r="F38" s="238"/>
      <c r="G38" s="239"/>
      <c r="H38" s="239"/>
      <c r="I38" s="235"/>
      <c r="J38" s="235"/>
      <c r="K38" s="235"/>
      <c r="L38" s="235"/>
      <c r="M38" s="235"/>
      <c r="N38" s="235"/>
      <c r="O38" s="235"/>
      <c r="P38" s="235"/>
      <c r="Q38" s="235"/>
      <c r="R38" s="235"/>
      <c r="S38" s="235"/>
      <c r="T38" s="235"/>
      <c r="U38" s="235"/>
      <c r="V38" s="235"/>
      <c r="W38" s="235"/>
      <c r="X38" s="235"/>
      <c r="Y38" s="235"/>
      <c r="Z38" s="235"/>
    </row>
    <row r="39">
      <c r="A39" s="236"/>
      <c r="B39" s="236"/>
      <c r="C39" s="237"/>
      <c r="D39" s="237"/>
      <c r="E39" s="238"/>
      <c r="F39" s="238"/>
      <c r="G39" s="239"/>
      <c r="H39" s="239"/>
      <c r="I39" s="235"/>
      <c r="J39" s="235"/>
      <c r="K39" s="235"/>
      <c r="L39" s="235"/>
      <c r="M39" s="235"/>
      <c r="N39" s="235"/>
      <c r="O39" s="235"/>
      <c r="P39" s="235"/>
      <c r="Q39" s="235"/>
      <c r="R39" s="235"/>
      <c r="S39" s="235"/>
      <c r="T39" s="235"/>
      <c r="U39" s="235"/>
      <c r="V39" s="235"/>
      <c r="W39" s="235"/>
      <c r="X39" s="235"/>
      <c r="Y39" s="235"/>
      <c r="Z39" s="235"/>
    </row>
    <row r="40">
      <c r="A40" s="236"/>
      <c r="B40" s="236"/>
      <c r="C40" s="237"/>
      <c r="D40" s="237"/>
      <c r="E40" s="238"/>
      <c r="F40" s="238"/>
      <c r="G40" s="239"/>
      <c r="H40" s="239"/>
      <c r="I40" s="235"/>
      <c r="J40" s="235"/>
      <c r="K40" s="235"/>
      <c r="L40" s="235"/>
      <c r="M40" s="235"/>
      <c r="N40" s="235"/>
      <c r="O40" s="235"/>
      <c r="P40" s="235"/>
      <c r="Q40" s="235"/>
      <c r="R40" s="235"/>
      <c r="S40" s="235"/>
      <c r="T40" s="235"/>
      <c r="U40" s="235"/>
      <c r="V40" s="235"/>
      <c r="W40" s="235"/>
      <c r="X40" s="235"/>
      <c r="Y40" s="235"/>
      <c r="Z40" s="235"/>
    </row>
    <row r="41">
      <c r="A41" s="236"/>
      <c r="B41" s="236"/>
      <c r="C41" s="237"/>
      <c r="D41" s="237"/>
      <c r="E41" s="238"/>
      <c r="F41" s="238"/>
      <c r="G41" s="239"/>
      <c r="H41" s="239"/>
      <c r="I41" s="235"/>
      <c r="J41" s="235"/>
      <c r="K41" s="235"/>
      <c r="L41" s="235"/>
      <c r="M41" s="235"/>
      <c r="N41" s="235"/>
      <c r="O41" s="235"/>
      <c r="P41" s="235"/>
      <c r="Q41" s="235"/>
      <c r="R41" s="235"/>
      <c r="S41" s="235"/>
      <c r="T41" s="235"/>
      <c r="U41" s="235"/>
      <c r="V41" s="235"/>
      <c r="W41" s="235"/>
      <c r="X41" s="235"/>
      <c r="Y41" s="235"/>
      <c r="Z41" s="235"/>
    </row>
    <row r="42">
      <c r="A42" s="236"/>
      <c r="B42" s="236"/>
      <c r="C42" s="237"/>
      <c r="D42" s="237"/>
      <c r="E42" s="238"/>
      <c r="F42" s="238"/>
      <c r="G42" s="239"/>
      <c r="H42" s="239"/>
      <c r="I42" s="235"/>
      <c r="J42" s="235"/>
      <c r="K42" s="235"/>
      <c r="L42" s="235"/>
      <c r="M42" s="235"/>
      <c r="N42" s="235"/>
      <c r="O42" s="235"/>
      <c r="P42" s="235"/>
      <c r="Q42" s="235"/>
      <c r="R42" s="235"/>
      <c r="S42" s="235"/>
      <c r="T42" s="235"/>
      <c r="U42" s="235"/>
      <c r="V42" s="235"/>
      <c r="W42" s="235"/>
      <c r="X42" s="235"/>
      <c r="Y42" s="235"/>
      <c r="Z42" s="235"/>
    </row>
    <row r="43">
      <c r="A43" s="236"/>
      <c r="B43" s="236"/>
      <c r="C43" s="237"/>
      <c r="D43" s="237"/>
      <c r="E43" s="238"/>
      <c r="F43" s="238"/>
      <c r="G43" s="239"/>
      <c r="H43" s="239"/>
      <c r="I43" s="235"/>
      <c r="J43" s="235"/>
      <c r="K43" s="235"/>
      <c r="L43" s="235"/>
      <c r="M43" s="235"/>
      <c r="N43" s="235"/>
      <c r="O43" s="235"/>
      <c r="P43" s="235"/>
      <c r="Q43" s="235"/>
      <c r="R43" s="235"/>
      <c r="S43" s="235"/>
      <c r="T43" s="235"/>
      <c r="U43" s="235"/>
      <c r="V43" s="235"/>
      <c r="W43" s="235"/>
      <c r="X43" s="235"/>
      <c r="Y43" s="235"/>
      <c r="Z43" s="235"/>
    </row>
    <row r="44">
      <c r="A44" s="236"/>
      <c r="B44" s="236"/>
      <c r="C44" s="237"/>
      <c r="D44" s="237"/>
      <c r="E44" s="238"/>
      <c r="F44" s="238"/>
      <c r="G44" s="239"/>
      <c r="H44" s="239"/>
      <c r="I44" s="235"/>
      <c r="J44" s="235"/>
      <c r="K44" s="235"/>
      <c r="L44" s="235"/>
      <c r="M44" s="235"/>
      <c r="N44" s="235"/>
      <c r="O44" s="235"/>
      <c r="P44" s="235"/>
      <c r="Q44" s="235"/>
      <c r="R44" s="235"/>
      <c r="S44" s="235"/>
      <c r="T44" s="235"/>
      <c r="U44" s="235"/>
      <c r="V44" s="235"/>
      <c r="W44" s="235"/>
      <c r="X44" s="235"/>
      <c r="Y44" s="235"/>
      <c r="Z44" s="235"/>
    </row>
    <row r="45">
      <c r="A45" s="236"/>
      <c r="B45" s="236"/>
      <c r="C45" s="237"/>
      <c r="D45" s="237"/>
      <c r="E45" s="238"/>
      <c r="F45" s="238"/>
      <c r="G45" s="239"/>
      <c r="H45" s="239"/>
      <c r="I45" s="235"/>
      <c r="J45" s="235"/>
      <c r="K45" s="235"/>
      <c r="L45" s="235"/>
      <c r="M45" s="235"/>
      <c r="N45" s="235"/>
      <c r="O45" s="235"/>
      <c r="P45" s="235"/>
      <c r="Q45" s="235"/>
      <c r="R45" s="235"/>
      <c r="S45" s="235"/>
      <c r="T45" s="235"/>
      <c r="U45" s="235"/>
      <c r="V45" s="235"/>
      <c r="W45" s="235"/>
      <c r="X45" s="235"/>
      <c r="Y45" s="235"/>
      <c r="Z45" s="235"/>
    </row>
    <row r="46">
      <c r="A46" s="236"/>
      <c r="B46" s="236"/>
      <c r="C46" s="237"/>
      <c r="D46" s="237"/>
      <c r="E46" s="238"/>
      <c r="F46" s="238"/>
      <c r="G46" s="239"/>
      <c r="H46" s="239"/>
      <c r="I46" s="235"/>
      <c r="J46" s="235"/>
      <c r="K46" s="235"/>
      <c r="L46" s="235"/>
      <c r="M46" s="235"/>
      <c r="N46" s="235"/>
      <c r="O46" s="235"/>
      <c r="P46" s="235"/>
      <c r="Q46" s="235"/>
      <c r="R46" s="235"/>
      <c r="S46" s="235"/>
      <c r="T46" s="235"/>
      <c r="U46" s="235"/>
      <c r="V46" s="235"/>
      <c r="W46" s="235"/>
      <c r="X46" s="235"/>
      <c r="Y46" s="235"/>
      <c r="Z46" s="235"/>
    </row>
    <row r="47">
      <c r="A47" s="236"/>
      <c r="B47" s="236"/>
      <c r="C47" s="237"/>
      <c r="D47" s="237"/>
      <c r="E47" s="238"/>
      <c r="F47" s="238"/>
      <c r="G47" s="239"/>
      <c r="H47" s="239"/>
      <c r="I47" s="235"/>
      <c r="J47" s="235"/>
      <c r="K47" s="235"/>
      <c r="L47" s="235"/>
      <c r="M47" s="235"/>
      <c r="N47" s="235"/>
      <c r="O47" s="235"/>
      <c r="P47" s="235"/>
      <c r="Q47" s="235"/>
      <c r="R47" s="235"/>
      <c r="S47" s="235"/>
      <c r="T47" s="235"/>
      <c r="U47" s="235"/>
      <c r="V47" s="235"/>
      <c r="W47" s="235"/>
      <c r="X47" s="235"/>
      <c r="Y47" s="235"/>
      <c r="Z47" s="235"/>
    </row>
    <row r="48">
      <c r="A48" s="236"/>
      <c r="B48" s="236"/>
      <c r="C48" s="237"/>
      <c r="D48" s="237"/>
      <c r="E48" s="238"/>
      <c r="F48" s="238"/>
      <c r="G48" s="239"/>
      <c r="H48" s="239"/>
      <c r="I48" s="235"/>
      <c r="J48" s="235"/>
      <c r="K48" s="235"/>
      <c r="L48" s="235"/>
      <c r="M48" s="235"/>
      <c r="N48" s="235"/>
      <c r="O48" s="235"/>
      <c r="P48" s="235"/>
      <c r="Q48" s="235"/>
      <c r="R48" s="235"/>
      <c r="S48" s="235"/>
      <c r="T48" s="235"/>
      <c r="U48" s="235"/>
      <c r="V48" s="235"/>
      <c r="W48" s="235"/>
      <c r="X48" s="235"/>
      <c r="Y48" s="235"/>
      <c r="Z48" s="235"/>
    </row>
    <row r="49">
      <c r="A49" s="236"/>
      <c r="B49" s="236"/>
      <c r="C49" s="237"/>
      <c r="D49" s="237"/>
      <c r="E49" s="238"/>
      <c r="F49" s="238"/>
      <c r="G49" s="239"/>
      <c r="H49" s="239"/>
      <c r="I49" s="235"/>
      <c r="J49" s="235"/>
      <c r="K49" s="235"/>
      <c r="L49" s="235"/>
      <c r="M49" s="235"/>
      <c r="N49" s="235"/>
      <c r="O49" s="235"/>
      <c r="P49" s="235"/>
      <c r="Q49" s="235"/>
      <c r="R49" s="235"/>
      <c r="S49" s="235"/>
      <c r="T49" s="235"/>
      <c r="U49" s="235"/>
      <c r="V49" s="235"/>
      <c r="W49" s="235"/>
      <c r="X49" s="235"/>
      <c r="Y49" s="235"/>
      <c r="Z49" s="235"/>
    </row>
    <row r="50">
      <c r="A50" s="236"/>
      <c r="B50" s="236"/>
      <c r="C50" s="237"/>
      <c r="D50" s="237"/>
      <c r="E50" s="238"/>
      <c r="F50" s="238"/>
      <c r="G50" s="239"/>
      <c r="H50" s="239"/>
      <c r="I50" s="235"/>
      <c r="J50" s="235"/>
      <c r="K50" s="235"/>
      <c r="L50" s="235"/>
      <c r="M50" s="235"/>
      <c r="N50" s="235"/>
      <c r="O50" s="235"/>
      <c r="P50" s="235"/>
      <c r="Q50" s="235"/>
      <c r="R50" s="235"/>
      <c r="S50" s="235"/>
      <c r="T50" s="235"/>
      <c r="U50" s="235"/>
      <c r="V50" s="235"/>
      <c r="W50" s="235"/>
      <c r="X50" s="235"/>
      <c r="Y50" s="235"/>
      <c r="Z50" s="235"/>
    </row>
    <row r="51">
      <c r="A51" s="240"/>
      <c r="B51" s="240"/>
      <c r="C51" s="241"/>
      <c r="D51" s="241"/>
      <c r="E51" s="242"/>
      <c r="F51" s="242"/>
      <c r="G51" s="243"/>
      <c r="H51" s="243"/>
      <c r="I51" s="235"/>
      <c r="J51" s="235"/>
      <c r="K51" s="235"/>
      <c r="L51" s="235"/>
      <c r="M51" s="235"/>
      <c r="N51" s="235"/>
      <c r="O51" s="235"/>
      <c r="P51" s="235"/>
      <c r="Q51" s="235"/>
      <c r="R51" s="235"/>
      <c r="S51" s="235"/>
      <c r="T51" s="235"/>
      <c r="U51" s="235"/>
      <c r="V51" s="235"/>
      <c r="W51" s="235"/>
      <c r="X51" s="235"/>
      <c r="Y51" s="235"/>
      <c r="Z51" s="235"/>
    </row>
    <row r="52">
      <c r="A52" s="236" t="str">
        <f>IFERROR(__xludf.DUMMYFUNCTION("IMPORTRANGE(""https://docs.google.com/spreadsheets/d/1OWqz0Kj63DvuK16jiKGSn_Hv_N2mbyV2QAdHjKdcrpw"", ""'Misc Data'!$A$2:$H"")"),"Quick")</f>
        <v>Quick</v>
      </c>
      <c r="B52" s="236" t="str">
        <f>IFERROR(__xludf.DUMMYFUNCTION("""COMPUTED_VALUE"""),"The user’s Movement Value is instead 8m.")</f>
        <v>The user’s Movement Value is instead 8m.</v>
      </c>
      <c r="C52" s="237" t="str">
        <f>IFERROR(__xludf.DUMMYFUNCTION("""COMPUTED_VALUE"""),"Burned")</f>
        <v>Burned</v>
      </c>
      <c r="D52" s="237" t="str">
        <f>IFERROR(__xludf.DUMMYFUNCTION("""COMPUTED_VALUE"""),"» At the end of a Combatant’s Turn they lose a Tick of Hit Points
» The Combatant’s Defense is lowered by -2 and cannot be increased while Burned. When Burned is cured, unless the Combatant prevents its CS from being lowered by this Affliction, the Combat"&amp;"ant’s Defense is raised by +2 CS.
» Fire Type Pokemon cannot become Burned.")</f>
        <v>» At the end of a Combatant’s Turn they lose a Tick of Hit Points
» The Combatant’s Defense is lowered by -2 and cannot be increased while Burned. When Burned is cured, unless the Combatant prevents its CS from being lowered by this Affliction, the Combatant’s Defense is raised by +2 CS.
» Fire Type Pokemon cannot become Burned.</v>
      </c>
      <c r="E52" s="238" t="str">
        <f>IFERROR(__xludf.DUMMYFUNCTION("""COMPUTED_VALUE"""),"Aura")</f>
        <v>Aura</v>
      </c>
      <c r="F52" s="238" t="str">
        <f>IFERROR(__xludf.DUMMYFUNCTION("""COMPUTED_VALUE"""),"Aura Attacks are aura based and may be referred to by other Abilities or Features.")</f>
        <v>Aura Attacks are aura based and may be referred to by other Abilities or Features.</v>
      </c>
      <c r="G52" s="239" t="str">
        <f>IFERROR(__xludf.DUMMYFUNCTION("""COMPUTED_VALUE"""),"Basic Terrain")</f>
        <v>Basic Terrain</v>
      </c>
      <c r="H52" s="239" t="str">
        <f>IFERROR(__xludf.DUMMYFUNCTION("""COMPUTED_VALUE"""),"This Terrain has nothing special about it.")</f>
        <v>This Terrain has nothing special about it.</v>
      </c>
      <c r="I52" s="235"/>
      <c r="J52" s="235"/>
      <c r="K52" s="235"/>
      <c r="L52" s="235"/>
      <c r="M52" s="235"/>
      <c r="N52" s="235"/>
      <c r="O52" s="235"/>
      <c r="P52" s="235"/>
      <c r="Q52" s="235"/>
      <c r="R52" s="235"/>
      <c r="S52" s="235"/>
      <c r="T52" s="235"/>
      <c r="U52" s="235"/>
      <c r="V52" s="235"/>
      <c r="W52" s="235"/>
      <c r="X52" s="235"/>
      <c r="Y52" s="235"/>
      <c r="Z52" s="235"/>
    </row>
    <row r="53">
      <c r="A53" s="236" t="str">
        <f>IFERROR(__xludf.DUMMYFUNCTION("""COMPUTED_VALUE"""),"Slow")</f>
        <v>Slow</v>
      </c>
      <c r="B53" s="236" t="str">
        <f>IFERROR(__xludf.DUMMYFUNCTION("""COMPUTED_VALUE"""),"The user’s Movement Value is instead 4m.")</f>
        <v>The user’s Movement Value is instead 4m.</v>
      </c>
      <c r="C53" s="237" t="str">
        <f>IFERROR(__xludf.DUMMYFUNCTION("""COMPUTED_VALUE"""),"Chilled")</f>
        <v>Chilled</v>
      </c>
      <c r="D53" s="237" t="str">
        <f>IFERROR(__xludf.DUMMYFUNCTION("""COMPUTED_VALUE"""),"» The Combatant gains the Vulnerable and Weakened Condition while they have this Affliction.
» Ice Type Pokemon cannot become Chilled.")</f>
        <v>» The Combatant gains the Vulnerable and Weakened Condition while they have this Affliction.
» Ice Type Pokemon cannot become Chilled.</v>
      </c>
      <c r="E53" s="238" t="str">
        <f>IFERROR(__xludf.DUMMYFUNCTION("""COMPUTED_VALUE"""),"Bite")</f>
        <v>Bite</v>
      </c>
      <c r="F53" s="238" t="str">
        <f>IFERROR(__xludf.DUMMYFUNCTION("""COMPUTED_VALUE"""),"Referred to by the Strong Jaw and Rip And Tear Abilities")</f>
        <v>Referred to by the Strong Jaw and Rip And Tear Abilities</v>
      </c>
      <c r="G53" s="239" t="str">
        <f>IFERROR(__xludf.DUMMYFUNCTION("""COMPUTED_VALUE"""),"Slow Terrain")</f>
        <v>Slow Terrain</v>
      </c>
      <c r="H53" s="239" t="str">
        <f>IFERROR(__xludf.DUMMYFUNCTION("""COMPUTED_VALUE"""),"This Terrain is harder to move through. Moving into this Space requires 2m of Movement instead of 1. Slowed Terrain can be ignored if it makes sense to, such as a Large Pokemon moving through a tall grassland.")</f>
        <v>This Terrain is harder to move through. Moving into this Space requires 2m of Movement instead of 1. Slowed Terrain can be ignored if it makes sense to, such as a Large Pokemon moving through a tall grassland.</v>
      </c>
      <c r="I53" s="235"/>
      <c r="J53" s="235"/>
      <c r="K53" s="235"/>
      <c r="L53" s="235"/>
      <c r="M53" s="235"/>
      <c r="N53" s="235"/>
      <c r="O53" s="235"/>
      <c r="P53" s="235"/>
      <c r="Q53" s="235"/>
      <c r="R53" s="235"/>
      <c r="S53" s="235"/>
      <c r="T53" s="235"/>
      <c r="U53" s="235"/>
      <c r="V53" s="235"/>
      <c r="W53" s="235"/>
      <c r="X53" s="235"/>
      <c r="Y53" s="235"/>
      <c r="Z53" s="235"/>
    </row>
    <row r="54">
      <c r="A54" s="236" t="str">
        <f>IFERROR(__xludf.DUMMYFUNCTION("""COMPUTED_VALUE"""),"Burrower")</f>
        <v>Burrower</v>
      </c>
      <c r="B54" s="236" t="str">
        <f>IFERROR(__xludf.DUMMYFUNCTION("""COMPUTED_VALUE"""),"As a Swift Action, when declaring Movement as a Movement Action, select a Space in which you could reach via movement. The user automatically appears in that Space. This Movement cannot Trigger Reactions or Attacks of Opportunity. This may only be used if"&amp;" the spaces you travel through are connected by ground or breakable in which you can dig a tunnel. For example, a Diglett cannot use this Capability while they’re suspended on a platform in the air since there is no connected ground or if they’re in a bui"&amp;"lding with metal tiling.")</f>
        <v>As a Swift Action, when declaring Movement as a Movement Action, select a Space in which you could reach via movement. The user automatically appears in that Space. This Movement cannot Trigger Reactions or Attacks of Opportunity. This may only be used if the spaces you travel through are connected by ground or breakable in which you can dig a tunnel. For example, a Diglett cannot use this Capability while they’re suspended on a platform in the air since there is no connected ground or if they’re in a building with metal tiling.</v>
      </c>
      <c r="C54" s="237" t="str">
        <f>IFERROR(__xludf.DUMMYFUNCTION("""COMPUTED_VALUE"""),"Paralyzed")</f>
        <v>Paralyzed</v>
      </c>
      <c r="D54" s="237" t="str">
        <f>IFERROR(__xludf.DUMMYFUNCTION("""COMPUTED_VALUE"""),"» The Combatant cannot use Bolster Maneuvers (Excluding Respite) and becomes Vulnerable.
» The Combatant can only take two Actions per Round  
» Electric Type Pokemon cannot become Paralyzed.
")</f>
        <v>» The Combatant cannot use Bolster Maneuvers (Excluding Respite) and becomes Vulnerable.
» The Combatant can only take two Actions per Round  
» Electric Type Pokemon cannot become Paralyzed.
</v>
      </c>
      <c r="E54" s="238" t="str">
        <f>IFERROR(__xludf.DUMMYFUNCTION("""COMPUTED_VALUE"""),"Blessing")</f>
        <v>Blessing</v>
      </c>
      <c r="F54" s="238" t="str">
        <f>IFERROR(__xludf.DUMMYFUNCTION("""COMPUTED_VALUE"""),"All Combatants allied to the user and the user may benefit from the Blessing. The Attack’s Effects describe how a Blessing may become activated. The Blessing persists until all activations are used or the Scene ends.")</f>
        <v>All Combatants allied to the user and the user may benefit from the Blessing. The Attack’s Effects describe how a Blessing may become activated. The Blessing persists until all activations are used or the Scene ends.</v>
      </c>
      <c r="G54" s="239" t="str">
        <f>IFERROR(__xludf.DUMMYFUNCTION("""COMPUTED_VALUE"""),"Rough Terrain")</f>
        <v>Rough Terrain</v>
      </c>
      <c r="H54" s="239" t="str">
        <f>IFERROR(__xludf.DUMMYFUNCTION("""COMPUTED_VALUE"""),"Rough Terrain is any Space that would obscure combatants from seeing clearly. If a Ranged Attack would travel through a space with Rough Terrain, it suffers -2 to its Accuracy Roll. Perception Checks made against something within Rough Terrain suffers a -"&amp;"1d6 Penalty. Oftentimes, Slow Terrain is also Rough Terrain.")</f>
        <v>Rough Terrain is any Space that would obscure combatants from seeing clearly. If a Ranged Attack would travel through a space with Rough Terrain, it suffers -2 to its Accuracy Roll. Perception Checks made against something within Rough Terrain suffers a -1d6 Penalty. Oftentimes, Slow Terrain is also Rough Terrain.</v>
      </c>
      <c r="I54" s="235"/>
      <c r="J54" s="235"/>
      <c r="K54" s="235"/>
      <c r="L54" s="235"/>
      <c r="M54" s="235"/>
      <c r="N54" s="235"/>
      <c r="O54" s="235"/>
      <c r="P54" s="235"/>
      <c r="Q54" s="235"/>
      <c r="R54" s="235"/>
      <c r="S54" s="235"/>
      <c r="T54" s="235"/>
      <c r="U54" s="235"/>
      <c r="V54" s="235"/>
      <c r="W54" s="235"/>
      <c r="X54" s="235"/>
      <c r="Y54" s="235"/>
      <c r="Z54" s="235"/>
    </row>
    <row r="55">
      <c r="A55" s="236" t="str">
        <f>IFERROR(__xludf.DUMMYFUNCTION("""COMPUTED_VALUE"""),"Climber")</f>
        <v>Climber</v>
      </c>
      <c r="B55" s="236" t="str">
        <f>IFERROR(__xludf.DUMMYFUNCTION("""COMPUTED_VALUE"""),"The user may climb Vertical Surfaces, Slopes or Cliffs without any Movement impairment or without needing to make any Skill Checks. If desired, the user may end their Movement Actions while sticking to a vertical surface, provided they’re less than 4m up "&amp;"in the air, such as climbing a Tree without Skill Checks required.")</f>
        <v>The user may climb Vertical Surfaces, Slopes or Cliffs without any Movement impairment or without needing to make any Skill Checks. If desired, the user may end their Movement Actions while sticking to a vertical surface, provided they’re less than 4m up in the air, such as climbing a Tree without Skill Checks required.</v>
      </c>
      <c r="C55" s="237" t="str">
        <f>IFERROR(__xludf.DUMMYFUNCTION("""COMPUTED_VALUE"""),"Poisoned")</f>
        <v>Poisoned</v>
      </c>
      <c r="D55" s="237" t="str">
        <f>IFERROR(__xludf.DUMMYFUNCTION("""COMPUTED_VALUE"""),"» At the end of a Combatant’s Turn they lose a Tick of Hit Points. 
» The Combatant’s Special Defense is lowered by -2 and cannot be increased while Poisoned. When Poisoned is cured, unless the Combatant prevents its CS from being lowered by this Afflicti"&amp;"on, the Combatant’s Special Defense is raised by +2 CS.
» Poison and Steel Type Pokemon cannot become Poisoned.")</f>
        <v>» At the end of a Combatant’s Turn they lose a Tick of Hit Points. 
» The Combatant’s Special Defense is lowered by -2 and cannot be increased while Poisoned. When Poisoned is cured, unless the Combatant prevents its CS from being lowered by this Affliction, the Combatant’s Special Defense is raised by +2 CS.
» Poison and Steel Type Pokemon cannot become Poisoned.</v>
      </c>
      <c r="E55" s="238" t="str">
        <f>IFERROR(__xludf.DUMMYFUNCTION("""COMPUTED_VALUE"""),"Coat")</f>
        <v>Coat</v>
      </c>
      <c r="F55" s="238" t="str">
        <f>IFERROR(__xludf.DUMMYFUNCTION("""COMPUTED_VALUE"""),"Coat Attacks grants the Target a Coat which while they have it, grants them its effects. A Combatant cannot have multiple coats of the same name. Coats have listed methods by which they are expended but are otherwise removed when the Target faints, the sc"&amp;"ene ends, or an effect would destroy them. ")</f>
        <v>Coat Attacks grants the Target a Coat which while they have it, grants them its effects. A Combatant cannot have multiple coats of the same name. Coats have listed methods by which they are expended but are otherwise removed when the Target faints, the scene ends, or an effect would destroy them. </v>
      </c>
      <c r="G55" s="239" t="str">
        <f>IFERROR(__xludf.DUMMYFUNCTION("""COMPUTED_VALUE"""),"Cover Terrain")</f>
        <v>Cover Terrain</v>
      </c>
      <c r="H55" s="239" t="str">
        <f>IFERROR(__xludf.DUMMYFUNCTION("""COMPUTED_VALUE"""),"Cover Terrain is any Space that would obscure at least half of a Combatant’s Body but isn’t exactly Blocking Terrain. If a Ranged Attack would Target a Combatant adjacent to Cover Terrain, it is resisted by an additional Damage Step. Cover Terrain is alwa"&amp;"ys treated is Rough Terrain as well. The effects of Cover Terrain are ignored if a Ranged Attack would originate from an Enemy that is also adjacent to the same Cover Terrain or the Target or if the line of sight would not be obstructed by the Cover Terra"&amp;"in. If Cover Terrain is attacked or if an Attack is resisted because of Cover Terrain, it could be  destroyed and turned into Slow Terrain instead, if it makes sense to the GM, such as a wall crumbling due to a flamethrower.")</f>
        <v>Cover Terrain is any Space that would obscure at least half of a Combatant’s Body but isn’t exactly Blocking Terrain. If a Ranged Attack would Target a Combatant adjacent to Cover Terrain, it is resisted by an additional Damage Step. Cover Terrain is always treated is Rough Terrain as well. The effects of Cover Terrain are ignored if a Ranged Attack would originate from an Enemy that is also adjacent to the same Cover Terrain or the Target or if the line of sight would not be obstructed by the Cover Terrain. If Cover Terrain is attacked or if an Attack is resisted because of Cover Terrain, it could be  destroyed and turned into Slow Terrain instead, if it makes sense to the GM, such as a wall crumbling due to a flamethrower.</v>
      </c>
      <c r="I55" s="235"/>
      <c r="J55" s="235"/>
      <c r="K55" s="235"/>
      <c r="L55" s="235"/>
      <c r="M55" s="235"/>
      <c r="N55" s="235"/>
      <c r="O55" s="235"/>
      <c r="P55" s="235"/>
      <c r="Q55" s="235"/>
      <c r="R55" s="235"/>
      <c r="S55" s="235"/>
      <c r="T55" s="235"/>
      <c r="U55" s="235"/>
      <c r="V55" s="235"/>
      <c r="W55" s="235"/>
      <c r="X55" s="235"/>
      <c r="Y55" s="235"/>
      <c r="Z55" s="235"/>
    </row>
    <row r="56">
      <c r="A56" s="236" t="str">
        <f>IFERROR(__xludf.DUMMYFUNCTION("""COMPUTED_VALUE"""),"Flier")</f>
        <v>Flier</v>
      </c>
      <c r="B56" s="236" t="str">
        <f>IFERROR(__xludf.DUMMYFUNCTION("""COMPUTED_VALUE"""),"As a Swift Action, when declaring Movement, the user may become Airborne and use Movement to move up the Z-Axis. The user cannot exceed 4m in the air this way. While Airborne, the user ignores the Effects of any Hazard, Terrain Effects that apply to non-A"&amp;"irborne Combatants, or Movement Penalties as a result of Terrain. At the end of their Turn, they must spend 1 SP or else they are no longer Airborne. Pokemon  with the Flier Capability that are Dragon or Flying Type or with GM permission may exceed the 4m"&amp;" restriction while outside of combat. All Creatures with the Flier Capability are also considered to have the Glider Capability.
")</f>
        <v>As a Swift Action, when declaring Movement, the user may become Airborne and use Movement to move up the Z-Axis. The user cannot exceed 4m in the air this way. While Airborne, the user ignores the Effects of any Hazard, Terrain Effects that apply to non-Airborne Combatants, or Movement Penalties as a result of Terrain. At the end of their Turn, they must spend 1 SP or else they are no longer Airborne. Pokemon  with the Flier Capability that are Dragon or Flying Type or with GM permission may exceed the 4m restriction while outside of combat. All Creatures with the Flier Capability are also considered to have the Glider Capability.
</v>
      </c>
      <c r="C56" s="237" t="str">
        <f>IFERROR(__xludf.DUMMYFUNCTION("""COMPUTED_VALUE"""),"Slowed")</f>
        <v>Slowed</v>
      </c>
      <c r="D56" s="237" t="str">
        <f>IFERROR(__xludf.DUMMYFUNCTION("""COMPUTED_VALUE"""),"» The Combatant has their Movement Value halved and cannot apply Speed Evasion.
» The Combatant cannot perform Reactions")</f>
        <v>» The Combatant has their Movement Value halved and cannot apply Speed Evasion.
» The Combatant cannot perform Reactions</v>
      </c>
      <c r="E56" s="238" t="str">
        <f>IFERROR(__xludf.DUMMYFUNCTION("""COMPUTED_VALUE"""),"Dash")</f>
        <v>Dash</v>
      </c>
      <c r="F56" s="238" t="str">
        <f>IFERROR(__xludf.DUMMYFUNCTION("""COMPUTED_VALUE"""),"If the user moves at least 2m in a straight line towards the Target and did not start their turn within 2m of them, Dash may be Activated. Regardless of if it’s Activated, Attacks with this Keyword may choose to use Speed as if it were the Offensive Stat."&amp;" ")</f>
        <v>If the user moves at least 2m in a straight line towards the Target and did not start their turn within 2m of them, Dash may be Activated. Regardless of if it’s Activated, Attacks with this Keyword may choose to use Speed as if it were the Offensive Stat. </v>
      </c>
      <c r="G56" s="239" t="str">
        <f>IFERROR(__xludf.DUMMYFUNCTION("""COMPUTED_VALUE"""),"Blocking Terrain")</f>
        <v>Blocking Terrain</v>
      </c>
      <c r="H56" s="239" t="str">
        <f>IFERROR(__xludf.DUMMYFUNCTION("""COMPUTED_VALUE"""),"Blocking Terrain cannot be moved through or occupied by Combatants. Blocking Terrain breaks line of sight and blocks Attacks that would travel through them such as Line or Ranged. Depending on the material of the Blocking Terrain, they can possibly be bro"&amp;"ken when Targeted with Attacks and turned into Cover Terrain. Small Blocking Terrain has 50 HP. Medium Blocking Terrain has 100 HP. Dense Blocking Terrain has 200 HP. Depending on the nature of the Blocking Terrain it could also be treated as Cover Terrai"&amp;"n.")</f>
        <v>Blocking Terrain cannot be moved through or occupied by Combatants. Blocking Terrain breaks line of sight and blocks Attacks that would travel through them such as Line or Ranged. Depending on the material of the Blocking Terrain, they can possibly be broken when Targeted with Attacks and turned into Cover Terrain. Small Blocking Terrain has 50 HP. Medium Blocking Terrain has 100 HP. Dense Blocking Terrain has 200 HP. Depending on the nature of the Blocking Terrain it could also be treated as Cover Terrain.</v>
      </c>
      <c r="I56" s="235"/>
      <c r="J56" s="235"/>
      <c r="K56" s="235"/>
      <c r="L56" s="235"/>
      <c r="M56" s="235"/>
      <c r="N56" s="235"/>
      <c r="O56" s="235"/>
      <c r="P56" s="235"/>
      <c r="Q56" s="235"/>
      <c r="R56" s="235"/>
      <c r="S56" s="235"/>
      <c r="T56" s="235"/>
      <c r="U56" s="235"/>
      <c r="V56" s="235"/>
      <c r="W56" s="235"/>
      <c r="X56" s="235"/>
      <c r="Y56" s="235"/>
      <c r="Z56" s="235"/>
    </row>
    <row r="57">
      <c r="A57" s="236" t="str">
        <f>IFERROR(__xludf.DUMMYFUNCTION("""COMPUTED_VALUE"""),"Glider")</f>
        <v>Glider</v>
      </c>
      <c r="B57" s="236" t="str">
        <f>IFERROR(__xludf.DUMMYFUNCTION("""COMPUTED_VALUE"""),"The user is Immune to falling damage unless their method of gliding is restricted somehow.")</f>
        <v>The user is Immune to falling damage unless their method of gliding is restricted somehow.</v>
      </c>
      <c r="C57" s="237" t="str">
        <f>IFERROR(__xludf.DUMMYFUNCTION("""COMPUTED_VALUE"""),"Vortexed")</f>
        <v>Vortexed</v>
      </c>
      <c r="D57" s="237" t="str">
        <f>IFERROR(__xludf.DUMMYFUNCTION("""COMPUTED_VALUE"""),"» At the end of a Combatant’s Turn they lose a Tick of Hit Points.
» The Combatant has a Storm centered on them in a Burst 2 Range (Including the space they’re on). Additional Effects may apply to the Vortexed Affliction or to those in this Range of the S"&amp;"torm.
» Whenever an Ally of a Vortexed Combatant starts their Turn on a Space affected by the Storm or Shifts into one, they lose a Tick of Hit Points. Combatants may only lose Hit Points due to the Vortexed Affliction once per Round.")</f>
        <v>» At the end of a Combatant’s Turn they lose a Tick of Hit Points.
» The Combatant has a Storm centered on them in a Burst 2 Range (Including the space they’re on). Additional Effects may apply to the Vortexed Affliction or to those in this Range of the Storm.
» Whenever an Ally of a Vortexed Combatant starts their Turn on a Space affected by the Storm or Shifts into one, they lose a Tick of Hit Points. Combatants may only lose Hit Points due to the Vortexed Affliction once per Round.</v>
      </c>
      <c r="E57" s="238" t="str">
        <f>IFERROR(__xludf.DUMMYFUNCTION("""COMPUTED_VALUE"""),"Full Action")</f>
        <v>Full Action</v>
      </c>
      <c r="F57" s="238" t="str">
        <f>IFERROR(__xludf.DUMMYFUNCTION("""COMPUTED_VALUE"""),"Full Action Attacks require a Full Action to use, taking both a Standard and Swift Action.")</f>
        <v>Full Action Attacks require a Full Action to use, taking both a Standard and Swift Action.</v>
      </c>
      <c r="G57" s="239" t="str">
        <f>IFERROR(__xludf.DUMMYFUNCTION("""COMPUTED_VALUE"""),"Hazardous Terrain")</f>
        <v>Hazardous Terrain</v>
      </c>
      <c r="H57" s="239" t="str">
        <f>IFERROR(__xludf.DUMMYFUNCTION("""COMPUTED_VALUE"""),"Hazardous Terrain are spaces that are considered to have a Hazard in them. Depending on the Hazard, the space will have different effects. Whenever a Combatant enters the space willingly or unwillingly or ends their turn on Hazardous Terrain they will be "&amp;"affected by the Hazard’s Effects. A Combatant can only be affected by a specific Hazardous Terrain Effect once per Round, regardless of how many they activate it. Zones may exist on top of Hazardous Terrain, however only one Hazard can exist on Hazardous "&amp;"Terrain at a time and if one would be placed there, the previous Hazard is overwritten. When the Occupying Hazard is destroyed or removed, the Terrain reverts to what it was before becoming Hazardous Terrain.")</f>
        <v>Hazardous Terrain are spaces that are considered to have a Hazard in them. Depending on the Hazard, the space will have different effects. Whenever a Combatant enters the space willingly or unwillingly or ends their turn on Hazardous Terrain they will be affected by the Hazard’s Effects. A Combatant can only be affected by a specific Hazardous Terrain Effect once per Round, regardless of how many they activate it. Zones may exist on top of Hazardous Terrain, however only one Hazard can exist on Hazardous Terrain at a time and if one would be placed there, the previous Hazard is overwritten. When the Occupying Hazard is destroyed or removed, the Terrain reverts to what it was before becoming Hazardous Terrain.</v>
      </c>
      <c r="I57" s="235"/>
      <c r="J57" s="235"/>
      <c r="K57" s="235"/>
      <c r="L57" s="235"/>
      <c r="M57" s="235"/>
      <c r="N57" s="235"/>
      <c r="O57" s="235"/>
      <c r="P57" s="235"/>
      <c r="Q57" s="235"/>
      <c r="R57" s="235"/>
      <c r="S57" s="235"/>
      <c r="T57" s="235"/>
      <c r="U57" s="235"/>
      <c r="V57" s="235"/>
      <c r="W57" s="235"/>
      <c r="X57" s="235"/>
      <c r="Y57" s="235"/>
      <c r="Z57" s="235"/>
    </row>
    <row r="58">
      <c r="A58" s="236" t="str">
        <f>IFERROR(__xludf.DUMMYFUNCTION("""COMPUTED_VALUE"""),"Grounded")</f>
        <v>Grounded</v>
      </c>
      <c r="B58" s="236" t="str">
        <f>IFERROR(__xludf.DUMMYFUNCTION("""COMPUTED_VALUE"""),"The user cannot perform the Jump Maneuver.")</f>
        <v>The user cannot perform the Jump Maneuver.</v>
      </c>
      <c r="C58" s="237" t="str">
        <f>IFERROR(__xludf.DUMMYFUNCTION("""COMPUTED_VALUE"""),"Wounded")</f>
        <v>Wounded</v>
      </c>
      <c r="D58" s="237" t="str">
        <f>IFERROR(__xludf.DUMMYFUNCTION("""COMPUTED_VALUE"""),"» At the end of a Combatant’s Turn they lose a Tick of Hit Points, or two if they move more than half of their Movement Value.
» The user cannot restore Hit Points.")</f>
        <v>» At the end of a Combatant’s Turn they lose a Tick of Hit Points, or two if they move more than half of their Movement Value.
» The user cannot restore Hit Points.</v>
      </c>
      <c r="E58" s="238" t="str">
        <f>IFERROR(__xludf.DUMMYFUNCTION("""COMPUTED_VALUE"""),"Groundsource")</f>
        <v>Groundsource</v>
      </c>
      <c r="F58" s="238" t="str">
        <f>IFERROR(__xludf.DUMMYFUNCTION("""COMPUTED_VALUE"""),"Groundsource Attacks do not have their Accuracy lowered as a result of Terrain and ignore Blocking Terrain. These Attacks may also be used without line of sight, however if they hit, they are treated as if they missed with the Smite Keyword.")</f>
        <v>Groundsource Attacks do not have their Accuracy lowered as a result of Terrain and ignore Blocking Terrain. These Attacks may also be used without line of sight, however if they hit, they are treated as if they missed with the Smite Keyword.</v>
      </c>
      <c r="G58" s="239" t="str">
        <f>IFERROR(__xludf.DUMMYFUNCTION("""COMPUTED_VALUE"""),"Blessed Terrain")</f>
        <v>Blessed Terrain</v>
      </c>
      <c r="H58" s="239" t="str">
        <f>IFERROR(__xludf.DUMMYFUNCTION("""COMPUTED_VALUE"""),"Blessed Terrain are spaces that are similar to Hazardous Terrain, however they always have a beneficial effect. Depending on the Terrain, the space will have different effects. Whenever a Combatant starts or ends their turn on Blessing Terrain, they will "&amp;"be affected by its Effects. The effects do not stack if they start and end their turn on the same Terrain. Sometimes Blessed Terrain will only affect allies of the Combatant that created it (And its Creator).")</f>
        <v>Blessed Terrain are spaces that are similar to Hazardous Terrain, however they always have a beneficial effect. Depending on the Terrain, the space will have different effects. Whenever a Combatant starts or ends their turn on Blessing Terrain, they will be affected by its Effects. The effects do not stack if they start and end their turn on the same Terrain. Sometimes Blessed Terrain will only affect allies of the Combatant that created it (And its Creator).</v>
      </c>
      <c r="I58" s="235"/>
      <c r="J58" s="235"/>
      <c r="K58" s="235"/>
      <c r="L58" s="235"/>
      <c r="M58" s="235"/>
      <c r="N58" s="235"/>
      <c r="O58" s="235"/>
      <c r="P58" s="235"/>
      <c r="Q58" s="235"/>
      <c r="R58" s="235"/>
      <c r="S58" s="235"/>
      <c r="T58" s="235"/>
      <c r="U58" s="235"/>
      <c r="V58" s="235"/>
      <c r="W58" s="235"/>
      <c r="X58" s="235"/>
      <c r="Y58" s="235"/>
      <c r="Z58" s="235"/>
    </row>
    <row r="59">
      <c r="A59" s="236" t="str">
        <f>IFERROR(__xludf.DUMMYFUNCTION("""COMPUTED_VALUE"""),"Jumper")</f>
        <v>Jumper</v>
      </c>
      <c r="B59" s="236" t="str">
        <f>IFERROR(__xludf.DUMMYFUNCTION("""COMPUTED_VALUE"""),"When using the Jump Maneuver you may instead move up to your whole Movement Value instead of half.")</f>
        <v>When using the Jump Maneuver you may instead move up to your whole Movement Value instead of half.</v>
      </c>
      <c r="C59" s="237" t="str">
        <f>IFERROR(__xludf.DUMMYFUNCTION("""COMPUTED_VALUE"""),"Cursed")</f>
        <v>Cursed</v>
      </c>
      <c r="D59" s="237" t="str">
        <f>IFERROR(__xludf.DUMMYFUNCTION("""COMPUTED_VALUE"""),"» The Combatant has a -3 Penalty to Accuracy, Evasion, and Save Checks.
» When a Cursed Combatant misses an Attack or fails a Save Check, they lose a Tick of Hit Points (Max: 2 Ticks per Round).")</f>
        <v>» The Combatant has a -3 Penalty to Accuracy, Evasion, and Save Checks.
» When a Cursed Combatant misses an Attack or fails a Save Check, they lose a Tick of Hit Points (Max: 2 Ticks per Round).</v>
      </c>
      <c r="E59" s="238" t="str">
        <f>IFERROR(__xludf.DUMMYFUNCTION("""COMPUTED_VALUE"""),"Hazard")</f>
        <v>Hazard</v>
      </c>
      <c r="F59" s="238" t="str">
        <f>IFERROR(__xludf.DUMMYFUNCTION("""COMPUTED_VALUE"""),"Hazard Attacks cover a stated portion of the field, turning the Terrain into Hazardous Terrain, applying on top of any other effects applied to that Terrain. (Allowing Terrain to be both Slowed and Hazardous). Each Hazard will specify whether it affects o"&amp;"nly Allies, only Enemies or all Combatants. A Space may only be affected by one Hazard at a time, and if another Hazard would be set there, it replaces it unless it is a Blocking Hazard. An Enemy can only be affected by the same Hazard Effect once per Tur"&amp;"n.")</f>
        <v>Hazard Attacks cover a stated portion of the field, turning the Terrain into Hazardous Terrain, applying on top of any other effects applied to that Terrain. (Allowing Terrain to be both Slowed and Hazardous). Each Hazard will specify whether it affects only Allies, only Enemies or all Combatants. A Space may only be affected by one Hazard at a time, and if another Hazard would be set there, it replaces it unless it is a Blocking Hazard. An Enemy can only be affected by the same Hazard Effect once per Turn.</v>
      </c>
      <c r="G59" s="239" t="str">
        <f>IFERROR(__xludf.DUMMYFUNCTION("""COMPUTED_VALUE"""),"Biome Terrain")</f>
        <v>Biome Terrain</v>
      </c>
      <c r="H59" s="239" t="str">
        <f>IFERROR(__xludf.DUMMYFUNCTION("""COMPUTED_VALUE"""),"The Field in general or specific Spaces on the Field each have a Biome associated with them depending on where the Field is located. This Terrain exists on top of all other Terrain Types and is simply a tag denoting how to categorize the Terrain for the s"&amp;"ake of some Abilities or Effects. For example, a field of Grass could be considered Grasslands but in the same Field, a small lake could be considered Wetlands.")</f>
        <v>The Field in general or specific Spaces on the Field each have a Biome associated with them depending on where the Field is located. This Terrain exists on top of all other Terrain Types and is simply a tag denoting how to categorize the Terrain for the sake of some Abilities or Effects. For example, a field of Grass could be considered Grasslands but in the same Field, a small lake could be considered Wetlands.</v>
      </c>
      <c r="I59" s="235"/>
      <c r="J59" s="235"/>
      <c r="K59" s="235"/>
      <c r="L59" s="235"/>
      <c r="M59" s="235"/>
      <c r="N59" s="235"/>
      <c r="O59" s="235"/>
      <c r="P59" s="235"/>
      <c r="Q59" s="235"/>
      <c r="R59" s="235"/>
      <c r="S59" s="235"/>
      <c r="T59" s="235"/>
      <c r="U59" s="235"/>
      <c r="V59" s="235"/>
      <c r="W59" s="235"/>
      <c r="X59" s="235"/>
      <c r="Y59" s="235"/>
      <c r="Z59" s="235"/>
    </row>
    <row r="60">
      <c r="A60" s="236" t="str">
        <f>IFERROR(__xludf.DUMMYFUNCTION("""COMPUTED_VALUE"""),"Phaser")</f>
        <v>Phaser</v>
      </c>
      <c r="B60" s="236" t="str">
        <f>IFERROR(__xludf.DUMMYFUNCTION("""COMPUTED_VALUE"""),"As a Swift Action, when declaring Movement, the user may move through spaces occupied by Blocking Terrain and may treat Occupied Spaces as if they were not Slow Terrain. The user cannot end in a space with Blocking Terrain in it. This Capability cannot be"&amp;" used if the User is suffering from a Mental Affliction, unless the user spends 1 SP per Mental Affliction they have ")</f>
        <v>As a Swift Action, when declaring Movement, the user may move through spaces occupied by Blocking Terrain and may treat Occupied Spaces as if they were not Slow Terrain. The user cannot end in a space with Blocking Terrain in it. This Capability cannot be used if the User is suffering from a Mental Affliction, unless the user spends 1 SP per Mental Affliction they have </v>
      </c>
      <c r="C60" s="237" t="str">
        <f>IFERROR(__xludf.DUMMYFUNCTION("""COMPUTED_VALUE"""),"Dazed")</f>
        <v>Dazed</v>
      </c>
      <c r="D60" s="237" t="str">
        <f>IFERROR(__xludf.DUMMYFUNCTION("""COMPUTED_VALUE"""),"» When the Combatant performs an Action (Excluding Free Actions), roll a 1d2. On a 2 they lose a Tick of Hit Points or Two ticks if the Action was an Attack. (Max: 2 Ticks per Round)
» The Combatant cannot perform Tactics Maneuvers and fails all their Opp"&amp;"osed Checks.
» The Combatant cannot use Actions to cure themselves of any other Affliction.")</f>
        <v>» When the Combatant performs an Action (Excluding Free Actions), roll a 1d2. On a 2 they lose a Tick of Hit Points or Two ticks if the Action was an Attack. (Max: 2 Ticks per Round)
» The Combatant cannot perform Tactics Maneuvers and fails all their Opposed Checks.
» The Combatant cannot use Actions to cure themselves of any other Affliction.</v>
      </c>
      <c r="E60" s="238" t="str">
        <f>IFERROR(__xludf.DUMMYFUNCTION("""COMPUTED_VALUE"""),"Healing")</f>
        <v>Healing</v>
      </c>
      <c r="F60" s="238" t="str">
        <f>IFERROR(__xludf.DUMMYFUNCTION("""COMPUTED_VALUE"""),"Healing Attacks tend to restore hit points or cure afflictions with their effects and may be referred to by other Abilities or Features. ")</f>
        <v>Healing Attacks tend to restore hit points or cure afflictions with their effects and may be referred to by other Abilities or Features. </v>
      </c>
      <c r="G60" s="239" t="str">
        <f>IFERROR(__xludf.DUMMYFUNCTION("""COMPUTED_VALUE"""),"Storming Weather")</f>
        <v>Storming Weather</v>
      </c>
      <c r="H60" s="239" t="str">
        <f>IFERROR(__xludf.DUMMYFUNCTION("""COMPUTED_VALUE"""),"Weather will be persistent throughout the Encounter, whose type is most logical for the terrain. This could include Sunny Weather in a Volcano, Snowy Weather in a Tundra, or Foggy Weather in a City.")</f>
        <v>Weather will be persistent throughout the Encounter, whose type is most logical for the terrain. This could include Sunny Weather in a Volcano, Snowy Weather in a Tundra, or Foggy Weather in a City.</v>
      </c>
      <c r="I60" s="235"/>
      <c r="J60" s="235"/>
      <c r="K60" s="235"/>
      <c r="L60" s="235"/>
      <c r="M60" s="235"/>
      <c r="N60" s="235"/>
      <c r="O60" s="235"/>
      <c r="P60" s="235"/>
      <c r="Q60" s="235"/>
      <c r="R60" s="235"/>
      <c r="S60" s="235"/>
      <c r="T60" s="235"/>
      <c r="U60" s="235"/>
      <c r="V60" s="235"/>
      <c r="W60" s="235"/>
      <c r="X60" s="235"/>
      <c r="Y60" s="235"/>
      <c r="Z60" s="235"/>
    </row>
    <row r="61">
      <c r="A61" s="236" t="str">
        <f>IFERROR(__xludf.DUMMYFUNCTION("""COMPUTED_VALUE"""),"Swimmer")</f>
        <v>Swimmer</v>
      </c>
      <c r="B61" s="236" t="str">
        <f>IFERROR(__xludf.DUMMYFUNCTION("""COMPUTED_VALUE"""),"The user treats Ocean Terrain as if it were Basic Terrain instead of Slow Terrain when in a Space affected by Water or in an Underwater affected Area.")</f>
        <v>The user treats Ocean Terrain as if it were Basic Terrain instead of Slow Terrain when in a Space affected by Water or in an Underwater affected Area.</v>
      </c>
      <c r="C61" s="237" t="str">
        <f>IFERROR(__xludf.DUMMYFUNCTION("""COMPUTED_VALUE"""),"Disabled")</f>
        <v>Disabled</v>
      </c>
      <c r="D61" s="237" t="str">
        <f>IFERROR(__xludf.DUMMYFUNCTION("""COMPUTED_VALUE"""),"» When a Combatant gains the Disabled Affliction, something is specified or chosen (Usually an Attack or Ability). While a Combatant is Disabled they cannot use or benefit from anything chosen to be Disabled. Instances of the Disabled Affliction may stack"&amp;" and be cured separately depending on the source. Combatants cannot have more than 3 instances of the Disabled at a time")</f>
        <v>» When a Combatant gains the Disabled Affliction, something is specified or chosen (Usually an Attack or Ability). While a Combatant is Disabled they cannot use or benefit from anything chosen to be Disabled. Instances of the Disabled Affliction may stack and be cured separately depending on the source. Combatants cannot have more than 3 instances of the Disabled at a time</v>
      </c>
      <c r="E61" s="238" t="str">
        <f>IFERROR(__xludf.DUMMYFUNCTION("""COMPUTED_VALUE"""),"Trigger")</f>
        <v>Trigger</v>
      </c>
      <c r="F61" s="238" t="str">
        <f>IFERROR(__xludf.DUMMYFUNCTION("""COMPUTED_VALUE"""),"Attacks with this Keyword specify their Trigger condition in their Effect and cannot be used if that condition is not met. If it is met however, it allows the user to perform the relevant Action outside of their Initiative. ")</f>
        <v>Attacks with this Keyword specify their Trigger condition in their Effect and cannot be used if that condition is not met. If it is met however, it allows the user to perform the relevant Action outside of their Initiative. </v>
      </c>
      <c r="G61" s="239" t="str">
        <f>IFERROR(__xludf.DUMMYFUNCTION("""COMPUTED_VALUE"""),"Harsh Heat")</f>
        <v>Harsh Heat</v>
      </c>
      <c r="H61" s="239" t="str">
        <f>IFERROR(__xludf.DUMMYFUNCTION("""COMPUTED_VALUE"""),"All Water Type and Ice Type Damaging Attacks are resisted by an additional step. Burn Ranges are extended by +2. Any Combatant wearing [Large] or heavy equipment such as steel plating or a winter jacket will be treated as Vulnerable. It is likely to be Su"&amp;"nny in this Area.")</f>
        <v>All Water Type and Ice Type Damaging Attacks are resisted by an additional step. Burn Ranges are extended by +2. Any Combatant wearing [Large] or heavy equipment such as steel plating or a winter jacket will be treated as Vulnerable. It is likely to be Sunny in this Area.</v>
      </c>
      <c r="I61" s="235"/>
      <c r="J61" s="235"/>
      <c r="K61" s="235"/>
      <c r="L61" s="235"/>
      <c r="M61" s="235"/>
      <c r="N61" s="235"/>
      <c r="O61" s="235"/>
      <c r="P61" s="235"/>
      <c r="Q61" s="235"/>
      <c r="R61" s="235"/>
      <c r="S61" s="235"/>
      <c r="T61" s="235"/>
      <c r="U61" s="235"/>
      <c r="V61" s="235"/>
      <c r="W61" s="235"/>
      <c r="X61" s="235"/>
      <c r="Y61" s="235"/>
      <c r="Z61" s="235"/>
    </row>
    <row r="62">
      <c r="A62" s="236" t="str">
        <f>IFERROR(__xludf.DUMMYFUNCTION("""COMPUTED_VALUE"""),"Teleporter")</f>
        <v>Teleporter</v>
      </c>
      <c r="B62" s="236" t="str">
        <f>IFERROR(__xludf.DUMMYFUNCTION("""COMPUTED_VALUE"""),"As a Swift + Movement Action, select a Space that is a number of meters equal to or less than your Movement Value. The user automatically appears in that Space, ignoring all spaces between. This Movement cannot Trigger Reactions. The user can only select "&amp;"a space by which they have line of sight and must end Teleporter Movement touching a surface (They cannot land in the middle of the air unless they have the Flier Capability). This Capability cannot be used if the User is suffering from a Mental Afflictio"&amp;"n unless the user spends 1 SP per Mental Affliction they have.")</f>
        <v>As a Swift + Movement Action, select a Space that is a number of meters equal to or less than your Movement Value. The user automatically appears in that Space, ignoring all spaces between. This Movement cannot Trigger Reactions. The user can only select a space by which they have line of sight and must end Teleporter Movement touching a surface (They cannot land in the middle of the air unless they have the Flier Capability). This Capability cannot be used if the User is suffering from a Mental Affliction unless the user spends 1 SP per Mental Affliction they have.</v>
      </c>
      <c r="C62" s="237" t="str">
        <f>IFERROR(__xludf.DUMMYFUNCTION("""COMPUTED_VALUE"""),"Drowsy")</f>
        <v>Drowsy</v>
      </c>
      <c r="D62" s="237" t="str">
        <f>IFERROR(__xludf.DUMMYFUNCTION("""COMPUTED_VALUE"""),"» While a Combatant is Drowsy, their Damaging Attacks are resisted by an additional damage step. 
» While a Combatant is Drowsy, anything they do requires a Full Action instead of the normal Action cost. ")</f>
        <v>» While a Combatant is Drowsy, their Damaging Attacks are resisted by an additional damage step. 
» While a Combatant is Drowsy, anything they do requires a Full Action instead of the normal Action cost. </v>
      </c>
      <c r="E62" s="238" t="str">
        <f>IFERROR(__xludf.DUMMYFUNCTION("""COMPUTED_VALUE"""),"Pass")</f>
        <v>Pass</v>
      </c>
      <c r="F62" s="238" t="str">
        <f>IFERROR(__xludf.DUMMYFUNCTION("""COMPUTED_VALUE"""),"At any point during a Movement Action used to move, the user may declare a Pass Attack. Once declared, the user may move forward up to 4 Meters, moving through occupied spaces as if it were Basic Terrain. The user must end in an Unoccupied Space. The Pass"&amp;" Attack Targets all Combatants that were moved through in this way, but each Target may only be hit once. The user cannot continue their Movement Action after moving through the 4 Meters. Moving as a result of the Pass Keyword does not provoke Attacks of "&amp;"Opportunity. In order to use a Pass Attack this way, the user must have sufficient Movement remaining. ")</f>
        <v>At any point during a Movement Action used to move, the user may declare a Pass Attack. Once declared, the user may move forward up to 4 Meters, moving through occupied spaces as if it were Basic Terrain. The user must end in an Unoccupied Space. The Pass Attack Targets all Combatants that were moved through in this way, but each Target may only be hit once. The user cannot continue their Movement Action after moving through the 4 Meters. Moving as a result of the Pass Keyword does not provoke Attacks of Opportunity. In order to use a Pass Attack this way, the user must have sufficient Movement remaining. </v>
      </c>
      <c r="G62" s="239" t="str">
        <f>IFERROR(__xludf.DUMMYFUNCTION("""COMPUTED_VALUE"""),"Harsh Cold")</f>
        <v>Harsh Cold</v>
      </c>
      <c r="H62" s="239" t="str">
        <f>IFERROR(__xludf.DUMMYFUNCTION("""COMPUTED_VALUE"""),"Combatants that aren’t Fire or Ice Type suffer a -3 to Evasion. Chilled Effect Ranges are extended by +2. It is likely to be Snowy in this Area.")</f>
        <v>Combatants that aren’t Fire or Ice Type suffer a -3 to Evasion. Chilled Effect Ranges are extended by +2. It is likely to be Snowy in this Area.</v>
      </c>
      <c r="I62" s="235"/>
      <c r="J62" s="235"/>
      <c r="K62" s="235"/>
      <c r="L62" s="235"/>
      <c r="M62" s="235"/>
      <c r="N62" s="235"/>
      <c r="O62" s="235"/>
      <c r="P62" s="235"/>
      <c r="Q62" s="235"/>
      <c r="R62" s="235"/>
      <c r="S62" s="235"/>
      <c r="T62" s="235"/>
      <c r="U62" s="235"/>
      <c r="V62" s="235"/>
      <c r="W62" s="235"/>
      <c r="X62" s="235"/>
      <c r="Y62" s="235"/>
      <c r="Z62" s="235"/>
    </row>
    <row r="63">
      <c r="A63" s="236" t="str">
        <f>IFERROR(__xludf.DUMMYFUNCTION("""COMPUTED_VALUE"""),"Blender")</f>
        <v>Blender</v>
      </c>
      <c r="B63" s="236" t="str">
        <f>IFERROR(__xludf.DUMMYFUNCTION("""COMPUTED_VALUE"""),"The user is able to blend their body with their immediate surroundings through some form of camouflage method or extreme stealth. The user may use the Hide Capability as a Swift Action if desired. The user may gain a Boon to Stealth Checks if they’re able"&amp;" to blend in with the surroundings. ")</f>
        <v>The user is able to blend their body with their immediate surroundings through some form of camouflage method or extreme stealth. The user may use the Hide Capability as a Swift Action if desired. The user may gain a Boon to Stealth Checks if they’re able to blend in with the surroundings. </v>
      </c>
      <c r="C63" s="237" t="str">
        <f>IFERROR(__xludf.DUMMYFUNCTION("""COMPUTED_VALUE"""),"Enraged")</f>
        <v>Enraged</v>
      </c>
      <c r="D63" s="237" t="str">
        <f>IFERROR(__xludf.DUMMYFUNCTION("""COMPUTED_VALUE"""),"» While a Combatant is Enraged, they cannot use their Standard Action for anything other than using a Damaging Attack (Or something that results in a Damaging Attack being used by them) and cannot use Status Attacks
» When an Enraged Combatant is hit by a"&amp;" Damaging Attack, they become Provoked by the Attacking Combatant. If they are already Provoked, they become Provoked by the new Attacker.")</f>
        <v>» While a Combatant is Enraged, they cannot use their Standard Action for anything other than using a Damaging Attack (Or something that results in a Damaging Attack being used by them) and cannot use Status Attacks
» When an Enraged Combatant is hit by a Damaging Attack, they become Provoked by the Attacking Combatant. If they are already Provoked, they become Provoked by the new Attacker.</v>
      </c>
      <c r="E63" s="238" t="str">
        <f>IFERROR(__xludf.DUMMYFUNCTION("""COMPUTED_VALUE"""),"Priority")</f>
        <v>Priority</v>
      </c>
      <c r="F63" s="238" t="str">
        <f>IFERROR(__xludf.DUMMYFUNCTION("""COMPUTED_VALUE"""),"At the Start of a Round, or after any Action resolves, you may declare a Priority Attack to use it immediately ignoring Initiative, as if it were a Trigger condition. This requires that you have the relevant Action available this Round. No Reactions can b"&amp;"e made to this by Combatants with a lower Speed Stat than you.")</f>
        <v>At the Start of a Round, or after any Action resolves, you may declare a Priority Attack to use it immediately ignoring Initiative, as if it were a Trigger condition. This requires that you have the relevant Action available this Round. No Reactions can be made to this by Combatants with a lower Speed Stat than you.</v>
      </c>
      <c r="G63" s="239" t="str">
        <f>IFERROR(__xludf.DUMMYFUNCTION("""COMPUTED_VALUE"""),"Underwater")</f>
        <v>Underwater</v>
      </c>
      <c r="H63" s="239" t="str">
        <f>IFERROR(__xludf.DUMMYFUNCTION("""COMPUTED_VALUE"""),"Combatants without the Swimmer Capability treat all spaces as Slow Terrain. Whenever a Combatant ends their Turn without the Breathless or Gilled Capability, they take Suffocation Damage.")</f>
        <v>Combatants without the Swimmer Capability treat all spaces as Slow Terrain. Whenever a Combatant ends their Turn without the Breathless or Gilled Capability, they take Suffocation Damage.</v>
      </c>
      <c r="I63" s="235"/>
      <c r="J63" s="235"/>
      <c r="K63" s="235"/>
      <c r="L63" s="235"/>
      <c r="M63" s="235"/>
      <c r="N63" s="235"/>
      <c r="O63" s="235"/>
      <c r="P63" s="235"/>
      <c r="Q63" s="235"/>
      <c r="R63" s="235"/>
      <c r="S63" s="235"/>
      <c r="T63" s="235"/>
      <c r="U63" s="235"/>
      <c r="V63" s="235"/>
      <c r="W63" s="235"/>
      <c r="X63" s="235"/>
      <c r="Y63" s="235"/>
      <c r="Z63" s="235"/>
    </row>
    <row r="64">
      <c r="A64" s="236" t="str">
        <f>IFERROR(__xludf.DUMMYFUNCTION("""COMPUTED_VALUE"""),"Blindsense")</f>
        <v>Blindsense</v>
      </c>
      <c r="B64" s="236" t="str">
        <f>IFERROR(__xludf.DUMMYFUNCTION("""COMPUTED_VALUE"""),"The user cannot be Blinded and gains the Darkvision Capability. Blindsense may have different limitations or specifications depending on the user, such as increased hearing, supernatural smell, awareness of the environment or echolocation. If it were echo"&amp;"location for example, this capability could be disabled in a crowded area. At the cost of 1 SP, the user may enhance one of their senses that are affected by this capability for up to 30 minutes. This grants the user a Boon to any Perception or Focus Chec"&amp;"k related to that sense")</f>
        <v>The user cannot be Blinded and gains the Darkvision Capability. Blindsense may have different limitations or specifications depending on the user, such as increased hearing, supernatural smell, awareness of the environment or echolocation. If it were echolocation for example, this capability could be disabled in a crowded area. At the cost of 1 SP, the user may enhance one of their senses that are affected by this capability for up to 30 minutes. This grants the user a Boon to any Perception or Focus Check related to that sense</v>
      </c>
      <c r="C64" s="237" t="str">
        <f>IFERROR(__xludf.DUMMYFUNCTION("""COMPUTED_VALUE"""),"Entranced")</f>
        <v>Entranced</v>
      </c>
      <c r="D64" s="237" t="str">
        <f>IFERROR(__xludf.DUMMYFUNCTION("""COMPUTED_VALUE"""),"» When a Combatant gains the Entranced Affliction, the Combatant who inflicted it becomes their Fixation while Entranced. If their Fixation faints or is recalled, they are cured of this Affliction. You cannot be Provoked by your Fixation unless otherwise "&amp;"specified.
» The Combatant cannot Target their Fixation with anything unless they’re the only possible Enemy to Target. 
» The Combatant’s Damaging Attacks are reduced by an additional Damage Step if their Fixation is within 3m of them. ")</f>
        <v>» When a Combatant gains the Entranced Affliction, the Combatant who inflicted it becomes their Fixation while Entranced. If their Fixation faints or is recalled, they are cured of this Affliction. You cannot be Provoked by your Fixation unless otherwise specified.
» The Combatant cannot Target their Fixation with anything unless they’re the only possible Enemy to Target. 
» The Combatant’s Damaging Attacks are reduced by an additional Damage Step if their Fixation is within 3m of them. </v>
      </c>
      <c r="E64" s="238" t="str">
        <f>IFERROR(__xludf.DUMMYFUNCTION("""COMPUTED_VALUE"""),"Punch")</f>
        <v>Punch</v>
      </c>
      <c r="F64" s="238" t="str">
        <f>IFERROR(__xludf.DUMMYFUNCTION("""COMPUTED_VALUE"""),"Referred to by the Iron Fist Ability")</f>
        <v>Referred to by the Iron Fist Ability</v>
      </c>
      <c r="G64" s="239" t="str">
        <f>IFERROR(__xludf.DUMMYFUNCTION("""COMPUTED_VALUE"""),"Low Vision")</f>
        <v>Low Vision</v>
      </c>
      <c r="H64" s="239" t="str">
        <f>IFERROR(__xludf.DUMMYFUNCTION("""COMPUTED_VALUE"""),"Combatants without the Blindsense, Darkvision or Glow Capability suffer a -3 to Accuracy Roll and -2d6 to Perception Checks. If there is instead no Vision and complete darkness, those without the above Capabilities are instead Blinded until their situatio"&amp;"n would change.")</f>
        <v>Combatants without the Blindsense, Darkvision or Glow Capability suffer a -3 to Accuracy Roll and -2d6 to Perception Checks. If there is instead no Vision and complete darkness, those without the above Capabilities are instead Blinded until their situation would change.</v>
      </c>
      <c r="I64" s="235"/>
      <c r="J64" s="235"/>
      <c r="K64" s="235"/>
      <c r="L64" s="235"/>
      <c r="M64" s="235"/>
      <c r="N64" s="235"/>
      <c r="O64" s="235"/>
      <c r="P64" s="235"/>
      <c r="Q64" s="235"/>
      <c r="R64" s="235"/>
      <c r="S64" s="235"/>
      <c r="T64" s="235"/>
      <c r="U64" s="235"/>
      <c r="V64" s="235"/>
      <c r="W64" s="235"/>
      <c r="X64" s="235"/>
      <c r="Y64" s="235"/>
      <c r="Z64" s="235"/>
    </row>
    <row r="65">
      <c r="A65" s="236" t="str">
        <f>IFERROR(__xludf.DUMMYFUNCTION("""COMPUTED_VALUE"""),"Darkvision")</f>
        <v>Darkvision</v>
      </c>
      <c r="B65" s="236" t="str">
        <f>IFERROR(__xludf.DUMMYFUNCTION("""COMPUTED_VALUE"""),"The user ignores Accuracy Penalties due to Darkness and can see through it as if it were bright.")</f>
        <v>The user ignores Accuracy Penalties due to Darkness and can see through it as if it were bright.</v>
      </c>
      <c r="C65" s="237" t="str">
        <f>IFERROR(__xludf.DUMMYFUNCTION("""COMPUTED_VALUE"""),"Suppressed")</f>
        <v>Suppressed</v>
      </c>
      <c r="D65" s="237" t="str">
        <f>IFERROR(__xludf.DUMMYFUNCTION("""COMPUTED_VALUE"""),"» Whenever a Suppressed Combatant uses an EOT Attack, after Damage Calculations, they become Vulnerable until the end of the next Round. 
» Whenever a Suppressed Combatant uses a Scene or Daily Attack or Ability, after its resolution, they become Vulnerab"&amp;"le and Weakened until the end of the next Round.
» Combatants with a Boss Template are automatically cured of the Suppressed Affliction when they end their last Turn in a Round.")</f>
        <v>» Whenever a Suppressed Combatant uses an EOT Attack, after Damage Calculations, they become Vulnerable until the end of the next Round. 
» Whenever a Suppressed Combatant uses a Scene or Daily Attack or Ability, after its resolution, they become Vulnerable and Weakened until the end of the next Round.
» Combatants with a Boss Template are automatically cured of the Suppressed Affliction when they end their last Turn in a Round.</v>
      </c>
      <c r="E65" s="238" t="str">
        <f>IFERROR(__xludf.DUMMYFUNCTION("""COMPUTED_VALUE"""),"Reaction")</f>
        <v>Reaction</v>
      </c>
      <c r="F65" s="238" t="str">
        <f>IFERROR(__xludf.DUMMYFUNCTION("""COMPUTED_VALUE"""),"Reactions work the same as the Interrupt Keyword, however they occur after the Triggering condition is fully resolved. The user must survive the Trigger condition to be able to perform the Reaction.")</f>
        <v>Reactions work the same as the Interrupt Keyword, however they occur after the Triggering condition is fully resolved. The user must survive the Trigger condition to be able to perform the Reaction.</v>
      </c>
      <c r="G65" s="239" t="str">
        <f>IFERROR(__xludf.DUMMYFUNCTION("""COMPUTED_VALUE"""),"Moving Terrain")</f>
        <v>Moving Terrain</v>
      </c>
      <c r="H65" s="239" t="str">
        <f>IFERROR(__xludf.DUMMYFUNCTION("""COMPUTED_VALUE"""),"At the start of each Round, the GM may shuffle any number of spaces and on a failed Acrobatics Check (DC 10), any Combatants standing on them are either Tripped or follow the space to its new destination. During this action, you may also create any Cover "&amp;"or Blocking Terrain in any pattern that is desired.")</f>
        <v>At the start of each Round, the GM may shuffle any number of spaces and on a failed Acrobatics Check (DC 10), any Combatants standing on them are either Tripped or follow the space to its new destination. During this action, you may also create any Cover or Blocking Terrain in any pattern that is desired.</v>
      </c>
      <c r="I65" s="235"/>
      <c r="J65" s="235"/>
      <c r="K65" s="235"/>
      <c r="L65" s="235"/>
      <c r="M65" s="235"/>
      <c r="N65" s="235"/>
      <c r="O65" s="235"/>
      <c r="P65" s="235"/>
      <c r="Q65" s="235"/>
      <c r="R65" s="235"/>
      <c r="S65" s="235"/>
      <c r="T65" s="235"/>
      <c r="U65" s="235"/>
      <c r="V65" s="235"/>
      <c r="W65" s="235"/>
      <c r="X65" s="235"/>
      <c r="Y65" s="235"/>
      <c r="Z65" s="235"/>
    </row>
    <row r="66">
      <c r="A66" s="236" t="str">
        <f>IFERROR(__xludf.DUMMYFUNCTION("""COMPUTED_VALUE"""),"Form Change")</f>
        <v>Form Change</v>
      </c>
      <c r="B66" s="236" t="str">
        <f>IFERROR(__xludf.DUMMYFUNCTION("""COMPUTED_VALUE"""),"The user is capable of changing forms through an Attack, Ability or other effect. Keep a different Character Sheet for each of the user’s forms. All Forms must have the same total HP Stat Value and if anything (such as an Ability) alters the user’s base s"&amp;"tats, all forms are affected in the same way.")</f>
        <v>The user is capable of changing forms through an Attack, Ability or other effect. Keep a different Character Sheet for each of the user’s forms. All Forms must have the same total HP Stat Value and if anything (such as an Ability) alters the user’s base stats, all forms are affected in the same way.</v>
      </c>
      <c r="C66" s="237" t="str">
        <f>IFERROR(__xludf.DUMMYFUNCTION("""COMPUTED_VALUE"""),"Fainted")</f>
        <v>Fainted</v>
      </c>
      <c r="D66" s="237" t="str">
        <f>IFERROR(__xludf.DUMMYFUNCTION("""COMPUTED_VALUE"""),"A Combatant that is at 0 Hit Points or lower is Fainted, or “Knocked Out”. Any Static Effects are also disabled while Fainted. The Fainted Condition can only be cured by being ‘Revived and then brought above 0 Hit Points’. When a Combatant faints, they ar"&amp;"e cured of all other Afflictions and Conditions, excluding Fainted, and their Combat Stages are reset to their Default Values. The only action you can take while Fainted on your Turn is to recall or swap Fainted Pokemon you own, or swap yourself out if yo"&amp;"u’re a Pokemon. No other Actions, Abilities or Features may be taken or Triggered while Fainted unless otherwise specified.")</f>
        <v>A Combatant that is at 0 Hit Points or lower is Fainted, or “Knocked Out”. Any Static Effects are also disabled while Fainted. The Fainted Condition can only be cured by being ‘Revived and then brought above 0 Hit Points’. When a Combatant faints, they are cured of all other Afflictions and Conditions, excluding Fainted, and their Combat Stages are reset to their Default Values. The only action you can take while Fainted on your Turn is to recall or swap Fainted Pokemon you own, or swap yourself out if you’re a Pokemon. No other Actions, Abilities or Features may be taken or Triggered while Fainted unless otherwise specified.</v>
      </c>
      <c r="E66" s="238" t="str">
        <f>IFERROR(__xludf.DUMMYFUNCTION("""COMPUTED_VALUE"""),"Reckless")</f>
        <v>Reckless</v>
      </c>
      <c r="F66" s="238" t="str">
        <f>IFERROR(__xludf.DUMMYFUNCTION("""COMPUTED_VALUE"""),"Reckless Attacks usually have some sort of negative penalty in their Effect applied to the user and may be referred to by other Abilities or Features.")</f>
        <v>Reckless Attacks usually have some sort of negative penalty in their Effect applied to the user and may be referred to by other Abilities or Features.</v>
      </c>
      <c r="G66" s="239" t="str">
        <f>IFERROR(__xludf.DUMMYFUNCTION("""COMPUTED_VALUE"""),"Oppressive Force")</f>
        <v>Oppressive Force</v>
      </c>
      <c r="H66" s="239" t="str">
        <f>IFERROR(__xludf.DUMMYFUNCTION("""COMPUTED_VALUE"""),"Some kind of energy or force is present on the battlefield and negatively affects the Players and their Party. On a failed Focus Check, they suffer the negative effects. Examples could include a psychic energy that makes them vulnerable to Special Attacks"&amp;", a Magnetic Field that paralyzes them or oppressive energy that drains CS from those who are exposed without masks. This check may be repeated at the end of each Round if it is still present, however the DC is lowered by 3 for each subsequent time it is "&amp;"needed to be rolled.")</f>
        <v>Some kind of energy or force is present on the battlefield and negatively affects the Players and their Party. On a failed Focus Check, they suffer the negative effects. Examples could include a psychic energy that makes them vulnerable to Special Attacks, a Magnetic Field that paralyzes them or oppressive energy that drains CS from those who are exposed without masks. This check may be repeated at the end of each Round if it is still present, however the DC is lowered by 3 for each subsequent time it is needed to be rolled.</v>
      </c>
      <c r="I66" s="235"/>
      <c r="J66" s="235"/>
      <c r="K66" s="235"/>
      <c r="L66" s="235"/>
      <c r="M66" s="235"/>
      <c r="N66" s="235"/>
      <c r="O66" s="235"/>
      <c r="P66" s="235"/>
      <c r="Q66" s="235"/>
      <c r="R66" s="235"/>
      <c r="S66" s="235"/>
      <c r="T66" s="235"/>
      <c r="U66" s="235"/>
      <c r="V66" s="235"/>
      <c r="W66" s="235"/>
      <c r="X66" s="235"/>
      <c r="Y66" s="235"/>
      <c r="Z66" s="235"/>
    </row>
    <row r="67">
      <c r="A67" s="236" t="str">
        <f>IFERROR(__xludf.DUMMYFUNCTION("""COMPUTED_VALUE"""),"Groundshaper")</f>
        <v>Groundshaper</v>
      </c>
      <c r="B67" s="236" t="str">
        <f>IFERROR(__xludf.DUMMYFUNCTION("""COMPUTED_VALUE"""),"As a Swift Action, the user can transform the terrain around them in order to create Slow Terrain, Rough Terrain, or Basic Terrain. When this Capability is used, they may select any number of spaces within 2m of the user to become affected. Spaces can hav"&amp;"e different types of alterations applied to them during one instance, such as 3 Spaces becoming Basic Terrain and 4 becoming Rough Terrain. At the cost of 1 SP, the user may also select any number of spaces within a Zone of 10, Ranged Blast 3. At the cost"&amp;" of 2 SP, the user may also create Blocking Terrain that is [Breakable - Fragile]")</f>
        <v>As a Swift Action, the user can transform the terrain around them in order to create Slow Terrain, Rough Terrain, or Basic Terrain. When this Capability is used, they may select any number of spaces within 2m of the user to become affected. Spaces can have different types of alterations applied to them during one instance, such as 3 Spaces becoming Basic Terrain and 4 becoming Rough Terrain. At the cost of 1 SP, the user may also select any number of spaces within a Zone of 10, Ranged Blast 3. At the cost of 2 SP, the user may also create Blocking Terrain that is [Breakable - Fragile]</v>
      </c>
      <c r="C67" s="237" t="str">
        <f>IFERROR(__xludf.DUMMYFUNCTION("""COMPUTED_VALUE"""),"Blinded")</f>
        <v>Blinded</v>
      </c>
      <c r="D67" s="237" t="str">
        <f>IFERROR(__xludf.DUMMYFUNCTION("""COMPUTED_VALUE"""),"While Blinded, the affected Combatant has a -6 Penalty to Accuracy Rolls and is Vulnerable. When making a Movement Action to move, they must either move with half of their Movement Value or make a CR 3 Acrobatics Check. If Failed, they become Tripped. Com"&amp;"batants with the Blindsense Capability cannot become Blinded. ")</f>
        <v>While Blinded, the affected Combatant has a -6 Penalty to Accuracy Rolls and is Vulnerable. When making a Movement Action to move, they must either move with half of their Movement Value or make a CR 3 Acrobatics Check. If Failed, they become Tripped. Combatants with the Blindsense Capability cannot become Blinded. </v>
      </c>
      <c r="E67" s="238" t="str">
        <f>IFERROR(__xludf.DUMMYFUNCTION("""COMPUTED_VALUE"""),"Recoil")</f>
        <v>Recoil</v>
      </c>
      <c r="F67" s="238" t="str">
        <f>IFERROR(__xludf.DUMMYFUNCTION("""COMPUTED_VALUE"""),"When this Attack hits, determine the Target that took the most Damage from this Attack. The user then loses hit points equal to the Damage taken multiplied by the Fraction listed next to the Recoil Keyword.")</f>
        <v>When this Attack hits, determine the Target that took the most Damage from this Attack. The user then loses hit points equal to the Damage taken multiplied by the Fraction listed next to the Recoil Keyword.</v>
      </c>
      <c r="G67" s="239" t="str">
        <f>IFERROR(__xludf.DUMMYFUNCTION("""COMPUTED_VALUE"""),"Mystical Force")</f>
        <v>Mystical Force</v>
      </c>
      <c r="H67" s="239" t="str">
        <f>IFERROR(__xludf.DUMMYFUNCTION("""COMPUTED_VALUE"""),"Some kind of beneficial energy is present on the battlefield, positively affecting either the native Pokemon or all combatants. Examples could include a blessed field that cures all Status Afflictions, an Aura that increases Damage by +3 DB, or the energy"&amp;" of a crowd that increases all Rolls by +2.")</f>
        <v>Some kind of beneficial energy is present on the battlefield, positively affecting either the native Pokemon or all combatants. Examples could include a blessed field that cures all Status Afflictions, an Aura that increases Damage by +3 DB, or the energy of a crowd that increases all Rolls by +2.</v>
      </c>
      <c r="I67" s="235"/>
      <c r="J67" s="235"/>
      <c r="K67" s="235"/>
      <c r="L67" s="235"/>
      <c r="M67" s="235"/>
      <c r="N67" s="235"/>
      <c r="O67" s="235"/>
      <c r="P67" s="235"/>
      <c r="Q67" s="235"/>
      <c r="R67" s="235"/>
      <c r="S67" s="235"/>
      <c r="T67" s="235"/>
      <c r="U67" s="235"/>
      <c r="V67" s="235"/>
      <c r="W67" s="235"/>
      <c r="X67" s="235"/>
      <c r="Y67" s="235"/>
      <c r="Z67" s="235"/>
    </row>
    <row r="68">
      <c r="A68" s="236" t="str">
        <f>IFERROR(__xludf.DUMMYFUNCTION("""COMPUTED_VALUE"""),"Invisibility")</f>
        <v>Invisibility</v>
      </c>
      <c r="B68" s="236" t="str">
        <f>IFERROR(__xludf.DUMMYFUNCTION("""COMPUTED_VALUE"""),"The user may turn invisible as a Swift + Movement Action. They cannot perform Actions while Invisible other than becoming Visible once more as a Free Action or using Actions to move. While Invisible, Enemies have a -4 penalty on Accuracy Rolls against the"&amp;"m and a Bane to Perception Checks against them. Enemies ignore the Provoked Condition if they’re Provoked by you and you’re currently Invisible. If anything would break their concentration while Invisible, they will need to pass a Focus Check or pay 1 SP "&amp;"or else they become Visible. ")</f>
        <v>The user may turn invisible as a Swift + Movement Action. They cannot perform Actions while Invisible other than becoming Visible once more as a Free Action or using Actions to move. While Invisible, Enemies have a -4 penalty on Accuracy Rolls against them and a Bane to Perception Checks against them. Enemies ignore the Provoked Condition if they’re Provoked by you and you’re currently Invisible. If anything would break their concentration while Invisible, they will need to pass a Focus Check or pay 1 SP or else they become Visible. </v>
      </c>
      <c r="C68" s="237" t="str">
        <f>IFERROR(__xludf.DUMMYFUNCTION("""COMPUTED_VALUE"""),"Marked")</f>
        <v>Marked</v>
      </c>
      <c r="D68" s="237" t="str">
        <f>IFERROR(__xludf.DUMMYFUNCTION("""COMPUTED_VALUE"""),"An effect that applies the Marked Condition on a Target will specify that Mark’s effects. A Combatant can never apply a Mark from the same effect to more than one Combatant at a time unless specified to have multiple Targets. If they apply a Mark to a new"&amp;" target, the old one is removed, unless specified to have multiple Targets. A Combatant can never have more than one of the same type of Mark. If a Marked Combatant is recalled or the applying Combatant Faints, they lose all instances of the Marked Condit"&amp;"ion.")</f>
        <v>An effect that applies the Marked Condition on a Target will specify that Mark’s effects. A Combatant can never apply a Mark from the same effect to more than one Combatant at a time unless specified to have multiple Targets. If they apply a Mark to a new target, the old one is removed, unless specified to have multiple Targets. A Combatant can never have more than one of the same type of Mark. If a Marked Combatant is recalled or the applying Combatant Faints, they lose all instances of the Marked Condition.</v>
      </c>
      <c r="E68" s="238" t="str">
        <f>IFERROR(__xludf.DUMMYFUNCTION("""COMPUTED_VALUE"""),"Resistant")</f>
        <v>Resistant</v>
      </c>
      <c r="F68" s="238" t="str">
        <f>IFERROR(__xludf.DUMMYFUNCTION("""COMPUTED_VALUE"""),"Once an Enemy is affected by a Maneuver with the Resistant keyword, whenever they’re Targeted by the same maneuver again, they have a +5 Bonus to any Opposed Checks or Save Checks involved with that Maneuver. This Bonus stacks for each time they’re affect"&amp;"ed by that Maneuver this Scene.")</f>
        <v>Once an Enemy is affected by a Maneuver with the Resistant keyword, whenever they’re Targeted by the same maneuver again, they have a +5 Bonus to any Opposed Checks or Save Checks involved with that Maneuver. This Bonus stacks for each time they’re affected by that Maneuver this Scene.</v>
      </c>
      <c r="G68" s="239"/>
      <c r="H68" s="239"/>
      <c r="I68" s="235"/>
      <c r="J68" s="235"/>
      <c r="K68" s="235"/>
      <c r="L68" s="235"/>
      <c r="M68" s="235"/>
      <c r="N68" s="235"/>
      <c r="O68" s="235"/>
      <c r="P68" s="235"/>
      <c r="Q68" s="235"/>
      <c r="R68" s="235"/>
      <c r="S68" s="235"/>
      <c r="T68" s="235"/>
      <c r="U68" s="235"/>
      <c r="V68" s="235"/>
      <c r="W68" s="235"/>
      <c r="X68" s="235"/>
      <c r="Y68" s="235"/>
      <c r="Z68" s="235"/>
    </row>
    <row r="69">
      <c r="A69" s="236" t="str">
        <f>IFERROR(__xludf.DUMMYFUNCTION("""COMPUTED_VALUE"""),"Living Weapon")</f>
        <v>Living Weapon</v>
      </c>
      <c r="B69" s="236" t="str">
        <f>IFERROR(__xludf.DUMMYFUNCTION("""COMPUTED_VALUE"""),"The user can possess a Weapon owned by its Trainer as an Extended Action. While possessing a Weapon, it takes the form of that Weapon. If a possessed Weapon is equipped by a Trainer, the Pokemon is not considered part of the Party and cannot be used. The "&amp;"Weapon is also treated as normal, but their Damaging Weapon Attacks are Ghost Type instead of Normal.")</f>
        <v>The user can possess a Weapon owned by its Trainer as an Extended Action. While possessing a Weapon, it takes the form of that Weapon. If a possessed Weapon is equipped by a Trainer, the Pokemon is not considered part of the Party and cannot be used. The Weapon is also treated as normal, but their Damaging Weapon Attacks are Ghost Type instead of Normal.</v>
      </c>
      <c r="C69" s="237" t="str">
        <f>IFERROR(__xludf.DUMMYFUNCTION("""COMPUTED_VALUE"""),"Provoked")</f>
        <v>Provoked</v>
      </c>
      <c r="D69" s="237" t="str">
        <f>IFERROR(__xludf.DUMMYFUNCTION("""COMPUTED_VALUE"""),"While a Combatant is Provoked, any Attacks they make that do not include the Provoking Combatant have a penalty of -6 to their Accuracy Roll. While Provoked, a Combatant may not have a total accuracy modifier higher than 0 against Combatants that are not "&amp;"the Provoking Combatant. This Condition is cured if the Provoking Combatant Faints, its associated Status Affliction no longer would grant it, or the Combatant is Provoked by another source. If a Provoking Combatant can no longer be Targeted, the Provoked"&amp;" Combatant ignores the penalties of this Condition until they are Provoked by a different Combatant or the Provoking Combatant becomes Targetable again.")</f>
        <v>While a Combatant is Provoked, any Attacks they make that do not include the Provoking Combatant have a penalty of -6 to their Accuracy Roll. While Provoked, a Combatant may not have a total accuracy modifier higher than 0 against Combatants that are not the Provoking Combatant. This Condition is cured if the Provoking Combatant Faints, its associated Status Affliction no longer would grant it, or the Combatant is Provoked by another source. If a Provoking Combatant can no longer be Targeted, the Provoked Combatant ignores the penalties of this Condition until they are Provoked by a different Combatant or the Provoking Combatant becomes Targetable again.</v>
      </c>
      <c r="E69" s="238" t="str">
        <f>IFERROR(__xludf.DUMMYFUNCTION("""COMPUTED_VALUE"""),"Set-Up")</f>
        <v>Set-Up</v>
      </c>
      <c r="F69" s="238" t="str">
        <f>IFERROR(__xludf.DUMMYFUNCTION("""COMPUTED_VALUE"""),"Set-Up Attacks cannot be used without Charge Tokens gained from their corresponding Charge Effect, and they expend all their Charge Tokens on use. You may use a Swift Action to Charge a Set-Up Attack you know, resolving its Charge Effect and gaining a Cha"&amp;"rge Token for it. If you had Charge Token(s) from a different Set-Up Attack, they are lost without further effect. You cannot Charge and Resolve a Set-Up Attack in the same round. Charging does not count as using an Attack, nor does it expend its frequenc"&amp;"y; however, you cannot Charge an Attack if you could not use it otherwise (i.e. it has no remaining Frequency, it’s Disabled, etc.).")</f>
        <v>Set-Up Attacks cannot be used without Charge Tokens gained from their corresponding Charge Effect, and they expend all their Charge Tokens on use. You may use a Swift Action to Charge a Set-Up Attack you know, resolving its Charge Effect and gaining a Charge Token for it. If you had Charge Token(s) from a different Set-Up Attack, they are lost without further effect. You cannot Charge and Resolve a Set-Up Attack in the same round. Charging does not count as using an Attack, nor does it expend its frequency; however, you cannot Charge an Attack if you could not use it otherwise (i.e. it has no remaining Frequency, it’s Disabled, etc.).</v>
      </c>
      <c r="G69" s="239"/>
      <c r="H69" s="239"/>
      <c r="I69" s="235"/>
      <c r="J69" s="235"/>
      <c r="K69" s="235"/>
      <c r="L69" s="235"/>
      <c r="M69" s="235"/>
      <c r="N69" s="235"/>
      <c r="O69" s="235"/>
      <c r="P69" s="235"/>
      <c r="Q69" s="235"/>
      <c r="R69" s="235"/>
      <c r="S69" s="235"/>
      <c r="T69" s="235"/>
      <c r="U69" s="235"/>
      <c r="V69" s="235"/>
      <c r="W69" s="235"/>
      <c r="X69" s="235"/>
      <c r="Y69" s="235"/>
      <c r="Z69" s="235"/>
    </row>
    <row r="70">
      <c r="A70" s="236" t="str">
        <f>IFERROR(__xludf.DUMMYFUNCTION("""COMPUTED_VALUE"""),"Mountable")</f>
        <v>Mountable</v>
      </c>
      <c r="B70" s="236" t="str">
        <f>IFERROR(__xludf.DUMMYFUNCTION("""COMPUTED_VALUE"""),"Any Creature is able to mount or unmount this Willing Active Pokemon as a Swift Action while Adjacent to the User. While a Creature is Mounted, whenever they perform a Movement Action, they are treated as having the mounted Pokemon’s Movement Value and Mo"&amp;"vement Capabilities. Whenever either the User or the Mounted Creature would perform a Movement Action, both Combatants move. Lastly, both Combatants are treated as Occupying the same Space. If either the Mounted Creature or the Mounted Pokemon would be Sl"&amp;"id, both Combatants move the required distance. If the Mounting Creature or Mounted Pokemon would trigger an Attack of Opportunity via movement, the attacking Enemy may choose either Combatant to Attack, but not both.  ")</f>
        <v>Any Creature is able to mount or unmount this Willing Active Pokemon as a Swift Action while Adjacent to the User. While a Creature is Mounted, whenever they perform a Movement Action, they are treated as having the mounted Pokemon’s Movement Value and Movement Capabilities. Whenever either the User or the Mounted Creature would perform a Movement Action, both Combatants move. Lastly, both Combatants are treated as Occupying the same Space. If either the Mounted Creature or the Mounted Pokemon would be Slid, both Combatants move the required distance. If the Mounting Creature or Mounted Pokemon would trigger an Attack of Opportunity via movement, the attacking Enemy may choose either Combatant to Attack, but not both.  </v>
      </c>
      <c r="C70" s="237" t="str">
        <f>IFERROR(__xludf.DUMMYFUNCTION("""COMPUTED_VALUE"""),"Trapped")</f>
        <v>Trapped</v>
      </c>
      <c r="D70" s="237" t="str">
        <f>IFERROR(__xludf.DUMMYFUNCTION("""COMPUTED_VALUE"""),"While Trapped, the affected Combatant cannot exceed more than 3m away from the Combatant who Trapped them unless the inflictor moves out of this range. If the Afflicted Combatant is a Pokemon, they also cannot be recalled. This Condition is cured if the C"&amp;"ombatant that inflicted it Faints, its source is removed, the Inflictor moves out of this Range, or the user Faints. ")</f>
        <v>While Trapped, the affected Combatant cannot exceed more than 3m away from the Combatant who Trapped them unless the inflictor moves out of this range. If the Afflicted Combatant is a Pokemon, they also cannot be recalled. This Condition is cured if the Combatant that inflicted it Faints, its source is removed, the Inflictor moves out of this Range, or the user Faints. </v>
      </c>
      <c r="E70" s="238" t="str">
        <f>IFERROR(__xludf.DUMMYFUNCTION("""COMPUTED_VALUE"""),"Shield")</f>
        <v>Shield</v>
      </c>
      <c r="F70" s="238" t="str">
        <f>IFERROR(__xludf.DUMMYFUNCTION("""COMPUTED_VALUE"""),"This Keyword is attached to some Interrupt Attacks when the Attack would prevent another Attack from hitting. Any Effects that activate off of being hit, beyond the Shield’s Trigger, do not occur. In order to use a Shield Attack it must be the first thing"&amp;" Triggered (Ex: You cannot use Flame Body, then Protect)")</f>
        <v>This Keyword is attached to some Interrupt Attacks when the Attack would prevent another Attack from hitting. Any Effects that activate off of being hit, beyond the Shield’s Trigger, do not occur. In order to use a Shield Attack it must be the first thing Triggered (Ex: You cannot use Flame Body, then Protect)</v>
      </c>
      <c r="G70" s="239"/>
      <c r="H70" s="239"/>
      <c r="I70" s="235"/>
      <c r="J70" s="235"/>
      <c r="K70" s="235"/>
      <c r="L70" s="235"/>
      <c r="M70" s="235"/>
      <c r="N70" s="235"/>
      <c r="O70" s="235"/>
      <c r="P70" s="235"/>
      <c r="Q70" s="235"/>
      <c r="R70" s="235"/>
      <c r="S70" s="235"/>
      <c r="T70" s="235"/>
      <c r="U70" s="235"/>
      <c r="V70" s="235"/>
      <c r="W70" s="235"/>
      <c r="X70" s="235"/>
      <c r="Y70" s="235"/>
      <c r="Z70" s="235"/>
    </row>
    <row r="71">
      <c r="A71" s="236" t="str">
        <f>IFERROR(__xludf.DUMMYFUNCTION("""COMPUTED_VALUE"""),"Naturewalk (X)")</f>
        <v>Naturewalk (X)</v>
      </c>
      <c r="B71" s="236" t="str">
        <f>IFERROR(__xludf.DUMMYFUNCTION("""COMPUTED_VALUE"""),"Naturewalk is always listed with Terrain  types in parentheses, such as Naturewalk (Forest and Grasslands). users ignore the penalties of Slowed and Rough Terrain within their listed Terrain.The possible Terrains by default include: Grasslandss, Forest, W"&amp;"etlands, Tundra, Mountain, Cave, Desert, Ocean, Urban, Space")</f>
        <v>Naturewalk is always listed with Terrain  types in parentheses, such as Naturewalk (Forest and Grasslands). users ignore the penalties of Slowed and Rough Terrain within their listed Terrain.The possible Terrains by default include: Grasslandss, Forest, Wetlands, Tundra, Mountain, Cave, Desert, Ocean, Urban, Space</v>
      </c>
      <c r="C71" s="237" t="str">
        <f>IFERROR(__xludf.DUMMYFUNCTION("""COMPUTED_VALUE"""),"Tripped")</f>
        <v>Tripped</v>
      </c>
      <c r="D71" s="237" t="str">
        <f>IFERROR(__xludf.DUMMYFUNCTION("""COMPUTED_VALUE"""),"While Tripped, the affected Combatant cannot perform Movement Actions except to cure this Condition and all Accuracy Checks suffer -6 to Accuracy Rolls. While Tripped, the affected Combatant is Vulnerable. This Condition can only be cured when the affecte"&amp;"d Combatant uses a Movement Action to stand up. If the Combatant is in Slow or Rough Terrain, they also need to use a Swift Action to stand up.")</f>
        <v>While Tripped, the affected Combatant cannot perform Movement Actions except to cure this Condition and all Accuracy Checks suffer -6 to Accuracy Rolls. While Tripped, the affected Combatant is Vulnerable. This Condition can only be cured when the affected Combatant uses a Movement Action to stand up. If the Combatant is in Slow or Rough Terrain, they also need to use a Swift Action to stand up.</v>
      </c>
      <c r="E71" s="238" t="str">
        <f>IFERROR(__xludf.DUMMYFUNCTION("""COMPUTED_VALUE"""),"Social")</f>
        <v>Social</v>
      </c>
      <c r="F71" s="238" t="str">
        <f>IFERROR(__xludf.DUMMYFUNCTION("""COMPUTED_VALUE"""),"Social Attacks are socially manipulative based and may be referred to by other Abilities or Features. These Attacks cannot be Intercepted. ")</f>
        <v>Social Attacks are socially manipulative based and may be referred to by other Abilities or Features. These Attacks cannot be Intercepted. </v>
      </c>
      <c r="G71" s="239"/>
      <c r="H71" s="239"/>
      <c r="I71" s="235"/>
      <c r="J71" s="235"/>
      <c r="K71" s="235"/>
      <c r="L71" s="235"/>
      <c r="M71" s="235"/>
      <c r="N71" s="235"/>
      <c r="O71" s="235"/>
      <c r="P71" s="235"/>
      <c r="Q71" s="235"/>
      <c r="R71" s="235"/>
      <c r="S71" s="235"/>
      <c r="T71" s="235"/>
      <c r="U71" s="235"/>
      <c r="V71" s="235"/>
      <c r="W71" s="235"/>
      <c r="X71" s="235"/>
      <c r="Y71" s="235"/>
      <c r="Z71" s="235"/>
    </row>
    <row r="72">
      <c r="A72" s="236" t="str">
        <f>IFERROR(__xludf.DUMMYFUNCTION("""COMPUTED_VALUE"""),"Reach")</f>
        <v>Reach</v>
      </c>
      <c r="B72" s="236" t="str">
        <f>IFERROR(__xludf.DUMMYFUNCTION("""COMPUTED_VALUE"""),"A user has the Range of their Melee Attacks and Maneuvers (Excluding Attack of Opportunity) increased based on their size category; Small and Medium Pokémon may make Melee attacks from up to 2 meters away, and Large and bigger Pokémon may make Melee attac"&amp;"ks from up to 3 meters away.")</f>
        <v>A user has the Range of their Melee Attacks and Maneuvers (Excluding Attack of Opportunity) increased based on their size category; Small and Medium Pokémon may make Melee attacks from up to 2 meters away, and Large and bigger Pokémon may make Melee attacks from up to 3 meters away.</v>
      </c>
      <c r="C72" s="237" t="str">
        <f>IFERROR(__xludf.DUMMYFUNCTION("""COMPUTED_VALUE"""),"Vulnerable")</f>
        <v>Vulnerable</v>
      </c>
      <c r="D72" s="237" t="str">
        <f>IFERROR(__xludf.DUMMYFUNCTION("""COMPUTED_VALUE"""),"While Vulnerable, the affected Combatant cannot apply Evasion against Attacks. This Condition is cured after its listed Duration expires or if its associated Status Affliction no longer would grant it. Combatants with a Boss Template are automatically cur"&amp;"ed of the Vulnerable Condition at the end of their last Turn in a Round.")</f>
        <v>While Vulnerable, the affected Combatant cannot apply Evasion against Attacks. This Condition is cured after its listed Duration expires or if its associated Status Affliction no longer would grant it. Combatants with a Boss Template are automatically cured of the Vulnerable Condition at the end of their last Turn in a Round.</v>
      </c>
      <c r="E72" s="238" t="str">
        <f>IFERROR(__xludf.DUMMYFUNCTION("""COMPUTED_VALUE"""),"Sonic")</f>
        <v>Sonic</v>
      </c>
      <c r="F72" s="238" t="str">
        <f>IFERROR(__xludf.DUMMYFUNCTION("""COMPUTED_VALUE"""),"Sonic Attacks are sound based and may be referred to by other Abilities or Features.")</f>
        <v>Sonic Attacks are sound based and may be referred to by other Abilities or Features.</v>
      </c>
      <c r="G72" s="239"/>
      <c r="H72" s="239"/>
      <c r="I72" s="235"/>
      <c r="J72" s="235"/>
      <c r="K72" s="235"/>
      <c r="L72" s="235"/>
      <c r="M72" s="235"/>
      <c r="N72" s="235"/>
      <c r="O72" s="235"/>
      <c r="P72" s="235"/>
      <c r="Q72" s="235"/>
      <c r="R72" s="235"/>
      <c r="S72" s="235"/>
      <c r="T72" s="235"/>
      <c r="U72" s="235"/>
      <c r="V72" s="235"/>
      <c r="W72" s="235"/>
      <c r="X72" s="235"/>
      <c r="Y72" s="235"/>
      <c r="Z72" s="235"/>
    </row>
    <row r="73">
      <c r="A73" s="236" t="str">
        <f>IFERROR(__xludf.DUMMYFUNCTION("""COMPUTED_VALUE"""),"Shadow Meld")</f>
        <v>Shadow Meld</v>
      </c>
      <c r="B73" s="236" t="str">
        <f>IFERROR(__xludf.DUMMYFUNCTION("""COMPUTED_VALUE"""),"As a Standard Action or Extended Action, the user can merge with a Shadow casted by an Object or Creature and become Untargetable. If the Object or Creature faints or is destroyed, the user no longer becomes Untargetable. While Untargetable, they cannot p"&amp;"erform Actions other than losing the Untargetable Condition. While Untargetable, they follow the Object whose Shadow they’ve merged with and are always considered Adjacent to them. They also cannot be noticed except with a Severe CR (4) Perception or Intu"&amp;"ition Check. The user may re-emerge  from the Shadow as a Movement Action, losing the Untargetable Condition and appearing in a Space that is Adjacent to the Object whose Shadow they merged with. If you’re outside of Combat, you may spend up to 10 minutes"&amp;" in a shadow, but need to spend 1 SP for every additional hour spent in the shadow. ")</f>
        <v>As a Standard Action or Extended Action, the user can merge with a Shadow casted by an Object or Creature and become Untargetable. If the Object or Creature faints or is destroyed, the user no longer becomes Untargetable. While Untargetable, they cannot perform Actions other than losing the Untargetable Condition. While Untargetable, they follow the Object whose Shadow they’ve merged with and are always considered Adjacent to them. They also cannot be noticed except with a Severe CR (4) Perception or Intuition Check. The user may re-emerge  from the Shadow as a Movement Action, losing the Untargetable Condition and appearing in a Space that is Adjacent to the Object whose Shadow they merged with. If you’re outside of Combat, you may spend up to 10 minutes in a shadow, but need to spend 1 SP for every additional hour spent in the shadow. </v>
      </c>
      <c r="C73" s="237" t="str">
        <f>IFERROR(__xludf.DUMMYFUNCTION("""COMPUTED_VALUE"""),"Weakened")</f>
        <v>Weakened</v>
      </c>
      <c r="D73" s="237" t="str">
        <f>IFERROR(__xludf.DUMMYFUNCTION("""COMPUTED_VALUE"""),"While Weakened, the affected Combatant has their Damaging Attacks resisted by an additional step and they resist all Attacks one less step (Max Neutral Effectiveness). This Condition is cured after its listed Duration expires or its associated Status Affl"&amp;"iction no longer would grant it. Combatants with a Boss Template are automatically cured of the Weakened Condition at the end of their last Turn in a Round.")</f>
        <v>While Weakened, the affected Combatant has their Damaging Attacks resisted by an additional step and they resist all Attacks one less step (Max Neutral Effectiveness). This Condition is cured after its listed Duration expires or its associated Status Affliction no longer would grant it. Combatants with a Boss Template are automatically cured of the Weakened Condition at the end of their last Turn in a Round.</v>
      </c>
      <c r="E73" s="238" t="str">
        <f>IFERROR(__xludf.DUMMYFUNCTION("""COMPUTED_VALUE"""),"Throwable")</f>
        <v>Throwable</v>
      </c>
      <c r="F73" s="238" t="str">
        <f>IFERROR(__xludf.DUMMYFUNCTION("""COMPUTED_VALUE"""),"Items with the Throwable keyword are eligible to be used with the Throw Maneuver")</f>
        <v>Items with the Throwable keyword are eligible to be used with the Throw Maneuver</v>
      </c>
      <c r="G73" s="239"/>
      <c r="H73" s="239"/>
      <c r="I73" s="235"/>
      <c r="J73" s="235"/>
      <c r="K73" s="235"/>
      <c r="L73" s="235"/>
      <c r="M73" s="235"/>
      <c r="N73" s="235"/>
      <c r="O73" s="235"/>
      <c r="P73" s="235"/>
      <c r="Q73" s="235"/>
      <c r="R73" s="235"/>
      <c r="S73" s="235"/>
      <c r="T73" s="235"/>
      <c r="U73" s="235"/>
      <c r="V73" s="235"/>
      <c r="W73" s="235"/>
      <c r="X73" s="235"/>
      <c r="Y73" s="235"/>
      <c r="Z73" s="235"/>
    </row>
    <row r="74">
      <c r="A74" s="236" t="str">
        <f>IFERROR(__xludf.DUMMYFUNCTION("""COMPUTED_VALUE"""),"Telekinetic")</f>
        <v>Telekinetic</v>
      </c>
      <c r="B74" s="236" t="str">
        <f>IFERROR(__xludf.DUMMYFUNCTION("""COMPUTED_VALUE"""),"he user can lift objects within 10m using their Mind and utilizing the Focus Skill instead of Athletics to determine their Power Rank. When lifting objects this way, the user may expend 1 SP to gain +2 Power for an Hour. If the user performs any of the fo"&amp;"llowing Maneuvers, its Range changes to 6, 1 Target and Focus must be used for the user’s Opposed Checks instead of listed Skills: Disarm, Hinder, Push, Trip.")</f>
        <v>he user can lift objects within 10m using their Mind and utilizing the Focus Skill instead of Athletics to determine their Power Rank. When lifting objects this way, the user may expend 1 SP to gain +2 Power for an Hour. If the user performs any of the following Maneuvers, its Range changes to 6, 1 Target and Focus must be used for the user’s Opposed Checks instead of listed Skills: Disarm, Hinder, Push, Trip.</v>
      </c>
      <c r="C74" s="237" t="str">
        <f>IFERROR(__xludf.DUMMYFUNCTION("""COMPUTED_VALUE"""),"Untargetable")</f>
        <v>Untargetable</v>
      </c>
      <c r="D74" s="237" t="str">
        <f>IFERROR(__xludf.DUMMYFUNCTION("""COMPUTED_VALUE"""),"The user cannot be targeted by any Effect (Attacks, Abilities, etc.). You cannot use or benefit from any Effect that would make you Untargetable if you were Untargetable during the previous Round.")</f>
        <v>The user cannot be targeted by any Effect (Attacks, Abilities, etc.). You cannot use or benefit from any Effect that would make you Untargetable if you were Untargetable during the previous Round.</v>
      </c>
      <c r="E74" s="238" t="str">
        <f>IFERROR(__xludf.DUMMYFUNCTION("""COMPUTED_VALUE"""),"Versatile")</f>
        <v>Versatile</v>
      </c>
      <c r="F74" s="238" t="str">
        <f>IFERROR(__xludf.DUMMYFUNCTION("""COMPUTED_VALUE"""),"Attacks with the Versatile Keyword may also be used as a Swift Action if the user has not performed a Damaging Attack this Round (Excluding Attacks of Opportunity). When a Versatile Attack is used this way, Damaging Attacks (Excluding Attacks of Opportuni"&amp;"ty) cannot be used by the user for the remainder of the Round. When using an Attack as a Swift Action through the Versatile Keyword, refer to the text next to “Versatile” for its new Effects or to see how the Attack is altered. An Attack with the Versatil"&amp;"e Keyword cannot be used twice in the same Round")</f>
        <v>Attacks with the Versatile Keyword may also be used as a Swift Action if the user has not performed a Damaging Attack this Round (Excluding Attacks of Opportunity). When a Versatile Attack is used this way, Damaging Attacks (Excluding Attacks of Opportunity) cannot be used by the user for the remainder of the Round. When using an Attack as a Swift Action through the Versatile Keyword, refer to the text next to “Versatile” for its new Effects or to see how the Attack is altered. An Attack with the Versatile Keyword cannot be used twice in the same Round</v>
      </c>
      <c r="G74" s="239"/>
      <c r="H74" s="239"/>
      <c r="I74" s="235"/>
      <c r="J74" s="235"/>
      <c r="K74" s="235"/>
      <c r="L74" s="235"/>
      <c r="M74" s="235"/>
      <c r="N74" s="235"/>
      <c r="O74" s="235"/>
      <c r="P74" s="235"/>
      <c r="Q74" s="235"/>
      <c r="R74" s="235"/>
      <c r="S74" s="235"/>
      <c r="T74" s="235"/>
      <c r="U74" s="235"/>
      <c r="V74" s="235"/>
      <c r="W74" s="235"/>
      <c r="X74" s="235"/>
      <c r="Y74" s="235"/>
      <c r="Z74" s="235"/>
    </row>
    <row r="75">
      <c r="A75" s="236" t="str">
        <f>IFERROR(__xludf.DUMMYFUNCTION("""COMPUTED_VALUE"""),"Threaded")</f>
        <v>Threaded</v>
      </c>
      <c r="B75" s="236" t="str">
        <f>IFERROR(__xludf.DUMMYFUNCTION("""COMPUTED_VALUE"""),"The user can form String-Like Threads or Vines which function as appendages. The Power Rank of these appendages have strength equal to the number of dice they roll for Focus plus half of their Power Rank. The user may perform Tactic  Maneuvers (Excluding "&amp;"Throw or Attack of Opportunity) as if their range was 5, 1 Target and when performing the Push Maneuver this way, they instead slide the Target towards the user.")</f>
        <v>The user can form String-Like Threads or Vines which function as appendages. The Power Rank of these appendages have strength equal to the number of dice they roll for Focus plus half of their Power Rank. The user may perform Tactic  Maneuvers (Excluding Throw or Attack of Opportunity) as if their range was 5, 1 Target and when performing the Push Maneuver this way, they instead slide the Target towards the user.</v>
      </c>
      <c r="C75" s="237"/>
      <c r="D75" s="237"/>
      <c r="E75" s="238" t="str">
        <f>IFERROR(__xludf.DUMMYFUNCTION("""COMPUTED_VALUE"""),"Weather")</f>
        <v>Weather</v>
      </c>
      <c r="F75" s="238" t="str">
        <f>IFERROR(__xludf.DUMMYFUNCTION("""COMPUTED_VALUE"""),"Attacks with the Weather Keyword create Weather on the Field while they’re affecting the Field. If a Blessing or Field Effect were to be removed, the Weather that was created from it is also removed. The Field can have up to two Weathers affecting it at a"&amp;" time, then any further Weather introduced overwrites the least recent Weather added to the Field. Weather itself doesn’t do anything but other Attacks, Features or Abilities may reference a Weather condition and have a bonus effect. There are 8 Types of "&amp;"Weather. Windy, Foggy, Mystical, Sunny, Snowy, Rainy, Thunderstorm and Sandstorm.")</f>
        <v>Attacks with the Weather Keyword create Weather on the Field while they’re affecting the Field. If a Blessing or Field Effect were to be removed, the Weather that was created from it is also removed. The Field can have up to two Weathers affecting it at a time, then any further Weather introduced overwrites the least recent Weather added to the Field. Weather itself doesn’t do anything but other Attacks, Features or Abilities may reference a Weather condition and have a bonus effect. There are 8 Types of Weather. Windy, Foggy, Mystical, Sunny, Snowy, Rainy, Thunderstorm and Sandstorm.</v>
      </c>
      <c r="G75" s="239"/>
      <c r="H75" s="239"/>
      <c r="I75" s="235"/>
      <c r="J75" s="235"/>
      <c r="K75" s="235"/>
      <c r="L75" s="235"/>
      <c r="M75" s="235"/>
      <c r="N75" s="235"/>
      <c r="O75" s="235"/>
      <c r="P75" s="235"/>
      <c r="Q75" s="235"/>
      <c r="R75" s="235"/>
      <c r="S75" s="235"/>
      <c r="T75" s="235"/>
      <c r="U75" s="235"/>
      <c r="V75" s="235"/>
      <c r="W75" s="235"/>
      <c r="X75" s="235"/>
      <c r="Y75" s="235"/>
      <c r="Z75" s="235"/>
    </row>
    <row r="76">
      <c r="A76" s="236" t="str">
        <f>IFERROR(__xludf.DUMMYFUNCTION("""COMPUTED_VALUE"""),"Truant")</f>
        <v>Truant</v>
      </c>
      <c r="B76" s="236" t="str">
        <f>IFERROR(__xludf.DUMMYFUNCTION("""COMPUTED_VALUE"""),"The user’s Damaging Attacks take a Full Action instead of a Standard Action.")</f>
        <v>The user’s Damaging Attacks take a Full Action instead of a Standard Action.</v>
      </c>
      <c r="C76" s="237"/>
      <c r="D76" s="237"/>
      <c r="E76" s="238" t="str">
        <f>IFERROR(__xludf.DUMMYFUNCTION("""COMPUTED_VALUE"""),"Double Strike")</f>
        <v>Double Strike</v>
      </c>
      <c r="F76" s="238" t="str">
        <f>IFERROR(__xludf.DUMMYFUNCTION("""COMPUTED_VALUE"""),"Double Strike Attacks have their Accuracy Roll performed twice. If both Accuracy Rolls would result in hitting the Target, the Damage Base Value is doubled. Each hit may Critically Hit separately; when adding damage from Critical Hit, add the Damage Base "&amp;"before it is doubled. For example, if one Double Kick Attack is a Critical Hit, add 1d8+5 to the Damage Roll. If both are Critical Hits, add 2d8+10. ")</f>
        <v>Double Strike Attacks have their Accuracy Roll performed twice. If both Accuracy Rolls would result in hitting the Target, the Damage Base Value is doubled. Each hit may Critically Hit separately; when adding damage from Critical Hit, add the Damage Base before it is doubled. For example, if one Double Kick Attack is a Critical Hit, add 1d8+5 to the Damage Roll. If both are Critical Hits, add 2d8+10. </v>
      </c>
      <c r="G76" s="239"/>
      <c r="H76" s="239"/>
      <c r="I76" s="235"/>
      <c r="J76" s="235"/>
      <c r="K76" s="235"/>
      <c r="L76" s="235"/>
      <c r="M76" s="235"/>
      <c r="N76" s="235"/>
      <c r="O76" s="235"/>
      <c r="P76" s="235"/>
      <c r="Q76" s="235"/>
      <c r="R76" s="235"/>
      <c r="S76" s="235"/>
      <c r="T76" s="235"/>
      <c r="U76" s="235"/>
      <c r="V76" s="235"/>
      <c r="W76" s="235"/>
      <c r="X76" s="235"/>
      <c r="Y76" s="235"/>
      <c r="Z76" s="235"/>
    </row>
    <row r="77">
      <c r="A77" s="236" t="str">
        <f>IFERROR(__xludf.DUMMYFUNCTION("""COMPUTED_VALUE"""),"Underdog")</f>
        <v>Underdog</v>
      </c>
      <c r="B77" s="236" t="str">
        <f>IFERROR(__xludf.DUMMYFUNCTION("""COMPUTED_VALUE"""),"These users are Pokémon that have a Base Stat total of 45 or less. Some exceptions apply.")</f>
        <v>These users are Pokémon that have a Base Stat total of 45 or less. Some exceptions apply.</v>
      </c>
      <c r="C77" s="237"/>
      <c r="D77" s="237"/>
      <c r="E77" s="238" t="str">
        <f>IFERROR(__xludf.DUMMYFUNCTION("""COMPUTED_VALUE"""),"Drain")</f>
        <v>Drain</v>
      </c>
      <c r="F77" s="238" t="str">
        <f>IFERROR(__xludf.DUMMYFUNCTION("""COMPUTED_VALUE"""),"When this Attack hits, determine the Target that took the most Damage from this Attack. The user then restores Hit Points equal to half the Damage taken. ")</f>
        <v>When this Attack hits, determine the Target that took the most Damage from this Attack. The user then restores Hit Points equal to half the Damage taken. </v>
      </c>
      <c r="G77" s="239"/>
      <c r="H77" s="239"/>
      <c r="I77" s="235"/>
      <c r="J77" s="235"/>
      <c r="K77" s="235"/>
      <c r="L77" s="235"/>
      <c r="M77" s="235"/>
      <c r="N77" s="235"/>
      <c r="O77" s="235"/>
      <c r="P77" s="235"/>
      <c r="Q77" s="235"/>
      <c r="R77" s="235"/>
      <c r="S77" s="235"/>
      <c r="T77" s="235"/>
      <c r="U77" s="235"/>
      <c r="V77" s="235"/>
      <c r="W77" s="235"/>
      <c r="X77" s="235"/>
      <c r="Y77" s="235"/>
      <c r="Z77" s="235"/>
    </row>
    <row r="78">
      <c r="A78" s="236" t="str">
        <f>IFERROR(__xludf.DUMMYFUNCTION("""COMPUTED_VALUE"""),"Wallshaper")</f>
        <v>Wallshaper</v>
      </c>
      <c r="B78" s="236" t="str">
        <f>IFERROR(__xludf.DUMMYFUNCTION("""COMPUTED_VALUE"""),"The user can create Illusionary or Invisible walls within 5m of them while concentrating as a Standard or Extended Action. If used as a Standard Action, the wall occupies up to 4 unoccupied spaces that are connected, If used as an Extended Action it can c"&amp;"reate up to 10m of wall that are connected. This Wall is treated as Blocking Terrain and is Immune to all Physical Damage. Creatures with a Weight Class of 4 or more cannot stand on a Wall created this way and cause it to be destroyed if they do so. The u"&amp;"ser may allow creatures to phase through this wall as if it weren’t Blocking Terrain whenever they desire.")</f>
        <v>The user can create Illusionary or Invisible walls within 5m of them while concentrating as a Standard or Extended Action. If used as a Standard Action, the wall occupies up to 4 unoccupied spaces that are connected, If used as an Extended Action it can create up to 10m of wall that are connected. This Wall is treated as Blocking Terrain and is Immune to all Physical Damage. Creatures with a Weight Class of 4 or more cannot stand on a Wall created this way and cause it to be destroyed if they do so. The user may allow creatures to phase through this wall as if it weren’t Blocking Terrain whenever they desire.</v>
      </c>
      <c r="C78" s="237"/>
      <c r="D78" s="237"/>
      <c r="E78" s="238" t="str">
        <f>IFERROR(__xludf.DUMMYFUNCTION("""COMPUTED_VALUE"""),"Friendly")</f>
        <v>Friendly</v>
      </c>
      <c r="F78" s="238" t="str">
        <f>IFERROR(__xludf.DUMMYFUNCTION("""COMPUTED_VALUE"""),"Allies of the user of this Attack ignore the Effects of this Attack and do not take Damage from it, and are not treated as being hit by the Attack. ")</f>
        <v>Allies of the user of this Attack ignore the Effects of this Attack and do not take Damage from it, and are not treated as being hit by the Attack. </v>
      </c>
      <c r="G78" s="239"/>
      <c r="H78" s="239"/>
      <c r="I78" s="235"/>
      <c r="J78" s="235"/>
      <c r="K78" s="235"/>
      <c r="L78" s="235"/>
      <c r="M78" s="235"/>
      <c r="N78" s="235"/>
      <c r="O78" s="235"/>
      <c r="P78" s="235"/>
      <c r="Q78" s="235"/>
      <c r="R78" s="235"/>
      <c r="S78" s="235"/>
      <c r="T78" s="235"/>
      <c r="U78" s="235"/>
      <c r="V78" s="235"/>
      <c r="W78" s="235"/>
      <c r="X78" s="235"/>
      <c r="Y78" s="235"/>
      <c r="Z78" s="235"/>
    </row>
    <row r="79">
      <c r="A79" s="236" t="str">
        <f>IFERROR(__xludf.DUMMYFUNCTION("""COMPUTED_VALUE"""),"Wielder (X)")</f>
        <v>Wielder (X)</v>
      </c>
      <c r="B79" s="236" t="str">
        <f>IFERROR(__xludf.DUMMYFUNCTION("""COMPUTED_VALUE"""),"The user may be given one [Equipment - Weapon] Item to hold as if it had the [Pokemon] tag. They add the associated Weapon Attacks to their Attack List. The Wielding Pokemon cannot benefit from any Weapon Effects other than its Weapon Keywords. Wielder wi"&amp;"ll often have a Weapon Type or Category listed in parenthesis next to it, which denotes the only type of Weapons it can equip. If it says Wielder (Arcane), they cannot equip a martial weapon, for example. As a Swift Action, the Wielder can use any Damagin"&amp;"g Attack as if it were a Weapon Attack, but its range is replaced with the Weapons’ Range.")</f>
        <v>The user may be given one [Equipment - Weapon] Item to hold as if it had the [Pokemon] tag. They add the associated Weapon Attacks to their Attack List. The Wielding Pokemon cannot benefit from any Weapon Effects other than its Weapon Keywords. Wielder will often have a Weapon Type or Category listed in parenthesis next to it, which denotes the only type of Weapons it can equip. If it says Wielder (Arcane), they cannot equip a martial weapon, for example. As a Swift Action, the Wielder can use any Damaging Attack as if it were a Weapon Attack, but its range is replaced with the Weapons’ Range.</v>
      </c>
      <c r="C79" s="237"/>
      <c r="D79" s="237"/>
      <c r="E79" s="238" t="str">
        <f>IFERROR(__xludf.DUMMYFUNCTION("""COMPUTED_VALUE"""),"Five Strike")</f>
        <v>Five Strike</v>
      </c>
      <c r="F79" s="238" t="str">
        <f>IFERROR(__xludf.DUMMYFUNCTION("""COMPUTED_VALUE"""),"If you hit with a Five Strike Attack, roll additional Accuracy Checks until you miss, to a maximum of 5 total Checks.For each subsequent hit past the first, add +X to the Attack’s Damage Base, where X is your Tier Level.Critical Hits and Effect Ranges can"&amp;" only be triggered from the first Accuracy Roll.")</f>
        <v>If you hit with a Five Strike Attack, roll additional Accuracy Checks until you miss, to a maximum of 5 total Checks.For each subsequent hit past the first, add +X to the Attack’s Damage Base, where X is your Tier Level.Critical Hits and Effect Ranges can only be triggered from the first Accuracy Roll.</v>
      </c>
      <c r="G79" s="239"/>
      <c r="H79" s="239"/>
      <c r="I79" s="235"/>
      <c r="J79" s="235"/>
      <c r="K79" s="235"/>
      <c r="L79" s="235"/>
      <c r="M79" s="235"/>
      <c r="N79" s="235"/>
      <c r="O79" s="235"/>
      <c r="P79" s="235"/>
      <c r="Q79" s="235"/>
      <c r="R79" s="235"/>
      <c r="S79" s="235"/>
      <c r="T79" s="235"/>
      <c r="U79" s="235"/>
      <c r="V79" s="235"/>
      <c r="W79" s="235"/>
      <c r="X79" s="235"/>
      <c r="Y79" s="235"/>
      <c r="Z79" s="235"/>
    </row>
    <row r="80">
      <c r="A80" s="236" t="str">
        <f>IFERROR(__xludf.DUMMYFUNCTION("""COMPUTED_VALUE"""),"Alluring")</f>
        <v>Alluring</v>
      </c>
      <c r="B80" s="236" t="str">
        <f>IFERROR(__xludf.DUMMYFUNCTION("""COMPUTED_VALUE"""),"The user is considered to smell very nice or they can expel a sweet smelling substance.")</f>
        <v>The user is considered to smell very nice or they can expel a sweet smelling substance.</v>
      </c>
      <c r="C80" s="237"/>
      <c r="D80" s="237"/>
      <c r="E80" s="238" t="str">
        <f>IFERROR(__xludf.DUMMYFUNCTION("""COMPUTED_VALUE"""),"Slide X")</f>
        <v>Slide X</v>
      </c>
      <c r="F80" s="238" t="str">
        <f>IFERROR(__xludf.DUMMYFUNCTION("""COMPUTED_VALUE"""),"All Targets are moved a number of Meters with the max number moved being the value of X. The user may determine the path and final destination of the Target, following listed restrictions. Restrictions may be listed in parenthesis after the Slide Keyword "&amp;"such as (Towards) or (Away). If it specifies Towards, they cannot slide into spaces further than the user and conversely for Away. Movement via the Sliding triggers Hazards but not Attacks of Opportunity. Combatants cannot slide vertically.")</f>
        <v>All Targets are moved a number of Meters with the max number moved being the value of X. The user may determine the path and final destination of the Target, following listed restrictions. Restrictions may be listed in parenthesis after the Slide Keyword such as (Towards) or (Away). If it specifies Towards, they cannot slide into spaces further than the user and conversely for Away. Movement via the Sliding triggers Hazards but not Attacks of Opportunity. Combatants cannot slide vertically.</v>
      </c>
      <c r="G80" s="239"/>
      <c r="H80" s="239"/>
      <c r="I80" s="235"/>
      <c r="J80" s="235"/>
      <c r="K80" s="235"/>
      <c r="L80" s="235"/>
      <c r="M80" s="235"/>
      <c r="N80" s="235"/>
      <c r="O80" s="235"/>
      <c r="P80" s="235"/>
      <c r="Q80" s="235"/>
      <c r="R80" s="235"/>
      <c r="S80" s="235"/>
      <c r="T80" s="235"/>
      <c r="U80" s="235"/>
      <c r="V80" s="235"/>
      <c r="W80" s="235"/>
      <c r="X80" s="235"/>
      <c r="Y80" s="235"/>
      <c r="Z80" s="235"/>
    </row>
    <row r="81">
      <c r="A81" s="236" t="str">
        <f>IFERROR(__xludf.DUMMYFUNCTION("""COMPUTED_VALUE"""),"Amorphous")</f>
        <v>Amorphous</v>
      </c>
      <c r="B81" s="236" t="str">
        <f>IFERROR(__xludf.DUMMYFUNCTION("""COMPUTED_VALUE"""),"The user has an inconsistent body shape. They can flatten and reform like putty and stretch their body material and condense it. They’re able to shape their body by squeezing through tight spaces or doors.")</f>
        <v>The user has an inconsistent body shape. They can flatten and reform like putty and stretch their body material and condense it. They’re able to shape their body by squeezing through tight spaces or doors.</v>
      </c>
      <c r="C81" s="237"/>
      <c r="D81" s="237"/>
      <c r="E81" s="238" t="str">
        <f>IFERROR(__xludf.DUMMYFUNCTION("""COMPUTED_VALUE"""),"Sureshot")</f>
        <v>Sureshot</v>
      </c>
      <c r="F81" s="238" t="str">
        <f>IFERROR(__xludf.DUMMYFUNCTION("""COMPUTED_VALUE"""),"Attacks with the Sureshot Keyword do not have an AC and automatically hit unless they would otherwise be avoided such as through a Shield Attack. They may still perform an Accuracy Roll for sake of being a Critical Hit or Effect Ranges. These Attacks cann"&amp;"ot be intercepted.")</f>
        <v>Attacks with the Sureshot Keyword do not have an AC and automatically hit unless they would otherwise be avoided such as through a Shield Attack. They may still perform an Accuracy Roll for sake of being a Critical Hit or Effect Ranges. These Attacks cannot be intercepted.</v>
      </c>
      <c r="G81" s="239"/>
      <c r="H81" s="239"/>
      <c r="I81" s="235"/>
      <c r="J81" s="235"/>
      <c r="K81" s="235"/>
      <c r="L81" s="235"/>
      <c r="M81" s="235"/>
      <c r="N81" s="235"/>
      <c r="O81" s="235"/>
      <c r="P81" s="235"/>
      <c r="Q81" s="235"/>
      <c r="R81" s="235"/>
      <c r="S81" s="235"/>
      <c r="T81" s="235"/>
      <c r="U81" s="235"/>
      <c r="V81" s="235"/>
      <c r="W81" s="235"/>
      <c r="X81" s="235"/>
      <c r="Y81" s="235"/>
      <c r="Z81" s="235"/>
    </row>
    <row r="82">
      <c r="A82" s="236" t="str">
        <f>IFERROR(__xludf.DUMMYFUNCTION("""COMPUTED_VALUE"""),"Aura Reader")</f>
        <v>Aura Reader</v>
      </c>
      <c r="B82" s="236" t="str">
        <f>IFERROR(__xludf.DUMMYFUNCTION("""COMPUTED_VALUE"""),"The user can read the Aura of other living beings. Aura conveys two pieces of information. First, its hue or color reveals something about the personality of the Target. The hue of an Aura may change over time if an individual undergoes significant change"&amp;"s in personality or worldview. Second, Aura also appears brighten or darkened at times. Bright aura can reflect good mood or intentions, whereas dark aura can reflect a sour mood or deceptive or negative intentions. An Intuition or Perception Check may be"&amp;" required for a clearer view of aura but the longer the user is exposed to the target the more accurate their assessment of this info may be.")</f>
        <v>The user can read the Aura of other living beings. Aura conveys two pieces of information. First, its hue or color reveals something about the personality of the Target. The hue of an Aura may change over time if an individual undergoes significant changes in personality or worldview. Second, Aura also appears brighten or darkened at times. Bright aura can reflect good mood or intentions, whereas dark aura can reflect a sour mood or deceptive or negative intentions. An Intuition or Perception Check may be required for a clearer view of aura but the longer the user is exposed to the target the more accurate their assessment of this info may be.</v>
      </c>
      <c r="C82" s="237"/>
      <c r="D82" s="237"/>
      <c r="E82" s="238" t="str">
        <f>IFERROR(__xludf.DUMMYFUNCTION("""COMPUTED_VALUE"""),"Smite")</f>
        <v>Smite</v>
      </c>
      <c r="F82" s="238" t="str">
        <f>IFERROR(__xludf.DUMMYFUNCTION("""COMPUTED_VALUE"""),"Smite Attacks deal damage as if they were resisted by an additional damage step whenever they would miss. Targets dealt damage this way ignore the Effect and other Effect Keywords of the Attack (Excluding Damage). ")</f>
        <v>Smite Attacks deal damage as if they were resisted by an additional damage step whenever they would miss. Targets dealt damage this way ignore the Effect and other Effect Keywords of the Attack (Excluding Damage). </v>
      </c>
      <c r="G82" s="239"/>
      <c r="H82" s="239"/>
      <c r="I82" s="235"/>
      <c r="J82" s="235"/>
      <c r="K82" s="235"/>
      <c r="L82" s="235"/>
      <c r="M82" s="235"/>
      <c r="N82" s="235"/>
      <c r="O82" s="235"/>
      <c r="P82" s="235"/>
      <c r="Q82" s="235"/>
      <c r="R82" s="235"/>
      <c r="S82" s="235"/>
      <c r="T82" s="235"/>
      <c r="U82" s="235"/>
      <c r="V82" s="235"/>
      <c r="W82" s="235"/>
      <c r="X82" s="235"/>
      <c r="Y82" s="235"/>
      <c r="Z82" s="235"/>
    </row>
    <row r="83">
      <c r="A83" s="236" t="str">
        <f>IFERROR(__xludf.DUMMYFUNCTION("""COMPUTED_VALUE"""),"Breathless")</f>
        <v>Breathless</v>
      </c>
      <c r="B83" s="236" t="str">
        <f>IFERROR(__xludf.DUMMYFUNCTION("""COMPUTED_VALUE"""),"The user does not need to breathe and cannot suffocate. ")</f>
        <v>The user does not need to breathe and cannot suffocate. </v>
      </c>
      <c r="C83" s="237"/>
      <c r="D83" s="237"/>
      <c r="E83" s="238" t="str">
        <f>IFERROR(__xludf.DUMMYFUNCTION("""COMPUTED_VALUE"""),"Spirit Surge")</f>
        <v>Spirit Surge</v>
      </c>
      <c r="F83" s="238" t="str">
        <f>IFERROR(__xludf.DUMMYFUNCTION("""COMPUTED_VALUE"""),"This Attack’s Effects and Effect Keywords occur regardless if it hits its Target(s). If an Effect Range must be met, the Accuracy Roll still must meet this condition. Attacks used through the Versatile Keyword ignore the Spirit Surge Keyword.")</f>
        <v>This Attack’s Effects and Effect Keywords occur regardless if it hits its Target(s). If an Effect Range must be met, the Accuracy Roll still must meet this condition. Attacks used through the Versatile Keyword ignore the Spirit Surge Keyword.</v>
      </c>
      <c r="G83" s="239"/>
      <c r="H83" s="239"/>
      <c r="I83" s="235"/>
      <c r="J83" s="235"/>
      <c r="K83" s="235"/>
      <c r="L83" s="235"/>
      <c r="M83" s="235"/>
      <c r="N83" s="235"/>
      <c r="O83" s="235"/>
      <c r="P83" s="235"/>
      <c r="Q83" s="235"/>
      <c r="R83" s="235"/>
      <c r="S83" s="235"/>
      <c r="T83" s="235"/>
      <c r="U83" s="235"/>
      <c r="V83" s="235"/>
      <c r="W83" s="235"/>
      <c r="X83" s="235"/>
      <c r="Y83" s="235"/>
      <c r="Z83" s="235"/>
    </row>
    <row r="84">
      <c r="A84" s="236" t="str">
        <f>IFERROR(__xludf.DUMMYFUNCTION("""COMPUTED_VALUE"""),"Chilled")</f>
        <v>Chilled</v>
      </c>
      <c r="B84" s="236" t="str">
        <f>IFERROR(__xludf.DUMMYFUNCTION("""COMPUTED_VALUE"""),"The user emits cold. Depending on the size of the Chilled Source, the size of the cold differs. If it's a Small Source, 1m. If Medium, 3m. If Large, 5m. Spaces within this range are colder, resulting in the user and Combatants in this range ignoring the e"&amp;"ffects of the Harsh Heat Environmental Modifier.")</f>
        <v>The user emits cold. Depending on the size of the Chilled Source, the size of the cold differs. If it's a Small Source, 1m. If Medium, 3m. If Large, 5m. Spaces within this range are colder, resulting in the user and Combatants in this range ignoring the effects of the Harsh Heat Environmental Modifier.</v>
      </c>
      <c r="C84" s="237"/>
      <c r="D84" s="237"/>
      <c r="E84" s="238" t="str">
        <f>IFERROR(__xludf.DUMMYFUNCTION("""COMPUTED_VALUE"""),"Melee")</f>
        <v>Melee</v>
      </c>
      <c r="F84" s="238" t="str">
        <f>IFERROR(__xludf.DUMMYFUNCTION("""COMPUTED_VALUE"""),"The Attack can only Target Combatants that are in a Space that is Adjacent to the user. Most Melee Attacks are 1 Target but if they specify more than 1 Target, all Targets must be within melee range. This is considered a Melee Attack for anything that wou"&amp;"ld mention it.")</f>
        <v>The Attack can only Target Combatants that are in a Space that is Adjacent to the user. Most Melee Attacks are 1 Target but if they specify more than 1 Target, all Targets must be within melee range. This is considered a Melee Attack for anything that would mention it.</v>
      </c>
      <c r="G84" s="239"/>
      <c r="H84" s="239"/>
      <c r="I84" s="235"/>
      <c r="J84" s="235"/>
      <c r="K84" s="235"/>
      <c r="L84" s="235"/>
      <c r="M84" s="235"/>
      <c r="N84" s="235"/>
      <c r="O84" s="235"/>
      <c r="P84" s="235"/>
      <c r="Q84" s="235"/>
      <c r="R84" s="235"/>
      <c r="S84" s="235"/>
      <c r="T84" s="235"/>
      <c r="U84" s="235"/>
      <c r="V84" s="235"/>
      <c r="W84" s="235"/>
      <c r="X84" s="235"/>
      <c r="Y84" s="235"/>
      <c r="Z84" s="235"/>
    </row>
    <row r="85">
      <c r="A85" s="236" t="str">
        <f>IFERROR(__xludf.DUMMYFUNCTION("""COMPUTED_VALUE"""),"Dream Reader")</f>
        <v>Dream Reader</v>
      </c>
      <c r="B85" s="236" t="str">
        <f>IFERROR(__xludf.DUMMYFUNCTION("""COMPUTED_VALUE"""),"The user can view dreams of sleeping creatures they are adjacent to. At the cost of 1 SP, you may either shape the dreams of a sleeping creature you have physical contact with, or you may project their dreams for those around to see in an illusory form. ")</f>
        <v>The user can view dreams of sleeping creatures they are adjacent to. At the cost of 1 SP, you may either shape the dreams of a sleeping creature you have physical contact with, or you may project their dreams for those around to see in an illusory form. </v>
      </c>
      <c r="C85" s="237"/>
      <c r="D85" s="237"/>
      <c r="E85" s="238" t="str">
        <f>IFERROR(__xludf.DUMMYFUNCTION("""COMPUTED_VALUE"""),"Range X, Y Target")</f>
        <v>Range X, Y Target</v>
      </c>
      <c r="F85" s="238" t="str">
        <f>IFERROR(__xludf.DUMMYFUNCTION("""COMPUTED_VALUE"""),"The Attack can only be used to Target Y Enemies within X Meters of the user. In the Example, the Attack can Target 1 Enemy within 6m of the user. This is considered a Ranged Attack for anything that would mention it")</f>
        <v>The Attack can only be used to Target Y Enemies within X Meters of the user. In the Example, the Attack can Target 1 Enemy within 6m of the user. This is considered a Ranged Attack for anything that would mention it</v>
      </c>
      <c r="G85" s="239"/>
      <c r="H85" s="239"/>
      <c r="I85" s="235"/>
      <c r="J85" s="235"/>
      <c r="K85" s="235"/>
      <c r="L85" s="235"/>
      <c r="M85" s="235"/>
      <c r="N85" s="235"/>
      <c r="O85" s="235"/>
      <c r="P85" s="235"/>
      <c r="Q85" s="235"/>
      <c r="R85" s="235"/>
      <c r="S85" s="235"/>
      <c r="T85" s="235"/>
      <c r="U85" s="235"/>
      <c r="V85" s="235"/>
      <c r="W85" s="235"/>
      <c r="X85" s="235"/>
      <c r="Y85" s="235"/>
      <c r="Z85" s="235"/>
    </row>
    <row r="86">
      <c r="A86" s="236" t="str">
        <f>IFERROR(__xludf.DUMMYFUNCTION("""COMPUTED_VALUE"""),"Dead Silent")</f>
        <v>Dead Silent</v>
      </c>
      <c r="B86" s="236" t="str">
        <f>IFERROR(__xludf.DUMMYFUNCTION("""COMPUTED_VALUE"""),"The user does not noticeably breathe or and can control the rate of their heartbeat (Or not have one at all). The user does not make noise when they move unless they want to, provided they can concentrate. ")</f>
        <v>The user does not noticeably breathe or and can control the rate of their heartbeat (Or not have one at all). The user does not make noise when they move unless they want to, provided they can concentrate. </v>
      </c>
      <c r="C86" s="237"/>
      <c r="D86" s="237"/>
      <c r="E86" s="238" t="str">
        <f>IFERROR(__xludf.DUMMYFUNCTION("""COMPUTED_VALUE"""),"X, Ranged Blast Y")</f>
        <v>X, Ranged Blast Y</v>
      </c>
      <c r="F86" s="238" t="str">
        <f>IFERROR(__xludf.DUMMYFUNCTION("""COMPUTED_VALUE"""),"The Attack creates a Y by Y Zone up to X Meters away and hits all legal Targets within. This is considered a Ranged Attack for anything that would mention it.")</f>
        <v>The Attack creates a Y by Y Zone up to X Meters away and hits all legal Targets within. This is considered a Ranged Attack for anything that would mention it.</v>
      </c>
      <c r="G86" s="239"/>
      <c r="H86" s="239"/>
      <c r="I86" s="235"/>
      <c r="J86" s="235"/>
      <c r="K86" s="235"/>
      <c r="L86" s="235"/>
      <c r="M86" s="235"/>
      <c r="N86" s="235"/>
      <c r="O86" s="235"/>
      <c r="P86" s="235"/>
      <c r="Q86" s="235"/>
      <c r="R86" s="235"/>
      <c r="S86" s="235"/>
      <c r="T86" s="235"/>
      <c r="U86" s="235"/>
      <c r="V86" s="235"/>
      <c r="W86" s="235"/>
      <c r="X86" s="235"/>
      <c r="Y86" s="235"/>
      <c r="Z86" s="235"/>
    </row>
    <row r="87">
      <c r="A87" s="236" t="str">
        <f>IFERROR(__xludf.DUMMYFUNCTION("""COMPUTED_VALUE"""),"Empath")</f>
        <v>Empath</v>
      </c>
      <c r="B87" s="236" t="str">
        <f>IFERROR(__xludf.DUMMYFUNCTION("""COMPUTED_VALUE"""),"The user can sense the surface level emotions and feelings of others around them within a 10m range, even if they don’t show any body language to indicate those emotions that could be determined in an Intuition Check. At the cost of 1 SP, the user may per"&amp;"form a Focus Check to target a creature within 5m and sense any deeper emotions beyond their surface level, with the Challenge Rating being based on how guarded the Target is with their emotions.  ")</f>
        <v>The user can sense the surface level emotions and feelings of others around them within a 10m range, even if they don’t show any body language to indicate those emotions that could be determined in an Intuition Check. At the cost of 1 SP, the user may perform a Focus Check to target a creature within 5m and sense any deeper emotions beyond their surface level, with the Challenge Rating being based on how guarded the Target is with their emotions.  </v>
      </c>
      <c r="C87" s="237"/>
      <c r="D87" s="237"/>
      <c r="E87" s="238" t="str">
        <f>IFERROR(__xludf.DUMMYFUNCTION("""COMPUTED_VALUE"""),"Line X")</f>
        <v>Line X</v>
      </c>
      <c r="F87" s="238" t="str">
        <f>IFERROR(__xludf.DUMMYFUNCTION("""COMPUTED_VALUE"""),"The Attack creates a line that is at most X Meters long starting from the user and hits all Targets in that Line. A line must originate from an Adjacent Space to the user and continue in that direction as straight as possible. If an Attack is Line 7, it c"&amp;"ould be utilized as if it were Line 4, as 7 is the maximum length it can be. ")</f>
        <v>The Attack creates a line that is at most X Meters long starting from the user and hits all Targets in that Line. A line must originate from an Adjacent Space to the user and continue in that direction as straight as possible. If an Attack is Line 7, it could be utilized as if it were Line 4, as 7 is the maximum length it can be. </v>
      </c>
      <c r="G87" s="239"/>
      <c r="H87" s="239"/>
      <c r="I87" s="235"/>
      <c r="J87" s="235"/>
      <c r="K87" s="235"/>
      <c r="L87" s="235"/>
      <c r="M87" s="235"/>
      <c r="N87" s="235"/>
      <c r="O87" s="235"/>
      <c r="P87" s="235"/>
      <c r="Q87" s="235"/>
      <c r="R87" s="235"/>
      <c r="S87" s="235"/>
      <c r="T87" s="235"/>
      <c r="U87" s="235"/>
      <c r="V87" s="235"/>
      <c r="W87" s="235"/>
      <c r="X87" s="235"/>
      <c r="Y87" s="235"/>
      <c r="Z87" s="235"/>
    </row>
    <row r="88">
      <c r="A88" s="236" t="str">
        <f>IFERROR(__xludf.DUMMYFUNCTION("""COMPUTED_VALUE"""),"Engine")</f>
        <v>Engine</v>
      </c>
      <c r="B88" s="236" t="str">
        <f>IFERROR(__xludf.DUMMYFUNCTION("""COMPUTED_VALUE"""),"The user has a special relation to motors and vehicles. They can merge with vehicles or motors and treat it as their new body. If used by a Varoom or Revavroom, they may gain an Attack or Capabilities depending on the type of motor or vehicle.")</f>
        <v>The user has a special relation to motors and vehicles. They can merge with vehicles or motors and treat it as their new body. If used by a Varoom or Revavroom, they may gain an Attack or Capabilities depending on the type of motor or vehicle.</v>
      </c>
      <c r="C88" s="237"/>
      <c r="D88" s="237"/>
      <c r="E88" s="238" t="str">
        <f>IFERROR(__xludf.DUMMYFUNCTION("""COMPUTED_VALUE"""),"Close Blast X")</f>
        <v>Close Blast X</v>
      </c>
      <c r="F88" s="238" t="str">
        <f>IFERROR(__xludf.DUMMYFUNCTION("""COMPUTED_VALUE"""),"The Attack creates a X by X Zone, by which one space of the Zone must be in an adjacent space to the user and hits all Targets within. ")</f>
        <v>The Attack creates a X by X Zone, by which one space of the Zone must be in an adjacent space to the user and hits all Targets within. </v>
      </c>
      <c r="G88" s="239"/>
      <c r="H88" s="239"/>
      <c r="I88" s="235"/>
      <c r="J88" s="235"/>
      <c r="K88" s="235"/>
      <c r="L88" s="235"/>
      <c r="M88" s="235"/>
      <c r="N88" s="235"/>
      <c r="O88" s="235"/>
      <c r="P88" s="235"/>
      <c r="Q88" s="235"/>
      <c r="R88" s="235"/>
      <c r="S88" s="235"/>
      <c r="T88" s="235"/>
      <c r="U88" s="235"/>
      <c r="V88" s="235"/>
      <c r="W88" s="235"/>
      <c r="X88" s="235"/>
      <c r="Y88" s="235"/>
      <c r="Z88" s="235"/>
    </row>
    <row r="89">
      <c r="A89" s="236" t="str">
        <f>IFERROR(__xludf.DUMMYFUNCTION("""COMPUTED_VALUE"""),"Gilled")</f>
        <v>Gilled</v>
      </c>
      <c r="B89" s="236" t="str">
        <f>IFERROR(__xludf.DUMMYFUNCTION("""COMPUTED_VALUE"""),"The user does not take Suffocation Damage when acting in Underwater Areas.")</f>
        <v>The user does not take Suffocation Damage when acting in Underwater Areas.</v>
      </c>
      <c r="C89" s="237"/>
      <c r="D89" s="237"/>
      <c r="E89" s="238" t="str">
        <f>IFERROR(__xludf.DUMMYFUNCTION("""COMPUTED_VALUE"""),"Burst X")</f>
        <v>Burst X</v>
      </c>
      <c r="F89" s="238" t="str">
        <f>IFERROR(__xludf.DUMMYFUNCTION("""COMPUTED_VALUE"""),"The Attack hits all Targets in a zone where the user is at the center and all spaces are X meters away from the user. If the Attack is Burst 1, it Targets all adjacent spaces because they’re all of the spaces within 1m of the user. ")</f>
        <v>The Attack hits all Targets in a zone where the user is at the center and all spaces are X meters away from the user. If the Attack is Burst 1, it Targets all adjacent spaces because they’re all of the spaces within 1m of the user. </v>
      </c>
      <c r="G89" s="239"/>
      <c r="H89" s="239"/>
      <c r="I89" s="235"/>
      <c r="J89" s="235"/>
      <c r="K89" s="235"/>
      <c r="L89" s="235"/>
      <c r="M89" s="235"/>
      <c r="N89" s="235"/>
      <c r="O89" s="235"/>
      <c r="P89" s="235"/>
      <c r="Q89" s="235"/>
      <c r="R89" s="235"/>
      <c r="S89" s="235"/>
      <c r="T89" s="235"/>
      <c r="U89" s="235"/>
      <c r="V89" s="235"/>
      <c r="W89" s="235"/>
      <c r="X89" s="235"/>
      <c r="Y89" s="235"/>
      <c r="Z89" s="235"/>
    </row>
    <row r="90">
      <c r="A90" s="236" t="str">
        <f>IFERROR(__xludf.DUMMYFUNCTION("""COMPUTED_VALUE"""),"Glow")</f>
        <v>Glow</v>
      </c>
      <c r="B90" s="236" t="str">
        <f>IFERROR(__xludf.DUMMYFUNCTION("""COMPUTED_VALUE"""),"The user emits light. Depending on the size of the Glow Source, the size of the light differs. If its a Small Source, 1m. If Medium, 3m. If Large, 5m. Spaces within this range are Illuminated, resulting in the user and Combatants in this range ignoring th"&amp;"e effects of the Low Lighting Environmental Modifier.")</f>
        <v>The user emits light. Depending on the size of the Glow Source, the size of the light differs. If its a Small Source, 1m. If Medium, 3m. If Large, 5m. Spaces within this range are Illuminated, resulting in the user and Combatants in this range ignoring the effects of the Low Lighting Environmental Modifier.</v>
      </c>
      <c r="C90" s="237"/>
      <c r="D90" s="237"/>
      <c r="E90" s="238" t="str">
        <f>IFERROR(__xludf.DUMMYFUNCTION("""COMPUTED_VALUE"""),"Zone")</f>
        <v>Zone</v>
      </c>
      <c r="F90" s="238" t="str">
        <f>IFERROR(__xludf.DUMMYFUNCTION("""COMPUTED_VALUE"""),"A Zone is a range of Spaces that cover the listed area. The above example is both a “3x3” Zone and a Zone of 6 Contiguous Connected Spaces. The Effect that created the Zone is applied to all of these Spaces and those within them.  Unlike Hazards, Zones ca"&amp;"n overlap and multiple Zones can affect a singular space, however Zones of the same name/effect can never overlap from Allied Combatants. If a Combatant would occupy two Zones of the same name/effect, only one of them applies. ")</f>
        <v>A Zone is a range of Spaces that cover the listed area. The above example is both a “3x3” Zone and a Zone of 6 Contiguous Connected Spaces. The Effect that created the Zone is applied to all of these Spaces and those within them.  Unlike Hazards, Zones can overlap and multiple Zones can affect a singular space, however Zones of the same name/effect can never overlap from Allied Combatants. If a Combatant would occupy two Zones of the same name/effect, only one of them applies. </v>
      </c>
      <c r="G90" s="239"/>
      <c r="H90" s="239"/>
      <c r="I90" s="235"/>
      <c r="J90" s="235"/>
      <c r="K90" s="235"/>
      <c r="L90" s="235"/>
      <c r="M90" s="235"/>
      <c r="N90" s="235"/>
      <c r="O90" s="235"/>
      <c r="P90" s="235"/>
      <c r="Q90" s="235"/>
      <c r="R90" s="235"/>
      <c r="S90" s="235"/>
      <c r="T90" s="235"/>
      <c r="U90" s="235"/>
      <c r="V90" s="235"/>
      <c r="W90" s="235"/>
      <c r="X90" s="235"/>
      <c r="Y90" s="235"/>
      <c r="Z90" s="235"/>
    </row>
    <row r="91">
      <c r="A91" s="236" t="str">
        <f>IFERROR(__xludf.DUMMYFUNCTION("""COMPUTED_VALUE"""),"Heater")</f>
        <v>Heater</v>
      </c>
      <c r="B91" s="236" t="str">
        <f>IFERROR(__xludf.DUMMYFUNCTION("""COMPUTED_VALUE"""),"The user emits heat. Depending on the size of the Heater Source, the size of the heat differs. If its a Small Source, 1m. If Medium, 3m. If Large, 5m. Spaces within this range are warmed, resulting in the user and Combatants in this range ignoring the eff"&amp;"ects of the Harsh Cold Environmental Modifier.")</f>
        <v>The user emits heat. Depending on the size of the Heater Source, the size of the heat differs. If its a Small Source, 1m. If Medium, 3m. If Large, 5m. Spaces within this range are warmed, resulting in the user and Combatants in this range ignoring the effects of the Harsh Cold Environmental Modifier.</v>
      </c>
      <c r="C91" s="237"/>
      <c r="D91" s="237"/>
      <c r="E91" s="238" t="str">
        <f>IFERROR(__xludf.DUMMYFUNCTION("""COMPUTED_VALUE"""),"Unstoppable")</f>
        <v>Unstoppable</v>
      </c>
      <c r="F91" s="238" t="str">
        <f>IFERROR(__xludf.DUMMYFUNCTION("""COMPUTED_VALUE"""),"Enemies cannot activate Triggers in response to an Attack with this Keyword. ")</f>
        <v>Enemies cannot activate Triggers in response to an Attack with this Keyword. </v>
      </c>
      <c r="G91" s="239"/>
      <c r="H91" s="239"/>
      <c r="I91" s="235"/>
      <c r="J91" s="235"/>
      <c r="K91" s="235"/>
      <c r="L91" s="235"/>
      <c r="M91" s="235"/>
      <c r="N91" s="235"/>
      <c r="O91" s="235"/>
      <c r="P91" s="235"/>
      <c r="Q91" s="235"/>
      <c r="R91" s="235"/>
      <c r="S91" s="235"/>
      <c r="T91" s="235"/>
      <c r="U91" s="235"/>
      <c r="V91" s="235"/>
      <c r="W91" s="235"/>
      <c r="X91" s="235"/>
      <c r="Y91" s="235"/>
      <c r="Z91" s="235"/>
    </row>
    <row r="92">
      <c r="A92" s="236" t="str">
        <f>IFERROR(__xludf.DUMMYFUNCTION("""COMPUTED_VALUE"""),"Illusionist")</f>
        <v>Illusionist</v>
      </c>
      <c r="B92" s="236" t="str">
        <f>IFERROR(__xludf.DUMMYFUNCTION("""COMPUTED_VALUE"""),"The user may create minor visual Illusions as a Swift or Extended Action. These Illusions cannot be more than half a meter in any dimension and produce no sensory sensations outside of sight. Any physical contact noticeably disrupts an illusion, otherwise"&amp;" they appear life-like and can be made to move. Illusions cannot move further than 10m from the user. Any one of these restrictions may be ignored at the cost of 3 SP minus your Tier Level, but when doing so, you must hold your full concentration otherwis"&amp;"e it will be disrupted. ")</f>
        <v>The user may create minor visual Illusions as a Swift or Extended Action. These Illusions cannot be more than half a meter in any dimension and produce no sensory sensations outside of sight. Any physical contact noticeably disrupts an illusion, otherwise they appear life-like and can be made to move. Illusions cannot move further than 10m from the user. Any one of these restrictions may be ignored at the cost of 3 SP minus your Tier Level, but when doing so, you must hold your full concentration otherwise it will be disrupted. </v>
      </c>
      <c r="C92" s="237"/>
      <c r="D92" s="237"/>
      <c r="E92" s="238" t="str">
        <f>IFERROR(__xludf.DUMMYFUNCTION("""COMPUTED_VALUE"""),"Upgrade")</f>
        <v>Upgrade</v>
      </c>
      <c r="F92" s="238" t="str">
        <f>IFERROR(__xludf.DUMMYFUNCTION("""COMPUTED_VALUE"""),"An Attack with the Upgrade Keyword will have a different Attack name in its brackets. If you were to learn the listed Attack, you must remove this Attack from your Attack List and it cannot be relearned. 
Note: In the base system, this only applies to Leg"&amp;"endary Signature Attacks, but can also be used to homebrew signature Attacks for your Pokemon!")</f>
        <v>An Attack with the Upgrade Keyword will have a different Attack name in its brackets. If you were to learn the listed Attack, you must remove this Attack from your Attack List and it cannot be relearned. 
Note: In the base system, this only applies to Legendary Signature Attacks, but can also be used to homebrew signature Attacks for your Pokemon!</v>
      </c>
      <c r="G92" s="239"/>
      <c r="H92" s="239"/>
      <c r="I92" s="235"/>
      <c r="J92" s="235"/>
      <c r="K92" s="235"/>
      <c r="L92" s="235"/>
      <c r="M92" s="235"/>
      <c r="N92" s="235"/>
      <c r="O92" s="235"/>
      <c r="P92" s="235"/>
      <c r="Q92" s="235"/>
      <c r="R92" s="235"/>
      <c r="S92" s="235"/>
      <c r="T92" s="235"/>
      <c r="U92" s="235"/>
      <c r="V92" s="235"/>
      <c r="W92" s="235"/>
      <c r="X92" s="235"/>
      <c r="Y92" s="235"/>
      <c r="Z92" s="235"/>
    </row>
    <row r="93">
      <c r="A93" s="236" t="str">
        <f>IFERROR(__xludf.DUMMYFUNCTION("""COMPUTED_VALUE"""),"Magnetic")</f>
        <v>Magnetic</v>
      </c>
      <c r="B93" s="236" t="str">
        <f>IFERROR(__xludf.DUMMYFUNCTION("""COMPUTED_VALUE"""),"The user can lightly manipulate magnetic fields. With this, they can repel or attract iron and/or steel, holding it to their body or pushing it away. Through this magnetic manipulation, they can also sense magnetic fields, discern magnetic north and sense"&amp;" disruptions within magnetic fields within 50m. users with the Magnetic Capability may communicate with other Magnetic users as if they each had the Telepath Capability.")</f>
        <v>The user can lightly manipulate magnetic fields. With this, they can repel or attract iron and/or steel, holding it to their body or pushing it away. Through this magnetic manipulation, they can also sense magnetic fields, discern magnetic north and sense disruptions within magnetic fields within 50m. users with the Magnetic Capability may communicate with other Magnetic users as if they each had the Telepath Capability.</v>
      </c>
      <c r="C93" s="237"/>
      <c r="D93" s="237"/>
      <c r="E93" s="238"/>
      <c r="F93" s="238"/>
      <c r="G93" s="239"/>
      <c r="H93" s="239"/>
      <c r="I93" s="235"/>
      <c r="J93" s="235"/>
      <c r="K93" s="235"/>
      <c r="L93" s="235"/>
      <c r="M93" s="235"/>
      <c r="N93" s="235"/>
      <c r="O93" s="235"/>
      <c r="P93" s="235"/>
      <c r="Q93" s="235"/>
      <c r="R93" s="235"/>
      <c r="S93" s="235"/>
      <c r="T93" s="235"/>
      <c r="U93" s="235"/>
      <c r="V93" s="235"/>
      <c r="W93" s="235"/>
      <c r="X93" s="235"/>
      <c r="Y93" s="235"/>
      <c r="Z93" s="235"/>
    </row>
    <row r="94">
      <c r="A94" s="236" t="str">
        <f>IFERROR(__xludf.DUMMYFUNCTION("""COMPUTED_VALUE"""),"Mender")</f>
        <v>Mender</v>
      </c>
      <c r="B94" s="236" t="str">
        <f>IFERROR(__xludf.DUMMYFUNCTION("""COMPUTED_VALUE"""),"The user can create something that has medicinal properties using its body. This Capability has the same effects as a First Aid Kit (Item).")</f>
        <v>The user can create something that has medicinal properties using its body. This Capability has the same effects as a First Aid Kit (Item).</v>
      </c>
      <c r="C94" s="237"/>
      <c r="D94" s="237"/>
      <c r="E94" s="238"/>
      <c r="F94" s="238"/>
      <c r="G94" s="239"/>
      <c r="H94" s="239"/>
      <c r="I94" s="235"/>
      <c r="J94" s="235"/>
      <c r="K94" s="235"/>
      <c r="L94" s="235"/>
      <c r="M94" s="235"/>
      <c r="N94" s="235"/>
      <c r="O94" s="235"/>
      <c r="P94" s="235"/>
      <c r="Q94" s="235"/>
      <c r="R94" s="235"/>
      <c r="S94" s="235"/>
      <c r="T94" s="235"/>
      <c r="U94" s="235"/>
      <c r="V94" s="235"/>
      <c r="W94" s="235"/>
      <c r="X94" s="235"/>
      <c r="Y94" s="235"/>
      <c r="Z94" s="235"/>
    </row>
    <row r="95">
      <c r="A95" s="236" t="str">
        <f>IFERROR(__xludf.DUMMYFUNCTION("""COMPUTED_VALUE"""),"Mindlock")</f>
        <v>Mindlock</v>
      </c>
      <c r="B95" s="236" t="str">
        <f>IFERROR(__xludf.DUMMYFUNCTION("""COMPUTED_VALUE"""),"The user gains a Boon to all Opposed Focus Checks. You are automatically aware of all attempted uses of the below Capabilities against you. If you succeed on an Opposed Focus Check against the initiator of said attempt, you discern who attempted to use th"&amp;"e Capability, roughly where they are (a direction and “near” or “far”), and are immune to this attempt and any further attempts to use these Capabilities by said initiator until the end of the Scene. The affected capabilities are Aura Reader, Dream Reader"&amp;", Empath, Mind Weaver, Soul Seer, and Telepath, as well as Channeling and any other effects targeting your Mind or Spirit. ")</f>
        <v>The user gains a Boon to all Opposed Focus Checks. You are automatically aware of all attempted uses of the below Capabilities against you. If you succeed on an Opposed Focus Check against the initiator of said attempt, you discern who attempted to use the Capability, roughly where they are (a direction and “near” or “far”), and are immune to this attempt and any further attempts to use these Capabilities by said initiator until the end of the Scene. The affected capabilities are Aura Reader, Dream Reader, Empath, Mind Weaver, Soul Seer, and Telepath, as well as Channeling and any other effects targeting your Mind or Spirit. </v>
      </c>
      <c r="C95" s="237"/>
      <c r="D95" s="237"/>
      <c r="E95" s="238"/>
      <c r="F95" s="238"/>
      <c r="G95" s="239"/>
      <c r="H95" s="239"/>
      <c r="I95" s="235"/>
      <c r="J95" s="235"/>
      <c r="K95" s="235"/>
      <c r="L95" s="235"/>
      <c r="M95" s="235"/>
      <c r="N95" s="235"/>
      <c r="O95" s="235"/>
      <c r="P95" s="235"/>
      <c r="Q95" s="235"/>
      <c r="R95" s="235"/>
      <c r="S95" s="235"/>
      <c r="T95" s="235"/>
      <c r="U95" s="235"/>
      <c r="V95" s="235"/>
      <c r="W95" s="235"/>
      <c r="X95" s="235"/>
      <c r="Y95" s="235"/>
      <c r="Z95" s="235"/>
    </row>
    <row r="96">
      <c r="A96" s="236" t="str">
        <f>IFERROR(__xludf.DUMMYFUNCTION("""COMPUTED_VALUE"""),"Pack Mon")</f>
        <v>Pack Mon</v>
      </c>
      <c r="B96" s="236" t="str">
        <f>IFERROR(__xludf.DUMMYFUNCTION("""COMPUTED_VALUE"""),"If the user is a Trainer, they have a Boon for all Command Checks involving a Pokemon. If the user is a Pokemon, whenever a Skill Check for the following Skills is used against them, it has a Boon if the user doesn’t have an associated leader and it has a"&amp;" Bane if they have a leader they respect. Command, Intimidate, Charm, Guile. ")</f>
        <v>If the user is a Trainer, they have a Boon for all Command Checks involving a Pokemon. If the user is a Pokemon, whenever a Skill Check for the following Skills is used against them, it has a Boon if the user doesn’t have an associated leader and it has a Bane if they have a leader they respect. Command, Intimidate, Charm, Guile. </v>
      </c>
      <c r="C96" s="237"/>
      <c r="D96" s="237"/>
      <c r="E96" s="238"/>
      <c r="F96" s="238"/>
      <c r="G96" s="239"/>
      <c r="H96" s="239"/>
      <c r="I96" s="235"/>
      <c r="J96" s="235"/>
      <c r="K96" s="235"/>
      <c r="L96" s="235"/>
      <c r="M96" s="235"/>
      <c r="N96" s="235"/>
      <c r="O96" s="235"/>
      <c r="P96" s="235"/>
      <c r="Q96" s="235"/>
      <c r="R96" s="235"/>
      <c r="S96" s="235"/>
      <c r="T96" s="235"/>
      <c r="U96" s="235"/>
      <c r="V96" s="235"/>
      <c r="W96" s="235"/>
      <c r="X96" s="235"/>
      <c r="Y96" s="235"/>
      <c r="Z96" s="235"/>
    </row>
    <row r="97">
      <c r="A97" s="236" t="str">
        <f>IFERROR(__xludf.DUMMYFUNCTION("""COMPUTED_VALUE"""),"Premonition")</f>
        <v>Premonition</v>
      </c>
      <c r="B97" s="236" t="str">
        <f>IFERROR(__xludf.DUMMYFUNCTION("""COMPUTED_VALUE"""),"The User can sense when a disastrous event would occur within the near future. This can either be an innate feeling or through some sort of ritual the user performs, and as such may be limited in how much information they can obtain. The further they are "&amp;"away from the source of the event, the more blurry the details are with a chance at inaccuracies or not sensing. If the event would occur within an Encounter, they may get a brief glimpse, such as an Entei they’re fighting causing a volcanic eruption. Thi"&amp;"s would occur one Round before the Event is expected to occur. The extent of the Premonition is limited to the Pokemon’s method of future seering, such as Gothitelle only being able to predict the future through the star alignment or Absol being able to s"&amp;"ense natural disasters with its horn. The user may expend SP to gain more clarity in one of their visions, with the level of detail and accuracy increasing with each expended SP. ")</f>
        <v>The User can sense when a disastrous event would occur within the near future. This can either be an innate feeling or through some sort of ritual the user performs, and as such may be limited in how much information they can obtain. The further they are away from the source of the event, the more blurry the details are with a chance at inaccuracies or not sensing. If the event would occur within an Encounter, they may get a brief glimpse, such as an Entei they’re fighting causing a volcanic eruption. This would occur one Round before the Event is expected to occur. The extent of the Premonition is limited to the Pokemon’s method of future seering, such as Gothitelle only being able to predict the future through the star alignment or Absol being able to sense natural disasters with its horn. The user may expend SP to gain more clarity in one of their visions, with the level of detail and accuracy increasing with each expended SP. </v>
      </c>
      <c r="C97" s="237"/>
      <c r="D97" s="237"/>
      <c r="E97" s="238"/>
      <c r="F97" s="238"/>
      <c r="G97" s="239"/>
      <c r="H97" s="239"/>
      <c r="I97" s="235"/>
      <c r="J97" s="235"/>
      <c r="K97" s="235"/>
      <c r="L97" s="235"/>
      <c r="M97" s="235"/>
      <c r="N97" s="235"/>
      <c r="O97" s="235"/>
      <c r="P97" s="235"/>
      <c r="Q97" s="235"/>
      <c r="R97" s="235"/>
      <c r="S97" s="235"/>
      <c r="T97" s="235"/>
      <c r="U97" s="235"/>
      <c r="V97" s="235"/>
      <c r="W97" s="235"/>
      <c r="X97" s="235"/>
      <c r="Y97" s="235"/>
      <c r="Z97" s="235"/>
    </row>
    <row r="98">
      <c r="A98" s="236" t="str">
        <f>IFERROR(__xludf.DUMMYFUNCTION("""COMPUTED_VALUE"""),"Repulsive")</f>
        <v>Repulsive</v>
      </c>
      <c r="B98" s="236" t="str">
        <f>IFERROR(__xludf.DUMMYFUNCTION("""COMPUTED_VALUE"""),"The user is considered to smell very bad  or they can expel a nauseous smelling substance.")</f>
        <v>The user is considered to smell very bad  or they can expel a nauseous smelling substance.</v>
      </c>
      <c r="C98" s="237"/>
      <c r="D98" s="237"/>
      <c r="E98" s="238"/>
      <c r="F98" s="238"/>
      <c r="G98" s="239"/>
      <c r="H98" s="239"/>
      <c r="I98" s="235"/>
      <c r="J98" s="235"/>
      <c r="K98" s="235"/>
      <c r="L98" s="235"/>
      <c r="M98" s="235"/>
      <c r="N98" s="235"/>
      <c r="O98" s="235"/>
      <c r="P98" s="235"/>
      <c r="Q98" s="235"/>
      <c r="R98" s="235"/>
      <c r="S98" s="235"/>
      <c r="T98" s="235"/>
      <c r="U98" s="235"/>
      <c r="V98" s="235"/>
      <c r="W98" s="235"/>
      <c r="X98" s="235"/>
      <c r="Y98" s="235"/>
      <c r="Z98" s="235"/>
    </row>
    <row r="99">
      <c r="A99" s="236" t="str">
        <f>IFERROR(__xludf.DUMMYFUNCTION("""COMPUTED_VALUE"""),"Shapeshifter")</f>
        <v>Shapeshifter</v>
      </c>
      <c r="B99" s="236" t="str">
        <f>IFERROR(__xludf.DUMMYFUNCTION("""COMPUTED_VALUE"""),"The user can change their shape at will, taking on different forms as an Extended or Standard Action. When using this Capability, the user cannot increase or decrease its total mass by more than 50%, and they cannot replicate complex machines such as comp"&amp;"uters or phones. They may take on the appearance of these devices, but they will appear simplified in comparison and be non-functional. They can, however, transform into other moving forms such as acting as someone’s prosthetic limb, a living lever or pul"&amp;"ley system, or a Pokémon comparable in size. Note in this last case that the Shapeshifter doesn’t gain any qualities of that Pokémon without actually using the Attack Transform. Anyone closely examining a Shapeshifter user may determine its true nature wi"&amp;"th a Perception Check opposed by the user’s Guile or Stealth.")</f>
        <v>The user can change their shape at will, taking on different forms as an Extended or Standard Action. When using this Capability, the user cannot increase or decrease its total mass by more than 50%, and they cannot replicate complex machines such as computers or phones. They may take on the appearance of these devices, but they will appear simplified in comparison and be non-functional. They can, however, transform into other moving forms such as acting as someone’s prosthetic limb, a living lever or pulley system, or a Pokémon comparable in size. Note in this last case that the Shapeshifter doesn’t gain any qualities of that Pokémon without actually using the Attack Transform. Anyone closely examining a Shapeshifter user may determine its true nature with a Perception Check opposed by the user’s Guile or Stealth.</v>
      </c>
      <c r="C99" s="237"/>
      <c r="D99" s="237"/>
      <c r="E99" s="238"/>
      <c r="F99" s="238"/>
      <c r="G99" s="239"/>
      <c r="H99" s="239"/>
      <c r="I99" s="235"/>
      <c r="J99" s="235"/>
      <c r="K99" s="235"/>
      <c r="L99" s="235"/>
      <c r="M99" s="235"/>
      <c r="N99" s="235"/>
      <c r="O99" s="235"/>
      <c r="P99" s="235"/>
      <c r="Q99" s="235"/>
      <c r="R99" s="235"/>
      <c r="S99" s="235"/>
      <c r="T99" s="235"/>
      <c r="U99" s="235"/>
      <c r="V99" s="235"/>
      <c r="W99" s="235"/>
      <c r="X99" s="235"/>
      <c r="Y99" s="235"/>
      <c r="Z99" s="235"/>
    </row>
    <row r="100">
      <c r="A100" s="236" t="str">
        <f>IFERROR(__xludf.DUMMYFUNCTION("""COMPUTED_VALUE"""),"Soul Seer")</f>
        <v>Soul Seer</v>
      </c>
      <c r="B100" s="236" t="str">
        <f>IFERROR(__xludf.DUMMYFUNCTION("""COMPUTED_VALUE"""),"The user can see the souls of creatures around them. The lighter the soul is then the more likely they are to do good and the more darkness that is in the soul means the more likely someone is to do something bad. When a soul is smaller that means the per"&amp;"son is more injured, and the opposite is true the larger it is. If the soul has cracks on it then that means the person has suffered a traumatic event and they will only heal once those events have been overcome. Upon first view of a soul it normally star"&amp;"ts foggy, but after a minute it takes shape and the user may determine the former details. If the user is more than 5m away from their Target, they cannot discern the nature of a soul.")</f>
        <v>The user can see the souls of creatures around them. The lighter the soul is then the more likely they are to do good and the more darkness that is in the soul means the more likely someone is to do something bad. When a soul is smaller that means the person is more injured, and the opposite is true the larger it is. If the soul has cracks on it then that means the person has suffered a traumatic event and they will only heal once those events have been overcome. Upon first view of a soul it normally starts foggy, but after a minute it takes shape and the user may determine the former details. If the user is more than 5m away from their Target, they cannot discern the nature of a soul.</v>
      </c>
      <c r="C100" s="237"/>
      <c r="D100" s="237"/>
      <c r="E100" s="238"/>
      <c r="F100" s="238"/>
      <c r="G100" s="239"/>
      <c r="H100" s="239"/>
      <c r="I100" s="235"/>
      <c r="J100" s="235"/>
      <c r="K100" s="235"/>
      <c r="L100" s="235"/>
      <c r="M100" s="235"/>
      <c r="N100" s="235"/>
      <c r="O100" s="235"/>
      <c r="P100" s="235"/>
      <c r="Q100" s="235"/>
      <c r="R100" s="235"/>
      <c r="S100" s="235"/>
      <c r="T100" s="235"/>
      <c r="U100" s="235"/>
      <c r="V100" s="235"/>
      <c r="W100" s="235"/>
      <c r="X100" s="235"/>
      <c r="Y100" s="235"/>
      <c r="Z100" s="235"/>
    </row>
    <row r="101">
      <c r="A101" s="236" t="str">
        <f>IFERROR(__xludf.DUMMYFUNCTION("""COMPUTED_VALUE"""),"Telepath")</f>
        <v>Telepath</v>
      </c>
      <c r="B101" s="236" t="str">
        <f>IFERROR(__xludf.DUMMYFUNCTION("""COMPUTED_VALUE"""),"The user may project their thoughts to the minds of others and read the surface thoughts of others within 10m. If the mind being read is unwilling, they must make an Opposed Focus Check in order to succeed. If the Target does not pass a Tough CR (3) Intui"&amp;"tion Check and does not see the user, they are unaware of the Telepath Capability being used and cannot oppose it. The user can only focus on one mind at a time. If a Telepath attempt fails an opposed Check, they cannot attempt to read their mind for anot"&amp;"her Hour. When the user successfully reads a mind, they may choose to expend SP equal to 3 minus their Tier Level, then make a Focus Check, with the CR depending on the secrecy of the thoughts or the mental fortitude of the Target. On a success, the user "&amp;"will be able to read their deeper thoughts beyond surface level. ")</f>
        <v>The user may project their thoughts to the minds of others and read the surface thoughts of others within 10m. If the mind being read is unwilling, they must make an Opposed Focus Check in order to succeed. If the Target does not pass a Tough CR (3) Intuition Check and does not see the user, they are unaware of the Telepath Capability being used and cannot oppose it. The user can only focus on one mind at a time. If a Telepath attempt fails an opposed Check, they cannot attempt to read their mind for another Hour. When the user successfully reads a mind, they may choose to expend SP equal to 3 minus their Tier Level, then make a Focus Check, with the CR depending on the secrecy of the thoughts or the mental fortitude of the Target. On a success, the user will be able to read their deeper thoughts beyond surface level. </v>
      </c>
      <c r="C101" s="237"/>
      <c r="D101" s="237"/>
      <c r="E101" s="238"/>
      <c r="F101" s="238"/>
      <c r="G101" s="239"/>
      <c r="H101" s="239"/>
      <c r="I101" s="235"/>
      <c r="J101" s="235"/>
      <c r="K101" s="235"/>
      <c r="L101" s="235"/>
      <c r="M101" s="235"/>
      <c r="N101" s="235"/>
      <c r="O101" s="235"/>
      <c r="P101" s="235"/>
      <c r="Q101" s="235"/>
      <c r="R101" s="235"/>
      <c r="S101" s="235"/>
      <c r="T101" s="235"/>
      <c r="U101" s="235"/>
      <c r="V101" s="235"/>
      <c r="W101" s="235"/>
      <c r="X101" s="235"/>
      <c r="Y101" s="235"/>
      <c r="Z101" s="235"/>
    </row>
    <row r="102">
      <c r="A102" s="236" t="str">
        <f>IFERROR(__xludf.DUMMYFUNCTION("""COMPUTED_VALUE"""),"Thermal Vision")</f>
        <v>Thermal Vision</v>
      </c>
      <c r="B102" s="236" t="str">
        <f>IFERROR(__xludf.DUMMYFUNCTION("""COMPUTED_VALUE"""),"When focusing for at least a Minute, they can switch their vision to Infrared, sensing infrared radiation around them. When observing the world this way, objects with higher sources of heat will stand out in shades of red, while objects that are colder wi"&amp;"ll stand out in shades of blue.")</f>
        <v>When focusing for at least a Minute, they can switch their vision to Infrared, sensing infrared radiation around them. When observing the world this way, objects with higher sources of heat will stand out in shades of red, while objects that are colder will stand out in shades of blue.</v>
      </c>
      <c r="C102" s="237"/>
      <c r="D102" s="237"/>
      <c r="E102" s="238"/>
      <c r="F102" s="238"/>
      <c r="G102" s="239"/>
      <c r="H102" s="239"/>
      <c r="I102" s="235"/>
      <c r="J102" s="235"/>
      <c r="K102" s="235"/>
      <c r="L102" s="235"/>
      <c r="M102" s="235"/>
      <c r="N102" s="235"/>
      <c r="O102" s="235"/>
      <c r="P102" s="235"/>
      <c r="Q102" s="235"/>
      <c r="R102" s="235"/>
      <c r="S102" s="235"/>
      <c r="T102" s="235"/>
      <c r="U102" s="235"/>
      <c r="V102" s="235"/>
      <c r="W102" s="235"/>
      <c r="X102" s="235"/>
      <c r="Y102" s="235"/>
      <c r="Z102" s="235"/>
    </row>
    <row r="103">
      <c r="A103" s="236" t="str">
        <f>IFERROR(__xludf.DUMMYFUNCTION("""COMPUTED_VALUE"""),"Tremorsense")</f>
        <v>Tremorsense</v>
      </c>
      <c r="B103" s="236" t="str">
        <f>IFERROR(__xludf.DUMMYFUNCTION("""COMPUTED_VALUE"""),"The user can sense the Location, Size and Shape of Objects in or on the ground within 10m of them. If the surface of the ground isn’t earth-like (Such as Mud or Metal), a Standard CR (2) Focus or Intuition Check may be required to use this Capability. ")</f>
        <v>The user can sense the Location, Size and Shape of Objects in or on the ground within 10m of them. If the surface of the ground isn’t earth-like (Such as Mud or Metal), a Standard CR (2) Focus or Intuition Check may be required to use this Capability. </v>
      </c>
      <c r="C103" s="237"/>
      <c r="D103" s="237"/>
      <c r="E103" s="238"/>
      <c r="F103" s="238"/>
      <c r="G103" s="239"/>
      <c r="H103" s="239"/>
      <c r="I103" s="235"/>
      <c r="J103" s="235"/>
      <c r="K103" s="235"/>
      <c r="L103" s="235"/>
      <c r="M103" s="235"/>
      <c r="N103" s="235"/>
      <c r="O103" s="235"/>
      <c r="P103" s="235"/>
      <c r="Q103" s="235"/>
      <c r="R103" s="235"/>
      <c r="S103" s="235"/>
      <c r="T103" s="235"/>
      <c r="U103" s="235"/>
      <c r="V103" s="235"/>
      <c r="W103" s="235"/>
      <c r="X103" s="235"/>
      <c r="Y103" s="235"/>
      <c r="Z103" s="235"/>
    </row>
    <row r="104">
      <c r="A104" s="236" t="str">
        <f>IFERROR(__xludf.DUMMYFUNCTION("""COMPUTED_VALUE"""),"Tracker")</f>
        <v>Tracker</v>
      </c>
      <c r="B104" s="236" t="str">
        <f>IFERROR(__xludf.DUMMYFUNCTION("""COMPUTED_VALUE"""),"The user has a strong sense of smell that they can use to follow other Pokémon or People. If the user has direct exposure to a scent of their Target or an object they’ve had contact with, it requires a Standard CR (2) Perception Check to know the directio"&amp;"n of where they are or where they’ve been. The user can also recall past scents they’ve had exposure to, which is a Severe CR (4) Perception Check. ")</f>
        <v>The user has a strong sense of smell that they can use to follow other Pokémon or People. If the user has direct exposure to a scent of their Target or an object they’ve had contact with, it requires a Standard CR (2) Perception Check to know the direction of where they are or where they’ve been. The user can also recall past scents they’ve had exposure to, which is a Severe CR (4) Perception Check. </v>
      </c>
      <c r="C104" s="237"/>
      <c r="D104" s="237"/>
      <c r="E104" s="238"/>
      <c r="F104" s="238"/>
      <c r="G104" s="239"/>
      <c r="H104" s="239"/>
      <c r="I104" s="235"/>
      <c r="J104" s="235"/>
      <c r="K104" s="235"/>
      <c r="L104" s="235"/>
      <c r="M104" s="235"/>
      <c r="N104" s="235"/>
      <c r="O104" s="235"/>
      <c r="P104" s="235"/>
      <c r="Q104" s="235"/>
      <c r="R104" s="235"/>
      <c r="S104" s="235"/>
      <c r="T104" s="235"/>
      <c r="U104" s="235"/>
      <c r="V104" s="235"/>
      <c r="W104" s="235"/>
      <c r="X104" s="235"/>
      <c r="Y104" s="235"/>
      <c r="Z104" s="235"/>
    </row>
    <row r="105">
      <c r="A105" s="236" t="str">
        <f>IFERROR(__xludf.DUMMYFUNCTION("""COMPUTED_VALUE"""),"True Sight")</f>
        <v>True Sight</v>
      </c>
      <c r="B105" s="236" t="str">
        <f>IFERROR(__xludf.DUMMYFUNCTION("""COMPUTED_VALUE"""),"The user can see through Illusions and Invisibility as if their form were visible but ephemeral and translucent. ")</f>
        <v>The user can see through Illusions and Invisibility as if their form were visible but ephemeral and translucent. </v>
      </c>
      <c r="C105" s="237"/>
      <c r="D105" s="237"/>
      <c r="E105" s="238"/>
      <c r="F105" s="238"/>
      <c r="G105" s="239"/>
      <c r="H105" s="239"/>
      <c r="I105" s="235"/>
      <c r="J105" s="235"/>
      <c r="K105" s="235"/>
      <c r="L105" s="235"/>
      <c r="M105" s="235"/>
      <c r="N105" s="235"/>
      <c r="O105" s="235"/>
      <c r="P105" s="235"/>
      <c r="Q105" s="235"/>
      <c r="R105" s="235"/>
      <c r="S105" s="235"/>
      <c r="T105" s="235"/>
      <c r="U105" s="235"/>
      <c r="V105" s="235"/>
      <c r="W105" s="235"/>
      <c r="X105" s="235"/>
      <c r="Y105" s="235"/>
      <c r="Z105" s="235"/>
    </row>
    <row r="106">
      <c r="A106" s="236" t="str">
        <f>IFERROR(__xludf.DUMMYFUNCTION("""COMPUTED_VALUE"""),"Wired")</f>
        <v>Wired</v>
      </c>
      <c r="B106" s="236" t="str">
        <f>IFERROR(__xludf.DUMMYFUNCTION("""COMPUTED_VALUE"""),"The user has a special relation to electronic devices. They can enter machines and travel through connected electronics through any cords that connect them instantly. If used by a Rotom, Rotom may take control of the machine from within, gaining an Attack"&amp;" chosen by your GM based on the machine.")</f>
        <v>The user has a special relation to electronic devices. They can enter machines and travel through connected electronics through any cords that connect them instantly. If used by a Rotom, Rotom may take control of the machine from within, gaining an Attack chosen by your GM based on the machine.</v>
      </c>
      <c r="C106" s="237"/>
      <c r="D106" s="237"/>
      <c r="E106" s="238"/>
      <c r="F106" s="238"/>
      <c r="G106" s="239"/>
      <c r="H106" s="239"/>
      <c r="I106" s="235"/>
      <c r="J106" s="235"/>
      <c r="K106" s="235"/>
      <c r="L106" s="235"/>
      <c r="M106" s="235"/>
      <c r="N106" s="235"/>
      <c r="O106" s="235"/>
      <c r="P106" s="235"/>
      <c r="Q106" s="235"/>
      <c r="R106" s="235"/>
      <c r="S106" s="235"/>
      <c r="T106" s="235"/>
      <c r="U106" s="235"/>
      <c r="V106" s="235"/>
      <c r="W106" s="235"/>
      <c r="X106" s="235"/>
      <c r="Y106" s="235"/>
      <c r="Z106" s="235"/>
    </row>
    <row r="107">
      <c r="A107" s="236" t="str">
        <f>IFERROR(__xludf.DUMMYFUNCTION("""COMPUTED_VALUE"""),"X-Ray Vision")</f>
        <v>X-Ray Vision</v>
      </c>
      <c r="B107" s="236" t="str">
        <f>IFERROR(__xludf.DUMMYFUNCTION("""COMPUTED_VALUE"""),"When focusing for at least a Minute, the user may see what lays beyond Blocking Terrain in the form of blurry shapes. The maximum distance this Capability can allow you to see through is within 2m of you, everything beyond that range becomes distorted.")</f>
        <v>When focusing for at least a Minute, the user may see what lays beyond Blocking Terrain in the form of blurry shapes. The maximum distance this Capability can allow you to see through is within 2m of you, everything beyond that range becomes distorted.</v>
      </c>
      <c r="C107" s="237"/>
      <c r="D107" s="237"/>
      <c r="E107" s="238"/>
      <c r="F107" s="238"/>
      <c r="G107" s="239"/>
      <c r="H107" s="239"/>
      <c r="I107" s="235"/>
      <c r="J107" s="235"/>
      <c r="K107" s="235"/>
      <c r="L107" s="235"/>
      <c r="M107" s="235"/>
      <c r="N107" s="235"/>
      <c r="O107" s="235"/>
      <c r="P107" s="235"/>
      <c r="Q107" s="235"/>
      <c r="R107" s="235"/>
      <c r="S107" s="235"/>
      <c r="T107" s="235"/>
      <c r="U107" s="235"/>
      <c r="V107" s="235"/>
      <c r="W107" s="235"/>
      <c r="X107" s="235"/>
      <c r="Y107" s="235"/>
      <c r="Z107" s="235"/>
    </row>
    <row r="108">
      <c r="A108" s="236" t="str">
        <f>IFERROR(__xludf.DUMMYFUNCTION("""COMPUTED_VALUE"""),"Mind Weaver")</f>
        <v>Mind Weaver</v>
      </c>
      <c r="B108" s="236" t="str">
        <f>IFERROR(__xludf.DUMMYFUNCTION("""COMPUTED_VALUE"""),"If the user is touching a Creature’s head, they may perform opposing Focus Checks, unless willing.On a success, you can view all of their Memories within the past 24 hours. You may choose to erase any Memories within this span. If you succeed by at least "&amp;"2+, spend 2 SP,  or if you spend a Downtime Action (1 Hour equivalent), you may view Memories that span a month ago and erase any of those (Or longer at GM Discretion). If you fail, this Effect does not apply and you have a Bane to all future attempts wit"&amp;"h that Creature.")</f>
        <v>If the user is touching a Creature’s head, they may perform opposing Focus Checks, unless willing.On a success, you can view all of their Memories within the past 24 hours. You may choose to erase any Memories within this span. If you succeed by at least 2+, spend 2 SP,  or if you spend a Downtime Action (1 Hour equivalent), you may view Memories that span a month ago and erase any of those (Or longer at GM Discretion). If you fail, this Effect does not apply and you have a Bane to all future attempts with that Creature.</v>
      </c>
      <c r="C108" s="237"/>
      <c r="D108" s="237"/>
      <c r="E108" s="238"/>
      <c r="F108" s="238"/>
      <c r="G108" s="239"/>
      <c r="H108" s="239"/>
      <c r="I108" s="235"/>
      <c r="J108" s="235"/>
      <c r="K108" s="235"/>
      <c r="L108" s="235"/>
      <c r="M108" s="235"/>
      <c r="N108" s="235"/>
      <c r="O108" s="235"/>
      <c r="P108" s="235"/>
      <c r="Q108" s="235"/>
      <c r="R108" s="235"/>
      <c r="S108" s="235"/>
      <c r="T108" s="235"/>
      <c r="U108" s="235"/>
      <c r="V108" s="235"/>
      <c r="W108" s="235"/>
      <c r="X108" s="235"/>
      <c r="Y108" s="235"/>
      <c r="Z108" s="235"/>
    </row>
    <row r="109">
      <c r="A109" s="236" t="str">
        <f>IFERROR(__xludf.DUMMYFUNCTION("""COMPUTED_VALUE"""),"Arcane Sight [Occult]")</f>
        <v>Arcane Sight [Occult]</v>
      </c>
      <c r="B109" s="236" t="str">
        <f>IFERROR(__xludf.DUMMYFUNCTION("""COMPUTED_VALUE"""),"All Occult Capabilities or Features from Occult Edu Classes that are used create an invisible dust or residue that you are able to see and interact with. It requires an Occult Education check to determine what residue corresponds to what Capability if you"&amp;" haven’t identified it in the past, with its CR dependent on how rare the capability is. Each instance of arcane residue that is created has an indication of who used it, similar to a fingerprint, that is unique to them. This arcane residue is the most di"&amp;"scernable within 24 hours of the Capability being used, after which it decays in quality, fully dissipating in around a week.")</f>
        <v>All Occult Capabilities or Features from Occult Edu Classes that are used create an invisible dust or residue that you are able to see and interact with. It requires an Occult Education check to determine what residue corresponds to what Capability if you haven’t identified it in the past, with its CR dependent on how rare the capability is. Each instance of arcane residue that is created has an indication of who used it, similar to a fingerprint, that is unique to them. This arcane residue is the most discernable within 24 hours of the Capability being used, after which it decays in quality, fully dissipating in around a week.</v>
      </c>
      <c r="C109" s="237"/>
      <c r="D109" s="237"/>
      <c r="E109" s="238"/>
      <c r="F109" s="238"/>
      <c r="G109" s="239"/>
      <c r="H109" s="239"/>
      <c r="I109" s="235"/>
      <c r="J109" s="235"/>
      <c r="K109" s="235"/>
      <c r="L109" s="235"/>
      <c r="M109" s="235"/>
      <c r="N109" s="235"/>
      <c r="O109" s="235"/>
      <c r="P109" s="235"/>
      <c r="Q109" s="235"/>
      <c r="R109" s="235"/>
      <c r="S109" s="235"/>
      <c r="T109" s="235"/>
      <c r="U109" s="235"/>
      <c r="V109" s="235"/>
      <c r="W109" s="235"/>
      <c r="X109" s="235"/>
      <c r="Y109" s="235"/>
      <c r="Z109" s="235"/>
    </row>
    <row r="110">
      <c r="A110" s="236" t="str">
        <f>IFERROR(__xludf.DUMMYFUNCTION("""COMPUTED_VALUE"""),"Burst Form [Occult]")</f>
        <v>Burst Form [Occult]</v>
      </c>
      <c r="B110" s="236" t="str">
        <f>IFERROR(__xludf.DUMMYFUNCTION("""COMPUTED_VALUE"""),"The user may use and equip the Burst Heart Item. As an Extended or Swift Action, the user may Target an Equipped Burst Heart and shift into a form based on the Pokemon inside. While you are in a Burst Form, the rules below apply. 
» You continue the Scen"&amp;"e as if your Character Sheet was the Pokemon that was in the Targeted Burst Heart. The only aspects of your Trainer you keep in this Form are your Burst Heart and non-Static Features (Including Bonuses), your Inventory &amp; Equipped Items. As such, your Atta"&amp;"ck list is replaced with theirs’, you cannot use your non-Burst Form Capabilities but you can use their’s, etc.
» Whenever you Faint in a Burst Form, you revert to your Trainer’s Character Sheet, including the Hit Points and CS you were at before you us"&amp;"ed the Burst Form Capability. The Pokemon inside the chosen Burst Heart is treated as Fainted and cannot be Targeted through the Burst Form Capability until they are revived.
» You may still command your Active Pokemon in combat as normal
» Switching "&amp;"between Normal and Burst Forms (Or between Burst Forms) does not carry over Combat Stages or Coats, similar to switching out a Pokemon 
» Your physical form is that of the user, morphed by some characteristics of the Pokemon in the Targeted Burst Heart."&amp;" You communicate as you would in your normal Form.")</f>
        <v>The user may use and equip the Burst Heart Item. As an Extended or Swift Action, the user may Target an Equipped Burst Heart and shift into a form based on the Pokemon inside. While you are in a Burst Form, the rules below apply. 
» You continue the Scene as if your Character Sheet was the Pokemon that was in the Targeted Burst Heart. The only aspects of your Trainer you keep in this Form are your Burst Heart and non-Static Features (Including Bonuses), your Inventory &amp; Equipped Items. As such, your Attack list is replaced with theirs’, you cannot use your non-Burst Form Capabilities but you can use their’s, etc.
» Whenever you Faint in a Burst Form, you revert to your Trainer’s Character Sheet, including the Hit Points and CS you were at before you used the Burst Form Capability. The Pokemon inside the chosen Burst Heart is treated as Fainted and cannot be Targeted through the Burst Form Capability until they are revived.
» You may still command your Active Pokemon in combat as normal
» Switching between Normal and Burst Forms (Or between Burst Forms) does not carry over Combat Stages or Coats, similar to switching out a Pokemon 
» Your physical form is that of the user, morphed by some characteristics of the Pokemon in the Targeted Burst Heart. You communicate as you would in your normal Form.</v>
      </c>
      <c r="C110" s="237"/>
      <c r="D110" s="237"/>
      <c r="E110" s="238"/>
      <c r="F110" s="238"/>
      <c r="G110" s="239"/>
      <c r="H110" s="239"/>
      <c r="I110" s="235"/>
      <c r="J110" s="235"/>
      <c r="K110" s="235"/>
      <c r="L110" s="235"/>
      <c r="M110" s="235"/>
      <c r="N110" s="235"/>
      <c r="O110" s="235"/>
      <c r="P110" s="235"/>
      <c r="Q110" s="235"/>
      <c r="R110" s="235"/>
      <c r="S110" s="235"/>
      <c r="T110" s="235"/>
      <c r="U110" s="235"/>
      <c r="V110" s="235"/>
      <c r="W110" s="235"/>
      <c r="X110" s="235"/>
      <c r="Y110" s="235"/>
      <c r="Z110" s="235"/>
    </row>
    <row r="111">
      <c r="A111" s="236" t="str">
        <f>IFERROR(__xludf.DUMMYFUNCTION("""COMPUTED_VALUE"""),"Deathtouch [Occult]")</f>
        <v>Deathtouch [Occult]</v>
      </c>
      <c r="B111" s="236" t="str">
        <f>IFERROR(__xludf.DUMMYFUNCTION("""COMPUTED_VALUE"""),"The user is able to cause life or objects to decay in some way or form. This could be through disease, withering, inflicting ailments, inflicting curses, etc. Examples of which can be a Bronzong that causes nearby flowers to wither. The extent of which th"&amp;"e user is able to cause decay is at the GM’s discretion based on the source. Unless the user is Tier 3, they cannot reliably control when this Capability is used and the GM determines the scenarios by which this Capability applies.")</f>
        <v>The user is able to cause life or objects to decay in some way or form. This could be through disease, withering, inflicting ailments, inflicting curses, etc. Examples of which can be a Bronzong that causes nearby flowers to wither. The extent of which the user is able to cause decay is at the GM’s discretion based on the source. Unless the user is Tier 3, they cannot reliably control when this Capability is used and the GM determines the scenarios by which this Capability applies.</v>
      </c>
      <c r="C111" s="237"/>
      <c r="D111" s="237"/>
      <c r="E111" s="238"/>
      <c r="F111" s="238"/>
      <c r="G111" s="239"/>
      <c r="H111" s="239"/>
      <c r="I111" s="235"/>
      <c r="J111" s="235"/>
      <c r="K111" s="235"/>
      <c r="L111" s="235"/>
      <c r="M111" s="235"/>
      <c r="N111" s="235"/>
      <c r="O111" s="235"/>
      <c r="P111" s="235"/>
      <c r="Q111" s="235"/>
      <c r="R111" s="235"/>
      <c r="S111" s="235"/>
      <c r="T111" s="235"/>
      <c r="U111" s="235"/>
      <c r="V111" s="235"/>
      <c r="W111" s="235"/>
      <c r="X111" s="235"/>
      <c r="Y111" s="235"/>
      <c r="Z111" s="235"/>
    </row>
    <row r="112">
      <c r="A112" s="236" t="str">
        <f>IFERROR(__xludf.DUMMYFUNCTION("""COMPUTED_VALUE"""),"Divination [Occult]")</f>
        <v>Divination [Occult]</v>
      </c>
      <c r="B112" s="236" t="str">
        <f>IFERROR(__xludf.DUMMYFUNCTION("""COMPUTED_VALUE"""),"When this Capability is used, the user must Target a Creature within 5m and focus on them. Over the course of a few minutes, they will learn an insight or fact about that Creature’s past, present state or future. The medium by which they learn this depend"&amp;"s on the user, such as through tarot cards or crystal ball or palm reading. This may only target the same Creature once per day. The user may expend 1 SP to apply any of the following effects to the usage of this Capability.
» They learn an additional ins"&amp;"ight into the Target.
» They may gain clarity on information the GM has told them that they learned.
» They may choose whether the info comes from their past, present or future.")</f>
        <v>When this Capability is used, the user must Target a Creature within 5m and focus on them. Over the course of a few minutes, they will learn an insight or fact about that Creature’s past, present state or future. The medium by which they learn this depends on the user, such as through tarot cards or crystal ball or palm reading. This may only target the same Creature once per day. The user may expend 1 SP to apply any of the following effects to the usage of this Capability.
» They learn an additional insight into the Target.
» They may gain clarity on information the GM has told them that they learned.
» They may choose whether the info comes from their past, present or future.</v>
      </c>
      <c r="C112" s="237"/>
      <c r="D112" s="237"/>
      <c r="E112" s="238"/>
      <c r="F112" s="238"/>
      <c r="G112" s="239"/>
      <c r="H112" s="239"/>
      <c r="I112" s="235"/>
      <c r="J112" s="235"/>
      <c r="K112" s="235"/>
      <c r="L112" s="235"/>
      <c r="M112" s="235"/>
      <c r="N112" s="235"/>
      <c r="O112" s="235"/>
      <c r="P112" s="235"/>
      <c r="Q112" s="235"/>
      <c r="R112" s="235"/>
      <c r="S112" s="235"/>
      <c r="T112" s="235"/>
      <c r="U112" s="235"/>
      <c r="V112" s="235"/>
      <c r="W112" s="235"/>
      <c r="X112" s="235"/>
      <c r="Y112" s="235"/>
      <c r="Z112" s="235"/>
    </row>
    <row r="113">
      <c r="A113" s="236" t="str">
        <f>IFERROR(__xludf.DUMMYFUNCTION("""COMPUTED_VALUE"""),"Emotion Stoker [Occult]")</f>
        <v>Emotion Stoker [Occult]</v>
      </c>
      <c r="B113" s="236" t="str">
        <f>IFERROR(__xludf.DUMMYFUNCTION("""COMPUTED_VALUE"""),"Perform a Focus Check. The user can target any number of Creatures that they can see and either dampen or boost a specific emotion of their choice. The Target(s) must pass a Focus Check with a CR equal to the number of Successes of your Focus Check in ord"&amp;"er to resist this effect. The effectiveness of the Capability depends on how many successes they failed this check by. Creatures under the effect of this will have the chosen emotion altered in a way that is natural and feels that it was of their own voli"&amp;"tion. If the chosen emotion is counter to their personality or their natural reactions in the Scene, they are unaffected by this Capability or have a Boon to this Check. For example, a Mind Mage dampens the rage of a wild nidoqueen and she calms down. The"&amp;"y boost the courage of a scared totodile so it joins the fight.")</f>
        <v>Perform a Focus Check. The user can target any number of Creatures that they can see and either dampen or boost a specific emotion of their choice. The Target(s) must pass a Focus Check with a CR equal to the number of Successes of your Focus Check in order to resist this effect. The effectiveness of the Capability depends on how many successes they failed this check by. Creatures under the effect of this will have the chosen emotion altered in a way that is natural and feels that it was of their own volition. If the chosen emotion is counter to their personality or their natural reactions in the Scene, they are unaffected by this Capability or have a Boon to this Check. For example, a Mind Mage dampens the rage of a wild nidoqueen and she calms down. They boost the courage of a scared totodile so it joins the fight.</v>
      </c>
      <c r="C113" s="237"/>
      <c r="D113" s="237"/>
      <c r="E113" s="238"/>
      <c r="F113" s="238"/>
      <c r="G113" s="239"/>
      <c r="H113" s="239"/>
      <c r="I113" s="235"/>
      <c r="J113" s="235"/>
      <c r="K113" s="235"/>
      <c r="L113" s="235"/>
      <c r="M113" s="235"/>
      <c r="N113" s="235"/>
      <c r="O113" s="235"/>
      <c r="P113" s="235"/>
      <c r="Q113" s="235"/>
      <c r="R113" s="235"/>
      <c r="S113" s="235"/>
      <c r="T113" s="235"/>
      <c r="U113" s="235"/>
      <c r="V113" s="235"/>
      <c r="W113" s="235"/>
      <c r="X113" s="235"/>
      <c r="Y113" s="235"/>
      <c r="Z113" s="235"/>
    </row>
    <row r="114">
      <c r="A114" s="236" t="str">
        <f>IFERROR(__xludf.DUMMYFUNCTION("""COMPUTED_VALUE"""),"Lifesense [Occult]")</f>
        <v>Lifesense [Occult]</v>
      </c>
      <c r="B114" s="236" t="str">
        <f>IFERROR(__xludf.DUMMYFUNCTION("""COMPUTED_VALUE"""),"You can innately sense how many living beings are within 10m of you and their general direction from you. The only thing you sense is their pulse and heartbeat. If a creature would have the Breathless or Dead Silent Capability, it requires a Perception Ch"&amp;"eck opposed by their Stealth. At the cost of 1 SP this range increases to 50m.")</f>
        <v>You can innately sense how many living beings are within 10m of you and their general direction from you. The only thing you sense is their pulse and heartbeat. If a creature would have the Breathless or Dead Silent Capability, it requires a Perception Check opposed by their Stealth. At the cost of 1 SP this range increases to 50m.</v>
      </c>
      <c r="C114" s="237"/>
      <c r="D114" s="237"/>
      <c r="E114" s="238"/>
      <c r="F114" s="238"/>
      <c r="G114" s="239"/>
      <c r="H114" s="239"/>
      <c r="I114" s="235"/>
      <c r="J114" s="235"/>
      <c r="K114" s="235"/>
      <c r="L114" s="235"/>
      <c r="M114" s="235"/>
      <c r="N114" s="235"/>
      <c r="O114" s="235"/>
      <c r="P114" s="235"/>
      <c r="Q114" s="235"/>
      <c r="R114" s="235"/>
      <c r="S114" s="235"/>
      <c r="T114" s="235"/>
      <c r="U114" s="235"/>
      <c r="V114" s="235"/>
      <c r="W114" s="235"/>
      <c r="X114" s="235"/>
      <c r="Y114" s="235"/>
      <c r="Z114" s="235"/>
    </row>
    <row r="115">
      <c r="A115" s="236" t="str">
        <f>IFERROR(__xludf.DUMMYFUNCTION("""COMPUTED_VALUE"""),"Lifetouch [Occult]")</f>
        <v>Lifetouch [Occult]</v>
      </c>
      <c r="B115" s="236" t="str">
        <f>IFERROR(__xludf.DUMMYFUNCTION("""COMPUTED_VALUE"""),"The user is able to restore life or purify it in some way or form. This could be through healing, revival or curing of ailments. The extent of which the user is able to restore life is at the GM’s discretion based on the source. Examples of which can be S"&amp;"uicune purifying lakes or Shaymin making flowers bloom to life. In order to use this Capability you need an environment where you can focus and time based on the extent of what they’re healing (As such cannot be used in combat)")</f>
        <v>The user is able to restore life or purify it in some way or form. This could be through healing, revival or curing of ailments. The extent of which the user is able to restore life is at the GM’s discretion based on the source. Examples of which can be Suicune purifying lakes or Shaymin making flowers bloom to life. In order to use this Capability you need an environment where you can focus and time based on the extent of what they’re healing (As such cannot be used in combat)</v>
      </c>
      <c r="C115" s="237"/>
      <c r="D115" s="237"/>
      <c r="E115" s="238"/>
      <c r="F115" s="238"/>
      <c r="G115" s="239"/>
      <c r="H115" s="239"/>
      <c r="I115" s="235"/>
      <c r="J115" s="235"/>
      <c r="K115" s="235"/>
      <c r="L115" s="235"/>
      <c r="M115" s="235"/>
      <c r="N115" s="235"/>
      <c r="O115" s="235"/>
      <c r="P115" s="235"/>
      <c r="Q115" s="235"/>
      <c r="R115" s="235"/>
      <c r="S115" s="235"/>
      <c r="T115" s="235"/>
      <c r="U115" s="235"/>
      <c r="V115" s="235"/>
      <c r="W115" s="235"/>
      <c r="X115" s="235"/>
      <c r="Y115" s="235"/>
      <c r="Z115" s="235"/>
    </row>
    <row r="116">
      <c r="A116" s="236" t="str">
        <f>IFERROR(__xludf.DUMMYFUNCTION("""COMPUTED_VALUE"""),"Portal Creation [Occult]")</f>
        <v>Portal Creation [Occult]</v>
      </c>
      <c r="B116" s="236" t="str">
        <f>IFERROR(__xludf.DUMMYFUNCTION("""COMPUTED_VALUE"""),"The user is able to create portals that can transport anyone who walks through to a waypoint they’ve created or connected to. It takes at least 30 Minutes to create a portal. A portal can only reach about 2m in height and cannot transport anything larger."&amp;" A portal lasts for around 5 minutes before dissipating unless the user has their entire concentration on it staying active and is within 3m of the portal’s starting point. Portals can only have their destination be to a “waypoint”. A waypoint can be crea"&amp;"ted (or connected to an existing one) as a DC 50 Occult Edu Long Term Innovation Project. Waypoints are physical sigils of energy that can be destroyed.")</f>
        <v>The user is able to create portals that can transport anyone who walks through to a waypoint they’ve created or connected to. It takes at least 30 Minutes to create a portal. A portal can only reach about 2m in height and cannot transport anything larger. A portal lasts for around 5 minutes before dissipating unless the user has their entire concentration on it staying active and is within 3m of the portal’s starting point. Portals can only have their destination be to a “waypoint”. A waypoint can be created (or connected to an existing one) as a DC 50 Occult Edu Long Term Innovation Project. Waypoints are physical sigils of energy that can be destroyed.</v>
      </c>
      <c r="C116" s="237"/>
      <c r="D116" s="237"/>
      <c r="E116" s="238"/>
      <c r="F116" s="238"/>
      <c r="G116" s="239"/>
      <c r="H116" s="239"/>
      <c r="I116" s="235"/>
      <c r="J116" s="235"/>
      <c r="K116" s="235"/>
      <c r="L116" s="235"/>
      <c r="M116" s="235"/>
      <c r="N116" s="235"/>
      <c r="O116" s="235"/>
      <c r="P116" s="235"/>
      <c r="Q116" s="235"/>
      <c r="R116" s="235"/>
      <c r="S116" s="235"/>
      <c r="T116" s="235"/>
      <c r="U116" s="235"/>
      <c r="V116" s="235"/>
      <c r="W116" s="235"/>
      <c r="X116" s="235"/>
      <c r="Y116" s="235"/>
      <c r="Z116" s="235"/>
    </row>
    <row r="117">
      <c r="A117" s="236" t="str">
        <f>IFERROR(__xludf.DUMMYFUNCTION("""COMPUTED_VALUE"""),"Pokespeech [Occult]")</f>
        <v>Pokespeech [Occult]</v>
      </c>
      <c r="B117" s="236" t="str">
        <f>IFERROR(__xludf.DUMMYFUNCTION("""COMPUTED_VALUE"""),"The user is able to understand Pokemon as if they were talking in their native language and is able to communicate with them in turn. If the user is a Pokemon, they’re able to speak in a language that humans can understand.")</f>
        <v>The user is able to understand Pokemon as if they were talking in their native language and is able to communicate with them in turn. If the user is a Pokemon, they’re able to speak in a language that humans can understand.</v>
      </c>
      <c r="C117" s="237"/>
      <c r="D117" s="237"/>
      <c r="E117" s="238"/>
      <c r="F117" s="238"/>
      <c r="G117" s="239"/>
      <c r="H117" s="239"/>
      <c r="I117" s="235"/>
      <c r="J117" s="235"/>
      <c r="K117" s="235"/>
      <c r="L117" s="235"/>
      <c r="M117" s="235"/>
      <c r="N117" s="235"/>
      <c r="O117" s="235"/>
      <c r="P117" s="235"/>
      <c r="Q117" s="235"/>
      <c r="R117" s="235"/>
      <c r="S117" s="235"/>
      <c r="T117" s="235"/>
      <c r="U117" s="235"/>
      <c r="V117" s="235"/>
      <c r="W117" s="235"/>
      <c r="X117" s="235"/>
      <c r="Y117" s="235"/>
      <c r="Z117" s="235"/>
    </row>
    <row r="118">
      <c r="A118" s="236" t="str">
        <f>IFERROR(__xludf.DUMMYFUNCTION("""COMPUTED_VALUE"""),"Scrying [Occult]")</f>
        <v>Scrying [Occult]</v>
      </c>
      <c r="B118" s="236" t="str">
        <f>IFERROR(__xludf.DUMMYFUNCTION("""COMPUTED_VALUE"""),"While the user is touching something, they may see a vision of something related to what they’re touching that has occurred within the last 24 hours or something that will occur within the next 24 hours. For example, the user may touch some prints in the "&amp;"mud and get a vision of a rampaging Rhydon that made them earlier in the day. An object can only be targeted this way once per day. The user may expend 1 SP to apply any of the following effects to the usage of this Capability.
» They may choose whether "&amp;"the vision is from the past or the future.
» They may extend the scope of the vision to a week instead of 24 hours.
» They may gain insight and may focus further on an aspect of the vision they gained.")</f>
        <v>While the user is touching something, they may see a vision of something related to what they’re touching that has occurred within the last 24 hours or something that will occur within the next 24 hours. For example, the user may touch some prints in the mud and get a vision of a rampaging Rhydon that made them earlier in the day. An object can only be targeted this way once per day. The user may expend 1 SP to apply any of the following effects to the usage of this Capability.
» They may choose whether the vision is from the past or the future.
» They may extend the scope of the vision to a week instead of 24 hours.
» They may gain insight and may focus further on an aspect of the vision they gained.</v>
      </c>
      <c r="C118" s="237"/>
      <c r="D118" s="237"/>
      <c r="E118" s="238"/>
      <c r="F118" s="238"/>
      <c r="G118" s="239"/>
      <c r="H118" s="239"/>
      <c r="I118" s="235"/>
      <c r="J118" s="235"/>
      <c r="K118" s="235"/>
      <c r="L118" s="235"/>
      <c r="M118" s="235"/>
      <c r="N118" s="235"/>
      <c r="O118" s="235"/>
      <c r="P118" s="235"/>
      <c r="Q118" s="235"/>
      <c r="R118" s="235"/>
      <c r="S118" s="235"/>
      <c r="T118" s="235"/>
      <c r="U118" s="235"/>
      <c r="V118" s="235"/>
      <c r="W118" s="235"/>
      <c r="X118" s="235"/>
      <c r="Y118" s="235"/>
      <c r="Z118" s="235"/>
    </row>
    <row r="119">
      <c r="A119" s="236"/>
      <c r="B119" s="236"/>
      <c r="C119" s="237"/>
      <c r="D119" s="237"/>
      <c r="E119" s="238"/>
      <c r="F119" s="238"/>
      <c r="G119" s="239"/>
      <c r="H119" s="239"/>
      <c r="I119" s="235"/>
      <c r="J119" s="235"/>
      <c r="K119" s="235"/>
      <c r="L119" s="235"/>
      <c r="M119" s="235"/>
      <c r="N119" s="235"/>
      <c r="O119" s="235"/>
      <c r="P119" s="235"/>
      <c r="Q119" s="235"/>
      <c r="R119" s="235"/>
      <c r="S119" s="235"/>
      <c r="T119" s="235"/>
      <c r="U119" s="235"/>
      <c r="V119" s="235"/>
      <c r="W119" s="235"/>
      <c r="X119" s="235"/>
      <c r="Y119" s="235"/>
      <c r="Z119" s="235"/>
    </row>
    <row r="120">
      <c r="A120" s="236"/>
      <c r="B120" s="236"/>
      <c r="C120" s="237"/>
      <c r="D120" s="237"/>
      <c r="E120" s="238"/>
      <c r="F120" s="238"/>
      <c r="G120" s="239"/>
      <c r="H120" s="239"/>
      <c r="I120" s="235"/>
      <c r="J120" s="235"/>
      <c r="K120" s="235"/>
      <c r="L120" s="235"/>
      <c r="M120" s="235"/>
      <c r="N120" s="235"/>
      <c r="O120" s="235"/>
      <c r="P120" s="235"/>
      <c r="Q120" s="235"/>
      <c r="R120" s="235"/>
      <c r="S120" s="235"/>
      <c r="T120" s="235"/>
      <c r="U120" s="235"/>
      <c r="V120" s="235"/>
      <c r="W120" s="235"/>
      <c r="X120" s="235"/>
      <c r="Y120" s="235"/>
      <c r="Z120" s="235"/>
    </row>
    <row r="121">
      <c r="A121" s="236"/>
      <c r="B121" s="236"/>
      <c r="C121" s="237"/>
      <c r="D121" s="237"/>
      <c r="E121" s="238"/>
      <c r="F121" s="238"/>
      <c r="G121" s="239"/>
      <c r="H121" s="239"/>
      <c r="I121" s="235"/>
      <c r="J121" s="235"/>
      <c r="K121" s="235"/>
      <c r="L121" s="235"/>
      <c r="M121" s="235"/>
      <c r="N121" s="235"/>
      <c r="O121" s="235"/>
      <c r="P121" s="235"/>
      <c r="Q121" s="235"/>
      <c r="R121" s="235"/>
      <c r="S121" s="235"/>
      <c r="T121" s="235"/>
      <c r="U121" s="235"/>
      <c r="V121" s="235"/>
      <c r="W121" s="235"/>
      <c r="X121" s="235"/>
      <c r="Y121" s="235"/>
      <c r="Z121" s="235"/>
    </row>
    <row r="122">
      <c r="A122" s="236"/>
      <c r="B122" s="236"/>
      <c r="C122" s="237"/>
      <c r="D122" s="237"/>
      <c r="E122" s="238"/>
      <c r="F122" s="238"/>
      <c r="G122" s="239"/>
      <c r="H122" s="239"/>
      <c r="I122" s="235"/>
      <c r="J122" s="235"/>
      <c r="K122" s="235"/>
      <c r="L122" s="235"/>
      <c r="M122" s="235"/>
      <c r="N122" s="235"/>
      <c r="O122" s="235"/>
      <c r="P122" s="235"/>
      <c r="Q122" s="235"/>
      <c r="R122" s="235"/>
      <c r="S122" s="235"/>
      <c r="T122" s="235"/>
      <c r="U122" s="235"/>
      <c r="V122" s="235"/>
      <c r="W122" s="235"/>
      <c r="X122" s="235"/>
      <c r="Y122" s="235"/>
      <c r="Z122" s="235"/>
    </row>
    <row r="123">
      <c r="A123" s="236"/>
      <c r="B123" s="236"/>
      <c r="C123" s="237"/>
      <c r="D123" s="237"/>
      <c r="E123" s="238"/>
      <c r="F123" s="238"/>
      <c r="G123" s="239"/>
      <c r="H123" s="239"/>
      <c r="I123" s="235"/>
      <c r="J123" s="235"/>
      <c r="K123" s="235"/>
      <c r="L123" s="235"/>
      <c r="M123" s="235"/>
      <c r="N123" s="235"/>
      <c r="O123" s="235"/>
      <c r="P123" s="235"/>
      <c r="Q123" s="235"/>
      <c r="R123" s="235"/>
      <c r="S123" s="235"/>
      <c r="T123" s="235"/>
      <c r="U123" s="235"/>
      <c r="V123" s="235"/>
      <c r="W123" s="235"/>
      <c r="X123" s="235"/>
      <c r="Y123" s="235"/>
      <c r="Z123" s="235"/>
    </row>
    <row r="124">
      <c r="A124" s="236"/>
      <c r="B124" s="236"/>
      <c r="C124" s="237"/>
      <c r="D124" s="237"/>
      <c r="E124" s="238"/>
      <c r="F124" s="238"/>
      <c r="G124" s="239"/>
      <c r="H124" s="239"/>
      <c r="I124" s="235"/>
      <c r="J124" s="235"/>
      <c r="K124" s="235"/>
      <c r="L124" s="235"/>
      <c r="M124" s="235"/>
      <c r="N124" s="235"/>
      <c r="O124" s="235"/>
      <c r="P124" s="235"/>
      <c r="Q124" s="235"/>
      <c r="R124" s="235"/>
      <c r="S124" s="235"/>
      <c r="T124" s="235"/>
      <c r="U124" s="235"/>
      <c r="V124" s="235"/>
      <c r="W124" s="235"/>
      <c r="X124" s="235"/>
      <c r="Y124" s="235"/>
      <c r="Z124" s="235"/>
    </row>
    <row r="125">
      <c r="A125" s="236"/>
      <c r="B125" s="236"/>
      <c r="C125" s="237"/>
      <c r="D125" s="237"/>
      <c r="E125" s="238"/>
      <c r="F125" s="238"/>
      <c r="G125" s="239"/>
      <c r="H125" s="239"/>
      <c r="I125" s="235"/>
      <c r="J125" s="235"/>
      <c r="K125" s="235"/>
      <c r="L125" s="235"/>
      <c r="M125" s="235"/>
      <c r="N125" s="235"/>
      <c r="O125" s="235"/>
      <c r="P125" s="235"/>
      <c r="Q125" s="235"/>
      <c r="R125" s="235"/>
      <c r="S125" s="235"/>
      <c r="T125" s="235"/>
      <c r="U125" s="235"/>
      <c r="V125" s="235"/>
      <c r="W125" s="235"/>
      <c r="X125" s="235"/>
      <c r="Y125" s="235"/>
      <c r="Z125" s="235"/>
    </row>
    <row r="126">
      <c r="A126" s="236"/>
      <c r="B126" s="236"/>
      <c r="C126" s="237"/>
      <c r="D126" s="237"/>
      <c r="E126" s="238"/>
      <c r="F126" s="238"/>
      <c r="G126" s="239"/>
      <c r="H126" s="239"/>
      <c r="I126" s="235"/>
      <c r="J126" s="235"/>
      <c r="K126" s="235"/>
      <c r="L126" s="235"/>
      <c r="M126" s="235"/>
      <c r="N126" s="235"/>
      <c r="O126" s="235"/>
      <c r="P126" s="235"/>
      <c r="Q126" s="235"/>
      <c r="R126" s="235"/>
      <c r="S126" s="235"/>
      <c r="T126" s="235"/>
      <c r="U126" s="235"/>
      <c r="V126" s="235"/>
      <c r="W126" s="235"/>
      <c r="X126" s="235"/>
      <c r="Y126" s="235"/>
      <c r="Z126" s="235"/>
    </row>
    <row r="127">
      <c r="A127" s="236"/>
      <c r="B127" s="236"/>
      <c r="C127" s="237"/>
      <c r="D127" s="237"/>
      <c r="E127" s="238"/>
      <c r="F127" s="238"/>
      <c r="G127" s="239"/>
      <c r="H127" s="239"/>
      <c r="I127" s="235"/>
      <c r="J127" s="235"/>
      <c r="K127" s="235"/>
      <c r="L127" s="235"/>
      <c r="M127" s="235"/>
      <c r="N127" s="235"/>
      <c r="O127" s="235"/>
      <c r="P127" s="235"/>
      <c r="Q127" s="235"/>
      <c r="R127" s="235"/>
      <c r="S127" s="235"/>
      <c r="T127" s="235"/>
      <c r="U127" s="235"/>
      <c r="V127" s="235"/>
      <c r="W127" s="235"/>
      <c r="X127" s="235"/>
      <c r="Y127" s="235"/>
      <c r="Z127" s="235"/>
    </row>
    <row r="128">
      <c r="A128" s="236"/>
      <c r="B128" s="236"/>
      <c r="C128" s="237"/>
      <c r="D128" s="237"/>
      <c r="E128" s="238"/>
      <c r="F128" s="238"/>
      <c r="G128" s="239"/>
      <c r="H128" s="239"/>
      <c r="I128" s="235"/>
      <c r="J128" s="235"/>
      <c r="K128" s="235"/>
      <c r="L128" s="235"/>
      <c r="M128" s="235"/>
      <c r="N128" s="235"/>
      <c r="O128" s="235"/>
      <c r="P128" s="235"/>
      <c r="Q128" s="235"/>
      <c r="R128" s="235"/>
      <c r="S128" s="235"/>
      <c r="T128" s="235"/>
      <c r="U128" s="235"/>
      <c r="V128" s="235"/>
      <c r="W128" s="235"/>
      <c r="X128" s="235"/>
      <c r="Y128" s="235"/>
      <c r="Z128" s="235"/>
    </row>
    <row r="129">
      <c r="A129" s="236"/>
      <c r="B129" s="236"/>
      <c r="C129" s="237"/>
      <c r="D129" s="237"/>
      <c r="E129" s="238"/>
      <c r="F129" s="238"/>
      <c r="G129" s="239"/>
      <c r="H129" s="239"/>
      <c r="I129" s="235"/>
      <c r="J129" s="235"/>
      <c r="K129" s="235"/>
      <c r="L129" s="235"/>
      <c r="M129" s="235"/>
      <c r="N129" s="235"/>
      <c r="O129" s="235"/>
      <c r="P129" s="235"/>
      <c r="Q129" s="235"/>
      <c r="R129" s="235"/>
      <c r="S129" s="235"/>
      <c r="T129" s="235"/>
      <c r="U129" s="235"/>
      <c r="V129" s="235"/>
      <c r="W129" s="235"/>
      <c r="X129" s="235"/>
      <c r="Y129" s="235"/>
      <c r="Z129" s="235"/>
    </row>
    <row r="130">
      <c r="A130" s="236"/>
      <c r="B130" s="236"/>
      <c r="C130" s="237"/>
      <c r="D130" s="237"/>
      <c r="E130" s="238"/>
      <c r="F130" s="238"/>
      <c r="G130" s="239"/>
      <c r="H130" s="239"/>
      <c r="I130" s="235"/>
      <c r="J130" s="235"/>
      <c r="K130" s="235"/>
      <c r="L130" s="235"/>
      <c r="M130" s="235"/>
      <c r="N130" s="235"/>
      <c r="O130" s="235"/>
      <c r="P130" s="235"/>
      <c r="Q130" s="235"/>
      <c r="R130" s="235"/>
      <c r="S130" s="235"/>
      <c r="T130" s="235"/>
      <c r="U130" s="235"/>
      <c r="V130" s="235"/>
      <c r="W130" s="235"/>
      <c r="X130" s="235"/>
      <c r="Y130" s="235"/>
      <c r="Z130" s="235"/>
    </row>
    <row r="131">
      <c r="A131" s="236"/>
      <c r="B131" s="236"/>
      <c r="C131" s="237"/>
      <c r="D131" s="237"/>
      <c r="E131" s="238"/>
      <c r="F131" s="238"/>
      <c r="G131" s="239"/>
      <c r="H131" s="239"/>
      <c r="I131" s="235"/>
      <c r="J131" s="235"/>
      <c r="K131" s="235"/>
      <c r="L131" s="235"/>
      <c r="M131" s="235"/>
      <c r="N131" s="235"/>
      <c r="O131" s="235"/>
      <c r="P131" s="235"/>
      <c r="Q131" s="235"/>
      <c r="R131" s="235"/>
      <c r="S131" s="235"/>
      <c r="T131" s="235"/>
      <c r="U131" s="235"/>
      <c r="V131" s="235"/>
      <c r="W131" s="235"/>
      <c r="X131" s="235"/>
      <c r="Y131" s="235"/>
      <c r="Z131" s="235"/>
    </row>
    <row r="132">
      <c r="A132" s="236"/>
      <c r="B132" s="236"/>
      <c r="C132" s="237"/>
      <c r="D132" s="237"/>
      <c r="E132" s="238"/>
      <c r="F132" s="238"/>
      <c r="G132" s="239"/>
      <c r="H132" s="239"/>
      <c r="I132" s="235"/>
      <c r="J132" s="235"/>
      <c r="K132" s="235"/>
      <c r="L132" s="235"/>
      <c r="M132" s="235"/>
      <c r="N132" s="235"/>
      <c r="O132" s="235"/>
      <c r="P132" s="235"/>
      <c r="Q132" s="235"/>
      <c r="R132" s="235"/>
      <c r="S132" s="235"/>
      <c r="T132" s="235"/>
      <c r="U132" s="235"/>
      <c r="V132" s="235"/>
      <c r="W132" s="235"/>
      <c r="X132" s="235"/>
      <c r="Y132" s="235"/>
      <c r="Z132" s="235"/>
    </row>
    <row r="133">
      <c r="A133" s="236"/>
      <c r="B133" s="236"/>
      <c r="C133" s="237"/>
      <c r="D133" s="237"/>
      <c r="E133" s="238"/>
      <c r="F133" s="238"/>
      <c r="G133" s="239"/>
      <c r="H133" s="239"/>
      <c r="I133" s="235"/>
      <c r="J133" s="235"/>
      <c r="K133" s="235"/>
      <c r="L133" s="235"/>
      <c r="M133" s="235"/>
      <c r="N133" s="235"/>
      <c r="O133" s="235"/>
      <c r="P133" s="235"/>
      <c r="Q133" s="235"/>
      <c r="R133" s="235"/>
      <c r="S133" s="235"/>
      <c r="T133" s="235"/>
      <c r="U133" s="235"/>
      <c r="V133" s="235"/>
      <c r="W133" s="235"/>
      <c r="X133" s="235"/>
      <c r="Y133" s="235"/>
      <c r="Z133" s="235"/>
    </row>
    <row r="134">
      <c r="A134" s="236"/>
      <c r="B134" s="236"/>
      <c r="C134" s="237"/>
      <c r="D134" s="237"/>
      <c r="E134" s="238"/>
      <c r="F134" s="238"/>
      <c r="G134" s="239"/>
      <c r="H134" s="239"/>
      <c r="I134" s="235"/>
      <c r="J134" s="235"/>
      <c r="K134" s="235"/>
      <c r="L134" s="235"/>
      <c r="M134" s="235"/>
      <c r="N134" s="235"/>
      <c r="O134" s="235"/>
      <c r="P134" s="235"/>
      <c r="Q134" s="235"/>
      <c r="R134" s="235"/>
      <c r="S134" s="235"/>
      <c r="T134" s="235"/>
      <c r="U134" s="235"/>
      <c r="V134" s="235"/>
      <c r="W134" s="235"/>
      <c r="X134" s="235"/>
      <c r="Y134" s="235"/>
      <c r="Z134" s="235"/>
    </row>
    <row r="135">
      <c r="A135" s="236"/>
      <c r="B135" s="236"/>
      <c r="C135" s="237"/>
      <c r="D135" s="237"/>
      <c r="E135" s="238"/>
      <c r="F135" s="238"/>
      <c r="G135" s="239"/>
      <c r="H135" s="239"/>
      <c r="I135" s="235"/>
      <c r="J135" s="235"/>
      <c r="K135" s="235"/>
      <c r="L135" s="235"/>
      <c r="M135" s="235"/>
      <c r="N135" s="235"/>
      <c r="O135" s="235"/>
      <c r="P135" s="235"/>
      <c r="Q135" s="235"/>
      <c r="R135" s="235"/>
      <c r="S135" s="235"/>
      <c r="T135" s="235"/>
      <c r="U135" s="235"/>
      <c r="V135" s="235"/>
      <c r="W135" s="235"/>
      <c r="X135" s="235"/>
      <c r="Y135" s="235"/>
      <c r="Z135" s="235"/>
    </row>
    <row r="136">
      <c r="A136" s="236"/>
      <c r="B136" s="236"/>
      <c r="C136" s="237"/>
      <c r="D136" s="237"/>
      <c r="E136" s="238"/>
      <c r="F136" s="238"/>
      <c r="G136" s="239"/>
      <c r="H136" s="239"/>
      <c r="I136" s="235"/>
      <c r="J136" s="235"/>
      <c r="K136" s="235"/>
      <c r="L136" s="235"/>
      <c r="M136" s="235"/>
      <c r="N136" s="235"/>
      <c r="O136" s="235"/>
      <c r="P136" s="235"/>
      <c r="Q136" s="235"/>
      <c r="R136" s="235"/>
      <c r="S136" s="235"/>
      <c r="T136" s="235"/>
      <c r="U136" s="235"/>
      <c r="V136" s="235"/>
      <c r="W136" s="235"/>
      <c r="X136" s="235"/>
      <c r="Y136" s="235"/>
      <c r="Z136" s="235"/>
    </row>
    <row r="137">
      <c r="A137" s="236"/>
      <c r="B137" s="236"/>
      <c r="C137" s="237"/>
      <c r="D137" s="237"/>
      <c r="E137" s="238"/>
      <c r="F137" s="238"/>
      <c r="G137" s="239"/>
      <c r="H137" s="239"/>
      <c r="I137" s="235"/>
      <c r="J137" s="235"/>
      <c r="K137" s="235"/>
      <c r="L137" s="235"/>
      <c r="M137" s="235"/>
      <c r="N137" s="235"/>
      <c r="O137" s="235"/>
      <c r="P137" s="235"/>
      <c r="Q137" s="235"/>
      <c r="R137" s="235"/>
      <c r="S137" s="235"/>
      <c r="T137" s="235"/>
      <c r="U137" s="235"/>
      <c r="V137" s="235"/>
      <c r="W137" s="235"/>
      <c r="X137" s="235"/>
      <c r="Y137" s="235"/>
      <c r="Z137" s="235"/>
    </row>
    <row r="138">
      <c r="A138" s="236"/>
      <c r="B138" s="236"/>
      <c r="C138" s="237"/>
      <c r="D138" s="237"/>
      <c r="E138" s="238"/>
      <c r="F138" s="238"/>
      <c r="G138" s="239"/>
      <c r="H138" s="239"/>
      <c r="I138" s="235"/>
      <c r="J138" s="235"/>
      <c r="K138" s="235"/>
      <c r="L138" s="235"/>
      <c r="M138" s="235"/>
      <c r="N138" s="235"/>
      <c r="O138" s="235"/>
      <c r="P138" s="235"/>
      <c r="Q138" s="235"/>
      <c r="R138" s="235"/>
      <c r="S138" s="235"/>
      <c r="T138" s="235"/>
      <c r="U138" s="235"/>
      <c r="V138" s="235"/>
      <c r="W138" s="235"/>
      <c r="X138" s="235"/>
      <c r="Y138" s="235"/>
      <c r="Z138" s="235"/>
    </row>
    <row r="139">
      <c r="A139" s="236"/>
      <c r="B139" s="236"/>
      <c r="C139" s="237"/>
      <c r="D139" s="237"/>
      <c r="E139" s="238"/>
      <c r="F139" s="238"/>
      <c r="G139" s="239"/>
      <c r="H139" s="239"/>
      <c r="I139" s="235"/>
      <c r="J139" s="235"/>
      <c r="K139" s="235"/>
      <c r="L139" s="235"/>
      <c r="M139" s="235"/>
      <c r="N139" s="235"/>
      <c r="O139" s="235"/>
      <c r="P139" s="235"/>
      <c r="Q139" s="235"/>
      <c r="R139" s="235"/>
      <c r="S139" s="235"/>
      <c r="T139" s="235"/>
      <c r="U139" s="235"/>
      <c r="V139" s="235"/>
      <c r="W139" s="235"/>
      <c r="X139" s="235"/>
      <c r="Y139" s="235"/>
      <c r="Z139" s="235"/>
    </row>
    <row r="140">
      <c r="A140" s="236"/>
      <c r="B140" s="236"/>
      <c r="C140" s="237"/>
      <c r="D140" s="237"/>
      <c r="E140" s="238"/>
      <c r="F140" s="238"/>
      <c r="G140" s="239"/>
      <c r="H140" s="239"/>
      <c r="I140" s="235"/>
      <c r="J140" s="235"/>
      <c r="K140" s="235"/>
      <c r="L140" s="235"/>
      <c r="M140" s="235"/>
      <c r="N140" s="235"/>
      <c r="O140" s="235"/>
      <c r="P140" s="235"/>
      <c r="Q140" s="235"/>
      <c r="R140" s="235"/>
      <c r="S140" s="235"/>
      <c r="T140" s="235"/>
      <c r="U140" s="235"/>
      <c r="V140" s="235"/>
      <c r="W140" s="235"/>
      <c r="X140" s="235"/>
      <c r="Y140" s="235"/>
      <c r="Z140" s="235"/>
    </row>
    <row r="141">
      <c r="A141" s="236"/>
      <c r="B141" s="236"/>
      <c r="C141" s="237"/>
      <c r="D141" s="237"/>
      <c r="E141" s="238"/>
      <c r="F141" s="238"/>
      <c r="G141" s="239"/>
      <c r="H141" s="239"/>
      <c r="I141" s="235"/>
      <c r="J141" s="235"/>
      <c r="K141" s="235"/>
      <c r="L141" s="235"/>
      <c r="M141" s="235"/>
      <c r="N141" s="235"/>
      <c r="O141" s="235"/>
      <c r="P141" s="235"/>
      <c r="Q141" s="235"/>
      <c r="R141" s="235"/>
      <c r="S141" s="235"/>
      <c r="T141" s="235"/>
      <c r="U141" s="235"/>
      <c r="V141" s="235"/>
      <c r="W141" s="235"/>
      <c r="X141" s="235"/>
      <c r="Y141" s="235"/>
      <c r="Z141" s="235"/>
    </row>
    <row r="142">
      <c r="A142" s="236"/>
      <c r="B142" s="236"/>
      <c r="C142" s="237"/>
      <c r="D142" s="237"/>
      <c r="E142" s="238"/>
      <c r="F142" s="238"/>
      <c r="G142" s="239"/>
      <c r="H142" s="239"/>
      <c r="I142" s="235"/>
      <c r="J142" s="235"/>
      <c r="K142" s="235"/>
      <c r="L142" s="235"/>
      <c r="M142" s="235"/>
      <c r="N142" s="235"/>
      <c r="O142" s="235"/>
      <c r="P142" s="235"/>
      <c r="Q142" s="235"/>
      <c r="R142" s="235"/>
      <c r="S142" s="235"/>
      <c r="T142" s="235"/>
      <c r="U142" s="235"/>
      <c r="V142" s="235"/>
      <c r="W142" s="235"/>
      <c r="X142" s="235"/>
      <c r="Y142" s="235"/>
      <c r="Z142" s="235"/>
    </row>
    <row r="143">
      <c r="A143" s="236"/>
      <c r="B143" s="236"/>
      <c r="C143" s="237"/>
      <c r="D143" s="237"/>
      <c r="E143" s="238"/>
      <c r="F143" s="238"/>
      <c r="G143" s="239"/>
      <c r="H143" s="239"/>
      <c r="I143" s="235"/>
      <c r="J143" s="235"/>
      <c r="K143" s="235"/>
      <c r="L143" s="235"/>
      <c r="M143" s="235"/>
      <c r="N143" s="235"/>
      <c r="O143" s="235"/>
      <c r="P143" s="235"/>
      <c r="Q143" s="235"/>
      <c r="R143" s="235"/>
      <c r="S143" s="235"/>
      <c r="T143" s="235"/>
      <c r="U143" s="235"/>
      <c r="V143" s="235"/>
      <c r="W143" s="235"/>
      <c r="X143" s="235"/>
      <c r="Y143" s="235"/>
      <c r="Z143" s="235"/>
    </row>
    <row r="144">
      <c r="A144" s="236"/>
      <c r="B144" s="236"/>
      <c r="C144" s="237"/>
      <c r="D144" s="237"/>
      <c r="E144" s="238"/>
      <c r="F144" s="238"/>
      <c r="G144" s="239"/>
      <c r="H144" s="239"/>
      <c r="I144" s="235"/>
      <c r="J144" s="235"/>
      <c r="K144" s="235"/>
      <c r="L144" s="235"/>
      <c r="M144" s="235"/>
      <c r="N144" s="235"/>
      <c r="O144" s="235"/>
      <c r="P144" s="235"/>
      <c r="Q144" s="235"/>
      <c r="R144" s="235"/>
      <c r="S144" s="235"/>
      <c r="T144" s="235"/>
      <c r="U144" s="235"/>
      <c r="V144" s="235"/>
      <c r="W144" s="235"/>
      <c r="X144" s="235"/>
      <c r="Y144" s="235"/>
      <c r="Z144" s="235"/>
    </row>
    <row r="145">
      <c r="A145" s="236"/>
      <c r="B145" s="236"/>
      <c r="C145" s="237"/>
      <c r="D145" s="237"/>
      <c r="E145" s="238"/>
      <c r="F145" s="238"/>
      <c r="G145" s="239"/>
      <c r="H145" s="239"/>
      <c r="I145" s="235"/>
      <c r="J145" s="235"/>
      <c r="K145" s="235"/>
      <c r="L145" s="235"/>
      <c r="M145" s="235"/>
      <c r="N145" s="235"/>
      <c r="O145" s="235"/>
      <c r="P145" s="235"/>
      <c r="Q145" s="235"/>
      <c r="R145" s="235"/>
      <c r="S145" s="235"/>
      <c r="T145" s="235"/>
      <c r="U145" s="235"/>
      <c r="V145" s="235"/>
      <c r="W145" s="235"/>
      <c r="X145" s="235"/>
      <c r="Y145" s="235"/>
      <c r="Z145" s="235"/>
    </row>
    <row r="146">
      <c r="A146" s="236"/>
      <c r="B146" s="236"/>
      <c r="C146" s="237"/>
      <c r="D146" s="237"/>
      <c r="E146" s="238"/>
      <c r="F146" s="238"/>
      <c r="G146" s="239"/>
      <c r="H146" s="239"/>
      <c r="I146" s="235"/>
      <c r="J146" s="235"/>
      <c r="K146" s="235"/>
      <c r="L146" s="235"/>
      <c r="M146" s="235"/>
      <c r="N146" s="235"/>
      <c r="O146" s="235"/>
      <c r="P146" s="235"/>
      <c r="Q146" s="235"/>
      <c r="R146" s="235"/>
      <c r="S146" s="235"/>
      <c r="T146" s="235"/>
      <c r="U146" s="235"/>
      <c r="V146" s="235"/>
      <c r="W146" s="235"/>
      <c r="X146" s="235"/>
      <c r="Y146" s="235"/>
      <c r="Z146" s="235"/>
    </row>
    <row r="147">
      <c r="A147" s="236"/>
      <c r="B147" s="236"/>
      <c r="C147" s="237"/>
      <c r="D147" s="237"/>
      <c r="E147" s="238"/>
      <c r="F147" s="238"/>
      <c r="G147" s="239"/>
      <c r="H147" s="239"/>
      <c r="I147" s="235"/>
      <c r="J147" s="235"/>
      <c r="K147" s="235"/>
      <c r="L147" s="235"/>
      <c r="M147" s="235"/>
      <c r="N147" s="235"/>
      <c r="O147" s="235"/>
      <c r="P147" s="235"/>
      <c r="Q147" s="235"/>
      <c r="R147" s="235"/>
      <c r="S147" s="235"/>
      <c r="T147" s="235"/>
      <c r="U147" s="235"/>
      <c r="V147" s="235"/>
      <c r="W147" s="235"/>
      <c r="X147" s="235"/>
      <c r="Y147" s="235"/>
      <c r="Z147" s="235"/>
    </row>
    <row r="148">
      <c r="A148" s="236"/>
      <c r="B148" s="236"/>
      <c r="C148" s="237"/>
      <c r="D148" s="237"/>
      <c r="E148" s="238"/>
      <c r="F148" s="238"/>
      <c r="G148" s="239"/>
      <c r="H148" s="239"/>
      <c r="I148" s="235"/>
      <c r="J148" s="235"/>
      <c r="K148" s="235"/>
      <c r="L148" s="235"/>
      <c r="M148" s="235"/>
      <c r="N148" s="235"/>
      <c r="O148" s="235"/>
      <c r="P148" s="235"/>
      <c r="Q148" s="235"/>
      <c r="R148" s="235"/>
      <c r="S148" s="235"/>
      <c r="T148" s="235"/>
      <c r="U148" s="235"/>
      <c r="V148" s="235"/>
      <c r="W148" s="235"/>
      <c r="X148" s="235"/>
      <c r="Y148" s="235"/>
      <c r="Z148" s="235"/>
    </row>
    <row r="149">
      <c r="A149" s="236"/>
      <c r="B149" s="236"/>
      <c r="C149" s="237"/>
      <c r="D149" s="237"/>
      <c r="E149" s="238"/>
      <c r="F149" s="238"/>
      <c r="G149" s="239"/>
      <c r="H149" s="239"/>
      <c r="I149" s="235"/>
      <c r="J149" s="235"/>
      <c r="K149" s="235"/>
      <c r="L149" s="235"/>
      <c r="M149" s="235"/>
      <c r="N149" s="235"/>
      <c r="O149" s="235"/>
      <c r="P149" s="235"/>
      <c r="Q149" s="235"/>
      <c r="R149" s="235"/>
      <c r="S149" s="235"/>
      <c r="T149" s="235"/>
      <c r="U149" s="235"/>
      <c r="V149" s="235"/>
      <c r="W149" s="235"/>
      <c r="X149" s="235"/>
      <c r="Y149" s="235"/>
      <c r="Z149" s="235"/>
    </row>
    <row r="150">
      <c r="A150" s="236"/>
      <c r="B150" s="236"/>
      <c r="C150" s="237"/>
      <c r="D150" s="237"/>
      <c r="E150" s="238"/>
      <c r="F150" s="238"/>
      <c r="G150" s="239"/>
      <c r="H150" s="239"/>
      <c r="I150" s="235"/>
      <c r="J150" s="235"/>
      <c r="K150" s="235"/>
      <c r="L150" s="235"/>
      <c r="M150" s="235"/>
      <c r="N150" s="235"/>
      <c r="O150" s="235"/>
      <c r="P150" s="235"/>
      <c r="Q150" s="235"/>
      <c r="R150" s="235"/>
      <c r="S150" s="235"/>
      <c r="T150" s="235"/>
      <c r="U150" s="235"/>
      <c r="V150" s="235"/>
      <c r="W150" s="235"/>
      <c r="X150" s="235"/>
      <c r="Y150" s="235"/>
      <c r="Z150" s="235"/>
    </row>
    <row r="151">
      <c r="A151" s="236"/>
      <c r="B151" s="236"/>
      <c r="C151" s="237"/>
      <c r="D151" s="237"/>
      <c r="E151" s="238"/>
      <c r="F151" s="238"/>
      <c r="G151" s="239"/>
      <c r="H151" s="239"/>
      <c r="I151" s="235"/>
      <c r="J151" s="235"/>
      <c r="K151" s="235"/>
      <c r="L151" s="235"/>
      <c r="M151" s="235"/>
      <c r="N151" s="235"/>
      <c r="O151" s="235"/>
      <c r="P151" s="235"/>
      <c r="Q151" s="235"/>
      <c r="R151" s="235"/>
      <c r="S151" s="235"/>
      <c r="T151" s="235"/>
      <c r="U151" s="235"/>
      <c r="V151" s="235"/>
      <c r="W151" s="235"/>
      <c r="X151" s="235"/>
      <c r="Y151" s="235"/>
      <c r="Z151" s="235"/>
    </row>
    <row r="152">
      <c r="A152" s="236"/>
      <c r="B152" s="236"/>
      <c r="C152" s="237"/>
      <c r="D152" s="237"/>
      <c r="E152" s="238"/>
      <c r="F152" s="238"/>
      <c r="G152" s="239"/>
      <c r="H152" s="239"/>
      <c r="I152" s="235"/>
      <c r="J152" s="235"/>
      <c r="K152" s="235"/>
      <c r="L152" s="235"/>
      <c r="M152" s="235"/>
      <c r="N152" s="235"/>
      <c r="O152" s="235"/>
      <c r="P152" s="235"/>
      <c r="Q152" s="235"/>
      <c r="R152" s="235"/>
      <c r="S152" s="235"/>
      <c r="T152" s="235"/>
      <c r="U152" s="235"/>
      <c r="V152" s="235"/>
      <c r="W152" s="235"/>
      <c r="X152" s="235"/>
      <c r="Y152" s="235"/>
      <c r="Z152" s="235"/>
    </row>
    <row r="153">
      <c r="A153" s="236"/>
      <c r="B153" s="236"/>
      <c r="C153" s="237"/>
      <c r="D153" s="237"/>
      <c r="E153" s="238"/>
      <c r="F153" s="238"/>
      <c r="G153" s="239"/>
      <c r="H153" s="239"/>
      <c r="I153" s="235"/>
      <c r="J153" s="235"/>
      <c r="K153" s="235"/>
      <c r="L153" s="235"/>
      <c r="M153" s="235"/>
      <c r="N153" s="235"/>
      <c r="O153" s="235"/>
      <c r="P153" s="235"/>
      <c r="Q153" s="235"/>
      <c r="R153" s="235"/>
      <c r="S153" s="235"/>
      <c r="T153" s="235"/>
      <c r="U153" s="235"/>
      <c r="V153" s="235"/>
      <c r="W153" s="235"/>
      <c r="X153" s="235"/>
      <c r="Y153" s="235"/>
      <c r="Z153" s="235"/>
    </row>
    <row r="154">
      <c r="A154" s="236"/>
      <c r="B154" s="236"/>
      <c r="C154" s="237"/>
      <c r="D154" s="237"/>
      <c r="E154" s="238"/>
      <c r="F154" s="238"/>
      <c r="G154" s="239"/>
      <c r="H154" s="239"/>
      <c r="I154" s="235"/>
      <c r="J154" s="235"/>
      <c r="K154" s="235"/>
      <c r="L154" s="235"/>
      <c r="M154" s="235"/>
      <c r="N154" s="235"/>
      <c r="O154" s="235"/>
      <c r="P154" s="235"/>
      <c r="Q154" s="235"/>
      <c r="R154" s="235"/>
      <c r="S154" s="235"/>
      <c r="T154" s="235"/>
      <c r="U154" s="235"/>
      <c r="V154" s="235"/>
      <c r="W154" s="235"/>
      <c r="X154" s="235"/>
      <c r="Y154" s="235"/>
      <c r="Z154" s="235"/>
    </row>
    <row r="155">
      <c r="A155" s="236"/>
      <c r="B155" s="236"/>
      <c r="C155" s="237"/>
      <c r="D155" s="237"/>
      <c r="E155" s="238"/>
      <c r="F155" s="238"/>
      <c r="G155" s="239"/>
      <c r="H155" s="239"/>
      <c r="I155" s="235"/>
      <c r="J155" s="235"/>
      <c r="K155" s="235"/>
      <c r="L155" s="235"/>
      <c r="M155" s="235"/>
      <c r="N155" s="235"/>
      <c r="O155" s="235"/>
      <c r="P155" s="235"/>
      <c r="Q155" s="235"/>
      <c r="R155" s="235"/>
      <c r="S155" s="235"/>
      <c r="T155" s="235"/>
      <c r="U155" s="235"/>
      <c r="V155" s="235"/>
      <c r="W155" s="235"/>
      <c r="X155" s="235"/>
      <c r="Y155" s="235"/>
      <c r="Z155" s="235"/>
    </row>
    <row r="156">
      <c r="A156" s="236"/>
      <c r="B156" s="236"/>
      <c r="C156" s="237"/>
      <c r="D156" s="237"/>
      <c r="E156" s="238"/>
      <c r="F156" s="238"/>
      <c r="G156" s="239"/>
      <c r="H156" s="239"/>
      <c r="I156" s="235"/>
      <c r="J156" s="235"/>
      <c r="K156" s="235"/>
      <c r="L156" s="235"/>
      <c r="M156" s="235"/>
      <c r="N156" s="235"/>
      <c r="O156" s="235"/>
      <c r="P156" s="235"/>
      <c r="Q156" s="235"/>
      <c r="R156" s="235"/>
      <c r="S156" s="235"/>
      <c r="T156" s="235"/>
      <c r="U156" s="235"/>
      <c r="V156" s="235"/>
      <c r="W156" s="235"/>
      <c r="X156" s="235"/>
      <c r="Y156" s="235"/>
      <c r="Z156" s="235"/>
    </row>
    <row r="157">
      <c r="A157" s="236"/>
      <c r="B157" s="236"/>
      <c r="C157" s="237"/>
      <c r="D157" s="237"/>
      <c r="E157" s="238"/>
      <c r="F157" s="238"/>
      <c r="G157" s="239"/>
      <c r="H157" s="239"/>
      <c r="I157" s="235"/>
      <c r="J157" s="235"/>
      <c r="K157" s="235"/>
      <c r="L157" s="235"/>
      <c r="M157" s="235"/>
      <c r="N157" s="235"/>
      <c r="O157" s="235"/>
      <c r="P157" s="235"/>
      <c r="Q157" s="235"/>
      <c r="R157" s="235"/>
      <c r="S157" s="235"/>
      <c r="T157" s="235"/>
      <c r="U157" s="235"/>
      <c r="V157" s="235"/>
      <c r="W157" s="235"/>
      <c r="X157" s="235"/>
      <c r="Y157" s="235"/>
      <c r="Z157" s="235"/>
    </row>
    <row r="158">
      <c r="A158" s="236"/>
      <c r="B158" s="236"/>
      <c r="C158" s="237"/>
      <c r="D158" s="237"/>
      <c r="E158" s="238"/>
      <c r="F158" s="238"/>
      <c r="G158" s="239"/>
      <c r="H158" s="239"/>
      <c r="I158" s="235"/>
      <c r="J158" s="235"/>
      <c r="K158" s="235"/>
      <c r="L158" s="235"/>
      <c r="M158" s="235"/>
      <c r="N158" s="235"/>
      <c r="O158" s="235"/>
      <c r="P158" s="235"/>
      <c r="Q158" s="235"/>
      <c r="R158" s="235"/>
      <c r="S158" s="235"/>
      <c r="T158" s="235"/>
      <c r="U158" s="235"/>
      <c r="V158" s="235"/>
      <c r="W158" s="235"/>
      <c r="X158" s="235"/>
      <c r="Y158" s="235"/>
      <c r="Z158" s="235"/>
    </row>
    <row r="159">
      <c r="A159" s="236"/>
      <c r="B159" s="236"/>
      <c r="C159" s="237"/>
      <c r="D159" s="237"/>
      <c r="E159" s="238"/>
      <c r="F159" s="238"/>
      <c r="G159" s="239"/>
      <c r="H159" s="239"/>
      <c r="I159" s="235"/>
      <c r="J159" s="235"/>
      <c r="K159" s="235"/>
      <c r="L159" s="235"/>
      <c r="M159" s="235"/>
      <c r="N159" s="235"/>
      <c r="O159" s="235"/>
      <c r="P159" s="235"/>
      <c r="Q159" s="235"/>
      <c r="R159" s="235"/>
      <c r="S159" s="235"/>
      <c r="T159" s="235"/>
      <c r="U159" s="235"/>
      <c r="V159" s="235"/>
      <c r="W159" s="235"/>
      <c r="X159" s="235"/>
      <c r="Y159" s="235"/>
      <c r="Z159" s="235"/>
    </row>
    <row r="160">
      <c r="A160" s="236"/>
      <c r="B160" s="236"/>
      <c r="C160" s="237"/>
      <c r="D160" s="237"/>
      <c r="E160" s="238"/>
      <c r="F160" s="238"/>
      <c r="G160" s="239"/>
      <c r="H160" s="239"/>
      <c r="I160" s="235"/>
      <c r="J160" s="235"/>
      <c r="K160" s="235"/>
      <c r="L160" s="235"/>
      <c r="M160" s="235"/>
      <c r="N160" s="235"/>
      <c r="O160" s="235"/>
      <c r="P160" s="235"/>
      <c r="Q160" s="235"/>
      <c r="R160" s="235"/>
      <c r="S160" s="235"/>
      <c r="T160" s="235"/>
      <c r="U160" s="235"/>
      <c r="V160" s="235"/>
      <c r="W160" s="235"/>
      <c r="X160" s="235"/>
      <c r="Y160" s="235"/>
      <c r="Z160" s="235"/>
    </row>
    <row r="161">
      <c r="A161" s="236"/>
      <c r="B161" s="236"/>
      <c r="C161" s="237"/>
      <c r="D161" s="237"/>
      <c r="E161" s="238"/>
      <c r="F161" s="238"/>
      <c r="G161" s="239"/>
      <c r="H161" s="239"/>
      <c r="I161" s="235"/>
      <c r="J161" s="235"/>
      <c r="K161" s="235"/>
      <c r="L161" s="235"/>
      <c r="M161" s="235"/>
      <c r="N161" s="235"/>
      <c r="O161" s="235"/>
      <c r="P161" s="235"/>
      <c r="Q161" s="235"/>
      <c r="R161" s="235"/>
      <c r="S161" s="235"/>
      <c r="T161" s="235"/>
      <c r="U161" s="235"/>
      <c r="V161" s="235"/>
      <c r="W161" s="235"/>
      <c r="X161" s="235"/>
      <c r="Y161" s="235"/>
      <c r="Z161" s="235"/>
    </row>
    <row r="162">
      <c r="A162" s="236"/>
      <c r="B162" s="236"/>
      <c r="C162" s="237"/>
      <c r="D162" s="237"/>
      <c r="E162" s="238"/>
      <c r="F162" s="238"/>
      <c r="G162" s="239"/>
      <c r="H162" s="239"/>
      <c r="I162" s="235"/>
      <c r="J162" s="235"/>
      <c r="K162" s="235"/>
      <c r="L162" s="235"/>
      <c r="M162" s="235"/>
      <c r="N162" s="235"/>
      <c r="O162" s="235"/>
      <c r="P162" s="235"/>
      <c r="Q162" s="235"/>
      <c r="R162" s="235"/>
      <c r="S162" s="235"/>
      <c r="T162" s="235"/>
      <c r="U162" s="235"/>
      <c r="V162" s="235"/>
      <c r="W162" s="235"/>
      <c r="X162" s="235"/>
      <c r="Y162" s="235"/>
      <c r="Z162" s="235"/>
    </row>
    <row r="163">
      <c r="A163" s="236"/>
      <c r="B163" s="236"/>
      <c r="C163" s="237"/>
      <c r="D163" s="237"/>
      <c r="E163" s="238"/>
      <c r="F163" s="238"/>
      <c r="G163" s="239"/>
      <c r="H163" s="239"/>
      <c r="I163" s="235"/>
      <c r="J163" s="235"/>
      <c r="K163" s="235"/>
      <c r="L163" s="235"/>
      <c r="M163" s="235"/>
      <c r="N163" s="235"/>
      <c r="O163" s="235"/>
      <c r="P163" s="235"/>
      <c r="Q163" s="235"/>
      <c r="R163" s="235"/>
      <c r="S163" s="235"/>
      <c r="T163" s="235"/>
      <c r="U163" s="235"/>
      <c r="V163" s="235"/>
      <c r="W163" s="235"/>
      <c r="X163" s="235"/>
      <c r="Y163" s="235"/>
      <c r="Z163" s="235"/>
    </row>
    <row r="164">
      <c r="A164" s="236"/>
      <c r="B164" s="236"/>
      <c r="C164" s="237"/>
      <c r="D164" s="237"/>
      <c r="E164" s="238"/>
      <c r="F164" s="238"/>
      <c r="G164" s="239"/>
      <c r="H164" s="239"/>
      <c r="I164" s="235"/>
      <c r="J164" s="235"/>
      <c r="K164" s="235"/>
      <c r="L164" s="235"/>
      <c r="M164" s="235"/>
      <c r="N164" s="235"/>
      <c r="O164" s="235"/>
      <c r="P164" s="235"/>
      <c r="Q164" s="235"/>
      <c r="R164" s="235"/>
      <c r="S164" s="235"/>
      <c r="T164" s="235"/>
      <c r="U164" s="235"/>
      <c r="V164" s="235"/>
      <c r="W164" s="235"/>
      <c r="X164" s="235"/>
      <c r="Y164" s="235"/>
      <c r="Z164" s="235"/>
    </row>
    <row r="165">
      <c r="A165" s="236"/>
      <c r="B165" s="236"/>
      <c r="C165" s="237"/>
      <c r="D165" s="237"/>
      <c r="E165" s="238"/>
      <c r="F165" s="238"/>
      <c r="G165" s="239"/>
      <c r="H165" s="239"/>
      <c r="I165" s="235"/>
      <c r="J165" s="235"/>
      <c r="K165" s="235"/>
      <c r="L165" s="235"/>
      <c r="M165" s="235"/>
      <c r="N165" s="235"/>
      <c r="O165" s="235"/>
      <c r="P165" s="235"/>
      <c r="Q165" s="235"/>
      <c r="R165" s="235"/>
      <c r="S165" s="235"/>
      <c r="T165" s="235"/>
      <c r="U165" s="235"/>
      <c r="V165" s="235"/>
      <c r="W165" s="235"/>
      <c r="X165" s="235"/>
      <c r="Y165" s="235"/>
      <c r="Z165" s="235"/>
    </row>
    <row r="166">
      <c r="A166" s="236"/>
      <c r="B166" s="236"/>
      <c r="C166" s="237"/>
      <c r="D166" s="237"/>
      <c r="E166" s="238"/>
      <c r="F166" s="238"/>
      <c r="G166" s="239"/>
      <c r="H166" s="239"/>
      <c r="I166" s="235"/>
      <c r="J166" s="235"/>
      <c r="K166" s="235"/>
      <c r="L166" s="235"/>
      <c r="M166" s="235"/>
      <c r="N166" s="235"/>
      <c r="O166" s="235"/>
      <c r="P166" s="235"/>
      <c r="Q166" s="235"/>
      <c r="R166" s="235"/>
      <c r="S166" s="235"/>
      <c r="T166" s="235"/>
      <c r="U166" s="235"/>
      <c r="V166" s="235"/>
      <c r="W166" s="235"/>
      <c r="X166" s="235"/>
      <c r="Y166" s="235"/>
      <c r="Z166" s="235"/>
    </row>
    <row r="167">
      <c r="A167" s="236"/>
      <c r="B167" s="236"/>
      <c r="C167" s="237"/>
      <c r="D167" s="237"/>
      <c r="E167" s="238"/>
      <c r="F167" s="238"/>
      <c r="G167" s="239"/>
      <c r="H167" s="239"/>
      <c r="I167" s="235"/>
      <c r="J167" s="235"/>
      <c r="K167" s="235"/>
      <c r="L167" s="235"/>
      <c r="M167" s="235"/>
      <c r="N167" s="235"/>
      <c r="O167" s="235"/>
      <c r="P167" s="235"/>
      <c r="Q167" s="235"/>
      <c r="R167" s="235"/>
      <c r="S167" s="235"/>
      <c r="T167" s="235"/>
      <c r="U167" s="235"/>
      <c r="V167" s="235"/>
      <c r="W167" s="235"/>
      <c r="X167" s="235"/>
      <c r="Y167" s="235"/>
      <c r="Z167" s="235"/>
    </row>
    <row r="168">
      <c r="A168" s="236"/>
      <c r="B168" s="236"/>
      <c r="C168" s="237"/>
      <c r="D168" s="237"/>
      <c r="E168" s="238"/>
      <c r="F168" s="238"/>
      <c r="G168" s="239"/>
      <c r="H168" s="239"/>
      <c r="I168" s="235"/>
      <c r="J168" s="235"/>
      <c r="K168" s="235"/>
      <c r="L168" s="235"/>
      <c r="M168" s="235"/>
      <c r="N168" s="235"/>
      <c r="O168" s="235"/>
      <c r="P168" s="235"/>
      <c r="Q168" s="235"/>
      <c r="R168" s="235"/>
      <c r="S168" s="235"/>
      <c r="T168" s="235"/>
      <c r="U168" s="235"/>
      <c r="V168" s="235"/>
      <c r="W168" s="235"/>
      <c r="X168" s="235"/>
      <c r="Y168" s="235"/>
      <c r="Z168" s="235"/>
    </row>
    <row r="169">
      <c r="A169" s="236"/>
      <c r="B169" s="236"/>
      <c r="C169" s="237"/>
      <c r="D169" s="237"/>
      <c r="E169" s="238"/>
      <c r="F169" s="238"/>
      <c r="G169" s="239"/>
      <c r="H169" s="239"/>
      <c r="I169" s="235"/>
      <c r="J169" s="235"/>
      <c r="K169" s="235"/>
      <c r="L169" s="235"/>
      <c r="M169" s="235"/>
      <c r="N169" s="235"/>
      <c r="O169" s="235"/>
      <c r="P169" s="235"/>
      <c r="Q169" s="235"/>
      <c r="R169" s="235"/>
      <c r="S169" s="235"/>
      <c r="T169" s="235"/>
      <c r="U169" s="235"/>
      <c r="V169" s="235"/>
      <c r="W169" s="235"/>
      <c r="X169" s="235"/>
      <c r="Y169" s="235"/>
      <c r="Z169" s="235"/>
    </row>
    <row r="170">
      <c r="A170" s="236"/>
      <c r="B170" s="236"/>
      <c r="C170" s="237"/>
      <c r="D170" s="237"/>
      <c r="E170" s="238"/>
      <c r="F170" s="238"/>
      <c r="G170" s="239"/>
      <c r="H170" s="239"/>
      <c r="I170" s="235"/>
      <c r="J170" s="235"/>
      <c r="K170" s="235"/>
      <c r="L170" s="235"/>
      <c r="M170" s="235"/>
      <c r="N170" s="235"/>
      <c r="O170" s="235"/>
      <c r="P170" s="235"/>
      <c r="Q170" s="235"/>
      <c r="R170" s="235"/>
      <c r="S170" s="235"/>
      <c r="T170" s="235"/>
      <c r="U170" s="235"/>
      <c r="V170" s="235"/>
      <c r="W170" s="235"/>
      <c r="X170" s="235"/>
      <c r="Y170" s="235"/>
      <c r="Z170" s="235"/>
    </row>
    <row r="171">
      <c r="A171" s="236"/>
      <c r="B171" s="236"/>
      <c r="C171" s="237"/>
      <c r="D171" s="237"/>
      <c r="E171" s="238"/>
      <c r="F171" s="238"/>
      <c r="G171" s="239"/>
      <c r="H171" s="239"/>
      <c r="I171" s="235"/>
      <c r="J171" s="235"/>
      <c r="K171" s="235"/>
      <c r="L171" s="235"/>
      <c r="M171" s="235"/>
      <c r="N171" s="235"/>
      <c r="O171" s="235"/>
      <c r="P171" s="235"/>
      <c r="Q171" s="235"/>
      <c r="R171" s="235"/>
      <c r="S171" s="235"/>
      <c r="T171" s="235"/>
      <c r="U171" s="235"/>
      <c r="V171" s="235"/>
      <c r="W171" s="235"/>
      <c r="X171" s="235"/>
      <c r="Y171" s="235"/>
      <c r="Z171" s="235"/>
    </row>
    <row r="172">
      <c r="A172" s="236"/>
      <c r="B172" s="236"/>
      <c r="C172" s="237"/>
      <c r="D172" s="237"/>
      <c r="E172" s="238"/>
      <c r="F172" s="238"/>
      <c r="G172" s="239"/>
      <c r="H172" s="239"/>
      <c r="I172" s="235"/>
      <c r="J172" s="235"/>
      <c r="K172" s="235"/>
      <c r="L172" s="235"/>
      <c r="M172" s="235"/>
      <c r="N172" s="235"/>
      <c r="O172" s="235"/>
      <c r="P172" s="235"/>
      <c r="Q172" s="235"/>
      <c r="R172" s="235"/>
      <c r="S172" s="235"/>
      <c r="T172" s="235"/>
      <c r="U172" s="235"/>
      <c r="V172" s="235"/>
      <c r="W172" s="235"/>
      <c r="X172" s="235"/>
      <c r="Y172" s="235"/>
      <c r="Z172" s="235"/>
    </row>
    <row r="173">
      <c r="A173" s="236"/>
      <c r="B173" s="236"/>
      <c r="C173" s="237"/>
      <c r="D173" s="237"/>
      <c r="E173" s="238"/>
      <c r="F173" s="238"/>
      <c r="G173" s="239"/>
      <c r="H173" s="239"/>
      <c r="I173" s="235"/>
      <c r="J173" s="235"/>
      <c r="K173" s="235"/>
      <c r="L173" s="235"/>
      <c r="M173" s="235"/>
      <c r="N173" s="235"/>
      <c r="O173" s="235"/>
      <c r="P173" s="235"/>
      <c r="Q173" s="235"/>
      <c r="R173" s="235"/>
      <c r="S173" s="235"/>
      <c r="T173" s="235"/>
      <c r="U173" s="235"/>
      <c r="V173" s="235"/>
      <c r="W173" s="235"/>
      <c r="X173" s="235"/>
      <c r="Y173" s="235"/>
      <c r="Z173" s="235"/>
    </row>
    <row r="174">
      <c r="A174" s="236"/>
      <c r="B174" s="236"/>
      <c r="C174" s="237"/>
      <c r="D174" s="237"/>
      <c r="E174" s="238"/>
      <c r="F174" s="238"/>
      <c r="G174" s="239"/>
      <c r="H174" s="239"/>
      <c r="I174" s="235"/>
      <c r="J174" s="235"/>
      <c r="K174" s="235"/>
      <c r="L174" s="235"/>
      <c r="M174" s="235"/>
      <c r="N174" s="235"/>
      <c r="O174" s="235"/>
      <c r="P174" s="235"/>
      <c r="Q174" s="235"/>
      <c r="R174" s="235"/>
      <c r="S174" s="235"/>
      <c r="T174" s="235"/>
      <c r="U174" s="235"/>
      <c r="V174" s="235"/>
      <c r="W174" s="235"/>
      <c r="X174" s="235"/>
      <c r="Y174" s="235"/>
      <c r="Z174" s="235"/>
    </row>
    <row r="175">
      <c r="A175" s="236"/>
      <c r="B175" s="236"/>
      <c r="C175" s="237"/>
      <c r="D175" s="237"/>
      <c r="E175" s="238"/>
      <c r="F175" s="238"/>
      <c r="G175" s="239"/>
      <c r="H175" s="239"/>
      <c r="I175" s="235"/>
      <c r="J175" s="235"/>
      <c r="K175" s="235"/>
      <c r="L175" s="235"/>
      <c r="M175" s="235"/>
      <c r="N175" s="235"/>
      <c r="O175" s="235"/>
      <c r="P175" s="235"/>
      <c r="Q175" s="235"/>
      <c r="R175" s="235"/>
      <c r="S175" s="235"/>
      <c r="T175" s="235"/>
      <c r="U175" s="235"/>
      <c r="V175" s="235"/>
      <c r="W175" s="235"/>
      <c r="X175" s="235"/>
      <c r="Y175" s="235"/>
      <c r="Z175" s="235"/>
    </row>
    <row r="176">
      <c r="A176" s="236"/>
      <c r="B176" s="236"/>
      <c r="C176" s="237"/>
      <c r="D176" s="237"/>
      <c r="E176" s="238"/>
      <c r="F176" s="238"/>
      <c r="G176" s="239"/>
      <c r="H176" s="239"/>
      <c r="I176" s="235"/>
      <c r="J176" s="235"/>
      <c r="K176" s="235"/>
      <c r="L176" s="235"/>
      <c r="M176" s="235"/>
      <c r="N176" s="235"/>
      <c r="O176" s="235"/>
      <c r="P176" s="235"/>
      <c r="Q176" s="235"/>
      <c r="R176" s="235"/>
      <c r="S176" s="235"/>
      <c r="T176" s="235"/>
      <c r="U176" s="235"/>
      <c r="V176" s="235"/>
      <c r="W176" s="235"/>
      <c r="X176" s="235"/>
      <c r="Y176" s="235"/>
      <c r="Z176" s="235"/>
    </row>
    <row r="177">
      <c r="A177" s="236"/>
      <c r="B177" s="236"/>
      <c r="C177" s="237"/>
      <c r="D177" s="237"/>
      <c r="E177" s="238"/>
      <c r="F177" s="238"/>
      <c r="G177" s="239"/>
      <c r="H177" s="239"/>
      <c r="I177" s="235"/>
      <c r="J177" s="235"/>
      <c r="K177" s="235"/>
      <c r="L177" s="235"/>
      <c r="M177" s="235"/>
      <c r="N177" s="235"/>
      <c r="O177" s="235"/>
      <c r="P177" s="235"/>
      <c r="Q177" s="235"/>
      <c r="R177" s="235"/>
      <c r="S177" s="235"/>
      <c r="T177" s="235"/>
      <c r="U177" s="235"/>
      <c r="V177" s="235"/>
      <c r="W177" s="235"/>
      <c r="X177" s="235"/>
      <c r="Y177" s="235"/>
      <c r="Z177" s="235"/>
    </row>
    <row r="178">
      <c r="A178" s="236"/>
      <c r="B178" s="236"/>
      <c r="C178" s="237"/>
      <c r="D178" s="237"/>
      <c r="E178" s="238"/>
      <c r="F178" s="238"/>
      <c r="G178" s="239"/>
      <c r="H178" s="239"/>
      <c r="I178" s="235"/>
      <c r="J178" s="235"/>
      <c r="K178" s="235"/>
      <c r="L178" s="235"/>
      <c r="M178" s="235"/>
      <c r="N178" s="235"/>
      <c r="O178" s="235"/>
      <c r="P178" s="235"/>
      <c r="Q178" s="235"/>
      <c r="R178" s="235"/>
      <c r="S178" s="235"/>
      <c r="T178" s="235"/>
      <c r="U178" s="235"/>
      <c r="V178" s="235"/>
      <c r="W178" s="235"/>
      <c r="X178" s="235"/>
      <c r="Y178" s="235"/>
      <c r="Z178" s="235"/>
    </row>
    <row r="179">
      <c r="A179" s="236"/>
      <c r="B179" s="236"/>
      <c r="C179" s="237"/>
      <c r="D179" s="237"/>
      <c r="E179" s="238"/>
      <c r="F179" s="238"/>
      <c r="G179" s="239"/>
      <c r="H179" s="239"/>
      <c r="I179" s="235"/>
      <c r="J179" s="235"/>
      <c r="K179" s="235"/>
      <c r="L179" s="235"/>
      <c r="M179" s="235"/>
      <c r="N179" s="235"/>
      <c r="O179" s="235"/>
      <c r="P179" s="235"/>
      <c r="Q179" s="235"/>
      <c r="R179" s="235"/>
      <c r="S179" s="235"/>
      <c r="T179" s="235"/>
      <c r="U179" s="235"/>
      <c r="V179" s="235"/>
      <c r="W179" s="235"/>
      <c r="X179" s="235"/>
      <c r="Y179" s="235"/>
      <c r="Z179" s="235"/>
    </row>
    <row r="180">
      <c r="A180" s="236"/>
      <c r="B180" s="236"/>
      <c r="C180" s="237"/>
      <c r="D180" s="237"/>
      <c r="E180" s="238"/>
      <c r="F180" s="238"/>
      <c r="G180" s="239"/>
      <c r="H180" s="239"/>
      <c r="I180" s="235"/>
      <c r="J180" s="235"/>
      <c r="K180" s="235"/>
      <c r="L180" s="235"/>
      <c r="M180" s="235"/>
      <c r="N180" s="235"/>
      <c r="O180" s="235"/>
      <c r="P180" s="235"/>
      <c r="Q180" s="235"/>
      <c r="R180" s="235"/>
      <c r="S180" s="235"/>
      <c r="T180" s="235"/>
      <c r="U180" s="235"/>
      <c r="V180" s="235"/>
      <c r="W180" s="235"/>
      <c r="X180" s="235"/>
      <c r="Y180" s="235"/>
      <c r="Z180" s="235"/>
    </row>
    <row r="181">
      <c r="A181" s="236"/>
      <c r="B181" s="236"/>
      <c r="C181" s="237"/>
      <c r="D181" s="237"/>
      <c r="E181" s="238"/>
      <c r="F181" s="238"/>
      <c r="G181" s="239"/>
      <c r="H181" s="239"/>
      <c r="I181" s="235"/>
      <c r="J181" s="235"/>
      <c r="K181" s="235"/>
      <c r="L181" s="235"/>
      <c r="M181" s="235"/>
      <c r="N181" s="235"/>
      <c r="O181" s="235"/>
      <c r="P181" s="235"/>
      <c r="Q181" s="235"/>
      <c r="R181" s="235"/>
      <c r="S181" s="235"/>
      <c r="T181" s="235"/>
      <c r="U181" s="235"/>
      <c r="V181" s="235"/>
      <c r="W181" s="235"/>
      <c r="X181" s="235"/>
      <c r="Y181" s="235"/>
      <c r="Z181" s="235"/>
    </row>
    <row r="182">
      <c r="A182" s="236"/>
      <c r="B182" s="236"/>
      <c r="C182" s="237"/>
      <c r="D182" s="237"/>
      <c r="E182" s="238"/>
      <c r="F182" s="238"/>
      <c r="G182" s="239"/>
      <c r="H182" s="239"/>
      <c r="I182" s="235"/>
      <c r="J182" s="235"/>
      <c r="K182" s="235"/>
      <c r="L182" s="235"/>
      <c r="M182" s="235"/>
      <c r="N182" s="235"/>
      <c r="O182" s="235"/>
      <c r="P182" s="235"/>
      <c r="Q182" s="235"/>
      <c r="R182" s="235"/>
      <c r="S182" s="235"/>
      <c r="T182" s="235"/>
      <c r="U182" s="235"/>
      <c r="V182" s="235"/>
      <c r="W182" s="235"/>
      <c r="X182" s="235"/>
      <c r="Y182" s="235"/>
      <c r="Z182" s="235"/>
    </row>
    <row r="183">
      <c r="A183" s="236"/>
      <c r="B183" s="236"/>
      <c r="C183" s="237"/>
      <c r="D183" s="237"/>
      <c r="E183" s="238"/>
      <c r="F183" s="238"/>
      <c r="G183" s="239"/>
      <c r="H183" s="239"/>
      <c r="I183" s="235"/>
      <c r="J183" s="235"/>
      <c r="K183" s="235"/>
      <c r="L183" s="235"/>
      <c r="M183" s="235"/>
      <c r="N183" s="235"/>
      <c r="O183" s="235"/>
      <c r="P183" s="235"/>
      <c r="Q183" s="235"/>
      <c r="R183" s="235"/>
      <c r="S183" s="235"/>
      <c r="T183" s="235"/>
      <c r="U183" s="235"/>
      <c r="V183" s="235"/>
      <c r="W183" s="235"/>
      <c r="X183" s="235"/>
      <c r="Y183" s="235"/>
      <c r="Z183" s="235"/>
    </row>
    <row r="184">
      <c r="A184" s="236"/>
      <c r="B184" s="236"/>
      <c r="C184" s="237"/>
      <c r="D184" s="237"/>
      <c r="E184" s="238"/>
      <c r="F184" s="238"/>
      <c r="G184" s="239"/>
      <c r="H184" s="239"/>
      <c r="I184" s="235"/>
      <c r="J184" s="235"/>
      <c r="K184" s="235"/>
      <c r="L184" s="235"/>
      <c r="M184" s="235"/>
      <c r="N184" s="235"/>
      <c r="O184" s="235"/>
      <c r="P184" s="235"/>
      <c r="Q184" s="235"/>
      <c r="R184" s="235"/>
      <c r="S184" s="235"/>
      <c r="T184" s="235"/>
      <c r="U184" s="235"/>
      <c r="V184" s="235"/>
      <c r="W184" s="235"/>
      <c r="X184" s="235"/>
      <c r="Y184" s="235"/>
      <c r="Z184" s="235"/>
    </row>
    <row r="185">
      <c r="A185" s="236"/>
      <c r="B185" s="236"/>
      <c r="C185" s="237"/>
      <c r="D185" s="237"/>
      <c r="E185" s="238"/>
      <c r="F185" s="238"/>
      <c r="G185" s="239"/>
      <c r="H185" s="239"/>
      <c r="I185" s="235"/>
      <c r="J185" s="235"/>
      <c r="K185" s="235"/>
      <c r="L185" s="235"/>
      <c r="M185" s="235"/>
      <c r="N185" s="235"/>
      <c r="O185" s="235"/>
      <c r="P185" s="235"/>
      <c r="Q185" s="235"/>
      <c r="R185" s="235"/>
      <c r="S185" s="235"/>
      <c r="T185" s="235"/>
      <c r="U185" s="235"/>
      <c r="V185" s="235"/>
      <c r="W185" s="235"/>
      <c r="X185" s="235"/>
      <c r="Y185" s="235"/>
      <c r="Z185" s="235"/>
    </row>
    <row r="186">
      <c r="A186" s="236"/>
      <c r="B186" s="236"/>
      <c r="C186" s="237"/>
      <c r="D186" s="237"/>
      <c r="E186" s="238"/>
      <c r="F186" s="238"/>
      <c r="G186" s="239"/>
      <c r="H186" s="239"/>
      <c r="I186" s="235"/>
      <c r="J186" s="235"/>
      <c r="K186" s="235"/>
      <c r="L186" s="235"/>
      <c r="M186" s="235"/>
      <c r="N186" s="235"/>
      <c r="O186" s="235"/>
      <c r="P186" s="235"/>
      <c r="Q186" s="235"/>
      <c r="R186" s="235"/>
      <c r="S186" s="235"/>
      <c r="T186" s="235"/>
      <c r="U186" s="235"/>
      <c r="V186" s="235"/>
      <c r="W186" s="235"/>
      <c r="X186" s="235"/>
      <c r="Y186" s="235"/>
      <c r="Z186" s="235"/>
    </row>
    <row r="187">
      <c r="A187" s="236"/>
      <c r="B187" s="236"/>
      <c r="C187" s="237"/>
      <c r="D187" s="237"/>
      <c r="E187" s="238"/>
      <c r="F187" s="238"/>
      <c r="G187" s="239"/>
      <c r="H187" s="239"/>
      <c r="I187" s="235"/>
      <c r="J187" s="235"/>
      <c r="K187" s="235"/>
      <c r="L187" s="235"/>
      <c r="M187" s="235"/>
      <c r="N187" s="235"/>
      <c r="O187" s="235"/>
      <c r="P187" s="235"/>
      <c r="Q187" s="235"/>
      <c r="R187" s="235"/>
      <c r="S187" s="235"/>
      <c r="T187" s="235"/>
      <c r="U187" s="235"/>
      <c r="V187" s="235"/>
      <c r="W187" s="235"/>
      <c r="X187" s="235"/>
      <c r="Y187" s="235"/>
      <c r="Z187" s="235"/>
    </row>
    <row r="188">
      <c r="A188" s="236"/>
      <c r="B188" s="236"/>
      <c r="C188" s="237"/>
      <c r="D188" s="237"/>
      <c r="E188" s="238"/>
      <c r="F188" s="238"/>
      <c r="G188" s="239"/>
      <c r="H188" s="239"/>
      <c r="I188" s="235"/>
      <c r="J188" s="235"/>
      <c r="K188" s="235"/>
      <c r="L188" s="235"/>
      <c r="M188" s="235"/>
      <c r="N188" s="235"/>
      <c r="O188" s="235"/>
      <c r="P188" s="235"/>
      <c r="Q188" s="235"/>
      <c r="R188" s="235"/>
      <c r="S188" s="235"/>
      <c r="T188" s="235"/>
      <c r="U188" s="235"/>
      <c r="V188" s="235"/>
      <c r="W188" s="235"/>
      <c r="X188" s="235"/>
      <c r="Y188" s="235"/>
      <c r="Z188" s="235"/>
    </row>
    <row r="189">
      <c r="A189" s="236"/>
      <c r="B189" s="236"/>
      <c r="C189" s="237"/>
      <c r="D189" s="237"/>
      <c r="E189" s="238"/>
      <c r="F189" s="238"/>
      <c r="G189" s="239"/>
      <c r="H189" s="239"/>
      <c r="I189" s="235"/>
      <c r="J189" s="235"/>
      <c r="K189" s="235"/>
      <c r="L189" s="235"/>
      <c r="M189" s="235"/>
      <c r="N189" s="235"/>
      <c r="O189" s="235"/>
      <c r="P189" s="235"/>
      <c r="Q189" s="235"/>
      <c r="R189" s="235"/>
      <c r="S189" s="235"/>
      <c r="T189" s="235"/>
      <c r="U189" s="235"/>
      <c r="V189" s="235"/>
      <c r="W189" s="235"/>
      <c r="X189" s="235"/>
      <c r="Y189" s="235"/>
      <c r="Z189" s="235"/>
    </row>
    <row r="190">
      <c r="A190" s="236"/>
      <c r="B190" s="236"/>
      <c r="C190" s="237"/>
      <c r="D190" s="237"/>
      <c r="E190" s="238"/>
      <c r="F190" s="238"/>
      <c r="G190" s="239"/>
      <c r="H190" s="239"/>
      <c r="I190" s="235"/>
      <c r="J190" s="235"/>
      <c r="K190" s="235"/>
      <c r="L190" s="235"/>
      <c r="M190" s="235"/>
      <c r="N190" s="235"/>
      <c r="O190" s="235"/>
      <c r="P190" s="235"/>
      <c r="Q190" s="235"/>
      <c r="R190" s="235"/>
      <c r="S190" s="235"/>
      <c r="T190" s="235"/>
      <c r="U190" s="235"/>
      <c r="V190" s="235"/>
      <c r="W190" s="235"/>
      <c r="X190" s="235"/>
      <c r="Y190" s="235"/>
      <c r="Z190" s="235"/>
    </row>
    <row r="191">
      <c r="A191" s="236"/>
      <c r="B191" s="236"/>
      <c r="C191" s="237"/>
      <c r="D191" s="237"/>
      <c r="E191" s="238"/>
      <c r="F191" s="238"/>
      <c r="G191" s="239"/>
      <c r="H191" s="239"/>
      <c r="I191" s="235"/>
      <c r="J191" s="235"/>
      <c r="K191" s="235"/>
      <c r="L191" s="235"/>
      <c r="M191" s="235"/>
      <c r="N191" s="235"/>
      <c r="O191" s="235"/>
      <c r="P191" s="235"/>
      <c r="Q191" s="235"/>
      <c r="R191" s="235"/>
      <c r="S191" s="235"/>
      <c r="T191" s="235"/>
      <c r="U191" s="235"/>
      <c r="V191" s="235"/>
      <c r="W191" s="235"/>
      <c r="X191" s="235"/>
      <c r="Y191" s="235"/>
      <c r="Z191" s="235"/>
    </row>
    <row r="192">
      <c r="A192" s="236"/>
      <c r="B192" s="236"/>
      <c r="C192" s="237"/>
      <c r="D192" s="237"/>
      <c r="E192" s="238"/>
      <c r="F192" s="238"/>
      <c r="G192" s="239"/>
      <c r="H192" s="239"/>
      <c r="I192" s="235"/>
      <c r="J192" s="235"/>
      <c r="K192" s="235"/>
      <c r="L192" s="235"/>
      <c r="M192" s="235"/>
      <c r="N192" s="235"/>
      <c r="O192" s="235"/>
      <c r="P192" s="235"/>
      <c r="Q192" s="235"/>
      <c r="R192" s="235"/>
      <c r="S192" s="235"/>
      <c r="T192" s="235"/>
      <c r="U192" s="235"/>
      <c r="V192" s="235"/>
      <c r="W192" s="235"/>
      <c r="X192" s="235"/>
      <c r="Y192" s="235"/>
      <c r="Z192" s="235"/>
    </row>
    <row r="193">
      <c r="A193" s="236"/>
      <c r="B193" s="236"/>
      <c r="C193" s="237"/>
      <c r="D193" s="237"/>
      <c r="E193" s="238"/>
      <c r="F193" s="238"/>
      <c r="G193" s="239"/>
      <c r="H193" s="239"/>
      <c r="I193" s="235"/>
      <c r="J193" s="235"/>
      <c r="K193" s="235"/>
      <c r="L193" s="235"/>
      <c r="M193" s="235"/>
      <c r="N193" s="235"/>
      <c r="O193" s="235"/>
      <c r="P193" s="235"/>
      <c r="Q193" s="235"/>
      <c r="R193" s="235"/>
      <c r="S193" s="235"/>
      <c r="T193" s="235"/>
      <c r="U193" s="235"/>
      <c r="V193" s="235"/>
      <c r="W193" s="235"/>
      <c r="X193" s="235"/>
      <c r="Y193" s="235"/>
      <c r="Z193" s="235"/>
    </row>
    <row r="194">
      <c r="A194" s="236"/>
      <c r="B194" s="236"/>
      <c r="C194" s="237"/>
      <c r="D194" s="237"/>
      <c r="E194" s="238"/>
      <c r="F194" s="238"/>
      <c r="G194" s="239"/>
      <c r="H194" s="239"/>
      <c r="I194" s="235"/>
      <c r="J194" s="235"/>
      <c r="K194" s="235"/>
      <c r="L194" s="235"/>
      <c r="M194" s="235"/>
      <c r="N194" s="235"/>
      <c r="O194" s="235"/>
      <c r="P194" s="235"/>
      <c r="Q194" s="235"/>
      <c r="R194" s="235"/>
      <c r="S194" s="235"/>
      <c r="T194" s="235"/>
      <c r="U194" s="235"/>
      <c r="V194" s="235"/>
      <c r="W194" s="235"/>
      <c r="X194" s="235"/>
      <c r="Y194" s="235"/>
      <c r="Z194" s="235"/>
    </row>
    <row r="195">
      <c r="A195" s="236"/>
      <c r="B195" s="236"/>
      <c r="C195" s="237"/>
      <c r="D195" s="237"/>
      <c r="E195" s="238"/>
      <c r="F195" s="238"/>
      <c r="G195" s="239"/>
      <c r="H195" s="239"/>
      <c r="I195" s="235"/>
      <c r="J195" s="235"/>
      <c r="K195" s="235"/>
      <c r="L195" s="235"/>
      <c r="M195" s="235"/>
      <c r="N195" s="235"/>
      <c r="O195" s="235"/>
      <c r="P195" s="235"/>
      <c r="Q195" s="235"/>
      <c r="R195" s="235"/>
      <c r="S195" s="235"/>
      <c r="T195" s="235"/>
      <c r="U195" s="235"/>
      <c r="V195" s="235"/>
      <c r="W195" s="235"/>
      <c r="X195" s="235"/>
      <c r="Y195" s="235"/>
      <c r="Z195" s="235"/>
    </row>
    <row r="196">
      <c r="A196" s="236"/>
      <c r="B196" s="236"/>
      <c r="C196" s="237"/>
      <c r="D196" s="237"/>
      <c r="E196" s="238"/>
      <c r="F196" s="238"/>
      <c r="G196" s="239"/>
      <c r="H196" s="239"/>
      <c r="I196" s="235"/>
      <c r="J196" s="235"/>
      <c r="K196" s="235"/>
      <c r="L196" s="235"/>
      <c r="M196" s="235"/>
      <c r="N196" s="235"/>
      <c r="O196" s="235"/>
      <c r="P196" s="235"/>
      <c r="Q196" s="235"/>
      <c r="R196" s="235"/>
      <c r="S196" s="235"/>
      <c r="T196" s="235"/>
      <c r="U196" s="235"/>
      <c r="V196" s="235"/>
      <c r="W196" s="235"/>
      <c r="X196" s="235"/>
      <c r="Y196" s="235"/>
      <c r="Z196" s="235"/>
    </row>
    <row r="197">
      <c r="A197" s="236"/>
      <c r="B197" s="236"/>
      <c r="C197" s="237"/>
      <c r="D197" s="237"/>
      <c r="E197" s="238"/>
      <c r="F197" s="238"/>
      <c r="G197" s="239"/>
      <c r="H197" s="239"/>
      <c r="I197" s="235"/>
      <c r="J197" s="235"/>
      <c r="K197" s="235"/>
      <c r="L197" s="235"/>
      <c r="M197" s="235"/>
      <c r="N197" s="235"/>
      <c r="O197" s="235"/>
      <c r="P197" s="235"/>
      <c r="Q197" s="235"/>
      <c r="R197" s="235"/>
      <c r="S197" s="235"/>
      <c r="T197" s="235"/>
      <c r="U197" s="235"/>
      <c r="V197" s="235"/>
      <c r="W197" s="235"/>
      <c r="X197" s="235"/>
      <c r="Y197" s="235"/>
      <c r="Z197" s="235"/>
    </row>
    <row r="198">
      <c r="A198" s="236"/>
      <c r="B198" s="236"/>
      <c r="C198" s="237"/>
      <c r="D198" s="237"/>
      <c r="E198" s="238"/>
      <c r="F198" s="238"/>
      <c r="G198" s="239"/>
      <c r="H198" s="239"/>
      <c r="I198" s="235"/>
      <c r="J198" s="235"/>
      <c r="K198" s="235"/>
      <c r="L198" s="235"/>
      <c r="M198" s="235"/>
      <c r="N198" s="235"/>
      <c r="O198" s="235"/>
      <c r="P198" s="235"/>
      <c r="Q198" s="235"/>
      <c r="R198" s="235"/>
      <c r="S198" s="235"/>
      <c r="T198" s="235"/>
      <c r="U198" s="235"/>
      <c r="V198" s="235"/>
      <c r="W198" s="235"/>
      <c r="X198" s="235"/>
      <c r="Y198" s="235"/>
      <c r="Z198" s="235"/>
    </row>
    <row r="199">
      <c r="A199" s="236"/>
      <c r="B199" s="236"/>
      <c r="C199" s="237"/>
      <c r="D199" s="237"/>
      <c r="E199" s="238"/>
      <c r="F199" s="238"/>
      <c r="G199" s="239"/>
      <c r="H199" s="239"/>
      <c r="I199" s="235"/>
      <c r="J199" s="235"/>
      <c r="K199" s="235"/>
      <c r="L199" s="235"/>
      <c r="M199" s="235"/>
      <c r="N199" s="235"/>
      <c r="O199" s="235"/>
      <c r="P199" s="235"/>
      <c r="Q199" s="235"/>
      <c r="R199" s="235"/>
      <c r="S199" s="235"/>
      <c r="T199" s="235"/>
      <c r="U199" s="235"/>
      <c r="V199" s="235"/>
      <c r="W199" s="235"/>
      <c r="X199" s="235"/>
      <c r="Y199" s="235"/>
      <c r="Z199" s="235"/>
    </row>
    <row r="200">
      <c r="A200" s="236"/>
      <c r="B200" s="236"/>
      <c r="C200" s="237"/>
      <c r="D200" s="237"/>
      <c r="E200" s="238"/>
      <c r="F200" s="238"/>
      <c r="G200" s="239"/>
      <c r="H200" s="239"/>
      <c r="I200" s="235"/>
      <c r="J200" s="235"/>
      <c r="K200" s="235"/>
      <c r="L200" s="235"/>
      <c r="M200" s="235"/>
      <c r="N200" s="235"/>
      <c r="O200" s="235"/>
      <c r="P200" s="235"/>
      <c r="Q200" s="235"/>
      <c r="R200" s="235"/>
      <c r="S200" s="235"/>
      <c r="T200" s="235"/>
      <c r="U200" s="235"/>
      <c r="V200" s="235"/>
      <c r="W200" s="235"/>
      <c r="X200" s="235"/>
      <c r="Y200" s="235"/>
      <c r="Z200" s="235"/>
    </row>
    <row r="201">
      <c r="A201" s="236"/>
      <c r="B201" s="236"/>
      <c r="C201" s="237"/>
      <c r="D201" s="237"/>
      <c r="E201" s="238"/>
      <c r="F201" s="238"/>
      <c r="G201" s="239"/>
      <c r="H201" s="239"/>
      <c r="I201" s="235"/>
      <c r="J201" s="235"/>
      <c r="K201" s="235"/>
      <c r="L201" s="235"/>
      <c r="M201" s="235"/>
      <c r="N201" s="235"/>
      <c r="O201" s="235"/>
      <c r="P201" s="235"/>
      <c r="Q201" s="235"/>
      <c r="R201" s="235"/>
      <c r="S201" s="235"/>
      <c r="T201" s="235"/>
      <c r="U201" s="235"/>
      <c r="V201" s="235"/>
      <c r="W201" s="235"/>
      <c r="X201" s="235"/>
      <c r="Y201" s="235"/>
      <c r="Z201" s="235"/>
    </row>
    <row r="202">
      <c r="A202" s="236"/>
      <c r="B202" s="236"/>
      <c r="C202" s="237"/>
      <c r="D202" s="237"/>
      <c r="E202" s="238"/>
      <c r="F202" s="238"/>
      <c r="G202" s="239"/>
      <c r="H202" s="239"/>
      <c r="I202" s="235"/>
      <c r="J202" s="235"/>
      <c r="K202" s="235"/>
      <c r="L202" s="235"/>
      <c r="M202" s="235"/>
      <c r="N202" s="235"/>
      <c r="O202" s="235"/>
      <c r="P202" s="235"/>
      <c r="Q202" s="235"/>
      <c r="R202" s="235"/>
      <c r="S202" s="235"/>
      <c r="T202" s="235"/>
      <c r="U202" s="235"/>
      <c r="V202" s="235"/>
      <c r="W202" s="235"/>
      <c r="X202" s="235"/>
      <c r="Y202" s="235"/>
      <c r="Z202" s="235"/>
    </row>
    <row r="203">
      <c r="A203" s="236"/>
      <c r="B203" s="236"/>
      <c r="C203" s="237"/>
      <c r="D203" s="237"/>
      <c r="E203" s="238"/>
      <c r="F203" s="238"/>
      <c r="G203" s="239"/>
      <c r="H203" s="239"/>
      <c r="I203" s="235"/>
      <c r="J203" s="235"/>
      <c r="K203" s="235"/>
      <c r="L203" s="235"/>
      <c r="M203" s="235"/>
      <c r="N203" s="235"/>
      <c r="O203" s="235"/>
      <c r="P203" s="235"/>
      <c r="Q203" s="235"/>
      <c r="R203" s="235"/>
      <c r="S203" s="235"/>
      <c r="T203" s="235"/>
      <c r="U203" s="235"/>
      <c r="V203" s="235"/>
      <c r="W203" s="235"/>
      <c r="X203" s="235"/>
      <c r="Y203" s="235"/>
      <c r="Z203" s="235"/>
    </row>
    <row r="204">
      <c r="A204" s="236"/>
      <c r="B204" s="236"/>
      <c r="C204" s="237"/>
      <c r="D204" s="237"/>
      <c r="E204" s="238"/>
      <c r="F204" s="238"/>
      <c r="G204" s="239"/>
      <c r="H204" s="239"/>
      <c r="I204" s="235"/>
      <c r="J204" s="235"/>
      <c r="K204" s="235"/>
      <c r="L204" s="235"/>
      <c r="M204" s="235"/>
      <c r="N204" s="235"/>
      <c r="O204" s="235"/>
      <c r="P204" s="235"/>
      <c r="Q204" s="235"/>
      <c r="R204" s="235"/>
      <c r="S204" s="235"/>
      <c r="T204" s="235"/>
      <c r="U204" s="235"/>
      <c r="V204" s="235"/>
      <c r="W204" s="235"/>
      <c r="X204" s="235"/>
      <c r="Y204" s="235"/>
      <c r="Z204" s="235"/>
    </row>
    <row r="205">
      <c r="A205" s="236"/>
      <c r="B205" s="236"/>
      <c r="C205" s="237"/>
      <c r="D205" s="237"/>
      <c r="E205" s="238"/>
      <c r="F205" s="238"/>
      <c r="G205" s="239"/>
      <c r="H205" s="239"/>
      <c r="I205" s="235"/>
      <c r="J205" s="235"/>
      <c r="K205" s="235"/>
      <c r="L205" s="235"/>
      <c r="M205" s="235"/>
      <c r="N205" s="235"/>
      <c r="O205" s="235"/>
      <c r="P205" s="235"/>
      <c r="Q205" s="235"/>
      <c r="R205" s="235"/>
      <c r="S205" s="235"/>
      <c r="T205" s="235"/>
      <c r="U205" s="235"/>
      <c r="V205" s="235"/>
      <c r="W205" s="235"/>
      <c r="X205" s="235"/>
      <c r="Y205" s="235"/>
      <c r="Z205" s="235"/>
    </row>
    <row r="206">
      <c r="A206" s="236"/>
      <c r="B206" s="236"/>
      <c r="C206" s="237"/>
      <c r="D206" s="237"/>
      <c r="E206" s="238"/>
      <c r="F206" s="238"/>
      <c r="G206" s="239"/>
      <c r="H206" s="239"/>
      <c r="I206" s="235"/>
      <c r="J206" s="235"/>
      <c r="K206" s="235"/>
      <c r="L206" s="235"/>
      <c r="M206" s="235"/>
      <c r="N206" s="235"/>
      <c r="O206" s="235"/>
      <c r="P206" s="235"/>
      <c r="Q206" s="235"/>
      <c r="R206" s="235"/>
      <c r="S206" s="235"/>
      <c r="T206" s="235"/>
      <c r="U206" s="235"/>
      <c r="V206" s="235"/>
      <c r="W206" s="235"/>
      <c r="X206" s="235"/>
      <c r="Y206" s="235"/>
      <c r="Z206" s="235"/>
    </row>
    <row r="207">
      <c r="A207" s="236"/>
      <c r="B207" s="236"/>
      <c r="C207" s="237"/>
      <c r="D207" s="237"/>
      <c r="E207" s="238"/>
      <c r="F207" s="238"/>
      <c r="G207" s="239"/>
      <c r="H207" s="239"/>
      <c r="I207" s="235"/>
      <c r="J207" s="235"/>
      <c r="K207" s="235"/>
      <c r="L207" s="235"/>
      <c r="M207" s="235"/>
      <c r="N207" s="235"/>
      <c r="O207" s="235"/>
      <c r="P207" s="235"/>
      <c r="Q207" s="235"/>
      <c r="R207" s="235"/>
      <c r="S207" s="235"/>
      <c r="T207" s="235"/>
      <c r="U207" s="235"/>
      <c r="V207" s="235"/>
      <c r="W207" s="235"/>
      <c r="X207" s="235"/>
      <c r="Y207" s="235"/>
      <c r="Z207" s="235"/>
    </row>
    <row r="208">
      <c r="A208" s="236"/>
      <c r="B208" s="236"/>
      <c r="C208" s="237"/>
      <c r="D208" s="237"/>
      <c r="E208" s="238"/>
      <c r="F208" s="238"/>
      <c r="G208" s="239"/>
      <c r="H208" s="239"/>
      <c r="I208" s="235"/>
      <c r="J208" s="235"/>
      <c r="K208" s="235"/>
      <c r="L208" s="235"/>
      <c r="M208" s="235"/>
      <c r="N208" s="235"/>
      <c r="O208" s="235"/>
      <c r="P208" s="235"/>
      <c r="Q208" s="235"/>
      <c r="R208" s="235"/>
      <c r="S208" s="235"/>
      <c r="T208" s="235"/>
      <c r="U208" s="235"/>
      <c r="V208" s="235"/>
      <c r="W208" s="235"/>
      <c r="X208" s="235"/>
      <c r="Y208" s="235"/>
      <c r="Z208" s="235"/>
    </row>
    <row r="209">
      <c r="A209" s="236"/>
      <c r="B209" s="236"/>
      <c r="C209" s="237"/>
      <c r="D209" s="237"/>
      <c r="E209" s="238"/>
      <c r="F209" s="238"/>
      <c r="G209" s="239"/>
      <c r="H209" s="239"/>
      <c r="I209" s="235"/>
      <c r="J209" s="235"/>
      <c r="K209" s="235"/>
      <c r="L209" s="235"/>
      <c r="M209" s="235"/>
      <c r="N209" s="235"/>
      <c r="O209" s="235"/>
      <c r="P209" s="235"/>
      <c r="Q209" s="235"/>
      <c r="R209" s="235"/>
      <c r="S209" s="235"/>
      <c r="T209" s="235"/>
      <c r="U209" s="235"/>
      <c r="V209" s="235"/>
      <c r="W209" s="235"/>
      <c r="X209" s="235"/>
      <c r="Y209" s="235"/>
      <c r="Z209" s="235"/>
    </row>
    <row r="210">
      <c r="A210" s="236"/>
      <c r="B210" s="236"/>
      <c r="C210" s="237"/>
      <c r="D210" s="237"/>
      <c r="E210" s="238"/>
      <c r="F210" s="238"/>
      <c r="G210" s="239"/>
      <c r="H210" s="239"/>
      <c r="I210" s="235"/>
      <c r="J210" s="235"/>
      <c r="K210" s="235"/>
      <c r="L210" s="235"/>
      <c r="M210" s="235"/>
      <c r="N210" s="235"/>
      <c r="O210" s="235"/>
      <c r="P210" s="235"/>
      <c r="Q210" s="235"/>
      <c r="R210" s="235"/>
      <c r="S210" s="235"/>
      <c r="T210" s="235"/>
      <c r="U210" s="235"/>
      <c r="V210" s="235"/>
      <c r="W210" s="235"/>
      <c r="X210" s="235"/>
      <c r="Y210" s="235"/>
      <c r="Z210" s="235"/>
    </row>
    <row r="211">
      <c r="A211" s="236"/>
      <c r="B211" s="236"/>
      <c r="C211" s="237"/>
      <c r="D211" s="237"/>
      <c r="E211" s="238"/>
      <c r="F211" s="238"/>
      <c r="G211" s="239"/>
      <c r="H211" s="239"/>
      <c r="I211" s="235"/>
      <c r="J211" s="235"/>
      <c r="K211" s="235"/>
      <c r="L211" s="235"/>
      <c r="M211" s="235"/>
      <c r="N211" s="235"/>
      <c r="O211" s="235"/>
      <c r="P211" s="235"/>
      <c r="Q211" s="235"/>
      <c r="R211" s="235"/>
      <c r="S211" s="235"/>
      <c r="T211" s="235"/>
      <c r="U211" s="235"/>
      <c r="V211" s="235"/>
      <c r="W211" s="235"/>
      <c r="X211" s="235"/>
      <c r="Y211" s="235"/>
      <c r="Z211" s="235"/>
    </row>
    <row r="212">
      <c r="A212" s="236"/>
      <c r="B212" s="236"/>
      <c r="C212" s="237"/>
      <c r="D212" s="237"/>
      <c r="E212" s="238"/>
      <c r="F212" s="238"/>
      <c r="G212" s="239"/>
      <c r="H212" s="239"/>
      <c r="I212" s="235"/>
      <c r="J212" s="235"/>
      <c r="K212" s="235"/>
      <c r="L212" s="235"/>
      <c r="M212" s="235"/>
      <c r="N212" s="235"/>
      <c r="O212" s="235"/>
      <c r="P212" s="235"/>
      <c r="Q212" s="235"/>
      <c r="R212" s="235"/>
      <c r="S212" s="235"/>
      <c r="T212" s="235"/>
      <c r="U212" s="235"/>
      <c r="V212" s="235"/>
      <c r="W212" s="235"/>
      <c r="X212" s="235"/>
      <c r="Y212" s="235"/>
      <c r="Z212" s="235"/>
    </row>
    <row r="213">
      <c r="A213" s="236"/>
      <c r="B213" s="236"/>
      <c r="C213" s="237"/>
      <c r="D213" s="237"/>
      <c r="E213" s="238"/>
      <c r="F213" s="238"/>
      <c r="G213" s="239"/>
      <c r="H213" s="239"/>
      <c r="I213" s="235"/>
      <c r="J213" s="235"/>
      <c r="K213" s="235"/>
      <c r="L213" s="235"/>
      <c r="M213" s="235"/>
      <c r="N213" s="235"/>
      <c r="O213" s="235"/>
      <c r="P213" s="235"/>
      <c r="Q213" s="235"/>
      <c r="R213" s="235"/>
      <c r="S213" s="235"/>
      <c r="T213" s="235"/>
      <c r="U213" s="235"/>
      <c r="V213" s="235"/>
      <c r="W213" s="235"/>
      <c r="X213" s="235"/>
      <c r="Y213" s="235"/>
      <c r="Z213" s="235"/>
    </row>
    <row r="214">
      <c r="A214" s="236"/>
      <c r="B214" s="236"/>
      <c r="C214" s="237"/>
      <c r="D214" s="237"/>
      <c r="E214" s="238"/>
      <c r="F214" s="238"/>
      <c r="G214" s="239"/>
      <c r="H214" s="239"/>
      <c r="I214" s="235"/>
      <c r="J214" s="235"/>
      <c r="K214" s="235"/>
      <c r="L214" s="235"/>
      <c r="M214" s="235"/>
      <c r="N214" s="235"/>
      <c r="O214" s="235"/>
      <c r="P214" s="235"/>
      <c r="Q214" s="235"/>
      <c r="R214" s="235"/>
      <c r="S214" s="235"/>
      <c r="T214" s="235"/>
      <c r="U214" s="235"/>
      <c r="V214" s="235"/>
      <c r="W214" s="235"/>
      <c r="X214" s="235"/>
      <c r="Y214" s="235"/>
      <c r="Z214" s="235"/>
    </row>
    <row r="215">
      <c r="A215" s="236"/>
      <c r="B215" s="236"/>
      <c r="C215" s="237"/>
      <c r="D215" s="237"/>
      <c r="E215" s="238"/>
      <c r="F215" s="238"/>
      <c r="G215" s="239"/>
      <c r="H215" s="239"/>
      <c r="I215" s="235"/>
      <c r="J215" s="235"/>
      <c r="K215" s="235"/>
      <c r="L215" s="235"/>
      <c r="M215" s="235"/>
      <c r="N215" s="235"/>
      <c r="O215" s="235"/>
      <c r="P215" s="235"/>
      <c r="Q215" s="235"/>
      <c r="R215" s="235"/>
      <c r="S215" s="235"/>
      <c r="T215" s="235"/>
      <c r="U215" s="235"/>
      <c r="V215" s="235"/>
      <c r="W215" s="235"/>
      <c r="X215" s="235"/>
      <c r="Y215" s="235"/>
      <c r="Z215" s="235"/>
    </row>
    <row r="216">
      <c r="A216" s="236"/>
      <c r="B216" s="236"/>
      <c r="C216" s="237"/>
      <c r="D216" s="237"/>
      <c r="E216" s="238"/>
      <c r="F216" s="238"/>
      <c r="G216" s="239"/>
      <c r="H216" s="239"/>
      <c r="I216" s="235"/>
      <c r="J216" s="235"/>
      <c r="K216" s="235"/>
      <c r="L216" s="235"/>
      <c r="M216" s="235"/>
      <c r="N216" s="235"/>
      <c r="O216" s="235"/>
      <c r="P216" s="235"/>
      <c r="Q216" s="235"/>
      <c r="R216" s="235"/>
      <c r="S216" s="235"/>
      <c r="T216" s="235"/>
      <c r="U216" s="235"/>
      <c r="V216" s="235"/>
      <c r="W216" s="235"/>
      <c r="X216" s="235"/>
      <c r="Y216" s="235"/>
      <c r="Z216" s="235"/>
    </row>
    <row r="217">
      <c r="A217" s="236"/>
      <c r="B217" s="236"/>
      <c r="C217" s="237"/>
      <c r="D217" s="237"/>
      <c r="E217" s="238"/>
      <c r="F217" s="238"/>
      <c r="G217" s="239"/>
      <c r="H217" s="239"/>
      <c r="I217" s="235"/>
      <c r="J217" s="235"/>
      <c r="K217" s="235"/>
      <c r="L217" s="235"/>
      <c r="M217" s="235"/>
      <c r="N217" s="235"/>
      <c r="O217" s="235"/>
      <c r="P217" s="235"/>
      <c r="Q217" s="235"/>
      <c r="R217" s="235"/>
      <c r="S217" s="235"/>
      <c r="T217" s="235"/>
      <c r="U217" s="235"/>
      <c r="V217" s="235"/>
      <c r="W217" s="235"/>
      <c r="X217" s="235"/>
      <c r="Y217" s="235"/>
      <c r="Z217" s="235"/>
    </row>
    <row r="218">
      <c r="A218" s="236"/>
      <c r="B218" s="236"/>
      <c r="C218" s="237"/>
      <c r="D218" s="237"/>
      <c r="E218" s="238"/>
      <c r="F218" s="238"/>
      <c r="G218" s="239"/>
      <c r="H218" s="239"/>
      <c r="I218" s="235"/>
      <c r="J218" s="235"/>
      <c r="K218" s="235"/>
      <c r="L218" s="235"/>
      <c r="M218" s="235"/>
      <c r="N218" s="235"/>
      <c r="O218" s="235"/>
      <c r="P218" s="235"/>
      <c r="Q218" s="235"/>
      <c r="R218" s="235"/>
      <c r="S218" s="235"/>
      <c r="T218" s="235"/>
      <c r="U218" s="235"/>
      <c r="V218" s="235"/>
      <c r="W218" s="235"/>
      <c r="X218" s="235"/>
      <c r="Y218" s="235"/>
      <c r="Z218" s="235"/>
    </row>
    <row r="219">
      <c r="A219" s="236"/>
      <c r="B219" s="236"/>
      <c r="C219" s="237"/>
      <c r="D219" s="237"/>
      <c r="E219" s="238"/>
      <c r="F219" s="238"/>
      <c r="G219" s="239"/>
      <c r="H219" s="239"/>
      <c r="I219" s="235"/>
      <c r="J219" s="235"/>
      <c r="K219" s="235"/>
      <c r="L219" s="235"/>
      <c r="M219" s="235"/>
      <c r="N219" s="235"/>
      <c r="O219" s="235"/>
      <c r="P219" s="235"/>
      <c r="Q219" s="235"/>
      <c r="R219" s="235"/>
      <c r="S219" s="235"/>
      <c r="T219" s="235"/>
      <c r="U219" s="235"/>
      <c r="V219" s="235"/>
      <c r="W219" s="235"/>
      <c r="X219" s="235"/>
      <c r="Y219" s="235"/>
      <c r="Z219" s="235"/>
    </row>
    <row r="220">
      <c r="A220" s="236"/>
      <c r="B220" s="236"/>
      <c r="C220" s="237"/>
      <c r="D220" s="237"/>
      <c r="E220" s="238"/>
      <c r="F220" s="238"/>
      <c r="G220" s="239"/>
      <c r="H220" s="239"/>
      <c r="I220" s="235"/>
      <c r="J220" s="235"/>
      <c r="K220" s="235"/>
      <c r="L220" s="235"/>
      <c r="M220" s="235"/>
      <c r="N220" s="235"/>
      <c r="O220" s="235"/>
      <c r="P220" s="235"/>
      <c r="Q220" s="235"/>
      <c r="R220" s="235"/>
      <c r="S220" s="235"/>
      <c r="T220" s="235"/>
      <c r="U220" s="235"/>
      <c r="V220" s="235"/>
      <c r="W220" s="235"/>
      <c r="X220" s="235"/>
      <c r="Y220" s="235"/>
      <c r="Z220" s="235"/>
    </row>
    <row r="221">
      <c r="A221" s="236"/>
      <c r="B221" s="236"/>
      <c r="C221" s="237"/>
      <c r="D221" s="237"/>
      <c r="E221" s="238"/>
      <c r="F221" s="238"/>
      <c r="G221" s="239"/>
      <c r="H221" s="239"/>
      <c r="I221" s="235"/>
      <c r="J221" s="235"/>
      <c r="K221" s="235"/>
      <c r="L221" s="235"/>
      <c r="M221" s="235"/>
      <c r="N221" s="235"/>
      <c r="O221" s="235"/>
      <c r="P221" s="235"/>
      <c r="Q221" s="235"/>
      <c r="R221" s="235"/>
      <c r="S221" s="235"/>
      <c r="T221" s="235"/>
      <c r="U221" s="235"/>
      <c r="V221" s="235"/>
      <c r="W221" s="235"/>
      <c r="X221" s="235"/>
      <c r="Y221" s="235"/>
      <c r="Z221" s="235"/>
    </row>
    <row r="222">
      <c r="A222" s="236"/>
      <c r="B222" s="236"/>
      <c r="C222" s="237"/>
      <c r="D222" s="237"/>
      <c r="E222" s="238"/>
      <c r="F222" s="238"/>
      <c r="G222" s="239"/>
      <c r="H222" s="239"/>
      <c r="I222" s="235"/>
      <c r="J222" s="235"/>
      <c r="K222" s="235"/>
      <c r="L222" s="235"/>
      <c r="M222" s="235"/>
      <c r="N222" s="235"/>
      <c r="O222" s="235"/>
      <c r="P222" s="235"/>
      <c r="Q222" s="235"/>
      <c r="R222" s="235"/>
      <c r="S222" s="235"/>
      <c r="T222" s="235"/>
      <c r="U222" s="235"/>
      <c r="V222" s="235"/>
      <c r="W222" s="235"/>
      <c r="X222" s="235"/>
      <c r="Y222" s="235"/>
      <c r="Z222" s="235"/>
    </row>
    <row r="223">
      <c r="A223" s="236"/>
      <c r="B223" s="236"/>
      <c r="C223" s="237"/>
      <c r="D223" s="237"/>
      <c r="E223" s="238"/>
      <c r="F223" s="238"/>
      <c r="G223" s="239"/>
      <c r="H223" s="239"/>
      <c r="I223" s="235"/>
      <c r="J223" s="235"/>
      <c r="K223" s="235"/>
      <c r="L223" s="235"/>
      <c r="M223" s="235"/>
      <c r="N223" s="235"/>
      <c r="O223" s="235"/>
      <c r="P223" s="235"/>
      <c r="Q223" s="235"/>
      <c r="R223" s="235"/>
      <c r="S223" s="235"/>
      <c r="T223" s="235"/>
      <c r="U223" s="235"/>
      <c r="V223" s="235"/>
      <c r="W223" s="235"/>
      <c r="X223" s="235"/>
      <c r="Y223" s="235"/>
      <c r="Z223" s="235"/>
    </row>
    <row r="224">
      <c r="A224" s="236"/>
      <c r="B224" s="236"/>
      <c r="C224" s="237"/>
      <c r="D224" s="237"/>
      <c r="E224" s="238"/>
      <c r="F224" s="238"/>
      <c r="G224" s="239"/>
      <c r="H224" s="239"/>
      <c r="I224" s="235"/>
      <c r="J224" s="235"/>
      <c r="K224" s="235"/>
      <c r="L224" s="235"/>
      <c r="M224" s="235"/>
      <c r="N224" s="235"/>
      <c r="O224" s="235"/>
      <c r="P224" s="235"/>
      <c r="Q224" s="235"/>
      <c r="R224" s="235"/>
      <c r="S224" s="235"/>
      <c r="T224" s="235"/>
      <c r="U224" s="235"/>
      <c r="V224" s="235"/>
      <c r="W224" s="235"/>
      <c r="X224" s="235"/>
      <c r="Y224" s="235"/>
      <c r="Z224" s="235"/>
    </row>
    <row r="225">
      <c r="A225" s="236"/>
      <c r="B225" s="236"/>
      <c r="C225" s="237"/>
      <c r="D225" s="237"/>
      <c r="E225" s="238"/>
      <c r="F225" s="238"/>
      <c r="G225" s="239"/>
      <c r="H225" s="239"/>
      <c r="I225" s="235"/>
      <c r="J225" s="235"/>
      <c r="K225" s="235"/>
      <c r="L225" s="235"/>
      <c r="M225" s="235"/>
      <c r="N225" s="235"/>
      <c r="O225" s="235"/>
      <c r="P225" s="235"/>
      <c r="Q225" s="235"/>
      <c r="R225" s="235"/>
      <c r="S225" s="235"/>
      <c r="T225" s="235"/>
      <c r="U225" s="235"/>
      <c r="V225" s="235"/>
      <c r="W225" s="235"/>
      <c r="X225" s="235"/>
      <c r="Y225" s="235"/>
      <c r="Z225" s="235"/>
    </row>
    <row r="226">
      <c r="A226" s="236"/>
      <c r="B226" s="236"/>
      <c r="C226" s="237"/>
      <c r="D226" s="237"/>
      <c r="E226" s="238"/>
      <c r="F226" s="238"/>
      <c r="G226" s="239"/>
      <c r="H226" s="239"/>
      <c r="I226" s="235"/>
      <c r="J226" s="235"/>
      <c r="K226" s="235"/>
      <c r="L226" s="235"/>
      <c r="M226" s="235"/>
      <c r="N226" s="235"/>
      <c r="O226" s="235"/>
      <c r="P226" s="235"/>
      <c r="Q226" s="235"/>
      <c r="R226" s="235"/>
      <c r="S226" s="235"/>
      <c r="T226" s="235"/>
      <c r="U226" s="235"/>
      <c r="V226" s="235"/>
      <c r="W226" s="235"/>
      <c r="X226" s="235"/>
      <c r="Y226" s="235"/>
      <c r="Z226" s="235"/>
    </row>
    <row r="227">
      <c r="A227" s="236"/>
      <c r="B227" s="236"/>
      <c r="C227" s="237"/>
      <c r="D227" s="237"/>
      <c r="E227" s="238"/>
      <c r="F227" s="238"/>
      <c r="G227" s="239"/>
      <c r="H227" s="239"/>
      <c r="I227" s="235"/>
      <c r="J227" s="235"/>
      <c r="K227" s="235"/>
      <c r="L227" s="235"/>
      <c r="M227" s="235"/>
      <c r="N227" s="235"/>
      <c r="O227" s="235"/>
      <c r="P227" s="235"/>
      <c r="Q227" s="235"/>
      <c r="R227" s="235"/>
      <c r="S227" s="235"/>
      <c r="T227" s="235"/>
      <c r="U227" s="235"/>
      <c r="V227" s="235"/>
      <c r="W227" s="235"/>
      <c r="X227" s="235"/>
      <c r="Y227" s="235"/>
      <c r="Z227" s="235"/>
    </row>
    <row r="228">
      <c r="A228" s="236"/>
      <c r="B228" s="236"/>
      <c r="C228" s="237"/>
      <c r="D228" s="237"/>
      <c r="E228" s="238"/>
      <c r="F228" s="238"/>
      <c r="G228" s="239"/>
      <c r="H228" s="239"/>
      <c r="I228" s="235"/>
      <c r="J228" s="235"/>
      <c r="K228" s="235"/>
      <c r="L228" s="235"/>
      <c r="M228" s="235"/>
      <c r="N228" s="235"/>
      <c r="O228" s="235"/>
      <c r="P228" s="235"/>
      <c r="Q228" s="235"/>
      <c r="R228" s="235"/>
      <c r="S228" s="235"/>
      <c r="T228" s="235"/>
      <c r="U228" s="235"/>
      <c r="V228" s="235"/>
      <c r="W228" s="235"/>
      <c r="X228" s="235"/>
      <c r="Y228" s="235"/>
      <c r="Z228" s="235"/>
    </row>
    <row r="229">
      <c r="A229" s="236"/>
      <c r="B229" s="236"/>
      <c r="C229" s="237"/>
      <c r="D229" s="237"/>
      <c r="E229" s="238"/>
      <c r="F229" s="238"/>
      <c r="G229" s="239"/>
      <c r="H229" s="239"/>
      <c r="I229" s="235"/>
      <c r="J229" s="235"/>
      <c r="K229" s="235"/>
      <c r="L229" s="235"/>
      <c r="M229" s="235"/>
      <c r="N229" s="235"/>
      <c r="O229" s="235"/>
      <c r="P229" s="235"/>
      <c r="Q229" s="235"/>
      <c r="R229" s="235"/>
      <c r="S229" s="235"/>
      <c r="T229" s="235"/>
      <c r="U229" s="235"/>
      <c r="V229" s="235"/>
      <c r="W229" s="235"/>
      <c r="X229" s="235"/>
      <c r="Y229" s="235"/>
      <c r="Z229" s="235"/>
    </row>
    <row r="230">
      <c r="A230" s="236"/>
      <c r="B230" s="236"/>
      <c r="C230" s="237"/>
      <c r="D230" s="237"/>
      <c r="E230" s="238"/>
      <c r="F230" s="238"/>
      <c r="G230" s="239"/>
      <c r="H230" s="239"/>
      <c r="I230" s="235"/>
      <c r="J230" s="235"/>
      <c r="K230" s="235"/>
      <c r="L230" s="235"/>
      <c r="M230" s="235"/>
      <c r="N230" s="235"/>
      <c r="O230" s="235"/>
      <c r="P230" s="235"/>
      <c r="Q230" s="235"/>
      <c r="R230" s="235"/>
      <c r="S230" s="235"/>
      <c r="T230" s="235"/>
      <c r="U230" s="235"/>
      <c r="V230" s="235"/>
      <c r="W230" s="235"/>
      <c r="X230" s="235"/>
      <c r="Y230" s="235"/>
      <c r="Z230" s="235"/>
    </row>
    <row r="231">
      <c r="A231" s="236"/>
      <c r="B231" s="236"/>
      <c r="C231" s="237"/>
      <c r="D231" s="237"/>
      <c r="E231" s="238"/>
      <c r="F231" s="238"/>
      <c r="G231" s="239"/>
      <c r="H231" s="239"/>
      <c r="I231" s="235"/>
      <c r="J231" s="235"/>
      <c r="K231" s="235"/>
      <c r="L231" s="235"/>
      <c r="M231" s="235"/>
      <c r="N231" s="235"/>
      <c r="O231" s="235"/>
      <c r="P231" s="235"/>
      <c r="Q231" s="235"/>
      <c r="R231" s="235"/>
      <c r="S231" s="235"/>
      <c r="T231" s="235"/>
      <c r="U231" s="235"/>
      <c r="V231" s="235"/>
      <c r="W231" s="235"/>
      <c r="X231" s="235"/>
      <c r="Y231" s="235"/>
      <c r="Z231" s="235"/>
    </row>
    <row r="232">
      <c r="A232" s="236"/>
      <c r="B232" s="236"/>
      <c r="C232" s="237"/>
      <c r="D232" s="237"/>
      <c r="E232" s="238"/>
      <c r="F232" s="238"/>
      <c r="G232" s="239"/>
      <c r="H232" s="239"/>
      <c r="I232" s="235"/>
      <c r="J232" s="235"/>
      <c r="K232" s="235"/>
      <c r="L232" s="235"/>
      <c r="M232" s="235"/>
      <c r="N232" s="235"/>
      <c r="O232" s="235"/>
      <c r="P232" s="235"/>
      <c r="Q232" s="235"/>
      <c r="R232" s="235"/>
      <c r="S232" s="235"/>
      <c r="T232" s="235"/>
      <c r="U232" s="235"/>
      <c r="V232" s="235"/>
      <c r="W232" s="235"/>
      <c r="X232" s="235"/>
      <c r="Y232" s="235"/>
      <c r="Z232" s="235"/>
    </row>
    <row r="233">
      <c r="A233" s="236"/>
      <c r="B233" s="236"/>
      <c r="C233" s="237"/>
      <c r="D233" s="237"/>
      <c r="E233" s="238"/>
      <c r="F233" s="238"/>
      <c r="G233" s="239"/>
      <c r="H233" s="239"/>
      <c r="I233" s="235"/>
      <c r="J233" s="235"/>
      <c r="K233" s="235"/>
      <c r="L233" s="235"/>
      <c r="M233" s="235"/>
      <c r="N233" s="235"/>
      <c r="O233" s="235"/>
      <c r="P233" s="235"/>
      <c r="Q233" s="235"/>
      <c r="R233" s="235"/>
      <c r="S233" s="235"/>
      <c r="T233" s="235"/>
      <c r="U233" s="235"/>
      <c r="V233" s="235"/>
      <c r="W233" s="235"/>
      <c r="X233" s="235"/>
      <c r="Y233" s="235"/>
      <c r="Z233" s="235"/>
    </row>
    <row r="234">
      <c r="A234" s="236"/>
      <c r="B234" s="236"/>
      <c r="C234" s="237"/>
      <c r="D234" s="237"/>
      <c r="E234" s="238"/>
      <c r="F234" s="238"/>
      <c r="G234" s="239"/>
      <c r="H234" s="239"/>
      <c r="I234" s="235"/>
      <c r="J234" s="235"/>
      <c r="K234" s="235"/>
      <c r="L234" s="235"/>
      <c r="M234" s="235"/>
      <c r="N234" s="235"/>
      <c r="O234" s="235"/>
      <c r="P234" s="235"/>
      <c r="Q234" s="235"/>
      <c r="R234" s="235"/>
      <c r="S234" s="235"/>
      <c r="T234" s="235"/>
      <c r="U234" s="235"/>
      <c r="V234" s="235"/>
      <c r="W234" s="235"/>
      <c r="X234" s="235"/>
      <c r="Y234" s="235"/>
      <c r="Z234" s="235"/>
    </row>
    <row r="235">
      <c r="A235" s="236"/>
      <c r="B235" s="236"/>
      <c r="C235" s="237"/>
      <c r="D235" s="237"/>
      <c r="E235" s="238"/>
      <c r="F235" s="238"/>
      <c r="G235" s="239"/>
      <c r="H235" s="239"/>
      <c r="I235" s="235"/>
      <c r="J235" s="235"/>
      <c r="K235" s="235"/>
      <c r="L235" s="235"/>
      <c r="M235" s="235"/>
      <c r="N235" s="235"/>
      <c r="O235" s="235"/>
      <c r="P235" s="235"/>
      <c r="Q235" s="235"/>
      <c r="R235" s="235"/>
      <c r="S235" s="235"/>
      <c r="T235" s="235"/>
      <c r="U235" s="235"/>
      <c r="V235" s="235"/>
      <c r="W235" s="235"/>
      <c r="X235" s="235"/>
      <c r="Y235" s="235"/>
      <c r="Z235" s="235"/>
    </row>
    <row r="236">
      <c r="A236" s="236"/>
      <c r="B236" s="236"/>
      <c r="C236" s="237"/>
      <c r="D236" s="237"/>
      <c r="E236" s="238"/>
      <c r="F236" s="238"/>
      <c r="G236" s="239"/>
      <c r="H236" s="239"/>
      <c r="I236" s="235"/>
      <c r="J236" s="235"/>
      <c r="K236" s="235"/>
      <c r="L236" s="235"/>
      <c r="M236" s="235"/>
      <c r="N236" s="235"/>
      <c r="O236" s="235"/>
      <c r="P236" s="235"/>
      <c r="Q236" s="235"/>
      <c r="R236" s="235"/>
      <c r="S236" s="235"/>
      <c r="T236" s="235"/>
      <c r="U236" s="235"/>
      <c r="V236" s="235"/>
      <c r="W236" s="235"/>
      <c r="X236" s="235"/>
      <c r="Y236" s="235"/>
      <c r="Z236" s="235"/>
    </row>
    <row r="237">
      <c r="A237" s="236"/>
      <c r="B237" s="236"/>
      <c r="C237" s="237"/>
      <c r="D237" s="237"/>
      <c r="E237" s="238"/>
      <c r="F237" s="238"/>
      <c r="G237" s="239"/>
      <c r="H237" s="239"/>
      <c r="I237" s="235"/>
      <c r="J237" s="235"/>
      <c r="K237" s="235"/>
      <c r="L237" s="235"/>
      <c r="M237" s="235"/>
      <c r="N237" s="235"/>
      <c r="O237" s="235"/>
      <c r="P237" s="235"/>
      <c r="Q237" s="235"/>
      <c r="R237" s="235"/>
      <c r="S237" s="235"/>
      <c r="T237" s="235"/>
      <c r="U237" s="235"/>
      <c r="V237" s="235"/>
      <c r="W237" s="235"/>
      <c r="X237" s="235"/>
      <c r="Y237" s="235"/>
      <c r="Z237" s="235"/>
    </row>
    <row r="238">
      <c r="A238" s="236"/>
      <c r="B238" s="236"/>
      <c r="C238" s="237"/>
      <c r="D238" s="237"/>
      <c r="E238" s="238"/>
      <c r="F238" s="238"/>
      <c r="G238" s="239"/>
      <c r="H238" s="239"/>
      <c r="I238" s="235"/>
      <c r="J238" s="235"/>
      <c r="K238" s="235"/>
      <c r="L238" s="235"/>
      <c r="M238" s="235"/>
      <c r="N238" s="235"/>
      <c r="O238" s="235"/>
      <c r="P238" s="235"/>
      <c r="Q238" s="235"/>
      <c r="R238" s="235"/>
      <c r="S238" s="235"/>
      <c r="T238" s="235"/>
      <c r="U238" s="235"/>
      <c r="V238" s="235"/>
      <c r="W238" s="235"/>
      <c r="X238" s="235"/>
      <c r="Y238" s="235"/>
      <c r="Z238" s="235"/>
    </row>
    <row r="239">
      <c r="A239" s="236"/>
      <c r="B239" s="236"/>
      <c r="C239" s="237"/>
      <c r="D239" s="237"/>
      <c r="E239" s="238"/>
      <c r="F239" s="238"/>
      <c r="G239" s="239"/>
      <c r="H239" s="239"/>
      <c r="I239" s="235"/>
      <c r="J239" s="235"/>
      <c r="K239" s="235"/>
      <c r="L239" s="235"/>
      <c r="M239" s="235"/>
      <c r="N239" s="235"/>
      <c r="O239" s="235"/>
      <c r="P239" s="235"/>
      <c r="Q239" s="235"/>
      <c r="R239" s="235"/>
      <c r="S239" s="235"/>
      <c r="T239" s="235"/>
      <c r="U239" s="235"/>
      <c r="V239" s="235"/>
      <c r="W239" s="235"/>
      <c r="X239" s="235"/>
      <c r="Y239" s="235"/>
      <c r="Z239" s="235"/>
    </row>
    <row r="240">
      <c r="A240" s="236"/>
      <c r="B240" s="236"/>
      <c r="C240" s="237"/>
      <c r="D240" s="237"/>
      <c r="E240" s="238"/>
      <c r="F240" s="238"/>
      <c r="G240" s="239"/>
      <c r="H240" s="239"/>
      <c r="I240" s="235"/>
      <c r="J240" s="235"/>
      <c r="K240" s="235"/>
      <c r="L240" s="235"/>
      <c r="M240" s="235"/>
      <c r="N240" s="235"/>
      <c r="O240" s="235"/>
      <c r="P240" s="235"/>
      <c r="Q240" s="235"/>
      <c r="R240" s="235"/>
      <c r="S240" s="235"/>
      <c r="T240" s="235"/>
      <c r="U240" s="235"/>
      <c r="V240" s="235"/>
      <c r="W240" s="235"/>
      <c r="X240" s="235"/>
      <c r="Y240" s="235"/>
      <c r="Z240" s="235"/>
    </row>
    <row r="241">
      <c r="A241" s="236"/>
      <c r="B241" s="236"/>
      <c r="C241" s="237"/>
      <c r="D241" s="237"/>
      <c r="E241" s="238"/>
      <c r="F241" s="238"/>
      <c r="G241" s="239"/>
      <c r="H241" s="239"/>
      <c r="I241" s="235"/>
      <c r="J241" s="235"/>
      <c r="K241" s="235"/>
      <c r="L241" s="235"/>
      <c r="M241" s="235"/>
      <c r="N241" s="235"/>
      <c r="O241" s="235"/>
      <c r="P241" s="235"/>
      <c r="Q241" s="235"/>
      <c r="R241" s="235"/>
      <c r="S241" s="235"/>
      <c r="T241" s="235"/>
      <c r="U241" s="235"/>
      <c r="V241" s="235"/>
      <c r="W241" s="235"/>
      <c r="X241" s="235"/>
      <c r="Y241" s="235"/>
      <c r="Z241" s="235"/>
    </row>
    <row r="242">
      <c r="A242" s="236"/>
      <c r="B242" s="236"/>
      <c r="C242" s="237"/>
      <c r="D242" s="237"/>
      <c r="E242" s="238"/>
      <c r="F242" s="238"/>
      <c r="G242" s="239"/>
      <c r="H242" s="239"/>
      <c r="I242" s="235"/>
      <c r="J242" s="235"/>
      <c r="K242" s="235"/>
      <c r="L242" s="235"/>
      <c r="M242" s="235"/>
      <c r="N242" s="235"/>
      <c r="O242" s="235"/>
      <c r="P242" s="235"/>
      <c r="Q242" s="235"/>
      <c r="R242" s="235"/>
      <c r="S242" s="235"/>
      <c r="T242" s="235"/>
      <c r="U242" s="235"/>
      <c r="V242" s="235"/>
      <c r="W242" s="235"/>
      <c r="X242" s="235"/>
      <c r="Y242" s="235"/>
      <c r="Z242" s="235"/>
    </row>
    <row r="243">
      <c r="A243" s="236"/>
      <c r="B243" s="236"/>
      <c r="C243" s="237"/>
      <c r="D243" s="237"/>
      <c r="E243" s="238"/>
      <c r="F243" s="238"/>
      <c r="G243" s="239"/>
      <c r="H243" s="239"/>
      <c r="I243" s="235"/>
      <c r="J243" s="235"/>
      <c r="K243" s="235"/>
      <c r="L243" s="235"/>
      <c r="M243" s="235"/>
      <c r="N243" s="235"/>
      <c r="O243" s="235"/>
      <c r="P243" s="235"/>
      <c r="Q243" s="235"/>
      <c r="R243" s="235"/>
      <c r="S243" s="235"/>
      <c r="T243" s="235"/>
      <c r="U243" s="235"/>
      <c r="V243" s="235"/>
      <c r="W243" s="235"/>
      <c r="X243" s="235"/>
      <c r="Y243" s="235"/>
      <c r="Z243" s="235"/>
    </row>
    <row r="244">
      <c r="A244" s="236"/>
      <c r="B244" s="236"/>
      <c r="C244" s="237"/>
      <c r="D244" s="237"/>
      <c r="E244" s="238"/>
      <c r="F244" s="238"/>
      <c r="G244" s="239"/>
      <c r="H244" s="239"/>
      <c r="I244" s="235"/>
      <c r="J244" s="235"/>
      <c r="K244" s="235"/>
      <c r="L244" s="235"/>
      <c r="M244" s="235"/>
      <c r="N244" s="235"/>
      <c r="O244" s="235"/>
      <c r="P244" s="235"/>
      <c r="Q244" s="235"/>
      <c r="R244" s="235"/>
      <c r="S244" s="235"/>
      <c r="T244" s="235"/>
      <c r="U244" s="235"/>
      <c r="V244" s="235"/>
      <c r="W244" s="235"/>
      <c r="X244" s="235"/>
      <c r="Y244" s="235"/>
      <c r="Z244" s="235"/>
    </row>
    <row r="245">
      <c r="A245" s="236"/>
      <c r="B245" s="236"/>
      <c r="C245" s="237"/>
      <c r="D245" s="237"/>
      <c r="E245" s="238"/>
      <c r="F245" s="238"/>
      <c r="G245" s="239"/>
      <c r="H245" s="239"/>
      <c r="I245" s="235"/>
      <c r="J245" s="235"/>
      <c r="K245" s="235"/>
      <c r="L245" s="235"/>
      <c r="M245" s="235"/>
      <c r="N245" s="235"/>
      <c r="O245" s="235"/>
      <c r="P245" s="235"/>
      <c r="Q245" s="235"/>
      <c r="R245" s="235"/>
      <c r="S245" s="235"/>
      <c r="T245" s="235"/>
      <c r="U245" s="235"/>
      <c r="V245" s="235"/>
      <c r="W245" s="235"/>
      <c r="X245" s="235"/>
      <c r="Y245" s="235"/>
      <c r="Z245" s="235"/>
    </row>
    <row r="246">
      <c r="A246" s="236"/>
      <c r="B246" s="236"/>
      <c r="C246" s="237"/>
      <c r="D246" s="237"/>
      <c r="E246" s="238"/>
      <c r="F246" s="238"/>
      <c r="G246" s="239"/>
      <c r="H246" s="239"/>
      <c r="I246" s="235"/>
      <c r="J246" s="235"/>
      <c r="K246" s="235"/>
      <c r="L246" s="235"/>
      <c r="M246" s="235"/>
      <c r="N246" s="235"/>
      <c r="O246" s="235"/>
      <c r="P246" s="235"/>
      <c r="Q246" s="235"/>
      <c r="R246" s="235"/>
      <c r="S246" s="235"/>
      <c r="T246" s="235"/>
      <c r="U246" s="235"/>
      <c r="V246" s="235"/>
      <c r="W246" s="235"/>
      <c r="X246" s="235"/>
      <c r="Y246" s="235"/>
      <c r="Z246" s="235"/>
    </row>
    <row r="247">
      <c r="A247" s="236"/>
      <c r="B247" s="236"/>
      <c r="C247" s="237"/>
      <c r="D247" s="237"/>
      <c r="E247" s="238"/>
      <c r="F247" s="238"/>
      <c r="G247" s="239"/>
      <c r="H247" s="239"/>
      <c r="I247" s="235"/>
      <c r="J247" s="235"/>
      <c r="K247" s="235"/>
      <c r="L247" s="235"/>
      <c r="M247" s="235"/>
      <c r="N247" s="235"/>
      <c r="O247" s="235"/>
      <c r="P247" s="235"/>
      <c r="Q247" s="235"/>
      <c r="R247" s="235"/>
      <c r="S247" s="235"/>
      <c r="T247" s="235"/>
      <c r="U247" s="235"/>
      <c r="V247" s="235"/>
      <c r="W247" s="235"/>
      <c r="X247" s="235"/>
      <c r="Y247" s="235"/>
      <c r="Z247" s="235"/>
    </row>
    <row r="248">
      <c r="A248" s="236"/>
      <c r="B248" s="236"/>
      <c r="C248" s="237"/>
      <c r="D248" s="237"/>
      <c r="E248" s="238"/>
      <c r="F248" s="238"/>
      <c r="G248" s="239"/>
      <c r="H248" s="239"/>
      <c r="I248" s="235"/>
      <c r="J248" s="235"/>
      <c r="K248" s="235"/>
      <c r="L248" s="235"/>
      <c r="M248" s="235"/>
      <c r="N248" s="235"/>
      <c r="O248" s="235"/>
      <c r="P248" s="235"/>
      <c r="Q248" s="235"/>
      <c r="R248" s="235"/>
      <c r="S248" s="235"/>
      <c r="T248" s="235"/>
      <c r="U248" s="235"/>
      <c r="V248" s="235"/>
      <c r="W248" s="235"/>
      <c r="X248" s="235"/>
      <c r="Y248" s="235"/>
      <c r="Z248" s="235"/>
    </row>
    <row r="249">
      <c r="A249" s="236"/>
      <c r="B249" s="236"/>
      <c r="C249" s="237"/>
      <c r="D249" s="237"/>
      <c r="E249" s="238"/>
      <c r="F249" s="238"/>
      <c r="G249" s="239"/>
      <c r="H249" s="239"/>
      <c r="I249" s="235"/>
      <c r="J249" s="235"/>
      <c r="K249" s="235"/>
      <c r="L249" s="235"/>
      <c r="M249" s="235"/>
      <c r="N249" s="235"/>
      <c r="O249" s="235"/>
      <c r="P249" s="235"/>
      <c r="Q249" s="235"/>
      <c r="R249" s="235"/>
      <c r="S249" s="235"/>
      <c r="T249" s="235"/>
      <c r="U249" s="235"/>
      <c r="V249" s="235"/>
      <c r="W249" s="235"/>
      <c r="X249" s="235"/>
      <c r="Y249" s="235"/>
      <c r="Z249" s="235"/>
    </row>
    <row r="250">
      <c r="A250" s="236"/>
      <c r="B250" s="236"/>
      <c r="C250" s="237"/>
      <c r="D250" s="237"/>
      <c r="E250" s="238"/>
      <c r="F250" s="238"/>
      <c r="G250" s="239"/>
      <c r="H250" s="239"/>
      <c r="I250" s="235"/>
      <c r="J250" s="235"/>
      <c r="K250" s="235"/>
      <c r="L250" s="235"/>
      <c r="M250" s="235"/>
      <c r="N250" s="235"/>
      <c r="O250" s="235"/>
      <c r="P250" s="235"/>
      <c r="Q250" s="235"/>
      <c r="R250" s="235"/>
      <c r="S250" s="235"/>
      <c r="T250" s="235"/>
      <c r="U250" s="235"/>
      <c r="V250" s="235"/>
      <c r="W250" s="235"/>
      <c r="X250" s="235"/>
      <c r="Y250" s="235"/>
      <c r="Z250" s="235"/>
    </row>
    <row r="251">
      <c r="A251" s="236"/>
      <c r="B251" s="236"/>
      <c r="C251" s="237"/>
      <c r="D251" s="237"/>
      <c r="E251" s="238"/>
      <c r="F251" s="238"/>
      <c r="G251" s="239"/>
      <c r="H251" s="239"/>
      <c r="I251" s="235"/>
      <c r="J251" s="235"/>
      <c r="K251" s="235"/>
      <c r="L251" s="235"/>
      <c r="M251" s="235"/>
      <c r="N251" s="235"/>
      <c r="O251" s="235"/>
      <c r="P251" s="235"/>
      <c r="Q251" s="235"/>
      <c r="R251" s="235"/>
      <c r="S251" s="235"/>
      <c r="T251" s="235"/>
      <c r="U251" s="235"/>
      <c r="V251" s="235"/>
      <c r="W251" s="235"/>
      <c r="X251" s="235"/>
      <c r="Y251" s="235"/>
      <c r="Z251" s="235"/>
    </row>
    <row r="252">
      <c r="A252" s="236"/>
      <c r="B252" s="236"/>
      <c r="C252" s="237"/>
      <c r="D252" s="237"/>
      <c r="E252" s="238"/>
      <c r="F252" s="238"/>
      <c r="G252" s="239"/>
      <c r="H252" s="239"/>
      <c r="I252" s="235"/>
      <c r="J252" s="235"/>
      <c r="K252" s="235"/>
      <c r="L252" s="235"/>
      <c r="M252" s="235"/>
      <c r="N252" s="235"/>
      <c r="O252" s="235"/>
      <c r="P252" s="235"/>
      <c r="Q252" s="235"/>
      <c r="R252" s="235"/>
      <c r="S252" s="235"/>
      <c r="T252" s="235"/>
      <c r="U252" s="235"/>
      <c r="V252" s="235"/>
      <c r="W252" s="235"/>
      <c r="X252" s="235"/>
      <c r="Y252" s="235"/>
      <c r="Z252" s="235"/>
    </row>
    <row r="253">
      <c r="A253" s="236"/>
      <c r="B253" s="236"/>
      <c r="C253" s="237"/>
      <c r="D253" s="237"/>
      <c r="E253" s="238"/>
      <c r="F253" s="238"/>
      <c r="G253" s="239"/>
      <c r="H253" s="239"/>
      <c r="I253" s="235"/>
      <c r="J253" s="235"/>
      <c r="K253" s="235"/>
      <c r="L253" s="235"/>
      <c r="M253" s="235"/>
      <c r="N253" s="235"/>
      <c r="O253" s="235"/>
      <c r="P253" s="235"/>
      <c r="Q253" s="235"/>
      <c r="R253" s="235"/>
      <c r="S253" s="235"/>
      <c r="T253" s="235"/>
      <c r="U253" s="235"/>
      <c r="V253" s="235"/>
      <c r="W253" s="235"/>
      <c r="X253" s="235"/>
      <c r="Y253" s="235"/>
      <c r="Z253" s="235"/>
    </row>
    <row r="254">
      <c r="A254" s="236"/>
      <c r="B254" s="236"/>
      <c r="C254" s="237"/>
      <c r="D254" s="237"/>
      <c r="E254" s="238"/>
      <c r="F254" s="238"/>
      <c r="G254" s="239"/>
      <c r="H254" s="239"/>
      <c r="I254" s="235"/>
      <c r="J254" s="235"/>
      <c r="K254" s="235"/>
      <c r="L254" s="235"/>
      <c r="M254" s="235"/>
      <c r="N254" s="235"/>
      <c r="O254" s="235"/>
      <c r="P254" s="235"/>
      <c r="Q254" s="235"/>
      <c r="R254" s="235"/>
      <c r="S254" s="235"/>
      <c r="T254" s="235"/>
      <c r="U254" s="235"/>
      <c r="V254" s="235"/>
      <c r="W254" s="235"/>
      <c r="X254" s="235"/>
      <c r="Y254" s="235"/>
      <c r="Z254" s="235"/>
    </row>
    <row r="255">
      <c r="A255" s="236"/>
      <c r="B255" s="236"/>
      <c r="C255" s="237"/>
      <c r="D255" s="237"/>
      <c r="E255" s="238"/>
      <c r="F255" s="238"/>
      <c r="G255" s="239"/>
      <c r="H255" s="239"/>
      <c r="I255" s="235"/>
      <c r="J255" s="235"/>
      <c r="K255" s="235"/>
      <c r="L255" s="235"/>
      <c r="M255" s="235"/>
      <c r="N255" s="235"/>
      <c r="O255" s="235"/>
      <c r="P255" s="235"/>
      <c r="Q255" s="235"/>
      <c r="R255" s="235"/>
      <c r="S255" s="235"/>
      <c r="T255" s="235"/>
      <c r="U255" s="235"/>
      <c r="V255" s="235"/>
      <c r="W255" s="235"/>
      <c r="X255" s="235"/>
      <c r="Y255" s="235"/>
      <c r="Z255" s="235"/>
    </row>
    <row r="256">
      <c r="A256" s="236"/>
      <c r="B256" s="236"/>
      <c r="C256" s="237"/>
      <c r="D256" s="237"/>
      <c r="E256" s="238"/>
      <c r="F256" s="238"/>
      <c r="G256" s="239"/>
      <c r="H256" s="239"/>
      <c r="I256" s="235"/>
      <c r="J256" s="235"/>
      <c r="K256" s="235"/>
      <c r="L256" s="235"/>
      <c r="M256" s="235"/>
      <c r="N256" s="235"/>
      <c r="O256" s="235"/>
      <c r="P256" s="235"/>
      <c r="Q256" s="235"/>
      <c r="R256" s="235"/>
      <c r="S256" s="235"/>
      <c r="T256" s="235"/>
      <c r="U256" s="235"/>
      <c r="V256" s="235"/>
      <c r="W256" s="235"/>
      <c r="X256" s="235"/>
      <c r="Y256" s="235"/>
      <c r="Z256" s="235"/>
    </row>
    <row r="257">
      <c r="A257" s="236"/>
      <c r="B257" s="236"/>
      <c r="C257" s="237"/>
      <c r="D257" s="237"/>
      <c r="E257" s="238"/>
      <c r="F257" s="238"/>
      <c r="G257" s="239"/>
      <c r="H257" s="239"/>
      <c r="I257" s="235"/>
      <c r="J257" s="235"/>
      <c r="K257" s="235"/>
      <c r="L257" s="235"/>
      <c r="M257" s="235"/>
      <c r="N257" s="235"/>
      <c r="O257" s="235"/>
      <c r="P257" s="235"/>
      <c r="Q257" s="235"/>
      <c r="R257" s="235"/>
      <c r="S257" s="235"/>
      <c r="T257" s="235"/>
      <c r="U257" s="235"/>
      <c r="V257" s="235"/>
      <c r="W257" s="235"/>
      <c r="X257" s="235"/>
      <c r="Y257" s="235"/>
      <c r="Z257" s="235"/>
    </row>
    <row r="258">
      <c r="A258" s="236"/>
      <c r="B258" s="236"/>
      <c r="C258" s="237"/>
      <c r="D258" s="237"/>
      <c r="E258" s="238"/>
      <c r="F258" s="238"/>
      <c r="G258" s="239"/>
      <c r="H258" s="239"/>
      <c r="I258" s="235"/>
      <c r="J258" s="235"/>
      <c r="K258" s="235"/>
      <c r="L258" s="235"/>
      <c r="M258" s="235"/>
      <c r="N258" s="235"/>
      <c r="O258" s="235"/>
      <c r="P258" s="235"/>
      <c r="Q258" s="235"/>
      <c r="R258" s="235"/>
      <c r="S258" s="235"/>
      <c r="T258" s="235"/>
      <c r="U258" s="235"/>
      <c r="V258" s="235"/>
      <c r="W258" s="235"/>
      <c r="X258" s="235"/>
      <c r="Y258" s="235"/>
      <c r="Z258" s="235"/>
    </row>
    <row r="259">
      <c r="A259" s="236"/>
      <c r="B259" s="236"/>
      <c r="C259" s="237"/>
      <c r="D259" s="237"/>
      <c r="E259" s="238"/>
      <c r="F259" s="238"/>
      <c r="G259" s="239"/>
      <c r="H259" s="239"/>
      <c r="I259" s="235"/>
      <c r="J259" s="235"/>
      <c r="K259" s="235"/>
      <c r="L259" s="235"/>
      <c r="M259" s="235"/>
      <c r="N259" s="235"/>
      <c r="O259" s="235"/>
      <c r="P259" s="235"/>
      <c r="Q259" s="235"/>
      <c r="R259" s="235"/>
      <c r="S259" s="235"/>
      <c r="T259" s="235"/>
      <c r="U259" s="235"/>
      <c r="V259" s="235"/>
      <c r="W259" s="235"/>
      <c r="X259" s="235"/>
      <c r="Y259" s="235"/>
      <c r="Z259" s="235"/>
    </row>
    <row r="260">
      <c r="A260" s="236"/>
      <c r="B260" s="236"/>
      <c r="C260" s="237"/>
      <c r="D260" s="237"/>
      <c r="E260" s="238"/>
      <c r="F260" s="238"/>
      <c r="G260" s="239"/>
      <c r="H260" s="239"/>
      <c r="I260" s="235"/>
      <c r="J260" s="235"/>
      <c r="K260" s="235"/>
      <c r="L260" s="235"/>
      <c r="M260" s="235"/>
      <c r="N260" s="235"/>
      <c r="O260" s="235"/>
      <c r="P260" s="235"/>
      <c r="Q260" s="235"/>
      <c r="R260" s="235"/>
      <c r="S260" s="235"/>
      <c r="T260" s="235"/>
      <c r="U260" s="235"/>
      <c r="V260" s="235"/>
      <c r="W260" s="235"/>
      <c r="X260" s="235"/>
      <c r="Y260" s="235"/>
      <c r="Z260" s="235"/>
    </row>
    <row r="261">
      <c r="A261" s="236"/>
      <c r="B261" s="236"/>
      <c r="C261" s="237"/>
      <c r="D261" s="237"/>
      <c r="E261" s="238"/>
      <c r="F261" s="238"/>
      <c r="G261" s="239"/>
      <c r="H261" s="239"/>
      <c r="I261" s="235"/>
      <c r="J261" s="235"/>
      <c r="K261" s="235"/>
      <c r="L261" s="235"/>
      <c r="M261" s="235"/>
      <c r="N261" s="235"/>
      <c r="O261" s="235"/>
      <c r="P261" s="235"/>
      <c r="Q261" s="235"/>
      <c r="R261" s="235"/>
      <c r="S261" s="235"/>
      <c r="T261" s="235"/>
      <c r="U261" s="235"/>
      <c r="V261" s="235"/>
      <c r="W261" s="235"/>
      <c r="X261" s="235"/>
      <c r="Y261" s="235"/>
      <c r="Z261" s="235"/>
    </row>
    <row r="262">
      <c r="A262" s="236"/>
      <c r="B262" s="236"/>
      <c r="C262" s="237"/>
      <c r="D262" s="237"/>
      <c r="E262" s="238"/>
      <c r="F262" s="238"/>
      <c r="G262" s="239"/>
      <c r="H262" s="239"/>
      <c r="I262" s="235"/>
      <c r="J262" s="235"/>
      <c r="K262" s="235"/>
      <c r="L262" s="235"/>
      <c r="M262" s="235"/>
      <c r="N262" s="235"/>
      <c r="O262" s="235"/>
      <c r="P262" s="235"/>
      <c r="Q262" s="235"/>
      <c r="R262" s="235"/>
      <c r="S262" s="235"/>
      <c r="T262" s="235"/>
      <c r="U262" s="235"/>
      <c r="V262" s="235"/>
      <c r="W262" s="235"/>
      <c r="X262" s="235"/>
      <c r="Y262" s="235"/>
      <c r="Z262" s="235"/>
    </row>
    <row r="263">
      <c r="A263" s="236"/>
      <c r="B263" s="236"/>
      <c r="C263" s="237"/>
      <c r="D263" s="237"/>
      <c r="E263" s="238"/>
      <c r="F263" s="238"/>
      <c r="G263" s="239"/>
      <c r="H263" s="239"/>
      <c r="I263" s="235"/>
      <c r="J263" s="235"/>
      <c r="K263" s="235"/>
      <c r="L263" s="235"/>
      <c r="M263" s="235"/>
      <c r="N263" s="235"/>
      <c r="O263" s="235"/>
      <c r="P263" s="235"/>
      <c r="Q263" s="235"/>
      <c r="R263" s="235"/>
      <c r="S263" s="235"/>
      <c r="T263" s="235"/>
      <c r="U263" s="235"/>
      <c r="V263" s="235"/>
      <c r="W263" s="235"/>
      <c r="X263" s="235"/>
      <c r="Y263" s="235"/>
      <c r="Z263" s="235"/>
    </row>
    <row r="264">
      <c r="A264" s="236"/>
      <c r="B264" s="236"/>
      <c r="C264" s="237"/>
      <c r="D264" s="237"/>
      <c r="E264" s="238"/>
      <c r="F264" s="238"/>
      <c r="G264" s="239"/>
      <c r="H264" s="239"/>
      <c r="I264" s="235"/>
      <c r="J264" s="235"/>
      <c r="K264" s="235"/>
      <c r="L264" s="235"/>
      <c r="M264" s="235"/>
      <c r="N264" s="235"/>
      <c r="O264" s="235"/>
      <c r="P264" s="235"/>
      <c r="Q264" s="235"/>
      <c r="R264" s="235"/>
      <c r="S264" s="235"/>
      <c r="T264" s="235"/>
      <c r="U264" s="235"/>
      <c r="V264" s="235"/>
      <c r="W264" s="235"/>
      <c r="X264" s="235"/>
      <c r="Y264" s="235"/>
      <c r="Z264" s="235"/>
    </row>
    <row r="265">
      <c r="A265" s="236"/>
      <c r="B265" s="236"/>
      <c r="C265" s="237"/>
      <c r="D265" s="237"/>
      <c r="E265" s="238"/>
      <c r="F265" s="238"/>
      <c r="G265" s="239"/>
      <c r="H265" s="239"/>
      <c r="I265" s="235"/>
      <c r="J265" s="235"/>
      <c r="K265" s="235"/>
      <c r="L265" s="235"/>
      <c r="M265" s="235"/>
      <c r="N265" s="235"/>
      <c r="O265" s="235"/>
      <c r="P265" s="235"/>
      <c r="Q265" s="235"/>
      <c r="R265" s="235"/>
      <c r="S265" s="235"/>
      <c r="T265" s="235"/>
      <c r="U265" s="235"/>
      <c r="V265" s="235"/>
      <c r="W265" s="235"/>
      <c r="X265" s="235"/>
      <c r="Y265" s="235"/>
      <c r="Z265" s="235"/>
    </row>
    <row r="266">
      <c r="A266" s="236"/>
      <c r="B266" s="236"/>
      <c r="C266" s="237"/>
      <c r="D266" s="237"/>
      <c r="E266" s="238"/>
      <c r="F266" s="238"/>
      <c r="G266" s="239"/>
      <c r="H266" s="239"/>
      <c r="I266" s="235"/>
      <c r="J266" s="235"/>
      <c r="K266" s="235"/>
      <c r="L266" s="235"/>
      <c r="M266" s="235"/>
      <c r="N266" s="235"/>
      <c r="O266" s="235"/>
      <c r="P266" s="235"/>
      <c r="Q266" s="235"/>
      <c r="R266" s="235"/>
      <c r="S266" s="235"/>
      <c r="T266" s="235"/>
      <c r="U266" s="235"/>
      <c r="V266" s="235"/>
      <c r="W266" s="235"/>
      <c r="X266" s="235"/>
      <c r="Y266" s="235"/>
      <c r="Z266" s="235"/>
    </row>
    <row r="267">
      <c r="A267" s="236"/>
      <c r="B267" s="236"/>
      <c r="C267" s="237"/>
      <c r="D267" s="237"/>
      <c r="E267" s="238"/>
      <c r="F267" s="238"/>
      <c r="G267" s="239"/>
      <c r="H267" s="239"/>
      <c r="I267" s="235"/>
      <c r="J267" s="235"/>
      <c r="K267" s="235"/>
      <c r="L267" s="235"/>
      <c r="M267" s="235"/>
      <c r="N267" s="235"/>
      <c r="O267" s="235"/>
      <c r="P267" s="235"/>
      <c r="Q267" s="235"/>
      <c r="R267" s="235"/>
      <c r="S267" s="235"/>
      <c r="T267" s="235"/>
      <c r="U267" s="235"/>
      <c r="V267" s="235"/>
      <c r="W267" s="235"/>
      <c r="X267" s="235"/>
      <c r="Y267" s="235"/>
      <c r="Z267" s="235"/>
    </row>
    <row r="268">
      <c r="A268" s="236"/>
      <c r="B268" s="236"/>
      <c r="C268" s="237"/>
      <c r="D268" s="237"/>
      <c r="E268" s="238"/>
      <c r="F268" s="238"/>
      <c r="G268" s="239"/>
      <c r="H268" s="239"/>
      <c r="I268" s="235"/>
      <c r="J268" s="235"/>
      <c r="K268" s="235"/>
      <c r="L268" s="235"/>
      <c r="M268" s="235"/>
      <c r="N268" s="235"/>
      <c r="O268" s="235"/>
      <c r="P268" s="235"/>
      <c r="Q268" s="235"/>
      <c r="R268" s="235"/>
      <c r="S268" s="235"/>
      <c r="T268" s="235"/>
      <c r="U268" s="235"/>
      <c r="V268" s="235"/>
      <c r="W268" s="235"/>
      <c r="X268" s="235"/>
      <c r="Y268" s="235"/>
      <c r="Z268" s="235"/>
    </row>
    <row r="269">
      <c r="A269" s="236"/>
      <c r="B269" s="236"/>
      <c r="C269" s="237"/>
      <c r="D269" s="237"/>
      <c r="E269" s="238"/>
      <c r="F269" s="238"/>
      <c r="G269" s="239"/>
      <c r="H269" s="239"/>
      <c r="I269" s="235"/>
      <c r="J269" s="235"/>
      <c r="K269" s="235"/>
      <c r="L269" s="235"/>
      <c r="M269" s="235"/>
      <c r="N269" s="235"/>
      <c r="O269" s="235"/>
      <c r="P269" s="235"/>
      <c r="Q269" s="235"/>
      <c r="R269" s="235"/>
      <c r="S269" s="235"/>
      <c r="T269" s="235"/>
      <c r="U269" s="235"/>
      <c r="V269" s="235"/>
      <c r="W269" s="235"/>
      <c r="X269" s="235"/>
      <c r="Y269" s="235"/>
      <c r="Z269" s="235"/>
    </row>
    <row r="270">
      <c r="A270" s="236"/>
      <c r="B270" s="236"/>
      <c r="C270" s="237"/>
      <c r="D270" s="237"/>
      <c r="E270" s="238"/>
      <c r="F270" s="238"/>
      <c r="G270" s="239"/>
      <c r="H270" s="239"/>
      <c r="I270" s="235"/>
      <c r="J270" s="235"/>
      <c r="K270" s="235"/>
      <c r="L270" s="235"/>
      <c r="M270" s="235"/>
      <c r="N270" s="235"/>
      <c r="O270" s="235"/>
      <c r="P270" s="235"/>
      <c r="Q270" s="235"/>
      <c r="R270" s="235"/>
      <c r="S270" s="235"/>
      <c r="T270" s="235"/>
      <c r="U270" s="235"/>
      <c r="V270" s="235"/>
      <c r="W270" s="235"/>
      <c r="X270" s="235"/>
      <c r="Y270" s="235"/>
      <c r="Z270" s="235"/>
    </row>
    <row r="271">
      <c r="A271" s="236"/>
      <c r="B271" s="236"/>
      <c r="C271" s="237"/>
      <c r="D271" s="237"/>
      <c r="E271" s="238"/>
      <c r="F271" s="238"/>
      <c r="G271" s="239"/>
      <c r="H271" s="239"/>
      <c r="I271" s="235"/>
      <c r="J271" s="235"/>
      <c r="K271" s="235"/>
      <c r="L271" s="235"/>
      <c r="M271" s="235"/>
      <c r="N271" s="235"/>
      <c r="O271" s="235"/>
      <c r="P271" s="235"/>
      <c r="Q271" s="235"/>
      <c r="R271" s="235"/>
      <c r="S271" s="235"/>
      <c r="T271" s="235"/>
      <c r="U271" s="235"/>
      <c r="V271" s="235"/>
      <c r="W271" s="235"/>
      <c r="X271" s="235"/>
      <c r="Y271" s="235"/>
      <c r="Z271" s="235"/>
    </row>
    <row r="272">
      <c r="A272" s="236"/>
      <c r="B272" s="236"/>
      <c r="C272" s="237"/>
      <c r="D272" s="237"/>
      <c r="E272" s="238"/>
      <c r="F272" s="238"/>
      <c r="G272" s="239"/>
      <c r="H272" s="239"/>
      <c r="I272" s="235"/>
      <c r="J272" s="235"/>
      <c r="K272" s="235"/>
      <c r="L272" s="235"/>
      <c r="M272" s="235"/>
      <c r="N272" s="235"/>
      <c r="O272" s="235"/>
      <c r="P272" s="235"/>
      <c r="Q272" s="235"/>
      <c r="R272" s="235"/>
      <c r="S272" s="235"/>
      <c r="T272" s="235"/>
      <c r="U272" s="235"/>
      <c r="V272" s="235"/>
      <c r="W272" s="235"/>
      <c r="X272" s="235"/>
      <c r="Y272" s="235"/>
      <c r="Z272" s="235"/>
    </row>
    <row r="273">
      <c r="A273" s="236"/>
      <c r="B273" s="236"/>
      <c r="C273" s="237"/>
      <c r="D273" s="237"/>
      <c r="E273" s="238"/>
      <c r="F273" s="238"/>
      <c r="G273" s="239"/>
      <c r="H273" s="239"/>
      <c r="I273" s="235"/>
      <c r="J273" s="235"/>
      <c r="K273" s="235"/>
      <c r="L273" s="235"/>
      <c r="M273" s="235"/>
      <c r="N273" s="235"/>
      <c r="O273" s="235"/>
      <c r="P273" s="235"/>
      <c r="Q273" s="235"/>
      <c r="R273" s="235"/>
      <c r="S273" s="235"/>
      <c r="T273" s="235"/>
      <c r="U273" s="235"/>
      <c r="V273" s="235"/>
      <c r="W273" s="235"/>
      <c r="X273" s="235"/>
      <c r="Y273" s="235"/>
      <c r="Z273" s="235"/>
    </row>
    <row r="274">
      <c r="A274" s="236"/>
      <c r="B274" s="236"/>
      <c r="C274" s="237"/>
      <c r="D274" s="237"/>
      <c r="E274" s="238"/>
      <c r="F274" s="238"/>
      <c r="G274" s="239"/>
      <c r="H274" s="239"/>
      <c r="I274" s="235"/>
      <c r="J274" s="235"/>
      <c r="K274" s="235"/>
      <c r="L274" s="235"/>
      <c r="M274" s="235"/>
      <c r="N274" s="235"/>
      <c r="O274" s="235"/>
      <c r="P274" s="235"/>
      <c r="Q274" s="235"/>
      <c r="R274" s="235"/>
      <c r="S274" s="235"/>
      <c r="T274" s="235"/>
      <c r="U274" s="235"/>
      <c r="V274" s="235"/>
      <c r="W274" s="235"/>
      <c r="X274" s="235"/>
      <c r="Y274" s="235"/>
      <c r="Z274" s="235"/>
    </row>
    <row r="275">
      <c r="A275" s="236"/>
      <c r="B275" s="236"/>
      <c r="C275" s="237"/>
      <c r="D275" s="237"/>
      <c r="E275" s="238"/>
      <c r="F275" s="238"/>
      <c r="G275" s="239"/>
      <c r="H275" s="239"/>
      <c r="I275" s="235"/>
      <c r="J275" s="235"/>
      <c r="K275" s="235"/>
      <c r="L275" s="235"/>
      <c r="M275" s="235"/>
      <c r="N275" s="235"/>
      <c r="O275" s="235"/>
      <c r="P275" s="235"/>
      <c r="Q275" s="235"/>
      <c r="R275" s="235"/>
      <c r="S275" s="235"/>
      <c r="T275" s="235"/>
      <c r="U275" s="235"/>
      <c r="V275" s="235"/>
      <c r="W275" s="235"/>
      <c r="X275" s="235"/>
      <c r="Y275" s="235"/>
      <c r="Z275" s="235"/>
    </row>
    <row r="276">
      <c r="A276" s="236"/>
      <c r="B276" s="236"/>
      <c r="C276" s="237"/>
      <c r="D276" s="237"/>
      <c r="E276" s="238"/>
      <c r="F276" s="238"/>
      <c r="G276" s="239"/>
      <c r="H276" s="239"/>
      <c r="I276" s="235"/>
      <c r="J276" s="235"/>
      <c r="K276" s="235"/>
      <c r="L276" s="235"/>
      <c r="M276" s="235"/>
      <c r="N276" s="235"/>
      <c r="O276" s="235"/>
      <c r="P276" s="235"/>
      <c r="Q276" s="235"/>
      <c r="R276" s="235"/>
      <c r="S276" s="235"/>
      <c r="T276" s="235"/>
      <c r="U276" s="235"/>
      <c r="V276" s="235"/>
      <c r="W276" s="235"/>
      <c r="X276" s="235"/>
      <c r="Y276" s="235"/>
      <c r="Z276" s="235"/>
    </row>
    <row r="277">
      <c r="A277" s="236"/>
      <c r="B277" s="236"/>
      <c r="C277" s="237"/>
      <c r="D277" s="237"/>
      <c r="E277" s="238"/>
      <c r="F277" s="238"/>
      <c r="G277" s="239"/>
      <c r="H277" s="239"/>
      <c r="I277" s="235"/>
      <c r="J277" s="235"/>
      <c r="K277" s="235"/>
      <c r="L277" s="235"/>
      <c r="M277" s="235"/>
      <c r="N277" s="235"/>
      <c r="O277" s="235"/>
      <c r="P277" s="235"/>
      <c r="Q277" s="235"/>
      <c r="R277" s="235"/>
      <c r="S277" s="235"/>
      <c r="T277" s="235"/>
      <c r="U277" s="235"/>
      <c r="V277" s="235"/>
      <c r="W277" s="235"/>
      <c r="X277" s="235"/>
      <c r="Y277" s="235"/>
      <c r="Z277" s="235"/>
    </row>
    <row r="278">
      <c r="A278" s="236"/>
      <c r="B278" s="236"/>
      <c r="C278" s="237"/>
      <c r="D278" s="237"/>
      <c r="E278" s="238"/>
      <c r="F278" s="238"/>
      <c r="G278" s="239"/>
      <c r="H278" s="239"/>
      <c r="I278" s="235"/>
      <c r="J278" s="235"/>
      <c r="K278" s="235"/>
      <c r="L278" s="235"/>
      <c r="M278" s="235"/>
      <c r="N278" s="235"/>
      <c r="O278" s="235"/>
      <c r="P278" s="235"/>
      <c r="Q278" s="235"/>
      <c r="R278" s="235"/>
      <c r="S278" s="235"/>
      <c r="T278" s="235"/>
      <c r="U278" s="235"/>
      <c r="V278" s="235"/>
      <c r="W278" s="235"/>
      <c r="X278" s="235"/>
      <c r="Y278" s="235"/>
      <c r="Z278" s="235"/>
    </row>
    <row r="279">
      <c r="A279" s="236"/>
      <c r="B279" s="236"/>
      <c r="C279" s="237"/>
      <c r="D279" s="237"/>
      <c r="E279" s="238"/>
      <c r="F279" s="238"/>
      <c r="G279" s="239"/>
      <c r="H279" s="239"/>
      <c r="I279" s="235"/>
      <c r="J279" s="235"/>
      <c r="K279" s="235"/>
      <c r="L279" s="235"/>
      <c r="M279" s="235"/>
      <c r="N279" s="235"/>
      <c r="O279" s="235"/>
      <c r="P279" s="235"/>
      <c r="Q279" s="235"/>
      <c r="R279" s="235"/>
      <c r="S279" s="235"/>
      <c r="T279" s="235"/>
      <c r="U279" s="235"/>
      <c r="V279" s="235"/>
      <c r="W279" s="235"/>
      <c r="X279" s="235"/>
      <c r="Y279" s="235"/>
      <c r="Z279" s="235"/>
    </row>
    <row r="280">
      <c r="A280" s="236"/>
      <c r="B280" s="236"/>
      <c r="C280" s="237"/>
      <c r="D280" s="237"/>
      <c r="E280" s="238"/>
      <c r="F280" s="238"/>
      <c r="G280" s="239"/>
      <c r="H280" s="239"/>
      <c r="I280" s="235"/>
      <c r="J280" s="235"/>
      <c r="K280" s="235"/>
      <c r="L280" s="235"/>
      <c r="M280" s="235"/>
      <c r="N280" s="235"/>
      <c r="O280" s="235"/>
      <c r="P280" s="235"/>
      <c r="Q280" s="235"/>
      <c r="R280" s="235"/>
      <c r="S280" s="235"/>
      <c r="T280" s="235"/>
      <c r="U280" s="235"/>
      <c r="V280" s="235"/>
      <c r="W280" s="235"/>
      <c r="X280" s="235"/>
      <c r="Y280" s="235"/>
      <c r="Z280" s="235"/>
    </row>
    <row r="281">
      <c r="A281" s="236"/>
      <c r="B281" s="236"/>
      <c r="C281" s="237"/>
      <c r="D281" s="237"/>
      <c r="E281" s="238"/>
      <c r="F281" s="238"/>
      <c r="G281" s="239"/>
      <c r="H281" s="239"/>
      <c r="I281" s="235"/>
      <c r="J281" s="235"/>
      <c r="K281" s="235"/>
      <c r="L281" s="235"/>
      <c r="M281" s="235"/>
      <c r="N281" s="235"/>
      <c r="O281" s="235"/>
      <c r="P281" s="235"/>
      <c r="Q281" s="235"/>
      <c r="R281" s="235"/>
      <c r="S281" s="235"/>
      <c r="T281" s="235"/>
      <c r="U281" s="235"/>
      <c r="V281" s="235"/>
      <c r="W281" s="235"/>
      <c r="X281" s="235"/>
      <c r="Y281" s="235"/>
      <c r="Z281" s="235"/>
    </row>
    <row r="282">
      <c r="A282" s="236"/>
      <c r="B282" s="236"/>
      <c r="C282" s="237"/>
      <c r="D282" s="237"/>
      <c r="E282" s="238"/>
      <c r="F282" s="238"/>
      <c r="G282" s="239"/>
      <c r="H282" s="239"/>
      <c r="I282" s="235"/>
      <c r="J282" s="235"/>
      <c r="K282" s="235"/>
      <c r="L282" s="235"/>
      <c r="M282" s="235"/>
      <c r="N282" s="235"/>
      <c r="O282" s="235"/>
      <c r="P282" s="235"/>
      <c r="Q282" s="235"/>
      <c r="R282" s="235"/>
      <c r="S282" s="235"/>
      <c r="T282" s="235"/>
      <c r="U282" s="235"/>
      <c r="V282" s="235"/>
      <c r="W282" s="235"/>
      <c r="X282" s="235"/>
      <c r="Y282" s="235"/>
      <c r="Z282" s="235"/>
    </row>
    <row r="283">
      <c r="A283" s="236"/>
      <c r="B283" s="236"/>
      <c r="C283" s="237"/>
      <c r="D283" s="237"/>
      <c r="E283" s="238"/>
      <c r="F283" s="238"/>
      <c r="G283" s="239"/>
      <c r="H283" s="239"/>
      <c r="I283" s="235"/>
      <c r="J283" s="235"/>
      <c r="K283" s="235"/>
      <c r="L283" s="235"/>
      <c r="M283" s="235"/>
      <c r="N283" s="235"/>
      <c r="O283" s="235"/>
      <c r="P283" s="235"/>
      <c r="Q283" s="235"/>
      <c r="R283" s="235"/>
      <c r="S283" s="235"/>
      <c r="T283" s="235"/>
      <c r="U283" s="235"/>
      <c r="V283" s="235"/>
      <c r="W283" s="235"/>
      <c r="X283" s="235"/>
      <c r="Y283" s="235"/>
      <c r="Z283" s="235"/>
    </row>
    <row r="284">
      <c r="A284" s="236"/>
      <c r="B284" s="236"/>
      <c r="C284" s="237"/>
      <c r="D284" s="237"/>
      <c r="E284" s="238"/>
      <c r="F284" s="238"/>
      <c r="G284" s="239"/>
      <c r="H284" s="239"/>
      <c r="I284" s="235"/>
      <c r="J284" s="235"/>
      <c r="K284" s="235"/>
      <c r="L284" s="235"/>
      <c r="M284" s="235"/>
      <c r="N284" s="235"/>
      <c r="O284" s="235"/>
      <c r="P284" s="235"/>
      <c r="Q284" s="235"/>
      <c r="R284" s="235"/>
      <c r="S284" s="235"/>
      <c r="T284" s="235"/>
      <c r="U284" s="235"/>
      <c r="V284" s="235"/>
      <c r="W284" s="235"/>
      <c r="X284" s="235"/>
      <c r="Y284" s="235"/>
      <c r="Z284" s="235"/>
    </row>
    <row r="285">
      <c r="A285" s="236"/>
      <c r="B285" s="236"/>
      <c r="C285" s="237"/>
      <c r="D285" s="237"/>
      <c r="E285" s="238"/>
      <c r="F285" s="238"/>
      <c r="G285" s="239"/>
      <c r="H285" s="239"/>
      <c r="I285" s="235"/>
      <c r="J285" s="235"/>
      <c r="K285" s="235"/>
      <c r="L285" s="235"/>
      <c r="M285" s="235"/>
      <c r="N285" s="235"/>
      <c r="O285" s="235"/>
      <c r="P285" s="235"/>
      <c r="Q285" s="235"/>
      <c r="R285" s="235"/>
      <c r="S285" s="235"/>
      <c r="T285" s="235"/>
      <c r="U285" s="235"/>
      <c r="V285" s="235"/>
      <c r="W285" s="235"/>
      <c r="X285" s="235"/>
      <c r="Y285" s="235"/>
      <c r="Z285" s="235"/>
    </row>
    <row r="286">
      <c r="A286" s="236"/>
      <c r="B286" s="236"/>
      <c r="C286" s="237"/>
      <c r="D286" s="237"/>
      <c r="E286" s="238"/>
      <c r="F286" s="238"/>
      <c r="G286" s="239"/>
      <c r="H286" s="239"/>
      <c r="I286" s="235"/>
      <c r="J286" s="235"/>
      <c r="K286" s="235"/>
      <c r="L286" s="235"/>
      <c r="M286" s="235"/>
      <c r="N286" s="235"/>
      <c r="O286" s="235"/>
      <c r="P286" s="235"/>
      <c r="Q286" s="235"/>
      <c r="R286" s="235"/>
      <c r="S286" s="235"/>
      <c r="T286" s="235"/>
      <c r="U286" s="235"/>
      <c r="V286" s="235"/>
      <c r="W286" s="235"/>
      <c r="X286" s="235"/>
      <c r="Y286" s="235"/>
      <c r="Z286" s="235"/>
    </row>
    <row r="287">
      <c r="A287" s="236"/>
      <c r="B287" s="236"/>
      <c r="C287" s="237"/>
      <c r="D287" s="237"/>
      <c r="E287" s="238"/>
      <c r="F287" s="238"/>
      <c r="G287" s="239"/>
      <c r="H287" s="239"/>
      <c r="I287" s="235"/>
      <c r="J287" s="235"/>
      <c r="K287" s="235"/>
      <c r="L287" s="235"/>
      <c r="M287" s="235"/>
      <c r="N287" s="235"/>
      <c r="O287" s="235"/>
      <c r="P287" s="235"/>
      <c r="Q287" s="235"/>
      <c r="R287" s="235"/>
      <c r="S287" s="235"/>
      <c r="T287" s="235"/>
      <c r="U287" s="235"/>
      <c r="V287" s="235"/>
      <c r="W287" s="235"/>
      <c r="X287" s="235"/>
      <c r="Y287" s="235"/>
      <c r="Z287" s="235"/>
    </row>
    <row r="288">
      <c r="A288" s="236"/>
      <c r="B288" s="236"/>
      <c r="C288" s="237"/>
      <c r="D288" s="237"/>
      <c r="E288" s="238"/>
      <c r="F288" s="238"/>
      <c r="G288" s="239"/>
      <c r="H288" s="239"/>
      <c r="I288" s="235"/>
      <c r="J288" s="235"/>
      <c r="K288" s="235"/>
      <c r="L288" s="235"/>
      <c r="M288" s="235"/>
      <c r="N288" s="235"/>
      <c r="O288" s="235"/>
      <c r="P288" s="235"/>
      <c r="Q288" s="235"/>
      <c r="R288" s="235"/>
      <c r="S288" s="235"/>
      <c r="T288" s="235"/>
      <c r="U288" s="235"/>
      <c r="V288" s="235"/>
      <c r="W288" s="235"/>
      <c r="X288" s="235"/>
      <c r="Y288" s="235"/>
      <c r="Z288" s="235"/>
    </row>
    <row r="289">
      <c r="A289" s="236"/>
      <c r="B289" s="236"/>
      <c r="C289" s="237"/>
      <c r="D289" s="237"/>
      <c r="E289" s="238"/>
      <c r="F289" s="238"/>
      <c r="G289" s="239"/>
      <c r="H289" s="239"/>
      <c r="I289" s="235"/>
      <c r="J289" s="235"/>
      <c r="K289" s="235"/>
      <c r="L289" s="235"/>
      <c r="M289" s="235"/>
      <c r="N289" s="235"/>
      <c r="O289" s="235"/>
      <c r="P289" s="235"/>
      <c r="Q289" s="235"/>
      <c r="R289" s="235"/>
      <c r="S289" s="235"/>
      <c r="T289" s="235"/>
      <c r="U289" s="235"/>
      <c r="V289" s="235"/>
      <c r="W289" s="235"/>
      <c r="X289" s="235"/>
      <c r="Y289" s="235"/>
      <c r="Z289" s="235"/>
    </row>
    <row r="290">
      <c r="A290" s="236"/>
      <c r="B290" s="236"/>
      <c r="C290" s="237"/>
      <c r="D290" s="237"/>
      <c r="E290" s="238"/>
      <c r="F290" s="238"/>
      <c r="G290" s="239"/>
      <c r="H290" s="239"/>
      <c r="I290" s="235"/>
      <c r="J290" s="235"/>
      <c r="K290" s="235"/>
      <c r="L290" s="235"/>
      <c r="M290" s="235"/>
      <c r="N290" s="235"/>
      <c r="O290" s="235"/>
      <c r="P290" s="235"/>
      <c r="Q290" s="235"/>
      <c r="R290" s="235"/>
      <c r="S290" s="235"/>
      <c r="T290" s="235"/>
      <c r="U290" s="235"/>
      <c r="V290" s="235"/>
      <c r="W290" s="235"/>
      <c r="X290" s="235"/>
      <c r="Y290" s="235"/>
      <c r="Z290" s="235"/>
    </row>
    <row r="291">
      <c r="A291" s="236"/>
      <c r="B291" s="236"/>
      <c r="C291" s="237"/>
      <c r="D291" s="237"/>
      <c r="E291" s="238"/>
      <c r="F291" s="238"/>
      <c r="G291" s="239"/>
      <c r="H291" s="239"/>
      <c r="I291" s="235"/>
      <c r="J291" s="235"/>
      <c r="K291" s="235"/>
      <c r="L291" s="235"/>
      <c r="M291" s="235"/>
      <c r="N291" s="235"/>
      <c r="O291" s="235"/>
      <c r="P291" s="235"/>
      <c r="Q291" s="235"/>
      <c r="R291" s="235"/>
      <c r="S291" s="235"/>
      <c r="T291" s="235"/>
      <c r="U291" s="235"/>
      <c r="V291" s="235"/>
      <c r="W291" s="235"/>
      <c r="X291" s="235"/>
      <c r="Y291" s="235"/>
      <c r="Z291" s="235"/>
    </row>
    <row r="292">
      <c r="A292" s="236"/>
      <c r="B292" s="236"/>
      <c r="C292" s="237"/>
      <c r="D292" s="237"/>
      <c r="E292" s="238"/>
      <c r="F292" s="238"/>
      <c r="G292" s="239"/>
      <c r="H292" s="239"/>
      <c r="I292" s="235"/>
      <c r="J292" s="235"/>
      <c r="K292" s="235"/>
      <c r="L292" s="235"/>
      <c r="M292" s="235"/>
      <c r="N292" s="235"/>
      <c r="O292" s="235"/>
      <c r="P292" s="235"/>
      <c r="Q292" s="235"/>
      <c r="R292" s="235"/>
      <c r="S292" s="235"/>
      <c r="T292" s="235"/>
      <c r="U292" s="235"/>
      <c r="V292" s="235"/>
      <c r="W292" s="235"/>
      <c r="X292" s="235"/>
      <c r="Y292" s="235"/>
      <c r="Z292" s="235"/>
    </row>
    <row r="293">
      <c r="A293" s="236"/>
      <c r="B293" s="236"/>
      <c r="C293" s="237"/>
      <c r="D293" s="237"/>
      <c r="E293" s="238"/>
      <c r="F293" s="238"/>
      <c r="G293" s="239"/>
      <c r="H293" s="239"/>
      <c r="I293" s="235"/>
      <c r="J293" s="235"/>
      <c r="K293" s="235"/>
      <c r="L293" s="235"/>
      <c r="M293" s="235"/>
      <c r="N293" s="235"/>
      <c r="O293" s="235"/>
      <c r="P293" s="235"/>
      <c r="Q293" s="235"/>
      <c r="R293" s="235"/>
      <c r="S293" s="235"/>
      <c r="T293" s="235"/>
      <c r="U293" s="235"/>
      <c r="V293" s="235"/>
      <c r="W293" s="235"/>
      <c r="X293" s="235"/>
      <c r="Y293" s="235"/>
      <c r="Z293" s="235"/>
    </row>
    <row r="294">
      <c r="A294" s="236"/>
      <c r="B294" s="236"/>
      <c r="C294" s="237"/>
      <c r="D294" s="237"/>
      <c r="E294" s="238"/>
      <c r="F294" s="238"/>
      <c r="G294" s="239"/>
      <c r="H294" s="239"/>
      <c r="I294" s="235"/>
      <c r="J294" s="235"/>
      <c r="K294" s="235"/>
      <c r="L294" s="235"/>
      <c r="M294" s="235"/>
      <c r="N294" s="235"/>
      <c r="O294" s="235"/>
      <c r="P294" s="235"/>
      <c r="Q294" s="235"/>
      <c r="R294" s="235"/>
      <c r="S294" s="235"/>
      <c r="T294" s="235"/>
      <c r="U294" s="235"/>
      <c r="V294" s="235"/>
      <c r="W294" s="235"/>
      <c r="X294" s="235"/>
      <c r="Y294" s="235"/>
      <c r="Z294" s="235"/>
    </row>
    <row r="295">
      <c r="A295" s="236"/>
      <c r="B295" s="236"/>
      <c r="C295" s="237"/>
      <c r="D295" s="237"/>
      <c r="E295" s="238"/>
      <c r="F295" s="238"/>
      <c r="G295" s="239"/>
      <c r="H295" s="239"/>
      <c r="I295" s="235"/>
      <c r="J295" s="235"/>
      <c r="K295" s="235"/>
      <c r="L295" s="235"/>
      <c r="M295" s="235"/>
      <c r="N295" s="235"/>
      <c r="O295" s="235"/>
      <c r="P295" s="235"/>
      <c r="Q295" s="235"/>
      <c r="R295" s="235"/>
      <c r="S295" s="235"/>
      <c r="T295" s="235"/>
      <c r="U295" s="235"/>
      <c r="V295" s="235"/>
      <c r="W295" s="235"/>
      <c r="X295" s="235"/>
      <c r="Y295" s="235"/>
      <c r="Z295" s="235"/>
    </row>
    <row r="296">
      <c r="A296" s="236"/>
      <c r="B296" s="236"/>
      <c r="C296" s="237"/>
      <c r="D296" s="237"/>
      <c r="E296" s="238"/>
      <c r="F296" s="238"/>
      <c r="G296" s="239"/>
      <c r="H296" s="239"/>
      <c r="I296" s="235"/>
      <c r="J296" s="235"/>
      <c r="K296" s="235"/>
      <c r="L296" s="235"/>
      <c r="M296" s="235"/>
      <c r="N296" s="235"/>
      <c r="O296" s="235"/>
      <c r="P296" s="235"/>
      <c r="Q296" s="235"/>
      <c r="R296" s="235"/>
      <c r="S296" s="235"/>
      <c r="T296" s="235"/>
      <c r="U296" s="235"/>
      <c r="V296" s="235"/>
      <c r="W296" s="235"/>
      <c r="X296" s="235"/>
      <c r="Y296" s="235"/>
      <c r="Z296" s="235"/>
    </row>
    <row r="297">
      <c r="A297" s="236"/>
      <c r="B297" s="236"/>
      <c r="C297" s="237"/>
      <c r="D297" s="237"/>
      <c r="E297" s="238"/>
      <c r="F297" s="238"/>
      <c r="G297" s="239"/>
      <c r="H297" s="239"/>
      <c r="I297" s="235"/>
      <c r="J297" s="235"/>
      <c r="K297" s="235"/>
      <c r="L297" s="235"/>
      <c r="M297" s="235"/>
      <c r="N297" s="235"/>
      <c r="O297" s="235"/>
      <c r="P297" s="235"/>
      <c r="Q297" s="235"/>
      <c r="R297" s="235"/>
      <c r="S297" s="235"/>
      <c r="T297" s="235"/>
      <c r="U297" s="235"/>
      <c r="V297" s="235"/>
      <c r="W297" s="235"/>
      <c r="X297" s="235"/>
      <c r="Y297" s="235"/>
      <c r="Z297" s="235"/>
    </row>
    <row r="298">
      <c r="A298" s="236"/>
      <c r="B298" s="236"/>
      <c r="C298" s="237"/>
      <c r="D298" s="237"/>
      <c r="E298" s="238"/>
      <c r="F298" s="238"/>
      <c r="G298" s="239"/>
      <c r="H298" s="239"/>
      <c r="I298" s="235"/>
      <c r="J298" s="235"/>
      <c r="K298" s="235"/>
      <c r="L298" s="235"/>
      <c r="M298" s="235"/>
      <c r="N298" s="235"/>
      <c r="O298" s="235"/>
      <c r="P298" s="235"/>
      <c r="Q298" s="235"/>
      <c r="R298" s="235"/>
      <c r="S298" s="235"/>
      <c r="T298" s="235"/>
      <c r="U298" s="235"/>
      <c r="V298" s="235"/>
      <c r="W298" s="235"/>
      <c r="X298" s="235"/>
      <c r="Y298" s="235"/>
      <c r="Z298" s="235"/>
    </row>
    <row r="299">
      <c r="A299" s="236"/>
      <c r="B299" s="236"/>
      <c r="C299" s="237"/>
      <c r="D299" s="237"/>
      <c r="E299" s="238"/>
      <c r="F299" s="238"/>
      <c r="G299" s="239"/>
      <c r="H299" s="239"/>
      <c r="I299" s="235"/>
      <c r="J299" s="235"/>
      <c r="K299" s="235"/>
      <c r="L299" s="235"/>
      <c r="M299" s="235"/>
      <c r="N299" s="235"/>
      <c r="O299" s="235"/>
      <c r="P299" s="235"/>
      <c r="Q299" s="235"/>
      <c r="R299" s="235"/>
      <c r="S299" s="235"/>
      <c r="T299" s="235"/>
      <c r="U299" s="235"/>
      <c r="V299" s="235"/>
      <c r="W299" s="235"/>
      <c r="X299" s="235"/>
      <c r="Y299" s="235"/>
      <c r="Z299" s="235"/>
    </row>
    <row r="300">
      <c r="A300" s="236"/>
      <c r="B300" s="236"/>
      <c r="C300" s="237"/>
      <c r="D300" s="237"/>
      <c r="E300" s="238"/>
      <c r="F300" s="238"/>
      <c r="G300" s="239"/>
      <c r="H300" s="239"/>
      <c r="I300" s="235"/>
      <c r="J300" s="235"/>
      <c r="K300" s="235"/>
      <c r="L300" s="235"/>
      <c r="M300" s="235"/>
      <c r="N300" s="235"/>
      <c r="O300" s="235"/>
      <c r="P300" s="235"/>
      <c r="Q300" s="235"/>
      <c r="R300" s="235"/>
      <c r="S300" s="235"/>
      <c r="T300" s="235"/>
      <c r="U300" s="235"/>
      <c r="V300" s="235"/>
      <c r="W300" s="235"/>
      <c r="X300" s="235"/>
      <c r="Y300" s="235"/>
      <c r="Z300" s="235"/>
    </row>
    <row r="301">
      <c r="A301" s="236"/>
      <c r="B301" s="236"/>
      <c r="C301" s="237"/>
      <c r="D301" s="237"/>
      <c r="E301" s="238"/>
      <c r="F301" s="238"/>
      <c r="G301" s="239"/>
      <c r="H301" s="239"/>
      <c r="I301" s="235"/>
      <c r="J301" s="235"/>
      <c r="K301" s="235"/>
      <c r="L301" s="235"/>
      <c r="M301" s="235"/>
      <c r="N301" s="235"/>
      <c r="O301" s="235"/>
      <c r="P301" s="235"/>
      <c r="Q301" s="235"/>
      <c r="R301" s="235"/>
      <c r="S301" s="235"/>
      <c r="T301" s="235"/>
      <c r="U301" s="235"/>
      <c r="V301" s="235"/>
      <c r="W301" s="235"/>
      <c r="X301" s="235"/>
      <c r="Y301" s="235"/>
      <c r="Z301" s="235"/>
    </row>
    <row r="302">
      <c r="A302" s="236"/>
      <c r="B302" s="236"/>
      <c r="C302" s="237"/>
      <c r="D302" s="237"/>
      <c r="E302" s="238"/>
      <c r="F302" s="238"/>
      <c r="G302" s="239"/>
      <c r="H302" s="239"/>
      <c r="I302" s="235"/>
      <c r="J302" s="235"/>
      <c r="K302" s="235"/>
      <c r="L302" s="235"/>
      <c r="M302" s="235"/>
      <c r="N302" s="235"/>
      <c r="O302" s="235"/>
      <c r="P302" s="235"/>
      <c r="Q302" s="235"/>
      <c r="R302" s="235"/>
      <c r="S302" s="235"/>
      <c r="T302" s="235"/>
      <c r="U302" s="235"/>
      <c r="V302" s="235"/>
      <c r="W302" s="235"/>
      <c r="X302" s="235"/>
      <c r="Y302" s="235"/>
      <c r="Z302" s="235"/>
    </row>
    <row r="303">
      <c r="A303" s="236"/>
      <c r="B303" s="236"/>
      <c r="C303" s="237"/>
      <c r="D303" s="237"/>
      <c r="E303" s="238"/>
      <c r="F303" s="238"/>
      <c r="G303" s="239"/>
      <c r="H303" s="239"/>
      <c r="I303" s="235"/>
      <c r="J303" s="235"/>
      <c r="K303" s="235"/>
      <c r="L303" s="235"/>
      <c r="M303" s="235"/>
      <c r="N303" s="235"/>
      <c r="O303" s="235"/>
      <c r="P303" s="235"/>
      <c r="Q303" s="235"/>
      <c r="R303" s="235"/>
      <c r="S303" s="235"/>
      <c r="T303" s="235"/>
      <c r="U303" s="235"/>
      <c r="V303" s="235"/>
      <c r="W303" s="235"/>
      <c r="X303" s="235"/>
      <c r="Y303" s="235"/>
      <c r="Z303" s="235"/>
    </row>
    <row r="304">
      <c r="A304" s="236"/>
      <c r="B304" s="236"/>
      <c r="C304" s="237"/>
      <c r="D304" s="237"/>
      <c r="E304" s="238"/>
      <c r="F304" s="238"/>
      <c r="G304" s="239"/>
      <c r="H304" s="239"/>
      <c r="I304" s="235"/>
      <c r="J304" s="235"/>
      <c r="K304" s="235"/>
      <c r="L304" s="235"/>
      <c r="M304" s="235"/>
      <c r="N304" s="235"/>
      <c r="O304" s="235"/>
      <c r="P304" s="235"/>
      <c r="Q304" s="235"/>
      <c r="R304" s="235"/>
      <c r="S304" s="235"/>
      <c r="T304" s="235"/>
      <c r="U304" s="235"/>
      <c r="V304" s="235"/>
      <c r="W304" s="235"/>
      <c r="X304" s="235"/>
      <c r="Y304" s="235"/>
      <c r="Z304" s="235"/>
    </row>
    <row r="305">
      <c r="A305" s="236"/>
      <c r="B305" s="236"/>
      <c r="C305" s="237"/>
      <c r="D305" s="237"/>
      <c r="E305" s="238"/>
      <c r="F305" s="238"/>
      <c r="G305" s="239"/>
      <c r="H305" s="239"/>
      <c r="I305" s="235"/>
      <c r="J305" s="235"/>
      <c r="K305" s="235"/>
      <c r="L305" s="235"/>
      <c r="M305" s="235"/>
      <c r="N305" s="235"/>
      <c r="O305" s="235"/>
      <c r="P305" s="235"/>
      <c r="Q305" s="235"/>
      <c r="R305" s="235"/>
      <c r="S305" s="235"/>
      <c r="T305" s="235"/>
      <c r="U305" s="235"/>
      <c r="V305" s="235"/>
      <c r="W305" s="235"/>
      <c r="X305" s="235"/>
      <c r="Y305" s="235"/>
      <c r="Z305" s="235"/>
    </row>
    <row r="306">
      <c r="A306" s="236"/>
      <c r="B306" s="236"/>
      <c r="C306" s="237"/>
      <c r="D306" s="237"/>
      <c r="E306" s="238"/>
      <c r="F306" s="238"/>
      <c r="G306" s="239"/>
      <c r="H306" s="239"/>
      <c r="I306" s="235"/>
      <c r="J306" s="235"/>
      <c r="K306" s="235"/>
      <c r="L306" s="235"/>
      <c r="M306" s="235"/>
      <c r="N306" s="235"/>
      <c r="O306" s="235"/>
      <c r="P306" s="235"/>
      <c r="Q306" s="235"/>
      <c r="R306" s="235"/>
      <c r="S306" s="235"/>
      <c r="T306" s="235"/>
      <c r="U306" s="235"/>
      <c r="V306" s="235"/>
      <c r="W306" s="235"/>
      <c r="X306" s="235"/>
      <c r="Y306" s="235"/>
      <c r="Z306" s="235"/>
    </row>
    <row r="307">
      <c r="A307" s="236"/>
      <c r="B307" s="236"/>
      <c r="C307" s="237"/>
      <c r="D307" s="237"/>
      <c r="E307" s="238"/>
      <c r="F307" s="238"/>
      <c r="G307" s="239"/>
      <c r="H307" s="239"/>
      <c r="I307" s="235"/>
      <c r="J307" s="235"/>
      <c r="K307" s="235"/>
      <c r="L307" s="235"/>
      <c r="M307" s="235"/>
      <c r="N307" s="235"/>
      <c r="O307" s="235"/>
      <c r="P307" s="235"/>
      <c r="Q307" s="235"/>
      <c r="R307" s="235"/>
      <c r="S307" s="235"/>
      <c r="T307" s="235"/>
      <c r="U307" s="235"/>
      <c r="V307" s="235"/>
      <c r="W307" s="235"/>
      <c r="X307" s="235"/>
      <c r="Y307" s="235"/>
      <c r="Z307" s="235"/>
    </row>
    <row r="308">
      <c r="A308" s="236"/>
      <c r="B308" s="236"/>
      <c r="C308" s="237"/>
      <c r="D308" s="237"/>
      <c r="E308" s="238"/>
      <c r="F308" s="238"/>
      <c r="G308" s="239"/>
      <c r="H308" s="239"/>
      <c r="I308" s="235"/>
      <c r="J308" s="235"/>
      <c r="K308" s="235"/>
      <c r="L308" s="235"/>
      <c r="M308" s="235"/>
      <c r="N308" s="235"/>
      <c r="O308" s="235"/>
      <c r="P308" s="235"/>
      <c r="Q308" s="235"/>
      <c r="R308" s="235"/>
      <c r="S308" s="235"/>
      <c r="T308" s="235"/>
      <c r="U308" s="235"/>
      <c r="V308" s="235"/>
      <c r="W308" s="235"/>
      <c r="X308" s="235"/>
      <c r="Y308" s="235"/>
      <c r="Z308" s="235"/>
    </row>
    <row r="309">
      <c r="A309" s="236"/>
      <c r="B309" s="236"/>
      <c r="C309" s="237"/>
      <c r="D309" s="237"/>
      <c r="E309" s="238"/>
      <c r="F309" s="238"/>
      <c r="G309" s="239"/>
      <c r="H309" s="239"/>
      <c r="I309" s="235"/>
      <c r="J309" s="235"/>
      <c r="K309" s="235"/>
      <c r="L309" s="235"/>
      <c r="M309" s="235"/>
      <c r="N309" s="235"/>
      <c r="O309" s="235"/>
      <c r="P309" s="235"/>
      <c r="Q309" s="235"/>
      <c r="R309" s="235"/>
      <c r="S309" s="235"/>
      <c r="T309" s="235"/>
      <c r="U309" s="235"/>
      <c r="V309" s="235"/>
      <c r="W309" s="235"/>
      <c r="X309" s="235"/>
      <c r="Y309" s="235"/>
      <c r="Z309" s="235"/>
    </row>
    <row r="310">
      <c r="A310" s="236"/>
      <c r="B310" s="236"/>
      <c r="C310" s="237"/>
      <c r="D310" s="237"/>
      <c r="E310" s="238"/>
      <c r="F310" s="238"/>
      <c r="G310" s="239"/>
      <c r="H310" s="239"/>
      <c r="I310" s="235"/>
      <c r="J310" s="235"/>
      <c r="K310" s="235"/>
      <c r="L310" s="235"/>
      <c r="M310" s="235"/>
      <c r="N310" s="235"/>
      <c r="O310" s="235"/>
      <c r="P310" s="235"/>
      <c r="Q310" s="235"/>
      <c r="R310" s="235"/>
      <c r="S310" s="235"/>
      <c r="T310" s="235"/>
      <c r="U310" s="235"/>
      <c r="V310" s="235"/>
      <c r="W310" s="235"/>
      <c r="X310" s="235"/>
      <c r="Y310" s="235"/>
      <c r="Z310" s="235"/>
    </row>
    <row r="311">
      <c r="A311" s="236"/>
      <c r="B311" s="236"/>
      <c r="C311" s="237"/>
      <c r="D311" s="237"/>
      <c r="E311" s="238"/>
      <c r="F311" s="238"/>
      <c r="G311" s="239"/>
      <c r="H311" s="239"/>
      <c r="I311" s="235"/>
      <c r="J311" s="235"/>
      <c r="K311" s="235"/>
      <c r="L311" s="235"/>
      <c r="M311" s="235"/>
      <c r="N311" s="235"/>
      <c r="O311" s="235"/>
      <c r="P311" s="235"/>
      <c r="Q311" s="235"/>
      <c r="R311" s="235"/>
      <c r="S311" s="235"/>
      <c r="T311" s="235"/>
      <c r="U311" s="235"/>
      <c r="V311" s="235"/>
      <c r="W311" s="235"/>
      <c r="X311" s="235"/>
      <c r="Y311" s="235"/>
      <c r="Z311" s="235"/>
    </row>
    <row r="312">
      <c r="A312" s="236"/>
      <c r="B312" s="236"/>
      <c r="C312" s="237"/>
      <c r="D312" s="237"/>
      <c r="E312" s="238"/>
      <c r="F312" s="238"/>
      <c r="G312" s="239"/>
      <c r="H312" s="239"/>
      <c r="I312" s="235"/>
      <c r="J312" s="235"/>
      <c r="K312" s="235"/>
      <c r="L312" s="235"/>
      <c r="M312" s="235"/>
      <c r="N312" s="235"/>
      <c r="O312" s="235"/>
      <c r="P312" s="235"/>
      <c r="Q312" s="235"/>
      <c r="R312" s="235"/>
      <c r="S312" s="235"/>
      <c r="T312" s="235"/>
      <c r="U312" s="235"/>
      <c r="V312" s="235"/>
      <c r="W312" s="235"/>
      <c r="X312" s="235"/>
      <c r="Y312" s="235"/>
      <c r="Z312" s="235"/>
    </row>
    <row r="313">
      <c r="A313" s="236"/>
      <c r="B313" s="236"/>
      <c r="C313" s="237"/>
      <c r="D313" s="237"/>
      <c r="E313" s="238"/>
      <c r="F313" s="238"/>
      <c r="G313" s="239"/>
      <c r="H313" s="239"/>
      <c r="I313" s="235"/>
      <c r="J313" s="235"/>
      <c r="K313" s="235"/>
      <c r="L313" s="235"/>
      <c r="M313" s="235"/>
      <c r="N313" s="235"/>
      <c r="O313" s="235"/>
      <c r="P313" s="235"/>
      <c r="Q313" s="235"/>
      <c r="R313" s="235"/>
      <c r="S313" s="235"/>
      <c r="T313" s="235"/>
      <c r="U313" s="235"/>
      <c r="V313" s="235"/>
      <c r="W313" s="235"/>
      <c r="X313" s="235"/>
      <c r="Y313" s="235"/>
      <c r="Z313" s="235"/>
    </row>
    <row r="314">
      <c r="A314" s="236"/>
      <c r="B314" s="236"/>
      <c r="C314" s="237"/>
      <c r="D314" s="237"/>
      <c r="E314" s="238"/>
      <c r="F314" s="238"/>
      <c r="G314" s="239"/>
      <c r="H314" s="239"/>
      <c r="I314" s="235"/>
      <c r="J314" s="235"/>
      <c r="K314" s="235"/>
      <c r="L314" s="235"/>
      <c r="M314" s="235"/>
      <c r="N314" s="235"/>
      <c r="O314" s="235"/>
      <c r="P314" s="235"/>
      <c r="Q314" s="235"/>
      <c r="R314" s="235"/>
      <c r="S314" s="235"/>
      <c r="T314" s="235"/>
      <c r="U314" s="235"/>
      <c r="V314" s="235"/>
      <c r="W314" s="235"/>
      <c r="X314" s="235"/>
      <c r="Y314" s="235"/>
      <c r="Z314" s="235"/>
    </row>
    <row r="315">
      <c r="A315" s="236"/>
      <c r="B315" s="236"/>
      <c r="C315" s="237"/>
      <c r="D315" s="237"/>
      <c r="E315" s="238"/>
      <c r="F315" s="238"/>
      <c r="G315" s="239"/>
      <c r="H315" s="239"/>
      <c r="I315" s="235"/>
      <c r="J315" s="235"/>
      <c r="K315" s="235"/>
      <c r="L315" s="235"/>
      <c r="M315" s="235"/>
      <c r="N315" s="235"/>
      <c r="O315" s="235"/>
      <c r="P315" s="235"/>
      <c r="Q315" s="235"/>
      <c r="R315" s="235"/>
      <c r="S315" s="235"/>
      <c r="T315" s="235"/>
      <c r="U315" s="235"/>
      <c r="V315" s="235"/>
      <c r="W315" s="235"/>
      <c r="X315" s="235"/>
      <c r="Y315" s="235"/>
      <c r="Z315" s="235"/>
    </row>
    <row r="316">
      <c r="A316" s="236"/>
      <c r="B316" s="236"/>
      <c r="C316" s="237"/>
      <c r="D316" s="237"/>
      <c r="E316" s="238"/>
      <c r="F316" s="238"/>
      <c r="G316" s="239"/>
      <c r="H316" s="239"/>
      <c r="I316" s="235"/>
      <c r="J316" s="235"/>
      <c r="K316" s="235"/>
      <c r="L316" s="235"/>
      <c r="M316" s="235"/>
      <c r="N316" s="235"/>
      <c r="O316" s="235"/>
      <c r="P316" s="235"/>
      <c r="Q316" s="235"/>
      <c r="R316" s="235"/>
      <c r="S316" s="235"/>
      <c r="T316" s="235"/>
      <c r="U316" s="235"/>
      <c r="V316" s="235"/>
      <c r="W316" s="235"/>
      <c r="X316" s="235"/>
      <c r="Y316" s="235"/>
      <c r="Z316" s="235"/>
    </row>
    <row r="317">
      <c r="A317" s="236"/>
      <c r="B317" s="236"/>
      <c r="C317" s="237"/>
      <c r="D317" s="237"/>
      <c r="E317" s="238"/>
      <c r="F317" s="238"/>
      <c r="G317" s="239"/>
      <c r="H317" s="239"/>
      <c r="I317" s="235"/>
      <c r="J317" s="235"/>
      <c r="K317" s="235"/>
      <c r="L317" s="235"/>
      <c r="M317" s="235"/>
      <c r="N317" s="235"/>
      <c r="O317" s="235"/>
      <c r="P317" s="235"/>
      <c r="Q317" s="235"/>
      <c r="R317" s="235"/>
      <c r="S317" s="235"/>
      <c r="T317" s="235"/>
      <c r="U317" s="235"/>
      <c r="V317" s="235"/>
      <c r="W317" s="235"/>
      <c r="X317" s="235"/>
      <c r="Y317" s="235"/>
      <c r="Z317" s="235"/>
    </row>
    <row r="318">
      <c r="A318" s="236"/>
      <c r="B318" s="236"/>
      <c r="C318" s="237"/>
      <c r="D318" s="237"/>
      <c r="E318" s="238"/>
      <c r="F318" s="238"/>
      <c r="G318" s="239"/>
      <c r="H318" s="239"/>
      <c r="I318" s="235"/>
      <c r="J318" s="235"/>
      <c r="K318" s="235"/>
      <c r="L318" s="235"/>
      <c r="M318" s="235"/>
      <c r="N318" s="235"/>
      <c r="O318" s="235"/>
      <c r="P318" s="235"/>
      <c r="Q318" s="235"/>
      <c r="R318" s="235"/>
      <c r="S318" s="235"/>
      <c r="T318" s="235"/>
      <c r="U318" s="235"/>
      <c r="V318" s="235"/>
      <c r="W318" s="235"/>
      <c r="X318" s="235"/>
      <c r="Y318" s="235"/>
      <c r="Z318" s="235"/>
    </row>
    <row r="319">
      <c r="A319" s="236"/>
      <c r="B319" s="236"/>
      <c r="C319" s="237"/>
      <c r="D319" s="237"/>
      <c r="E319" s="238"/>
      <c r="F319" s="238"/>
      <c r="G319" s="239"/>
      <c r="H319" s="239"/>
      <c r="I319" s="235"/>
      <c r="J319" s="235"/>
      <c r="K319" s="235"/>
      <c r="L319" s="235"/>
      <c r="M319" s="235"/>
      <c r="N319" s="235"/>
      <c r="O319" s="235"/>
      <c r="P319" s="235"/>
      <c r="Q319" s="235"/>
      <c r="R319" s="235"/>
      <c r="S319" s="235"/>
      <c r="T319" s="235"/>
      <c r="U319" s="235"/>
      <c r="V319" s="235"/>
      <c r="W319" s="235"/>
      <c r="X319" s="235"/>
      <c r="Y319" s="235"/>
      <c r="Z319" s="235"/>
    </row>
    <row r="320">
      <c r="A320" s="236"/>
      <c r="B320" s="236"/>
      <c r="C320" s="237"/>
      <c r="D320" s="237"/>
      <c r="E320" s="238"/>
      <c r="F320" s="238"/>
      <c r="G320" s="239"/>
      <c r="H320" s="239"/>
      <c r="I320" s="235"/>
      <c r="J320" s="235"/>
      <c r="K320" s="235"/>
      <c r="L320" s="235"/>
      <c r="M320" s="235"/>
      <c r="N320" s="235"/>
      <c r="O320" s="235"/>
      <c r="P320" s="235"/>
      <c r="Q320" s="235"/>
      <c r="R320" s="235"/>
      <c r="S320" s="235"/>
      <c r="T320" s="235"/>
      <c r="U320" s="235"/>
      <c r="V320" s="235"/>
      <c r="W320" s="235"/>
      <c r="X320" s="235"/>
      <c r="Y320" s="235"/>
      <c r="Z320" s="235"/>
    </row>
    <row r="321">
      <c r="A321" s="236"/>
      <c r="B321" s="236"/>
      <c r="C321" s="237"/>
      <c r="D321" s="237"/>
      <c r="E321" s="238"/>
      <c r="F321" s="238"/>
      <c r="G321" s="239"/>
      <c r="H321" s="239"/>
      <c r="I321" s="235"/>
      <c r="J321" s="235"/>
      <c r="K321" s="235"/>
      <c r="L321" s="235"/>
      <c r="M321" s="235"/>
      <c r="N321" s="235"/>
      <c r="O321" s="235"/>
      <c r="P321" s="235"/>
      <c r="Q321" s="235"/>
      <c r="R321" s="235"/>
      <c r="S321" s="235"/>
      <c r="T321" s="235"/>
      <c r="U321" s="235"/>
      <c r="V321" s="235"/>
      <c r="W321" s="235"/>
      <c r="X321" s="235"/>
      <c r="Y321" s="235"/>
      <c r="Z321" s="235"/>
    </row>
    <row r="322">
      <c r="A322" s="236"/>
      <c r="B322" s="236"/>
      <c r="C322" s="237"/>
      <c r="D322" s="237"/>
      <c r="E322" s="238"/>
      <c r="F322" s="238"/>
      <c r="G322" s="239"/>
      <c r="H322" s="239"/>
      <c r="I322" s="235"/>
      <c r="J322" s="235"/>
      <c r="K322" s="235"/>
      <c r="L322" s="235"/>
      <c r="M322" s="235"/>
      <c r="N322" s="235"/>
      <c r="O322" s="235"/>
      <c r="P322" s="235"/>
      <c r="Q322" s="235"/>
      <c r="R322" s="235"/>
      <c r="S322" s="235"/>
      <c r="T322" s="235"/>
      <c r="U322" s="235"/>
      <c r="V322" s="235"/>
      <c r="W322" s="235"/>
      <c r="X322" s="235"/>
      <c r="Y322" s="235"/>
      <c r="Z322" s="235"/>
    </row>
    <row r="323">
      <c r="A323" s="236"/>
      <c r="B323" s="236"/>
      <c r="C323" s="237"/>
      <c r="D323" s="237"/>
      <c r="E323" s="238"/>
      <c r="F323" s="238"/>
      <c r="G323" s="239"/>
      <c r="H323" s="239"/>
      <c r="I323" s="235"/>
      <c r="J323" s="235"/>
      <c r="K323" s="235"/>
      <c r="L323" s="235"/>
      <c r="M323" s="235"/>
      <c r="N323" s="235"/>
      <c r="O323" s="235"/>
      <c r="P323" s="235"/>
      <c r="Q323" s="235"/>
      <c r="R323" s="235"/>
      <c r="S323" s="235"/>
      <c r="T323" s="235"/>
      <c r="U323" s="235"/>
      <c r="V323" s="235"/>
      <c r="W323" s="235"/>
      <c r="X323" s="235"/>
      <c r="Y323" s="235"/>
      <c r="Z323" s="235"/>
    </row>
    <row r="324">
      <c r="A324" s="236"/>
      <c r="B324" s="236"/>
      <c r="C324" s="237"/>
      <c r="D324" s="237"/>
      <c r="E324" s="238"/>
      <c r="F324" s="238"/>
      <c r="G324" s="239"/>
      <c r="H324" s="239"/>
      <c r="I324" s="235"/>
      <c r="J324" s="235"/>
      <c r="K324" s="235"/>
      <c r="L324" s="235"/>
      <c r="M324" s="235"/>
      <c r="N324" s="235"/>
      <c r="O324" s="235"/>
      <c r="P324" s="235"/>
      <c r="Q324" s="235"/>
      <c r="R324" s="235"/>
      <c r="S324" s="235"/>
      <c r="T324" s="235"/>
      <c r="U324" s="235"/>
      <c r="V324" s="235"/>
      <c r="W324" s="235"/>
      <c r="X324" s="235"/>
      <c r="Y324" s="235"/>
      <c r="Z324" s="235"/>
    </row>
    <row r="325">
      <c r="A325" s="236"/>
      <c r="B325" s="236"/>
      <c r="C325" s="237"/>
      <c r="D325" s="237"/>
      <c r="E325" s="238"/>
      <c r="F325" s="238"/>
      <c r="G325" s="239"/>
      <c r="H325" s="239"/>
      <c r="I325" s="235"/>
      <c r="J325" s="235"/>
      <c r="K325" s="235"/>
      <c r="L325" s="235"/>
      <c r="M325" s="235"/>
      <c r="N325" s="235"/>
      <c r="O325" s="235"/>
      <c r="P325" s="235"/>
      <c r="Q325" s="235"/>
      <c r="R325" s="235"/>
      <c r="S325" s="235"/>
      <c r="T325" s="235"/>
      <c r="U325" s="235"/>
      <c r="V325" s="235"/>
      <c r="W325" s="235"/>
      <c r="X325" s="235"/>
      <c r="Y325" s="235"/>
      <c r="Z325" s="235"/>
    </row>
    <row r="326">
      <c r="A326" s="236"/>
      <c r="B326" s="236"/>
      <c r="C326" s="237"/>
      <c r="D326" s="237"/>
      <c r="E326" s="238"/>
      <c r="F326" s="238"/>
      <c r="G326" s="239"/>
      <c r="H326" s="239"/>
      <c r="I326" s="235"/>
      <c r="J326" s="235"/>
      <c r="K326" s="235"/>
      <c r="L326" s="235"/>
      <c r="M326" s="235"/>
      <c r="N326" s="235"/>
      <c r="O326" s="235"/>
      <c r="P326" s="235"/>
      <c r="Q326" s="235"/>
      <c r="R326" s="235"/>
      <c r="S326" s="235"/>
      <c r="T326" s="235"/>
      <c r="U326" s="235"/>
      <c r="V326" s="235"/>
      <c r="W326" s="235"/>
      <c r="X326" s="235"/>
      <c r="Y326" s="235"/>
      <c r="Z326" s="235"/>
    </row>
    <row r="327">
      <c r="A327" s="236"/>
      <c r="B327" s="236"/>
      <c r="C327" s="237"/>
      <c r="D327" s="237"/>
      <c r="E327" s="238"/>
      <c r="F327" s="238"/>
      <c r="G327" s="239"/>
      <c r="H327" s="239"/>
      <c r="I327" s="235"/>
      <c r="J327" s="235"/>
      <c r="K327" s="235"/>
      <c r="L327" s="235"/>
      <c r="M327" s="235"/>
      <c r="N327" s="235"/>
      <c r="O327" s="235"/>
      <c r="P327" s="235"/>
      <c r="Q327" s="235"/>
      <c r="R327" s="235"/>
      <c r="S327" s="235"/>
      <c r="T327" s="235"/>
      <c r="U327" s="235"/>
      <c r="V327" s="235"/>
      <c r="W327" s="235"/>
      <c r="X327" s="235"/>
      <c r="Y327" s="235"/>
      <c r="Z327" s="235"/>
    </row>
    <row r="328">
      <c r="A328" s="236"/>
      <c r="B328" s="236"/>
      <c r="C328" s="237"/>
      <c r="D328" s="237"/>
      <c r="E328" s="238"/>
      <c r="F328" s="238"/>
      <c r="G328" s="239"/>
      <c r="H328" s="239"/>
      <c r="I328" s="235"/>
      <c r="J328" s="235"/>
      <c r="K328" s="235"/>
      <c r="L328" s="235"/>
      <c r="M328" s="235"/>
      <c r="N328" s="235"/>
      <c r="O328" s="235"/>
      <c r="P328" s="235"/>
      <c r="Q328" s="235"/>
      <c r="R328" s="235"/>
      <c r="S328" s="235"/>
      <c r="T328" s="235"/>
      <c r="U328" s="235"/>
      <c r="V328" s="235"/>
      <c r="W328" s="235"/>
      <c r="X328" s="235"/>
      <c r="Y328" s="235"/>
      <c r="Z328" s="235"/>
    </row>
    <row r="329">
      <c r="A329" s="236"/>
      <c r="B329" s="236"/>
      <c r="C329" s="237"/>
      <c r="D329" s="237"/>
      <c r="E329" s="238"/>
      <c r="F329" s="238"/>
      <c r="G329" s="239"/>
      <c r="H329" s="239"/>
      <c r="I329" s="235"/>
      <c r="J329" s="235"/>
      <c r="K329" s="235"/>
      <c r="L329" s="235"/>
      <c r="M329" s="235"/>
      <c r="N329" s="235"/>
      <c r="O329" s="235"/>
      <c r="P329" s="235"/>
      <c r="Q329" s="235"/>
      <c r="R329" s="235"/>
      <c r="S329" s="235"/>
      <c r="T329" s="235"/>
      <c r="U329" s="235"/>
      <c r="V329" s="235"/>
      <c r="W329" s="235"/>
      <c r="X329" s="235"/>
      <c r="Y329" s="235"/>
      <c r="Z329" s="235"/>
    </row>
    <row r="330">
      <c r="A330" s="236"/>
      <c r="B330" s="236"/>
      <c r="C330" s="237"/>
      <c r="D330" s="237"/>
      <c r="E330" s="238"/>
      <c r="F330" s="238"/>
      <c r="G330" s="239"/>
      <c r="H330" s="239"/>
      <c r="I330" s="235"/>
      <c r="J330" s="235"/>
      <c r="K330" s="235"/>
      <c r="L330" s="235"/>
      <c r="M330" s="235"/>
      <c r="N330" s="235"/>
      <c r="O330" s="235"/>
      <c r="P330" s="235"/>
      <c r="Q330" s="235"/>
      <c r="R330" s="235"/>
      <c r="S330" s="235"/>
      <c r="T330" s="235"/>
      <c r="U330" s="235"/>
      <c r="V330" s="235"/>
      <c r="W330" s="235"/>
      <c r="X330" s="235"/>
      <c r="Y330" s="235"/>
      <c r="Z330" s="235"/>
    </row>
    <row r="331">
      <c r="A331" s="236"/>
      <c r="B331" s="236"/>
      <c r="C331" s="237"/>
      <c r="D331" s="237"/>
      <c r="E331" s="238"/>
      <c r="F331" s="238"/>
      <c r="G331" s="239"/>
      <c r="H331" s="239"/>
      <c r="I331" s="235"/>
      <c r="J331" s="235"/>
      <c r="K331" s="235"/>
      <c r="L331" s="235"/>
      <c r="M331" s="235"/>
      <c r="N331" s="235"/>
      <c r="O331" s="235"/>
      <c r="P331" s="235"/>
      <c r="Q331" s="235"/>
      <c r="R331" s="235"/>
      <c r="S331" s="235"/>
      <c r="T331" s="235"/>
      <c r="U331" s="235"/>
      <c r="V331" s="235"/>
      <c r="W331" s="235"/>
      <c r="X331" s="235"/>
      <c r="Y331" s="235"/>
      <c r="Z331" s="235"/>
    </row>
    <row r="332">
      <c r="A332" s="236"/>
      <c r="B332" s="236"/>
      <c r="C332" s="237"/>
      <c r="D332" s="237"/>
      <c r="E332" s="238"/>
      <c r="F332" s="238"/>
      <c r="G332" s="239"/>
      <c r="H332" s="239"/>
      <c r="I332" s="235"/>
      <c r="J332" s="235"/>
      <c r="K332" s="235"/>
      <c r="L332" s="235"/>
      <c r="M332" s="235"/>
      <c r="N332" s="235"/>
      <c r="O332" s="235"/>
      <c r="P332" s="235"/>
      <c r="Q332" s="235"/>
      <c r="R332" s="235"/>
      <c r="S332" s="235"/>
      <c r="T332" s="235"/>
      <c r="U332" s="235"/>
      <c r="V332" s="235"/>
      <c r="W332" s="235"/>
      <c r="X332" s="235"/>
      <c r="Y332" s="235"/>
      <c r="Z332" s="235"/>
    </row>
    <row r="333">
      <c r="A333" s="236"/>
      <c r="B333" s="236"/>
      <c r="C333" s="237"/>
      <c r="D333" s="237"/>
      <c r="E333" s="238"/>
      <c r="F333" s="238"/>
      <c r="G333" s="239"/>
      <c r="H333" s="239"/>
      <c r="I333" s="235"/>
      <c r="J333" s="235"/>
      <c r="K333" s="235"/>
      <c r="L333" s="235"/>
      <c r="M333" s="235"/>
      <c r="N333" s="235"/>
      <c r="O333" s="235"/>
      <c r="P333" s="235"/>
      <c r="Q333" s="235"/>
      <c r="R333" s="235"/>
      <c r="S333" s="235"/>
      <c r="T333" s="235"/>
      <c r="U333" s="235"/>
      <c r="V333" s="235"/>
      <c r="W333" s="235"/>
      <c r="X333" s="235"/>
      <c r="Y333" s="235"/>
      <c r="Z333" s="235"/>
    </row>
    <row r="334">
      <c r="A334" s="236"/>
      <c r="B334" s="236"/>
      <c r="C334" s="237"/>
      <c r="D334" s="237"/>
      <c r="E334" s="238"/>
      <c r="F334" s="238"/>
      <c r="G334" s="239"/>
      <c r="H334" s="239"/>
      <c r="I334" s="235"/>
      <c r="J334" s="235"/>
      <c r="K334" s="235"/>
      <c r="L334" s="235"/>
      <c r="M334" s="235"/>
      <c r="N334" s="235"/>
      <c r="O334" s="235"/>
      <c r="P334" s="235"/>
      <c r="Q334" s="235"/>
      <c r="R334" s="235"/>
      <c r="S334" s="235"/>
      <c r="T334" s="235"/>
      <c r="U334" s="235"/>
      <c r="V334" s="235"/>
      <c r="W334" s="235"/>
      <c r="X334" s="235"/>
      <c r="Y334" s="235"/>
      <c r="Z334" s="235"/>
    </row>
    <row r="335">
      <c r="A335" s="236"/>
      <c r="B335" s="236"/>
      <c r="C335" s="237"/>
      <c r="D335" s="237"/>
      <c r="E335" s="238"/>
      <c r="F335" s="238"/>
      <c r="G335" s="239"/>
      <c r="H335" s="239"/>
      <c r="I335" s="235"/>
      <c r="J335" s="235"/>
      <c r="K335" s="235"/>
      <c r="L335" s="235"/>
      <c r="M335" s="235"/>
      <c r="N335" s="235"/>
      <c r="O335" s="235"/>
      <c r="P335" s="235"/>
      <c r="Q335" s="235"/>
      <c r="R335" s="235"/>
      <c r="S335" s="235"/>
      <c r="T335" s="235"/>
      <c r="U335" s="235"/>
      <c r="V335" s="235"/>
      <c r="W335" s="235"/>
      <c r="X335" s="235"/>
      <c r="Y335" s="235"/>
      <c r="Z335" s="235"/>
    </row>
    <row r="336">
      <c r="A336" s="236"/>
      <c r="B336" s="236"/>
      <c r="C336" s="237"/>
      <c r="D336" s="237"/>
      <c r="E336" s="238"/>
      <c r="F336" s="238"/>
      <c r="G336" s="239"/>
      <c r="H336" s="239"/>
      <c r="I336" s="235"/>
      <c r="J336" s="235"/>
      <c r="K336" s="235"/>
      <c r="L336" s="235"/>
      <c r="M336" s="235"/>
      <c r="N336" s="235"/>
      <c r="O336" s="235"/>
      <c r="P336" s="235"/>
      <c r="Q336" s="235"/>
      <c r="R336" s="235"/>
      <c r="S336" s="235"/>
      <c r="T336" s="235"/>
      <c r="U336" s="235"/>
      <c r="V336" s="235"/>
      <c r="W336" s="235"/>
      <c r="X336" s="235"/>
      <c r="Y336" s="235"/>
      <c r="Z336" s="235"/>
    </row>
    <row r="337">
      <c r="A337" s="236"/>
      <c r="B337" s="236"/>
      <c r="C337" s="237"/>
      <c r="D337" s="237"/>
      <c r="E337" s="238"/>
      <c r="F337" s="238"/>
      <c r="G337" s="239"/>
      <c r="H337" s="239"/>
      <c r="I337" s="235"/>
      <c r="J337" s="235"/>
      <c r="K337" s="235"/>
      <c r="L337" s="235"/>
      <c r="M337" s="235"/>
      <c r="N337" s="235"/>
      <c r="O337" s="235"/>
      <c r="P337" s="235"/>
      <c r="Q337" s="235"/>
      <c r="R337" s="235"/>
      <c r="S337" s="235"/>
      <c r="T337" s="235"/>
      <c r="U337" s="235"/>
      <c r="V337" s="235"/>
      <c r="W337" s="235"/>
      <c r="X337" s="235"/>
      <c r="Y337" s="235"/>
      <c r="Z337" s="235"/>
    </row>
    <row r="338">
      <c r="A338" s="236"/>
      <c r="B338" s="236"/>
      <c r="C338" s="237"/>
      <c r="D338" s="237"/>
      <c r="E338" s="238"/>
      <c r="F338" s="238"/>
      <c r="G338" s="239"/>
      <c r="H338" s="239"/>
      <c r="I338" s="235"/>
      <c r="J338" s="235"/>
      <c r="K338" s="235"/>
      <c r="L338" s="235"/>
      <c r="M338" s="235"/>
      <c r="N338" s="235"/>
      <c r="O338" s="235"/>
      <c r="P338" s="235"/>
      <c r="Q338" s="235"/>
      <c r="R338" s="235"/>
      <c r="S338" s="235"/>
      <c r="T338" s="235"/>
      <c r="U338" s="235"/>
      <c r="V338" s="235"/>
      <c r="W338" s="235"/>
      <c r="X338" s="235"/>
      <c r="Y338" s="235"/>
      <c r="Z338" s="235"/>
    </row>
    <row r="339">
      <c r="A339" s="236"/>
      <c r="B339" s="236"/>
      <c r="C339" s="237"/>
      <c r="D339" s="237"/>
      <c r="E339" s="238"/>
      <c r="F339" s="238"/>
      <c r="G339" s="239"/>
      <c r="H339" s="239"/>
      <c r="I339" s="235"/>
      <c r="J339" s="235"/>
      <c r="K339" s="235"/>
      <c r="L339" s="235"/>
      <c r="M339" s="235"/>
      <c r="N339" s="235"/>
      <c r="O339" s="235"/>
      <c r="P339" s="235"/>
      <c r="Q339" s="235"/>
      <c r="R339" s="235"/>
      <c r="S339" s="235"/>
      <c r="T339" s="235"/>
      <c r="U339" s="235"/>
      <c r="V339" s="235"/>
      <c r="W339" s="235"/>
      <c r="X339" s="235"/>
      <c r="Y339" s="235"/>
      <c r="Z339" s="235"/>
    </row>
    <row r="340">
      <c r="A340" s="236"/>
      <c r="B340" s="236"/>
      <c r="C340" s="237"/>
      <c r="D340" s="237"/>
      <c r="E340" s="238"/>
      <c r="F340" s="238"/>
      <c r="G340" s="239"/>
      <c r="H340" s="239"/>
      <c r="I340" s="235"/>
      <c r="J340" s="235"/>
      <c r="K340" s="235"/>
      <c r="L340" s="235"/>
      <c r="M340" s="235"/>
      <c r="N340" s="235"/>
      <c r="O340" s="235"/>
      <c r="P340" s="235"/>
      <c r="Q340" s="235"/>
      <c r="R340" s="235"/>
      <c r="S340" s="235"/>
      <c r="T340" s="235"/>
      <c r="U340" s="235"/>
      <c r="V340" s="235"/>
      <c r="W340" s="235"/>
      <c r="X340" s="235"/>
      <c r="Y340" s="235"/>
      <c r="Z340" s="235"/>
    </row>
    <row r="341">
      <c r="A341" s="236"/>
      <c r="B341" s="236"/>
      <c r="C341" s="237"/>
      <c r="D341" s="237"/>
      <c r="E341" s="238"/>
      <c r="F341" s="238"/>
      <c r="G341" s="239"/>
      <c r="H341" s="239"/>
      <c r="I341" s="235"/>
      <c r="J341" s="235"/>
      <c r="K341" s="235"/>
      <c r="L341" s="235"/>
      <c r="M341" s="235"/>
      <c r="N341" s="235"/>
      <c r="O341" s="235"/>
      <c r="P341" s="235"/>
      <c r="Q341" s="235"/>
      <c r="R341" s="235"/>
      <c r="S341" s="235"/>
      <c r="T341" s="235"/>
      <c r="U341" s="235"/>
      <c r="V341" s="235"/>
      <c r="W341" s="235"/>
      <c r="X341" s="235"/>
      <c r="Y341" s="235"/>
      <c r="Z341" s="235"/>
    </row>
    <row r="342">
      <c r="A342" s="236"/>
      <c r="B342" s="236"/>
      <c r="C342" s="237"/>
      <c r="D342" s="237"/>
      <c r="E342" s="238"/>
      <c r="F342" s="238"/>
      <c r="G342" s="239"/>
      <c r="H342" s="239"/>
      <c r="I342" s="235"/>
      <c r="J342" s="235"/>
      <c r="K342" s="235"/>
      <c r="L342" s="235"/>
      <c r="M342" s="235"/>
      <c r="N342" s="235"/>
      <c r="O342" s="235"/>
      <c r="P342" s="235"/>
      <c r="Q342" s="235"/>
      <c r="R342" s="235"/>
      <c r="S342" s="235"/>
      <c r="T342" s="235"/>
      <c r="U342" s="235"/>
      <c r="V342" s="235"/>
      <c r="W342" s="235"/>
      <c r="X342" s="235"/>
      <c r="Y342" s="235"/>
      <c r="Z342" s="235"/>
    </row>
    <row r="343">
      <c r="A343" s="236"/>
      <c r="B343" s="236"/>
      <c r="C343" s="237"/>
      <c r="D343" s="237"/>
      <c r="E343" s="238"/>
      <c r="F343" s="238"/>
      <c r="G343" s="239"/>
      <c r="H343" s="239"/>
      <c r="I343" s="235"/>
      <c r="J343" s="235"/>
      <c r="K343" s="235"/>
      <c r="L343" s="235"/>
      <c r="M343" s="235"/>
      <c r="N343" s="235"/>
      <c r="O343" s="235"/>
      <c r="P343" s="235"/>
      <c r="Q343" s="235"/>
      <c r="R343" s="235"/>
      <c r="S343" s="235"/>
      <c r="T343" s="235"/>
      <c r="U343" s="235"/>
      <c r="V343" s="235"/>
      <c r="W343" s="235"/>
      <c r="X343" s="235"/>
      <c r="Y343" s="235"/>
      <c r="Z343" s="235"/>
    </row>
    <row r="344">
      <c r="A344" s="236"/>
      <c r="B344" s="236"/>
      <c r="C344" s="237"/>
      <c r="D344" s="237"/>
      <c r="E344" s="238"/>
      <c r="F344" s="238"/>
      <c r="G344" s="239"/>
      <c r="H344" s="239"/>
      <c r="I344" s="235"/>
      <c r="J344" s="235"/>
      <c r="K344" s="235"/>
      <c r="L344" s="235"/>
      <c r="M344" s="235"/>
      <c r="N344" s="235"/>
      <c r="O344" s="235"/>
      <c r="P344" s="235"/>
      <c r="Q344" s="235"/>
      <c r="R344" s="235"/>
      <c r="S344" s="235"/>
      <c r="T344" s="235"/>
      <c r="U344" s="235"/>
      <c r="V344" s="235"/>
      <c r="W344" s="235"/>
      <c r="X344" s="235"/>
      <c r="Y344" s="235"/>
      <c r="Z344" s="235"/>
    </row>
    <row r="345">
      <c r="A345" s="236"/>
      <c r="B345" s="236"/>
      <c r="C345" s="237"/>
      <c r="D345" s="237"/>
      <c r="E345" s="238"/>
      <c r="F345" s="238"/>
      <c r="G345" s="239"/>
      <c r="H345" s="239"/>
      <c r="I345" s="235"/>
      <c r="J345" s="235"/>
      <c r="K345" s="235"/>
      <c r="L345" s="235"/>
      <c r="M345" s="235"/>
      <c r="N345" s="235"/>
      <c r="O345" s="235"/>
      <c r="P345" s="235"/>
      <c r="Q345" s="235"/>
      <c r="R345" s="235"/>
      <c r="S345" s="235"/>
      <c r="T345" s="235"/>
      <c r="U345" s="235"/>
      <c r="V345" s="235"/>
      <c r="W345" s="235"/>
      <c r="X345" s="235"/>
      <c r="Y345" s="235"/>
      <c r="Z345" s="235"/>
    </row>
    <row r="346">
      <c r="A346" s="236"/>
      <c r="B346" s="236"/>
      <c r="C346" s="237"/>
      <c r="D346" s="237"/>
      <c r="E346" s="238"/>
      <c r="F346" s="238"/>
      <c r="G346" s="239"/>
      <c r="H346" s="239"/>
      <c r="I346" s="235"/>
      <c r="J346" s="235"/>
      <c r="K346" s="235"/>
      <c r="L346" s="235"/>
      <c r="M346" s="235"/>
      <c r="N346" s="235"/>
      <c r="O346" s="235"/>
      <c r="P346" s="235"/>
      <c r="Q346" s="235"/>
      <c r="R346" s="235"/>
      <c r="S346" s="235"/>
      <c r="T346" s="235"/>
      <c r="U346" s="235"/>
      <c r="V346" s="235"/>
      <c r="W346" s="235"/>
      <c r="X346" s="235"/>
      <c r="Y346" s="235"/>
      <c r="Z346" s="235"/>
    </row>
    <row r="347">
      <c r="A347" s="236"/>
      <c r="B347" s="236"/>
      <c r="C347" s="237"/>
      <c r="D347" s="237"/>
      <c r="E347" s="238"/>
      <c r="F347" s="238"/>
      <c r="G347" s="239"/>
      <c r="H347" s="239"/>
      <c r="I347" s="235"/>
      <c r="J347" s="235"/>
      <c r="K347" s="235"/>
      <c r="L347" s="235"/>
      <c r="M347" s="235"/>
      <c r="N347" s="235"/>
      <c r="O347" s="235"/>
      <c r="P347" s="235"/>
      <c r="Q347" s="235"/>
      <c r="R347" s="235"/>
      <c r="S347" s="235"/>
      <c r="T347" s="235"/>
      <c r="U347" s="235"/>
      <c r="V347" s="235"/>
      <c r="W347" s="235"/>
      <c r="X347" s="235"/>
      <c r="Y347" s="235"/>
      <c r="Z347" s="235"/>
    </row>
    <row r="348">
      <c r="A348" s="236"/>
      <c r="B348" s="236"/>
      <c r="C348" s="237"/>
      <c r="D348" s="237"/>
      <c r="E348" s="238"/>
      <c r="F348" s="238"/>
      <c r="G348" s="239"/>
      <c r="H348" s="239"/>
      <c r="I348" s="235"/>
      <c r="J348" s="235"/>
      <c r="K348" s="235"/>
      <c r="L348" s="235"/>
      <c r="M348" s="235"/>
      <c r="N348" s="235"/>
      <c r="O348" s="235"/>
      <c r="P348" s="235"/>
      <c r="Q348" s="235"/>
      <c r="R348" s="235"/>
      <c r="S348" s="235"/>
      <c r="T348" s="235"/>
      <c r="U348" s="235"/>
      <c r="V348" s="235"/>
      <c r="W348" s="235"/>
      <c r="X348" s="235"/>
      <c r="Y348" s="235"/>
      <c r="Z348" s="235"/>
    </row>
    <row r="349">
      <c r="A349" s="236"/>
      <c r="B349" s="236"/>
      <c r="C349" s="237"/>
      <c r="D349" s="237"/>
      <c r="E349" s="238"/>
      <c r="F349" s="238"/>
      <c r="G349" s="239"/>
      <c r="H349" s="239"/>
      <c r="I349" s="235"/>
      <c r="J349" s="235"/>
      <c r="K349" s="235"/>
      <c r="L349" s="235"/>
      <c r="M349" s="235"/>
      <c r="N349" s="235"/>
      <c r="O349" s="235"/>
      <c r="P349" s="235"/>
      <c r="Q349" s="235"/>
      <c r="R349" s="235"/>
      <c r="S349" s="235"/>
      <c r="T349" s="235"/>
      <c r="U349" s="235"/>
      <c r="V349" s="235"/>
      <c r="W349" s="235"/>
      <c r="X349" s="235"/>
      <c r="Y349" s="235"/>
      <c r="Z349" s="235"/>
    </row>
    <row r="350">
      <c r="A350" s="236"/>
      <c r="B350" s="236"/>
      <c r="C350" s="237"/>
      <c r="D350" s="237"/>
      <c r="E350" s="238"/>
      <c r="F350" s="238"/>
      <c r="G350" s="239"/>
      <c r="H350" s="239"/>
      <c r="I350" s="235"/>
      <c r="J350" s="235"/>
      <c r="K350" s="235"/>
      <c r="L350" s="235"/>
      <c r="M350" s="235"/>
      <c r="N350" s="235"/>
      <c r="O350" s="235"/>
      <c r="P350" s="235"/>
      <c r="Q350" s="235"/>
      <c r="R350" s="235"/>
      <c r="S350" s="235"/>
      <c r="T350" s="235"/>
      <c r="U350" s="235"/>
      <c r="V350" s="235"/>
      <c r="W350" s="235"/>
      <c r="X350" s="235"/>
      <c r="Y350" s="235"/>
      <c r="Z350" s="235"/>
    </row>
    <row r="351">
      <c r="A351" s="236"/>
      <c r="B351" s="236"/>
      <c r="C351" s="237"/>
      <c r="D351" s="237"/>
      <c r="E351" s="238"/>
      <c r="F351" s="238"/>
      <c r="G351" s="239"/>
      <c r="H351" s="239"/>
      <c r="I351" s="235"/>
      <c r="J351" s="235"/>
      <c r="K351" s="235"/>
      <c r="L351" s="235"/>
      <c r="M351" s="235"/>
      <c r="N351" s="235"/>
      <c r="O351" s="235"/>
      <c r="P351" s="235"/>
      <c r="Q351" s="235"/>
      <c r="R351" s="235"/>
      <c r="S351" s="235"/>
      <c r="T351" s="235"/>
      <c r="U351" s="235"/>
      <c r="V351" s="235"/>
      <c r="W351" s="235"/>
      <c r="X351" s="235"/>
      <c r="Y351" s="235"/>
      <c r="Z351" s="235"/>
    </row>
    <row r="352">
      <c r="A352" s="236"/>
      <c r="B352" s="236"/>
      <c r="C352" s="237"/>
      <c r="D352" s="237"/>
      <c r="E352" s="238"/>
      <c r="F352" s="238"/>
      <c r="G352" s="239"/>
      <c r="H352" s="239"/>
      <c r="I352" s="235"/>
      <c r="J352" s="235"/>
      <c r="K352" s="235"/>
      <c r="L352" s="235"/>
      <c r="M352" s="235"/>
      <c r="N352" s="235"/>
      <c r="O352" s="235"/>
      <c r="P352" s="235"/>
      <c r="Q352" s="235"/>
      <c r="R352" s="235"/>
      <c r="S352" s="235"/>
      <c r="T352" s="235"/>
      <c r="U352" s="235"/>
      <c r="V352" s="235"/>
      <c r="W352" s="235"/>
      <c r="X352" s="235"/>
      <c r="Y352" s="235"/>
      <c r="Z352" s="235"/>
    </row>
    <row r="353">
      <c r="A353" s="236"/>
      <c r="B353" s="236"/>
      <c r="C353" s="237"/>
      <c r="D353" s="237"/>
      <c r="E353" s="238"/>
      <c r="F353" s="238"/>
      <c r="G353" s="239"/>
      <c r="H353" s="239"/>
      <c r="I353" s="235"/>
      <c r="J353" s="235"/>
      <c r="K353" s="235"/>
      <c r="L353" s="235"/>
      <c r="M353" s="235"/>
      <c r="N353" s="235"/>
      <c r="O353" s="235"/>
      <c r="P353" s="235"/>
      <c r="Q353" s="235"/>
      <c r="R353" s="235"/>
      <c r="S353" s="235"/>
      <c r="T353" s="235"/>
      <c r="U353" s="235"/>
      <c r="V353" s="235"/>
      <c r="W353" s="235"/>
      <c r="X353" s="235"/>
      <c r="Y353" s="235"/>
      <c r="Z353" s="235"/>
    </row>
    <row r="354">
      <c r="A354" s="236"/>
      <c r="B354" s="236"/>
      <c r="C354" s="237"/>
      <c r="D354" s="237"/>
      <c r="E354" s="238"/>
      <c r="F354" s="238"/>
      <c r="G354" s="239"/>
      <c r="H354" s="239"/>
      <c r="I354" s="235"/>
      <c r="J354" s="235"/>
      <c r="K354" s="235"/>
      <c r="L354" s="235"/>
      <c r="M354" s="235"/>
      <c r="N354" s="235"/>
      <c r="O354" s="235"/>
      <c r="P354" s="235"/>
      <c r="Q354" s="235"/>
      <c r="R354" s="235"/>
      <c r="S354" s="235"/>
      <c r="T354" s="235"/>
      <c r="U354" s="235"/>
      <c r="V354" s="235"/>
      <c r="W354" s="235"/>
      <c r="X354" s="235"/>
      <c r="Y354" s="235"/>
      <c r="Z354" s="235"/>
    </row>
    <row r="355">
      <c r="A355" s="236"/>
      <c r="B355" s="236"/>
      <c r="C355" s="237"/>
      <c r="D355" s="237"/>
      <c r="E355" s="238"/>
      <c r="F355" s="238"/>
      <c r="G355" s="239"/>
      <c r="H355" s="239"/>
      <c r="I355" s="235"/>
      <c r="J355" s="235"/>
      <c r="K355" s="235"/>
      <c r="L355" s="235"/>
      <c r="M355" s="235"/>
      <c r="N355" s="235"/>
      <c r="O355" s="235"/>
      <c r="P355" s="235"/>
      <c r="Q355" s="235"/>
      <c r="R355" s="235"/>
      <c r="S355" s="235"/>
      <c r="T355" s="235"/>
      <c r="U355" s="235"/>
      <c r="V355" s="235"/>
      <c r="W355" s="235"/>
      <c r="X355" s="235"/>
      <c r="Y355" s="235"/>
      <c r="Z355" s="235"/>
    </row>
    <row r="356">
      <c r="A356" s="236"/>
      <c r="B356" s="236"/>
      <c r="C356" s="237"/>
      <c r="D356" s="237"/>
      <c r="E356" s="238"/>
      <c r="F356" s="238"/>
      <c r="G356" s="239"/>
      <c r="H356" s="239"/>
      <c r="I356" s="235"/>
      <c r="J356" s="235"/>
      <c r="K356" s="235"/>
      <c r="L356" s="235"/>
      <c r="M356" s="235"/>
      <c r="N356" s="235"/>
      <c r="O356" s="235"/>
      <c r="P356" s="235"/>
      <c r="Q356" s="235"/>
      <c r="R356" s="235"/>
      <c r="S356" s="235"/>
      <c r="T356" s="235"/>
      <c r="U356" s="235"/>
      <c r="V356" s="235"/>
      <c r="W356" s="235"/>
      <c r="X356" s="235"/>
      <c r="Y356" s="235"/>
      <c r="Z356" s="235"/>
    </row>
    <row r="357">
      <c r="A357" s="236"/>
      <c r="B357" s="236"/>
      <c r="C357" s="237"/>
      <c r="D357" s="237"/>
      <c r="E357" s="238"/>
      <c r="F357" s="238"/>
      <c r="G357" s="239"/>
      <c r="H357" s="239"/>
      <c r="I357" s="235"/>
      <c r="J357" s="235"/>
      <c r="K357" s="235"/>
      <c r="L357" s="235"/>
      <c r="M357" s="235"/>
      <c r="N357" s="235"/>
      <c r="O357" s="235"/>
      <c r="P357" s="235"/>
      <c r="Q357" s="235"/>
      <c r="R357" s="235"/>
      <c r="S357" s="235"/>
      <c r="T357" s="235"/>
      <c r="U357" s="235"/>
      <c r="V357" s="235"/>
      <c r="W357" s="235"/>
      <c r="X357" s="235"/>
      <c r="Y357" s="235"/>
      <c r="Z357" s="235"/>
    </row>
    <row r="358">
      <c r="A358" s="236"/>
      <c r="B358" s="236"/>
      <c r="C358" s="237"/>
      <c r="D358" s="237"/>
      <c r="E358" s="238"/>
      <c r="F358" s="238"/>
      <c r="G358" s="239"/>
      <c r="H358" s="239"/>
      <c r="I358" s="235"/>
      <c r="J358" s="235"/>
      <c r="K358" s="235"/>
      <c r="L358" s="235"/>
      <c r="M358" s="235"/>
      <c r="N358" s="235"/>
      <c r="O358" s="235"/>
      <c r="P358" s="235"/>
      <c r="Q358" s="235"/>
      <c r="R358" s="235"/>
      <c r="S358" s="235"/>
      <c r="T358" s="235"/>
      <c r="U358" s="235"/>
      <c r="V358" s="235"/>
      <c r="W358" s="235"/>
      <c r="X358" s="235"/>
      <c r="Y358" s="235"/>
      <c r="Z358" s="235"/>
    </row>
    <row r="359">
      <c r="A359" s="236"/>
      <c r="B359" s="236"/>
      <c r="C359" s="237"/>
      <c r="D359" s="237"/>
      <c r="E359" s="238"/>
      <c r="F359" s="238"/>
      <c r="G359" s="239"/>
      <c r="H359" s="239"/>
      <c r="I359" s="235"/>
      <c r="J359" s="235"/>
      <c r="K359" s="235"/>
      <c r="L359" s="235"/>
      <c r="M359" s="235"/>
      <c r="N359" s="235"/>
      <c r="O359" s="235"/>
      <c r="P359" s="235"/>
      <c r="Q359" s="235"/>
      <c r="R359" s="235"/>
      <c r="S359" s="235"/>
      <c r="T359" s="235"/>
      <c r="U359" s="235"/>
      <c r="V359" s="235"/>
      <c r="W359" s="235"/>
      <c r="X359" s="235"/>
      <c r="Y359" s="235"/>
      <c r="Z359" s="235"/>
    </row>
    <row r="360">
      <c r="A360" s="236"/>
      <c r="B360" s="236"/>
      <c r="C360" s="237"/>
      <c r="D360" s="237"/>
      <c r="E360" s="238"/>
      <c r="F360" s="238"/>
      <c r="G360" s="239"/>
      <c r="H360" s="239"/>
      <c r="I360" s="235"/>
      <c r="J360" s="235"/>
      <c r="K360" s="235"/>
      <c r="L360" s="235"/>
      <c r="M360" s="235"/>
      <c r="N360" s="235"/>
      <c r="O360" s="235"/>
      <c r="P360" s="235"/>
      <c r="Q360" s="235"/>
      <c r="R360" s="235"/>
      <c r="S360" s="235"/>
      <c r="T360" s="235"/>
      <c r="U360" s="235"/>
      <c r="V360" s="235"/>
      <c r="W360" s="235"/>
      <c r="X360" s="235"/>
      <c r="Y360" s="235"/>
      <c r="Z360" s="235"/>
    </row>
    <row r="361">
      <c r="A361" s="236"/>
      <c r="B361" s="236"/>
      <c r="C361" s="237"/>
      <c r="D361" s="237"/>
      <c r="E361" s="238"/>
      <c r="F361" s="238"/>
      <c r="G361" s="239"/>
      <c r="H361" s="239"/>
      <c r="I361" s="235"/>
      <c r="J361" s="235"/>
      <c r="K361" s="235"/>
      <c r="L361" s="235"/>
      <c r="M361" s="235"/>
      <c r="N361" s="235"/>
      <c r="O361" s="235"/>
      <c r="P361" s="235"/>
      <c r="Q361" s="235"/>
      <c r="R361" s="235"/>
      <c r="S361" s="235"/>
      <c r="T361" s="235"/>
      <c r="U361" s="235"/>
      <c r="V361" s="235"/>
      <c r="W361" s="235"/>
      <c r="X361" s="235"/>
      <c r="Y361" s="235"/>
      <c r="Z361" s="235"/>
    </row>
    <row r="362">
      <c r="A362" s="236"/>
      <c r="B362" s="236"/>
      <c r="C362" s="237"/>
      <c r="D362" s="237"/>
      <c r="E362" s="238"/>
      <c r="F362" s="238"/>
      <c r="G362" s="239"/>
      <c r="H362" s="239"/>
      <c r="I362" s="235"/>
      <c r="J362" s="235"/>
      <c r="K362" s="235"/>
      <c r="L362" s="235"/>
      <c r="M362" s="235"/>
      <c r="N362" s="235"/>
      <c r="O362" s="235"/>
      <c r="P362" s="235"/>
      <c r="Q362" s="235"/>
      <c r="R362" s="235"/>
      <c r="S362" s="235"/>
      <c r="T362" s="235"/>
      <c r="U362" s="235"/>
      <c r="V362" s="235"/>
      <c r="W362" s="235"/>
      <c r="X362" s="235"/>
      <c r="Y362" s="235"/>
      <c r="Z362" s="235"/>
    </row>
    <row r="363">
      <c r="A363" s="236"/>
      <c r="B363" s="236"/>
      <c r="C363" s="237"/>
      <c r="D363" s="237"/>
      <c r="E363" s="238"/>
      <c r="F363" s="238"/>
      <c r="G363" s="239"/>
      <c r="H363" s="239"/>
      <c r="I363" s="235"/>
      <c r="J363" s="235"/>
      <c r="K363" s="235"/>
      <c r="L363" s="235"/>
      <c r="M363" s="235"/>
      <c r="N363" s="235"/>
      <c r="O363" s="235"/>
      <c r="P363" s="235"/>
      <c r="Q363" s="235"/>
      <c r="R363" s="235"/>
      <c r="S363" s="235"/>
      <c r="T363" s="235"/>
      <c r="U363" s="235"/>
      <c r="V363" s="235"/>
      <c r="W363" s="235"/>
      <c r="X363" s="235"/>
      <c r="Y363" s="235"/>
      <c r="Z363" s="235"/>
    </row>
    <row r="364">
      <c r="A364" s="236"/>
      <c r="B364" s="236"/>
      <c r="C364" s="237"/>
      <c r="D364" s="237"/>
      <c r="E364" s="238"/>
      <c r="F364" s="238"/>
      <c r="G364" s="239"/>
      <c r="H364" s="239"/>
      <c r="I364" s="235"/>
      <c r="J364" s="235"/>
      <c r="K364" s="235"/>
      <c r="L364" s="235"/>
      <c r="M364" s="235"/>
      <c r="N364" s="235"/>
      <c r="O364" s="235"/>
      <c r="P364" s="235"/>
      <c r="Q364" s="235"/>
      <c r="R364" s="235"/>
      <c r="S364" s="235"/>
      <c r="T364" s="235"/>
      <c r="U364" s="235"/>
      <c r="V364" s="235"/>
      <c r="W364" s="235"/>
      <c r="X364" s="235"/>
      <c r="Y364" s="235"/>
      <c r="Z364" s="235"/>
    </row>
    <row r="365">
      <c r="A365" s="236"/>
      <c r="B365" s="236"/>
      <c r="C365" s="237"/>
      <c r="D365" s="237"/>
      <c r="E365" s="238"/>
      <c r="F365" s="238"/>
      <c r="G365" s="239"/>
      <c r="H365" s="239"/>
      <c r="I365" s="235"/>
      <c r="J365" s="235"/>
      <c r="K365" s="235"/>
      <c r="L365" s="235"/>
      <c r="M365" s="235"/>
      <c r="N365" s="235"/>
      <c r="O365" s="235"/>
      <c r="P365" s="235"/>
      <c r="Q365" s="235"/>
      <c r="R365" s="235"/>
      <c r="S365" s="235"/>
      <c r="T365" s="235"/>
      <c r="U365" s="235"/>
      <c r="V365" s="235"/>
      <c r="W365" s="235"/>
      <c r="X365" s="235"/>
      <c r="Y365" s="235"/>
      <c r="Z365" s="235"/>
    </row>
    <row r="366">
      <c r="A366" s="236"/>
      <c r="B366" s="236"/>
      <c r="C366" s="237"/>
      <c r="D366" s="237"/>
      <c r="E366" s="238"/>
      <c r="F366" s="238"/>
      <c r="G366" s="239"/>
      <c r="H366" s="239"/>
      <c r="I366" s="235"/>
      <c r="J366" s="235"/>
      <c r="K366" s="235"/>
      <c r="L366" s="235"/>
      <c r="M366" s="235"/>
      <c r="N366" s="235"/>
      <c r="O366" s="235"/>
      <c r="P366" s="235"/>
      <c r="Q366" s="235"/>
      <c r="R366" s="235"/>
      <c r="S366" s="235"/>
      <c r="T366" s="235"/>
      <c r="U366" s="235"/>
      <c r="V366" s="235"/>
      <c r="W366" s="235"/>
      <c r="X366" s="235"/>
      <c r="Y366" s="235"/>
      <c r="Z366" s="235"/>
    </row>
    <row r="367">
      <c r="A367" s="236"/>
      <c r="B367" s="236"/>
      <c r="C367" s="237"/>
      <c r="D367" s="237"/>
      <c r="E367" s="238"/>
      <c r="F367" s="238"/>
      <c r="G367" s="239"/>
      <c r="H367" s="239"/>
      <c r="I367" s="235"/>
      <c r="J367" s="235"/>
      <c r="K367" s="235"/>
      <c r="L367" s="235"/>
      <c r="M367" s="235"/>
      <c r="N367" s="235"/>
      <c r="O367" s="235"/>
      <c r="P367" s="235"/>
      <c r="Q367" s="235"/>
      <c r="R367" s="235"/>
      <c r="S367" s="235"/>
      <c r="T367" s="235"/>
      <c r="U367" s="235"/>
      <c r="V367" s="235"/>
      <c r="W367" s="235"/>
      <c r="X367" s="235"/>
      <c r="Y367" s="235"/>
      <c r="Z367" s="235"/>
    </row>
    <row r="368">
      <c r="A368" s="236"/>
      <c r="B368" s="236"/>
      <c r="C368" s="237"/>
      <c r="D368" s="237"/>
      <c r="E368" s="238"/>
      <c r="F368" s="238"/>
      <c r="G368" s="239"/>
      <c r="H368" s="239"/>
      <c r="I368" s="235"/>
      <c r="J368" s="235"/>
      <c r="K368" s="235"/>
      <c r="L368" s="235"/>
      <c r="M368" s="235"/>
      <c r="N368" s="235"/>
      <c r="O368" s="235"/>
      <c r="P368" s="235"/>
      <c r="Q368" s="235"/>
      <c r="R368" s="235"/>
      <c r="S368" s="235"/>
      <c r="T368" s="235"/>
      <c r="U368" s="235"/>
      <c r="V368" s="235"/>
      <c r="W368" s="235"/>
      <c r="X368" s="235"/>
      <c r="Y368" s="235"/>
      <c r="Z368" s="235"/>
    </row>
    <row r="369">
      <c r="A369" s="236"/>
      <c r="B369" s="236"/>
      <c r="C369" s="237"/>
      <c r="D369" s="237"/>
      <c r="E369" s="238"/>
      <c r="F369" s="238"/>
      <c r="G369" s="239"/>
      <c r="H369" s="239"/>
      <c r="I369" s="235"/>
      <c r="J369" s="235"/>
      <c r="K369" s="235"/>
      <c r="L369" s="235"/>
      <c r="M369" s="235"/>
      <c r="N369" s="235"/>
      <c r="O369" s="235"/>
      <c r="P369" s="235"/>
      <c r="Q369" s="235"/>
      <c r="R369" s="235"/>
      <c r="S369" s="235"/>
      <c r="T369" s="235"/>
      <c r="U369" s="235"/>
      <c r="V369" s="235"/>
      <c r="W369" s="235"/>
      <c r="X369" s="235"/>
      <c r="Y369" s="235"/>
      <c r="Z369" s="235"/>
    </row>
    <row r="370">
      <c r="A370" s="236"/>
      <c r="B370" s="236"/>
      <c r="C370" s="237"/>
      <c r="D370" s="237"/>
      <c r="E370" s="238"/>
      <c r="F370" s="238"/>
      <c r="G370" s="239"/>
      <c r="H370" s="239"/>
      <c r="I370" s="235"/>
      <c r="J370" s="235"/>
      <c r="K370" s="235"/>
      <c r="L370" s="235"/>
      <c r="M370" s="235"/>
      <c r="N370" s="235"/>
      <c r="O370" s="235"/>
      <c r="P370" s="235"/>
      <c r="Q370" s="235"/>
      <c r="R370" s="235"/>
      <c r="S370" s="235"/>
      <c r="T370" s="235"/>
      <c r="U370" s="235"/>
      <c r="V370" s="235"/>
      <c r="W370" s="235"/>
      <c r="X370" s="235"/>
      <c r="Y370" s="235"/>
      <c r="Z370" s="235"/>
    </row>
    <row r="371">
      <c r="A371" s="236"/>
      <c r="B371" s="236"/>
      <c r="C371" s="237"/>
      <c r="D371" s="237"/>
      <c r="E371" s="238"/>
      <c r="F371" s="238"/>
      <c r="G371" s="239"/>
      <c r="H371" s="239"/>
      <c r="I371" s="235"/>
      <c r="J371" s="235"/>
      <c r="K371" s="235"/>
      <c r="L371" s="235"/>
      <c r="M371" s="235"/>
      <c r="N371" s="235"/>
      <c r="O371" s="235"/>
      <c r="P371" s="235"/>
      <c r="Q371" s="235"/>
      <c r="R371" s="235"/>
      <c r="S371" s="235"/>
      <c r="T371" s="235"/>
      <c r="U371" s="235"/>
      <c r="V371" s="235"/>
      <c r="W371" s="235"/>
      <c r="X371" s="235"/>
      <c r="Y371" s="235"/>
      <c r="Z371" s="235"/>
    </row>
    <row r="372">
      <c r="A372" s="236"/>
      <c r="B372" s="236"/>
      <c r="C372" s="237"/>
      <c r="D372" s="237"/>
      <c r="E372" s="238"/>
      <c r="F372" s="238"/>
      <c r="G372" s="239"/>
      <c r="H372" s="239"/>
      <c r="I372" s="235"/>
      <c r="J372" s="235"/>
      <c r="K372" s="235"/>
      <c r="L372" s="235"/>
      <c r="M372" s="235"/>
      <c r="N372" s="235"/>
      <c r="O372" s="235"/>
      <c r="P372" s="235"/>
      <c r="Q372" s="235"/>
      <c r="R372" s="235"/>
      <c r="S372" s="235"/>
      <c r="T372" s="235"/>
      <c r="U372" s="235"/>
      <c r="V372" s="235"/>
      <c r="W372" s="235"/>
      <c r="X372" s="235"/>
      <c r="Y372" s="235"/>
      <c r="Z372" s="235"/>
    </row>
    <row r="373">
      <c r="A373" s="236"/>
      <c r="B373" s="236"/>
      <c r="C373" s="237"/>
      <c r="D373" s="237"/>
      <c r="E373" s="238"/>
      <c r="F373" s="238"/>
      <c r="G373" s="239"/>
      <c r="H373" s="239"/>
      <c r="I373" s="235"/>
      <c r="J373" s="235"/>
      <c r="K373" s="235"/>
      <c r="L373" s="235"/>
      <c r="M373" s="235"/>
      <c r="N373" s="235"/>
      <c r="O373" s="235"/>
      <c r="P373" s="235"/>
      <c r="Q373" s="235"/>
      <c r="R373" s="235"/>
      <c r="S373" s="235"/>
      <c r="T373" s="235"/>
      <c r="U373" s="235"/>
      <c r="V373" s="235"/>
      <c r="W373" s="235"/>
      <c r="X373" s="235"/>
      <c r="Y373" s="235"/>
      <c r="Z373" s="235"/>
    </row>
    <row r="374">
      <c r="A374" s="236"/>
      <c r="B374" s="236"/>
      <c r="C374" s="237"/>
      <c r="D374" s="237"/>
      <c r="E374" s="238"/>
      <c r="F374" s="238"/>
      <c r="G374" s="239"/>
      <c r="H374" s="239"/>
      <c r="I374" s="235"/>
      <c r="J374" s="235"/>
      <c r="K374" s="235"/>
      <c r="L374" s="235"/>
      <c r="M374" s="235"/>
      <c r="N374" s="235"/>
      <c r="O374" s="235"/>
      <c r="P374" s="235"/>
      <c r="Q374" s="235"/>
      <c r="R374" s="235"/>
      <c r="S374" s="235"/>
      <c r="T374" s="235"/>
      <c r="U374" s="235"/>
      <c r="V374" s="235"/>
      <c r="W374" s="235"/>
      <c r="X374" s="235"/>
      <c r="Y374" s="235"/>
      <c r="Z374" s="235"/>
    </row>
    <row r="375">
      <c r="A375" s="236"/>
      <c r="B375" s="236"/>
      <c r="C375" s="237"/>
      <c r="D375" s="237"/>
      <c r="E375" s="238"/>
      <c r="F375" s="238"/>
      <c r="G375" s="239"/>
      <c r="H375" s="239"/>
      <c r="I375" s="235"/>
      <c r="J375" s="235"/>
      <c r="K375" s="235"/>
      <c r="L375" s="235"/>
      <c r="M375" s="235"/>
      <c r="N375" s="235"/>
      <c r="O375" s="235"/>
      <c r="P375" s="235"/>
      <c r="Q375" s="235"/>
      <c r="R375" s="235"/>
      <c r="S375" s="235"/>
      <c r="T375" s="235"/>
      <c r="U375" s="235"/>
      <c r="V375" s="235"/>
      <c r="W375" s="235"/>
      <c r="X375" s="235"/>
      <c r="Y375" s="235"/>
      <c r="Z375" s="235"/>
    </row>
    <row r="376">
      <c r="A376" s="236"/>
      <c r="B376" s="236"/>
      <c r="C376" s="237"/>
      <c r="D376" s="237"/>
      <c r="E376" s="238"/>
      <c r="F376" s="238"/>
      <c r="G376" s="239"/>
      <c r="H376" s="239"/>
      <c r="I376" s="235"/>
      <c r="J376" s="235"/>
      <c r="K376" s="235"/>
      <c r="L376" s="235"/>
      <c r="M376" s="235"/>
      <c r="N376" s="235"/>
      <c r="O376" s="235"/>
      <c r="P376" s="235"/>
      <c r="Q376" s="235"/>
      <c r="R376" s="235"/>
      <c r="S376" s="235"/>
      <c r="T376" s="235"/>
      <c r="U376" s="235"/>
      <c r="V376" s="235"/>
      <c r="W376" s="235"/>
      <c r="X376" s="235"/>
      <c r="Y376" s="235"/>
      <c r="Z376" s="235"/>
    </row>
    <row r="377">
      <c r="A377" s="236"/>
      <c r="B377" s="236"/>
      <c r="C377" s="237"/>
      <c r="D377" s="237"/>
      <c r="E377" s="238"/>
      <c r="F377" s="238"/>
      <c r="G377" s="239"/>
      <c r="H377" s="239"/>
      <c r="I377" s="235"/>
      <c r="J377" s="235"/>
      <c r="K377" s="235"/>
      <c r="L377" s="235"/>
      <c r="M377" s="235"/>
      <c r="N377" s="235"/>
      <c r="O377" s="235"/>
      <c r="P377" s="235"/>
      <c r="Q377" s="235"/>
      <c r="R377" s="235"/>
      <c r="S377" s="235"/>
      <c r="T377" s="235"/>
      <c r="U377" s="235"/>
      <c r="V377" s="235"/>
      <c r="W377" s="235"/>
      <c r="X377" s="235"/>
      <c r="Y377" s="235"/>
      <c r="Z377" s="235"/>
    </row>
    <row r="378">
      <c r="A378" s="236"/>
      <c r="B378" s="236"/>
      <c r="C378" s="237"/>
      <c r="D378" s="237"/>
      <c r="E378" s="238"/>
      <c r="F378" s="238"/>
      <c r="G378" s="239"/>
      <c r="H378" s="239"/>
      <c r="I378" s="235"/>
      <c r="J378" s="235"/>
      <c r="K378" s="235"/>
      <c r="L378" s="235"/>
      <c r="M378" s="235"/>
      <c r="N378" s="235"/>
      <c r="O378" s="235"/>
      <c r="P378" s="235"/>
      <c r="Q378" s="235"/>
      <c r="R378" s="235"/>
      <c r="S378" s="235"/>
      <c r="T378" s="235"/>
      <c r="U378" s="235"/>
      <c r="V378" s="235"/>
      <c r="W378" s="235"/>
      <c r="X378" s="235"/>
      <c r="Y378" s="235"/>
      <c r="Z378" s="235"/>
    </row>
    <row r="379">
      <c r="A379" s="236"/>
      <c r="B379" s="236"/>
      <c r="C379" s="237"/>
      <c r="D379" s="237"/>
      <c r="E379" s="238"/>
      <c r="F379" s="238"/>
      <c r="G379" s="239"/>
      <c r="H379" s="239"/>
      <c r="I379" s="235"/>
      <c r="J379" s="235"/>
      <c r="K379" s="235"/>
      <c r="L379" s="235"/>
      <c r="M379" s="235"/>
      <c r="N379" s="235"/>
      <c r="O379" s="235"/>
      <c r="P379" s="235"/>
      <c r="Q379" s="235"/>
      <c r="R379" s="235"/>
      <c r="S379" s="235"/>
      <c r="T379" s="235"/>
      <c r="U379" s="235"/>
      <c r="V379" s="235"/>
      <c r="W379" s="235"/>
      <c r="X379" s="235"/>
      <c r="Y379" s="235"/>
      <c r="Z379" s="235"/>
    </row>
    <row r="380">
      <c r="A380" s="236"/>
      <c r="B380" s="236"/>
      <c r="C380" s="237"/>
      <c r="D380" s="237"/>
      <c r="E380" s="238"/>
      <c r="F380" s="238"/>
      <c r="G380" s="239"/>
      <c r="H380" s="239"/>
      <c r="I380" s="235"/>
      <c r="J380" s="235"/>
      <c r="K380" s="235"/>
      <c r="L380" s="235"/>
      <c r="M380" s="235"/>
      <c r="N380" s="235"/>
      <c r="O380" s="235"/>
      <c r="P380" s="235"/>
      <c r="Q380" s="235"/>
      <c r="R380" s="235"/>
      <c r="S380" s="235"/>
      <c r="T380" s="235"/>
      <c r="U380" s="235"/>
      <c r="V380" s="235"/>
      <c r="W380" s="235"/>
      <c r="X380" s="235"/>
      <c r="Y380" s="235"/>
      <c r="Z380" s="235"/>
    </row>
    <row r="381">
      <c r="A381" s="236"/>
      <c r="B381" s="236"/>
      <c r="C381" s="237"/>
      <c r="D381" s="237"/>
      <c r="E381" s="238"/>
      <c r="F381" s="238"/>
      <c r="G381" s="239"/>
      <c r="H381" s="239"/>
      <c r="I381" s="235"/>
      <c r="J381" s="235"/>
      <c r="K381" s="235"/>
      <c r="L381" s="235"/>
      <c r="M381" s="235"/>
      <c r="N381" s="235"/>
      <c r="O381" s="235"/>
      <c r="P381" s="235"/>
      <c r="Q381" s="235"/>
      <c r="R381" s="235"/>
      <c r="S381" s="235"/>
      <c r="T381" s="235"/>
      <c r="U381" s="235"/>
      <c r="V381" s="235"/>
      <c r="W381" s="235"/>
      <c r="X381" s="235"/>
      <c r="Y381" s="235"/>
      <c r="Z381" s="235"/>
    </row>
    <row r="382">
      <c r="A382" s="236"/>
      <c r="B382" s="236"/>
      <c r="C382" s="237"/>
      <c r="D382" s="237"/>
      <c r="E382" s="238"/>
      <c r="F382" s="238"/>
      <c r="G382" s="239"/>
      <c r="H382" s="239"/>
      <c r="I382" s="235"/>
      <c r="J382" s="235"/>
      <c r="K382" s="235"/>
      <c r="L382" s="235"/>
      <c r="M382" s="235"/>
      <c r="N382" s="235"/>
      <c r="O382" s="235"/>
      <c r="P382" s="235"/>
      <c r="Q382" s="235"/>
      <c r="R382" s="235"/>
      <c r="S382" s="235"/>
      <c r="T382" s="235"/>
      <c r="U382" s="235"/>
      <c r="V382" s="235"/>
      <c r="W382" s="235"/>
      <c r="X382" s="235"/>
      <c r="Y382" s="235"/>
      <c r="Z382" s="235"/>
    </row>
    <row r="383">
      <c r="A383" s="236"/>
      <c r="B383" s="236"/>
      <c r="C383" s="237"/>
      <c r="D383" s="237"/>
      <c r="E383" s="238"/>
      <c r="F383" s="238"/>
      <c r="G383" s="239"/>
      <c r="H383" s="239"/>
      <c r="I383" s="235"/>
      <c r="J383" s="235"/>
      <c r="K383" s="235"/>
      <c r="L383" s="235"/>
      <c r="M383" s="235"/>
      <c r="N383" s="235"/>
      <c r="O383" s="235"/>
      <c r="P383" s="235"/>
      <c r="Q383" s="235"/>
      <c r="R383" s="235"/>
      <c r="S383" s="235"/>
      <c r="T383" s="235"/>
      <c r="U383" s="235"/>
      <c r="V383" s="235"/>
      <c r="W383" s="235"/>
      <c r="X383" s="235"/>
      <c r="Y383" s="235"/>
      <c r="Z383" s="235"/>
    </row>
    <row r="384">
      <c r="A384" s="236"/>
      <c r="B384" s="236"/>
      <c r="C384" s="237"/>
      <c r="D384" s="237"/>
      <c r="E384" s="238"/>
      <c r="F384" s="238"/>
      <c r="G384" s="239"/>
      <c r="H384" s="239"/>
      <c r="I384" s="235"/>
      <c r="J384" s="235"/>
      <c r="K384" s="235"/>
      <c r="L384" s="235"/>
      <c r="M384" s="235"/>
      <c r="N384" s="235"/>
      <c r="O384" s="235"/>
      <c r="P384" s="235"/>
      <c r="Q384" s="235"/>
      <c r="R384" s="235"/>
      <c r="S384" s="235"/>
      <c r="T384" s="235"/>
      <c r="U384" s="235"/>
      <c r="V384" s="235"/>
      <c r="W384" s="235"/>
      <c r="X384" s="235"/>
      <c r="Y384" s="235"/>
      <c r="Z384" s="235"/>
    </row>
    <row r="385">
      <c r="A385" s="236"/>
      <c r="B385" s="236"/>
      <c r="C385" s="237"/>
      <c r="D385" s="237"/>
      <c r="E385" s="238"/>
      <c r="F385" s="238"/>
      <c r="G385" s="239"/>
      <c r="H385" s="239"/>
      <c r="I385" s="235"/>
      <c r="J385" s="235"/>
      <c r="K385" s="235"/>
      <c r="L385" s="235"/>
      <c r="M385" s="235"/>
      <c r="N385" s="235"/>
      <c r="O385" s="235"/>
      <c r="P385" s="235"/>
      <c r="Q385" s="235"/>
      <c r="R385" s="235"/>
      <c r="S385" s="235"/>
      <c r="T385" s="235"/>
      <c r="U385" s="235"/>
      <c r="V385" s="235"/>
      <c r="W385" s="235"/>
      <c r="X385" s="235"/>
      <c r="Y385" s="235"/>
      <c r="Z385" s="235"/>
    </row>
    <row r="386">
      <c r="A386" s="236"/>
      <c r="B386" s="236"/>
      <c r="C386" s="237"/>
      <c r="D386" s="237"/>
      <c r="E386" s="238"/>
      <c r="F386" s="238"/>
      <c r="G386" s="239"/>
      <c r="H386" s="239"/>
      <c r="I386" s="235"/>
      <c r="J386" s="235"/>
      <c r="K386" s="235"/>
      <c r="L386" s="235"/>
      <c r="M386" s="235"/>
      <c r="N386" s="235"/>
      <c r="O386" s="235"/>
      <c r="P386" s="235"/>
      <c r="Q386" s="235"/>
      <c r="R386" s="235"/>
      <c r="S386" s="235"/>
      <c r="T386" s="235"/>
      <c r="U386" s="235"/>
      <c r="V386" s="235"/>
      <c r="W386" s="235"/>
      <c r="X386" s="235"/>
      <c r="Y386" s="235"/>
      <c r="Z386" s="235"/>
    </row>
    <row r="387">
      <c r="A387" s="236"/>
      <c r="B387" s="236"/>
      <c r="C387" s="237"/>
      <c r="D387" s="237"/>
      <c r="E387" s="238"/>
      <c r="F387" s="238"/>
      <c r="G387" s="239"/>
      <c r="H387" s="239"/>
      <c r="I387" s="235"/>
      <c r="J387" s="235"/>
      <c r="K387" s="235"/>
      <c r="L387" s="235"/>
      <c r="M387" s="235"/>
      <c r="N387" s="235"/>
      <c r="O387" s="235"/>
      <c r="P387" s="235"/>
      <c r="Q387" s="235"/>
      <c r="R387" s="235"/>
      <c r="S387" s="235"/>
      <c r="T387" s="235"/>
      <c r="U387" s="235"/>
      <c r="V387" s="235"/>
      <c r="W387" s="235"/>
      <c r="X387" s="235"/>
      <c r="Y387" s="235"/>
      <c r="Z387" s="235"/>
    </row>
    <row r="388">
      <c r="A388" s="236"/>
      <c r="B388" s="236"/>
      <c r="C388" s="237"/>
      <c r="D388" s="237"/>
      <c r="E388" s="238"/>
      <c r="F388" s="238"/>
      <c r="G388" s="239"/>
      <c r="H388" s="239"/>
      <c r="I388" s="235"/>
      <c r="J388" s="235"/>
      <c r="K388" s="235"/>
      <c r="L388" s="235"/>
      <c r="M388" s="235"/>
      <c r="N388" s="235"/>
      <c r="O388" s="235"/>
      <c r="P388" s="235"/>
      <c r="Q388" s="235"/>
      <c r="R388" s="235"/>
      <c r="S388" s="235"/>
      <c r="T388" s="235"/>
      <c r="U388" s="235"/>
      <c r="V388" s="235"/>
      <c r="W388" s="235"/>
      <c r="X388" s="235"/>
      <c r="Y388" s="235"/>
      <c r="Z388" s="235"/>
    </row>
    <row r="389">
      <c r="A389" s="236"/>
      <c r="B389" s="236"/>
      <c r="C389" s="237"/>
      <c r="D389" s="237"/>
      <c r="E389" s="238"/>
      <c r="F389" s="238"/>
      <c r="G389" s="239"/>
      <c r="H389" s="239"/>
      <c r="I389" s="235"/>
      <c r="J389" s="235"/>
      <c r="K389" s="235"/>
      <c r="L389" s="235"/>
      <c r="M389" s="235"/>
      <c r="N389" s="235"/>
      <c r="O389" s="235"/>
      <c r="P389" s="235"/>
      <c r="Q389" s="235"/>
      <c r="R389" s="235"/>
      <c r="S389" s="235"/>
      <c r="T389" s="235"/>
      <c r="U389" s="235"/>
      <c r="V389" s="235"/>
      <c r="W389" s="235"/>
      <c r="X389" s="235"/>
      <c r="Y389" s="235"/>
      <c r="Z389" s="235"/>
    </row>
    <row r="390">
      <c r="A390" s="236"/>
      <c r="B390" s="236"/>
      <c r="C390" s="237"/>
      <c r="D390" s="237"/>
      <c r="E390" s="238"/>
      <c r="F390" s="238"/>
      <c r="G390" s="239"/>
      <c r="H390" s="239"/>
      <c r="I390" s="235"/>
      <c r="J390" s="235"/>
      <c r="K390" s="235"/>
      <c r="L390" s="235"/>
      <c r="M390" s="235"/>
      <c r="N390" s="235"/>
      <c r="O390" s="235"/>
      <c r="P390" s="235"/>
      <c r="Q390" s="235"/>
      <c r="R390" s="235"/>
      <c r="S390" s="235"/>
      <c r="T390" s="235"/>
      <c r="U390" s="235"/>
      <c r="V390" s="235"/>
      <c r="W390" s="235"/>
      <c r="X390" s="235"/>
      <c r="Y390" s="235"/>
      <c r="Z390" s="235"/>
    </row>
    <row r="391">
      <c r="A391" s="236"/>
      <c r="B391" s="236"/>
      <c r="C391" s="237"/>
      <c r="D391" s="237"/>
      <c r="E391" s="238"/>
      <c r="F391" s="238"/>
      <c r="G391" s="239"/>
      <c r="H391" s="239"/>
      <c r="I391" s="235"/>
      <c r="J391" s="235"/>
      <c r="K391" s="235"/>
      <c r="L391" s="235"/>
      <c r="M391" s="235"/>
      <c r="N391" s="235"/>
      <c r="O391" s="235"/>
      <c r="P391" s="235"/>
      <c r="Q391" s="235"/>
      <c r="R391" s="235"/>
      <c r="S391" s="235"/>
      <c r="T391" s="235"/>
      <c r="U391" s="235"/>
      <c r="V391" s="235"/>
      <c r="W391" s="235"/>
      <c r="X391" s="235"/>
      <c r="Y391" s="235"/>
      <c r="Z391" s="235"/>
    </row>
    <row r="392">
      <c r="A392" s="236"/>
      <c r="B392" s="236"/>
      <c r="C392" s="237"/>
      <c r="D392" s="237"/>
      <c r="E392" s="238"/>
      <c r="F392" s="238"/>
      <c r="G392" s="239"/>
      <c r="H392" s="239"/>
      <c r="I392" s="235"/>
      <c r="J392" s="235"/>
      <c r="K392" s="235"/>
      <c r="L392" s="235"/>
      <c r="M392" s="235"/>
      <c r="N392" s="235"/>
      <c r="O392" s="235"/>
      <c r="P392" s="235"/>
      <c r="Q392" s="235"/>
      <c r="R392" s="235"/>
      <c r="S392" s="235"/>
      <c r="T392" s="235"/>
      <c r="U392" s="235"/>
      <c r="V392" s="235"/>
      <c r="W392" s="235"/>
      <c r="X392" s="235"/>
      <c r="Y392" s="235"/>
      <c r="Z392" s="235"/>
    </row>
    <row r="393">
      <c r="A393" s="236"/>
      <c r="B393" s="236"/>
      <c r="C393" s="237"/>
      <c r="D393" s="237"/>
      <c r="E393" s="238"/>
      <c r="F393" s="238"/>
      <c r="G393" s="239"/>
      <c r="H393" s="239"/>
      <c r="I393" s="235"/>
      <c r="J393" s="235"/>
      <c r="K393" s="235"/>
      <c r="L393" s="235"/>
      <c r="M393" s="235"/>
      <c r="N393" s="235"/>
      <c r="O393" s="235"/>
      <c r="P393" s="235"/>
      <c r="Q393" s="235"/>
      <c r="R393" s="235"/>
      <c r="S393" s="235"/>
      <c r="T393" s="235"/>
      <c r="U393" s="235"/>
      <c r="V393" s="235"/>
      <c r="W393" s="235"/>
      <c r="X393" s="235"/>
      <c r="Y393" s="235"/>
      <c r="Z393" s="235"/>
    </row>
    <row r="394">
      <c r="A394" s="236"/>
      <c r="B394" s="236"/>
      <c r="C394" s="237"/>
      <c r="D394" s="237"/>
      <c r="E394" s="238"/>
      <c r="F394" s="238"/>
      <c r="G394" s="239"/>
      <c r="H394" s="239"/>
      <c r="I394" s="235"/>
      <c r="J394" s="235"/>
      <c r="K394" s="235"/>
      <c r="L394" s="235"/>
      <c r="M394" s="235"/>
      <c r="N394" s="235"/>
      <c r="O394" s="235"/>
      <c r="P394" s="235"/>
      <c r="Q394" s="235"/>
      <c r="R394" s="235"/>
      <c r="S394" s="235"/>
      <c r="T394" s="235"/>
      <c r="U394" s="235"/>
      <c r="V394" s="235"/>
      <c r="W394" s="235"/>
      <c r="X394" s="235"/>
      <c r="Y394" s="235"/>
      <c r="Z394" s="235"/>
    </row>
    <row r="395">
      <c r="A395" s="236"/>
      <c r="B395" s="236"/>
      <c r="C395" s="237"/>
      <c r="D395" s="237"/>
      <c r="E395" s="238"/>
      <c r="F395" s="238"/>
      <c r="G395" s="239"/>
      <c r="H395" s="239"/>
      <c r="I395" s="235"/>
      <c r="J395" s="235"/>
      <c r="K395" s="235"/>
      <c r="L395" s="235"/>
      <c r="M395" s="235"/>
      <c r="N395" s="235"/>
      <c r="O395" s="235"/>
      <c r="P395" s="235"/>
      <c r="Q395" s="235"/>
      <c r="R395" s="235"/>
      <c r="S395" s="235"/>
      <c r="T395" s="235"/>
      <c r="U395" s="235"/>
      <c r="V395" s="235"/>
      <c r="W395" s="235"/>
      <c r="X395" s="235"/>
      <c r="Y395" s="235"/>
      <c r="Z395" s="235"/>
    </row>
    <row r="396">
      <c r="A396" s="236"/>
      <c r="B396" s="236"/>
      <c r="C396" s="237"/>
      <c r="D396" s="237"/>
      <c r="E396" s="238"/>
      <c r="F396" s="238"/>
      <c r="G396" s="239"/>
      <c r="H396" s="239"/>
      <c r="I396" s="235"/>
      <c r="J396" s="235"/>
      <c r="K396" s="235"/>
      <c r="L396" s="235"/>
      <c r="M396" s="235"/>
      <c r="N396" s="235"/>
      <c r="O396" s="235"/>
      <c r="P396" s="235"/>
      <c r="Q396" s="235"/>
      <c r="R396" s="235"/>
      <c r="S396" s="235"/>
      <c r="T396" s="235"/>
      <c r="U396" s="235"/>
      <c r="V396" s="235"/>
      <c r="W396" s="235"/>
      <c r="X396" s="235"/>
      <c r="Y396" s="235"/>
      <c r="Z396" s="235"/>
    </row>
    <row r="397">
      <c r="A397" s="236"/>
      <c r="B397" s="236"/>
      <c r="C397" s="237"/>
      <c r="D397" s="237"/>
      <c r="E397" s="238"/>
      <c r="F397" s="238"/>
      <c r="G397" s="239"/>
      <c r="H397" s="239"/>
      <c r="I397" s="235"/>
      <c r="J397" s="235"/>
      <c r="K397" s="235"/>
      <c r="L397" s="235"/>
      <c r="M397" s="235"/>
      <c r="N397" s="235"/>
      <c r="O397" s="235"/>
      <c r="P397" s="235"/>
      <c r="Q397" s="235"/>
      <c r="R397" s="235"/>
      <c r="S397" s="235"/>
      <c r="T397" s="235"/>
      <c r="U397" s="235"/>
      <c r="V397" s="235"/>
      <c r="W397" s="235"/>
      <c r="X397" s="235"/>
      <c r="Y397" s="235"/>
      <c r="Z397" s="235"/>
    </row>
    <row r="398">
      <c r="A398" s="236"/>
      <c r="B398" s="236"/>
      <c r="C398" s="237"/>
      <c r="D398" s="237"/>
      <c r="E398" s="238"/>
      <c r="F398" s="238"/>
      <c r="G398" s="239"/>
      <c r="H398" s="239"/>
      <c r="I398" s="235"/>
      <c r="J398" s="235"/>
      <c r="K398" s="235"/>
      <c r="L398" s="235"/>
      <c r="M398" s="235"/>
      <c r="N398" s="235"/>
      <c r="O398" s="235"/>
      <c r="P398" s="235"/>
      <c r="Q398" s="235"/>
      <c r="R398" s="235"/>
      <c r="S398" s="235"/>
      <c r="T398" s="235"/>
      <c r="U398" s="235"/>
      <c r="V398" s="235"/>
      <c r="W398" s="235"/>
      <c r="X398" s="235"/>
      <c r="Y398" s="235"/>
      <c r="Z398" s="235"/>
    </row>
    <row r="399">
      <c r="A399" s="236"/>
      <c r="B399" s="236"/>
      <c r="C399" s="237"/>
      <c r="D399" s="237"/>
      <c r="E399" s="238"/>
      <c r="F399" s="238"/>
      <c r="G399" s="239"/>
      <c r="H399" s="239"/>
      <c r="I399" s="235"/>
      <c r="J399" s="235"/>
      <c r="K399" s="235"/>
      <c r="L399" s="235"/>
      <c r="M399" s="235"/>
      <c r="N399" s="235"/>
      <c r="O399" s="235"/>
      <c r="P399" s="235"/>
      <c r="Q399" s="235"/>
      <c r="R399" s="235"/>
      <c r="S399" s="235"/>
      <c r="T399" s="235"/>
      <c r="U399" s="235"/>
      <c r="V399" s="235"/>
      <c r="W399" s="235"/>
      <c r="X399" s="235"/>
      <c r="Y399" s="235"/>
      <c r="Z399" s="235"/>
    </row>
    <row r="400">
      <c r="A400" s="236"/>
      <c r="B400" s="236"/>
      <c r="C400" s="237"/>
      <c r="D400" s="237"/>
      <c r="E400" s="238"/>
      <c r="F400" s="238"/>
      <c r="G400" s="239"/>
      <c r="H400" s="239"/>
      <c r="I400" s="235"/>
      <c r="J400" s="235"/>
      <c r="K400" s="235"/>
      <c r="L400" s="235"/>
      <c r="M400" s="235"/>
      <c r="N400" s="235"/>
      <c r="O400" s="235"/>
      <c r="P400" s="235"/>
      <c r="Q400" s="235"/>
      <c r="R400" s="235"/>
      <c r="S400" s="235"/>
      <c r="T400" s="235"/>
      <c r="U400" s="235"/>
      <c r="V400" s="235"/>
      <c r="W400" s="235"/>
      <c r="X400" s="235"/>
      <c r="Y400" s="235"/>
      <c r="Z400" s="235"/>
    </row>
    <row r="401">
      <c r="A401" s="236"/>
      <c r="B401" s="236"/>
      <c r="C401" s="237"/>
      <c r="D401" s="237"/>
      <c r="E401" s="238"/>
      <c r="F401" s="238"/>
      <c r="G401" s="239"/>
      <c r="H401" s="239"/>
      <c r="I401" s="235"/>
      <c r="J401" s="235"/>
      <c r="K401" s="235"/>
      <c r="L401" s="235"/>
      <c r="M401" s="235"/>
      <c r="N401" s="235"/>
      <c r="O401" s="235"/>
      <c r="P401" s="235"/>
      <c r="Q401" s="235"/>
      <c r="R401" s="235"/>
      <c r="S401" s="235"/>
      <c r="T401" s="235"/>
      <c r="U401" s="235"/>
      <c r="V401" s="235"/>
      <c r="W401" s="235"/>
      <c r="X401" s="235"/>
      <c r="Y401" s="235"/>
      <c r="Z401" s="235"/>
    </row>
    <row r="402">
      <c r="A402" s="236"/>
      <c r="B402" s="236"/>
      <c r="C402" s="237"/>
      <c r="D402" s="237"/>
      <c r="E402" s="238"/>
      <c r="F402" s="238"/>
      <c r="G402" s="239"/>
      <c r="H402" s="239"/>
      <c r="I402" s="235"/>
      <c r="J402" s="235"/>
      <c r="K402" s="235"/>
      <c r="L402" s="235"/>
      <c r="M402" s="235"/>
      <c r="N402" s="235"/>
      <c r="O402" s="235"/>
      <c r="P402" s="235"/>
      <c r="Q402" s="235"/>
      <c r="R402" s="235"/>
      <c r="S402" s="235"/>
      <c r="T402" s="235"/>
      <c r="U402" s="235"/>
      <c r="V402" s="235"/>
      <c r="W402" s="235"/>
      <c r="X402" s="235"/>
      <c r="Y402" s="235"/>
      <c r="Z402" s="235"/>
    </row>
    <row r="403">
      <c r="A403" s="236"/>
      <c r="B403" s="236"/>
      <c r="C403" s="237"/>
      <c r="D403" s="237"/>
      <c r="E403" s="238"/>
      <c r="F403" s="238"/>
      <c r="G403" s="239"/>
      <c r="H403" s="239"/>
      <c r="I403" s="235"/>
      <c r="J403" s="235"/>
      <c r="K403" s="235"/>
      <c r="L403" s="235"/>
      <c r="M403" s="235"/>
      <c r="N403" s="235"/>
      <c r="O403" s="235"/>
      <c r="P403" s="235"/>
      <c r="Q403" s="235"/>
      <c r="R403" s="235"/>
      <c r="S403" s="235"/>
      <c r="T403" s="235"/>
      <c r="U403" s="235"/>
      <c r="V403" s="235"/>
      <c r="W403" s="235"/>
      <c r="X403" s="235"/>
      <c r="Y403" s="235"/>
      <c r="Z403" s="235"/>
    </row>
    <row r="404">
      <c r="A404" s="236"/>
      <c r="B404" s="236"/>
      <c r="C404" s="237"/>
      <c r="D404" s="237"/>
      <c r="E404" s="238"/>
      <c r="F404" s="238"/>
      <c r="G404" s="239"/>
      <c r="H404" s="239"/>
      <c r="I404" s="235"/>
      <c r="J404" s="235"/>
      <c r="K404" s="235"/>
      <c r="L404" s="235"/>
      <c r="M404" s="235"/>
      <c r="N404" s="235"/>
      <c r="O404" s="235"/>
      <c r="P404" s="235"/>
      <c r="Q404" s="235"/>
      <c r="R404" s="235"/>
      <c r="S404" s="235"/>
      <c r="T404" s="235"/>
      <c r="U404" s="235"/>
      <c r="V404" s="235"/>
      <c r="W404" s="235"/>
      <c r="X404" s="235"/>
      <c r="Y404" s="235"/>
      <c r="Z404" s="235"/>
    </row>
    <row r="405">
      <c r="A405" s="236"/>
      <c r="B405" s="236"/>
      <c r="C405" s="237"/>
      <c r="D405" s="237"/>
      <c r="E405" s="238"/>
      <c r="F405" s="238"/>
      <c r="G405" s="239"/>
      <c r="H405" s="239"/>
      <c r="I405" s="235"/>
      <c r="J405" s="235"/>
      <c r="K405" s="235"/>
      <c r="L405" s="235"/>
      <c r="M405" s="235"/>
      <c r="N405" s="235"/>
      <c r="O405" s="235"/>
      <c r="P405" s="235"/>
      <c r="Q405" s="235"/>
      <c r="R405" s="235"/>
      <c r="S405" s="235"/>
      <c r="T405" s="235"/>
      <c r="U405" s="235"/>
      <c r="V405" s="235"/>
      <c r="W405" s="235"/>
      <c r="X405" s="235"/>
      <c r="Y405" s="235"/>
      <c r="Z405" s="235"/>
    </row>
    <row r="406">
      <c r="A406" s="236"/>
      <c r="B406" s="236"/>
      <c r="C406" s="237"/>
      <c r="D406" s="237"/>
      <c r="E406" s="238"/>
      <c r="F406" s="238"/>
      <c r="G406" s="239"/>
      <c r="H406" s="239"/>
      <c r="I406" s="235"/>
      <c r="J406" s="235"/>
      <c r="K406" s="235"/>
      <c r="L406" s="235"/>
      <c r="M406" s="235"/>
      <c r="N406" s="235"/>
      <c r="O406" s="235"/>
      <c r="P406" s="235"/>
      <c r="Q406" s="235"/>
      <c r="R406" s="235"/>
      <c r="S406" s="235"/>
      <c r="T406" s="235"/>
      <c r="U406" s="235"/>
      <c r="V406" s="235"/>
      <c r="W406" s="235"/>
      <c r="X406" s="235"/>
      <c r="Y406" s="235"/>
      <c r="Z406" s="235"/>
    </row>
    <row r="407">
      <c r="A407" s="236"/>
      <c r="B407" s="236"/>
      <c r="C407" s="237"/>
      <c r="D407" s="237"/>
      <c r="E407" s="238"/>
      <c r="F407" s="238"/>
      <c r="G407" s="239"/>
      <c r="H407" s="239"/>
      <c r="I407" s="235"/>
      <c r="J407" s="235"/>
      <c r="K407" s="235"/>
      <c r="L407" s="235"/>
      <c r="M407" s="235"/>
      <c r="N407" s="235"/>
      <c r="O407" s="235"/>
      <c r="P407" s="235"/>
      <c r="Q407" s="235"/>
      <c r="R407" s="235"/>
      <c r="S407" s="235"/>
      <c r="T407" s="235"/>
      <c r="U407" s="235"/>
      <c r="V407" s="235"/>
      <c r="W407" s="235"/>
      <c r="X407" s="235"/>
      <c r="Y407" s="235"/>
      <c r="Z407" s="235"/>
    </row>
    <row r="408">
      <c r="A408" s="236"/>
      <c r="B408" s="236"/>
      <c r="C408" s="237"/>
      <c r="D408" s="237"/>
      <c r="E408" s="238"/>
      <c r="F408" s="238"/>
      <c r="G408" s="239"/>
      <c r="H408" s="239"/>
      <c r="I408" s="235"/>
      <c r="J408" s="235"/>
      <c r="K408" s="235"/>
      <c r="L408" s="235"/>
      <c r="M408" s="235"/>
      <c r="N408" s="235"/>
      <c r="O408" s="235"/>
      <c r="P408" s="235"/>
      <c r="Q408" s="235"/>
      <c r="R408" s="235"/>
      <c r="S408" s="235"/>
      <c r="T408" s="235"/>
      <c r="U408" s="235"/>
      <c r="V408" s="235"/>
      <c r="W408" s="235"/>
      <c r="X408" s="235"/>
      <c r="Y408" s="235"/>
      <c r="Z408" s="235"/>
    </row>
    <row r="409">
      <c r="A409" s="236"/>
      <c r="B409" s="236"/>
      <c r="C409" s="237"/>
      <c r="D409" s="237"/>
      <c r="E409" s="238"/>
      <c r="F409" s="238"/>
      <c r="G409" s="239"/>
      <c r="H409" s="239"/>
      <c r="I409" s="235"/>
      <c r="J409" s="235"/>
      <c r="K409" s="235"/>
      <c r="L409" s="235"/>
      <c r="M409" s="235"/>
      <c r="N409" s="235"/>
      <c r="O409" s="235"/>
      <c r="P409" s="235"/>
      <c r="Q409" s="235"/>
      <c r="R409" s="235"/>
      <c r="S409" s="235"/>
      <c r="T409" s="235"/>
      <c r="U409" s="235"/>
      <c r="V409" s="235"/>
      <c r="W409" s="235"/>
      <c r="X409" s="235"/>
      <c r="Y409" s="235"/>
      <c r="Z409" s="235"/>
    </row>
    <row r="410">
      <c r="A410" s="236"/>
      <c r="B410" s="236"/>
      <c r="C410" s="237"/>
      <c r="D410" s="237"/>
      <c r="E410" s="238"/>
      <c r="F410" s="238"/>
      <c r="G410" s="239"/>
      <c r="H410" s="239"/>
      <c r="I410" s="235"/>
      <c r="J410" s="235"/>
      <c r="K410" s="235"/>
      <c r="L410" s="235"/>
      <c r="M410" s="235"/>
      <c r="N410" s="235"/>
      <c r="O410" s="235"/>
      <c r="P410" s="235"/>
      <c r="Q410" s="235"/>
      <c r="R410" s="235"/>
      <c r="S410" s="235"/>
      <c r="T410" s="235"/>
      <c r="U410" s="235"/>
      <c r="V410" s="235"/>
      <c r="W410" s="235"/>
      <c r="X410" s="235"/>
      <c r="Y410" s="235"/>
      <c r="Z410" s="235"/>
    </row>
    <row r="411">
      <c r="A411" s="236"/>
      <c r="B411" s="236"/>
      <c r="C411" s="237"/>
      <c r="D411" s="237"/>
      <c r="E411" s="238"/>
      <c r="F411" s="238"/>
      <c r="G411" s="239"/>
      <c r="H411" s="239"/>
      <c r="I411" s="235"/>
      <c r="J411" s="235"/>
      <c r="K411" s="235"/>
      <c r="L411" s="235"/>
      <c r="M411" s="235"/>
      <c r="N411" s="235"/>
      <c r="O411" s="235"/>
      <c r="P411" s="235"/>
      <c r="Q411" s="235"/>
      <c r="R411" s="235"/>
      <c r="S411" s="235"/>
      <c r="T411" s="235"/>
      <c r="U411" s="235"/>
      <c r="V411" s="235"/>
      <c r="W411" s="235"/>
      <c r="X411" s="235"/>
      <c r="Y411" s="235"/>
      <c r="Z411" s="235"/>
    </row>
    <row r="412">
      <c r="A412" s="236"/>
      <c r="B412" s="236"/>
      <c r="C412" s="237"/>
      <c r="D412" s="237"/>
      <c r="E412" s="238"/>
      <c r="F412" s="238"/>
      <c r="G412" s="239"/>
      <c r="H412" s="239"/>
      <c r="I412" s="235"/>
      <c r="J412" s="235"/>
      <c r="K412" s="235"/>
      <c r="L412" s="235"/>
      <c r="M412" s="235"/>
      <c r="N412" s="235"/>
      <c r="O412" s="235"/>
      <c r="P412" s="235"/>
      <c r="Q412" s="235"/>
      <c r="R412" s="235"/>
      <c r="S412" s="235"/>
      <c r="T412" s="235"/>
      <c r="U412" s="235"/>
      <c r="V412" s="235"/>
      <c r="W412" s="235"/>
      <c r="X412" s="235"/>
      <c r="Y412" s="235"/>
      <c r="Z412" s="235"/>
    </row>
    <row r="413">
      <c r="A413" s="236"/>
      <c r="B413" s="236"/>
      <c r="C413" s="237"/>
      <c r="D413" s="237"/>
      <c r="E413" s="238"/>
      <c r="F413" s="238"/>
      <c r="G413" s="239"/>
      <c r="H413" s="239"/>
      <c r="I413" s="235"/>
      <c r="J413" s="235"/>
      <c r="K413" s="235"/>
      <c r="L413" s="235"/>
      <c r="M413" s="235"/>
      <c r="N413" s="235"/>
      <c r="O413" s="235"/>
      <c r="P413" s="235"/>
      <c r="Q413" s="235"/>
      <c r="R413" s="235"/>
      <c r="S413" s="235"/>
      <c r="T413" s="235"/>
      <c r="U413" s="235"/>
      <c r="V413" s="235"/>
      <c r="W413" s="235"/>
      <c r="X413" s="235"/>
      <c r="Y413" s="235"/>
      <c r="Z413" s="235"/>
    </row>
    <row r="414">
      <c r="A414" s="236"/>
      <c r="B414" s="236"/>
      <c r="C414" s="237"/>
      <c r="D414" s="237"/>
      <c r="E414" s="238"/>
      <c r="F414" s="238"/>
      <c r="G414" s="239"/>
      <c r="H414" s="239"/>
      <c r="I414" s="235"/>
      <c r="J414" s="235"/>
      <c r="K414" s="235"/>
      <c r="L414" s="235"/>
      <c r="M414" s="235"/>
      <c r="N414" s="235"/>
      <c r="O414" s="235"/>
      <c r="P414" s="235"/>
      <c r="Q414" s="235"/>
      <c r="R414" s="235"/>
      <c r="S414" s="235"/>
      <c r="T414" s="235"/>
      <c r="U414" s="235"/>
      <c r="V414" s="235"/>
      <c r="W414" s="235"/>
      <c r="X414" s="235"/>
      <c r="Y414" s="235"/>
      <c r="Z414" s="235"/>
    </row>
    <row r="415">
      <c r="A415" s="236"/>
      <c r="B415" s="236"/>
      <c r="C415" s="237"/>
      <c r="D415" s="237"/>
      <c r="E415" s="238"/>
      <c r="F415" s="238"/>
      <c r="G415" s="239"/>
      <c r="H415" s="239"/>
      <c r="I415" s="235"/>
      <c r="J415" s="235"/>
      <c r="K415" s="235"/>
      <c r="L415" s="235"/>
      <c r="M415" s="235"/>
      <c r="N415" s="235"/>
      <c r="O415" s="235"/>
      <c r="P415" s="235"/>
      <c r="Q415" s="235"/>
      <c r="R415" s="235"/>
      <c r="S415" s="235"/>
      <c r="T415" s="235"/>
      <c r="U415" s="235"/>
      <c r="V415" s="235"/>
      <c r="W415" s="235"/>
      <c r="X415" s="235"/>
      <c r="Y415" s="235"/>
      <c r="Z415" s="235"/>
    </row>
    <row r="416">
      <c r="A416" s="236"/>
      <c r="B416" s="236"/>
      <c r="C416" s="237"/>
      <c r="D416" s="237"/>
      <c r="E416" s="238"/>
      <c r="F416" s="238"/>
      <c r="G416" s="239"/>
      <c r="H416" s="239"/>
      <c r="I416" s="235"/>
      <c r="J416" s="235"/>
      <c r="K416" s="235"/>
      <c r="L416" s="235"/>
      <c r="M416" s="235"/>
      <c r="N416" s="235"/>
      <c r="O416" s="235"/>
      <c r="P416" s="235"/>
      <c r="Q416" s="235"/>
      <c r="R416" s="235"/>
      <c r="S416" s="235"/>
      <c r="T416" s="235"/>
      <c r="U416" s="235"/>
      <c r="V416" s="235"/>
      <c r="W416" s="235"/>
      <c r="X416" s="235"/>
      <c r="Y416" s="235"/>
      <c r="Z416" s="235"/>
    </row>
    <row r="417">
      <c r="A417" s="236"/>
      <c r="B417" s="236"/>
      <c r="C417" s="237"/>
      <c r="D417" s="237"/>
      <c r="E417" s="238"/>
      <c r="F417" s="238"/>
      <c r="G417" s="239"/>
      <c r="H417" s="239"/>
      <c r="I417" s="235"/>
      <c r="J417" s="235"/>
      <c r="K417" s="235"/>
      <c r="L417" s="235"/>
      <c r="M417" s="235"/>
      <c r="N417" s="235"/>
      <c r="O417" s="235"/>
      <c r="P417" s="235"/>
      <c r="Q417" s="235"/>
      <c r="R417" s="235"/>
      <c r="S417" s="235"/>
      <c r="T417" s="235"/>
      <c r="U417" s="235"/>
      <c r="V417" s="235"/>
      <c r="W417" s="235"/>
      <c r="X417" s="235"/>
      <c r="Y417" s="235"/>
      <c r="Z417" s="235"/>
    </row>
    <row r="418">
      <c r="A418" s="236"/>
      <c r="B418" s="236"/>
      <c r="C418" s="237"/>
      <c r="D418" s="237"/>
      <c r="E418" s="238"/>
      <c r="F418" s="238"/>
      <c r="G418" s="239"/>
      <c r="H418" s="239"/>
      <c r="I418" s="235"/>
      <c r="J418" s="235"/>
      <c r="K418" s="235"/>
      <c r="L418" s="235"/>
      <c r="M418" s="235"/>
      <c r="N418" s="235"/>
      <c r="O418" s="235"/>
      <c r="P418" s="235"/>
      <c r="Q418" s="235"/>
      <c r="R418" s="235"/>
      <c r="S418" s="235"/>
      <c r="T418" s="235"/>
      <c r="U418" s="235"/>
      <c r="V418" s="235"/>
      <c r="W418" s="235"/>
      <c r="X418" s="235"/>
      <c r="Y418" s="235"/>
      <c r="Z418" s="235"/>
    </row>
    <row r="419">
      <c r="A419" s="236"/>
      <c r="B419" s="236"/>
      <c r="C419" s="237"/>
      <c r="D419" s="237"/>
      <c r="E419" s="238"/>
      <c r="F419" s="238"/>
      <c r="G419" s="239"/>
      <c r="H419" s="239"/>
      <c r="I419" s="235"/>
      <c r="J419" s="235"/>
      <c r="K419" s="235"/>
      <c r="L419" s="235"/>
      <c r="M419" s="235"/>
      <c r="N419" s="235"/>
      <c r="O419" s="235"/>
      <c r="P419" s="235"/>
      <c r="Q419" s="235"/>
      <c r="R419" s="235"/>
      <c r="S419" s="235"/>
      <c r="T419" s="235"/>
      <c r="U419" s="235"/>
      <c r="V419" s="235"/>
      <c r="W419" s="235"/>
      <c r="X419" s="235"/>
      <c r="Y419" s="235"/>
      <c r="Z419" s="235"/>
    </row>
    <row r="420">
      <c r="A420" s="236"/>
      <c r="B420" s="236"/>
      <c r="C420" s="237"/>
      <c r="D420" s="237"/>
      <c r="E420" s="238"/>
      <c r="F420" s="238"/>
      <c r="G420" s="239"/>
      <c r="H420" s="239"/>
      <c r="I420" s="235"/>
      <c r="J420" s="235"/>
      <c r="K420" s="235"/>
      <c r="L420" s="235"/>
      <c r="M420" s="235"/>
      <c r="N420" s="235"/>
      <c r="O420" s="235"/>
      <c r="P420" s="235"/>
      <c r="Q420" s="235"/>
      <c r="R420" s="235"/>
      <c r="S420" s="235"/>
      <c r="T420" s="235"/>
      <c r="U420" s="235"/>
      <c r="V420" s="235"/>
      <c r="W420" s="235"/>
      <c r="X420" s="235"/>
      <c r="Y420" s="235"/>
      <c r="Z420" s="235"/>
    </row>
    <row r="421">
      <c r="A421" s="236"/>
      <c r="B421" s="236"/>
      <c r="C421" s="237"/>
      <c r="D421" s="237"/>
      <c r="E421" s="238"/>
      <c r="F421" s="238"/>
      <c r="G421" s="239"/>
      <c r="H421" s="239"/>
      <c r="I421" s="235"/>
      <c r="J421" s="235"/>
      <c r="K421" s="235"/>
      <c r="L421" s="235"/>
      <c r="M421" s="235"/>
      <c r="N421" s="235"/>
      <c r="O421" s="235"/>
      <c r="P421" s="235"/>
      <c r="Q421" s="235"/>
      <c r="R421" s="235"/>
      <c r="S421" s="235"/>
      <c r="T421" s="235"/>
      <c r="U421" s="235"/>
      <c r="V421" s="235"/>
      <c r="W421" s="235"/>
      <c r="X421" s="235"/>
      <c r="Y421" s="235"/>
      <c r="Z421" s="235"/>
    </row>
    <row r="422">
      <c r="A422" s="236"/>
      <c r="B422" s="236"/>
      <c r="C422" s="237"/>
      <c r="D422" s="237"/>
      <c r="E422" s="238"/>
      <c r="F422" s="238"/>
      <c r="G422" s="239"/>
      <c r="H422" s="239"/>
      <c r="I422" s="235"/>
      <c r="J422" s="235"/>
      <c r="K422" s="235"/>
      <c r="L422" s="235"/>
      <c r="M422" s="235"/>
      <c r="N422" s="235"/>
      <c r="O422" s="235"/>
      <c r="P422" s="235"/>
      <c r="Q422" s="235"/>
      <c r="R422" s="235"/>
      <c r="S422" s="235"/>
      <c r="T422" s="235"/>
      <c r="U422" s="235"/>
      <c r="V422" s="235"/>
      <c r="W422" s="235"/>
      <c r="X422" s="235"/>
      <c r="Y422" s="235"/>
      <c r="Z422" s="235"/>
    </row>
    <row r="423">
      <c r="A423" s="236"/>
      <c r="B423" s="236"/>
      <c r="C423" s="237"/>
      <c r="D423" s="237"/>
      <c r="E423" s="238"/>
      <c r="F423" s="238"/>
      <c r="G423" s="239"/>
      <c r="H423" s="239"/>
      <c r="I423" s="235"/>
      <c r="J423" s="235"/>
      <c r="K423" s="235"/>
      <c r="L423" s="235"/>
      <c r="M423" s="235"/>
      <c r="N423" s="235"/>
      <c r="O423" s="235"/>
      <c r="P423" s="235"/>
      <c r="Q423" s="235"/>
      <c r="R423" s="235"/>
      <c r="S423" s="235"/>
      <c r="T423" s="235"/>
      <c r="U423" s="235"/>
      <c r="V423" s="235"/>
      <c r="W423" s="235"/>
      <c r="X423" s="235"/>
      <c r="Y423" s="235"/>
      <c r="Z423" s="235"/>
    </row>
    <row r="424">
      <c r="A424" s="236"/>
      <c r="B424" s="236"/>
      <c r="C424" s="237"/>
      <c r="D424" s="237"/>
      <c r="E424" s="238"/>
      <c r="F424" s="238"/>
      <c r="G424" s="239"/>
      <c r="H424" s="239"/>
      <c r="I424" s="235"/>
      <c r="J424" s="235"/>
      <c r="K424" s="235"/>
      <c r="L424" s="235"/>
      <c r="M424" s="235"/>
      <c r="N424" s="235"/>
      <c r="O424" s="235"/>
      <c r="P424" s="235"/>
      <c r="Q424" s="235"/>
      <c r="R424" s="235"/>
      <c r="S424" s="235"/>
      <c r="T424" s="235"/>
      <c r="U424" s="235"/>
      <c r="V424" s="235"/>
      <c r="W424" s="235"/>
      <c r="X424" s="235"/>
      <c r="Y424" s="235"/>
      <c r="Z424" s="235"/>
    </row>
    <row r="425">
      <c r="A425" s="236"/>
      <c r="B425" s="236"/>
      <c r="C425" s="237"/>
      <c r="D425" s="237"/>
      <c r="E425" s="238"/>
      <c r="F425" s="238"/>
      <c r="G425" s="239"/>
      <c r="H425" s="239"/>
      <c r="I425" s="235"/>
      <c r="J425" s="235"/>
      <c r="K425" s="235"/>
      <c r="L425" s="235"/>
      <c r="M425" s="235"/>
      <c r="N425" s="235"/>
      <c r="O425" s="235"/>
      <c r="P425" s="235"/>
      <c r="Q425" s="235"/>
      <c r="R425" s="235"/>
      <c r="S425" s="235"/>
      <c r="T425" s="235"/>
      <c r="U425" s="235"/>
      <c r="V425" s="235"/>
      <c r="W425" s="235"/>
      <c r="X425" s="235"/>
      <c r="Y425" s="235"/>
      <c r="Z425" s="235"/>
    </row>
    <row r="426">
      <c r="A426" s="236"/>
      <c r="B426" s="236"/>
      <c r="C426" s="237"/>
      <c r="D426" s="237"/>
      <c r="E426" s="238"/>
      <c r="F426" s="238"/>
      <c r="G426" s="239"/>
      <c r="H426" s="239"/>
      <c r="I426" s="235"/>
      <c r="J426" s="235"/>
      <c r="K426" s="235"/>
      <c r="L426" s="235"/>
      <c r="M426" s="235"/>
      <c r="N426" s="235"/>
      <c r="O426" s="235"/>
      <c r="P426" s="235"/>
      <c r="Q426" s="235"/>
      <c r="R426" s="235"/>
      <c r="S426" s="235"/>
      <c r="T426" s="235"/>
      <c r="U426" s="235"/>
      <c r="V426" s="235"/>
      <c r="W426" s="235"/>
      <c r="X426" s="235"/>
      <c r="Y426" s="235"/>
      <c r="Z426" s="235"/>
    </row>
    <row r="427">
      <c r="A427" s="236"/>
      <c r="B427" s="236"/>
      <c r="C427" s="237"/>
      <c r="D427" s="237"/>
      <c r="E427" s="238"/>
      <c r="F427" s="238"/>
      <c r="G427" s="239"/>
      <c r="H427" s="239"/>
      <c r="I427" s="235"/>
      <c r="J427" s="235"/>
      <c r="K427" s="235"/>
      <c r="L427" s="235"/>
      <c r="M427" s="235"/>
      <c r="N427" s="235"/>
      <c r="O427" s="235"/>
      <c r="P427" s="235"/>
      <c r="Q427" s="235"/>
      <c r="R427" s="235"/>
      <c r="S427" s="235"/>
      <c r="T427" s="235"/>
      <c r="U427" s="235"/>
      <c r="V427" s="235"/>
      <c r="W427" s="235"/>
      <c r="X427" s="235"/>
      <c r="Y427" s="235"/>
      <c r="Z427" s="235"/>
    </row>
    <row r="428">
      <c r="A428" s="236"/>
      <c r="B428" s="236"/>
      <c r="C428" s="237"/>
      <c r="D428" s="237"/>
      <c r="E428" s="238"/>
      <c r="F428" s="238"/>
      <c r="G428" s="239"/>
      <c r="H428" s="239"/>
      <c r="I428" s="235"/>
      <c r="J428" s="235"/>
      <c r="K428" s="235"/>
      <c r="L428" s="235"/>
      <c r="M428" s="235"/>
      <c r="N428" s="235"/>
      <c r="O428" s="235"/>
      <c r="P428" s="235"/>
      <c r="Q428" s="235"/>
      <c r="R428" s="235"/>
      <c r="S428" s="235"/>
      <c r="T428" s="235"/>
      <c r="U428" s="235"/>
      <c r="V428" s="235"/>
      <c r="W428" s="235"/>
      <c r="X428" s="235"/>
      <c r="Y428" s="235"/>
      <c r="Z428" s="235"/>
    </row>
    <row r="429">
      <c r="A429" s="236"/>
      <c r="B429" s="236"/>
      <c r="C429" s="237"/>
      <c r="D429" s="237"/>
      <c r="E429" s="238"/>
      <c r="F429" s="238"/>
      <c r="G429" s="239"/>
      <c r="H429" s="239"/>
      <c r="I429" s="235"/>
      <c r="J429" s="235"/>
      <c r="K429" s="235"/>
      <c r="L429" s="235"/>
      <c r="M429" s="235"/>
      <c r="N429" s="235"/>
      <c r="O429" s="235"/>
      <c r="P429" s="235"/>
      <c r="Q429" s="235"/>
      <c r="R429" s="235"/>
      <c r="S429" s="235"/>
      <c r="T429" s="235"/>
      <c r="U429" s="235"/>
      <c r="V429" s="235"/>
      <c r="W429" s="235"/>
      <c r="X429" s="235"/>
      <c r="Y429" s="235"/>
      <c r="Z429" s="235"/>
    </row>
    <row r="430">
      <c r="A430" s="236"/>
      <c r="B430" s="236"/>
      <c r="C430" s="237"/>
      <c r="D430" s="237"/>
      <c r="E430" s="238"/>
      <c r="F430" s="238"/>
      <c r="G430" s="239"/>
      <c r="H430" s="239"/>
      <c r="I430" s="235"/>
      <c r="J430" s="235"/>
      <c r="K430" s="235"/>
      <c r="L430" s="235"/>
      <c r="M430" s="235"/>
      <c r="N430" s="235"/>
      <c r="O430" s="235"/>
      <c r="P430" s="235"/>
      <c r="Q430" s="235"/>
      <c r="R430" s="235"/>
      <c r="S430" s="235"/>
      <c r="T430" s="235"/>
      <c r="U430" s="235"/>
      <c r="V430" s="235"/>
      <c r="W430" s="235"/>
      <c r="X430" s="235"/>
      <c r="Y430" s="235"/>
      <c r="Z430" s="235"/>
    </row>
    <row r="431">
      <c r="A431" s="236"/>
      <c r="B431" s="236"/>
      <c r="C431" s="237"/>
      <c r="D431" s="237"/>
      <c r="E431" s="238"/>
      <c r="F431" s="238"/>
      <c r="G431" s="239"/>
      <c r="H431" s="239"/>
      <c r="I431" s="235"/>
      <c r="J431" s="235"/>
      <c r="K431" s="235"/>
      <c r="L431" s="235"/>
      <c r="M431" s="235"/>
      <c r="N431" s="235"/>
      <c r="O431" s="235"/>
      <c r="P431" s="235"/>
      <c r="Q431" s="235"/>
      <c r="R431" s="235"/>
      <c r="S431" s="235"/>
      <c r="T431" s="235"/>
      <c r="U431" s="235"/>
      <c r="V431" s="235"/>
      <c r="W431" s="235"/>
      <c r="X431" s="235"/>
      <c r="Y431" s="235"/>
      <c r="Z431" s="235"/>
    </row>
    <row r="432">
      <c r="A432" s="236"/>
      <c r="B432" s="236"/>
      <c r="C432" s="237"/>
      <c r="D432" s="237"/>
      <c r="E432" s="238"/>
      <c r="F432" s="238"/>
      <c r="G432" s="239"/>
      <c r="H432" s="239"/>
      <c r="I432" s="235"/>
      <c r="J432" s="235"/>
      <c r="K432" s="235"/>
      <c r="L432" s="235"/>
      <c r="M432" s="235"/>
      <c r="N432" s="235"/>
      <c r="O432" s="235"/>
      <c r="P432" s="235"/>
      <c r="Q432" s="235"/>
      <c r="R432" s="235"/>
      <c r="S432" s="235"/>
      <c r="T432" s="235"/>
      <c r="U432" s="235"/>
      <c r="V432" s="235"/>
      <c r="W432" s="235"/>
      <c r="X432" s="235"/>
      <c r="Y432" s="235"/>
      <c r="Z432" s="235"/>
    </row>
    <row r="433">
      <c r="A433" s="236"/>
      <c r="B433" s="236"/>
      <c r="C433" s="237"/>
      <c r="D433" s="237"/>
      <c r="E433" s="238"/>
      <c r="F433" s="238"/>
      <c r="G433" s="239"/>
      <c r="H433" s="239"/>
      <c r="I433" s="235"/>
      <c r="J433" s="235"/>
      <c r="K433" s="235"/>
      <c r="L433" s="235"/>
      <c r="M433" s="235"/>
      <c r="N433" s="235"/>
      <c r="O433" s="235"/>
      <c r="P433" s="235"/>
      <c r="Q433" s="235"/>
      <c r="R433" s="235"/>
      <c r="S433" s="235"/>
      <c r="T433" s="235"/>
      <c r="U433" s="235"/>
      <c r="V433" s="235"/>
      <c r="W433" s="235"/>
      <c r="X433" s="235"/>
      <c r="Y433" s="235"/>
      <c r="Z433" s="235"/>
    </row>
    <row r="434">
      <c r="A434" s="236"/>
      <c r="B434" s="236"/>
      <c r="C434" s="237"/>
      <c r="D434" s="237"/>
      <c r="E434" s="238"/>
      <c r="F434" s="238"/>
      <c r="G434" s="239"/>
      <c r="H434" s="239"/>
      <c r="I434" s="235"/>
      <c r="J434" s="235"/>
      <c r="K434" s="235"/>
      <c r="L434" s="235"/>
      <c r="M434" s="235"/>
      <c r="N434" s="235"/>
      <c r="O434" s="235"/>
      <c r="P434" s="235"/>
      <c r="Q434" s="235"/>
      <c r="R434" s="235"/>
      <c r="S434" s="235"/>
      <c r="T434" s="235"/>
      <c r="U434" s="235"/>
      <c r="V434" s="235"/>
      <c r="W434" s="235"/>
      <c r="X434" s="235"/>
      <c r="Y434" s="235"/>
      <c r="Z434" s="235"/>
    </row>
    <row r="435">
      <c r="A435" s="236"/>
      <c r="B435" s="236"/>
      <c r="C435" s="237"/>
      <c r="D435" s="237"/>
      <c r="E435" s="238"/>
      <c r="F435" s="238"/>
      <c r="G435" s="239"/>
      <c r="H435" s="239"/>
      <c r="I435" s="235"/>
      <c r="J435" s="235"/>
      <c r="K435" s="235"/>
      <c r="L435" s="235"/>
      <c r="M435" s="235"/>
      <c r="N435" s="235"/>
      <c r="O435" s="235"/>
      <c r="P435" s="235"/>
      <c r="Q435" s="235"/>
      <c r="R435" s="235"/>
      <c r="S435" s="235"/>
      <c r="T435" s="235"/>
      <c r="U435" s="235"/>
      <c r="V435" s="235"/>
      <c r="W435" s="235"/>
      <c r="X435" s="235"/>
      <c r="Y435" s="235"/>
      <c r="Z435" s="235"/>
    </row>
    <row r="436">
      <c r="A436" s="236"/>
      <c r="B436" s="236"/>
      <c r="C436" s="237"/>
      <c r="D436" s="237"/>
      <c r="E436" s="238"/>
      <c r="F436" s="238"/>
      <c r="G436" s="239"/>
      <c r="H436" s="239"/>
      <c r="I436" s="235"/>
      <c r="J436" s="235"/>
      <c r="K436" s="235"/>
      <c r="L436" s="235"/>
      <c r="M436" s="235"/>
      <c r="N436" s="235"/>
      <c r="O436" s="235"/>
      <c r="P436" s="235"/>
      <c r="Q436" s="235"/>
      <c r="R436" s="235"/>
      <c r="S436" s="235"/>
      <c r="T436" s="235"/>
      <c r="U436" s="235"/>
      <c r="V436" s="235"/>
      <c r="W436" s="235"/>
      <c r="X436" s="235"/>
      <c r="Y436" s="235"/>
      <c r="Z436" s="235"/>
    </row>
    <row r="437">
      <c r="A437" s="236"/>
      <c r="B437" s="236"/>
      <c r="C437" s="237"/>
      <c r="D437" s="237"/>
      <c r="E437" s="238"/>
      <c r="F437" s="238"/>
      <c r="G437" s="239"/>
      <c r="H437" s="239"/>
      <c r="I437" s="235"/>
      <c r="J437" s="235"/>
      <c r="K437" s="235"/>
      <c r="L437" s="235"/>
      <c r="M437" s="235"/>
      <c r="N437" s="235"/>
      <c r="O437" s="235"/>
      <c r="P437" s="235"/>
      <c r="Q437" s="235"/>
      <c r="R437" s="235"/>
      <c r="S437" s="235"/>
      <c r="T437" s="235"/>
      <c r="U437" s="235"/>
      <c r="V437" s="235"/>
      <c r="W437" s="235"/>
      <c r="X437" s="235"/>
      <c r="Y437" s="235"/>
      <c r="Z437" s="235"/>
    </row>
    <row r="438">
      <c r="A438" s="236"/>
      <c r="B438" s="236"/>
      <c r="C438" s="237"/>
      <c r="D438" s="237"/>
      <c r="E438" s="238"/>
      <c r="F438" s="238"/>
      <c r="G438" s="239"/>
      <c r="H438" s="239"/>
      <c r="I438" s="235"/>
      <c r="J438" s="235"/>
      <c r="K438" s="235"/>
      <c r="L438" s="235"/>
      <c r="M438" s="235"/>
      <c r="N438" s="235"/>
      <c r="O438" s="235"/>
      <c r="P438" s="235"/>
      <c r="Q438" s="235"/>
      <c r="R438" s="235"/>
      <c r="S438" s="235"/>
      <c r="T438" s="235"/>
      <c r="U438" s="235"/>
      <c r="V438" s="235"/>
      <c r="W438" s="235"/>
      <c r="X438" s="235"/>
      <c r="Y438" s="235"/>
      <c r="Z438" s="235"/>
    </row>
    <row r="439">
      <c r="A439" s="236"/>
      <c r="B439" s="236"/>
      <c r="C439" s="237"/>
      <c r="D439" s="237"/>
      <c r="E439" s="238"/>
      <c r="F439" s="238"/>
      <c r="G439" s="239"/>
      <c r="H439" s="239"/>
      <c r="I439" s="235"/>
      <c r="J439" s="235"/>
      <c r="K439" s="235"/>
      <c r="L439" s="235"/>
      <c r="M439" s="235"/>
      <c r="N439" s="235"/>
      <c r="O439" s="235"/>
      <c r="P439" s="235"/>
      <c r="Q439" s="235"/>
      <c r="R439" s="235"/>
      <c r="S439" s="235"/>
      <c r="T439" s="235"/>
      <c r="U439" s="235"/>
      <c r="V439" s="235"/>
      <c r="W439" s="235"/>
      <c r="X439" s="235"/>
      <c r="Y439" s="235"/>
      <c r="Z439" s="235"/>
    </row>
    <row r="440">
      <c r="A440" s="236"/>
      <c r="B440" s="236"/>
      <c r="C440" s="237"/>
      <c r="D440" s="237"/>
      <c r="E440" s="238"/>
      <c r="F440" s="238"/>
      <c r="G440" s="239"/>
      <c r="H440" s="239"/>
      <c r="I440" s="235"/>
      <c r="J440" s="235"/>
      <c r="K440" s="235"/>
      <c r="L440" s="235"/>
      <c r="M440" s="235"/>
      <c r="N440" s="235"/>
      <c r="O440" s="235"/>
      <c r="P440" s="235"/>
      <c r="Q440" s="235"/>
      <c r="R440" s="235"/>
      <c r="S440" s="235"/>
      <c r="T440" s="235"/>
      <c r="U440" s="235"/>
      <c r="V440" s="235"/>
      <c r="W440" s="235"/>
      <c r="X440" s="235"/>
      <c r="Y440" s="235"/>
      <c r="Z440" s="235"/>
    </row>
    <row r="441">
      <c r="A441" s="236"/>
      <c r="B441" s="236"/>
      <c r="C441" s="237"/>
      <c r="D441" s="237"/>
      <c r="E441" s="238"/>
      <c r="F441" s="238"/>
      <c r="G441" s="239"/>
      <c r="H441" s="239"/>
      <c r="I441" s="235"/>
      <c r="J441" s="235"/>
      <c r="K441" s="235"/>
      <c r="L441" s="235"/>
      <c r="M441" s="235"/>
      <c r="N441" s="235"/>
      <c r="O441" s="235"/>
      <c r="P441" s="235"/>
      <c r="Q441" s="235"/>
      <c r="R441" s="235"/>
      <c r="S441" s="235"/>
      <c r="T441" s="235"/>
      <c r="U441" s="235"/>
      <c r="V441" s="235"/>
      <c r="W441" s="235"/>
      <c r="X441" s="235"/>
      <c r="Y441" s="235"/>
      <c r="Z441" s="235"/>
    </row>
    <row r="442">
      <c r="A442" s="236"/>
      <c r="B442" s="236"/>
      <c r="C442" s="237"/>
      <c r="D442" s="237"/>
      <c r="E442" s="238"/>
      <c r="F442" s="238"/>
      <c r="G442" s="239"/>
      <c r="H442" s="239"/>
      <c r="I442" s="235"/>
      <c r="J442" s="235"/>
      <c r="K442" s="235"/>
      <c r="L442" s="235"/>
      <c r="M442" s="235"/>
      <c r="N442" s="235"/>
      <c r="O442" s="235"/>
      <c r="P442" s="235"/>
      <c r="Q442" s="235"/>
      <c r="R442" s="235"/>
      <c r="S442" s="235"/>
      <c r="T442" s="235"/>
      <c r="U442" s="235"/>
      <c r="V442" s="235"/>
      <c r="W442" s="235"/>
      <c r="X442" s="235"/>
      <c r="Y442" s="235"/>
      <c r="Z442" s="235"/>
    </row>
    <row r="443">
      <c r="A443" s="236"/>
      <c r="B443" s="236"/>
      <c r="C443" s="237"/>
      <c r="D443" s="237"/>
      <c r="E443" s="238"/>
      <c r="F443" s="238"/>
      <c r="G443" s="239"/>
      <c r="H443" s="239"/>
      <c r="I443" s="235"/>
      <c r="J443" s="235"/>
      <c r="K443" s="235"/>
      <c r="L443" s="235"/>
      <c r="M443" s="235"/>
      <c r="N443" s="235"/>
      <c r="O443" s="235"/>
      <c r="P443" s="235"/>
      <c r="Q443" s="235"/>
      <c r="R443" s="235"/>
      <c r="S443" s="235"/>
      <c r="T443" s="235"/>
      <c r="U443" s="235"/>
      <c r="V443" s="235"/>
      <c r="W443" s="235"/>
      <c r="X443" s="235"/>
      <c r="Y443" s="235"/>
      <c r="Z443" s="235"/>
    </row>
    <row r="444">
      <c r="A444" s="236"/>
      <c r="B444" s="236"/>
      <c r="C444" s="237"/>
      <c r="D444" s="237"/>
      <c r="E444" s="238"/>
      <c r="F444" s="238"/>
      <c r="G444" s="239"/>
      <c r="H444" s="239"/>
      <c r="I444" s="235"/>
      <c r="J444" s="235"/>
      <c r="K444" s="235"/>
      <c r="L444" s="235"/>
      <c r="M444" s="235"/>
      <c r="N444" s="235"/>
      <c r="O444" s="235"/>
      <c r="P444" s="235"/>
      <c r="Q444" s="235"/>
      <c r="R444" s="235"/>
      <c r="S444" s="235"/>
      <c r="T444" s="235"/>
      <c r="U444" s="235"/>
      <c r="V444" s="235"/>
      <c r="W444" s="235"/>
      <c r="X444" s="235"/>
      <c r="Y444" s="235"/>
      <c r="Z444" s="235"/>
    </row>
    <row r="445">
      <c r="A445" s="236"/>
      <c r="B445" s="236"/>
      <c r="C445" s="237"/>
      <c r="D445" s="237"/>
      <c r="E445" s="238"/>
      <c r="F445" s="238"/>
      <c r="G445" s="239"/>
      <c r="H445" s="239"/>
      <c r="I445" s="235"/>
      <c r="J445" s="235"/>
      <c r="K445" s="235"/>
      <c r="L445" s="235"/>
      <c r="M445" s="235"/>
      <c r="N445" s="235"/>
      <c r="O445" s="235"/>
      <c r="P445" s="235"/>
      <c r="Q445" s="235"/>
      <c r="R445" s="235"/>
      <c r="S445" s="235"/>
      <c r="T445" s="235"/>
      <c r="U445" s="235"/>
      <c r="V445" s="235"/>
      <c r="W445" s="235"/>
      <c r="X445" s="235"/>
      <c r="Y445" s="235"/>
      <c r="Z445" s="235"/>
    </row>
    <row r="446">
      <c r="A446" s="236"/>
      <c r="B446" s="236"/>
      <c r="C446" s="237"/>
      <c r="D446" s="237"/>
      <c r="E446" s="238"/>
      <c r="F446" s="238"/>
      <c r="G446" s="239"/>
      <c r="H446" s="239"/>
      <c r="I446" s="235"/>
      <c r="J446" s="235"/>
      <c r="K446" s="235"/>
      <c r="L446" s="235"/>
      <c r="M446" s="235"/>
      <c r="N446" s="235"/>
      <c r="O446" s="235"/>
      <c r="P446" s="235"/>
      <c r="Q446" s="235"/>
      <c r="R446" s="235"/>
      <c r="S446" s="235"/>
      <c r="T446" s="235"/>
      <c r="U446" s="235"/>
      <c r="V446" s="235"/>
      <c r="W446" s="235"/>
      <c r="X446" s="235"/>
      <c r="Y446" s="235"/>
      <c r="Z446" s="235"/>
    </row>
    <row r="447">
      <c r="A447" s="236"/>
      <c r="B447" s="236"/>
      <c r="C447" s="237"/>
      <c r="D447" s="237"/>
      <c r="E447" s="238"/>
      <c r="F447" s="238"/>
      <c r="G447" s="239"/>
      <c r="H447" s="239"/>
      <c r="I447" s="235"/>
      <c r="J447" s="235"/>
      <c r="K447" s="235"/>
      <c r="L447" s="235"/>
      <c r="M447" s="235"/>
      <c r="N447" s="235"/>
      <c r="O447" s="235"/>
      <c r="P447" s="235"/>
      <c r="Q447" s="235"/>
      <c r="R447" s="235"/>
      <c r="S447" s="235"/>
      <c r="T447" s="235"/>
      <c r="U447" s="235"/>
      <c r="V447" s="235"/>
      <c r="W447" s="235"/>
      <c r="X447" s="235"/>
      <c r="Y447" s="235"/>
      <c r="Z447" s="235"/>
    </row>
    <row r="448">
      <c r="A448" s="236"/>
      <c r="B448" s="236"/>
      <c r="C448" s="237"/>
      <c r="D448" s="237"/>
      <c r="E448" s="238"/>
      <c r="F448" s="238"/>
      <c r="G448" s="239"/>
      <c r="H448" s="239"/>
      <c r="I448" s="235"/>
      <c r="J448" s="235"/>
      <c r="K448" s="235"/>
      <c r="L448" s="235"/>
      <c r="M448" s="235"/>
      <c r="N448" s="235"/>
      <c r="O448" s="235"/>
      <c r="P448" s="235"/>
      <c r="Q448" s="235"/>
      <c r="R448" s="235"/>
      <c r="S448" s="235"/>
      <c r="T448" s="235"/>
      <c r="U448" s="235"/>
      <c r="V448" s="235"/>
      <c r="W448" s="235"/>
      <c r="X448" s="235"/>
      <c r="Y448" s="235"/>
      <c r="Z448" s="235"/>
    </row>
    <row r="449">
      <c r="A449" s="236"/>
      <c r="B449" s="236"/>
      <c r="C449" s="237"/>
      <c r="D449" s="237"/>
      <c r="E449" s="238"/>
      <c r="F449" s="238"/>
      <c r="G449" s="239"/>
      <c r="H449" s="239"/>
      <c r="I449" s="235"/>
      <c r="J449" s="235"/>
      <c r="K449" s="235"/>
      <c r="L449" s="235"/>
      <c r="M449" s="235"/>
      <c r="N449" s="235"/>
      <c r="O449" s="235"/>
      <c r="P449" s="235"/>
      <c r="Q449" s="235"/>
      <c r="R449" s="235"/>
      <c r="S449" s="235"/>
      <c r="T449" s="235"/>
      <c r="U449" s="235"/>
      <c r="V449" s="235"/>
      <c r="W449" s="235"/>
      <c r="X449" s="235"/>
      <c r="Y449" s="235"/>
      <c r="Z449" s="235"/>
    </row>
    <row r="450">
      <c r="A450" s="236"/>
      <c r="B450" s="236"/>
      <c r="C450" s="237"/>
      <c r="D450" s="237"/>
      <c r="E450" s="238"/>
      <c r="F450" s="238"/>
      <c r="G450" s="239"/>
      <c r="H450" s="239"/>
      <c r="I450" s="235"/>
      <c r="J450" s="235"/>
      <c r="K450" s="235"/>
      <c r="L450" s="235"/>
      <c r="M450" s="235"/>
      <c r="N450" s="235"/>
      <c r="O450" s="235"/>
      <c r="P450" s="235"/>
      <c r="Q450" s="235"/>
      <c r="R450" s="235"/>
      <c r="S450" s="235"/>
      <c r="T450" s="235"/>
      <c r="U450" s="235"/>
      <c r="V450" s="235"/>
      <c r="W450" s="235"/>
      <c r="X450" s="235"/>
      <c r="Y450" s="235"/>
      <c r="Z450" s="235"/>
    </row>
    <row r="451">
      <c r="A451" s="236"/>
      <c r="B451" s="236"/>
      <c r="C451" s="237"/>
      <c r="D451" s="237"/>
      <c r="E451" s="238"/>
      <c r="F451" s="238"/>
      <c r="G451" s="239"/>
      <c r="H451" s="239"/>
      <c r="I451" s="235"/>
      <c r="J451" s="235"/>
      <c r="K451" s="235"/>
      <c r="L451" s="235"/>
      <c r="M451" s="235"/>
      <c r="N451" s="235"/>
      <c r="O451" s="235"/>
      <c r="P451" s="235"/>
      <c r="Q451" s="235"/>
      <c r="R451" s="235"/>
      <c r="S451" s="235"/>
      <c r="T451" s="235"/>
      <c r="U451" s="235"/>
      <c r="V451" s="235"/>
      <c r="W451" s="235"/>
      <c r="X451" s="235"/>
      <c r="Y451" s="235"/>
      <c r="Z451" s="235"/>
    </row>
    <row r="452">
      <c r="A452" s="236"/>
      <c r="B452" s="236"/>
      <c r="C452" s="237"/>
      <c r="D452" s="237"/>
      <c r="E452" s="238"/>
      <c r="F452" s="238"/>
      <c r="G452" s="239"/>
      <c r="H452" s="239"/>
      <c r="I452" s="235"/>
      <c r="J452" s="235"/>
      <c r="K452" s="235"/>
      <c r="L452" s="235"/>
      <c r="M452" s="235"/>
      <c r="N452" s="235"/>
      <c r="O452" s="235"/>
      <c r="P452" s="235"/>
      <c r="Q452" s="235"/>
      <c r="R452" s="235"/>
      <c r="S452" s="235"/>
      <c r="T452" s="235"/>
      <c r="U452" s="235"/>
      <c r="V452" s="235"/>
      <c r="W452" s="235"/>
      <c r="X452" s="235"/>
      <c r="Y452" s="235"/>
      <c r="Z452" s="235"/>
    </row>
    <row r="453">
      <c r="A453" s="236"/>
      <c r="B453" s="236"/>
      <c r="C453" s="237"/>
      <c r="D453" s="237"/>
      <c r="E453" s="238"/>
      <c r="F453" s="238"/>
      <c r="G453" s="239"/>
      <c r="H453" s="239"/>
      <c r="I453" s="235"/>
      <c r="J453" s="235"/>
      <c r="K453" s="235"/>
      <c r="L453" s="235"/>
      <c r="M453" s="235"/>
      <c r="N453" s="235"/>
      <c r="O453" s="235"/>
      <c r="P453" s="235"/>
      <c r="Q453" s="235"/>
      <c r="R453" s="235"/>
      <c r="S453" s="235"/>
      <c r="T453" s="235"/>
      <c r="U453" s="235"/>
      <c r="V453" s="235"/>
      <c r="W453" s="235"/>
      <c r="X453" s="235"/>
      <c r="Y453" s="235"/>
      <c r="Z453" s="235"/>
    </row>
    <row r="454">
      <c r="A454" s="236"/>
      <c r="B454" s="236"/>
      <c r="C454" s="237"/>
      <c r="D454" s="237"/>
      <c r="E454" s="238"/>
      <c r="F454" s="238"/>
      <c r="G454" s="239"/>
      <c r="H454" s="239"/>
      <c r="I454" s="235"/>
      <c r="J454" s="235"/>
      <c r="K454" s="235"/>
      <c r="L454" s="235"/>
      <c r="M454" s="235"/>
      <c r="N454" s="235"/>
      <c r="O454" s="235"/>
      <c r="P454" s="235"/>
      <c r="Q454" s="235"/>
      <c r="R454" s="235"/>
      <c r="S454" s="235"/>
      <c r="T454" s="235"/>
      <c r="U454" s="235"/>
      <c r="V454" s="235"/>
      <c r="W454" s="235"/>
      <c r="X454" s="235"/>
      <c r="Y454" s="235"/>
      <c r="Z454" s="235"/>
    </row>
    <row r="455">
      <c r="A455" s="236"/>
      <c r="B455" s="236"/>
      <c r="C455" s="237"/>
      <c r="D455" s="237"/>
      <c r="E455" s="238"/>
      <c r="F455" s="238"/>
      <c r="G455" s="239"/>
      <c r="H455" s="239"/>
      <c r="I455" s="235"/>
      <c r="J455" s="235"/>
      <c r="K455" s="235"/>
      <c r="L455" s="235"/>
      <c r="M455" s="235"/>
      <c r="N455" s="235"/>
      <c r="O455" s="235"/>
      <c r="P455" s="235"/>
      <c r="Q455" s="235"/>
      <c r="R455" s="235"/>
      <c r="S455" s="235"/>
      <c r="T455" s="235"/>
      <c r="U455" s="235"/>
      <c r="V455" s="235"/>
      <c r="W455" s="235"/>
      <c r="X455" s="235"/>
      <c r="Y455" s="235"/>
      <c r="Z455" s="235"/>
    </row>
    <row r="456">
      <c r="A456" s="236"/>
      <c r="B456" s="236"/>
      <c r="C456" s="237"/>
      <c r="D456" s="237"/>
      <c r="E456" s="238"/>
      <c r="F456" s="238"/>
      <c r="G456" s="239"/>
      <c r="H456" s="239"/>
      <c r="I456" s="235"/>
      <c r="J456" s="235"/>
      <c r="K456" s="235"/>
      <c r="L456" s="235"/>
      <c r="M456" s="235"/>
      <c r="N456" s="235"/>
      <c r="O456" s="235"/>
      <c r="P456" s="235"/>
      <c r="Q456" s="235"/>
      <c r="R456" s="235"/>
      <c r="S456" s="235"/>
      <c r="T456" s="235"/>
      <c r="U456" s="235"/>
      <c r="V456" s="235"/>
      <c r="W456" s="235"/>
      <c r="X456" s="235"/>
      <c r="Y456" s="235"/>
      <c r="Z456" s="235"/>
    </row>
    <row r="457">
      <c r="A457" s="236"/>
      <c r="B457" s="236"/>
      <c r="C457" s="237"/>
      <c r="D457" s="237"/>
      <c r="E457" s="238"/>
      <c r="F457" s="238"/>
      <c r="G457" s="239"/>
      <c r="H457" s="239"/>
      <c r="I457" s="235"/>
      <c r="J457" s="235"/>
      <c r="K457" s="235"/>
      <c r="L457" s="235"/>
      <c r="M457" s="235"/>
      <c r="N457" s="235"/>
      <c r="O457" s="235"/>
      <c r="P457" s="235"/>
      <c r="Q457" s="235"/>
      <c r="R457" s="235"/>
      <c r="S457" s="235"/>
      <c r="T457" s="235"/>
      <c r="U457" s="235"/>
      <c r="V457" s="235"/>
      <c r="W457" s="235"/>
      <c r="X457" s="235"/>
      <c r="Y457" s="235"/>
      <c r="Z457" s="235"/>
    </row>
    <row r="458">
      <c r="A458" s="236"/>
      <c r="B458" s="236"/>
      <c r="C458" s="237"/>
      <c r="D458" s="237"/>
      <c r="E458" s="238"/>
      <c r="F458" s="238"/>
      <c r="G458" s="239"/>
      <c r="H458" s="239"/>
      <c r="I458" s="235"/>
      <c r="J458" s="235"/>
      <c r="K458" s="235"/>
      <c r="L458" s="235"/>
      <c r="M458" s="235"/>
      <c r="N458" s="235"/>
      <c r="O458" s="235"/>
      <c r="P458" s="235"/>
      <c r="Q458" s="235"/>
      <c r="R458" s="235"/>
      <c r="S458" s="235"/>
      <c r="T458" s="235"/>
      <c r="U458" s="235"/>
      <c r="V458" s="235"/>
      <c r="W458" s="235"/>
      <c r="X458" s="235"/>
      <c r="Y458" s="235"/>
      <c r="Z458" s="235"/>
    </row>
    <row r="459">
      <c r="A459" s="236"/>
      <c r="B459" s="236"/>
      <c r="C459" s="237"/>
      <c r="D459" s="237"/>
      <c r="E459" s="238"/>
      <c r="F459" s="238"/>
      <c r="G459" s="239"/>
      <c r="H459" s="239"/>
      <c r="I459" s="235"/>
      <c r="J459" s="235"/>
      <c r="K459" s="235"/>
      <c r="L459" s="235"/>
      <c r="M459" s="235"/>
      <c r="N459" s="235"/>
      <c r="O459" s="235"/>
      <c r="P459" s="235"/>
      <c r="Q459" s="235"/>
      <c r="R459" s="235"/>
      <c r="S459" s="235"/>
      <c r="T459" s="235"/>
      <c r="U459" s="235"/>
      <c r="V459" s="235"/>
      <c r="W459" s="235"/>
      <c r="X459" s="235"/>
      <c r="Y459" s="235"/>
      <c r="Z459" s="235"/>
    </row>
    <row r="460">
      <c r="A460" s="236"/>
      <c r="B460" s="236"/>
      <c r="C460" s="237"/>
      <c r="D460" s="237"/>
      <c r="E460" s="238"/>
      <c r="F460" s="238"/>
      <c r="G460" s="239"/>
      <c r="H460" s="239"/>
      <c r="I460" s="235"/>
      <c r="J460" s="235"/>
      <c r="K460" s="235"/>
      <c r="L460" s="235"/>
      <c r="M460" s="235"/>
      <c r="N460" s="235"/>
      <c r="O460" s="235"/>
      <c r="P460" s="235"/>
      <c r="Q460" s="235"/>
      <c r="R460" s="235"/>
      <c r="S460" s="235"/>
      <c r="T460" s="235"/>
      <c r="U460" s="235"/>
      <c r="V460" s="235"/>
      <c r="W460" s="235"/>
      <c r="X460" s="235"/>
      <c r="Y460" s="235"/>
      <c r="Z460" s="235"/>
    </row>
    <row r="461">
      <c r="A461" s="236"/>
      <c r="B461" s="236"/>
      <c r="C461" s="237"/>
      <c r="D461" s="237"/>
      <c r="E461" s="238"/>
      <c r="F461" s="238"/>
      <c r="G461" s="239"/>
      <c r="H461" s="239"/>
      <c r="I461" s="235"/>
      <c r="J461" s="235"/>
      <c r="K461" s="235"/>
      <c r="L461" s="235"/>
      <c r="M461" s="235"/>
      <c r="N461" s="235"/>
      <c r="O461" s="235"/>
      <c r="P461" s="235"/>
      <c r="Q461" s="235"/>
      <c r="R461" s="235"/>
      <c r="S461" s="235"/>
      <c r="T461" s="235"/>
      <c r="U461" s="235"/>
      <c r="V461" s="235"/>
      <c r="W461" s="235"/>
      <c r="X461" s="235"/>
      <c r="Y461" s="235"/>
      <c r="Z461" s="235"/>
    </row>
    <row r="462">
      <c r="A462" s="236"/>
      <c r="B462" s="236"/>
      <c r="C462" s="237"/>
      <c r="D462" s="237"/>
      <c r="E462" s="238"/>
      <c r="F462" s="238"/>
      <c r="G462" s="239"/>
      <c r="H462" s="239"/>
      <c r="I462" s="235"/>
      <c r="J462" s="235"/>
      <c r="K462" s="235"/>
      <c r="L462" s="235"/>
      <c r="M462" s="235"/>
      <c r="N462" s="235"/>
      <c r="O462" s="235"/>
      <c r="P462" s="235"/>
      <c r="Q462" s="235"/>
      <c r="R462" s="235"/>
      <c r="S462" s="235"/>
      <c r="T462" s="235"/>
      <c r="U462" s="235"/>
      <c r="V462" s="235"/>
      <c r="W462" s="235"/>
      <c r="X462" s="235"/>
      <c r="Y462" s="235"/>
      <c r="Z462" s="235"/>
    </row>
    <row r="463">
      <c r="A463" s="236"/>
      <c r="B463" s="236"/>
      <c r="C463" s="237"/>
      <c r="D463" s="237"/>
      <c r="E463" s="238"/>
      <c r="F463" s="238"/>
      <c r="G463" s="239"/>
      <c r="H463" s="239"/>
      <c r="I463" s="235"/>
      <c r="J463" s="235"/>
      <c r="K463" s="235"/>
      <c r="L463" s="235"/>
      <c r="M463" s="235"/>
      <c r="N463" s="235"/>
      <c r="O463" s="235"/>
      <c r="P463" s="235"/>
      <c r="Q463" s="235"/>
      <c r="R463" s="235"/>
      <c r="S463" s="235"/>
      <c r="T463" s="235"/>
      <c r="U463" s="235"/>
      <c r="V463" s="235"/>
      <c r="W463" s="235"/>
      <c r="X463" s="235"/>
      <c r="Y463" s="235"/>
      <c r="Z463" s="235"/>
    </row>
    <row r="464">
      <c r="A464" s="236"/>
      <c r="B464" s="236"/>
      <c r="C464" s="237"/>
      <c r="D464" s="237"/>
      <c r="E464" s="238"/>
      <c r="F464" s="238"/>
      <c r="G464" s="239"/>
      <c r="H464" s="239"/>
      <c r="I464" s="235"/>
      <c r="J464" s="235"/>
      <c r="K464" s="235"/>
      <c r="L464" s="235"/>
      <c r="M464" s="235"/>
      <c r="N464" s="235"/>
      <c r="O464" s="235"/>
      <c r="P464" s="235"/>
      <c r="Q464" s="235"/>
      <c r="R464" s="235"/>
      <c r="S464" s="235"/>
      <c r="T464" s="235"/>
      <c r="U464" s="235"/>
      <c r="V464" s="235"/>
      <c r="W464" s="235"/>
      <c r="X464" s="235"/>
      <c r="Y464" s="235"/>
      <c r="Z464" s="235"/>
    </row>
    <row r="465">
      <c r="A465" s="236"/>
      <c r="B465" s="236"/>
      <c r="C465" s="237"/>
      <c r="D465" s="237"/>
      <c r="E465" s="238"/>
      <c r="F465" s="238"/>
      <c r="G465" s="239"/>
      <c r="H465" s="239"/>
      <c r="I465" s="235"/>
      <c r="J465" s="235"/>
      <c r="K465" s="235"/>
      <c r="L465" s="235"/>
      <c r="M465" s="235"/>
      <c r="N465" s="235"/>
      <c r="O465" s="235"/>
      <c r="P465" s="235"/>
      <c r="Q465" s="235"/>
      <c r="R465" s="235"/>
      <c r="S465" s="235"/>
      <c r="T465" s="235"/>
      <c r="U465" s="235"/>
      <c r="V465" s="235"/>
      <c r="W465" s="235"/>
      <c r="X465" s="235"/>
      <c r="Y465" s="235"/>
      <c r="Z465" s="235"/>
    </row>
    <row r="466">
      <c r="A466" s="236"/>
      <c r="B466" s="236"/>
      <c r="C466" s="237"/>
      <c r="D466" s="237"/>
      <c r="E466" s="238"/>
      <c r="F466" s="238"/>
      <c r="G466" s="239"/>
      <c r="H466" s="239"/>
      <c r="I466" s="235"/>
      <c r="J466" s="235"/>
      <c r="K466" s="235"/>
      <c r="L466" s="235"/>
      <c r="M466" s="235"/>
      <c r="N466" s="235"/>
      <c r="O466" s="235"/>
      <c r="P466" s="235"/>
      <c r="Q466" s="235"/>
      <c r="R466" s="235"/>
      <c r="S466" s="235"/>
      <c r="T466" s="235"/>
      <c r="U466" s="235"/>
      <c r="V466" s="235"/>
      <c r="W466" s="235"/>
      <c r="X466" s="235"/>
      <c r="Y466" s="235"/>
      <c r="Z466" s="235"/>
    </row>
    <row r="467">
      <c r="A467" s="236"/>
      <c r="B467" s="236"/>
      <c r="C467" s="237"/>
      <c r="D467" s="237"/>
      <c r="E467" s="238"/>
      <c r="F467" s="238"/>
      <c r="G467" s="239"/>
      <c r="H467" s="239"/>
      <c r="I467" s="235"/>
      <c r="J467" s="235"/>
      <c r="K467" s="235"/>
      <c r="L467" s="235"/>
      <c r="M467" s="235"/>
      <c r="N467" s="235"/>
      <c r="O467" s="235"/>
      <c r="P467" s="235"/>
      <c r="Q467" s="235"/>
      <c r="R467" s="235"/>
      <c r="S467" s="235"/>
      <c r="T467" s="235"/>
      <c r="U467" s="235"/>
      <c r="V467" s="235"/>
      <c r="W467" s="235"/>
      <c r="X467" s="235"/>
      <c r="Y467" s="235"/>
      <c r="Z467" s="235"/>
    </row>
    <row r="468">
      <c r="A468" s="236"/>
      <c r="B468" s="236"/>
      <c r="C468" s="237"/>
      <c r="D468" s="237"/>
      <c r="E468" s="238"/>
      <c r="F468" s="238"/>
      <c r="G468" s="239"/>
      <c r="H468" s="239"/>
      <c r="I468" s="235"/>
      <c r="J468" s="235"/>
      <c r="K468" s="235"/>
      <c r="L468" s="235"/>
      <c r="M468" s="235"/>
      <c r="N468" s="235"/>
      <c r="O468" s="235"/>
      <c r="P468" s="235"/>
      <c r="Q468" s="235"/>
      <c r="R468" s="235"/>
      <c r="S468" s="235"/>
      <c r="T468" s="235"/>
      <c r="U468" s="235"/>
      <c r="V468" s="235"/>
      <c r="W468" s="235"/>
      <c r="X468" s="235"/>
      <c r="Y468" s="235"/>
      <c r="Z468" s="235"/>
    </row>
    <row r="469">
      <c r="A469" s="236"/>
      <c r="B469" s="236"/>
      <c r="C469" s="237"/>
      <c r="D469" s="237"/>
      <c r="E469" s="238"/>
      <c r="F469" s="238"/>
      <c r="G469" s="239"/>
      <c r="H469" s="239"/>
      <c r="I469" s="235"/>
      <c r="J469" s="235"/>
      <c r="K469" s="235"/>
      <c r="L469" s="235"/>
      <c r="M469" s="235"/>
      <c r="N469" s="235"/>
      <c r="O469" s="235"/>
      <c r="P469" s="235"/>
      <c r="Q469" s="235"/>
      <c r="R469" s="235"/>
      <c r="S469" s="235"/>
      <c r="T469" s="235"/>
      <c r="U469" s="235"/>
      <c r="V469" s="235"/>
      <c r="W469" s="235"/>
      <c r="X469" s="235"/>
      <c r="Y469" s="235"/>
      <c r="Z469" s="235"/>
    </row>
    <row r="470">
      <c r="A470" s="236"/>
      <c r="B470" s="236"/>
      <c r="C470" s="237"/>
      <c r="D470" s="237"/>
      <c r="E470" s="238"/>
      <c r="F470" s="238"/>
      <c r="G470" s="239"/>
      <c r="H470" s="239"/>
      <c r="I470" s="235"/>
      <c r="J470" s="235"/>
      <c r="K470" s="235"/>
      <c r="L470" s="235"/>
      <c r="M470" s="235"/>
      <c r="N470" s="235"/>
      <c r="O470" s="235"/>
      <c r="P470" s="235"/>
      <c r="Q470" s="235"/>
      <c r="R470" s="235"/>
      <c r="S470" s="235"/>
      <c r="T470" s="235"/>
      <c r="U470" s="235"/>
      <c r="V470" s="235"/>
      <c r="W470" s="235"/>
      <c r="X470" s="235"/>
      <c r="Y470" s="235"/>
      <c r="Z470" s="235"/>
    </row>
    <row r="471">
      <c r="A471" s="236"/>
      <c r="B471" s="236"/>
      <c r="C471" s="237"/>
      <c r="D471" s="237"/>
      <c r="E471" s="238"/>
      <c r="F471" s="238"/>
      <c r="G471" s="239"/>
      <c r="H471" s="239"/>
      <c r="I471" s="235"/>
      <c r="J471" s="235"/>
      <c r="K471" s="235"/>
      <c r="L471" s="235"/>
      <c r="M471" s="235"/>
      <c r="N471" s="235"/>
      <c r="O471" s="235"/>
      <c r="P471" s="235"/>
      <c r="Q471" s="235"/>
      <c r="R471" s="235"/>
      <c r="S471" s="235"/>
      <c r="T471" s="235"/>
      <c r="U471" s="235"/>
      <c r="V471" s="235"/>
      <c r="W471" s="235"/>
      <c r="X471" s="235"/>
      <c r="Y471" s="235"/>
      <c r="Z471" s="235"/>
    </row>
    <row r="472">
      <c r="A472" s="236"/>
      <c r="B472" s="236"/>
      <c r="C472" s="237"/>
      <c r="D472" s="237"/>
      <c r="E472" s="238"/>
      <c r="F472" s="238"/>
      <c r="G472" s="239"/>
      <c r="H472" s="239"/>
      <c r="I472" s="235"/>
      <c r="J472" s="235"/>
      <c r="K472" s="235"/>
      <c r="L472" s="235"/>
      <c r="M472" s="235"/>
      <c r="N472" s="235"/>
      <c r="O472" s="235"/>
      <c r="P472" s="235"/>
      <c r="Q472" s="235"/>
      <c r="R472" s="235"/>
      <c r="S472" s="235"/>
      <c r="T472" s="235"/>
      <c r="U472" s="235"/>
      <c r="V472" s="235"/>
      <c r="W472" s="235"/>
      <c r="X472" s="235"/>
      <c r="Y472" s="235"/>
      <c r="Z472" s="235"/>
    </row>
    <row r="473">
      <c r="A473" s="236"/>
      <c r="B473" s="236"/>
      <c r="C473" s="237"/>
      <c r="D473" s="237"/>
      <c r="E473" s="238"/>
      <c r="F473" s="238"/>
      <c r="G473" s="239"/>
      <c r="H473" s="239"/>
      <c r="I473" s="235"/>
      <c r="J473" s="235"/>
      <c r="K473" s="235"/>
      <c r="L473" s="235"/>
      <c r="M473" s="235"/>
      <c r="N473" s="235"/>
      <c r="O473" s="235"/>
      <c r="P473" s="235"/>
      <c r="Q473" s="235"/>
      <c r="R473" s="235"/>
      <c r="S473" s="235"/>
      <c r="T473" s="235"/>
      <c r="U473" s="235"/>
      <c r="V473" s="235"/>
      <c r="W473" s="235"/>
      <c r="X473" s="235"/>
      <c r="Y473" s="235"/>
      <c r="Z473" s="235"/>
    </row>
    <row r="474">
      <c r="A474" s="236"/>
      <c r="B474" s="236"/>
      <c r="C474" s="237"/>
      <c r="D474" s="237"/>
      <c r="E474" s="238"/>
      <c r="F474" s="238"/>
      <c r="G474" s="239"/>
      <c r="H474" s="239"/>
      <c r="I474" s="235"/>
      <c r="J474" s="235"/>
      <c r="K474" s="235"/>
      <c r="L474" s="235"/>
      <c r="M474" s="235"/>
      <c r="N474" s="235"/>
      <c r="O474" s="235"/>
      <c r="P474" s="235"/>
      <c r="Q474" s="235"/>
      <c r="R474" s="235"/>
      <c r="S474" s="235"/>
      <c r="T474" s="235"/>
      <c r="U474" s="235"/>
      <c r="V474" s="235"/>
      <c r="W474" s="235"/>
      <c r="X474" s="235"/>
      <c r="Y474" s="235"/>
      <c r="Z474" s="235"/>
    </row>
    <row r="475">
      <c r="A475" s="236"/>
      <c r="B475" s="236"/>
      <c r="C475" s="237"/>
      <c r="D475" s="237"/>
      <c r="E475" s="238"/>
      <c r="F475" s="238"/>
      <c r="G475" s="239"/>
      <c r="H475" s="239"/>
      <c r="I475" s="235"/>
      <c r="J475" s="235"/>
      <c r="K475" s="235"/>
      <c r="L475" s="235"/>
      <c r="M475" s="235"/>
      <c r="N475" s="235"/>
      <c r="O475" s="235"/>
      <c r="P475" s="235"/>
      <c r="Q475" s="235"/>
      <c r="R475" s="235"/>
      <c r="S475" s="235"/>
      <c r="T475" s="235"/>
      <c r="U475" s="235"/>
      <c r="V475" s="235"/>
      <c r="W475" s="235"/>
      <c r="X475" s="235"/>
      <c r="Y475" s="235"/>
      <c r="Z475" s="235"/>
    </row>
    <row r="476">
      <c r="A476" s="236"/>
      <c r="B476" s="236"/>
      <c r="C476" s="237"/>
      <c r="D476" s="237"/>
      <c r="E476" s="238"/>
      <c r="F476" s="238"/>
      <c r="G476" s="239"/>
      <c r="H476" s="239"/>
      <c r="I476" s="235"/>
      <c r="J476" s="235"/>
      <c r="K476" s="235"/>
      <c r="L476" s="235"/>
      <c r="M476" s="235"/>
      <c r="N476" s="235"/>
      <c r="O476" s="235"/>
      <c r="P476" s="235"/>
      <c r="Q476" s="235"/>
      <c r="R476" s="235"/>
      <c r="S476" s="235"/>
      <c r="T476" s="235"/>
      <c r="U476" s="235"/>
      <c r="V476" s="235"/>
      <c r="W476" s="235"/>
      <c r="X476" s="235"/>
      <c r="Y476" s="235"/>
      <c r="Z476" s="235"/>
    </row>
    <row r="477">
      <c r="A477" s="236"/>
      <c r="B477" s="236"/>
      <c r="C477" s="237"/>
      <c r="D477" s="237"/>
      <c r="E477" s="238"/>
      <c r="F477" s="238"/>
      <c r="G477" s="239"/>
      <c r="H477" s="239"/>
      <c r="I477" s="235"/>
      <c r="J477" s="235"/>
      <c r="K477" s="235"/>
      <c r="L477" s="235"/>
      <c r="M477" s="235"/>
      <c r="N477" s="235"/>
      <c r="O477" s="235"/>
      <c r="P477" s="235"/>
      <c r="Q477" s="235"/>
      <c r="R477" s="235"/>
      <c r="S477" s="235"/>
      <c r="T477" s="235"/>
      <c r="U477" s="235"/>
      <c r="V477" s="235"/>
      <c r="W477" s="235"/>
      <c r="X477" s="235"/>
      <c r="Y477" s="235"/>
      <c r="Z477" s="235"/>
    </row>
    <row r="478">
      <c r="A478" s="236"/>
      <c r="B478" s="236"/>
      <c r="C478" s="237"/>
      <c r="D478" s="237"/>
      <c r="E478" s="238"/>
      <c r="F478" s="238"/>
      <c r="G478" s="239"/>
      <c r="H478" s="239"/>
      <c r="I478" s="235"/>
      <c r="J478" s="235"/>
      <c r="K478" s="235"/>
      <c r="L478" s="235"/>
      <c r="M478" s="235"/>
      <c r="N478" s="235"/>
      <c r="O478" s="235"/>
      <c r="P478" s="235"/>
      <c r="Q478" s="235"/>
      <c r="R478" s="235"/>
      <c r="S478" s="235"/>
      <c r="T478" s="235"/>
      <c r="U478" s="235"/>
      <c r="V478" s="235"/>
      <c r="W478" s="235"/>
      <c r="X478" s="235"/>
      <c r="Y478" s="235"/>
      <c r="Z478" s="235"/>
    </row>
    <row r="479">
      <c r="A479" s="236"/>
      <c r="B479" s="236"/>
      <c r="C479" s="237"/>
      <c r="D479" s="237"/>
      <c r="E479" s="238"/>
      <c r="F479" s="238"/>
      <c r="G479" s="239"/>
      <c r="H479" s="239"/>
      <c r="I479" s="235"/>
      <c r="J479" s="235"/>
      <c r="K479" s="235"/>
      <c r="L479" s="235"/>
      <c r="M479" s="235"/>
      <c r="N479" s="235"/>
      <c r="O479" s="235"/>
      <c r="P479" s="235"/>
      <c r="Q479" s="235"/>
      <c r="R479" s="235"/>
      <c r="S479" s="235"/>
      <c r="T479" s="235"/>
      <c r="U479" s="235"/>
      <c r="V479" s="235"/>
      <c r="W479" s="235"/>
      <c r="X479" s="235"/>
      <c r="Y479" s="235"/>
      <c r="Z479" s="235"/>
    </row>
    <row r="480">
      <c r="A480" s="236"/>
      <c r="B480" s="236"/>
      <c r="C480" s="237"/>
      <c r="D480" s="237"/>
      <c r="E480" s="238"/>
      <c r="F480" s="238"/>
      <c r="G480" s="239"/>
      <c r="H480" s="239"/>
      <c r="I480" s="235"/>
      <c r="J480" s="235"/>
      <c r="K480" s="235"/>
      <c r="L480" s="235"/>
      <c r="M480" s="235"/>
      <c r="N480" s="235"/>
      <c r="O480" s="235"/>
      <c r="P480" s="235"/>
      <c r="Q480" s="235"/>
      <c r="R480" s="235"/>
      <c r="S480" s="235"/>
      <c r="T480" s="235"/>
      <c r="U480" s="235"/>
      <c r="V480" s="235"/>
      <c r="W480" s="235"/>
      <c r="X480" s="235"/>
      <c r="Y480" s="235"/>
      <c r="Z480" s="235"/>
    </row>
    <row r="481">
      <c r="A481" s="236"/>
      <c r="B481" s="236"/>
      <c r="C481" s="237"/>
      <c r="D481" s="237"/>
      <c r="E481" s="238"/>
      <c r="F481" s="238"/>
      <c r="G481" s="239"/>
      <c r="H481" s="239"/>
      <c r="I481" s="235"/>
      <c r="J481" s="235"/>
      <c r="K481" s="235"/>
      <c r="L481" s="235"/>
      <c r="M481" s="235"/>
      <c r="N481" s="235"/>
      <c r="O481" s="235"/>
      <c r="P481" s="235"/>
      <c r="Q481" s="235"/>
      <c r="R481" s="235"/>
      <c r="S481" s="235"/>
      <c r="T481" s="235"/>
      <c r="U481" s="235"/>
      <c r="V481" s="235"/>
      <c r="W481" s="235"/>
      <c r="X481" s="235"/>
      <c r="Y481" s="235"/>
      <c r="Z481" s="235"/>
    </row>
    <row r="482">
      <c r="A482" s="236"/>
      <c r="B482" s="236"/>
      <c r="C482" s="237"/>
      <c r="D482" s="237"/>
      <c r="E482" s="238"/>
      <c r="F482" s="238"/>
      <c r="G482" s="239"/>
      <c r="H482" s="239"/>
      <c r="I482" s="235"/>
      <c r="J482" s="235"/>
      <c r="K482" s="235"/>
      <c r="L482" s="235"/>
      <c r="M482" s="235"/>
      <c r="N482" s="235"/>
      <c r="O482" s="235"/>
      <c r="P482" s="235"/>
      <c r="Q482" s="235"/>
      <c r="R482" s="235"/>
      <c r="S482" s="235"/>
      <c r="T482" s="235"/>
      <c r="U482" s="235"/>
      <c r="V482" s="235"/>
      <c r="W482" s="235"/>
      <c r="X482" s="235"/>
      <c r="Y482" s="235"/>
      <c r="Z482" s="235"/>
    </row>
    <row r="483">
      <c r="A483" s="236"/>
      <c r="B483" s="236"/>
      <c r="C483" s="237"/>
      <c r="D483" s="237"/>
      <c r="E483" s="238"/>
      <c r="F483" s="238"/>
      <c r="G483" s="239"/>
      <c r="H483" s="239"/>
      <c r="I483" s="235"/>
      <c r="J483" s="235"/>
      <c r="K483" s="235"/>
      <c r="L483" s="235"/>
      <c r="M483" s="235"/>
      <c r="N483" s="235"/>
      <c r="O483" s="235"/>
      <c r="P483" s="235"/>
      <c r="Q483" s="235"/>
      <c r="R483" s="235"/>
      <c r="S483" s="235"/>
      <c r="T483" s="235"/>
      <c r="U483" s="235"/>
      <c r="V483" s="235"/>
      <c r="W483" s="235"/>
      <c r="X483" s="235"/>
      <c r="Y483" s="235"/>
      <c r="Z483" s="235"/>
    </row>
    <row r="484">
      <c r="A484" s="236"/>
      <c r="B484" s="236"/>
      <c r="C484" s="237"/>
      <c r="D484" s="237"/>
      <c r="E484" s="238"/>
      <c r="F484" s="238"/>
      <c r="G484" s="239"/>
      <c r="H484" s="239"/>
      <c r="I484" s="235"/>
      <c r="J484" s="235"/>
      <c r="K484" s="235"/>
      <c r="L484" s="235"/>
      <c r="M484" s="235"/>
      <c r="N484" s="235"/>
      <c r="O484" s="235"/>
      <c r="P484" s="235"/>
      <c r="Q484" s="235"/>
      <c r="R484" s="235"/>
      <c r="S484" s="235"/>
      <c r="T484" s="235"/>
      <c r="U484" s="235"/>
      <c r="V484" s="235"/>
      <c r="W484" s="235"/>
      <c r="X484" s="235"/>
      <c r="Y484" s="235"/>
      <c r="Z484" s="235"/>
    </row>
    <row r="485">
      <c r="A485" s="236"/>
      <c r="B485" s="236"/>
      <c r="C485" s="237"/>
      <c r="D485" s="237"/>
      <c r="E485" s="238"/>
      <c r="F485" s="238"/>
      <c r="G485" s="239"/>
      <c r="H485" s="239"/>
      <c r="I485" s="235"/>
      <c r="J485" s="235"/>
      <c r="K485" s="235"/>
      <c r="L485" s="235"/>
      <c r="M485" s="235"/>
      <c r="N485" s="235"/>
      <c r="O485" s="235"/>
      <c r="P485" s="235"/>
      <c r="Q485" s="235"/>
      <c r="R485" s="235"/>
      <c r="S485" s="235"/>
      <c r="T485" s="235"/>
      <c r="U485" s="235"/>
      <c r="V485" s="235"/>
      <c r="W485" s="235"/>
      <c r="X485" s="235"/>
      <c r="Y485" s="235"/>
      <c r="Z485" s="235"/>
    </row>
    <row r="486">
      <c r="A486" s="236"/>
      <c r="B486" s="236"/>
      <c r="C486" s="237"/>
      <c r="D486" s="237"/>
      <c r="E486" s="238"/>
      <c r="F486" s="238"/>
      <c r="G486" s="239"/>
      <c r="H486" s="239"/>
      <c r="I486" s="235"/>
      <c r="J486" s="235"/>
      <c r="K486" s="235"/>
      <c r="L486" s="235"/>
      <c r="M486" s="235"/>
      <c r="N486" s="235"/>
      <c r="O486" s="235"/>
      <c r="P486" s="235"/>
      <c r="Q486" s="235"/>
      <c r="R486" s="235"/>
      <c r="S486" s="235"/>
      <c r="T486" s="235"/>
      <c r="U486" s="235"/>
      <c r="V486" s="235"/>
      <c r="W486" s="235"/>
      <c r="X486" s="235"/>
      <c r="Y486" s="235"/>
      <c r="Z486" s="235"/>
    </row>
    <row r="487">
      <c r="A487" s="236"/>
      <c r="B487" s="236"/>
      <c r="C487" s="237"/>
      <c r="D487" s="237"/>
      <c r="E487" s="238"/>
      <c r="F487" s="238"/>
      <c r="G487" s="239"/>
      <c r="H487" s="239"/>
      <c r="I487" s="235"/>
      <c r="J487" s="235"/>
      <c r="K487" s="235"/>
      <c r="L487" s="235"/>
      <c r="M487" s="235"/>
      <c r="N487" s="235"/>
      <c r="O487" s="235"/>
      <c r="P487" s="235"/>
      <c r="Q487" s="235"/>
      <c r="R487" s="235"/>
      <c r="S487" s="235"/>
      <c r="T487" s="235"/>
      <c r="U487" s="235"/>
      <c r="V487" s="235"/>
      <c r="W487" s="235"/>
      <c r="X487" s="235"/>
      <c r="Y487" s="235"/>
      <c r="Z487" s="235"/>
    </row>
    <row r="488">
      <c r="A488" s="236"/>
      <c r="B488" s="236"/>
      <c r="C488" s="237"/>
      <c r="D488" s="237"/>
      <c r="E488" s="238"/>
      <c r="F488" s="238"/>
      <c r="G488" s="239"/>
      <c r="H488" s="239"/>
      <c r="I488" s="235"/>
      <c r="J488" s="235"/>
      <c r="K488" s="235"/>
      <c r="L488" s="235"/>
      <c r="M488" s="235"/>
      <c r="N488" s="235"/>
      <c r="O488" s="235"/>
      <c r="P488" s="235"/>
      <c r="Q488" s="235"/>
      <c r="R488" s="235"/>
      <c r="S488" s="235"/>
      <c r="T488" s="235"/>
      <c r="U488" s="235"/>
      <c r="V488" s="235"/>
      <c r="W488" s="235"/>
      <c r="X488" s="235"/>
      <c r="Y488" s="235"/>
      <c r="Z488" s="235"/>
    </row>
    <row r="489">
      <c r="A489" s="236"/>
      <c r="B489" s="236"/>
      <c r="C489" s="237"/>
      <c r="D489" s="237"/>
      <c r="E489" s="238"/>
      <c r="F489" s="238"/>
      <c r="G489" s="239"/>
      <c r="H489" s="239"/>
      <c r="I489" s="235"/>
      <c r="J489" s="235"/>
      <c r="K489" s="235"/>
      <c r="L489" s="235"/>
      <c r="M489" s="235"/>
      <c r="N489" s="235"/>
      <c r="O489" s="235"/>
      <c r="P489" s="235"/>
      <c r="Q489" s="235"/>
      <c r="R489" s="235"/>
      <c r="S489" s="235"/>
      <c r="T489" s="235"/>
      <c r="U489" s="235"/>
      <c r="V489" s="235"/>
      <c r="W489" s="235"/>
      <c r="X489" s="235"/>
      <c r="Y489" s="235"/>
      <c r="Z489" s="235"/>
    </row>
    <row r="490">
      <c r="A490" s="236"/>
      <c r="B490" s="236"/>
      <c r="C490" s="237"/>
      <c r="D490" s="237"/>
      <c r="E490" s="238"/>
      <c r="F490" s="238"/>
      <c r="G490" s="239"/>
      <c r="H490" s="239"/>
      <c r="I490" s="235"/>
      <c r="J490" s="235"/>
      <c r="K490" s="235"/>
      <c r="L490" s="235"/>
      <c r="M490" s="235"/>
      <c r="N490" s="235"/>
      <c r="O490" s="235"/>
      <c r="P490" s="235"/>
      <c r="Q490" s="235"/>
      <c r="R490" s="235"/>
      <c r="S490" s="235"/>
      <c r="T490" s="235"/>
      <c r="U490" s="235"/>
      <c r="V490" s="235"/>
      <c r="W490" s="235"/>
      <c r="X490" s="235"/>
      <c r="Y490" s="235"/>
      <c r="Z490" s="235"/>
    </row>
    <row r="491">
      <c r="A491" s="236"/>
      <c r="B491" s="236"/>
      <c r="C491" s="237"/>
      <c r="D491" s="237"/>
      <c r="E491" s="238"/>
      <c r="F491" s="238"/>
      <c r="G491" s="239"/>
      <c r="H491" s="239"/>
      <c r="I491" s="235"/>
      <c r="J491" s="235"/>
      <c r="K491" s="235"/>
      <c r="L491" s="235"/>
      <c r="M491" s="235"/>
      <c r="N491" s="235"/>
      <c r="O491" s="235"/>
      <c r="P491" s="235"/>
      <c r="Q491" s="235"/>
      <c r="R491" s="235"/>
      <c r="S491" s="235"/>
      <c r="T491" s="235"/>
      <c r="U491" s="235"/>
      <c r="V491" s="235"/>
      <c r="W491" s="235"/>
      <c r="X491" s="235"/>
      <c r="Y491" s="235"/>
      <c r="Z491" s="235"/>
    </row>
    <row r="492">
      <c r="A492" s="236"/>
      <c r="B492" s="236"/>
      <c r="C492" s="237"/>
      <c r="D492" s="237"/>
      <c r="E492" s="238"/>
      <c r="F492" s="238"/>
      <c r="G492" s="239"/>
      <c r="H492" s="239"/>
      <c r="I492" s="235"/>
      <c r="J492" s="235"/>
      <c r="K492" s="235"/>
      <c r="L492" s="235"/>
      <c r="M492" s="235"/>
      <c r="N492" s="235"/>
      <c r="O492" s="235"/>
      <c r="P492" s="235"/>
      <c r="Q492" s="235"/>
      <c r="R492" s="235"/>
      <c r="S492" s="235"/>
      <c r="T492" s="235"/>
      <c r="U492" s="235"/>
      <c r="V492" s="235"/>
      <c r="W492" s="235"/>
      <c r="X492" s="235"/>
      <c r="Y492" s="235"/>
      <c r="Z492" s="235"/>
    </row>
    <row r="493">
      <c r="A493" s="236"/>
      <c r="B493" s="236"/>
      <c r="C493" s="237"/>
      <c r="D493" s="237"/>
      <c r="E493" s="238"/>
      <c r="F493" s="238"/>
      <c r="G493" s="239"/>
      <c r="H493" s="239"/>
      <c r="I493" s="235"/>
      <c r="J493" s="235"/>
      <c r="K493" s="235"/>
      <c r="L493" s="235"/>
      <c r="M493" s="235"/>
      <c r="N493" s="235"/>
      <c r="O493" s="235"/>
      <c r="P493" s="235"/>
      <c r="Q493" s="235"/>
      <c r="R493" s="235"/>
      <c r="S493" s="235"/>
      <c r="T493" s="235"/>
      <c r="U493" s="235"/>
      <c r="V493" s="235"/>
      <c r="W493" s="235"/>
      <c r="X493" s="235"/>
      <c r="Y493" s="235"/>
      <c r="Z493" s="235"/>
    </row>
    <row r="494">
      <c r="A494" s="236"/>
      <c r="B494" s="236"/>
      <c r="C494" s="237"/>
      <c r="D494" s="237"/>
      <c r="E494" s="238"/>
      <c r="F494" s="238"/>
      <c r="G494" s="239"/>
      <c r="H494" s="239"/>
      <c r="I494" s="235"/>
      <c r="J494" s="235"/>
      <c r="K494" s="235"/>
      <c r="L494" s="235"/>
      <c r="M494" s="235"/>
      <c r="N494" s="235"/>
      <c r="O494" s="235"/>
      <c r="P494" s="235"/>
      <c r="Q494" s="235"/>
      <c r="R494" s="235"/>
      <c r="S494" s="235"/>
      <c r="T494" s="235"/>
      <c r="U494" s="235"/>
      <c r="V494" s="235"/>
      <c r="W494" s="235"/>
      <c r="X494" s="235"/>
      <c r="Y494" s="235"/>
      <c r="Z494" s="235"/>
    </row>
    <row r="495">
      <c r="A495" s="236"/>
      <c r="B495" s="236"/>
      <c r="C495" s="237"/>
      <c r="D495" s="237"/>
      <c r="E495" s="238"/>
      <c r="F495" s="238"/>
      <c r="G495" s="239"/>
      <c r="H495" s="239"/>
      <c r="I495" s="235"/>
      <c r="J495" s="235"/>
      <c r="K495" s="235"/>
      <c r="L495" s="235"/>
      <c r="M495" s="235"/>
      <c r="N495" s="235"/>
      <c r="O495" s="235"/>
      <c r="P495" s="235"/>
      <c r="Q495" s="235"/>
      <c r="R495" s="235"/>
      <c r="S495" s="235"/>
      <c r="T495" s="235"/>
      <c r="U495" s="235"/>
      <c r="V495" s="235"/>
      <c r="W495" s="235"/>
      <c r="X495" s="235"/>
      <c r="Y495" s="235"/>
      <c r="Z495" s="235"/>
    </row>
    <row r="496">
      <c r="A496" s="236"/>
      <c r="B496" s="236"/>
      <c r="C496" s="237"/>
      <c r="D496" s="237"/>
      <c r="E496" s="238"/>
      <c r="F496" s="238"/>
      <c r="G496" s="239"/>
      <c r="H496" s="239"/>
      <c r="I496" s="235"/>
      <c r="J496" s="235"/>
      <c r="K496" s="235"/>
      <c r="L496" s="235"/>
      <c r="M496" s="235"/>
      <c r="N496" s="235"/>
      <c r="O496" s="235"/>
      <c r="P496" s="235"/>
      <c r="Q496" s="235"/>
      <c r="R496" s="235"/>
      <c r="S496" s="235"/>
      <c r="T496" s="235"/>
      <c r="U496" s="235"/>
      <c r="V496" s="235"/>
      <c r="W496" s="235"/>
      <c r="X496" s="235"/>
      <c r="Y496" s="235"/>
      <c r="Z496" s="235"/>
    </row>
    <row r="497">
      <c r="A497" s="236"/>
      <c r="B497" s="236"/>
      <c r="C497" s="237"/>
      <c r="D497" s="237"/>
      <c r="E497" s="238"/>
      <c r="F497" s="238"/>
      <c r="G497" s="239"/>
      <c r="H497" s="239"/>
      <c r="I497" s="235"/>
      <c r="J497" s="235"/>
      <c r="K497" s="235"/>
      <c r="L497" s="235"/>
      <c r="M497" s="235"/>
      <c r="N497" s="235"/>
      <c r="O497" s="235"/>
      <c r="P497" s="235"/>
      <c r="Q497" s="235"/>
      <c r="R497" s="235"/>
      <c r="S497" s="235"/>
      <c r="T497" s="235"/>
      <c r="U497" s="235"/>
      <c r="V497" s="235"/>
      <c r="W497" s="235"/>
      <c r="X497" s="235"/>
      <c r="Y497" s="235"/>
      <c r="Z497" s="235"/>
    </row>
    <row r="498">
      <c r="A498" s="236"/>
      <c r="B498" s="236"/>
      <c r="C498" s="237"/>
      <c r="D498" s="237"/>
      <c r="E498" s="238"/>
      <c r="F498" s="238"/>
      <c r="G498" s="239"/>
      <c r="H498" s="239"/>
      <c r="I498" s="235"/>
      <c r="J498" s="235"/>
      <c r="K498" s="235"/>
      <c r="L498" s="235"/>
      <c r="M498" s="235"/>
      <c r="N498" s="235"/>
      <c r="O498" s="235"/>
      <c r="P498" s="235"/>
      <c r="Q498" s="235"/>
      <c r="R498" s="235"/>
      <c r="S498" s="235"/>
      <c r="T498" s="235"/>
      <c r="U498" s="235"/>
      <c r="V498" s="235"/>
      <c r="W498" s="235"/>
      <c r="X498" s="235"/>
      <c r="Y498" s="235"/>
      <c r="Z498" s="235"/>
    </row>
    <row r="499">
      <c r="A499" s="236"/>
      <c r="B499" s="236"/>
      <c r="C499" s="237"/>
      <c r="D499" s="237"/>
      <c r="E499" s="238"/>
      <c r="F499" s="238"/>
      <c r="G499" s="239"/>
      <c r="H499" s="239"/>
      <c r="I499" s="235"/>
      <c r="J499" s="235"/>
      <c r="K499" s="235"/>
      <c r="L499" s="235"/>
      <c r="M499" s="235"/>
      <c r="N499" s="235"/>
      <c r="O499" s="235"/>
      <c r="P499" s="235"/>
      <c r="Q499" s="235"/>
      <c r="R499" s="235"/>
      <c r="S499" s="235"/>
      <c r="T499" s="235"/>
      <c r="U499" s="235"/>
      <c r="V499" s="235"/>
      <c r="W499" s="235"/>
      <c r="X499" s="235"/>
      <c r="Y499" s="235"/>
      <c r="Z499" s="235"/>
    </row>
    <row r="500">
      <c r="A500" s="236"/>
      <c r="B500" s="236"/>
      <c r="C500" s="237"/>
      <c r="D500" s="237"/>
      <c r="E500" s="238"/>
      <c r="F500" s="238"/>
      <c r="G500" s="239"/>
      <c r="H500" s="239"/>
      <c r="I500" s="235"/>
      <c r="J500" s="235"/>
      <c r="K500" s="235"/>
      <c r="L500" s="235"/>
      <c r="M500" s="235"/>
      <c r="N500" s="235"/>
      <c r="O500" s="235"/>
      <c r="P500" s="235"/>
      <c r="Q500" s="235"/>
      <c r="R500" s="235"/>
      <c r="S500" s="235"/>
      <c r="T500" s="235"/>
      <c r="U500" s="235"/>
      <c r="V500" s="235"/>
      <c r="W500" s="235"/>
      <c r="X500" s="235"/>
      <c r="Y500" s="235"/>
      <c r="Z500" s="235"/>
    </row>
    <row r="501">
      <c r="A501" s="236"/>
      <c r="B501" s="236"/>
      <c r="C501" s="237"/>
      <c r="D501" s="237"/>
      <c r="E501" s="238"/>
      <c r="F501" s="238"/>
      <c r="G501" s="239"/>
      <c r="H501" s="239"/>
      <c r="I501" s="235"/>
      <c r="J501" s="235"/>
      <c r="K501" s="235"/>
      <c r="L501" s="235"/>
      <c r="M501" s="235"/>
      <c r="N501" s="235"/>
      <c r="O501" s="235"/>
      <c r="P501" s="235"/>
      <c r="Q501" s="235"/>
      <c r="R501" s="235"/>
      <c r="S501" s="235"/>
      <c r="T501" s="235"/>
      <c r="U501" s="235"/>
      <c r="V501" s="235"/>
      <c r="W501" s="235"/>
      <c r="X501" s="235"/>
      <c r="Y501" s="235"/>
      <c r="Z501" s="235"/>
    </row>
    <row r="502">
      <c r="A502" s="236"/>
      <c r="B502" s="236"/>
      <c r="C502" s="237"/>
      <c r="D502" s="237"/>
      <c r="E502" s="238"/>
      <c r="F502" s="238"/>
      <c r="G502" s="239"/>
      <c r="H502" s="239"/>
      <c r="I502" s="235"/>
      <c r="J502" s="235"/>
      <c r="K502" s="235"/>
      <c r="L502" s="235"/>
      <c r="M502" s="235"/>
      <c r="N502" s="235"/>
      <c r="O502" s="235"/>
      <c r="P502" s="235"/>
      <c r="Q502" s="235"/>
      <c r="R502" s="235"/>
      <c r="S502" s="235"/>
      <c r="T502" s="235"/>
      <c r="U502" s="235"/>
      <c r="V502" s="235"/>
      <c r="W502" s="235"/>
      <c r="X502" s="235"/>
      <c r="Y502" s="235"/>
      <c r="Z502" s="235"/>
    </row>
    <row r="503">
      <c r="A503" s="236"/>
      <c r="B503" s="236"/>
      <c r="C503" s="237"/>
      <c r="D503" s="237"/>
      <c r="E503" s="238"/>
      <c r="F503" s="238"/>
      <c r="G503" s="239"/>
      <c r="H503" s="239"/>
      <c r="I503" s="235"/>
      <c r="J503" s="235"/>
      <c r="K503" s="235"/>
      <c r="L503" s="235"/>
      <c r="M503" s="235"/>
      <c r="N503" s="235"/>
      <c r="O503" s="235"/>
      <c r="P503" s="235"/>
      <c r="Q503" s="235"/>
      <c r="R503" s="235"/>
      <c r="S503" s="235"/>
      <c r="T503" s="235"/>
      <c r="U503" s="235"/>
      <c r="V503" s="235"/>
      <c r="W503" s="235"/>
      <c r="X503" s="235"/>
      <c r="Y503" s="235"/>
      <c r="Z503" s="235"/>
    </row>
    <row r="504">
      <c r="A504" s="236"/>
      <c r="B504" s="236"/>
      <c r="C504" s="237"/>
      <c r="D504" s="237"/>
      <c r="E504" s="238"/>
      <c r="F504" s="238"/>
      <c r="G504" s="239"/>
      <c r="H504" s="239"/>
      <c r="I504" s="235"/>
      <c r="J504" s="235"/>
      <c r="K504" s="235"/>
      <c r="L504" s="235"/>
      <c r="M504" s="235"/>
      <c r="N504" s="235"/>
      <c r="O504" s="235"/>
      <c r="P504" s="235"/>
      <c r="Q504" s="235"/>
      <c r="R504" s="235"/>
      <c r="S504" s="235"/>
      <c r="T504" s="235"/>
      <c r="U504" s="235"/>
      <c r="V504" s="235"/>
      <c r="W504" s="235"/>
      <c r="X504" s="235"/>
      <c r="Y504" s="235"/>
      <c r="Z504" s="235"/>
    </row>
    <row r="505">
      <c r="A505" s="236"/>
      <c r="B505" s="236"/>
      <c r="C505" s="237"/>
      <c r="D505" s="237"/>
      <c r="E505" s="238"/>
      <c r="F505" s="238"/>
      <c r="G505" s="239"/>
      <c r="H505" s="239"/>
      <c r="I505" s="235"/>
      <c r="J505" s="235"/>
      <c r="K505" s="235"/>
      <c r="L505" s="235"/>
      <c r="M505" s="235"/>
      <c r="N505" s="235"/>
      <c r="O505" s="235"/>
      <c r="P505" s="235"/>
      <c r="Q505" s="235"/>
      <c r="R505" s="235"/>
      <c r="S505" s="235"/>
      <c r="T505" s="235"/>
      <c r="U505" s="235"/>
      <c r="V505" s="235"/>
      <c r="W505" s="235"/>
      <c r="X505" s="235"/>
      <c r="Y505" s="235"/>
      <c r="Z505" s="235"/>
    </row>
    <row r="506">
      <c r="A506" s="236"/>
      <c r="B506" s="236"/>
      <c r="C506" s="237"/>
      <c r="D506" s="237"/>
      <c r="E506" s="238"/>
      <c r="F506" s="238"/>
      <c r="G506" s="239"/>
      <c r="H506" s="239"/>
      <c r="I506" s="235"/>
      <c r="J506" s="235"/>
      <c r="K506" s="235"/>
      <c r="L506" s="235"/>
      <c r="M506" s="235"/>
      <c r="N506" s="235"/>
      <c r="O506" s="235"/>
      <c r="P506" s="235"/>
      <c r="Q506" s="235"/>
      <c r="R506" s="235"/>
      <c r="S506" s="235"/>
      <c r="T506" s="235"/>
      <c r="U506" s="235"/>
      <c r="V506" s="235"/>
      <c r="W506" s="235"/>
      <c r="X506" s="235"/>
      <c r="Y506" s="235"/>
      <c r="Z506" s="235"/>
    </row>
    <row r="507">
      <c r="A507" s="236"/>
      <c r="B507" s="236"/>
      <c r="C507" s="237"/>
      <c r="D507" s="237"/>
      <c r="E507" s="238"/>
      <c r="F507" s="238"/>
      <c r="G507" s="239"/>
      <c r="H507" s="239"/>
      <c r="I507" s="235"/>
      <c r="J507" s="235"/>
      <c r="K507" s="235"/>
      <c r="L507" s="235"/>
      <c r="M507" s="235"/>
      <c r="N507" s="235"/>
      <c r="O507" s="235"/>
      <c r="P507" s="235"/>
      <c r="Q507" s="235"/>
      <c r="R507" s="235"/>
      <c r="S507" s="235"/>
      <c r="T507" s="235"/>
      <c r="U507" s="235"/>
      <c r="V507" s="235"/>
      <c r="W507" s="235"/>
      <c r="X507" s="235"/>
      <c r="Y507" s="235"/>
      <c r="Z507" s="235"/>
    </row>
    <row r="508">
      <c r="A508" s="236"/>
      <c r="B508" s="236"/>
      <c r="C508" s="237"/>
      <c r="D508" s="237"/>
      <c r="E508" s="238"/>
      <c r="F508" s="238"/>
      <c r="G508" s="239"/>
      <c r="H508" s="239"/>
      <c r="I508" s="235"/>
      <c r="J508" s="235"/>
      <c r="K508" s="235"/>
      <c r="L508" s="235"/>
      <c r="M508" s="235"/>
      <c r="N508" s="235"/>
      <c r="O508" s="235"/>
      <c r="P508" s="235"/>
      <c r="Q508" s="235"/>
      <c r="R508" s="235"/>
      <c r="S508" s="235"/>
      <c r="T508" s="235"/>
      <c r="U508" s="235"/>
      <c r="V508" s="235"/>
      <c r="W508" s="235"/>
      <c r="X508" s="235"/>
      <c r="Y508" s="235"/>
      <c r="Z508" s="235"/>
    </row>
    <row r="509">
      <c r="A509" s="236"/>
      <c r="B509" s="236"/>
      <c r="C509" s="237"/>
      <c r="D509" s="237"/>
      <c r="E509" s="238"/>
      <c r="F509" s="238"/>
      <c r="G509" s="239"/>
      <c r="H509" s="239"/>
      <c r="I509" s="235"/>
      <c r="J509" s="235"/>
      <c r="K509" s="235"/>
      <c r="L509" s="235"/>
      <c r="M509" s="235"/>
      <c r="N509" s="235"/>
      <c r="O509" s="235"/>
      <c r="P509" s="235"/>
      <c r="Q509" s="235"/>
      <c r="R509" s="235"/>
      <c r="S509" s="235"/>
      <c r="T509" s="235"/>
      <c r="U509" s="235"/>
      <c r="V509" s="235"/>
      <c r="W509" s="235"/>
      <c r="X509" s="235"/>
      <c r="Y509" s="235"/>
      <c r="Z509" s="235"/>
    </row>
    <row r="510">
      <c r="A510" s="236"/>
      <c r="B510" s="236"/>
      <c r="C510" s="237"/>
      <c r="D510" s="237"/>
      <c r="E510" s="238"/>
      <c r="F510" s="238"/>
      <c r="G510" s="239"/>
      <c r="H510" s="239"/>
      <c r="I510" s="235"/>
      <c r="J510" s="235"/>
      <c r="K510" s="235"/>
      <c r="L510" s="235"/>
      <c r="M510" s="235"/>
      <c r="N510" s="235"/>
      <c r="O510" s="235"/>
      <c r="P510" s="235"/>
      <c r="Q510" s="235"/>
      <c r="R510" s="235"/>
      <c r="S510" s="235"/>
      <c r="T510" s="235"/>
      <c r="U510" s="235"/>
      <c r="V510" s="235"/>
      <c r="W510" s="235"/>
      <c r="X510" s="235"/>
      <c r="Y510" s="235"/>
      <c r="Z510" s="235"/>
    </row>
    <row r="511">
      <c r="A511" s="236"/>
      <c r="B511" s="236"/>
      <c r="C511" s="237"/>
      <c r="D511" s="237"/>
      <c r="E511" s="238"/>
      <c r="F511" s="238"/>
      <c r="G511" s="239"/>
      <c r="H511" s="239"/>
      <c r="I511" s="235"/>
      <c r="J511" s="235"/>
      <c r="K511" s="235"/>
      <c r="L511" s="235"/>
      <c r="M511" s="235"/>
      <c r="N511" s="235"/>
      <c r="O511" s="235"/>
      <c r="P511" s="235"/>
      <c r="Q511" s="235"/>
      <c r="R511" s="235"/>
      <c r="S511" s="235"/>
      <c r="T511" s="235"/>
      <c r="U511" s="235"/>
      <c r="V511" s="235"/>
      <c r="W511" s="235"/>
      <c r="X511" s="235"/>
      <c r="Y511" s="235"/>
      <c r="Z511" s="235"/>
    </row>
    <row r="512">
      <c r="A512" s="236"/>
      <c r="B512" s="236"/>
      <c r="C512" s="237"/>
      <c r="D512" s="237"/>
      <c r="E512" s="238"/>
      <c r="F512" s="238"/>
      <c r="G512" s="239"/>
      <c r="H512" s="239"/>
      <c r="I512" s="235"/>
      <c r="J512" s="235"/>
      <c r="K512" s="235"/>
      <c r="L512" s="235"/>
      <c r="M512" s="235"/>
      <c r="N512" s="235"/>
      <c r="O512" s="235"/>
      <c r="P512" s="235"/>
      <c r="Q512" s="235"/>
      <c r="R512" s="235"/>
      <c r="S512" s="235"/>
      <c r="T512" s="235"/>
      <c r="U512" s="235"/>
      <c r="V512" s="235"/>
      <c r="W512" s="235"/>
      <c r="X512" s="235"/>
      <c r="Y512" s="235"/>
      <c r="Z512" s="235"/>
    </row>
    <row r="513">
      <c r="A513" s="236"/>
      <c r="B513" s="236"/>
      <c r="C513" s="237"/>
      <c r="D513" s="237"/>
      <c r="E513" s="238"/>
      <c r="F513" s="238"/>
      <c r="G513" s="239"/>
      <c r="H513" s="239"/>
      <c r="I513" s="235"/>
      <c r="J513" s="235"/>
      <c r="K513" s="235"/>
      <c r="L513" s="235"/>
      <c r="M513" s="235"/>
      <c r="N513" s="235"/>
      <c r="O513" s="235"/>
      <c r="P513" s="235"/>
      <c r="Q513" s="235"/>
      <c r="R513" s="235"/>
      <c r="S513" s="235"/>
      <c r="T513" s="235"/>
      <c r="U513" s="235"/>
      <c r="V513" s="235"/>
      <c r="W513" s="235"/>
      <c r="X513" s="235"/>
      <c r="Y513" s="235"/>
      <c r="Z513" s="235"/>
    </row>
    <row r="514">
      <c r="A514" s="236"/>
      <c r="B514" s="236"/>
      <c r="C514" s="237"/>
      <c r="D514" s="237"/>
      <c r="E514" s="238"/>
      <c r="F514" s="238"/>
      <c r="G514" s="239"/>
      <c r="H514" s="239"/>
      <c r="I514" s="235"/>
      <c r="J514" s="235"/>
      <c r="K514" s="235"/>
      <c r="L514" s="235"/>
      <c r="M514" s="235"/>
      <c r="N514" s="235"/>
      <c r="O514" s="235"/>
      <c r="P514" s="235"/>
      <c r="Q514" s="235"/>
      <c r="R514" s="235"/>
      <c r="S514" s="235"/>
      <c r="T514" s="235"/>
      <c r="U514" s="235"/>
      <c r="V514" s="235"/>
      <c r="W514" s="235"/>
      <c r="X514" s="235"/>
      <c r="Y514" s="235"/>
      <c r="Z514" s="235"/>
    </row>
    <row r="515">
      <c r="A515" s="236"/>
      <c r="B515" s="236"/>
      <c r="C515" s="237"/>
      <c r="D515" s="237"/>
      <c r="E515" s="238"/>
      <c r="F515" s="238"/>
      <c r="G515" s="239"/>
      <c r="H515" s="239"/>
      <c r="I515" s="235"/>
      <c r="J515" s="235"/>
      <c r="K515" s="235"/>
      <c r="L515" s="235"/>
      <c r="M515" s="235"/>
      <c r="N515" s="235"/>
      <c r="O515" s="235"/>
      <c r="P515" s="235"/>
      <c r="Q515" s="235"/>
      <c r="R515" s="235"/>
      <c r="S515" s="235"/>
      <c r="T515" s="235"/>
      <c r="U515" s="235"/>
      <c r="V515" s="235"/>
      <c r="W515" s="235"/>
      <c r="X515" s="235"/>
      <c r="Y515" s="235"/>
      <c r="Z515" s="235"/>
    </row>
    <row r="516">
      <c r="A516" s="236"/>
      <c r="B516" s="236"/>
      <c r="C516" s="237"/>
      <c r="D516" s="237"/>
      <c r="E516" s="238"/>
      <c r="F516" s="238"/>
      <c r="G516" s="239"/>
      <c r="H516" s="239"/>
      <c r="I516" s="235"/>
      <c r="J516" s="235"/>
      <c r="K516" s="235"/>
      <c r="L516" s="235"/>
      <c r="M516" s="235"/>
      <c r="N516" s="235"/>
      <c r="O516" s="235"/>
      <c r="P516" s="235"/>
      <c r="Q516" s="235"/>
      <c r="R516" s="235"/>
      <c r="S516" s="235"/>
      <c r="T516" s="235"/>
      <c r="U516" s="235"/>
      <c r="V516" s="235"/>
      <c r="W516" s="235"/>
      <c r="X516" s="235"/>
      <c r="Y516" s="235"/>
      <c r="Z516" s="235"/>
    </row>
    <row r="517">
      <c r="A517" s="236"/>
      <c r="B517" s="236"/>
      <c r="C517" s="237"/>
      <c r="D517" s="237"/>
      <c r="E517" s="238"/>
      <c r="F517" s="238"/>
      <c r="G517" s="239"/>
      <c r="H517" s="239"/>
      <c r="I517" s="235"/>
      <c r="J517" s="235"/>
      <c r="K517" s="235"/>
      <c r="L517" s="235"/>
      <c r="M517" s="235"/>
      <c r="N517" s="235"/>
      <c r="O517" s="235"/>
      <c r="P517" s="235"/>
      <c r="Q517" s="235"/>
      <c r="R517" s="235"/>
      <c r="S517" s="235"/>
      <c r="T517" s="235"/>
      <c r="U517" s="235"/>
      <c r="V517" s="235"/>
      <c r="W517" s="235"/>
      <c r="X517" s="235"/>
      <c r="Y517" s="235"/>
      <c r="Z517" s="235"/>
    </row>
    <row r="518">
      <c r="A518" s="236"/>
      <c r="B518" s="236"/>
      <c r="C518" s="237"/>
      <c r="D518" s="237"/>
      <c r="E518" s="238"/>
      <c r="F518" s="238"/>
      <c r="G518" s="239"/>
      <c r="H518" s="239"/>
      <c r="I518" s="235"/>
      <c r="J518" s="235"/>
      <c r="K518" s="235"/>
      <c r="L518" s="235"/>
      <c r="M518" s="235"/>
      <c r="N518" s="235"/>
      <c r="O518" s="235"/>
      <c r="P518" s="235"/>
      <c r="Q518" s="235"/>
      <c r="R518" s="235"/>
      <c r="S518" s="235"/>
      <c r="T518" s="235"/>
      <c r="U518" s="235"/>
      <c r="V518" s="235"/>
      <c r="W518" s="235"/>
      <c r="X518" s="235"/>
      <c r="Y518" s="235"/>
      <c r="Z518" s="235"/>
    </row>
    <row r="519">
      <c r="A519" s="236"/>
      <c r="B519" s="236"/>
      <c r="C519" s="237"/>
      <c r="D519" s="237"/>
      <c r="E519" s="238"/>
      <c r="F519" s="238"/>
      <c r="G519" s="239"/>
      <c r="H519" s="239"/>
      <c r="I519" s="235"/>
      <c r="J519" s="235"/>
      <c r="K519" s="235"/>
      <c r="L519" s="235"/>
      <c r="M519" s="235"/>
      <c r="N519" s="235"/>
      <c r="O519" s="235"/>
      <c r="P519" s="235"/>
      <c r="Q519" s="235"/>
      <c r="R519" s="235"/>
      <c r="S519" s="235"/>
      <c r="T519" s="235"/>
      <c r="U519" s="235"/>
      <c r="V519" s="235"/>
      <c r="W519" s="235"/>
      <c r="X519" s="235"/>
      <c r="Y519" s="235"/>
      <c r="Z519" s="235"/>
    </row>
    <row r="520">
      <c r="A520" s="236"/>
      <c r="B520" s="236"/>
      <c r="C520" s="237"/>
      <c r="D520" s="237"/>
      <c r="E520" s="238"/>
      <c r="F520" s="238"/>
      <c r="G520" s="239"/>
      <c r="H520" s="239"/>
      <c r="I520" s="235"/>
      <c r="J520" s="235"/>
      <c r="K520" s="235"/>
      <c r="L520" s="235"/>
      <c r="M520" s="235"/>
      <c r="N520" s="235"/>
      <c r="O520" s="235"/>
      <c r="P520" s="235"/>
      <c r="Q520" s="235"/>
      <c r="R520" s="235"/>
      <c r="S520" s="235"/>
      <c r="T520" s="235"/>
      <c r="U520" s="235"/>
      <c r="V520" s="235"/>
      <c r="W520" s="235"/>
      <c r="X520" s="235"/>
      <c r="Y520" s="235"/>
      <c r="Z520" s="235"/>
    </row>
    <row r="521">
      <c r="A521" s="236"/>
      <c r="B521" s="236"/>
      <c r="C521" s="237"/>
      <c r="D521" s="237"/>
      <c r="E521" s="238"/>
      <c r="F521" s="238"/>
      <c r="G521" s="239"/>
      <c r="H521" s="239"/>
      <c r="I521" s="235"/>
      <c r="J521" s="235"/>
      <c r="K521" s="235"/>
      <c r="L521" s="235"/>
      <c r="M521" s="235"/>
      <c r="N521" s="235"/>
      <c r="O521" s="235"/>
      <c r="P521" s="235"/>
      <c r="Q521" s="235"/>
      <c r="R521" s="235"/>
      <c r="S521" s="235"/>
      <c r="T521" s="235"/>
      <c r="U521" s="235"/>
      <c r="V521" s="235"/>
      <c r="W521" s="235"/>
      <c r="X521" s="235"/>
      <c r="Y521" s="235"/>
      <c r="Z521" s="235"/>
    </row>
    <row r="522">
      <c r="A522" s="236"/>
      <c r="B522" s="236"/>
      <c r="C522" s="237"/>
      <c r="D522" s="237"/>
      <c r="E522" s="238"/>
      <c r="F522" s="238"/>
      <c r="G522" s="239"/>
      <c r="H522" s="239"/>
      <c r="I522" s="235"/>
      <c r="J522" s="235"/>
      <c r="K522" s="235"/>
      <c r="L522" s="235"/>
      <c r="M522" s="235"/>
      <c r="N522" s="235"/>
      <c r="O522" s="235"/>
      <c r="P522" s="235"/>
      <c r="Q522" s="235"/>
      <c r="R522" s="235"/>
      <c r="S522" s="235"/>
      <c r="T522" s="235"/>
      <c r="U522" s="235"/>
      <c r="V522" s="235"/>
      <c r="W522" s="235"/>
      <c r="X522" s="235"/>
      <c r="Y522" s="235"/>
      <c r="Z522" s="235"/>
    </row>
    <row r="523">
      <c r="A523" s="236"/>
      <c r="B523" s="236"/>
      <c r="C523" s="237"/>
      <c r="D523" s="237"/>
      <c r="E523" s="238"/>
      <c r="F523" s="238"/>
      <c r="G523" s="239"/>
      <c r="H523" s="239"/>
      <c r="I523" s="235"/>
      <c r="J523" s="235"/>
      <c r="K523" s="235"/>
      <c r="L523" s="235"/>
      <c r="M523" s="235"/>
      <c r="N523" s="235"/>
      <c r="O523" s="235"/>
      <c r="P523" s="235"/>
      <c r="Q523" s="235"/>
      <c r="R523" s="235"/>
      <c r="S523" s="235"/>
      <c r="T523" s="235"/>
      <c r="U523" s="235"/>
      <c r="V523" s="235"/>
      <c r="W523" s="235"/>
      <c r="X523" s="235"/>
      <c r="Y523" s="235"/>
      <c r="Z523" s="235"/>
    </row>
    <row r="524">
      <c r="A524" s="236"/>
      <c r="B524" s="236"/>
      <c r="C524" s="237"/>
      <c r="D524" s="237"/>
      <c r="E524" s="238"/>
      <c r="F524" s="238"/>
      <c r="G524" s="239"/>
      <c r="H524" s="239"/>
      <c r="I524" s="235"/>
      <c r="J524" s="235"/>
      <c r="K524" s="235"/>
      <c r="L524" s="235"/>
      <c r="M524" s="235"/>
      <c r="N524" s="235"/>
      <c r="O524" s="235"/>
      <c r="P524" s="235"/>
      <c r="Q524" s="235"/>
      <c r="R524" s="235"/>
      <c r="S524" s="235"/>
      <c r="T524" s="235"/>
      <c r="U524" s="235"/>
      <c r="V524" s="235"/>
      <c r="W524" s="235"/>
      <c r="X524" s="235"/>
      <c r="Y524" s="235"/>
      <c r="Z524" s="235"/>
    </row>
    <row r="525">
      <c r="A525" s="236"/>
      <c r="B525" s="236"/>
      <c r="C525" s="237"/>
      <c r="D525" s="237"/>
      <c r="E525" s="238"/>
      <c r="F525" s="238"/>
      <c r="G525" s="239"/>
      <c r="H525" s="239"/>
      <c r="I525" s="235"/>
      <c r="J525" s="235"/>
      <c r="K525" s="235"/>
      <c r="L525" s="235"/>
      <c r="M525" s="235"/>
      <c r="N525" s="235"/>
      <c r="O525" s="235"/>
      <c r="P525" s="235"/>
      <c r="Q525" s="235"/>
      <c r="R525" s="235"/>
      <c r="S525" s="235"/>
      <c r="T525" s="235"/>
      <c r="U525" s="235"/>
      <c r="V525" s="235"/>
      <c r="W525" s="235"/>
      <c r="X525" s="235"/>
      <c r="Y525" s="235"/>
      <c r="Z525" s="235"/>
    </row>
    <row r="526">
      <c r="A526" s="236"/>
      <c r="B526" s="236"/>
      <c r="C526" s="237"/>
      <c r="D526" s="237"/>
      <c r="E526" s="238"/>
      <c r="F526" s="238"/>
      <c r="G526" s="239"/>
      <c r="H526" s="239"/>
      <c r="I526" s="235"/>
      <c r="J526" s="235"/>
      <c r="K526" s="235"/>
      <c r="L526" s="235"/>
      <c r="M526" s="235"/>
      <c r="N526" s="235"/>
      <c r="O526" s="235"/>
      <c r="P526" s="235"/>
      <c r="Q526" s="235"/>
      <c r="R526" s="235"/>
      <c r="S526" s="235"/>
      <c r="T526" s="235"/>
      <c r="U526" s="235"/>
      <c r="V526" s="235"/>
      <c r="W526" s="235"/>
      <c r="X526" s="235"/>
      <c r="Y526" s="235"/>
      <c r="Z526" s="235"/>
    </row>
    <row r="527">
      <c r="A527" s="236"/>
      <c r="B527" s="236"/>
      <c r="C527" s="237"/>
      <c r="D527" s="237"/>
      <c r="E527" s="238"/>
      <c r="F527" s="238"/>
      <c r="G527" s="239"/>
      <c r="H527" s="239"/>
      <c r="I527" s="235"/>
      <c r="J527" s="235"/>
      <c r="K527" s="235"/>
      <c r="L527" s="235"/>
      <c r="M527" s="235"/>
      <c r="N527" s="235"/>
      <c r="O527" s="235"/>
      <c r="P527" s="235"/>
      <c r="Q527" s="235"/>
      <c r="R527" s="235"/>
      <c r="S527" s="235"/>
      <c r="T527" s="235"/>
      <c r="U527" s="235"/>
      <c r="V527" s="235"/>
      <c r="W527" s="235"/>
      <c r="X527" s="235"/>
      <c r="Y527" s="235"/>
      <c r="Z527" s="235"/>
    </row>
    <row r="528">
      <c r="A528" s="236"/>
      <c r="B528" s="236"/>
      <c r="C528" s="237"/>
      <c r="D528" s="237"/>
      <c r="E528" s="238"/>
      <c r="F528" s="238"/>
      <c r="G528" s="239"/>
      <c r="H528" s="239"/>
      <c r="I528" s="235"/>
      <c r="J528" s="235"/>
      <c r="K528" s="235"/>
      <c r="L528" s="235"/>
      <c r="M528" s="235"/>
      <c r="N528" s="235"/>
      <c r="O528" s="235"/>
      <c r="P528" s="235"/>
      <c r="Q528" s="235"/>
      <c r="R528" s="235"/>
      <c r="S528" s="235"/>
      <c r="T528" s="235"/>
      <c r="U528" s="235"/>
      <c r="V528" s="235"/>
      <c r="W528" s="235"/>
      <c r="X528" s="235"/>
      <c r="Y528" s="235"/>
      <c r="Z528" s="235"/>
    </row>
    <row r="529">
      <c r="A529" s="236"/>
      <c r="B529" s="236"/>
      <c r="C529" s="237"/>
      <c r="D529" s="237"/>
      <c r="E529" s="238"/>
      <c r="F529" s="238"/>
      <c r="G529" s="239"/>
      <c r="H529" s="239"/>
      <c r="I529" s="235"/>
      <c r="J529" s="235"/>
      <c r="K529" s="235"/>
      <c r="L529" s="235"/>
      <c r="M529" s="235"/>
      <c r="N529" s="235"/>
      <c r="O529" s="235"/>
      <c r="P529" s="235"/>
      <c r="Q529" s="235"/>
      <c r="R529" s="235"/>
      <c r="S529" s="235"/>
      <c r="T529" s="235"/>
      <c r="U529" s="235"/>
      <c r="V529" s="235"/>
      <c r="W529" s="235"/>
      <c r="X529" s="235"/>
      <c r="Y529" s="235"/>
      <c r="Z529" s="235"/>
    </row>
    <row r="530">
      <c r="A530" s="236"/>
      <c r="B530" s="236"/>
      <c r="C530" s="237"/>
      <c r="D530" s="237"/>
      <c r="E530" s="238"/>
      <c r="F530" s="238"/>
      <c r="G530" s="239"/>
      <c r="H530" s="239"/>
      <c r="I530" s="235"/>
      <c r="J530" s="235"/>
      <c r="K530" s="235"/>
      <c r="L530" s="235"/>
      <c r="M530" s="235"/>
      <c r="N530" s="235"/>
      <c r="O530" s="235"/>
      <c r="P530" s="235"/>
      <c r="Q530" s="235"/>
      <c r="R530" s="235"/>
      <c r="S530" s="235"/>
      <c r="T530" s="235"/>
      <c r="U530" s="235"/>
      <c r="V530" s="235"/>
      <c r="W530" s="235"/>
      <c r="X530" s="235"/>
      <c r="Y530" s="235"/>
      <c r="Z530" s="235"/>
    </row>
    <row r="531">
      <c r="A531" s="236"/>
      <c r="B531" s="236"/>
      <c r="C531" s="237"/>
      <c r="D531" s="237"/>
      <c r="E531" s="238"/>
      <c r="F531" s="238"/>
      <c r="G531" s="239"/>
      <c r="H531" s="239"/>
      <c r="I531" s="235"/>
      <c r="J531" s="235"/>
      <c r="K531" s="235"/>
      <c r="L531" s="235"/>
      <c r="M531" s="235"/>
      <c r="N531" s="235"/>
      <c r="O531" s="235"/>
      <c r="P531" s="235"/>
      <c r="Q531" s="235"/>
      <c r="R531" s="235"/>
      <c r="S531" s="235"/>
      <c r="T531" s="235"/>
      <c r="U531" s="235"/>
      <c r="V531" s="235"/>
      <c r="W531" s="235"/>
      <c r="X531" s="235"/>
      <c r="Y531" s="235"/>
      <c r="Z531" s="235"/>
    </row>
    <row r="532">
      <c r="A532" s="236"/>
      <c r="B532" s="236"/>
      <c r="C532" s="237"/>
      <c r="D532" s="237"/>
      <c r="E532" s="238"/>
      <c r="F532" s="238"/>
      <c r="G532" s="239"/>
      <c r="H532" s="239"/>
      <c r="I532" s="235"/>
      <c r="J532" s="235"/>
      <c r="K532" s="235"/>
      <c r="L532" s="235"/>
      <c r="M532" s="235"/>
      <c r="N532" s="235"/>
      <c r="O532" s="235"/>
      <c r="P532" s="235"/>
      <c r="Q532" s="235"/>
      <c r="R532" s="235"/>
      <c r="S532" s="235"/>
      <c r="T532" s="235"/>
      <c r="U532" s="235"/>
      <c r="V532" s="235"/>
      <c r="W532" s="235"/>
      <c r="X532" s="235"/>
      <c r="Y532" s="235"/>
      <c r="Z532" s="235"/>
    </row>
    <row r="533">
      <c r="A533" s="236"/>
      <c r="B533" s="236"/>
      <c r="C533" s="237"/>
      <c r="D533" s="237"/>
      <c r="E533" s="238"/>
      <c r="F533" s="238"/>
      <c r="G533" s="239"/>
      <c r="H533" s="239"/>
      <c r="I533" s="235"/>
      <c r="J533" s="235"/>
      <c r="K533" s="235"/>
      <c r="L533" s="235"/>
      <c r="M533" s="235"/>
      <c r="N533" s="235"/>
      <c r="O533" s="235"/>
      <c r="P533" s="235"/>
      <c r="Q533" s="235"/>
      <c r="R533" s="235"/>
      <c r="S533" s="235"/>
      <c r="T533" s="235"/>
      <c r="U533" s="235"/>
      <c r="V533" s="235"/>
      <c r="W533" s="235"/>
      <c r="X533" s="235"/>
      <c r="Y533" s="235"/>
      <c r="Z533" s="235"/>
    </row>
    <row r="534">
      <c r="A534" s="236"/>
      <c r="B534" s="236"/>
      <c r="C534" s="237"/>
      <c r="D534" s="237"/>
      <c r="E534" s="238"/>
      <c r="F534" s="238"/>
      <c r="G534" s="239"/>
      <c r="H534" s="239"/>
      <c r="I534" s="235"/>
      <c r="J534" s="235"/>
      <c r="K534" s="235"/>
      <c r="L534" s="235"/>
      <c r="M534" s="235"/>
      <c r="N534" s="235"/>
      <c r="O534" s="235"/>
      <c r="P534" s="235"/>
      <c r="Q534" s="235"/>
      <c r="R534" s="235"/>
      <c r="S534" s="235"/>
      <c r="T534" s="235"/>
      <c r="U534" s="235"/>
      <c r="V534" s="235"/>
      <c r="W534" s="235"/>
      <c r="X534" s="235"/>
      <c r="Y534" s="235"/>
      <c r="Z534" s="235"/>
    </row>
    <row r="535">
      <c r="A535" s="236"/>
      <c r="B535" s="236"/>
      <c r="C535" s="237"/>
      <c r="D535" s="237"/>
      <c r="E535" s="238"/>
      <c r="F535" s="238"/>
      <c r="G535" s="239"/>
      <c r="H535" s="239"/>
      <c r="I535" s="235"/>
      <c r="J535" s="235"/>
      <c r="K535" s="235"/>
      <c r="L535" s="235"/>
      <c r="M535" s="235"/>
      <c r="N535" s="235"/>
      <c r="O535" s="235"/>
      <c r="P535" s="235"/>
      <c r="Q535" s="235"/>
      <c r="R535" s="235"/>
      <c r="S535" s="235"/>
      <c r="T535" s="235"/>
      <c r="U535" s="235"/>
      <c r="V535" s="235"/>
      <c r="W535" s="235"/>
      <c r="X535" s="235"/>
      <c r="Y535" s="235"/>
      <c r="Z535" s="235"/>
    </row>
    <row r="536">
      <c r="A536" s="236"/>
      <c r="B536" s="236"/>
      <c r="C536" s="237"/>
      <c r="D536" s="237"/>
      <c r="E536" s="238"/>
      <c r="F536" s="238"/>
      <c r="G536" s="239"/>
      <c r="H536" s="239"/>
      <c r="I536" s="235"/>
      <c r="J536" s="235"/>
      <c r="K536" s="235"/>
      <c r="L536" s="235"/>
      <c r="M536" s="235"/>
      <c r="N536" s="235"/>
      <c r="O536" s="235"/>
      <c r="P536" s="235"/>
      <c r="Q536" s="235"/>
      <c r="R536" s="235"/>
      <c r="S536" s="235"/>
      <c r="T536" s="235"/>
      <c r="U536" s="235"/>
      <c r="V536" s="235"/>
      <c r="W536" s="235"/>
      <c r="X536" s="235"/>
      <c r="Y536" s="235"/>
      <c r="Z536" s="235"/>
    </row>
    <row r="537">
      <c r="A537" s="236"/>
      <c r="B537" s="236"/>
      <c r="C537" s="237"/>
      <c r="D537" s="237"/>
      <c r="E537" s="238"/>
      <c r="F537" s="238"/>
      <c r="G537" s="239"/>
      <c r="H537" s="239"/>
      <c r="I537" s="235"/>
      <c r="J537" s="235"/>
      <c r="K537" s="235"/>
      <c r="L537" s="235"/>
      <c r="M537" s="235"/>
      <c r="N537" s="235"/>
      <c r="O537" s="235"/>
      <c r="P537" s="235"/>
      <c r="Q537" s="235"/>
      <c r="R537" s="235"/>
      <c r="S537" s="235"/>
      <c r="T537" s="235"/>
      <c r="U537" s="235"/>
      <c r="V537" s="235"/>
      <c r="W537" s="235"/>
      <c r="X537" s="235"/>
      <c r="Y537" s="235"/>
      <c r="Z537" s="235"/>
    </row>
    <row r="538">
      <c r="A538" s="236"/>
      <c r="B538" s="236"/>
      <c r="C538" s="237"/>
      <c r="D538" s="237"/>
      <c r="E538" s="238"/>
      <c r="F538" s="238"/>
      <c r="G538" s="239"/>
      <c r="H538" s="239"/>
      <c r="I538" s="235"/>
      <c r="J538" s="235"/>
      <c r="K538" s="235"/>
      <c r="L538" s="235"/>
      <c r="M538" s="235"/>
      <c r="N538" s="235"/>
      <c r="O538" s="235"/>
      <c r="P538" s="235"/>
      <c r="Q538" s="235"/>
      <c r="R538" s="235"/>
      <c r="S538" s="235"/>
      <c r="T538" s="235"/>
      <c r="U538" s="235"/>
      <c r="V538" s="235"/>
      <c r="W538" s="235"/>
      <c r="X538" s="235"/>
      <c r="Y538" s="235"/>
      <c r="Z538" s="235"/>
    </row>
    <row r="539">
      <c r="A539" s="236"/>
      <c r="B539" s="236"/>
      <c r="C539" s="237"/>
      <c r="D539" s="237"/>
      <c r="E539" s="238"/>
      <c r="F539" s="238"/>
      <c r="G539" s="239"/>
      <c r="H539" s="239"/>
      <c r="I539" s="235"/>
      <c r="J539" s="235"/>
      <c r="K539" s="235"/>
      <c r="L539" s="235"/>
      <c r="M539" s="235"/>
      <c r="N539" s="235"/>
      <c r="O539" s="235"/>
      <c r="P539" s="235"/>
      <c r="Q539" s="235"/>
      <c r="R539" s="235"/>
      <c r="S539" s="235"/>
      <c r="T539" s="235"/>
      <c r="U539" s="235"/>
      <c r="V539" s="235"/>
      <c r="W539" s="235"/>
      <c r="X539" s="235"/>
      <c r="Y539" s="235"/>
      <c r="Z539" s="235"/>
    </row>
    <row r="540">
      <c r="A540" s="236"/>
      <c r="B540" s="236"/>
      <c r="C540" s="237"/>
      <c r="D540" s="237"/>
      <c r="E540" s="238"/>
      <c r="F540" s="238"/>
      <c r="G540" s="239"/>
      <c r="H540" s="239"/>
      <c r="I540" s="235"/>
      <c r="J540" s="235"/>
      <c r="K540" s="235"/>
      <c r="L540" s="235"/>
      <c r="M540" s="235"/>
      <c r="N540" s="235"/>
      <c r="O540" s="235"/>
      <c r="P540" s="235"/>
      <c r="Q540" s="235"/>
      <c r="R540" s="235"/>
      <c r="S540" s="235"/>
      <c r="T540" s="235"/>
      <c r="U540" s="235"/>
      <c r="V540" s="235"/>
      <c r="W540" s="235"/>
      <c r="X540" s="235"/>
      <c r="Y540" s="235"/>
      <c r="Z540" s="235"/>
    </row>
    <row r="541">
      <c r="A541" s="236"/>
      <c r="B541" s="236"/>
      <c r="C541" s="237"/>
      <c r="D541" s="237"/>
      <c r="E541" s="238"/>
      <c r="F541" s="238"/>
      <c r="G541" s="239"/>
      <c r="H541" s="239"/>
      <c r="I541" s="235"/>
      <c r="J541" s="235"/>
      <c r="K541" s="235"/>
      <c r="L541" s="235"/>
      <c r="M541" s="235"/>
      <c r="N541" s="235"/>
      <c r="O541" s="235"/>
      <c r="P541" s="235"/>
      <c r="Q541" s="235"/>
      <c r="R541" s="235"/>
      <c r="S541" s="235"/>
      <c r="T541" s="235"/>
      <c r="U541" s="235"/>
      <c r="V541" s="235"/>
      <c r="W541" s="235"/>
      <c r="X541" s="235"/>
      <c r="Y541" s="235"/>
      <c r="Z541" s="235"/>
    </row>
    <row r="542">
      <c r="A542" s="236"/>
      <c r="B542" s="236"/>
      <c r="C542" s="237"/>
      <c r="D542" s="237"/>
      <c r="E542" s="238"/>
      <c r="F542" s="238"/>
      <c r="G542" s="239"/>
      <c r="H542" s="239"/>
      <c r="I542" s="235"/>
      <c r="J542" s="235"/>
      <c r="K542" s="235"/>
      <c r="L542" s="235"/>
      <c r="M542" s="235"/>
      <c r="N542" s="235"/>
      <c r="O542" s="235"/>
      <c r="P542" s="235"/>
      <c r="Q542" s="235"/>
      <c r="R542" s="235"/>
      <c r="S542" s="235"/>
      <c r="T542" s="235"/>
      <c r="U542" s="235"/>
      <c r="V542" s="235"/>
      <c r="W542" s="235"/>
      <c r="X542" s="235"/>
      <c r="Y542" s="235"/>
      <c r="Z542" s="235"/>
    </row>
    <row r="543">
      <c r="A543" s="236"/>
      <c r="B543" s="236"/>
      <c r="C543" s="237"/>
      <c r="D543" s="237"/>
      <c r="E543" s="238"/>
      <c r="F543" s="238"/>
      <c r="G543" s="239"/>
      <c r="H543" s="239"/>
      <c r="I543" s="235"/>
      <c r="J543" s="235"/>
      <c r="K543" s="235"/>
      <c r="L543" s="235"/>
      <c r="M543" s="235"/>
      <c r="N543" s="235"/>
      <c r="O543" s="235"/>
      <c r="P543" s="235"/>
      <c r="Q543" s="235"/>
      <c r="R543" s="235"/>
      <c r="S543" s="235"/>
      <c r="T543" s="235"/>
      <c r="U543" s="235"/>
      <c r="V543" s="235"/>
      <c r="W543" s="235"/>
      <c r="X543" s="235"/>
      <c r="Y543" s="235"/>
      <c r="Z543" s="235"/>
    </row>
    <row r="544">
      <c r="A544" s="236"/>
      <c r="B544" s="236"/>
      <c r="C544" s="237"/>
      <c r="D544" s="237"/>
      <c r="E544" s="238"/>
      <c r="F544" s="238"/>
      <c r="G544" s="239"/>
      <c r="H544" s="239"/>
      <c r="I544" s="235"/>
      <c r="J544" s="235"/>
      <c r="K544" s="235"/>
      <c r="L544" s="235"/>
      <c r="M544" s="235"/>
      <c r="N544" s="235"/>
      <c r="O544" s="235"/>
      <c r="P544" s="235"/>
      <c r="Q544" s="235"/>
      <c r="R544" s="235"/>
      <c r="S544" s="235"/>
      <c r="T544" s="235"/>
      <c r="U544" s="235"/>
      <c r="V544" s="235"/>
      <c r="W544" s="235"/>
      <c r="X544" s="235"/>
      <c r="Y544" s="235"/>
      <c r="Z544" s="235"/>
    </row>
    <row r="545">
      <c r="A545" s="236"/>
      <c r="B545" s="236"/>
      <c r="C545" s="237"/>
      <c r="D545" s="237"/>
      <c r="E545" s="238"/>
      <c r="F545" s="238"/>
      <c r="G545" s="239"/>
      <c r="H545" s="239"/>
      <c r="I545" s="235"/>
      <c r="J545" s="235"/>
      <c r="K545" s="235"/>
      <c r="L545" s="235"/>
      <c r="M545" s="235"/>
      <c r="N545" s="235"/>
      <c r="O545" s="235"/>
      <c r="P545" s="235"/>
      <c r="Q545" s="235"/>
      <c r="R545" s="235"/>
      <c r="S545" s="235"/>
      <c r="T545" s="235"/>
      <c r="U545" s="235"/>
      <c r="V545" s="235"/>
      <c r="W545" s="235"/>
      <c r="X545" s="235"/>
      <c r="Y545" s="235"/>
      <c r="Z545" s="235"/>
    </row>
    <row r="546">
      <c r="A546" s="236"/>
      <c r="B546" s="236"/>
      <c r="C546" s="237"/>
      <c r="D546" s="237"/>
      <c r="E546" s="238"/>
      <c r="F546" s="238"/>
      <c r="G546" s="239"/>
      <c r="H546" s="239"/>
      <c r="I546" s="235"/>
      <c r="J546" s="235"/>
      <c r="K546" s="235"/>
      <c r="L546" s="235"/>
      <c r="M546" s="235"/>
      <c r="N546" s="235"/>
      <c r="O546" s="235"/>
      <c r="P546" s="235"/>
      <c r="Q546" s="235"/>
      <c r="R546" s="235"/>
      <c r="S546" s="235"/>
      <c r="T546" s="235"/>
      <c r="U546" s="235"/>
      <c r="V546" s="235"/>
      <c r="W546" s="235"/>
      <c r="X546" s="235"/>
      <c r="Y546" s="235"/>
      <c r="Z546" s="235"/>
    </row>
    <row r="547">
      <c r="A547" s="236"/>
      <c r="B547" s="236"/>
      <c r="C547" s="237"/>
      <c r="D547" s="237"/>
      <c r="E547" s="238"/>
      <c r="F547" s="238"/>
      <c r="G547" s="239"/>
      <c r="H547" s="239"/>
      <c r="I547" s="235"/>
      <c r="J547" s="235"/>
      <c r="K547" s="235"/>
      <c r="L547" s="235"/>
      <c r="M547" s="235"/>
      <c r="N547" s="235"/>
      <c r="O547" s="235"/>
      <c r="P547" s="235"/>
      <c r="Q547" s="235"/>
      <c r="R547" s="235"/>
      <c r="S547" s="235"/>
      <c r="T547" s="235"/>
      <c r="U547" s="235"/>
      <c r="V547" s="235"/>
      <c r="W547" s="235"/>
      <c r="X547" s="235"/>
      <c r="Y547" s="235"/>
      <c r="Z547" s="235"/>
    </row>
    <row r="548">
      <c r="A548" s="236"/>
      <c r="B548" s="236"/>
      <c r="C548" s="237"/>
      <c r="D548" s="237"/>
      <c r="E548" s="238"/>
      <c r="F548" s="238"/>
      <c r="G548" s="239"/>
      <c r="H548" s="239"/>
      <c r="I548" s="235"/>
      <c r="J548" s="235"/>
      <c r="K548" s="235"/>
      <c r="L548" s="235"/>
      <c r="M548" s="235"/>
      <c r="N548" s="235"/>
      <c r="O548" s="235"/>
      <c r="P548" s="235"/>
      <c r="Q548" s="235"/>
      <c r="R548" s="235"/>
      <c r="S548" s="235"/>
      <c r="T548" s="235"/>
      <c r="U548" s="235"/>
      <c r="V548" s="235"/>
      <c r="W548" s="235"/>
      <c r="X548" s="235"/>
      <c r="Y548" s="235"/>
      <c r="Z548" s="235"/>
    </row>
    <row r="549">
      <c r="A549" s="236"/>
      <c r="B549" s="236"/>
      <c r="C549" s="237"/>
      <c r="D549" s="237"/>
      <c r="E549" s="238"/>
      <c r="F549" s="238"/>
      <c r="G549" s="239"/>
      <c r="H549" s="239"/>
      <c r="I549" s="235"/>
      <c r="J549" s="235"/>
      <c r="K549" s="235"/>
      <c r="L549" s="235"/>
      <c r="M549" s="235"/>
      <c r="N549" s="235"/>
      <c r="O549" s="235"/>
      <c r="P549" s="235"/>
      <c r="Q549" s="235"/>
      <c r="R549" s="235"/>
      <c r="S549" s="235"/>
      <c r="T549" s="235"/>
      <c r="U549" s="235"/>
      <c r="V549" s="235"/>
      <c r="W549" s="235"/>
      <c r="X549" s="235"/>
      <c r="Y549" s="235"/>
      <c r="Z549" s="235"/>
    </row>
    <row r="550">
      <c r="A550" s="236"/>
      <c r="B550" s="236"/>
      <c r="C550" s="237"/>
      <c r="D550" s="237"/>
      <c r="E550" s="238"/>
      <c r="F550" s="238"/>
      <c r="G550" s="239"/>
      <c r="H550" s="239"/>
      <c r="I550" s="235"/>
      <c r="J550" s="235"/>
      <c r="K550" s="235"/>
      <c r="L550" s="235"/>
      <c r="M550" s="235"/>
      <c r="N550" s="235"/>
      <c r="O550" s="235"/>
      <c r="P550" s="235"/>
      <c r="Q550" s="235"/>
      <c r="R550" s="235"/>
      <c r="S550" s="235"/>
      <c r="T550" s="235"/>
      <c r="U550" s="235"/>
      <c r="V550" s="235"/>
      <c r="W550" s="235"/>
      <c r="X550" s="235"/>
      <c r="Y550" s="235"/>
      <c r="Z550" s="235"/>
    </row>
    <row r="551">
      <c r="A551" s="236"/>
      <c r="B551" s="236"/>
      <c r="C551" s="237"/>
      <c r="D551" s="237"/>
      <c r="E551" s="238"/>
      <c r="F551" s="238"/>
      <c r="G551" s="239"/>
      <c r="H551" s="239"/>
      <c r="I551" s="235"/>
      <c r="J551" s="235"/>
      <c r="K551" s="235"/>
      <c r="L551" s="235"/>
      <c r="M551" s="235"/>
      <c r="N551" s="235"/>
      <c r="O551" s="235"/>
      <c r="P551" s="235"/>
      <c r="Q551" s="235"/>
      <c r="R551" s="235"/>
      <c r="S551" s="235"/>
      <c r="T551" s="235"/>
      <c r="U551" s="235"/>
      <c r="V551" s="235"/>
      <c r="W551" s="235"/>
      <c r="X551" s="235"/>
      <c r="Y551" s="235"/>
      <c r="Z551" s="235"/>
    </row>
    <row r="552">
      <c r="A552" s="236"/>
      <c r="B552" s="236"/>
      <c r="C552" s="237"/>
      <c r="D552" s="237"/>
      <c r="E552" s="238"/>
      <c r="F552" s="238"/>
      <c r="G552" s="239"/>
      <c r="H552" s="239"/>
      <c r="I552" s="235"/>
      <c r="J552" s="235"/>
      <c r="K552" s="235"/>
      <c r="L552" s="235"/>
      <c r="M552" s="235"/>
      <c r="N552" s="235"/>
      <c r="O552" s="235"/>
      <c r="P552" s="235"/>
      <c r="Q552" s="235"/>
      <c r="R552" s="235"/>
      <c r="S552" s="235"/>
      <c r="T552" s="235"/>
      <c r="U552" s="235"/>
      <c r="V552" s="235"/>
      <c r="W552" s="235"/>
      <c r="X552" s="235"/>
      <c r="Y552" s="235"/>
      <c r="Z552" s="235"/>
    </row>
    <row r="553">
      <c r="A553" s="236"/>
      <c r="B553" s="236"/>
      <c r="C553" s="237"/>
      <c r="D553" s="237"/>
      <c r="E553" s="238"/>
      <c r="F553" s="238"/>
      <c r="G553" s="239"/>
      <c r="H553" s="239"/>
      <c r="I553" s="235"/>
      <c r="J553" s="235"/>
      <c r="K553" s="235"/>
      <c r="L553" s="235"/>
      <c r="M553" s="235"/>
      <c r="N553" s="235"/>
      <c r="O553" s="235"/>
      <c r="P553" s="235"/>
      <c r="Q553" s="235"/>
      <c r="R553" s="235"/>
      <c r="S553" s="235"/>
      <c r="T553" s="235"/>
      <c r="U553" s="235"/>
      <c r="V553" s="235"/>
      <c r="W553" s="235"/>
      <c r="X553" s="235"/>
      <c r="Y553" s="235"/>
      <c r="Z553" s="235"/>
    </row>
    <row r="554">
      <c r="A554" s="236"/>
      <c r="B554" s="236"/>
      <c r="C554" s="237"/>
      <c r="D554" s="237"/>
      <c r="E554" s="238"/>
      <c r="F554" s="238"/>
      <c r="G554" s="239"/>
      <c r="H554" s="239"/>
      <c r="I554" s="235"/>
      <c r="J554" s="235"/>
      <c r="K554" s="235"/>
      <c r="L554" s="235"/>
      <c r="M554" s="235"/>
      <c r="N554" s="235"/>
      <c r="O554" s="235"/>
      <c r="P554" s="235"/>
      <c r="Q554" s="235"/>
      <c r="R554" s="235"/>
      <c r="S554" s="235"/>
      <c r="T554" s="235"/>
      <c r="U554" s="235"/>
      <c r="V554" s="235"/>
      <c r="W554" s="235"/>
      <c r="X554" s="235"/>
      <c r="Y554" s="235"/>
      <c r="Z554" s="235"/>
    </row>
    <row r="555">
      <c r="A555" s="236"/>
      <c r="B555" s="236"/>
      <c r="C555" s="237"/>
      <c r="D555" s="237"/>
      <c r="E555" s="238"/>
      <c r="F555" s="238"/>
      <c r="G555" s="239"/>
      <c r="H555" s="239"/>
      <c r="I555" s="235"/>
      <c r="J555" s="235"/>
      <c r="K555" s="235"/>
      <c r="L555" s="235"/>
      <c r="M555" s="235"/>
      <c r="N555" s="235"/>
      <c r="O555" s="235"/>
      <c r="P555" s="235"/>
      <c r="Q555" s="235"/>
      <c r="R555" s="235"/>
      <c r="S555" s="235"/>
      <c r="T555" s="235"/>
      <c r="U555" s="235"/>
      <c r="V555" s="235"/>
      <c r="W555" s="235"/>
      <c r="X555" s="235"/>
      <c r="Y555" s="235"/>
      <c r="Z555" s="235"/>
    </row>
    <row r="556">
      <c r="A556" s="236"/>
      <c r="B556" s="236"/>
      <c r="C556" s="237"/>
      <c r="D556" s="237"/>
      <c r="E556" s="238"/>
      <c r="F556" s="238"/>
      <c r="G556" s="239"/>
      <c r="H556" s="239"/>
      <c r="I556" s="235"/>
      <c r="J556" s="235"/>
      <c r="K556" s="235"/>
      <c r="L556" s="235"/>
      <c r="M556" s="235"/>
      <c r="N556" s="235"/>
      <c r="O556" s="235"/>
      <c r="P556" s="235"/>
      <c r="Q556" s="235"/>
      <c r="R556" s="235"/>
      <c r="S556" s="235"/>
      <c r="T556" s="235"/>
      <c r="U556" s="235"/>
      <c r="V556" s="235"/>
      <c r="W556" s="235"/>
      <c r="X556" s="235"/>
      <c r="Y556" s="235"/>
      <c r="Z556" s="235"/>
    </row>
    <row r="557">
      <c r="A557" s="236"/>
      <c r="B557" s="236"/>
      <c r="C557" s="237"/>
      <c r="D557" s="237"/>
      <c r="E557" s="238"/>
      <c r="F557" s="238"/>
      <c r="G557" s="239"/>
      <c r="H557" s="239"/>
      <c r="I557" s="235"/>
      <c r="J557" s="235"/>
      <c r="K557" s="235"/>
      <c r="L557" s="235"/>
      <c r="M557" s="235"/>
      <c r="N557" s="235"/>
      <c r="O557" s="235"/>
      <c r="P557" s="235"/>
      <c r="Q557" s="235"/>
      <c r="R557" s="235"/>
      <c r="S557" s="235"/>
      <c r="T557" s="235"/>
      <c r="U557" s="235"/>
      <c r="V557" s="235"/>
      <c r="W557" s="235"/>
      <c r="X557" s="235"/>
      <c r="Y557" s="235"/>
      <c r="Z557" s="235"/>
    </row>
    <row r="558">
      <c r="A558" s="236"/>
      <c r="B558" s="236"/>
      <c r="C558" s="237"/>
      <c r="D558" s="237"/>
      <c r="E558" s="238"/>
      <c r="F558" s="238"/>
      <c r="G558" s="239"/>
      <c r="H558" s="239"/>
      <c r="I558" s="235"/>
      <c r="J558" s="235"/>
      <c r="K558" s="235"/>
      <c r="L558" s="235"/>
      <c r="M558" s="235"/>
      <c r="N558" s="235"/>
      <c r="O558" s="235"/>
      <c r="P558" s="235"/>
      <c r="Q558" s="235"/>
      <c r="R558" s="235"/>
      <c r="S558" s="235"/>
      <c r="T558" s="235"/>
      <c r="U558" s="235"/>
      <c r="V558" s="235"/>
      <c r="W558" s="235"/>
      <c r="X558" s="235"/>
      <c r="Y558" s="235"/>
      <c r="Z558" s="235"/>
    </row>
    <row r="559">
      <c r="A559" s="236"/>
      <c r="B559" s="236"/>
      <c r="C559" s="237"/>
      <c r="D559" s="237"/>
      <c r="E559" s="238"/>
      <c r="F559" s="238"/>
      <c r="G559" s="239"/>
      <c r="H559" s="239"/>
      <c r="I559" s="235"/>
      <c r="J559" s="235"/>
      <c r="K559" s="235"/>
      <c r="L559" s="235"/>
      <c r="M559" s="235"/>
      <c r="N559" s="235"/>
      <c r="O559" s="235"/>
      <c r="P559" s="235"/>
      <c r="Q559" s="235"/>
      <c r="R559" s="235"/>
      <c r="S559" s="235"/>
      <c r="T559" s="235"/>
      <c r="U559" s="235"/>
      <c r="V559" s="235"/>
      <c r="W559" s="235"/>
      <c r="X559" s="235"/>
      <c r="Y559" s="235"/>
      <c r="Z559" s="235"/>
    </row>
    <row r="560">
      <c r="A560" s="236"/>
      <c r="B560" s="236"/>
      <c r="C560" s="237"/>
      <c r="D560" s="237"/>
      <c r="E560" s="238"/>
      <c r="F560" s="238"/>
      <c r="G560" s="239"/>
      <c r="H560" s="239"/>
      <c r="I560" s="235"/>
      <c r="J560" s="235"/>
      <c r="K560" s="235"/>
      <c r="L560" s="235"/>
      <c r="M560" s="235"/>
      <c r="N560" s="235"/>
      <c r="O560" s="235"/>
      <c r="P560" s="235"/>
      <c r="Q560" s="235"/>
      <c r="R560" s="235"/>
      <c r="S560" s="235"/>
      <c r="T560" s="235"/>
      <c r="U560" s="235"/>
      <c r="V560" s="235"/>
      <c r="W560" s="235"/>
      <c r="X560" s="235"/>
      <c r="Y560" s="235"/>
      <c r="Z560" s="235"/>
    </row>
    <row r="561">
      <c r="A561" s="236"/>
      <c r="B561" s="236"/>
      <c r="C561" s="237"/>
      <c r="D561" s="237"/>
      <c r="E561" s="238"/>
      <c r="F561" s="238"/>
      <c r="G561" s="239"/>
      <c r="H561" s="239"/>
      <c r="I561" s="235"/>
      <c r="J561" s="235"/>
      <c r="K561" s="235"/>
      <c r="L561" s="235"/>
      <c r="M561" s="235"/>
      <c r="N561" s="235"/>
      <c r="O561" s="235"/>
      <c r="P561" s="235"/>
      <c r="Q561" s="235"/>
      <c r="R561" s="235"/>
      <c r="S561" s="235"/>
      <c r="T561" s="235"/>
      <c r="U561" s="235"/>
      <c r="V561" s="235"/>
      <c r="W561" s="235"/>
      <c r="X561" s="235"/>
      <c r="Y561" s="235"/>
      <c r="Z561" s="235"/>
    </row>
    <row r="562">
      <c r="A562" s="236"/>
      <c r="B562" s="236"/>
      <c r="C562" s="237"/>
      <c r="D562" s="237"/>
      <c r="E562" s="238"/>
      <c r="F562" s="238"/>
      <c r="G562" s="239"/>
      <c r="H562" s="239"/>
      <c r="I562" s="235"/>
      <c r="J562" s="235"/>
      <c r="K562" s="235"/>
      <c r="L562" s="235"/>
      <c r="M562" s="235"/>
      <c r="N562" s="235"/>
      <c r="O562" s="235"/>
      <c r="P562" s="235"/>
      <c r="Q562" s="235"/>
      <c r="R562" s="235"/>
      <c r="S562" s="235"/>
      <c r="T562" s="235"/>
      <c r="U562" s="235"/>
      <c r="V562" s="235"/>
      <c r="W562" s="235"/>
      <c r="X562" s="235"/>
      <c r="Y562" s="235"/>
      <c r="Z562" s="235"/>
    </row>
    <row r="563">
      <c r="A563" s="236"/>
      <c r="B563" s="236"/>
      <c r="C563" s="237"/>
      <c r="D563" s="237"/>
      <c r="E563" s="238"/>
      <c r="F563" s="238"/>
      <c r="G563" s="239"/>
      <c r="H563" s="239"/>
      <c r="I563" s="235"/>
      <c r="J563" s="235"/>
      <c r="K563" s="235"/>
      <c r="L563" s="235"/>
      <c r="M563" s="235"/>
      <c r="N563" s="235"/>
      <c r="O563" s="235"/>
      <c r="P563" s="235"/>
      <c r="Q563" s="235"/>
      <c r="R563" s="235"/>
      <c r="S563" s="235"/>
      <c r="T563" s="235"/>
      <c r="U563" s="235"/>
      <c r="V563" s="235"/>
      <c r="W563" s="235"/>
      <c r="X563" s="235"/>
      <c r="Y563" s="235"/>
      <c r="Z563" s="235"/>
    </row>
    <row r="564">
      <c r="A564" s="236"/>
      <c r="B564" s="236"/>
      <c r="C564" s="237"/>
      <c r="D564" s="237"/>
      <c r="E564" s="238"/>
      <c r="F564" s="238"/>
      <c r="G564" s="239"/>
      <c r="H564" s="239"/>
      <c r="I564" s="235"/>
      <c r="J564" s="235"/>
      <c r="K564" s="235"/>
      <c r="L564" s="235"/>
      <c r="M564" s="235"/>
      <c r="N564" s="235"/>
      <c r="O564" s="235"/>
      <c r="P564" s="235"/>
      <c r="Q564" s="235"/>
      <c r="R564" s="235"/>
      <c r="S564" s="235"/>
      <c r="T564" s="235"/>
      <c r="U564" s="235"/>
      <c r="V564" s="235"/>
      <c r="W564" s="235"/>
      <c r="X564" s="235"/>
      <c r="Y564" s="235"/>
      <c r="Z564" s="235"/>
    </row>
    <row r="565">
      <c r="A565" s="236"/>
      <c r="B565" s="236"/>
      <c r="C565" s="237"/>
      <c r="D565" s="237"/>
      <c r="E565" s="238"/>
      <c r="F565" s="238"/>
      <c r="G565" s="239"/>
      <c r="H565" s="239"/>
      <c r="I565" s="235"/>
      <c r="J565" s="235"/>
      <c r="K565" s="235"/>
      <c r="L565" s="235"/>
      <c r="M565" s="235"/>
      <c r="N565" s="235"/>
      <c r="O565" s="235"/>
      <c r="P565" s="235"/>
      <c r="Q565" s="235"/>
      <c r="R565" s="235"/>
      <c r="S565" s="235"/>
      <c r="T565" s="235"/>
      <c r="U565" s="235"/>
      <c r="V565" s="235"/>
      <c r="W565" s="235"/>
      <c r="X565" s="235"/>
      <c r="Y565" s="235"/>
      <c r="Z565" s="235"/>
    </row>
    <row r="566">
      <c r="A566" s="236"/>
      <c r="B566" s="236"/>
      <c r="C566" s="237"/>
      <c r="D566" s="237"/>
      <c r="E566" s="238"/>
      <c r="F566" s="238"/>
      <c r="G566" s="239"/>
      <c r="H566" s="239"/>
      <c r="I566" s="235"/>
      <c r="J566" s="235"/>
      <c r="K566" s="235"/>
      <c r="L566" s="235"/>
      <c r="M566" s="235"/>
      <c r="N566" s="235"/>
      <c r="O566" s="235"/>
      <c r="P566" s="235"/>
      <c r="Q566" s="235"/>
      <c r="R566" s="235"/>
      <c r="S566" s="235"/>
      <c r="T566" s="235"/>
      <c r="U566" s="235"/>
      <c r="V566" s="235"/>
      <c r="W566" s="235"/>
      <c r="X566" s="235"/>
      <c r="Y566" s="235"/>
      <c r="Z566" s="235"/>
    </row>
    <row r="567">
      <c r="A567" s="236"/>
      <c r="B567" s="236"/>
      <c r="C567" s="237"/>
      <c r="D567" s="237"/>
      <c r="E567" s="238"/>
      <c r="F567" s="238"/>
      <c r="G567" s="239"/>
      <c r="H567" s="239"/>
      <c r="I567" s="235"/>
      <c r="J567" s="235"/>
      <c r="K567" s="235"/>
      <c r="L567" s="235"/>
      <c r="M567" s="235"/>
      <c r="N567" s="235"/>
      <c r="O567" s="235"/>
      <c r="P567" s="235"/>
      <c r="Q567" s="235"/>
      <c r="R567" s="235"/>
      <c r="S567" s="235"/>
      <c r="T567" s="235"/>
      <c r="U567" s="235"/>
      <c r="V567" s="235"/>
      <c r="W567" s="235"/>
      <c r="X567" s="235"/>
      <c r="Y567" s="235"/>
      <c r="Z567" s="235"/>
    </row>
    <row r="568">
      <c r="A568" s="236"/>
      <c r="B568" s="236"/>
      <c r="C568" s="237"/>
      <c r="D568" s="237"/>
      <c r="E568" s="238"/>
      <c r="F568" s="238"/>
      <c r="G568" s="239"/>
      <c r="H568" s="239"/>
      <c r="I568" s="235"/>
      <c r="J568" s="235"/>
      <c r="K568" s="235"/>
      <c r="L568" s="235"/>
      <c r="M568" s="235"/>
      <c r="N568" s="235"/>
      <c r="O568" s="235"/>
      <c r="P568" s="235"/>
      <c r="Q568" s="235"/>
      <c r="R568" s="235"/>
      <c r="S568" s="235"/>
      <c r="T568" s="235"/>
      <c r="U568" s="235"/>
      <c r="V568" s="235"/>
      <c r="W568" s="235"/>
      <c r="X568" s="235"/>
      <c r="Y568" s="235"/>
      <c r="Z568" s="235"/>
    </row>
    <row r="569">
      <c r="A569" s="236"/>
      <c r="B569" s="236"/>
      <c r="C569" s="237"/>
      <c r="D569" s="237"/>
      <c r="E569" s="238"/>
      <c r="F569" s="238"/>
      <c r="G569" s="239"/>
      <c r="H569" s="239"/>
      <c r="I569" s="235"/>
      <c r="J569" s="235"/>
      <c r="K569" s="235"/>
      <c r="L569" s="235"/>
      <c r="M569" s="235"/>
      <c r="N569" s="235"/>
      <c r="O569" s="235"/>
      <c r="P569" s="235"/>
      <c r="Q569" s="235"/>
      <c r="R569" s="235"/>
      <c r="S569" s="235"/>
      <c r="T569" s="235"/>
      <c r="U569" s="235"/>
      <c r="V569" s="235"/>
      <c r="W569" s="235"/>
      <c r="X569" s="235"/>
      <c r="Y569" s="235"/>
      <c r="Z569" s="235"/>
    </row>
    <row r="570">
      <c r="A570" s="236"/>
      <c r="B570" s="236"/>
      <c r="C570" s="237"/>
      <c r="D570" s="237"/>
      <c r="E570" s="238"/>
      <c r="F570" s="238"/>
      <c r="G570" s="239"/>
      <c r="H570" s="239"/>
      <c r="I570" s="235"/>
      <c r="J570" s="235"/>
      <c r="K570" s="235"/>
      <c r="L570" s="235"/>
      <c r="M570" s="235"/>
      <c r="N570" s="235"/>
      <c r="O570" s="235"/>
      <c r="P570" s="235"/>
      <c r="Q570" s="235"/>
      <c r="R570" s="235"/>
      <c r="S570" s="235"/>
      <c r="T570" s="235"/>
      <c r="U570" s="235"/>
      <c r="V570" s="235"/>
      <c r="W570" s="235"/>
      <c r="X570" s="235"/>
      <c r="Y570" s="235"/>
      <c r="Z570" s="235"/>
    </row>
    <row r="571">
      <c r="A571" s="236"/>
      <c r="B571" s="236"/>
      <c r="C571" s="237"/>
      <c r="D571" s="237"/>
      <c r="E571" s="238"/>
      <c r="F571" s="238"/>
      <c r="G571" s="239"/>
      <c r="H571" s="239"/>
      <c r="I571" s="235"/>
      <c r="J571" s="235"/>
      <c r="K571" s="235"/>
      <c r="L571" s="235"/>
      <c r="M571" s="235"/>
      <c r="N571" s="235"/>
      <c r="O571" s="235"/>
      <c r="P571" s="235"/>
      <c r="Q571" s="235"/>
      <c r="R571" s="235"/>
      <c r="S571" s="235"/>
      <c r="T571" s="235"/>
      <c r="U571" s="235"/>
      <c r="V571" s="235"/>
      <c r="W571" s="235"/>
      <c r="X571" s="235"/>
      <c r="Y571" s="235"/>
      <c r="Z571" s="235"/>
    </row>
    <row r="572">
      <c r="A572" s="236"/>
      <c r="B572" s="236"/>
      <c r="C572" s="237"/>
      <c r="D572" s="237"/>
      <c r="E572" s="238"/>
      <c r="F572" s="238"/>
      <c r="G572" s="239"/>
      <c r="H572" s="239"/>
      <c r="I572" s="235"/>
      <c r="J572" s="235"/>
      <c r="K572" s="235"/>
      <c r="L572" s="235"/>
      <c r="M572" s="235"/>
      <c r="N572" s="235"/>
      <c r="O572" s="235"/>
      <c r="P572" s="235"/>
      <c r="Q572" s="235"/>
      <c r="R572" s="235"/>
      <c r="S572" s="235"/>
      <c r="T572" s="235"/>
      <c r="U572" s="235"/>
      <c r="V572" s="235"/>
      <c r="W572" s="235"/>
      <c r="X572" s="235"/>
      <c r="Y572" s="235"/>
      <c r="Z572" s="235"/>
    </row>
    <row r="573">
      <c r="A573" s="236"/>
      <c r="B573" s="236"/>
      <c r="C573" s="237"/>
      <c r="D573" s="237"/>
      <c r="E573" s="238"/>
      <c r="F573" s="238"/>
      <c r="G573" s="239"/>
      <c r="H573" s="239"/>
      <c r="I573" s="235"/>
      <c r="J573" s="235"/>
      <c r="K573" s="235"/>
      <c r="L573" s="235"/>
      <c r="M573" s="235"/>
      <c r="N573" s="235"/>
      <c r="O573" s="235"/>
      <c r="P573" s="235"/>
      <c r="Q573" s="235"/>
      <c r="R573" s="235"/>
      <c r="S573" s="235"/>
      <c r="T573" s="235"/>
      <c r="U573" s="235"/>
      <c r="V573" s="235"/>
      <c r="W573" s="235"/>
      <c r="X573" s="235"/>
      <c r="Y573" s="235"/>
      <c r="Z573" s="235"/>
    </row>
    <row r="574">
      <c r="A574" s="236"/>
      <c r="B574" s="236"/>
      <c r="C574" s="237"/>
      <c r="D574" s="237"/>
      <c r="E574" s="238"/>
      <c r="F574" s="238"/>
      <c r="G574" s="239"/>
      <c r="H574" s="239"/>
      <c r="I574" s="235"/>
      <c r="J574" s="235"/>
      <c r="K574" s="235"/>
      <c r="L574" s="235"/>
      <c r="M574" s="235"/>
      <c r="N574" s="235"/>
      <c r="O574" s="235"/>
      <c r="P574" s="235"/>
      <c r="Q574" s="235"/>
      <c r="R574" s="235"/>
      <c r="S574" s="235"/>
      <c r="T574" s="235"/>
      <c r="U574" s="235"/>
      <c r="V574" s="235"/>
      <c r="W574" s="235"/>
      <c r="X574" s="235"/>
      <c r="Y574" s="235"/>
      <c r="Z574" s="235"/>
    </row>
    <row r="575">
      <c r="A575" s="236"/>
      <c r="B575" s="236"/>
      <c r="C575" s="237"/>
      <c r="D575" s="237"/>
      <c r="E575" s="238"/>
      <c r="F575" s="238"/>
      <c r="G575" s="239"/>
      <c r="H575" s="239"/>
      <c r="I575" s="235"/>
      <c r="J575" s="235"/>
      <c r="K575" s="235"/>
      <c r="L575" s="235"/>
      <c r="M575" s="235"/>
      <c r="N575" s="235"/>
      <c r="O575" s="235"/>
      <c r="P575" s="235"/>
      <c r="Q575" s="235"/>
      <c r="R575" s="235"/>
      <c r="S575" s="235"/>
      <c r="T575" s="235"/>
      <c r="U575" s="235"/>
      <c r="V575" s="235"/>
      <c r="W575" s="235"/>
      <c r="X575" s="235"/>
      <c r="Y575" s="235"/>
      <c r="Z575" s="235"/>
    </row>
    <row r="576">
      <c r="A576" s="236"/>
      <c r="B576" s="236"/>
      <c r="C576" s="237"/>
      <c r="D576" s="237"/>
      <c r="E576" s="238"/>
      <c r="F576" s="238"/>
      <c r="G576" s="239"/>
      <c r="H576" s="239"/>
      <c r="I576" s="235"/>
      <c r="J576" s="235"/>
      <c r="K576" s="235"/>
      <c r="L576" s="235"/>
      <c r="M576" s="235"/>
      <c r="N576" s="235"/>
      <c r="O576" s="235"/>
      <c r="P576" s="235"/>
      <c r="Q576" s="235"/>
      <c r="R576" s="235"/>
      <c r="S576" s="235"/>
      <c r="T576" s="235"/>
      <c r="U576" s="235"/>
      <c r="V576" s="235"/>
      <c r="W576" s="235"/>
      <c r="X576" s="235"/>
      <c r="Y576" s="235"/>
      <c r="Z576" s="235"/>
    </row>
    <row r="577">
      <c r="A577" s="236"/>
      <c r="B577" s="236"/>
      <c r="C577" s="237"/>
      <c r="D577" s="237"/>
      <c r="E577" s="238"/>
      <c r="F577" s="238"/>
      <c r="G577" s="239"/>
      <c r="H577" s="239"/>
      <c r="I577" s="235"/>
      <c r="J577" s="235"/>
      <c r="K577" s="235"/>
      <c r="L577" s="235"/>
      <c r="M577" s="235"/>
      <c r="N577" s="235"/>
      <c r="O577" s="235"/>
      <c r="P577" s="235"/>
      <c r="Q577" s="235"/>
      <c r="R577" s="235"/>
      <c r="S577" s="235"/>
      <c r="T577" s="235"/>
      <c r="U577" s="235"/>
      <c r="V577" s="235"/>
      <c r="W577" s="235"/>
      <c r="X577" s="235"/>
      <c r="Y577" s="235"/>
      <c r="Z577" s="235"/>
    </row>
    <row r="578">
      <c r="A578" s="236"/>
      <c r="B578" s="236"/>
      <c r="C578" s="237"/>
      <c r="D578" s="237"/>
      <c r="E578" s="238"/>
      <c r="F578" s="238"/>
      <c r="G578" s="239"/>
      <c r="H578" s="239"/>
      <c r="I578" s="235"/>
      <c r="J578" s="235"/>
      <c r="K578" s="235"/>
      <c r="L578" s="235"/>
      <c r="M578" s="235"/>
      <c r="N578" s="235"/>
      <c r="O578" s="235"/>
      <c r="P578" s="235"/>
      <c r="Q578" s="235"/>
      <c r="R578" s="235"/>
      <c r="S578" s="235"/>
      <c r="T578" s="235"/>
      <c r="U578" s="235"/>
      <c r="V578" s="235"/>
      <c r="W578" s="235"/>
      <c r="X578" s="235"/>
      <c r="Y578" s="235"/>
      <c r="Z578" s="235"/>
    </row>
    <row r="579">
      <c r="A579" s="236"/>
      <c r="B579" s="236"/>
      <c r="C579" s="237"/>
      <c r="D579" s="237"/>
      <c r="E579" s="238"/>
      <c r="F579" s="238"/>
      <c r="G579" s="239"/>
      <c r="H579" s="239"/>
      <c r="I579" s="235"/>
      <c r="J579" s="235"/>
      <c r="K579" s="235"/>
      <c r="L579" s="235"/>
      <c r="M579" s="235"/>
      <c r="N579" s="235"/>
      <c r="O579" s="235"/>
      <c r="P579" s="235"/>
      <c r="Q579" s="235"/>
      <c r="R579" s="235"/>
      <c r="S579" s="235"/>
      <c r="T579" s="235"/>
      <c r="U579" s="235"/>
      <c r="V579" s="235"/>
      <c r="W579" s="235"/>
      <c r="X579" s="235"/>
      <c r="Y579" s="235"/>
      <c r="Z579" s="235"/>
    </row>
    <row r="580">
      <c r="A580" s="236"/>
      <c r="B580" s="236"/>
      <c r="C580" s="237"/>
      <c r="D580" s="237"/>
      <c r="E580" s="238"/>
      <c r="F580" s="238"/>
      <c r="G580" s="239"/>
      <c r="H580" s="239"/>
      <c r="I580" s="235"/>
      <c r="J580" s="235"/>
      <c r="K580" s="235"/>
      <c r="L580" s="235"/>
      <c r="M580" s="235"/>
      <c r="N580" s="235"/>
      <c r="O580" s="235"/>
      <c r="P580" s="235"/>
      <c r="Q580" s="235"/>
      <c r="R580" s="235"/>
      <c r="S580" s="235"/>
      <c r="T580" s="235"/>
      <c r="U580" s="235"/>
      <c r="V580" s="235"/>
      <c r="W580" s="235"/>
      <c r="X580" s="235"/>
      <c r="Y580" s="235"/>
      <c r="Z580" s="235"/>
    </row>
    <row r="581">
      <c r="A581" s="236"/>
      <c r="B581" s="236"/>
      <c r="C581" s="237"/>
      <c r="D581" s="237"/>
      <c r="E581" s="238"/>
      <c r="F581" s="238"/>
      <c r="G581" s="239"/>
      <c r="H581" s="239"/>
      <c r="I581" s="235"/>
      <c r="J581" s="235"/>
      <c r="K581" s="235"/>
      <c r="L581" s="235"/>
      <c r="M581" s="235"/>
      <c r="N581" s="235"/>
      <c r="O581" s="235"/>
      <c r="P581" s="235"/>
      <c r="Q581" s="235"/>
      <c r="R581" s="235"/>
      <c r="S581" s="235"/>
      <c r="T581" s="235"/>
      <c r="U581" s="235"/>
      <c r="V581" s="235"/>
      <c r="W581" s="235"/>
      <c r="X581" s="235"/>
      <c r="Y581" s="235"/>
      <c r="Z581" s="235"/>
    </row>
    <row r="582">
      <c r="A582" s="236"/>
      <c r="B582" s="236"/>
      <c r="C582" s="237"/>
      <c r="D582" s="237"/>
      <c r="E582" s="238"/>
      <c r="F582" s="238"/>
      <c r="G582" s="239"/>
      <c r="H582" s="239"/>
      <c r="I582" s="235"/>
      <c r="J582" s="235"/>
      <c r="K582" s="235"/>
      <c r="L582" s="235"/>
      <c r="M582" s="235"/>
      <c r="N582" s="235"/>
      <c r="O582" s="235"/>
      <c r="P582" s="235"/>
      <c r="Q582" s="235"/>
      <c r="R582" s="235"/>
      <c r="S582" s="235"/>
      <c r="T582" s="235"/>
      <c r="U582" s="235"/>
      <c r="V582" s="235"/>
      <c r="W582" s="235"/>
      <c r="X582" s="235"/>
      <c r="Y582" s="235"/>
      <c r="Z582" s="235"/>
    </row>
    <row r="583">
      <c r="A583" s="236"/>
      <c r="B583" s="236"/>
      <c r="C583" s="237"/>
      <c r="D583" s="237"/>
      <c r="E583" s="238"/>
      <c r="F583" s="238"/>
      <c r="G583" s="239"/>
      <c r="H583" s="239"/>
      <c r="I583" s="235"/>
      <c r="J583" s="235"/>
      <c r="K583" s="235"/>
      <c r="L583" s="235"/>
      <c r="M583" s="235"/>
      <c r="N583" s="235"/>
      <c r="O583" s="235"/>
      <c r="P583" s="235"/>
      <c r="Q583" s="235"/>
      <c r="R583" s="235"/>
      <c r="S583" s="235"/>
      <c r="T583" s="235"/>
      <c r="U583" s="235"/>
      <c r="V583" s="235"/>
      <c r="W583" s="235"/>
      <c r="X583" s="235"/>
      <c r="Y583" s="235"/>
      <c r="Z583" s="235"/>
    </row>
    <row r="584">
      <c r="A584" s="236"/>
      <c r="B584" s="236"/>
      <c r="C584" s="237"/>
      <c r="D584" s="237"/>
      <c r="E584" s="238"/>
      <c r="F584" s="238"/>
      <c r="G584" s="239"/>
      <c r="H584" s="239"/>
      <c r="I584" s="235"/>
      <c r="J584" s="235"/>
      <c r="K584" s="235"/>
      <c r="L584" s="235"/>
      <c r="M584" s="235"/>
      <c r="N584" s="235"/>
      <c r="O584" s="235"/>
      <c r="P584" s="235"/>
      <c r="Q584" s="235"/>
      <c r="R584" s="235"/>
      <c r="S584" s="235"/>
      <c r="T584" s="235"/>
      <c r="U584" s="235"/>
      <c r="V584" s="235"/>
      <c r="W584" s="235"/>
      <c r="X584" s="235"/>
      <c r="Y584" s="235"/>
      <c r="Z584" s="235"/>
    </row>
    <row r="585">
      <c r="A585" s="236"/>
      <c r="B585" s="236"/>
      <c r="C585" s="237"/>
      <c r="D585" s="237"/>
      <c r="E585" s="238"/>
      <c r="F585" s="238"/>
      <c r="G585" s="239"/>
      <c r="H585" s="239"/>
      <c r="I585" s="235"/>
      <c r="J585" s="235"/>
      <c r="K585" s="235"/>
      <c r="L585" s="235"/>
      <c r="M585" s="235"/>
      <c r="N585" s="235"/>
      <c r="O585" s="235"/>
      <c r="P585" s="235"/>
      <c r="Q585" s="235"/>
      <c r="R585" s="235"/>
      <c r="S585" s="235"/>
      <c r="T585" s="235"/>
      <c r="U585" s="235"/>
      <c r="V585" s="235"/>
      <c r="W585" s="235"/>
      <c r="X585" s="235"/>
      <c r="Y585" s="235"/>
      <c r="Z585" s="235"/>
    </row>
    <row r="586">
      <c r="A586" s="236"/>
      <c r="B586" s="236"/>
      <c r="C586" s="237"/>
      <c r="D586" s="237"/>
      <c r="E586" s="238"/>
      <c r="F586" s="238"/>
      <c r="G586" s="239"/>
      <c r="H586" s="239"/>
      <c r="I586" s="235"/>
      <c r="J586" s="235"/>
      <c r="K586" s="235"/>
      <c r="L586" s="235"/>
      <c r="M586" s="235"/>
      <c r="N586" s="235"/>
      <c r="O586" s="235"/>
      <c r="P586" s="235"/>
      <c r="Q586" s="235"/>
      <c r="R586" s="235"/>
      <c r="S586" s="235"/>
      <c r="T586" s="235"/>
      <c r="U586" s="235"/>
      <c r="V586" s="235"/>
      <c r="W586" s="235"/>
      <c r="X586" s="235"/>
      <c r="Y586" s="235"/>
      <c r="Z586" s="235"/>
    </row>
    <row r="587">
      <c r="A587" s="236"/>
      <c r="B587" s="236"/>
      <c r="C587" s="237"/>
      <c r="D587" s="237"/>
      <c r="E587" s="238"/>
      <c r="F587" s="238"/>
      <c r="G587" s="239"/>
      <c r="H587" s="239"/>
      <c r="I587" s="235"/>
      <c r="J587" s="235"/>
      <c r="K587" s="235"/>
      <c r="L587" s="235"/>
      <c r="M587" s="235"/>
      <c r="N587" s="235"/>
      <c r="O587" s="235"/>
      <c r="P587" s="235"/>
      <c r="Q587" s="235"/>
      <c r="R587" s="235"/>
      <c r="S587" s="235"/>
      <c r="T587" s="235"/>
      <c r="U587" s="235"/>
      <c r="V587" s="235"/>
      <c r="W587" s="235"/>
      <c r="X587" s="235"/>
      <c r="Y587" s="235"/>
      <c r="Z587" s="235"/>
    </row>
    <row r="588">
      <c r="A588" s="236"/>
      <c r="B588" s="236"/>
      <c r="C588" s="237"/>
      <c r="D588" s="237"/>
      <c r="E588" s="238"/>
      <c r="F588" s="238"/>
      <c r="G588" s="239"/>
      <c r="H588" s="239"/>
      <c r="I588" s="235"/>
      <c r="J588" s="235"/>
      <c r="K588" s="235"/>
      <c r="L588" s="235"/>
      <c r="M588" s="235"/>
      <c r="N588" s="235"/>
      <c r="O588" s="235"/>
      <c r="P588" s="235"/>
      <c r="Q588" s="235"/>
      <c r="R588" s="235"/>
      <c r="S588" s="235"/>
      <c r="T588" s="235"/>
      <c r="U588" s="235"/>
      <c r="V588" s="235"/>
      <c r="W588" s="235"/>
      <c r="X588" s="235"/>
      <c r="Y588" s="235"/>
      <c r="Z588" s="235"/>
    </row>
    <row r="589">
      <c r="A589" s="236"/>
      <c r="B589" s="236"/>
      <c r="C589" s="237"/>
      <c r="D589" s="237"/>
      <c r="E589" s="238"/>
      <c r="F589" s="238"/>
      <c r="G589" s="239"/>
      <c r="H589" s="239"/>
      <c r="I589" s="235"/>
      <c r="J589" s="235"/>
      <c r="K589" s="235"/>
      <c r="L589" s="235"/>
      <c r="M589" s="235"/>
      <c r="N589" s="235"/>
      <c r="O589" s="235"/>
      <c r="P589" s="235"/>
      <c r="Q589" s="235"/>
      <c r="R589" s="235"/>
      <c r="S589" s="235"/>
      <c r="T589" s="235"/>
      <c r="U589" s="235"/>
      <c r="V589" s="235"/>
      <c r="W589" s="235"/>
      <c r="X589" s="235"/>
      <c r="Y589" s="235"/>
      <c r="Z589" s="235"/>
    </row>
    <row r="590">
      <c r="A590" s="236"/>
      <c r="B590" s="236"/>
      <c r="C590" s="237"/>
      <c r="D590" s="237"/>
      <c r="E590" s="238"/>
      <c r="F590" s="238"/>
      <c r="G590" s="239"/>
      <c r="H590" s="239"/>
      <c r="I590" s="235"/>
      <c r="J590" s="235"/>
      <c r="K590" s="235"/>
      <c r="L590" s="235"/>
      <c r="M590" s="235"/>
      <c r="N590" s="235"/>
      <c r="O590" s="235"/>
      <c r="P590" s="235"/>
      <c r="Q590" s="235"/>
      <c r="R590" s="235"/>
      <c r="S590" s="235"/>
      <c r="T590" s="235"/>
      <c r="U590" s="235"/>
      <c r="V590" s="235"/>
      <c r="W590" s="235"/>
      <c r="X590" s="235"/>
      <c r="Y590" s="235"/>
      <c r="Z590" s="235"/>
    </row>
    <row r="591">
      <c r="A591" s="236"/>
      <c r="B591" s="236"/>
      <c r="C591" s="237"/>
      <c r="D591" s="237"/>
      <c r="E591" s="238"/>
      <c r="F591" s="238"/>
      <c r="G591" s="239"/>
      <c r="H591" s="239"/>
      <c r="I591" s="235"/>
      <c r="J591" s="235"/>
      <c r="K591" s="235"/>
      <c r="L591" s="235"/>
      <c r="M591" s="235"/>
      <c r="N591" s="235"/>
      <c r="O591" s="235"/>
      <c r="P591" s="235"/>
      <c r="Q591" s="235"/>
      <c r="R591" s="235"/>
      <c r="S591" s="235"/>
      <c r="T591" s="235"/>
      <c r="U591" s="235"/>
      <c r="V591" s="235"/>
      <c r="W591" s="235"/>
      <c r="X591" s="235"/>
      <c r="Y591" s="235"/>
      <c r="Z591" s="235"/>
    </row>
    <row r="592">
      <c r="A592" s="236"/>
      <c r="B592" s="236"/>
      <c r="C592" s="237"/>
      <c r="D592" s="237"/>
      <c r="E592" s="238"/>
      <c r="F592" s="238"/>
      <c r="G592" s="239"/>
      <c r="H592" s="239"/>
      <c r="I592" s="235"/>
      <c r="J592" s="235"/>
      <c r="K592" s="235"/>
      <c r="L592" s="235"/>
      <c r="M592" s="235"/>
      <c r="N592" s="235"/>
      <c r="O592" s="235"/>
      <c r="P592" s="235"/>
      <c r="Q592" s="235"/>
      <c r="R592" s="235"/>
      <c r="S592" s="235"/>
      <c r="T592" s="235"/>
      <c r="U592" s="235"/>
      <c r="V592" s="235"/>
      <c r="W592" s="235"/>
      <c r="X592" s="235"/>
      <c r="Y592" s="235"/>
      <c r="Z592" s="235"/>
    </row>
    <row r="593">
      <c r="A593" s="236"/>
      <c r="B593" s="236"/>
      <c r="C593" s="237"/>
      <c r="D593" s="237"/>
      <c r="E593" s="238"/>
      <c r="F593" s="238"/>
      <c r="G593" s="239"/>
      <c r="H593" s="239"/>
      <c r="I593" s="235"/>
      <c r="J593" s="235"/>
      <c r="K593" s="235"/>
      <c r="L593" s="235"/>
      <c r="M593" s="235"/>
      <c r="N593" s="235"/>
      <c r="O593" s="235"/>
      <c r="P593" s="235"/>
      <c r="Q593" s="235"/>
      <c r="R593" s="235"/>
      <c r="S593" s="235"/>
      <c r="T593" s="235"/>
      <c r="U593" s="235"/>
      <c r="V593" s="235"/>
      <c r="W593" s="235"/>
      <c r="X593" s="235"/>
      <c r="Y593" s="235"/>
      <c r="Z593" s="235"/>
    </row>
    <row r="594">
      <c r="A594" s="236"/>
      <c r="B594" s="236"/>
      <c r="C594" s="237"/>
      <c r="D594" s="237"/>
      <c r="E594" s="238"/>
      <c r="F594" s="238"/>
      <c r="G594" s="239"/>
      <c r="H594" s="239"/>
      <c r="I594" s="235"/>
      <c r="J594" s="235"/>
      <c r="K594" s="235"/>
      <c r="L594" s="235"/>
      <c r="M594" s="235"/>
      <c r="N594" s="235"/>
      <c r="O594" s="235"/>
      <c r="P594" s="235"/>
      <c r="Q594" s="235"/>
      <c r="R594" s="235"/>
      <c r="S594" s="235"/>
      <c r="T594" s="235"/>
      <c r="U594" s="235"/>
      <c r="V594" s="235"/>
      <c r="W594" s="235"/>
      <c r="X594" s="235"/>
      <c r="Y594" s="235"/>
      <c r="Z594" s="235"/>
    </row>
    <row r="595">
      <c r="A595" s="236"/>
      <c r="B595" s="236"/>
      <c r="C595" s="237"/>
      <c r="D595" s="237"/>
      <c r="E595" s="238"/>
      <c r="F595" s="238"/>
      <c r="G595" s="239"/>
      <c r="H595" s="239"/>
      <c r="I595" s="235"/>
      <c r="J595" s="235"/>
      <c r="K595" s="235"/>
      <c r="L595" s="235"/>
      <c r="M595" s="235"/>
      <c r="N595" s="235"/>
      <c r="O595" s="235"/>
      <c r="P595" s="235"/>
      <c r="Q595" s="235"/>
      <c r="R595" s="235"/>
      <c r="S595" s="235"/>
      <c r="T595" s="235"/>
      <c r="U595" s="235"/>
      <c r="V595" s="235"/>
      <c r="W595" s="235"/>
      <c r="X595" s="235"/>
      <c r="Y595" s="235"/>
      <c r="Z595" s="235"/>
    </row>
    <row r="596">
      <c r="A596" s="236"/>
      <c r="B596" s="236"/>
      <c r="C596" s="237"/>
      <c r="D596" s="237"/>
      <c r="E596" s="238"/>
      <c r="F596" s="238"/>
      <c r="G596" s="239"/>
      <c r="H596" s="239"/>
      <c r="I596" s="235"/>
      <c r="J596" s="235"/>
      <c r="K596" s="235"/>
      <c r="L596" s="235"/>
      <c r="M596" s="235"/>
      <c r="N596" s="235"/>
      <c r="O596" s="235"/>
      <c r="P596" s="235"/>
      <c r="Q596" s="235"/>
      <c r="R596" s="235"/>
      <c r="S596" s="235"/>
      <c r="T596" s="235"/>
      <c r="U596" s="235"/>
      <c r="V596" s="235"/>
      <c r="W596" s="235"/>
      <c r="X596" s="235"/>
      <c r="Y596" s="235"/>
      <c r="Z596" s="235"/>
    </row>
    <row r="597">
      <c r="A597" s="236"/>
      <c r="B597" s="236"/>
      <c r="C597" s="237"/>
      <c r="D597" s="237"/>
      <c r="E597" s="238"/>
      <c r="F597" s="238"/>
      <c r="G597" s="239"/>
      <c r="H597" s="239"/>
      <c r="I597" s="235"/>
      <c r="J597" s="235"/>
      <c r="K597" s="235"/>
      <c r="L597" s="235"/>
      <c r="M597" s="235"/>
      <c r="N597" s="235"/>
      <c r="O597" s="235"/>
      <c r="P597" s="235"/>
      <c r="Q597" s="235"/>
      <c r="R597" s="235"/>
      <c r="S597" s="235"/>
      <c r="T597" s="235"/>
      <c r="U597" s="235"/>
      <c r="V597" s="235"/>
      <c r="W597" s="235"/>
      <c r="X597" s="235"/>
      <c r="Y597" s="235"/>
      <c r="Z597" s="235"/>
    </row>
    <row r="598">
      <c r="A598" s="236"/>
      <c r="B598" s="236"/>
      <c r="C598" s="237"/>
      <c r="D598" s="237"/>
      <c r="E598" s="238"/>
      <c r="F598" s="238"/>
      <c r="G598" s="239"/>
      <c r="H598" s="239"/>
      <c r="I598" s="235"/>
      <c r="J598" s="235"/>
      <c r="K598" s="235"/>
      <c r="L598" s="235"/>
      <c r="M598" s="235"/>
      <c r="N598" s="235"/>
      <c r="O598" s="235"/>
      <c r="P598" s="235"/>
      <c r="Q598" s="235"/>
      <c r="R598" s="235"/>
      <c r="S598" s="235"/>
      <c r="T598" s="235"/>
      <c r="U598" s="235"/>
      <c r="V598" s="235"/>
      <c r="W598" s="235"/>
      <c r="X598" s="235"/>
      <c r="Y598" s="235"/>
      <c r="Z598" s="235"/>
    </row>
    <row r="599">
      <c r="A599" s="236"/>
      <c r="B599" s="236"/>
      <c r="C599" s="237"/>
      <c r="D599" s="237"/>
      <c r="E599" s="238"/>
      <c r="F599" s="238"/>
      <c r="G599" s="239"/>
      <c r="H599" s="239"/>
      <c r="I599" s="235"/>
      <c r="J599" s="235"/>
      <c r="K599" s="235"/>
      <c r="L599" s="235"/>
      <c r="M599" s="235"/>
      <c r="N599" s="235"/>
      <c r="O599" s="235"/>
      <c r="P599" s="235"/>
      <c r="Q599" s="235"/>
      <c r="R599" s="235"/>
      <c r="S599" s="235"/>
      <c r="T599" s="235"/>
      <c r="U599" s="235"/>
      <c r="V599" s="235"/>
      <c r="W599" s="235"/>
      <c r="X599" s="235"/>
      <c r="Y599" s="235"/>
      <c r="Z599" s="235"/>
    </row>
    <row r="600">
      <c r="A600" s="236"/>
      <c r="B600" s="236"/>
      <c r="C600" s="237"/>
      <c r="D600" s="237"/>
      <c r="E600" s="238"/>
      <c r="F600" s="238"/>
      <c r="G600" s="239"/>
      <c r="H600" s="239"/>
      <c r="I600" s="235"/>
      <c r="J600" s="235"/>
      <c r="K600" s="235"/>
      <c r="L600" s="235"/>
      <c r="M600" s="235"/>
      <c r="N600" s="235"/>
      <c r="O600" s="235"/>
      <c r="P600" s="235"/>
      <c r="Q600" s="235"/>
      <c r="R600" s="235"/>
      <c r="S600" s="235"/>
      <c r="T600" s="235"/>
      <c r="U600" s="235"/>
      <c r="V600" s="235"/>
      <c r="W600" s="235"/>
      <c r="X600" s="235"/>
      <c r="Y600" s="235"/>
      <c r="Z600" s="235"/>
    </row>
    <row r="601">
      <c r="A601" s="236"/>
      <c r="B601" s="236"/>
      <c r="C601" s="237"/>
      <c r="D601" s="237"/>
      <c r="E601" s="238"/>
      <c r="F601" s="238"/>
      <c r="G601" s="239"/>
      <c r="H601" s="239"/>
      <c r="I601" s="235"/>
      <c r="J601" s="235"/>
      <c r="K601" s="235"/>
      <c r="L601" s="235"/>
      <c r="M601" s="235"/>
      <c r="N601" s="235"/>
      <c r="O601" s="235"/>
      <c r="P601" s="235"/>
      <c r="Q601" s="235"/>
      <c r="R601" s="235"/>
      <c r="S601" s="235"/>
      <c r="T601" s="235"/>
      <c r="U601" s="235"/>
      <c r="V601" s="235"/>
      <c r="W601" s="235"/>
      <c r="X601" s="235"/>
      <c r="Y601" s="235"/>
      <c r="Z601" s="235"/>
    </row>
    <row r="602">
      <c r="A602" s="236"/>
      <c r="B602" s="236"/>
      <c r="C602" s="237"/>
      <c r="D602" s="237"/>
      <c r="E602" s="238"/>
      <c r="F602" s="238"/>
      <c r="G602" s="239"/>
      <c r="H602" s="239"/>
      <c r="I602" s="235"/>
      <c r="J602" s="235"/>
      <c r="K602" s="235"/>
      <c r="L602" s="235"/>
      <c r="M602" s="235"/>
      <c r="N602" s="235"/>
      <c r="O602" s="235"/>
      <c r="P602" s="235"/>
      <c r="Q602" s="235"/>
      <c r="R602" s="235"/>
      <c r="S602" s="235"/>
      <c r="T602" s="235"/>
      <c r="U602" s="235"/>
      <c r="V602" s="235"/>
      <c r="W602" s="235"/>
      <c r="X602" s="235"/>
      <c r="Y602" s="235"/>
      <c r="Z602" s="235"/>
    </row>
    <row r="603">
      <c r="A603" s="236"/>
      <c r="B603" s="236"/>
      <c r="C603" s="237"/>
      <c r="D603" s="237"/>
      <c r="E603" s="238"/>
      <c r="F603" s="238"/>
      <c r="G603" s="239"/>
      <c r="H603" s="239"/>
      <c r="I603" s="235"/>
      <c r="J603" s="235"/>
      <c r="K603" s="235"/>
      <c r="L603" s="235"/>
      <c r="M603" s="235"/>
      <c r="N603" s="235"/>
      <c r="O603" s="235"/>
      <c r="P603" s="235"/>
      <c r="Q603" s="235"/>
      <c r="R603" s="235"/>
      <c r="S603" s="235"/>
      <c r="T603" s="235"/>
      <c r="U603" s="235"/>
      <c r="V603" s="235"/>
      <c r="W603" s="235"/>
      <c r="X603" s="235"/>
      <c r="Y603" s="235"/>
      <c r="Z603" s="235"/>
    </row>
    <row r="604">
      <c r="A604" s="236"/>
      <c r="B604" s="236"/>
      <c r="C604" s="237"/>
      <c r="D604" s="237"/>
      <c r="E604" s="238"/>
      <c r="F604" s="238"/>
      <c r="G604" s="239"/>
      <c r="H604" s="239"/>
      <c r="I604" s="235"/>
      <c r="J604" s="235"/>
      <c r="K604" s="235"/>
      <c r="L604" s="235"/>
      <c r="M604" s="235"/>
      <c r="N604" s="235"/>
      <c r="O604" s="235"/>
      <c r="P604" s="235"/>
      <c r="Q604" s="235"/>
      <c r="R604" s="235"/>
      <c r="S604" s="235"/>
      <c r="T604" s="235"/>
      <c r="U604" s="235"/>
      <c r="V604" s="235"/>
      <c r="W604" s="235"/>
      <c r="X604" s="235"/>
      <c r="Y604" s="235"/>
      <c r="Z604" s="235"/>
    </row>
    <row r="605">
      <c r="A605" s="236"/>
      <c r="B605" s="236"/>
      <c r="C605" s="237"/>
      <c r="D605" s="237"/>
      <c r="E605" s="238"/>
      <c r="F605" s="238"/>
      <c r="G605" s="239"/>
      <c r="H605" s="239"/>
      <c r="I605" s="235"/>
      <c r="J605" s="235"/>
      <c r="K605" s="235"/>
      <c r="L605" s="235"/>
      <c r="M605" s="235"/>
      <c r="N605" s="235"/>
      <c r="O605" s="235"/>
      <c r="P605" s="235"/>
      <c r="Q605" s="235"/>
      <c r="R605" s="235"/>
      <c r="S605" s="235"/>
      <c r="T605" s="235"/>
      <c r="U605" s="235"/>
      <c r="V605" s="235"/>
      <c r="W605" s="235"/>
      <c r="X605" s="235"/>
      <c r="Y605" s="235"/>
      <c r="Z605" s="235"/>
    </row>
    <row r="606">
      <c r="A606" s="236"/>
      <c r="B606" s="236"/>
      <c r="C606" s="237"/>
      <c r="D606" s="237"/>
      <c r="E606" s="238"/>
      <c r="F606" s="238"/>
      <c r="G606" s="239"/>
      <c r="H606" s="239"/>
      <c r="I606" s="235"/>
      <c r="J606" s="235"/>
      <c r="K606" s="235"/>
      <c r="L606" s="235"/>
      <c r="M606" s="235"/>
      <c r="N606" s="235"/>
      <c r="O606" s="235"/>
      <c r="P606" s="235"/>
      <c r="Q606" s="235"/>
      <c r="R606" s="235"/>
      <c r="S606" s="235"/>
      <c r="T606" s="235"/>
      <c r="U606" s="235"/>
      <c r="V606" s="235"/>
      <c r="W606" s="235"/>
      <c r="X606" s="235"/>
      <c r="Y606" s="235"/>
      <c r="Z606" s="235"/>
    </row>
    <row r="607">
      <c r="A607" s="236"/>
      <c r="B607" s="236"/>
      <c r="C607" s="237"/>
      <c r="D607" s="237"/>
      <c r="E607" s="238"/>
      <c r="F607" s="238"/>
      <c r="G607" s="239"/>
      <c r="H607" s="239"/>
      <c r="I607" s="235"/>
      <c r="J607" s="235"/>
      <c r="K607" s="235"/>
      <c r="L607" s="235"/>
      <c r="M607" s="235"/>
      <c r="N607" s="235"/>
      <c r="O607" s="235"/>
      <c r="P607" s="235"/>
      <c r="Q607" s="235"/>
      <c r="R607" s="235"/>
      <c r="S607" s="235"/>
      <c r="T607" s="235"/>
      <c r="U607" s="235"/>
      <c r="V607" s="235"/>
      <c r="W607" s="235"/>
      <c r="X607" s="235"/>
      <c r="Y607" s="235"/>
      <c r="Z607" s="235"/>
    </row>
    <row r="608">
      <c r="A608" s="236"/>
      <c r="B608" s="236"/>
      <c r="C608" s="237"/>
      <c r="D608" s="237"/>
      <c r="E608" s="238"/>
      <c r="F608" s="238"/>
      <c r="G608" s="239"/>
      <c r="H608" s="239"/>
      <c r="I608" s="235"/>
      <c r="J608" s="235"/>
      <c r="K608" s="235"/>
      <c r="L608" s="235"/>
      <c r="M608" s="235"/>
      <c r="N608" s="235"/>
      <c r="O608" s="235"/>
      <c r="P608" s="235"/>
      <c r="Q608" s="235"/>
      <c r="R608" s="235"/>
      <c r="S608" s="235"/>
      <c r="T608" s="235"/>
      <c r="U608" s="235"/>
      <c r="V608" s="235"/>
      <c r="W608" s="235"/>
      <c r="X608" s="235"/>
      <c r="Y608" s="235"/>
      <c r="Z608" s="235"/>
    </row>
    <row r="609">
      <c r="A609" s="236"/>
      <c r="B609" s="236"/>
      <c r="C609" s="237"/>
      <c r="D609" s="237"/>
      <c r="E609" s="238"/>
      <c r="F609" s="238"/>
      <c r="G609" s="239"/>
      <c r="H609" s="239"/>
      <c r="I609" s="235"/>
      <c r="J609" s="235"/>
      <c r="K609" s="235"/>
      <c r="L609" s="235"/>
      <c r="M609" s="235"/>
      <c r="N609" s="235"/>
      <c r="O609" s="235"/>
      <c r="P609" s="235"/>
      <c r="Q609" s="235"/>
      <c r="R609" s="235"/>
      <c r="S609" s="235"/>
      <c r="T609" s="235"/>
      <c r="U609" s="235"/>
      <c r="V609" s="235"/>
      <c r="W609" s="235"/>
      <c r="X609" s="235"/>
      <c r="Y609" s="235"/>
      <c r="Z609" s="235"/>
    </row>
    <row r="610">
      <c r="A610" s="236"/>
      <c r="B610" s="236"/>
      <c r="C610" s="237"/>
      <c r="D610" s="237"/>
      <c r="E610" s="238"/>
      <c r="F610" s="238"/>
      <c r="G610" s="239"/>
      <c r="H610" s="239"/>
      <c r="I610" s="235"/>
      <c r="J610" s="235"/>
      <c r="K610" s="235"/>
      <c r="L610" s="235"/>
      <c r="M610" s="235"/>
      <c r="N610" s="235"/>
      <c r="O610" s="235"/>
      <c r="P610" s="235"/>
      <c r="Q610" s="235"/>
      <c r="R610" s="235"/>
      <c r="S610" s="235"/>
      <c r="T610" s="235"/>
      <c r="U610" s="235"/>
      <c r="V610" s="235"/>
      <c r="W610" s="235"/>
      <c r="X610" s="235"/>
      <c r="Y610" s="235"/>
      <c r="Z610" s="235"/>
    </row>
    <row r="611">
      <c r="A611" s="236"/>
      <c r="B611" s="236"/>
      <c r="C611" s="237"/>
      <c r="D611" s="237"/>
      <c r="E611" s="238"/>
      <c r="F611" s="238"/>
      <c r="G611" s="239"/>
      <c r="H611" s="239"/>
      <c r="I611" s="235"/>
      <c r="J611" s="235"/>
      <c r="K611" s="235"/>
      <c r="L611" s="235"/>
      <c r="M611" s="235"/>
      <c r="N611" s="235"/>
      <c r="O611" s="235"/>
      <c r="P611" s="235"/>
      <c r="Q611" s="235"/>
      <c r="R611" s="235"/>
      <c r="S611" s="235"/>
      <c r="T611" s="235"/>
      <c r="U611" s="235"/>
      <c r="V611" s="235"/>
      <c r="W611" s="235"/>
      <c r="X611" s="235"/>
      <c r="Y611" s="235"/>
      <c r="Z611" s="235"/>
    </row>
    <row r="612">
      <c r="A612" s="236"/>
      <c r="B612" s="236"/>
      <c r="C612" s="237"/>
      <c r="D612" s="237"/>
      <c r="E612" s="238"/>
      <c r="F612" s="238"/>
      <c r="G612" s="239"/>
      <c r="H612" s="239"/>
      <c r="I612" s="235"/>
      <c r="J612" s="235"/>
      <c r="K612" s="235"/>
      <c r="L612" s="235"/>
      <c r="M612" s="235"/>
      <c r="N612" s="235"/>
      <c r="O612" s="235"/>
      <c r="P612" s="235"/>
      <c r="Q612" s="235"/>
      <c r="R612" s="235"/>
      <c r="S612" s="235"/>
      <c r="T612" s="235"/>
      <c r="U612" s="235"/>
      <c r="V612" s="235"/>
      <c r="W612" s="235"/>
      <c r="X612" s="235"/>
      <c r="Y612" s="235"/>
      <c r="Z612" s="235"/>
    </row>
    <row r="613">
      <c r="A613" s="236"/>
      <c r="B613" s="236"/>
      <c r="C613" s="237"/>
      <c r="D613" s="237"/>
      <c r="E613" s="238"/>
      <c r="F613" s="238"/>
      <c r="G613" s="239"/>
      <c r="H613" s="239"/>
      <c r="I613" s="235"/>
      <c r="J613" s="235"/>
      <c r="K613" s="235"/>
      <c r="L613" s="235"/>
      <c r="M613" s="235"/>
      <c r="N613" s="235"/>
      <c r="O613" s="235"/>
      <c r="P613" s="235"/>
      <c r="Q613" s="235"/>
      <c r="R613" s="235"/>
      <c r="S613" s="235"/>
      <c r="T613" s="235"/>
      <c r="U613" s="235"/>
      <c r="V613" s="235"/>
      <c r="W613" s="235"/>
      <c r="X613" s="235"/>
      <c r="Y613" s="235"/>
      <c r="Z613" s="235"/>
    </row>
    <row r="614">
      <c r="A614" s="236"/>
      <c r="B614" s="236"/>
      <c r="C614" s="237"/>
      <c r="D614" s="237"/>
      <c r="E614" s="238"/>
      <c r="F614" s="238"/>
      <c r="G614" s="239"/>
      <c r="H614" s="239"/>
      <c r="I614" s="235"/>
      <c r="J614" s="235"/>
      <c r="K614" s="235"/>
      <c r="L614" s="235"/>
      <c r="M614" s="235"/>
      <c r="N614" s="235"/>
      <c r="O614" s="235"/>
      <c r="P614" s="235"/>
      <c r="Q614" s="235"/>
      <c r="R614" s="235"/>
      <c r="S614" s="235"/>
      <c r="T614" s="235"/>
      <c r="U614" s="235"/>
      <c r="V614" s="235"/>
      <c r="W614" s="235"/>
      <c r="X614" s="235"/>
      <c r="Y614" s="235"/>
      <c r="Z614" s="235"/>
    </row>
    <row r="615">
      <c r="A615" s="236"/>
      <c r="B615" s="236"/>
      <c r="C615" s="237"/>
      <c r="D615" s="237"/>
      <c r="E615" s="238"/>
      <c r="F615" s="238"/>
      <c r="G615" s="239"/>
      <c r="H615" s="239"/>
      <c r="I615" s="235"/>
      <c r="J615" s="235"/>
      <c r="K615" s="235"/>
      <c r="L615" s="235"/>
      <c r="M615" s="235"/>
      <c r="N615" s="235"/>
      <c r="O615" s="235"/>
      <c r="P615" s="235"/>
      <c r="Q615" s="235"/>
      <c r="R615" s="235"/>
      <c r="S615" s="235"/>
      <c r="T615" s="235"/>
      <c r="U615" s="235"/>
      <c r="V615" s="235"/>
      <c r="W615" s="235"/>
      <c r="X615" s="235"/>
      <c r="Y615" s="235"/>
      <c r="Z615" s="235"/>
    </row>
    <row r="616">
      <c r="A616" s="236"/>
      <c r="B616" s="236"/>
      <c r="C616" s="237"/>
      <c r="D616" s="237"/>
      <c r="E616" s="238"/>
      <c r="F616" s="238"/>
      <c r="G616" s="239"/>
      <c r="H616" s="239"/>
      <c r="I616" s="235"/>
      <c r="J616" s="235"/>
      <c r="K616" s="235"/>
      <c r="L616" s="235"/>
      <c r="M616" s="235"/>
      <c r="N616" s="235"/>
      <c r="O616" s="235"/>
      <c r="P616" s="235"/>
      <c r="Q616" s="235"/>
      <c r="R616" s="235"/>
      <c r="S616" s="235"/>
      <c r="T616" s="235"/>
      <c r="U616" s="235"/>
      <c r="V616" s="235"/>
      <c r="W616" s="235"/>
      <c r="X616" s="235"/>
      <c r="Y616" s="235"/>
      <c r="Z616" s="235"/>
    </row>
    <row r="617">
      <c r="A617" s="236"/>
      <c r="B617" s="236"/>
      <c r="C617" s="237"/>
      <c r="D617" s="237"/>
      <c r="E617" s="238"/>
      <c r="F617" s="238"/>
      <c r="G617" s="239"/>
      <c r="H617" s="239"/>
      <c r="I617" s="235"/>
      <c r="J617" s="235"/>
      <c r="K617" s="235"/>
      <c r="L617" s="235"/>
      <c r="M617" s="235"/>
      <c r="N617" s="235"/>
      <c r="O617" s="235"/>
      <c r="P617" s="235"/>
      <c r="Q617" s="235"/>
      <c r="R617" s="235"/>
      <c r="S617" s="235"/>
      <c r="T617" s="235"/>
      <c r="U617" s="235"/>
      <c r="V617" s="235"/>
      <c r="W617" s="235"/>
      <c r="X617" s="235"/>
      <c r="Y617" s="235"/>
      <c r="Z617" s="235"/>
    </row>
    <row r="618">
      <c r="A618" s="236"/>
      <c r="B618" s="236"/>
      <c r="C618" s="237"/>
      <c r="D618" s="237"/>
      <c r="E618" s="238"/>
      <c r="F618" s="238"/>
      <c r="G618" s="239"/>
      <c r="H618" s="239"/>
      <c r="I618" s="235"/>
      <c r="J618" s="235"/>
      <c r="K618" s="235"/>
      <c r="L618" s="235"/>
      <c r="M618" s="235"/>
      <c r="N618" s="235"/>
      <c r="O618" s="235"/>
      <c r="P618" s="235"/>
      <c r="Q618" s="235"/>
      <c r="R618" s="235"/>
      <c r="S618" s="235"/>
      <c r="T618" s="235"/>
      <c r="U618" s="235"/>
      <c r="V618" s="235"/>
      <c r="W618" s="235"/>
      <c r="X618" s="235"/>
      <c r="Y618" s="235"/>
      <c r="Z618" s="235"/>
    </row>
    <row r="619">
      <c r="A619" s="236"/>
      <c r="B619" s="236"/>
      <c r="C619" s="237"/>
      <c r="D619" s="237"/>
      <c r="E619" s="238"/>
      <c r="F619" s="238"/>
      <c r="G619" s="239"/>
      <c r="H619" s="239"/>
      <c r="I619" s="235"/>
      <c r="J619" s="235"/>
      <c r="K619" s="235"/>
      <c r="L619" s="235"/>
      <c r="M619" s="235"/>
      <c r="N619" s="235"/>
      <c r="O619" s="235"/>
      <c r="P619" s="235"/>
      <c r="Q619" s="235"/>
      <c r="R619" s="235"/>
      <c r="S619" s="235"/>
      <c r="T619" s="235"/>
      <c r="U619" s="235"/>
      <c r="V619" s="235"/>
      <c r="W619" s="235"/>
      <c r="X619" s="235"/>
      <c r="Y619" s="235"/>
      <c r="Z619" s="235"/>
    </row>
    <row r="620">
      <c r="A620" s="236"/>
      <c r="B620" s="236"/>
      <c r="C620" s="237"/>
      <c r="D620" s="237"/>
      <c r="E620" s="238"/>
      <c r="F620" s="238"/>
      <c r="G620" s="239"/>
      <c r="H620" s="239"/>
      <c r="I620" s="235"/>
      <c r="J620" s="235"/>
      <c r="K620" s="235"/>
      <c r="L620" s="235"/>
      <c r="M620" s="235"/>
      <c r="N620" s="235"/>
      <c r="O620" s="235"/>
      <c r="P620" s="235"/>
      <c r="Q620" s="235"/>
      <c r="R620" s="235"/>
      <c r="S620" s="235"/>
      <c r="T620" s="235"/>
      <c r="U620" s="235"/>
      <c r="V620" s="235"/>
      <c r="W620" s="235"/>
      <c r="X620" s="235"/>
      <c r="Y620" s="235"/>
      <c r="Z620" s="235"/>
    </row>
    <row r="621">
      <c r="A621" s="236"/>
      <c r="B621" s="236"/>
      <c r="C621" s="237"/>
      <c r="D621" s="237"/>
      <c r="E621" s="238"/>
      <c r="F621" s="238"/>
      <c r="G621" s="239"/>
      <c r="H621" s="239"/>
      <c r="I621" s="235"/>
      <c r="J621" s="235"/>
      <c r="K621" s="235"/>
      <c r="L621" s="235"/>
      <c r="M621" s="235"/>
      <c r="N621" s="235"/>
      <c r="O621" s="235"/>
      <c r="P621" s="235"/>
      <c r="Q621" s="235"/>
      <c r="R621" s="235"/>
      <c r="S621" s="235"/>
      <c r="T621" s="235"/>
      <c r="U621" s="235"/>
      <c r="V621" s="235"/>
      <c r="W621" s="235"/>
      <c r="X621" s="235"/>
      <c r="Y621" s="235"/>
      <c r="Z621" s="235"/>
    </row>
    <row r="622">
      <c r="A622" s="236"/>
      <c r="B622" s="236"/>
      <c r="C622" s="237"/>
      <c r="D622" s="237"/>
      <c r="E622" s="238"/>
      <c r="F622" s="238"/>
      <c r="G622" s="239"/>
      <c r="H622" s="239"/>
      <c r="I622" s="235"/>
      <c r="J622" s="235"/>
      <c r="K622" s="235"/>
      <c r="L622" s="235"/>
      <c r="M622" s="235"/>
      <c r="N622" s="235"/>
      <c r="O622" s="235"/>
      <c r="P622" s="235"/>
      <c r="Q622" s="235"/>
      <c r="R622" s="235"/>
      <c r="S622" s="235"/>
      <c r="T622" s="235"/>
      <c r="U622" s="235"/>
      <c r="V622" s="235"/>
      <c r="W622" s="235"/>
      <c r="X622" s="235"/>
      <c r="Y622" s="235"/>
      <c r="Z622" s="235"/>
    </row>
    <row r="623">
      <c r="A623" s="236"/>
      <c r="B623" s="236"/>
      <c r="C623" s="237"/>
      <c r="D623" s="237"/>
      <c r="E623" s="238"/>
      <c r="F623" s="238"/>
      <c r="G623" s="239"/>
      <c r="H623" s="239"/>
      <c r="I623" s="235"/>
      <c r="J623" s="235"/>
      <c r="K623" s="235"/>
      <c r="L623" s="235"/>
      <c r="M623" s="235"/>
      <c r="N623" s="235"/>
      <c r="O623" s="235"/>
      <c r="P623" s="235"/>
      <c r="Q623" s="235"/>
      <c r="R623" s="235"/>
      <c r="S623" s="235"/>
      <c r="T623" s="235"/>
      <c r="U623" s="235"/>
      <c r="V623" s="235"/>
      <c r="W623" s="235"/>
      <c r="X623" s="235"/>
      <c r="Y623" s="235"/>
      <c r="Z623" s="235"/>
    </row>
    <row r="624">
      <c r="A624" s="236"/>
      <c r="B624" s="236"/>
      <c r="C624" s="237"/>
      <c r="D624" s="237"/>
      <c r="E624" s="238"/>
      <c r="F624" s="238"/>
      <c r="G624" s="239"/>
      <c r="H624" s="239"/>
      <c r="I624" s="235"/>
      <c r="J624" s="235"/>
      <c r="K624" s="235"/>
      <c r="L624" s="235"/>
      <c r="M624" s="235"/>
      <c r="N624" s="235"/>
      <c r="O624" s="235"/>
      <c r="P624" s="235"/>
      <c r="Q624" s="235"/>
      <c r="R624" s="235"/>
      <c r="S624" s="235"/>
      <c r="T624" s="235"/>
      <c r="U624" s="235"/>
      <c r="V624" s="235"/>
      <c r="W624" s="235"/>
      <c r="X624" s="235"/>
      <c r="Y624" s="235"/>
      <c r="Z624" s="235"/>
    </row>
    <row r="625">
      <c r="A625" s="236"/>
      <c r="B625" s="236"/>
      <c r="C625" s="237"/>
      <c r="D625" s="237"/>
      <c r="E625" s="238"/>
      <c r="F625" s="238"/>
      <c r="G625" s="239"/>
      <c r="H625" s="239"/>
      <c r="I625" s="235"/>
      <c r="J625" s="235"/>
      <c r="K625" s="235"/>
      <c r="L625" s="235"/>
      <c r="M625" s="235"/>
      <c r="N625" s="235"/>
      <c r="O625" s="235"/>
      <c r="P625" s="235"/>
      <c r="Q625" s="235"/>
      <c r="R625" s="235"/>
      <c r="S625" s="235"/>
      <c r="T625" s="235"/>
      <c r="U625" s="235"/>
      <c r="V625" s="235"/>
      <c r="W625" s="235"/>
      <c r="X625" s="235"/>
      <c r="Y625" s="235"/>
      <c r="Z625" s="235"/>
    </row>
    <row r="626">
      <c r="A626" s="236"/>
      <c r="B626" s="236"/>
      <c r="C626" s="237"/>
      <c r="D626" s="237"/>
      <c r="E626" s="238"/>
      <c r="F626" s="238"/>
      <c r="G626" s="239"/>
      <c r="H626" s="239"/>
      <c r="I626" s="235"/>
      <c r="J626" s="235"/>
      <c r="K626" s="235"/>
      <c r="L626" s="235"/>
      <c r="M626" s="235"/>
      <c r="N626" s="235"/>
      <c r="O626" s="235"/>
      <c r="P626" s="235"/>
      <c r="Q626" s="235"/>
      <c r="R626" s="235"/>
      <c r="S626" s="235"/>
      <c r="T626" s="235"/>
      <c r="U626" s="235"/>
      <c r="V626" s="235"/>
      <c r="W626" s="235"/>
      <c r="X626" s="235"/>
      <c r="Y626" s="235"/>
      <c r="Z626" s="235"/>
    </row>
    <row r="627">
      <c r="A627" s="236"/>
      <c r="B627" s="236"/>
      <c r="C627" s="237"/>
      <c r="D627" s="237"/>
      <c r="E627" s="238"/>
      <c r="F627" s="238"/>
      <c r="G627" s="239"/>
      <c r="H627" s="239"/>
      <c r="I627" s="235"/>
      <c r="J627" s="235"/>
      <c r="K627" s="235"/>
      <c r="L627" s="235"/>
      <c r="M627" s="235"/>
      <c r="N627" s="235"/>
      <c r="O627" s="235"/>
      <c r="P627" s="235"/>
      <c r="Q627" s="235"/>
      <c r="R627" s="235"/>
      <c r="S627" s="235"/>
      <c r="T627" s="235"/>
      <c r="U627" s="235"/>
      <c r="V627" s="235"/>
      <c r="W627" s="235"/>
      <c r="X627" s="235"/>
      <c r="Y627" s="235"/>
      <c r="Z627" s="235"/>
    </row>
    <row r="628">
      <c r="A628" s="236"/>
      <c r="B628" s="236"/>
      <c r="C628" s="237"/>
      <c r="D628" s="237"/>
      <c r="E628" s="238"/>
      <c r="F628" s="238"/>
      <c r="G628" s="239"/>
      <c r="H628" s="239"/>
      <c r="I628" s="235"/>
      <c r="J628" s="235"/>
      <c r="K628" s="235"/>
      <c r="L628" s="235"/>
      <c r="M628" s="235"/>
      <c r="N628" s="235"/>
      <c r="O628" s="235"/>
      <c r="P628" s="235"/>
      <c r="Q628" s="235"/>
      <c r="R628" s="235"/>
      <c r="S628" s="235"/>
      <c r="T628" s="235"/>
      <c r="U628" s="235"/>
      <c r="V628" s="235"/>
      <c r="W628" s="235"/>
      <c r="X628" s="235"/>
      <c r="Y628" s="235"/>
      <c r="Z628" s="235"/>
    </row>
    <row r="629">
      <c r="A629" s="236"/>
      <c r="B629" s="236"/>
      <c r="C629" s="237"/>
      <c r="D629" s="237"/>
      <c r="E629" s="238"/>
      <c r="F629" s="238"/>
      <c r="G629" s="239"/>
      <c r="H629" s="239"/>
      <c r="I629" s="235"/>
      <c r="J629" s="235"/>
      <c r="K629" s="235"/>
      <c r="L629" s="235"/>
      <c r="M629" s="235"/>
      <c r="N629" s="235"/>
      <c r="O629" s="235"/>
      <c r="P629" s="235"/>
      <c r="Q629" s="235"/>
      <c r="R629" s="235"/>
      <c r="S629" s="235"/>
      <c r="T629" s="235"/>
      <c r="U629" s="235"/>
      <c r="V629" s="235"/>
      <c r="W629" s="235"/>
      <c r="X629" s="235"/>
      <c r="Y629" s="235"/>
      <c r="Z629" s="235"/>
    </row>
    <row r="630">
      <c r="A630" s="236"/>
      <c r="B630" s="236"/>
      <c r="C630" s="237"/>
      <c r="D630" s="237"/>
      <c r="E630" s="238"/>
      <c r="F630" s="238"/>
      <c r="G630" s="239"/>
      <c r="H630" s="239"/>
      <c r="I630" s="235"/>
      <c r="J630" s="235"/>
      <c r="K630" s="235"/>
      <c r="L630" s="235"/>
      <c r="M630" s="235"/>
      <c r="N630" s="235"/>
      <c r="O630" s="235"/>
      <c r="P630" s="235"/>
      <c r="Q630" s="235"/>
      <c r="R630" s="235"/>
      <c r="S630" s="235"/>
      <c r="T630" s="235"/>
      <c r="U630" s="235"/>
      <c r="V630" s="235"/>
      <c r="W630" s="235"/>
      <c r="X630" s="235"/>
      <c r="Y630" s="235"/>
      <c r="Z630" s="235"/>
    </row>
    <row r="631">
      <c r="A631" s="236"/>
      <c r="B631" s="236"/>
      <c r="C631" s="237"/>
      <c r="D631" s="237"/>
      <c r="E631" s="238"/>
      <c r="F631" s="238"/>
      <c r="G631" s="239"/>
      <c r="H631" s="239"/>
      <c r="I631" s="235"/>
      <c r="J631" s="235"/>
      <c r="K631" s="235"/>
      <c r="L631" s="235"/>
      <c r="M631" s="235"/>
      <c r="N631" s="235"/>
      <c r="O631" s="235"/>
      <c r="P631" s="235"/>
      <c r="Q631" s="235"/>
      <c r="R631" s="235"/>
      <c r="S631" s="235"/>
      <c r="T631" s="235"/>
      <c r="U631" s="235"/>
      <c r="V631" s="235"/>
      <c r="W631" s="235"/>
      <c r="X631" s="235"/>
      <c r="Y631" s="235"/>
      <c r="Z631" s="235"/>
    </row>
    <row r="632">
      <c r="A632" s="236"/>
      <c r="B632" s="236"/>
      <c r="C632" s="237"/>
      <c r="D632" s="237"/>
      <c r="E632" s="238"/>
      <c r="F632" s="238"/>
      <c r="G632" s="239"/>
      <c r="H632" s="239"/>
      <c r="I632" s="235"/>
      <c r="J632" s="235"/>
      <c r="K632" s="235"/>
      <c r="L632" s="235"/>
      <c r="M632" s="235"/>
      <c r="N632" s="235"/>
      <c r="O632" s="235"/>
      <c r="P632" s="235"/>
      <c r="Q632" s="235"/>
      <c r="R632" s="235"/>
      <c r="S632" s="235"/>
      <c r="T632" s="235"/>
      <c r="U632" s="235"/>
      <c r="V632" s="235"/>
      <c r="W632" s="235"/>
      <c r="X632" s="235"/>
      <c r="Y632" s="235"/>
      <c r="Z632" s="235"/>
    </row>
    <row r="633">
      <c r="A633" s="236"/>
      <c r="B633" s="236"/>
      <c r="C633" s="237"/>
      <c r="D633" s="237"/>
      <c r="E633" s="238"/>
      <c r="F633" s="238"/>
      <c r="G633" s="239"/>
      <c r="H633" s="239"/>
      <c r="I633" s="235"/>
      <c r="J633" s="235"/>
      <c r="K633" s="235"/>
      <c r="L633" s="235"/>
      <c r="M633" s="235"/>
      <c r="N633" s="235"/>
      <c r="O633" s="235"/>
      <c r="P633" s="235"/>
      <c r="Q633" s="235"/>
      <c r="R633" s="235"/>
      <c r="S633" s="235"/>
      <c r="T633" s="235"/>
      <c r="U633" s="235"/>
      <c r="V633" s="235"/>
      <c r="W633" s="235"/>
      <c r="X633" s="235"/>
      <c r="Y633" s="235"/>
      <c r="Z633" s="235"/>
    </row>
    <row r="634">
      <c r="A634" s="236"/>
      <c r="B634" s="236"/>
      <c r="C634" s="237"/>
      <c r="D634" s="237"/>
      <c r="E634" s="238"/>
      <c r="F634" s="238"/>
      <c r="G634" s="239"/>
      <c r="H634" s="239"/>
      <c r="I634" s="235"/>
      <c r="J634" s="235"/>
      <c r="K634" s="235"/>
      <c r="L634" s="235"/>
      <c r="M634" s="235"/>
      <c r="N634" s="235"/>
      <c r="O634" s="235"/>
      <c r="P634" s="235"/>
      <c r="Q634" s="235"/>
      <c r="R634" s="235"/>
      <c r="S634" s="235"/>
      <c r="T634" s="235"/>
      <c r="U634" s="235"/>
      <c r="V634" s="235"/>
      <c r="W634" s="235"/>
      <c r="X634" s="235"/>
      <c r="Y634" s="235"/>
      <c r="Z634" s="235"/>
    </row>
    <row r="635">
      <c r="A635" s="236"/>
      <c r="B635" s="236"/>
      <c r="C635" s="237"/>
      <c r="D635" s="237"/>
      <c r="E635" s="238"/>
      <c r="F635" s="238"/>
      <c r="G635" s="239"/>
      <c r="H635" s="239"/>
      <c r="I635" s="235"/>
      <c r="J635" s="235"/>
      <c r="K635" s="235"/>
      <c r="L635" s="235"/>
      <c r="M635" s="235"/>
      <c r="N635" s="235"/>
      <c r="O635" s="235"/>
      <c r="P635" s="235"/>
      <c r="Q635" s="235"/>
      <c r="R635" s="235"/>
      <c r="S635" s="235"/>
      <c r="T635" s="235"/>
      <c r="U635" s="235"/>
      <c r="V635" s="235"/>
      <c r="W635" s="235"/>
      <c r="X635" s="235"/>
      <c r="Y635" s="235"/>
      <c r="Z635" s="235"/>
    </row>
    <row r="636">
      <c r="A636" s="236"/>
      <c r="B636" s="236"/>
      <c r="C636" s="237"/>
      <c r="D636" s="237"/>
      <c r="E636" s="238"/>
      <c r="F636" s="238"/>
      <c r="G636" s="239"/>
      <c r="H636" s="239"/>
      <c r="I636" s="235"/>
      <c r="J636" s="235"/>
      <c r="K636" s="235"/>
      <c r="L636" s="235"/>
      <c r="M636" s="235"/>
      <c r="N636" s="235"/>
      <c r="O636" s="235"/>
      <c r="P636" s="235"/>
      <c r="Q636" s="235"/>
      <c r="R636" s="235"/>
      <c r="S636" s="235"/>
      <c r="T636" s="235"/>
      <c r="U636" s="235"/>
      <c r="V636" s="235"/>
      <c r="W636" s="235"/>
      <c r="X636" s="235"/>
      <c r="Y636" s="235"/>
      <c r="Z636" s="235"/>
    </row>
    <row r="637">
      <c r="A637" s="236"/>
      <c r="B637" s="236"/>
      <c r="C637" s="237"/>
      <c r="D637" s="237"/>
      <c r="E637" s="238"/>
      <c r="F637" s="238"/>
      <c r="G637" s="239"/>
      <c r="H637" s="239"/>
      <c r="I637" s="235"/>
      <c r="J637" s="235"/>
      <c r="K637" s="235"/>
      <c r="L637" s="235"/>
      <c r="M637" s="235"/>
      <c r="N637" s="235"/>
      <c r="O637" s="235"/>
      <c r="P637" s="235"/>
      <c r="Q637" s="235"/>
      <c r="R637" s="235"/>
      <c r="S637" s="235"/>
      <c r="T637" s="235"/>
      <c r="U637" s="235"/>
      <c r="V637" s="235"/>
      <c r="W637" s="235"/>
      <c r="X637" s="235"/>
      <c r="Y637" s="235"/>
      <c r="Z637" s="235"/>
    </row>
    <row r="638">
      <c r="A638" s="236"/>
      <c r="B638" s="236"/>
      <c r="C638" s="237"/>
      <c r="D638" s="237"/>
      <c r="E638" s="238"/>
      <c r="F638" s="238"/>
      <c r="G638" s="239"/>
      <c r="H638" s="239"/>
      <c r="I638" s="235"/>
      <c r="J638" s="235"/>
      <c r="K638" s="235"/>
      <c r="L638" s="235"/>
      <c r="M638" s="235"/>
      <c r="N638" s="235"/>
      <c r="O638" s="235"/>
      <c r="P638" s="235"/>
      <c r="Q638" s="235"/>
      <c r="R638" s="235"/>
      <c r="S638" s="235"/>
      <c r="T638" s="235"/>
      <c r="U638" s="235"/>
      <c r="V638" s="235"/>
      <c r="W638" s="235"/>
      <c r="X638" s="235"/>
      <c r="Y638" s="235"/>
      <c r="Z638" s="235"/>
    </row>
    <row r="639">
      <c r="A639" s="236"/>
      <c r="B639" s="236"/>
      <c r="C639" s="237"/>
      <c r="D639" s="237"/>
      <c r="E639" s="238"/>
      <c r="F639" s="238"/>
      <c r="G639" s="239"/>
      <c r="H639" s="239"/>
      <c r="I639" s="235"/>
      <c r="J639" s="235"/>
      <c r="K639" s="235"/>
      <c r="L639" s="235"/>
      <c r="M639" s="235"/>
      <c r="N639" s="235"/>
      <c r="O639" s="235"/>
      <c r="P639" s="235"/>
      <c r="Q639" s="235"/>
      <c r="R639" s="235"/>
      <c r="S639" s="235"/>
      <c r="T639" s="235"/>
      <c r="U639" s="235"/>
      <c r="V639" s="235"/>
      <c r="W639" s="235"/>
      <c r="X639" s="235"/>
      <c r="Y639" s="235"/>
      <c r="Z639" s="235"/>
    </row>
    <row r="640">
      <c r="A640" s="236"/>
      <c r="B640" s="236"/>
      <c r="C640" s="237"/>
      <c r="D640" s="237"/>
      <c r="E640" s="238"/>
      <c r="F640" s="238"/>
      <c r="G640" s="239"/>
      <c r="H640" s="239"/>
      <c r="I640" s="235"/>
      <c r="J640" s="235"/>
      <c r="K640" s="235"/>
      <c r="L640" s="235"/>
      <c r="M640" s="235"/>
      <c r="N640" s="235"/>
      <c r="O640" s="235"/>
      <c r="P640" s="235"/>
      <c r="Q640" s="235"/>
      <c r="R640" s="235"/>
      <c r="S640" s="235"/>
      <c r="T640" s="235"/>
      <c r="U640" s="235"/>
      <c r="V640" s="235"/>
      <c r="W640" s="235"/>
      <c r="X640" s="235"/>
      <c r="Y640" s="235"/>
      <c r="Z640" s="235"/>
    </row>
    <row r="641">
      <c r="A641" s="236"/>
      <c r="B641" s="236"/>
      <c r="C641" s="237"/>
      <c r="D641" s="237"/>
      <c r="E641" s="238"/>
      <c r="F641" s="238"/>
      <c r="G641" s="239"/>
      <c r="H641" s="239"/>
      <c r="I641" s="235"/>
      <c r="J641" s="235"/>
      <c r="K641" s="235"/>
      <c r="L641" s="235"/>
      <c r="M641" s="235"/>
      <c r="N641" s="235"/>
      <c r="O641" s="235"/>
      <c r="P641" s="235"/>
      <c r="Q641" s="235"/>
      <c r="R641" s="235"/>
      <c r="S641" s="235"/>
      <c r="T641" s="235"/>
      <c r="U641" s="235"/>
      <c r="V641" s="235"/>
      <c r="W641" s="235"/>
      <c r="X641" s="235"/>
      <c r="Y641" s="235"/>
      <c r="Z641" s="235"/>
    </row>
    <row r="642">
      <c r="A642" s="236"/>
      <c r="B642" s="236"/>
      <c r="C642" s="237"/>
      <c r="D642" s="237"/>
      <c r="E642" s="238"/>
      <c r="F642" s="238"/>
      <c r="G642" s="239"/>
      <c r="H642" s="239"/>
      <c r="I642" s="235"/>
      <c r="J642" s="235"/>
      <c r="K642" s="235"/>
      <c r="L642" s="235"/>
      <c r="M642" s="235"/>
      <c r="N642" s="235"/>
      <c r="O642" s="235"/>
      <c r="P642" s="235"/>
      <c r="Q642" s="235"/>
      <c r="R642" s="235"/>
      <c r="S642" s="235"/>
      <c r="T642" s="235"/>
      <c r="U642" s="235"/>
      <c r="V642" s="235"/>
      <c r="W642" s="235"/>
      <c r="X642" s="235"/>
      <c r="Y642" s="235"/>
      <c r="Z642" s="235"/>
    </row>
    <row r="643">
      <c r="A643" s="236"/>
      <c r="B643" s="236"/>
      <c r="C643" s="237"/>
      <c r="D643" s="237"/>
      <c r="E643" s="238"/>
      <c r="F643" s="238"/>
      <c r="G643" s="239"/>
      <c r="H643" s="239"/>
      <c r="I643" s="235"/>
      <c r="J643" s="235"/>
      <c r="K643" s="235"/>
      <c r="L643" s="235"/>
      <c r="M643" s="235"/>
      <c r="N643" s="235"/>
      <c r="O643" s="235"/>
      <c r="P643" s="235"/>
      <c r="Q643" s="235"/>
      <c r="R643" s="235"/>
      <c r="S643" s="235"/>
      <c r="T643" s="235"/>
      <c r="U643" s="235"/>
      <c r="V643" s="235"/>
      <c r="W643" s="235"/>
      <c r="X643" s="235"/>
      <c r="Y643" s="235"/>
      <c r="Z643" s="235"/>
    </row>
    <row r="644">
      <c r="A644" s="236"/>
      <c r="B644" s="236"/>
      <c r="C644" s="237"/>
      <c r="D644" s="237"/>
      <c r="E644" s="238"/>
      <c r="F644" s="238"/>
      <c r="G644" s="239"/>
      <c r="H644" s="239"/>
      <c r="I644" s="235"/>
      <c r="J644" s="235"/>
      <c r="K644" s="235"/>
      <c r="L644" s="235"/>
      <c r="M644" s="235"/>
      <c r="N644" s="235"/>
      <c r="O644" s="235"/>
      <c r="P644" s="235"/>
      <c r="Q644" s="235"/>
      <c r="R644" s="235"/>
      <c r="S644" s="235"/>
      <c r="T644" s="235"/>
      <c r="U644" s="235"/>
      <c r="V644" s="235"/>
      <c r="W644" s="235"/>
      <c r="X644" s="235"/>
      <c r="Y644" s="235"/>
      <c r="Z644" s="235"/>
    </row>
    <row r="645">
      <c r="A645" s="236"/>
      <c r="B645" s="236"/>
      <c r="C645" s="237"/>
      <c r="D645" s="237"/>
      <c r="E645" s="238"/>
      <c r="F645" s="238"/>
      <c r="G645" s="239"/>
      <c r="H645" s="239"/>
      <c r="I645" s="235"/>
      <c r="J645" s="235"/>
      <c r="K645" s="235"/>
      <c r="L645" s="235"/>
      <c r="M645" s="235"/>
      <c r="N645" s="235"/>
      <c r="O645" s="235"/>
      <c r="P645" s="235"/>
      <c r="Q645" s="235"/>
      <c r="R645" s="235"/>
      <c r="S645" s="235"/>
      <c r="T645" s="235"/>
      <c r="U645" s="235"/>
      <c r="V645" s="235"/>
      <c r="W645" s="235"/>
      <c r="X645" s="235"/>
      <c r="Y645" s="235"/>
      <c r="Z645" s="235"/>
    </row>
    <row r="646">
      <c r="A646" s="236"/>
      <c r="B646" s="236"/>
      <c r="C646" s="237"/>
      <c r="D646" s="237"/>
      <c r="E646" s="238"/>
      <c r="F646" s="238"/>
      <c r="G646" s="239"/>
      <c r="H646" s="239"/>
      <c r="I646" s="235"/>
      <c r="J646" s="235"/>
      <c r="K646" s="235"/>
      <c r="L646" s="235"/>
      <c r="M646" s="235"/>
      <c r="N646" s="235"/>
      <c r="O646" s="235"/>
      <c r="P646" s="235"/>
      <c r="Q646" s="235"/>
      <c r="R646" s="235"/>
      <c r="S646" s="235"/>
      <c r="T646" s="235"/>
      <c r="U646" s="235"/>
      <c r="V646" s="235"/>
      <c r="W646" s="235"/>
      <c r="X646" s="235"/>
      <c r="Y646" s="235"/>
      <c r="Z646" s="235"/>
    </row>
    <row r="647">
      <c r="A647" s="236"/>
      <c r="B647" s="236"/>
      <c r="C647" s="237"/>
      <c r="D647" s="237"/>
      <c r="E647" s="238"/>
      <c r="F647" s="238"/>
      <c r="G647" s="239"/>
      <c r="H647" s="239"/>
      <c r="I647" s="235"/>
      <c r="J647" s="235"/>
      <c r="K647" s="235"/>
      <c r="L647" s="235"/>
      <c r="M647" s="235"/>
      <c r="N647" s="235"/>
      <c r="O647" s="235"/>
      <c r="P647" s="235"/>
      <c r="Q647" s="235"/>
      <c r="R647" s="235"/>
      <c r="S647" s="235"/>
      <c r="T647" s="235"/>
      <c r="U647" s="235"/>
      <c r="V647" s="235"/>
      <c r="W647" s="235"/>
      <c r="X647" s="235"/>
      <c r="Y647" s="235"/>
      <c r="Z647" s="235"/>
    </row>
    <row r="648">
      <c r="A648" s="236"/>
      <c r="B648" s="236"/>
      <c r="C648" s="237"/>
      <c r="D648" s="237"/>
      <c r="E648" s="238"/>
      <c r="F648" s="238"/>
      <c r="G648" s="239"/>
      <c r="H648" s="239"/>
      <c r="I648" s="235"/>
      <c r="J648" s="235"/>
      <c r="K648" s="235"/>
      <c r="L648" s="235"/>
      <c r="M648" s="235"/>
      <c r="N648" s="235"/>
      <c r="O648" s="235"/>
      <c r="P648" s="235"/>
      <c r="Q648" s="235"/>
      <c r="R648" s="235"/>
      <c r="S648" s="235"/>
      <c r="T648" s="235"/>
      <c r="U648" s="235"/>
      <c r="V648" s="235"/>
      <c r="W648" s="235"/>
      <c r="X648" s="235"/>
      <c r="Y648" s="235"/>
      <c r="Z648" s="235"/>
    </row>
    <row r="649">
      <c r="A649" s="236"/>
      <c r="B649" s="236"/>
      <c r="C649" s="237"/>
      <c r="D649" s="237"/>
      <c r="E649" s="238"/>
      <c r="F649" s="238"/>
      <c r="G649" s="239"/>
      <c r="H649" s="239"/>
      <c r="I649" s="235"/>
      <c r="J649" s="235"/>
      <c r="K649" s="235"/>
      <c r="L649" s="235"/>
      <c r="M649" s="235"/>
      <c r="N649" s="235"/>
      <c r="O649" s="235"/>
      <c r="P649" s="235"/>
      <c r="Q649" s="235"/>
      <c r="R649" s="235"/>
      <c r="S649" s="235"/>
      <c r="T649" s="235"/>
      <c r="U649" s="235"/>
      <c r="V649" s="235"/>
      <c r="W649" s="235"/>
      <c r="X649" s="235"/>
      <c r="Y649" s="235"/>
      <c r="Z649" s="235"/>
    </row>
    <row r="650">
      <c r="A650" s="236"/>
      <c r="B650" s="236"/>
      <c r="C650" s="237"/>
      <c r="D650" s="237"/>
      <c r="E650" s="238"/>
      <c r="F650" s="238"/>
      <c r="G650" s="239"/>
      <c r="H650" s="239"/>
      <c r="I650" s="235"/>
      <c r="J650" s="235"/>
      <c r="K650" s="235"/>
      <c r="L650" s="235"/>
      <c r="M650" s="235"/>
      <c r="N650" s="235"/>
      <c r="O650" s="235"/>
      <c r="P650" s="235"/>
      <c r="Q650" s="235"/>
      <c r="R650" s="235"/>
      <c r="S650" s="235"/>
      <c r="T650" s="235"/>
      <c r="U650" s="235"/>
      <c r="V650" s="235"/>
      <c r="W650" s="235"/>
      <c r="X650" s="235"/>
      <c r="Y650" s="235"/>
      <c r="Z650" s="235"/>
    </row>
    <row r="651">
      <c r="A651" s="236"/>
      <c r="B651" s="236"/>
      <c r="C651" s="237"/>
      <c r="D651" s="237"/>
      <c r="E651" s="238"/>
      <c r="F651" s="238"/>
      <c r="G651" s="239"/>
      <c r="H651" s="239"/>
      <c r="I651" s="235"/>
      <c r="J651" s="235"/>
      <c r="K651" s="235"/>
      <c r="L651" s="235"/>
      <c r="M651" s="235"/>
      <c r="N651" s="235"/>
      <c r="O651" s="235"/>
      <c r="P651" s="235"/>
      <c r="Q651" s="235"/>
      <c r="R651" s="235"/>
      <c r="S651" s="235"/>
      <c r="T651" s="235"/>
      <c r="U651" s="235"/>
      <c r="V651" s="235"/>
      <c r="W651" s="235"/>
      <c r="X651" s="235"/>
      <c r="Y651" s="235"/>
      <c r="Z651" s="235"/>
    </row>
    <row r="652">
      <c r="A652" s="236"/>
      <c r="B652" s="236"/>
      <c r="C652" s="237"/>
      <c r="D652" s="237"/>
      <c r="E652" s="238"/>
      <c r="F652" s="238"/>
      <c r="G652" s="239"/>
      <c r="H652" s="239"/>
      <c r="I652" s="235"/>
      <c r="J652" s="235"/>
      <c r="K652" s="235"/>
      <c r="L652" s="235"/>
      <c r="M652" s="235"/>
      <c r="N652" s="235"/>
      <c r="O652" s="235"/>
      <c r="P652" s="235"/>
      <c r="Q652" s="235"/>
      <c r="R652" s="235"/>
      <c r="S652" s="235"/>
      <c r="T652" s="235"/>
      <c r="U652" s="235"/>
      <c r="V652" s="235"/>
      <c r="W652" s="235"/>
      <c r="X652" s="235"/>
      <c r="Y652" s="235"/>
      <c r="Z652" s="235"/>
    </row>
    <row r="653">
      <c r="A653" s="236"/>
      <c r="B653" s="236"/>
      <c r="C653" s="237"/>
      <c r="D653" s="237"/>
      <c r="E653" s="238"/>
      <c r="F653" s="238"/>
      <c r="G653" s="239"/>
      <c r="H653" s="239"/>
      <c r="I653" s="235"/>
      <c r="J653" s="235"/>
      <c r="K653" s="235"/>
      <c r="L653" s="235"/>
      <c r="M653" s="235"/>
      <c r="N653" s="235"/>
      <c r="O653" s="235"/>
      <c r="P653" s="235"/>
      <c r="Q653" s="235"/>
      <c r="R653" s="235"/>
      <c r="S653" s="235"/>
      <c r="T653" s="235"/>
      <c r="U653" s="235"/>
      <c r="V653" s="235"/>
      <c r="W653" s="235"/>
      <c r="X653" s="235"/>
      <c r="Y653" s="235"/>
      <c r="Z653" s="235"/>
    </row>
    <row r="654">
      <c r="A654" s="236"/>
      <c r="B654" s="236"/>
      <c r="C654" s="237"/>
      <c r="D654" s="237"/>
      <c r="E654" s="238"/>
      <c r="F654" s="238"/>
      <c r="G654" s="239"/>
      <c r="H654" s="239"/>
      <c r="I654" s="235"/>
      <c r="J654" s="235"/>
      <c r="K654" s="235"/>
      <c r="L654" s="235"/>
      <c r="M654" s="235"/>
      <c r="N654" s="235"/>
      <c r="O654" s="235"/>
      <c r="P654" s="235"/>
      <c r="Q654" s="235"/>
      <c r="R654" s="235"/>
      <c r="S654" s="235"/>
      <c r="T654" s="235"/>
      <c r="U654" s="235"/>
      <c r="V654" s="235"/>
      <c r="W654" s="235"/>
      <c r="X654" s="235"/>
      <c r="Y654" s="235"/>
      <c r="Z654" s="235"/>
    </row>
    <row r="655">
      <c r="A655" s="236"/>
      <c r="B655" s="236"/>
      <c r="C655" s="237"/>
      <c r="D655" s="237"/>
      <c r="E655" s="238"/>
      <c r="F655" s="238"/>
      <c r="G655" s="239"/>
      <c r="H655" s="239"/>
      <c r="I655" s="235"/>
      <c r="J655" s="235"/>
      <c r="K655" s="235"/>
      <c r="L655" s="235"/>
      <c r="M655" s="235"/>
      <c r="N655" s="235"/>
      <c r="O655" s="235"/>
      <c r="P655" s="235"/>
      <c r="Q655" s="235"/>
      <c r="R655" s="235"/>
      <c r="S655" s="235"/>
      <c r="T655" s="235"/>
      <c r="U655" s="235"/>
      <c r="V655" s="235"/>
      <c r="W655" s="235"/>
      <c r="X655" s="235"/>
      <c r="Y655" s="235"/>
      <c r="Z655" s="235"/>
    </row>
    <row r="656">
      <c r="A656" s="236"/>
      <c r="B656" s="236"/>
      <c r="C656" s="237"/>
      <c r="D656" s="237"/>
      <c r="E656" s="238"/>
      <c r="F656" s="238"/>
      <c r="G656" s="239"/>
      <c r="H656" s="239"/>
      <c r="I656" s="235"/>
      <c r="J656" s="235"/>
      <c r="K656" s="235"/>
      <c r="L656" s="235"/>
      <c r="M656" s="235"/>
      <c r="N656" s="235"/>
      <c r="O656" s="235"/>
      <c r="P656" s="235"/>
      <c r="Q656" s="235"/>
      <c r="R656" s="235"/>
      <c r="S656" s="235"/>
      <c r="T656" s="235"/>
      <c r="U656" s="235"/>
      <c r="V656" s="235"/>
      <c r="W656" s="235"/>
      <c r="X656" s="235"/>
      <c r="Y656" s="235"/>
      <c r="Z656" s="235"/>
    </row>
    <row r="657">
      <c r="A657" s="236"/>
      <c r="B657" s="236"/>
      <c r="C657" s="237"/>
      <c r="D657" s="237"/>
      <c r="E657" s="238"/>
      <c r="F657" s="238"/>
      <c r="G657" s="239"/>
      <c r="H657" s="239"/>
      <c r="I657" s="235"/>
      <c r="J657" s="235"/>
      <c r="K657" s="235"/>
      <c r="L657" s="235"/>
      <c r="M657" s="235"/>
      <c r="N657" s="235"/>
      <c r="O657" s="235"/>
      <c r="P657" s="235"/>
      <c r="Q657" s="235"/>
      <c r="R657" s="235"/>
      <c r="S657" s="235"/>
      <c r="T657" s="235"/>
      <c r="U657" s="235"/>
      <c r="V657" s="235"/>
      <c r="W657" s="235"/>
      <c r="X657" s="235"/>
      <c r="Y657" s="235"/>
      <c r="Z657" s="235"/>
    </row>
    <row r="658">
      <c r="A658" s="236"/>
      <c r="B658" s="236"/>
      <c r="C658" s="237"/>
      <c r="D658" s="237"/>
      <c r="E658" s="238"/>
      <c r="F658" s="238"/>
      <c r="G658" s="239"/>
      <c r="H658" s="239"/>
      <c r="I658" s="235"/>
      <c r="J658" s="235"/>
      <c r="K658" s="235"/>
      <c r="L658" s="235"/>
      <c r="M658" s="235"/>
      <c r="N658" s="235"/>
      <c r="O658" s="235"/>
      <c r="P658" s="235"/>
      <c r="Q658" s="235"/>
      <c r="R658" s="235"/>
      <c r="S658" s="235"/>
      <c r="T658" s="235"/>
      <c r="U658" s="235"/>
      <c r="V658" s="235"/>
      <c r="W658" s="235"/>
      <c r="X658" s="235"/>
      <c r="Y658" s="235"/>
      <c r="Z658" s="235"/>
    </row>
    <row r="659">
      <c r="A659" s="236"/>
      <c r="B659" s="236"/>
      <c r="C659" s="237"/>
      <c r="D659" s="237"/>
      <c r="E659" s="238"/>
      <c r="F659" s="238"/>
      <c r="G659" s="239"/>
      <c r="H659" s="239"/>
      <c r="I659" s="235"/>
      <c r="J659" s="235"/>
      <c r="K659" s="235"/>
      <c r="L659" s="235"/>
      <c r="M659" s="235"/>
      <c r="N659" s="235"/>
      <c r="O659" s="235"/>
      <c r="P659" s="235"/>
      <c r="Q659" s="235"/>
      <c r="R659" s="235"/>
      <c r="S659" s="235"/>
      <c r="T659" s="235"/>
      <c r="U659" s="235"/>
      <c r="V659" s="235"/>
      <c r="W659" s="235"/>
      <c r="X659" s="235"/>
      <c r="Y659" s="235"/>
      <c r="Z659" s="235"/>
    </row>
    <row r="660">
      <c r="A660" s="236"/>
      <c r="B660" s="236"/>
      <c r="C660" s="237"/>
      <c r="D660" s="237"/>
      <c r="E660" s="238"/>
      <c r="F660" s="238"/>
      <c r="G660" s="239"/>
      <c r="H660" s="239"/>
      <c r="I660" s="235"/>
      <c r="J660" s="235"/>
      <c r="K660" s="235"/>
      <c r="L660" s="235"/>
      <c r="M660" s="235"/>
      <c r="N660" s="235"/>
      <c r="O660" s="235"/>
      <c r="P660" s="235"/>
      <c r="Q660" s="235"/>
      <c r="R660" s="235"/>
      <c r="S660" s="235"/>
      <c r="T660" s="235"/>
      <c r="U660" s="235"/>
      <c r="V660" s="235"/>
      <c r="W660" s="235"/>
      <c r="X660" s="235"/>
      <c r="Y660" s="235"/>
      <c r="Z660" s="235"/>
    </row>
    <row r="661">
      <c r="A661" s="236"/>
      <c r="B661" s="236"/>
      <c r="C661" s="237"/>
      <c r="D661" s="237"/>
      <c r="E661" s="238"/>
      <c r="F661" s="238"/>
      <c r="G661" s="239"/>
      <c r="H661" s="239"/>
      <c r="I661" s="235"/>
      <c r="J661" s="235"/>
      <c r="K661" s="235"/>
      <c r="L661" s="235"/>
      <c r="M661" s="235"/>
      <c r="N661" s="235"/>
      <c r="O661" s="235"/>
      <c r="P661" s="235"/>
      <c r="Q661" s="235"/>
      <c r="R661" s="235"/>
      <c r="S661" s="235"/>
      <c r="T661" s="235"/>
      <c r="U661" s="235"/>
      <c r="V661" s="235"/>
      <c r="W661" s="235"/>
      <c r="X661" s="235"/>
      <c r="Y661" s="235"/>
      <c r="Z661" s="235"/>
    </row>
    <row r="662">
      <c r="A662" s="236"/>
      <c r="B662" s="236"/>
      <c r="C662" s="237"/>
      <c r="D662" s="237"/>
      <c r="E662" s="238"/>
      <c r="F662" s="238"/>
      <c r="G662" s="239"/>
      <c r="H662" s="239"/>
      <c r="I662" s="235"/>
      <c r="J662" s="235"/>
      <c r="K662" s="235"/>
      <c r="L662" s="235"/>
      <c r="M662" s="235"/>
      <c r="N662" s="235"/>
      <c r="O662" s="235"/>
      <c r="P662" s="235"/>
      <c r="Q662" s="235"/>
      <c r="R662" s="235"/>
      <c r="S662" s="235"/>
      <c r="T662" s="235"/>
      <c r="U662" s="235"/>
      <c r="V662" s="235"/>
      <c r="W662" s="235"/>
      <c r="X662" s="235"/>
      <c r="Y662" s="235"/>
      <c r="Z662" s="235"/>
    </row>
    <row r="663">
      <c r="A663" s="236"/>
      <c r="B663" s="236"/>
      <c r="C663" s="237"/>
      <c r="D663" s="237"/>
      <c r="E663" s="238"/>
      <c r="F663" s="238"/>
      <c r="G663" s="239"/>
      <c r="H663" s="239"/>
      <c r="I663" s="235"/>
      <c r="J663" s="235"/>
      <c r="K663" s="235"/>
      <c r="L663" s="235"/>
      <c r="M663" s="235"/>
      <c r="N663" s="235"/>
      <c r="O663" s="235"/>
      <c r="P663" s="235"/>
      <c r="Q663" s="235"/>
      <c r="R663" s="235"/>
      <c r="S663" s="235"/>
      <c r="T663" s="235"/>
      <c r="U663" s="235"/>
      <c r="V663" s="235"/>
      <c r="W663" s="235"/>
      <c r="X663" s="235"/>
      <c r="Y663" s="235"/>
      <c r="Z663" s="235"/>
    </row>
    <row r="664">
      <c r="A664" s="236"/>
      <c r="B664" s="236"/>
      <c r="C664" s="237"/>
      <c r="D664" s="237"/>
      <c r="E664" s="238"/>
      <c r="F664" s="238"/>
      <c r="G664" s="239"/>
      <c r="H664" s="239"/>
      <c r="I664" s="235"/>
      <c r="J664" s="235"/>
      <c r="K664" s="235"/>
      <c r="L664" s="235"/>
      <c r="M664" s="235"/>
      <c r="N664" s="235"/>
      <c r="O664" s="235"/>
      <c r="P664" s="235"/>
      <c r="Q664" s="235"/>
      <c r="R664" s="235"/>
      <c r="S664" s="235"/>
      <c r="T664" s="235"/>
      <c r="U664" s="235"/>
      <c r="V664" s="235"/>
      <c r="W664" s="235"/>
      <c r="X664" s="235"/>
      <c r="Y664" s="235"/>
      <c r="Z664" s="235"/>
    </row>
    <row r="665">
      <c r="A665" s="236"/>
      <c r="B665" s="236"/>
      <c r="C665" s="237"/>
      <c r="D665" s="237"/>
      <c r="E665" s="238"/>
      <c r="F665" s="238"/>
      <c r="G665" s="239"/>
      <c r="H665" s="239"/>
      <c r="I665" s="235"/>
      <c r="J665" s="235"/>
      <c r="K665" s="235"/>
      <c r="L665" s="235"/>
      <c r="M665" s="235"/>
      <c r="N665" s="235"/>
      <c r="O665" s="235"/>
      <c r="P665" s="235"/>
      <c r="Q665" s="235"/>
      <c r="R665" s="235"/>
      <c r="S665" s="235"/>
      <c r="T665" s="235"/>
      <c r="U665" s="235"/>
      <c r="V665" s="235"/>
      <c r="W665" s="235"/>
      <c r="X665" s="235"/>
      <c r="Y665" s="235"/>
      <c r="Z665" s="235"/>
    </row>
    <row r="666">
      <c r="A666" s="236"/>
      <c r="B666" s="236"/>
      <c r="C666" s="237"/>
      <c r="D666" s="237"/>
      <c r="E666" s="238"/>
      <c r="F666" s="238"/>
      <c r="G666" s="239"/>
      <c r="H666" s="239"/>
      <c r="I666" s="235"/>
      <c r="J666" s="235"/>
      <c r="K666" s="235"/>
      <c r="L666" s="235"/>
      <c r="M666" s="235"/>
      <c r="N666" s="235"/>
      <c r="O666" s="235"/>
      <c r="P666" s="235"/>
      <c r="Q666" s="235"/>
      <c r="R666" s="235"/>
      <c r="S666" s="235"/>
      <c r="T666" s="235"/>
      <c r="U666" s="235"/>
      <c r="V666" s="235"/>
      <c r="W666" s="235"/>
      <c r="X666" s="235"/>
      <c r="Y666" s="235"/>
      <c r="Z666" s="235"/>
    </row>
    <row r="667">
      <c r="A667" s="236"/>
      <c r="B667" s="236"/>
      <c r="C667" s="237"/>
      <c r="D667" s="237"/>
      <c r="E667" s="238"/>
      <c r="F667" s="238"/>
      <c r="G667" s="239"/>
      <c r="H667" s="239"/>
      <c r="I667" s="235"/>
      <c r="J667" s="235"/>
      <c r="K667" s="235"/>
      <c r="L667" s="235"/>
      <c r="M667" s="235"/>
      <c r="N667" s="235"/>
      <c r="O667" s="235"/>
      <c r="P667" s="235"/>
      <c r="Q667" s="235"/>
      <c r="R667" s="235"/>
      <c r="S667" s="235"/>
      <c r="T667" s="235"/>
      <c r="U667" s="235"/>
      <c r="V667" s="235"/>
      <c r="W667" s="235"/>
      <c r="X667" s="235"/>
      <c r="Y667" s="235"/>
      <c r="Z667" s="235"/>
    </row>
    <row r="668">
      <c r="A668" s="236"/>
      <c r="B668" s="236"/>
      <c r="C668" s="237"/>
      <c r="D668" s="237"/>
      <c r="E668" s="238"/>
      <c r="F668" s="238"/>
      <c r="G668" s="239"/>
      <c r="H668" s="239"/>
      <c r="I668" s="235"/>
      <c r="J668" s="235"/>
      <c r="K668" s="235"/>
      <c r="L668" s="235"/>
      <c r="M668" s="235"/>
      <c r="N668" s="235"/>
      <c r="O668" s="235"/>
      <c r="P668" s="235"/>
      <c r="Q668" s="235"/>
      <c r="R668" s="235"/>
      <c r="S668" s="235"/>
      <c r="T668" s="235"/>
      <c r="U668" s="235"/>
      <c r="V668" s="235"/>
      <c r="W668" s="235"/>
      <c r="X668" s="235"/>
      <c r="Y668" s="235"/>
      <c r="Z668" s="235"/>
    </row>
    <row r="669">
      <c r="A669" s="236"/>
      <c r="B669" s="236"/>
      <c r="C669" s="237"/>
      <c r="D669" s="237"/>
      <c r="E669" s="238"/>
      <c r="F669" s="238"/>
      <c r="G669" s="239"/>
      <c r="H669" s="239"/>
      <c r="I669" s="235"/>
      <c r="J669" s="235"/>
      <c r="K669" s="235"/>
      <c r="L669" s="235"/>
      <c r="M669" s="235"/>
      <c r="N669" s="235"/>
      <c r="O669" s="235"/>
      <c r="P669" s="235"/>
      <c r="Q669" s="235"/>
      <c r="R669" s="235"/>
      <c r="S669" s="235"/>
      <c r="T669" s="235"/>
      <c r="U669" s="235"/>
      <c r="V669" s="235"/>
      <c r="W669" s="235"/>
      <c r="X669" s="235"/>
      <c r="Y669" s="235"/>
      <c r="Z669" s="235"/>
    </row>
    <row r="670">
      <c r="A670" s="236"/>
      <c r="B670" s="236"/>
      <c r="C670" s="237"/>
      <c r="D670" s="237"/>
      <c r="E670" s="238"/>
      <c r="F670" s="238"/>
      <c r="G670" s="239"/>
      <c r="H670" s="239"/>
      <c r="I670" s="235"/>
      <c r="J670" s="235"/>
      <c r="K670" s="235"/>
      <c r="L670" s="235"/>
      <c r="M670" s="235"/>
      <c r="N670" s="235"/>
      <c r="O670" s="235"/>
      <c r="P670" s="235"/>
      <c r="Q670" s="235"/>
      <c r="R670" s="235"/>
      <c r="S670" s="235"/>
      <c r="T670" s="235"/>
      <c r="U670" s="235"/>
      <c r="V670" s="235"/>
      <c r="W670" s="235"/>
      <c r="X670" s="235"/>
      <c r="Y670" s="235"/>
      <c r="Z670" s="235"/>
    </row>
    <row r="671">
      <c r="A671" s="236"/>
      <c r="B671" s="236"/>
      <c r="C671" s="237"/>
      <c r="D671" s="237"/>
      <c r="E671" s="238"/>
      <c r="F671" s="238"/>
      <c r="G671" s="239"/>
      <c r="H671" s="239"/>
      <c r="I671" s="235"/>
      <c r="J671" s="235"/>
      <c r="K671" s="235"/>
      <c r="L671" s="235"/>
      <c r="M671" s="235"/>
      <c r="N671" s="235"/>
      <c r="O671" s="235"/>
      <c r="P671" s="235"/>
      <c r="Q671" s="235"/>
      <c r="R671" s="235"/>
      <c r="S671" s="235"/>
      <c r="T671" s="235"/>
      <c r="U671" s="235"/>
      <c r="V671" s="235"/>
      <c r="W671" s="235"/>
      <c r="X671" s="235"/>
      <c r="Y671" s="235"/>
      <c r="Z671" s="235"/>
    </row>
    <row r="672">
      <c r="A672" s="236"/>
      <c r="B672" s="236"/>
      <c r="C672" s="237"/>
      <c r="D672" s="237"/>
      <c r="E672" s="238"/>
      <c r="F672" s="238"/>
      <c r="G672" s="239"/>
      <c r="H672" s="239"/>
      <c r="I672" s="235"/>
      <c r="J672" s="235"/>
      <c r="K672" s="235"/>
      <c r="L672" s="235"/>
      <c r="M672" s="235"/>
      <c r="N672" s="235"/>
      <c r="O672" s="235"/>
      <c r="P672" s="235"/>
      <c r="Q672" s="235"/>
      <c r="R672" s="235"/>
      <c r="S672" s="235"/>
      <c r="T672" s="235"/>
      <c r="U672" s="235"/>
      <c r="V672" s="235"/>
      <c r="W672" s="235"/>
      <c r="X672" s="235"/>
      <c r="Y672" s="235"/>
      <c r="Z672" s="235"/>
    </row>
    <row r="673">
      <c r="A673" s="236"/>
      <c r="B673" s="236"/>
      <c r="C673" s="237"/>
      <c r="D673" s="237"/>
      <c r="E673" s="238"/>
      <c r="F673" s="238"/>
      <c r="G673" s="239"/>
      <c r="H673" s="239"/>
      <c r="I673" s="235"/>
      <c r="J673" s="235"/>
      <c r="K673" s="235"/>
      <c r="L673" s="235"/>
      <c r="M673" s="235"/>
      <c r="N673" s="235"/>
      <c r="O673" s="235"/>
      <c r="P673" s="235"/>
      <c r="Q673" s="235"/>
      <c r="R673" s="235"/>
      <c r="S673" s="235"/>
      <c r="T673" s="235"/>
      <c r="U673" s="235"/>
      <c r="V673" s="235"/>
      <c r="W673" s="235"/>
      <c r="X673" s="235"/>
      <c r="Y673" s="235"/>
      <c r="Z673" s="235"/>
    </row>
    <row r="674">
      <c r="A674" s="236"/>
      <c r="B674" s="236"/>
      <c r="C674" s="237"/>
      <c r="D674" s="237"/>
      <c r="E674" s="238"/>
      <c r="F674" s="238"/>
      <c r="G674" s="239"/>
      <c r="H674" s="239"/>
      <c r="I674" s="235"/>
      <c r="J674" s="235"/>
      <c r="K674" s="235"/>
      <c r="L674" s="235"/>
      <c r="M674" s="235"/>
      <c r="N674" s="235"/>
      <c r="O674" s="235"/>
      <c r="P674" s="235"/>
      <c r="Q674" s="235"/>
      <c r="R674" s="235"/>
      <c r="S674" s="235"/>
      <c r="T674" s="235"/>
      <c r="U674" s="235"/>
      <c r="V674" s="235"/>
      <c r="W674" s="235"/>
      <c r="X674" s="235"/>
      <c r="Y674" s="235"/>
      <c r="Z674" s="235"/>
    </row>
    <row r="675">
      <c r="A675" s="236"/>
      <c r="B675" s="236"/>
      <c r="C675" s="237"/>
      <c r="D675" s="237"/>
      <c r="E675" s="238"/>
      <c r="F675" s="238"/>
      <c r="G675" s="239"/>
      <c r="H675" s="239"/>
      <c r="I675" s="235"/>
      <c r="J675" s="235"/>
      <c r="K675" s="235"/>
      <c r="L675" s="235"/>
      <c r="M675" s="235"/>
      <c r="N675" s="235"/>
      <c r="O675" s="235"/>
      <c r="P675" s="235"/>
      <c r="Q675" s="235"/>
      <c r="R675" s="235"/>
      <c r="S675" s="235"/>
      <c r="T675" s="235"/>
      <c r="U675" s="235"/>
      <c r="V675" s="235"/>
      <c r="W675" s="235"/>
      <c r="X675" s="235"/>
      <c r="Y675" s="235"/>
      <c r="Z675" s="235"/>
    </row>
    <row r="676">
      <c r="A676" s="236"/>
      <c r="B676" s="236"/>
      <c r="C676" s="237"/>
      <c r="D676" s="237"/>
      <c r="E676" s="238"/>
      <c r="F676" s="238"/>
      <c r="G676" s="239"/>
      <c r="H676" s="239"/>
      <c r="I676" s="235"/>
      <c r="J676" s="235"/>
      <c r="K676" s="235"/>
      <c r="L676" s="235"/>
      <c r="M676" s="235"/>
      <c r="N676" s="235"/>
      <c r="O676" s="235"/>
      <c r="P676" s="235"/>
      <c r="Q676" s="235"/>
      <c r="R676" s="235"/>
      <c r="S676" s="235"/>
      <c r="T676" s="235"/>
      <c r="U676" s="235"/>
      <c r="V676" s="235"/>
      <c r="W676" s="235"/>
      <c r="X676" s="235"/>
      <c r="Y676" s="235"/>
      <c r="Z676" s="235"/>
    </row>
    <row r="677">
      <c r="A677" s="236"/>
      <c r="B677" s="236"/>
      <c r="C677" s="237"/>
      <c r="D677" s="237"/>
      <c r="E677" s="238"/>
      <c r="F677" s="238"/>
      <c r="G677" s="239"/>
      <c r="H677" s="239"/>
      <c r="I677" s="235"/>
      <c r="J677" s="235"/>
      <c r="K677" s="235"/>
      <c r="L677" s="235"/>
      <c r="M677" s="235"/>
      <c r="N677" s="235"/>
      <c r="O677" s="235"/>
      <c r="P677" s="235"/>
      <c r="Q677" s="235"/>
      <c r="R677" s="235"/>
      <c r="S677" s="235"/>
      <c r="T677" s="235"/>
      <c r="U677" s="235"/>
      <c r="V677" s="235"/>
      <c r="W677" s="235"/>
      <c r="X677" s="235"/>
      <c r="Y677" s="235"/>
      <c r="Z677" s="235"/>
    </row>
    <row r="678">
      <c r="A678" s="236"/>
      <c r="B678" s="236"/>
      <c r="C678" s="237"/>
      <c r="D678" s="237"/>
      <c r="E678" s="238"/>
      <c r="F678" s="238"/>
      <c r="G678" s="239"/>
      <c r="H678" s="239"/>
      <c r="I678" s="235"/>
      <c r="J678" s="235"/>
      <c r="K678" s="235"/>
      <c r="L678" s="235"/>
      <c r="M678" s="235"/>
      <c r="N678" s="235"/>
      <c r="O678" s="235"/>
      <c r="P678" s="235"/>
      <c r="Q678" s="235"/>
      <c r="R678" s="235"/>
      <c r="S678" s="235"/>
      <c r="T678" s="235"/>
      <c r="U678" s="235"/>
      <c r="V678" s="235"/>
      <c r="W678" s="235"/>
      <c r="X678" s="235"/>
      <c r="Y678" s="235"/>
      <c r="Z678" s="235"/>
    </row>
    <row r="679">
      <c r="A679" s="236"/>
      <c r="B679" s="236"/>
      <c r="C679" s="237"/>
      <c r="D679" s="237"/>
      <c r="E679" s="238"/>
      <c r="F679" s="238"/>
      <c r="G679" s="239"/>
      <c r="H679" s="239"/>
      <c r="I679" s="235"/>
      <c r="J679" s="235"/>
      <c r="K679" s="235"/>
      <c r="L679" s="235"/>
      <c r="M679" s="235"/>
      <c r="N679" s="235"/>
      <c r="O679" s="235"/>
      <c r="P679" s="235"/>
      <c r="Q679" s="235"/>
      <c r="R679" s="235"/>
      <c r="S679" s="235"/>
      <c r="T679" s="235"/>
      <c r="U679" s="235"/>
      <c r="V679" s="235"/>
      <c r="W679" s="235"/>
      <c r="X679" s="235"/>
      <c r="Y679" s="235"/>
      <c r="Z679" s="235"/>
    </row>
    <row r="680">
      <c r="A680" s="236"/>
      <c r="B680" s="236"/>
      <c r="C680" s="237"/>
      <c r="D680" s="237"/>
      <c r="E680" s="238"/>
      <c r="F680" s="238"/>
      <c r="G680" s="239"/>
      <c r="H680" s="239"/>
      <c r="I680" s="235"/>
      <c r="J680" s="235"/>
      <c r="K680" s="235"/>
      <c r="L680" s="235"/>
      <c r="M680" s="235"/>
      <c r="N680" s="235"/>
      <c r="O680" s="235"/>
      <c r="P680" s="235"/>
      <c r="Q680" s="235"/>
      <c r="R680" s="235"/>
      <c r="S680" s="235"/>
      <c r="T680" s="235"/>
      <c r="U680" s="235"/>
      <c r="V680" s="235"/>
      <c r="W680" s="235"/>
      <c r="X680" s="235"/>
      <c r="Y680" s="235"/>
      <c r="Z680" s="235"/>
    </row>
    <row r="681">
      <c r="A681" s="236"/>
      <c r="B681" s="236"/>
      <c r="C681" s="237"/>
      <c r="D681" s="237"/>
      <c r="E681" s="238"/>
      <c r="F681" s="238"/>
      <c r="G681" s="239"/>
      <c r="H681" s="239"/>
      <c r="I681" s="235"/>
      <c r="J681" s="235"/>
      <c r="K681" s="235"/>
      <c r="L681" s="235"/>
      <c r="M681" s="235"/>
      <c r="N681" s="235"/>
      <c r="O681" s="235"/>
      <c r="P681" s="235"/>
      <c r="Q681" s="235"/>
      <c r="R681" s="235"/>
      <c r="S681" s="235"/>
      <c r="T681" s="235"/>
      <c r="U681" s="235"/>
      <c r="V681" s="235"/>
      <c r="W681" s="235"/>
      <c r="X681" s="235"/>
      <c r="Y681" s="235"/>
      <c r="Z681" s="235"/>
    </row>
    <row r="682">
      <c r="A682" s="236"/>
      <c r="B682" s="236"/>
      <c r="C682" s="237"/>
      <c r="D682" s="237"/>
      <c r="E682" s="238"/>
      <c r="F682" s="238"/>
      <c r="G682" s="239"/>
      <c r="H682" s="239"/>
      <c r="I682" s="235"/>
      <c r="J682" s="235"/>
      <c r="K682" s="235"/>
      <c r="L682" s="235"/>
      <c r="M682" s="235"/>
      <c r="N682" s="235"/>
      <c r="O682" s="235"/>
      <c r="P682" s="235"/>
      <c r="Q682" s="235"/>
      <c r="R682" s="235"/>
      <c r="S682" s="235"/>
      <c r="T682" s="235"/>
      <c r="U682" s="235"/>
      <c r="V682" s="235"/>
      <c r="W682" s="235"/>
      <c r="X682" s="235"/>
      <c r="Y682" s="235"/>
      <c r="Z682" s="235"/>
    </row>
    <row r="683">
      <c r="A683" s="236"/>
      <c r="B683" s="236"/>
      <c r="C683" s="237"/>
      <c r="D683" s="237"/>
      <c r="E683" s="238"/>
      <c r="F683" s="238"/>
      <c r="G683" s="239"/>
      <c r="H683" s="239"/>
      <c r="I683" s="235"/>
      <c r="J683" s="235"/>
      <c r="K683" s="235"/>
      <c r="L683" s="235"/>
      <c r="M683" s="235"/>
      <c r="N683" s="235"/>
      <c r="O683" s="235"/>
      <c r="P683" s="235"/>
      <c r="Q683" s="235"/>
      <c r="R683" s="235"/>
      <c r="S683" s="235"/>
      <c r="T683" s="235"/>
      <c r="U683" s="235"/>
      <c r="V683" s="235"/>
      <c r="W683" s="235"/>
      <c r="X683" s="235"/>
      <c r="Y683" s="235"/>
      <c r="Z683" s="235"/>
    </row>
    <row r="684">
      <c r="A684" s="236"/>
      <c r="B684" s="236"/>
      <c r="C684" s="237"/>
      <c r="D684" s="237"/>
      <c r="E684" s="238"/>
      <c r="F684" s="238"/>
      <c r="G684" s="239"/>
      <c r="H684" s="239"/>
      <c r="I684" s="235"/>
      <c r="J684" s="235"/>
      <c r="K684" s="235"/>
      <c r="L684" s="235"/>
      <c r="M684" s="235"/>
      <c r="N684" s="235"/>
      <c r="O684" s="235"/>
      <c r="P684" s="235"/>
      <c r="Q684" s="235"/>
      <c r="R684" s="235"/>
      <c r="S684" s="235"/>
      <c r="T684" s="235"/>
      <c r="U684" s="235"/>
      <c r="V684" s="235"/>
      <c r="W684" s="235"/>
      <c r="X684" s="235"/>
      <c r="Y684" s="235"/>
      <c r="Z684" s="235"/>
    </row>
    <row r="685">
      <c r="A685" s="236"/>
      <c r="B685" s="236"/>
      <c r="C685" s="237"/>
      <c r="D685" s="237"/>
      <c r="E685" s="238"/>
      <c r="F685" s="238"/>
      <c r="G685" s="239"/>
      <c r="H685" s="239"/>
      <c r="I685" s="235"/>
      <c r="J685" s="235"/>
      <c r="K685" s="235"/>
      <c r="L685" s="235"/>
      <c r="M685" s="235"/>
      <c r="N685" s="235"/>
      <c r="O685" s="235"/>
      <c r="P685" s="235"/>
      <c r="Q685" s="235"/>
      <c r="R685" s="235"/>
      <c r="S685" s="235"/>
      <c r="T685" s="235"/>
      <c r="U685" s="235"/>
      <c r="V685" s="235"/>
      <c r="W685" s="235"/>
      <c r="X685" s="235"/>
      <c r="Y685" s="235"/>
      <c r="Z685" s="235"/>
    </row>
    <row r="686">
      <c r="A686" s="236"/>
      <c r="B686" s="236"/>
      <c r="C686" s="237"/>
      <c r="D686" s="237"/>
      <c r="E686" s="238"/>
      <c r="F686" s="238"/>
      <c r="G686" s="239"/>
      <c r="H686" s="239"/>
      <c r="I686" s="235"/>
      <c r="J686" s="235"/>
      <c r="K686" s="235"/>
      <c r="L686" s="235"/>
      <c r="M686" s="235"/>
      <c r="N686" s="235"/>
      <c r="O686" s="235"/>
      <c r="P686" s="235"/>
      <c r="Q686" s="235"/>
      <c r="R686" s="235"/>
      <c r="S686" s="235"/>
      <c r="T686" s="235"/>
      <c r="U686" s="235"/>
      <c r="V686" s="235"/>
      <c r="W686" s="235"/>
      <c r="X686" s="235"/>
      <c r="Y686" s="235"/>
      <c r="Z686" s="235"/>
    </row>
    <row r="687">
      <c r="A687" s="236"/>
      <c r="B687" s="236"/>
      <c r="C687" s="237"/>
      <c r="D687" s="237"/>
      <c r="E687" s="238"/>
      <c r="F687" s="238"/>
      <c r="G687" s="239"/>
      <c r="H687" s="239"/>
      <c r="I687" s="235"/>
      <c r="J687" s="235"/>
      <c r="K687" s="235"/>
      <c r="L687" s="235"/>
      <c r="M687" s="235"/>
      <c r="N687" s="235"/>
      <c r="O687" s="235"/>
      <c r="P687" s="235"/>
      <c r="Q687" s="235"/>
      <c r="R687" s="235"/>
      <c r="S687" s="235"/>
      <c r="T687" s="235"/>
      <c r="U687" s="235"/>
      <c r="V687" s="235"/>
      <c r="W687" s="235"/>
      <c r="X687" s="235"/>
      <c r="Y687" s="235"/>
      <c r="Z687" s="235"/>
    </row>
    <row r="688">
      <c r="A688" s="236"/>
      <c r="B688" s="236"/>
      <c r="C688" s="237"/>
      <c r="D688" s="237"/>
      <c r="E688" s="238"/>
      <c r="F688" s="238"/>
      <c r="G688" s="239"/>
      <c r="H688" s="239"/>
      <c r="I688" s="235"/>
      <c r="J688" s="235"/>
      <c r="K688" s="235"/>
      <c r="L688" s="235"/>
      <c r="M688" s="235"/>
      <c r="N688" s="235"/>
      <c r="O688" s="235"/>
      <c r="P688" s="235"/>
      <c r="Q688" s="235"/>
      <c r="R688" s="235"/>
      <c r="S688" s="235"/>
      <c r="T688" s="235"/>
      <c r="U688" s="235"/>
      <c r="V688" s="235"/>
      <c r="W688" s="235"/>
      <c r="X688" s="235"/>
      <c r="Y688" s="235"/>
      <c r="Z688" s="235"/>
    </row>
    <row r="689">
      <c r="A689" s="236"/>
      <c r="B689" s="236"/>
      <c r="C689" s="237"/>
      <c r="D689" s="237"/>
      <c r="E689" s="238"/>
      <c r="F689" s="238"/>
      <c r="G689" s="239"/>
      <c r="H689" s="239"/>
      <c r="I689" s="235"/>
      <c r="J689" s="235"/>
      <c r="K689" s="235"/>
      <c r="L689" s="235"/>
      <c r="M689" s="235"/>
      <c r="N689" s="235"/>
      <c r="O689" s="235"/>
      <c r="P689" s="235"/>
      <c r="Q689" s="235"/>
      <c r="R689" s="235"/>
      <c r="S689" s="235"/>
      <c r="T689" s="235"/>
      <c r="U689" s="235"/>
      <c r="V689" s="235"/>
      <c r="W689" s="235"/>
      <c r="X689" s="235"/>
      <c r="Y689" s="235"/>
      <c r="Z689" s="235"/>
    </row>
    <row r="690">
      <c r="A690" s="236"/>
      <c r="B690" s="236"/>
      <c r="C690" s="237"/>
      <c r="D690" s="237"/>
      <c r="E690" s="238"/>
      <c r="F690" s="238"/>
      <c r="G690" s="239"/>
      <c r="H690" s="239"/>
      <c r="I690" s="235"/>
      <c r="J690" s="235"/>
      <c r="K690" s="235"/>
      <c r="L690" s="235"/>
      <c r="M690" s="235"/>
      <c r="N690" s="235"/>
      <c r="O690" s="235"/>
      <c r="P690" s="235"/>
      <c r="Q690" s="235"/>
      <c r="R690" s="235"/>
      <c r="S690" s="235"/>
      <c r="T690" s="235"/>
      <c r="U690" s="235"/>
      <c r="V690" s="235"/>
      <c r="W690" s="235"/>
      <c r="X690" s="235"/>
      <c r="Y690" s="235"/>
      <c r="Z690" s="235"/>
    </row>
    <row r="691">
      <c r="A691" s="236"/>
      <c r="B691" s="236"/>
      <c r="C691" s="237"/>
      <c r="D691" s="237"/>
      <c r="E691" s="238"/>
      <c r="F691" s="238"/>
      <c r="G691" s="239"/>
      <c r="H691" s="239"/>
      <c r="I691" s="235"/>
      <c r="J691" s="235"/>
      <c r="K691" s="235"/>
      <c r="L691" s="235"/>
      <c r="M691" s="235"/>
      <c r="N691" s="235"/>
      <c r="O691" s="235"/>
      <c r="P691" s="235"/>
      <c r="Q691" s="235"/>
      <c r="R691" s="235"/>
      <c r="S691" s="235"/>
      <c r="T691" s="235"/>
      <c r="U691" s="235"/>
      <c r="V691" s="235"/>
      <c r="W691" s="235"/>
      <c r="X691" s="235"/>
      <c r="Y691" s="235"/>
      <c r="Z691" s="235"/>
    </row>
    <row r="692">
      <c r="A692" s="236"/>
      <c r="B692" s="236"/>
      <c r="C692" s="237"/>
      <c r="D692" s="237"/>
      <c r="E692" s="238"/>
      <c r="F692" s="238"/>
      <c r="G692" s="239"/>
      <c r="H692" s="239"/>
      <c r="I692" s="235"/>
      <c r="J692" s="235"/>
      <c r="K692" s="235"/>
      <c r="L692" s="235"/>
      <c r="M692" s="235"/>
      <c r="N692" s="235"/>
      <c r="O692" s="235"/>
      <c r="P692" s="235"/>
      <c r="Q692" s="235"/>
      <c r="R692" s="235"/>
      <c r="S692" s="235"/>
      <c r="T692" s="235"/>
      <c r="U692" s="235"/>
      <c r="V692" s="235"/>
      <c r="W692" s="235"/>
      <c r="X692" s="235"/>
      <c r="Y692" s="235"/>
      <c r="Z692" s="235"/>
    </row>
    <row r="693">
      <c r="A693" s="236"/>
      <c r="B693" s="236"/>
      <c r="C693" s="237"/>
      <c r="D693" s="237"/>
      <c r="E693" s="238"/>
      <c r="F693" s="238"/>
      <c r="G693" s="239"/>
      <c r="H693" s="239"/>
      <c r="I693" s="235"/>
      <c r="J693" s="235"/>
      <c r="K693" s="235"/>
      <c r="L693" s="235"/>
      <c r="M693" s="235"/>
      <c r="N693" s="235"/>
      <c r="O693" s="235"/>
      <c r="P693" s="235"/>
      <c r="Q693" s="235"/>
      <c r="R693" s="235"/>
      <c r="S693" s="235"/>
      <c r="T693" s="235"/>
      <c r="U693" s="235"/>
      <c r="V693" s="235"/>
      <c r="W693" s="235"/>
      <c r="X693" s="235"/>
      <c r="Y693" s="235"/>
      <c r="Z693" s="235"/>
    </row>
    <row r="694">
      <c r="A694" s="236"/>
      <c r="B694" s="236"/>
      <c r="C694" s="237"/>
      <c r="D694" s="237"/>
      <c r="E694" s="238"/>
      <c r="F694" s="238"/>
      <c r="G694" s="239"/>
      <c r="H694" s="239"/>
      <c r="I694" s="235"/>
      <c r="J694" s="235"/>
      <c r="K694" s="235"/>
      <c r="L694" s="235"/>
      <c r="M694" s="235"/>
      <c r="N694" s="235"/>
      <c r="O694" s="235"/>
      <c r="P694" s="235"/>
      <c r="Q694" s="235"/>
      <c r="R694" s="235"/>
      <c r="S694" s="235"/>
      <c r="T694" s="235"/>
      <c r="U694" s="235"/>
      <c r="V694" s="235"/>
      <c r="W694" s="235"/>
      <c r="X694" s="235"/>
      <c r="Y694" s="235"/>
      <c r="Z694" s="235"/>
    </row>
    <row r="695">
      <c r="A695" s="236"/>
      <c r="B695" s="236"/>
      <c r="C695" s="237"/>
      <c r="D695" s="237"/>
      <c r="E695" s="238"/>
      <c r="F695" s="238"/>
      <c r="G695" s="239"/>
      <c r="H695" s="239"/>
      <c r="I695" s="235"/>
      <c r="J695" s="235"/>
      <c r="K695" s="235"/>
      <c r="L695" s="235"/>
      <c r="M695" s="235"/>
      <c r="N695" s="235"/>
      <c r="O695" s="235"/>
      <c r="P695" s="235"/>
      <c r="Q695" s="235"/>
      <c r="R695" s="235"/>
      <c r="S695" s="235"/>
      <c r="T695" s="235"/>
      <c r="U695" s="235"/>
      <c r="V695" s="235"/>
      <c r="W695" s="235"/>
      <c r="X695" s="235"/>
      <c r="Y695" s="235"/>
      <c r="Z695" s="235"/>
    </row>
    <row r="696">
      <c r="A696" s="236"/>
      <c r="B696" s="236"/>
      <c r="C696" s="237"/>
      <c r="D696" s="237"/>
      <c r="E696" s="238"/>
      <c r="F696" s="238"/>
      <c r="G696" s="239"/>
      <c r="H696" s="239"/>
      <c r="I696" s="235"/>
      <c r="J696" s="235"/>
      <c r="K696" s="235"/>
      <c r="L696" s="235"/>
      <c r="M696" s="235"/>
      <c r="N696" s="235"/>
      <c r="O696" s="235"/>
      <c r="P696" s="235"/>
      <c r="Q696" s="235"/>
      <c r="R696" s="235"/>
      <c r="S696" s="235"/>
      <c r="T696" s="235"/>
      <c r="U696" s="235"/>
      <c r="V696" s="235"/>
      <c r="W696" s="235"/>
      <c r="X696" s="235"/>
      <c r="Y696" s="235"/>
      <c r="Z696" s="235"/>
    </row>
    <row r="697">
      <c r="A697" s="236"/>
      <c r="B697" s="236"/>
      <c r="C697" s="237"/>
      <c r="D697" s="237"/>
      <c r="E697" s="238"/>
      <c r="F697" s="238"/>
      <c r="G697" s="239"/>
      <c r="H697" s="239"/>
      <c r="I697" s="235"/>
      <c r="J697" s="235"/>
      <c r="K697" s="235"/>
      <c r="L697" s="235"/>
      <c r="M697" s="235"/>
      <c r="N697" s="235"/>
      <c r="O697" s="235"/>
      <c r="P697" s="235"/>
      <c r="Q697" s="235"/>
      <c r="R697" s="235"/>
      <c r="S697" s="235"/>
      <c r="T697" s="235"/>
      <c r="U697" s="235"/>
      <c r="V697" s="235"/>
      <c r="W697" s="235"/>
      <c r="X697" s="235"/>
      <c r="Y697" s="235"/>
      <c r="Z697" s="235"/>
    </row>
    <row r="698">
      <c r="A698" s="236"/>
      <c r="B698" s="236"/>
      <c r="C698" s="237"/>
      <c r="D698" s="237"/>
      <c r="E698" s="238"/>
      <c r="F698" s="238"/>
      <c r="G698" s="239"/>
      <c r="H698" s="239"/>
      <c r="I698" s="235"/>
      <c r="J698" s="235"/>
      <c r="K698" s="235"/>
      <c r="L698" s="235"/>
      <c r="M698" s="235"/>
      <c r="N698" s="235"/>
      <c r="O698" s="235"/>
      <c r="P698" s="235"/>
      <c r="Q698" s="235"/>
      <c r="R698" s="235"/>
      <c r="S698" s="235"/>
      <c r="T698" s="235"/>
      <c r="U698" s="235"/>
      <c r="V698" s="235"/>
      <c r="W698" s="235"/>
      <c r="X698" s="235"/>
      <c r="Y698" s="235"/>
      <c r="Z698" s="235"/>
    </row>
    <row r="699">
      <c r="A699" s="236"/>
      <c r="B699" s="236"/>
      <c r="C699" s="237"/>
      <c r="D699" s="237"/>
      <c r="E699" s="238"/>
      <c r="F699" s="238"/>
      <c r="G699" s="239"/>
      <c r="H699" s="239"/>
      <c r="I699" s="235"/>
      <c r="J699" s="235"/>
      <c r="K699" s="235"/>
      <c r="L699" s="235"/>
      <c r="M699" s="235"/>
      <c r="N699" s="235"/>
      <c r="O699" s="235"/>
      <c r="P699" s="235"/>
      <c r="Q699" s="235"/>
      <c r="R699" s="235"/>
      <c r="S699" s="235"/>
      <c r="T699" s="235"/>
      <c r="U699" s="235"/>
      <c r="V699" s="235"/>
      <c r="W699" s="235"/>
      <c r="X699" s="235"/>
      <c r="Y699" s="235"/>
      <c r="Z699" s="235"/>
    </row>
    <row r="700">
      <c r="A700" s="236"/>
      <c r="B700" s="236"/>
      <c r="C700" s="237"/>
      <c r="D700" s="237"/>
      <c r="E700" s="238"/>
      <c r="F700" s="238"/>
      <c r="G700" s="239"/>
      <c r="H700" s="239"/>
      <c r="I700" s="235"/>
      <c r="J700" s="235"/>
      <c r="K700" s="235"/>
      <c r="L700" s="235"/>
      <c r="M700" s="235"/>
      <c r="N700" s="235"/>
      <c r="O700" s="235"/>
      <c r="P700" s="235"/>
      <c r="Q700" s="235"/>
      <c r="R700" s="235"/>
      <c r="S700" s="235"/>
      <c r="T700" s="235"/>
      <c r="U700" s="235"/>
      <c r="V700" s="235"/>
      <c r="W700" s="235"/>
      <c r="X700" s="235"/>
      <c r="Y700" s="235"/>
      <c r="Z700" s="235"/>
    </row>
    <row r="701">
      <c r="A701" s="236"/>
      <c r="B701" s="236"/>
      <c r="C701" s="237"/>
      <c r="D701" s="237"/>
      <c r="E701" s="238"/>
      <c r="F701" s="238"/>
      <c r="G701" s="239"/>
      <c r="H701" s="239"/>
      <c r="I701" s="235"/>
      <c r="J701" s="235"/>
      <c r="K701" s="235"/>
      <c r="L701" s="235"/>
      <c r="M701" s="235"/>
      <c r="N701" s="235"/>
      <c r="O701" s="235"/>
      <c r="P701" s="235"/>
      <c r="Q701" s="235"/>
      <c r="R701" s="235"/>
      <c r="S701" s="235"/>
      <c r="T701" s="235"/>
      <c r="U701" s="235"/>
      <c r="V701" s="235"/>
      <c r="W701" s="235"/>
      <c r="X701" s="235"/>
      <c r="Y701" s="235"/>
      <c r="Z701" s="235"/>
    </row>
    <row r="702">
      <c r="A702" s="236"/>
      <c r="B702" s="236"/>
      <c r="C702" s="237"/>
      <c r="D702" s="237"/>
      <c r="E702" s="238"/>
      <c r="F702" s="238"/>
      <c r="G702" s="239"/>
      <c r="H702" s="239"/>
      <c r="I702" s="235"/>
      <c r="J702" s="235"/>
      <c r="K702" s="235"/>
      <c r="L702" s="235"/>
      <c r="M702" s="235"/>
      <c r="N702" s="235"/>
      <c r="O702" s="235"/>
      <c r="P702" s="235"/>
      <c r="Q702" s="235"/>
      <c r="R702" s="235"/>
      <c r="S702" s="235"/>
      <c r="T702" s="235"/>
      <c r="U702" s="235"/>
      <c r="V702" s="235"/>
      <c r="W702" s="235"/>
      <c r="X702" s="235"/>
      <c r="Y702" s="235"/>
      <c r="Z702" s="235"/>
    </row>
    <row r="703">
      <c r="A703" s="236"/>
      <c r="B703" s="236"/>
      <c r="C703" s="237"/>
      <c r="D703" s="237"/>
      <c r="E703" s="238"/>
      <c r="F703" s="238"/>
      <c r="G703" s="239"/>
      <c r="H703" s="239"/>
      <c r="I703" s="235"/>
      <c r="J703" s="235"/>
      <c r="K703" s="235"/>
      <c r="L703" s="235"/>
      <c r="M703" s="235"/>
      <c r="N703" s="235"/>
      <c r="O703" s="235"/>
      <c r="P703" s="235"/>
      <c r="Q703" s="235"/>
      <c r="R703" s="235"/>
      <c r="S703" s="235"/>
      <c r="T703" s="235"/>
      <c r="U703" s="235"/>
      <c r="V703" s="235"/>
      <c r="W703" s="235"/>
      <c r="X703" s="235"/>
      <c r="Y703" s="235"/>
      <c r="Z703" s="235"/>
    </row>
    <row r="704">
      <c r="A704" s="236"/>
      <c r="B704" s="236"/>
      <c r="C704" s="237"/>
      <c r="D704" s="237"/>
      <c r="E704" s="238"/>
      <c r="F704" s="238"/>
      <c r="G704" s="239"/>
      <c r="H704" s="239"/>
      <c r="I704" s="235"/>
      <c r="J704" s="235"/>
      <c r="K704" s="235"/>
      <c r="L704" s="235"/>
      <c r="M704" s="235"/>
      <c r="N704" s="235"/>
      <c r="O704" s="235"/>
      <c r="P704" s="235"/>
      <c r="Q704" s="235"/>
      <c r="R704" s="235"/>
      <c r="S704" s="235"/>
      <c r="T704" s="235"/>
      <c r="U704" s="235"/>
      <c r="V704" s="235"/>
      <c r="W704" s="235"/>
      <c r="X704" s="235"/>
      <c r="Y704" s="235"/>
      <c r="Z704" s="235"/>
    </row>
    <row r="705">
      <c r="A705" s="236"/>
      <c r="B705" s="236"/>
      <c r="C705" s="237"/>
      <c r="D705" s="237"/>
      <c r="E705" s="238"/>
      <c r="F705" s="238"/>
      <c r="G705" s="239"/>
      <c r="H705" s="239"/>
      <c r="I705" s="235"/>
      <c r="J705" s="235"/>
      <c r="K705" s="235"/>
      <c r="L705" s="235"/>
      <c r="M705" s="235"/>
      <c r="N705" s="235"/>
      <c r="O705" s="235"/>
      <c r="P705" s="235"/>
      <c r="Q705" s="235"/>
      <c r="R705" s="235"/>
      <c r="S705" s="235"/>
      <c r="T705" s="235"/>
      <c r="U705" s="235"/>
      <c r="V705" s="235"/>
      <c r="W705" s="235"/>
      <c r="X705" s="235"/>
      <c r="Y705" s="235"/>
      <c r="Z705" s="235"/>
    </row>
    <row r="706">
      <c r="A706" s="236"/>
      <c r="B706" s="236"/>
      <c r="C706" s="237"/>
      <c r="D706" s="237"/>
      <c r="E706" s="238"/>
      <c r="F706" s="238"/>
      <c r="G706" s="239"/>
      <c r="H706" s="239"/>
      <c r="I706" s="235"/>
      <c r="J706" s="235"/>
      <c r="K706" s="235"/>
      <c r="L706" s="235"/>
      <c r="M706" s="235"/>
      <c r="N706" s="235"/>
      <c r="O706" s="235"/>
      <c r="P706" s="235"/>
      <c r="Q706" s="235"/>
      <c r="R706" s="235"/>
      <c r="S706" s="235"/>
      <c r="T706" s="235"/>
      <c r="U706" s="235"/>
      <c r="V706" s="235"/>
      <c r="W706" s="235"/>
      <c r="X706" s="235"/>
      <c r="Y706" s="235"/>
      <c r="Z706" s="235"/>
    </row>
    <row r="707">
      <c r="A707" s="236"/>
      <c r="B707" s="236"/>
      <c r="C707" s="237"/>
      <c r="D707" s="237"/>
      <c r="E707" s="238"/>
      <c r="F707" s="238"/>
      <c r="G707" s="239"/>
      <c r="H707" s="239"/>
      <c r="I707" s="235"/>
      <c r="J707" s="235"/>
      <c r="K707" s="235"/>
      <c r="L707" s="235"/>
      <c r="M707" s="235"/>
      <c r="N707" s="235"/>
      <c r="O707" s="235"/>
      <c r="P707" s="235"/>
      <c r="Q707" s="235"/>
      <c r="R707" s="235"/>
      <c r="S707" s="235"/>
      <c r="T707" s="235"/>
      <c r="U707" s="235"/>
      <c r="V707" s="235"/>
      <c r="W707" s="235"/>
      <c r="X707" s="235"/>
      <c r="Y707" s="235"/>
      <c r="Z707" s="235"/>
    </row>
    <row r="708">
      <c r="A708" s="236"/>
      <c r="B708" s="236"/>
      <c r="C708" s="237"/>
      <c r="D708" s="237"/>
      <c r="E708" s="238"/>
      <c r="F708" s="238"/>
      <c r="G708" s="239"/>
      <c r="H708" s="239"/>
      <c r="I708" s="235"/>
      <c r="J708" s="235"/>
      <c r="K708" s="235"/>
      <c r="L708" s="235"/>
      <c r="M708" s="235"/>
      <c r="N708" s="235"/>
      <c r="O708" s="235"/>
      <c r="P708" s="235"/>
      <c r="Q708" s="235"/>
      <c r="R708" s="235"/>
      <c r="S708" s="235"/>
      <c r="T708" s="235"/>
      <c r="U708" s="235"/>
      <c r="V708" s="235"/>
      <c r="W708" s="235"/>
      <c r="X708" s="235"/>
      <c r="Y708" s="235"/>
      <c r="Z708" s="235"/>
    </row>
    <row r="709">
      <c r="A709" s="236"/>
      <c r="B709" s="236"/>
      <c r="C709" s="237"/>
      <c r="D709" s="237"/>
      <c r="E709" s="238"/>
      <c r="F709" s="238"/>
      <c r="G709" s="239"/>
      <c r="H709" s="239"/>
      <c r="I709" s="235"/>
      <c r="J709" s="235"/>
      <c r="K709" s="235"/>
      <c r="L709" s="235"/>
      <c r="M709" s="235"/>
      <c r="N709" s="235"/>
      <c r="O709" s="235"/>
      <c r="P709" s="235"/>
      <c r="Q709" s="235"/>
      <c r="R709" s="235"/>
      <c r="S709" s="235"/>
      <c r="T709" s="235"/>
      <c r="U709" s="235"/>
      <c r="V709" s="235"/>
      <c r="W709" s="235"/>
      <c r="X709" s="235"/>
      <c r="Y709" s="235"/>
      <c r="Z709" s="235"/>
    </row>
    <row r="710">
      <c r="A710" s="236"/>
      <c r="B710" s="236"/>
      <c r="C710" s="237"/>
      <c r="D710" s="237"/>
      <c r="E710" s="238"/>
      <c r="F710" s="238"/>
      <c r="G710" s="239"/>
      <c r="H710" s="239"/>
      <c r="I710" s="235"/>
      <c r="J710" s="235"/>
      <c r="K710" s="235"/>
      <c r="L710" s="235"/>
      <c r="M710" s="235"/>
      <c r="N710" s="235"/>
      <c r="O710" s="235"/>
      <c r="P710" s="235"/>
      <c r="Q710" s="235"/>
      <c r="R710" s="235"/>
      <c r="S710" s="235"/>
      <c r="T710" s="235"/>
      <c r="U710" s="235"/>
      <c r="V710" s="235"/>
      <c r="W710" s="235"/>
      <c r="X710" s="235"/>
      <c r="Y710" s="235"/>
      <c r="Z710" s="235"/>
    </row>
    <row r="711">
      <c r="A711" s="236"/>
      <c r="B711" s="236"/>
      <c r="C711" s="237"/>
      <c r="D711" s="237"/>
      <c r="E711" s="238"/>
      <c r="F711" s="238"/>
      <c r="G711" s="239"/>
      <c r="H711" s="239"/>
      <c r="I711" s="235"/>
      <c r="J711" s="235"/>
      <c r="K711" s="235"/>
      <c r="L711" s="235"/>
      <c r="M711" s="235"/>
      <c r="N711" s="235"/>
      <c r="O711" s="235"/>
      <c r="P711" s="235"/>
      <c r="Q711" s="235"/>
      <c r="R711" s="235"/>
      <c r="S711" s="235"/>
      <c r="T711" s="235"/>
      <c r="U711" s="235"/>
      <c r="V711" s="235"/>
      <c r="W711" s="235"/>
      <c r="X711" s="235"/>
      <c r="Y711" s="235"/>
      <c r="Z711" s="235"/>
    </row>
    <row r="712">
      <c r="A712" s="236"/>
      <c r="B712" s="236"/>
      <c r="C712" s="237"/>
      <c r="D712" s="237"/>
      <c r="E712" s="238"/>
      <c r="F712" s="238"/>
      <c r="G712" s="239"/>
      <c r="H712" s="239"/>
      <c r="I712" s="235"/>
      <c r="J712" s="235"/>
      <c r="K712" s="235"/>
      <c r="L712" s="235"/>
      <c r="M712" s="235"/>
      <c r="N712" s="235"/>
      <c r="O712" s="235"/>
      <c r="P712" s="235"/>
      <c r="Q712" s="235"/>
      <c r="R712" s="235"/>
      <c r="S712" s="235"/>
      <c r="T712" s="235"/>
      <c r="U712" s="235"/>
      <c r="V712" s="235"/>
      <c r="W712" s="235"/>
      <c r="X712" s="235"/>
      <c r="Y712" s="235"/>
      <c r="Z712" s="235"/>
    </row>
    <row r="713">
      <c r="A713" s="236"/>
      <c r="B713" s="236"/>
      <c r="C713" s="237"/>
      <c r="D713" s="237"/>
      <c r="E713" s="238"/>
      <c r="F713" s="238"/>
      <c r="G713" s="239"/>
      <c r="H713" s="239"/>
      <c r="I713" s="235"/>
      <c r="J713" s="235"/>
      <c r="K713" s="235"/>
      <c r="L713" s="235"/>
      <c r="M713" s="235"/>
      <c r="N713" s="235"/>
      <c r="O713" s="235"/>
      <c r="P713" s="235"/>
      <c r="Q713" s="235"/>
      <c r="R713" s="235"/>
      <c r="S713" s="235"/>
      <c r="T713" s="235"/>
      <c r="U713" s="235"/>
      <c r="V713" s="235"/>
      <c r="W713" s="235"/>
      <c r="X713" s="235"/>
      <c r="Y713" s="235"/>
      <c r="Z713" s="235"/>
    </row>
    <row r="714">
      <c r="A714" s="236"/>
      <c r="B714" s="236"/>
      <c r="C714" s="237"/>
      <c r="D714" s="237"/>
      <c r="E714" s="238"/>
      <c r="F714" s="238"/>
      <c r="G714" s="239"/>
      <c r="H714" s="239"/>
      <c r="I714" s="235"/>
      <c r="J714" s="235"/>
      <c r="K714" s="235"/>
      <c r="L714" s="235"/>
      <c r="M714" s="235"/>
      <c r="N714" s="235"/>
      <c r="O714" s="235"/>
      <c r="P714" s="235"/>
      <c r="Q714" s="235"/>
      <c r="R714" s="235"/>
      <c r="S714" s="235"/>
      <c r="T714" s="235"/>
      <c r="U714" s="235"/>
      <c r="V714" s="235"/>
      <c r="W714" s="235"/>
      <c r="X714" s="235"/>
      <c r="Y714" s="235"/>
      <c r="Z714" s="235"/>
    </row>
    <row r="715">
      <c r="A715" s="236"/>
      <c r="B715" s="236"/>
      <c r="C715" s="237"/>
      <c r="D715" s="237"/>
      <c r="E715" s="238"/>
      <c r="F715" s="238"/>
      <c r="G715" s="239"/>
      <c r="H715" s="239"/>
      <c r="I715" s="235"/>
      <c r="J715" s="235"/>
      <c r="K715" s="235"/>
      <c r="L715" s="235"/>
      <c r="M715" s="235"/>
      <c r="N715" s="235"/>
      <c r="O715" s="235"/>
      <c r="P715" s="235"/>
      <c r="Q715" s="235"/>
      <c r="R715" s="235"/>
      <c r="S715" s="235"/>
      <c r="T715" s="235"/>
      <c r="U715" s="235"/>
      <c r="V715" s="235"/>
      <c r="W715" s="235"/>
      <c r="X715" s="235"/>
      <c r="Y715" s="235"/>
      <c r="Z715" s="235"/>
    </row>
    <row r="716">
      <c r="A716" s="236"/>
      <c r="B716" s="236"/>
      <c r="C716" s="237"/>
      <c r="D716" s="237"/>
      <c r="E716" s="238"/>
      <c r="F716" s="238"/>
      <c r="G716" s="239"/>
      <c r="H716" s="239"/>
      <c r="I716" s="235"/>
      <c r="J716" s="235"/>
      <c r="K716" s="235"/>
      <c r="L716" s="235"/>
      <c r="M716" s="235"/>
      <c r="N716" s="235"/>
      <c r="O716" s="235"/>
      <c r="P716" s="235"/>
      <c r="Q716" s="235"/>
      <c r="R716" s="235"/>
      <c r="S716" s="235"/>
      <c r="T716" s="235"/>
      <c r="U716" s="235"/>
      <c r="V716" s="235"/>
      <c r="W716" s="235"/>
      <c r="X716" s="235"/>
      <c r="Y716" s="235"/>
      <c r="Z716" s="235"/>
    </row>
    <row r="717">
      <c r="A717" s="236"/>
      <c r="B717" s="236"/>
      <c r="C717" s="237"/>
      <c r="D717" s="237"/>
      <c r="E717" s="238"/>
      <c r="F717" s="238"/>
      <c r="G717" s="239"/>
      <c r="H717" s="239"/>
      <c r="I717" s="235"/>
      <c r="J717" s="235"/>
      <c r="K717" s="235"/>
      <c r="L717" s="235"/>
      <c r="M717" s="235"/>
      <c r="N717" s="235"/>
      <c r="O717" s="235"/>
      <c r="P717" s="235"/>
      <c r="Q717" s="235"/>
      <c r="R717" s="235"/>
      <c r="S717" s="235"/>
      <c r="T717" s="235"/>
      <c r="U717" s="235"/>
      <c r="V717" s="235"/>
      <c r="W717" s="235"/>
      <c r="X717" s="235"/>
      <c r="Y717" s="235"/>
      <c r="Z717" s="235"/>
    </row>
    <row r="718">
      <c r="A718" s="236"/>
      <c r="B718" s="236"/>
      <c r="C718" s="237"/>
      <c r="D718" s="237"/>
      <c r="E718" s="238"/>
      <c r="F718" s="238"/>
      <c r="G718" s="239"/>
      <c r="H718" s="239"/>
      <c r="I718" s="235"/>
      <c r="J718" s="235"/>
      <c r="K718" s="235"/>
      <c r="L718" s="235"/>
      <c r="M718" s="235"/>
      <c r="N718" s="235"/>
      <c r="O718" s="235"/>
      <c r="P718" s="235"/>
      <c r="Q718" s="235"/>
      <c r="R718" s="235"/>
      <c r="S718" s="235"/>
      <c r="T718" s="235"/>
      <c r="U718" s="235"/>
      <c r="V718" s="235"/>
      <c r="W718" s="235"/>
      <c r="X718" s="235"/>
      <c r="Y718" s="235"/>
      <c r="Z718" s="235"/>
    </row>
    <row r="719">
      <c r="A719" s="236"/>
      <c r="B719" s="236"/>
      <c r="C719" s="237"/>
      <c r="D719" s="237"/>
      <c r="E719" s="238"/>
      <c r="F719" s="238"/>
      <c r="G719" s="239"/>
      <c r="H719" s="239"/>
      <c r="I719" s="235"/>
      <c r="J719" s="235"/>
      <c r="K719" s="235"/>
      <c r="L719" s="235"/>
      <c r="M719" s="235"/>
      <c r="N719" s="235"/>
      <c r="O719" s="235"/>
      <c r="P719" s="235"/>
      <c r="Q719" s="235"/>
      <c r="R719" s="235"/>
      <c r="S719" s="235"/>
      <c r="T719" s="235"/>
      <c r="U719" s="235"/>
      <c r="V719" s="235"/>
      <c r="W719" s="235"/>
      <c r="X719" s="235"/>
      <c r="Y719" s="235"/>
      <c r="Z719" s="235"/>
    </row>
    <row r="720">
      <c r="A720" s="236"/>
      <c r="B720" s="236"/>
      <c r="C720" s="237"/>
      <c r="D720" s="237"/>
      <c r="E720" s="238"/>
      <c r="F720" s="238"/>
      <c r="G720" s="239"/>
      <c r="H720" s="239"/>
      <c r="I720" s="235"/>
      <c r="J720" s="235"/>
      <c r="K720" s="235"/>
      <c r="L720" s="235"/>
      <c r="M720" s="235"/>
      <c r="N720" s="235"/>
      <c r="O720" s="235"/>
      <c r="P720" s="235"/>
      <c r="Q720" s="235"/>
      <c r="R720" s="235"/>
      <c r="S720" s="235"/>
      <c r="T720" s="235"/>
      <c r="U720" s="235"/>
      <c r="V720" s="235"/>
      <c r="W720" s="235"/>
      <c r="X720" s="235"/>
      <c r="Y720" s="235"/>
      <c r="Z720" s="235"/>
    </row>
    <row r="721">
      <c r="A721" s="236"/>
      <c r="B721" s="236"/>
      <c r="C721" s="237"/>
      <c r="D721" s="237"/>
      <c r="E721" s="238"/>
      <c r="F721" s="238"/>
      <c r="G721" s="239"/>
      <c r="H721" s="239"/>
      <c r="I721" s="235"/>
      <c r="J721" s="235"/>
      <c r="K721" s="235"/>
      <c r="L721" s="235"/>
      <c r="M721" s="235"/>
      <c r="N721" s="235"/>
      <c r="O721" s="235"/>
      <c r="P721" s="235"/>
      <c r="Q721" s="235"/>
      <c r="R721" s="235"/>
      <c r="S721" s="235"/>
      <c r="T721" s="235"/>
      <c r="U721" s="235"/>
      <c r="V721" s="235"/>
      <c r="W721" s="235"/>
      <c r="X721" s="235"/>
      <c r="Y721" s="235"/>
      <c r="Z721" s="235"/>
    </row>
    <row r="722">
      <c r="A722" s="236"/>
      <c r="B722" s="236"/>
      <c r="C722" s="237"/>
      <c r="D722" s="237"/>
      <c r="E722" s="238"/>
      <c r="F722" s="238"/>
      <c r="G722" s="239"/>
      <c r="H722" s="239"/>
      <c r="I722" s="235"/>
      <c r="J722" s="235"/>
      <c r="K722" s="235"/>
      <c r="L722" s="235"/>
      <c r="M722" s="235"/>
      <c r="N722" s="235"/>
      <c r="O722" s="235"/>
      <c r="P722" s="235"/>
      <c r="Q722" s="235"/>
      <c r="R722" s="235"/>
      <c r="S722" s="235"/>
      <c r="T722" s="235"/>
      <c r="U722" s="235"/>
      <c r="V722" s="235"/>
      <c r="W722" s="235"/>
      <c r="X722" s="235"/>
      <c r="Y722" s="235"/>
      <c r="Z722" s="235"/>
    </row>
    <row r="723">
      <c r="A723" s="236"/>
      <c r="B723" s="236"/>
      <c r="C723" s="237"/>
      <c r="D723" s="237"/>
      <c r="E723" s="238"/>
      <c r="F723" s="238"/>
      <c r="G723" s="239"/>
      <c r="H723" s="239"/>
      <c r="I723" s="235"/>
      <c r="J723" s="235"/>
      <c r="K723" s="235"/>
      <c r="L723" s="235"/>
      <c r="M723" s="235"/>
      <c r="N723" s="235"/>
      <c r="O723" s="235"/>
      <c r="P723" s="235"/>
      <c r="Q723" s="235"/>
      <c r="R723" s="235"/>
      <c r="S723" s="235"/>
      <c r="T723" s="235"/>
      <c r="U723" s="235"/>
      <c r="V723" s="235"/>
      <c r="W723" s="235"/>
      <c r="X723" s="235"/>
      <c r="Y723" s="235"/>
      <c r="Z723" s="235"/>
    </row>
    <row r="724">
      <c r="A724" s="236"/>
      <c r="B724" s="236"/>
      <c r="C724" s="237"/>
      <c r="D724" s="237"/>
      <c r="E724" s="238"/>
      <c r="F724" s="238"/>
      <c r="G724" s="239"/>
      <c r="H724" s="239"/>
      <c r="I724" s="235"/>
      <c r="J724" s="235"/>
      <c r="K724" s="235"/>
      <c r="L724" s="235"/>
      <c r="M724" s="235"/>
      <c r="N724" s="235"/>
      <c r="O724" s="235"/>
      <c r="P724" s="235"/>
      <c r="Q724" s="235"/>
      <c r="R724" s="235"/>
      <c r="S724" s="235"/>
      <c r="T724" s="235"/>
      <c r="U724" s="235"/>
      <c r="V724" s="235"/>
      <c r="W724" s="235"/>
      <c r="X724" s="235"/>
      <c r="Y724" s="235"/>
      <c r="Z724" s="235"/>
    </row>
    <row r="725">
      <c r="A725" s="236"/>
      <c r="B725" s="236"/>
      <c r="C725" s="237"/>
      <c r="D725" s="237"/>
      <c r="E725" s="238"/>
      <c r="F725" s="238"/>
      <c r="G725" s="239"/>
      <c r="H725" s="239"/>
      <c r="I725" s="235"/>
      <c r="J725" s="235"/>
      <c r="K725" s="235"/>
      <c r="L725" s="235"/>
      <c r="M725" s="235"/>
      <c r="N725" s="235"/>
      <c r="O725" s="235"/>
      <c r="P725" s="235"/>
      <c r="Q725" s="235"/>
      <c r="R725" s="235"/>
      <c r="S725" s="235"/>
      <c r="T725" s="235"/>
      <c r="U725" s="235"/>
      <c r="V725" s="235"/>
      <c r="W725" s="235"/>
      <c r="X725" s="235"/>
      <c r="Y725" s="235"/>
      <c r="Z725" s="235"/>
    </row>
    <row r="726">
      <c r="A726" s="236"/>
      <c r="B726" s="236"/>
      <c r="C726" s="237"/>
      <c r="D726" s="237"/>
      <c r="E726" s="238"/>
      <c r="F726" s="238"/>
      <c r="G726" s="239"/>
      <c r="H726" s="239"/>
      <c r="I726" s="235"/>
      <c r="J726" s="235"/>
      <c r="K726" s="235"/>
      <c r="L726" s="235"/>
      <c r="M726" s="235"/>
      <c r="N726" s="235"/>
      <c r="O726" s="235"/>
      <c r="P726" s="235"/>
      <c r="Q726" s="235"/>
      <c r="R726" s="235"/>
      <c r="S726" s="235"/>
      <c r="T726" s="235"/>
      <c r="U726" s="235"/>
      <c r="V726" s="235"/>
      <c r="W726" s="235"/>
      <c r="X726" s="235"/>
      <c r="Y726" s="235"/>
      <c r="Z726" s="235"/>
    </row>
    <row r="727">
      <c r="A727" s="236"/>
      <c r="B727" s="236"/>
      <c r="C727" s="237"/>
      <c r="D727" s="237"/>
      <c r="E727" s="238"/>
      <c r="F727" s="238"/>
      <c r="G727" s="239"/>
      <c r="H727" s="239"/>
      <c r="I727" s="235"/>
      <c r="J727" s="235"/>
      <c r="K727" s="235"/>
      <c r="L727" s="235"/>
      <c r="M727" s="235"/>
      <c r="N727" s="235"/>
      <c r="O727" s="235"/>
      <c r="P727" s="235"/>
      <c r="Q727" s="235"/>
      <c r="R727" s="235"/>
      <c r="S727" s="235"/>
      <c r="T727" s="235"/>
      <c r="U727" s="235"/>
      <c r="V727" s="235"/>
      <c r="W727" s="235"/>
      <c r="X727" s="235"/>
      <c r="Y727" s="235"/>
      <c r="Z727" s="235"/>
    </row>
    <row r="728">
      <c r="A728" s="236"/>
      <c r="B728" s="236"/>
      <c r="C728" s="237"/>
      <c r="D728" s="237"/>
      <c r="E728" s="238"/>
      <c r="F728" s="238"/>
      <c r="G728" s="239"/>
      <c r="H728" s="239"/>
      <c r="I728" s="235"/>
      <c r="J728" s="235"/>
      <c r="K728" s="235"/>
      <c r="L728" s="235"/>
      <c r="M728" s="235"/>
      <c r="N728" s="235"/>
      <c r="O728" s="235"/>
      <c r="P728" s="235"/>
      <c r="Q728" s="235"/>
      <c r="R728" s="235"/>
      <c r="S728" s="235"/>
      <c r="T728" s="235"/>
      <c r="U728" s="235"/>
      <c r="V728" s="235"/>
      <c r="W728" s="235"/>
      <c r="X728" s="235"/>
      <c r="Y728" s="235"/>
      <c r="Z728" s="235"/>
    </row>
    <row r="729">
      <c r="A729" s="236"/>
      <c r="B729" s="236"/>
      <c r="C729" s="237"/>
      <c r="D729" s="237"/>
      <c r="E729" s="238"/>
      <c r="F729" s="238"/>
      <c r="G729" s="239"/>
      <c r="H729" s="239"/>
      <c r="I729" s="235"/>
      <c r="J729" s="235"/>
      <c r="K729" s="235"/>
      <c r="L729" s="235"/>
      <c r="M729" s="235"/>
      <c r="N729" s="235"/>
      <c r="O729" s="235"/>
      <c r="P729" s="235"/>
      <c r="Q729" s="235"/>
      <c r="R729" s="235"/>
      <c r="S729" s="235"/>
      <c r="T729" s="235"/>
      <c r="U729" s="235"/>
      <c r="V729" s="235"/>
      <c r="W729" s="235"/>
      <c r="X729" s="235"/>
      <c r="Y729" s="235"/>
      <c r="Z729" s="235"/>
    </row>
    <row r="730">
      <c r="A730" s="236"/>
      <c r="B730" s="236"/>
      <c r="C730" s="237"/>
      <c r="D730" s="237"/>
      <c r="E730" s="238"/>
      <c r="F730" s="238"/>
      <c r="G730" s="239"/>
      <c r="H730" s="239"/>
      <c r="I730" s="235"/>
      <c r="J730" s="235"/>
      <c r="K730" s="235"/>
      <c r="L730" s="235"/>
      <c r="M730" s="235"/>
      <c r="N730" s="235"/>
      <c r="O730" s="235"/>
      <c r="P730" s="235"/>
      <c r="Q730" s="235"/>
      <c r="R730" s="235"/>
      <c r="S730" s="235"/>
      <c r="T730" s="235"/>
      <c r="U730" s="235"/>
      <c r="V730" s="235"/>
      <c r="W730" s="235"/>
      <c r="X730" s="235"/>
      <c r="Y730" s="235"/>
      <c r="Z730" s="235"/>
    </row>
    <row r="731">
      <c r="A731" s="236"/>
      <c r="B731" s="236"/>
      <c r="C731" s="237"/>
      <c r="D731" s="237"/>
      <c r="E731" s="238"/>
      <c r="F731" s="238"/>
      <c r="G731" s="239"/>
      <c r="H731" s="239"/>
      <c r="I731" s="235"/>
      <c r="J731" s="235"/>
      <c r="K731" s="235"/>
      <c r="L731" s="235"/>
      <c r="M731" s="235"/>
      <c r="N731" s="235"/>
      <c r="O731" s="235"/>
      <c r="P731" s="235"/>
      <c r="Q731" s="235"/>
      <c r="R731" s="235"/>
      <c r="S731" s="235"/>
      <c r="T731" s="235"/>
      <c r="U731" s="235"/>
      <c r="V731" s="235"/>
      <c r="W731" s="235"/>
      <c r="X731" s="235"/>
      <c r="Y731" s="235"/>
      <c r="Z731" s="235"/>
    </row>
    <row r="732">
      <c r="A732" s="236"/>
      <c r="B732" s="236"/>
      <c r="C732" s="237"/>
      <c r="D732" s="237"/>
      <c r="E732" s="238"/>
      <c r="F732" s="238"/>
      <c r="G732" s="239"/>
      <c r="H732" s="239"/>
      <c r="I732" s="235"/>
      <c r="J732" s="235"/>
      <c r="K732" s="235"/>
      <c r="L732" s="235"/>
      <c r="M732" s="235"/>
      <c r="N732" s="235"/>
      <c r="O732" s="235"/>
      <c r="P732" s="235"/>
      <c r="Q732" s="235"/>
      <c r="R732" s="235"/>
      <c r="S732" s="235"/>
      <c r="T732" s="235"/>
      <c r="U732" s="235"/>
      <c r="V732" s="235"/>
      <c r="W732" s="235"/>
      <c r="X732" s="235"/>
      <c r="Y732" s="235"/>
      <c r="Z732" s="235"/>
    </row>
    <row r="733">
      <c r="A733" s="236"/>
      <c r="B733" s="236"/>
      <c r="C733" s="237"/>
      <c r="D733" s="237"/>
      <c r="E733" s="238"/>
      <c r="F733" s="238"/>
      <c r="G733" s="239"/>
      <c r="H733" s="239"/>
      <c r="I733" s="235"/>
      <c r="J733" s="235"/>
      <c r="K733" s="235"/>
      <c r="L733" s="235"/>
      <c r="M733" s="235"/>
      <c r="N733" s="235"/>
      <c r="O733" s="235"/>
      <c r="P733" s="235"/>
      <c r="Q733" s="235"/>
      <c r="R733" s="235"/>
      <c r="S733" s="235"/>
      <c r="T733" s="235"/>
      <c r="U733" s="235"/>
      <c r="V733" s="235"/>
      <c r="W733" s="235"/>
      <c r="X733" s="235"/>
      <c r="Y733" s="235"/>
      <c r="Z733" s="235"/>
    </row>
    <row r="734">
      <c r="A734" s="236"/>
      <c r="B734" s="236"/>
      <c r="C734" s="237"/>
      <c r="D734" s="237"/>
      <c r="E734" s="238"/>
      <c r="F734" s="238"/>
      <c r="G734" s="239"/>
      <c r="H734" s="239"/>
      <c r="I734" s="235"/>
      <c r="J734" s="235"/>
      <c r="K734" s="235"/>
      <c r="L734" s="235"/>
      <c r="M734" s="235"/>
      <c r="N734" s="235"/>
      <c r="O734" s="235"/>
      <c r="P734" s="235"/>
      <c r="Q734" s="235"/>
      <c r="R734" s="235"/>
      <c r="S734" s="235"/>
      <c r="T734" s="235"/>
      <c r="U734" s="235"/>
      <c r="V734" s="235"/>
      <c r="W734" s="235"/>
      <c r="X734" s="235"/>
      <c r="Y734" s="235"/>
      <c r="Z734" s="235"/>
    </row>
    <row r="735">
      <c r="A735" s="236"/>
      <c r="B735" s="236"/>
      <c r="C735" s="237"/>
      <c r="D735" s="237"/>
      <c r="E735" s="238"/>
      <c r="F735" s="238"/>
      <c r="G735" s="239"/>
      <c r="H735" s="239"/>
      <c r="I735" s="235"/>
      <c r="J735" s="235"/>
      <c r="K735" s="235"/>
      <c r="L735" s="235"/>
      <c r="M735" s="235"/>
      <c r="N735" s="235"/>
      <c r="O735" s="235"/>
      <c r="P735" s="235"/>
      <c r="Q735" s="235"/>
      <c r="R735" s="235"/>
      <c r="S735" s="235"/>
      <c r="T735" s="235"/>
      <c r="U735" s="235"/>
      <c r="V735" s="235"/>
      <c r="W735" s="235"/>
      <c r="X735" s="235"/>
      <c r="Y735" s="235"/>
      <c r="Z735" s="235"/>
    </row>
    <row r="736">
      <c r="A736" s="236"/>
      <c r="B736" s="236"/>
      <c r="C736" s="237"/>
      <c r="D736" s="237"/>
      <c r="E736" s="238"/>
      <c r="F736" s="238"/>
      <c r="G736" s="239"/>
      <c r="H736" s="239"/>
      <c r="I736" s="235"/>
      <c r="J736" s="235"/>
      <c r="K736" s="235"/>
      <c r="L736" s="235"/>
      <c r="M736" s="235"/>
      <c r="N736" s="235"/>
      <c r="O736" s="235"/>
      <c r="P736" s="235"/>
      <c r="Q736" s="235"/>
      <c r="R736" s="235"/>
      <c r="S736" s="235"/>
      <c r="T736" s="235"/>
      <c r="U736" s="235"/>
      <c r="V736" s="235"/>
      <c r="W736" s="235"/>
      <c r="X736" s="235"/>
      <c r="Y736" s="235"/>
      <c r="Z736" s="235"/>
    </row>
    <row r="737">
      <c r="A737" s="236"/>
      <c r="B737" s="236"/>
      <c r="C737" s="237"/>
      <c r="D737" s="237"/>
      <c r="E737" s="238"/>
      <c r="F737" s="238"/>
      <c r="G737" s="239"/>
      <c r="H737" s="239"/>
      <c r="I737" s="235"/>
      <c r="J737" s="235"/>
      <c r="K737" s="235"/>
      <c r="L737" s="235"/>
      <c r="M737" s="235"/>
      <c r="N737" s="235"/>
      <c r="O737" s="235"/>
      <c r="P737" s="235"/>
      <c r="Q737" s="235"/>
      <c r="R737" s="235"/>
      <c r="S737" s="235"/>
      <c r="T737" s="235"/>
      <c r="U737" s="235"/>
      <c r="V737" s="235"/>
      <c r="W737" s="235"/>
      <c r="X737" s="235"/>
      <c r="Y737" s="235"/>
      <c r="Z737" s="235"/>
    </row>
    <row r="738">
      <c r="A738" s="236"/>
      <c r="B738" s="236"/>
      <c r="C738" s="237"/>
      <c r="D738" s="237"/>
      <c r="E738" s="238"/>
      <c r="F738" s="238"/>
      <c r="G738" s="239"/>
      <c r="H738" s="239"/>
      <c r="I738" s="235"/>
      <c r="J738" s="235"/>
      <c r="K738" s="235"/>
      <c r="L738" s="235"/>
      <c r="M738" s="235"/>
      <c r="N738" s="235"/>
      <c r="O738" s="235"/>
      <c r="P738" s="235"/>
      <c r="Q738" s="235"/>
      <c r="R738" s="235"/>
      <c r="S738" s="235"/>
      <c r="T738" s="235"/>
      <c r="U738" s="235"/>
      <c r="V738" s="235"/>
      <c r="W738" s="235"/>
      <c r="X738" s="235"/>
      <c r="Y738" s="235"/>
      <c r="Z738" s="235"/>
    </row>
    <row r="739">
      <c r="A739" s="236"/>
      <c r="B739" s="236"/>
      <c r="C739" s="237"/>
      <c r="D739" s="237"/>
      <c r="E739" s="238"/>
      <c r="F739" s="238"/>
      <c r="G739" s="239"/>
      <c r="H739" s="239"/>
      <c r="I739" s="235"/>
      <c r="J739" s="235"/>
      <c r="K739" s="235"/>
      <c r="L739" s="235"/>
      <c r="M739" s="235"/>
      <c r="N739" s="235"/>
      <c r="O739" s="235"/>
      <c r="P739" s="235"/>
      <c r="Q739" s="235"/>
      <c r="R739" s="235"/>
      <c r="S739" s="235"/>
      <c r="T739" s="235"/>
      <c r="U739" s="235"/>
      <c r="V739" s="235"/>
      <c r="W739" s="235"/>
      <c r="X739" s="235"/>
      <c r="Y739" s="235"/>
      <c r="Z739" s="235"/>
    </row>
    <row r="740">
      <c r="A740" s="236"/>
      <c r="B740" s="236"/>
      <c r="C740" s="237"/>
      <c r="D740" s="237"/>
      <c r="E740" s="238"/>
      <c r="F740" s="238"/>
      <c r="G740" s="239"/>
      <c r="H740" s="239"/>
      <c r="I740" s="235"/>
      <c r="J740" s="235"/>
      <c r="K740" s="235"/>
      <c r="L740" s="235"/>
      <c r="M740" s="235"/>
      <c r="N740" s="235"/>
      <c r="O740" s="235"/>
      <c r="P740" s="235"/>
      <c r="Q740" s="235"/>
      <c r="R740" s="235"/>
      <c r="S740" s="235"/>
      <c r="T740" s="235"/>
      <c r="U740" s="235"/>
      <c r="V740" s="235"/>
      <c r="W740" s="235"/>
      <c r="X740" s="235"/>
      <c r="Y740" s="235"/>
      <c r="Z740" s="235"/>
    </row>
    <row r="741">
      <c r="A741" s="236"/>
      <c r="B741" s="236"/>
      <c r="C741" s="237"/>
      <c r="D741" s="237"/>
      <c r="E741" s="238"/>
      <c r="F741" s="238"/>
      <c r="G741" s="239"/>
      <c r="H741" s="239"/>
      <c r="I741" s="235"/>
      <c r="J741" s="235"/>
      <c r="K741" s="235"/>
      <c r="L741" s="235"/>
      <c r="M741" s="235"/>
      <c r="N741" s="235"/>
      <c r="O741" s="235"/>
      <c r="P741" s="235"/>
      <c r="Q741" s="235"/>
      <c r="R741" s="235"/>
      <c r="S741" s="235"/>
      <c r="T741" s="235"/>
      <c r="U741" s="235"/>
      <c r="V741" s="235"/>
      <c r="W741" s="235"/>
      <c r="X741" s="235"/>
      <c r="Y741" s="235"/>
      <c r="Z741" s="235"/>
    </row>
    <row r="742">
      <c r="A742" s="236"/>
      <c r="B742" s="236"/>
      <c r="C742" s="237"/>
      <c r="D742" s="237"/>
      <c r="E742" s="238"/>
      <c r="F742" s="238"/>
      <c r="G742" s="239"/>
      <c r="H742" s="239"/>
      <c r="I742" s="235"/>
      <c r="J742" s="235"/>
      <c r="K742" s="235"/>
      <c r="L742" s="235"/>
      <c r="M742" s="235"/>
      <c r="N742" s="235"/>
      <c r="O742" s="235"/>
      <c r="P742" s="235"/>
      <c r="Q742" s="235"/>
      <c r="R742" s="235"/>
      <c r="S742" s="235"/>
      <c r="T742" s="235"/>
      <c r="U742" s="235"/>
      <c r="V742" s="235"/>
      <c r="W742" s="235"/>
      <c r="X742" s="235"/>
      <c r="Y742" s="235"/>
      <c r="Z742" s="235"/>
    </row>
    <row r="743">
      <c r="A743" s="236"/>
      <c r="B743" s="236"/>
      <c r="C743" s="237"/>
      <c r="D743" s="237"/>
      <c r="E743" s="238"/>
      <c r="F743" s="238"/>
      <c r="G743" s="239"/>
      <c r="H743" s="239"/>
      <c r="I743" s="235"/>
      <c r="J743" s="235"/>
      <c r="K743" s="235"/>
      <c r="L743" s="235"/>
      <c r="M743" s="235"/>
      <c r="N743" s="235"/>
      <c r="O743" s="235"/>
      <c r="P743" s="235"/>
      <c r="Q743" s="235"/>
      <c r="R743" s="235"/>
      <c r="S743" s="235"/>
      <c r="T743" s="235"/>
      <c r="U743" s="235"/>
      <c r="V743" s="235"/>
      <c r="W743" s="235"/>
      <c r="X743" s="235"/>
      <c r="Y743" s="235"/>
      <c r="Z743" s="235"/>
    </row>
    <row r="744">
      <c r="A744" s="236"/>
      <c r="B744" s="236"/>
      <c r="C744" s="237"/>
      <c r="D744" s="237"/>
      <c r="E744" s="238"/>
      <c r="F744" s="238"/>
      <c r="G744" s="239"/>
      <c r="H744" s="239"/>
      <c r="I744" s="235"/>
      <c r="J744" s="235"/>
      <c r="K744" s="235"/>
      <c r="L744" s="235"/>
      <c r="M744" s="235"/>
      <c r="N744" s="235"/>
      <c r="O744" s="235"/>
      <c r="P744" s="235"/>
      <c r="Q744" s="235"/>
      <c r="R744" s="235"/>
      <c r="S744" s="235"/>
      <c r="T744" s="235"/>
      <c r="U744" s="235"/>
      <c r="V744" s="235"/>
      <c r="W744" s="235"/>
      <c r="X744" s="235"/>
      <c r="Y744" s="235"/>
      <c r="Z744" s="235"/>
    </row>
    <row r="745">
      <c r="A745" s="236"/>
      <c r="B745" s="236"/>
      <c r="C745" s="237"/>
      <c r="D745" s="237"/>
      <c r="E745" s="238"/>
      <c r="F745" s="238"/>
      <c r="G745" s="239"/>
      <c r="H745" s="239"/>
      <c r="I745" s="235"/>
      <c r="J745" s="235"/>
      <c r="K745" s="235"/>
      <c r="L745" s="235"/>
      <c r="M745" s="235"/>
      <c r="N745" s="235"/>
      <c r="O745" s="235"/>
      <c r="P745" s="235"/>
      <c r="Q745" s="235"/>
      <c r="R745" s="235"/>
      <c r="S745" s="235"/>
      <c r="T745" s="235"/>
      <c r="U745" s="235"/>
      <c r="V745" s="235"/>
      <c r="W745" s="235"/>
      <c r="X745" s="235"/>
      <c r="Y745" s="235"/>
      <c r="Z745" s="235"/>
    </row>
    <row r="746">
      <c r="A746" s="236"/>
      <c r="B746" s="236"/>
      <c r="C746" s="237"/>
      <c r="D746" s="237"/>
      <c r="E746" s="238"/>
      <c r="F746" s="238"/>
      <c r="G746" s="239"/>
      <c r="H746" s="239"/>
      <c r="I746" s="235"/>
      <c r="J746" s="235"/>
      <c r="K746" s="235"/>
      <c r="L746" s="235"/>
      <c r="M746" s="235"/>
      <c r="N746" s="235"/>
      <c r="O746" s="235"/>
      <c r="P746" s="235"/>
      <c r="Q746" s="235"/>
      <c r="R746" s="235"/>
      <c r="S746" s="235"/>
      <c r="T746" s="235"/>
      <c r="U746" s="235"/>
      <c r="V746" s="235"/>
      <c r="W746" s="235"/>
      <c r="X746" s="235"/>
      <c r="Y746" s="235"/>
      <c r="Z746" s="235"/>
    </row>
    <row r="747">
      <c r="A747" s="236"/>
      <c r="B747" s="236"/>
      <c r="C747" s="237"/>
      <c r="D747" s="237"/>
      <c r="E747" s="238"/>
      <c r="F747" s="238"/>
      <c r="G747" s="239"/>
      <c r="H747" s="239"/>
      <c r="I747" s="235"/>
      <c r="J747" s="235"/>
      <c r="K747" s="235"/>
      <c r="L747" s="235"/>
      <c r="M747" s="235"/>
      <c r="N747" s="235"/>
      <c r="O747" s="235"/>
      <c r="P747" s="235"/>
      <c r="Q747" s="235"/>
      <c r="R747" s="235"/>
      <c r="S747" s="235"/>
      <c r="T747" s="235"/>
      <c r="U747" s="235"/>
      <c r="V747" s="235"/>
      <c r="W747" s="235"/>
      <c r="X747" s="235"/>
      <c r="Y747" s="235"/>
      <c r="Z747" s="235"/>
    </row>
    <row r="748">
      <c r="A748" s="236"/>
      <c r="B748" s="236"/>
      <c r="C748" s="237"/>
      <c r="D748" s="237"/>
      <c r="E748" s="238"/>
      <c r="F748" s="238"/>
      <c r="G748" s="239"/>
      <c r="H748" s="239"/>
      <c r="I748" s="235"/>
      <c r="J748" s="235"/>
      <c r="K748" s="235"/>
      <c r="L748" s="235"/>
      <c r="M748" s="235"/>
      <c r="N748" s="235"/>
      <c r="O748" s="235"/>
      <c r="P748" s="235"/>
      <c r="Q748" s="235"/>
      <c r="R748" s="235"/>
      <c r="S748" s="235"/>
      <c r="T748" s="235"/>
      <c r="U748" s="235"/>
      <c r="V748" s="235"/>
      <c r="W748" s="235"/>
      <c r="X748" s="235"/>
      <c r="Y748" s="235"/>
      <c r="Z748" s="235"/>
    </row>
    <row r="749">
      <c r="A749" s="236"/>
      <c r="B749" s="236"/>
      <c r="C749" s="237"/>
      <c r="D749" s="237"/>
      <c r="E749" s="238"/>
      <c r="F749" s="238"/>
      <c r="G749" s="239"/>
      <c r="H749" s="239"/>
      <c r="I749" s="235"/>
      <c r="J749" s="235"/>
      <c r="K749" s="235"/>
      <c r="L749" s="235"/>
      <c r="M749" s="235"/>
      <c r="N749" s="235"/>
      <c r="O749" s="235"/>
      <c r="P749" s="235"/>
      <c r="Q749" s="235"/>
      <c r="R749" s="235"/>
      <c r="S749" s="235"/>
      <c r="T749" s="235"/>
      <c r="U749" s="235"/>
      <c r="V749" s="235"/>
      <c r="W749" s="235"/>
      <c r="X749" s="235"/>
      <c r="Y749" s="235"/>
      <c r="Z749" s="235"/>
    </row>
    <row r="750">
      <c r="A750" s="236"/>
      <c r="B750" s="236"/>
      <c r="C750" s="237"/>
      <c r="D750" s="237"/>
      <c r="E750" s="238"/>
      <c r="F750" s="238"/>
      <c r="G750" s="239"/>
      <c r="H750" s="239"/>
      <c r="I750" s="235"/>
      <c r="J750" s="235"/>
      <c r="K750" s="235"/>
      <c r="L750" s="235"/>
      <c r="M750" s="235"/>
      <c r="N750" s="235"/>
      <c r="O750" s="235"/>
      <c r="P750" s="235"/>
      <c r="Q750" s="235"/>
      <c r="R750" s="235"/>
      <c r="S750" s="235"/>
      <c r="T750" s="235"/>
      <c r="U750" s="235"/>
      <c r="V750" s="235"/>
      <c r="W750" s="235"/>
      <c r="X750" s="235"/>
      <c r="Y750" s="235"/>
      <c r="Z750" s="235"/>
    </row>
    <row r="751">
      <c r="A751" s="236"/>
      <c r="B751" s="236"/>
      <c r="C751" s="237"/>
      <c r="D751" s="237"/>
      <c r="E751" s="238"/>
      <c r="F751" s="238"/>
      <c r="G751" s="239"/>
      <c r="H751" s="239"/>
      <c r="I751" s="235"/>
      <c r="J751" s="235"/>
      <c r="K751" s="235"/>
      <c r="L751" s="235"/>
      <c r="M751" s="235"/>
      <c r="N751" s="235"/>
      <c r="O751" s="235"/>
      <c r="P751" s="235"/>
      <c r="Q751" s="235"/>
      <c r="R751" s="235"/>
      <c r="S751" s="235"/>
      <c r="T751" s="235"/>
      <c r="U751" s="235"/>
      <c r="V751" s="235"/>
      <c r="W751" s="235"/>
      <c r="X751" s="235"/>
      <c r="Y751" s="235"/>
      <c r="Z751" s="235"/>
    </row>
    <row r="752">
      <c r="A752" s="236"/>
      <c r="B752" s="236"/>
      <c r="C752" s="237"/>
      <c r="D752" s="237"/>
      <c r="E752" s="238"/>
      <c r="F752" s="238"/>
      <c r="G752" s="239"/>
      <c r="H752" s="239"/>
      <c r="I752" s="235"/>
      <c r="J752" s="235"/>
      <c r="K752" s="235"/>
      <c r="L752" s="235"/>
      <c r="M752" s="235"/>
      <c r="N752" s="235"/>
      <c r="O752" s="235"/>
      <c r="P752" s="235"/>
      <c r="Q752" s="235"/>
      <c r="R752" s="235"/>
      <c r="S752" s="235"/>
      <c r="T752" s="235"/>
      <c r="U752" s="235"/>
      <c r="V752" s="235"/>
      <c r="W752" s="235"/>
      <c r="X752" s="235"/>
      <c r="Y752" s="235"/>
      <c r="Z752" s="235"/>
    </row>
    <row r="753">
      <c r="A753" s="236"/>
      <c r="B753" s="236"/>
      <c r="C753" s="237"/>
      <c r="D753" s="237"/>
      <c r="E753" s="238"/>
      <c r="F753" s="238"/>
      <c r="G753" s="239"/>
      <c r="H753" s="239"/>
      <c r="I753" s="235"/>
      <c r="J753" s="235"/>
      <c r="K753" s="235"/>
      <c r="L753" s="235"/>
      <c r="M753" s="235"/>
      <c r="N753" s="235"/>
      <c r="O753" s="235"/>
      <c r="P753" s="235"/>
      <c r="Q753" s="235"/>
      <c r="R753" s="235"/>
      <c r="S753" s="235"/>
      <c r="T753" s="235"/>
      <c r="U753" s="235"/>
      <c r="V753" s="235"/>
      <c r="W753" s="235"/>
      <c r="X753" s="235"/>
      <c r="Y753" s="235"/>
      <c r="Z753" s="235"/>
    </row>
    <row r="754">
      <c r="A754" s="236"/>
      <c r="B754" s="236"/>
      <c r="C754" s="237"/>
      <c r="D754" s="237"/>
      <c r="E754" s="238"/>
      <c r="F754" s="238"/>
      <c r="G754" s="239"/>
      <c r="H754" s="239"/>
      <c r="I754" s="235"/>
      <c r="J754" s="235"/>
      <c r="K754" s="235"/>
      <c r="L754" s="235"/>
      <c r="M754" s="235"/>
      <c r="N754" s="235"/>
      <c r="O754" s="235"/>
      <c r="P754" s="235"/>
      <c r="Q754" s="235"/>
      <c r="R754" s="235"/>
      <c r="S754" s="235"/>
      <c r="T754" s="235"/>
      <c r="U754" s="235"/>
      <c r="V754" s="235"/>
      <c r="W754" s="235"/>
      <c r="X754" s="235"/>
      <c r="Y754" s="235"/>
      <c r="Z754" s="235"/>
    </row>
    <row r="755">
      <c r="A755" s="236"/>
      <c r="B755" s="236"/>
      <c r="C755" s="237"/>
      <c r="D755" s="237"/>
      <c r="E755" s="238"/>
      <c r="F755" s="238"/>
      <c r="G755" s="239"/>
      <c r="H755" s="239"/>
      <c r="I755" s="235"/>
      <c r="J755" s="235"/>
      <c r="K755" s="235"/>
      <c r="L755" s="235"/>
      <c r="M755" s="235"/>
      <c r="N755" s="235"/>
      <c r="O755" s="235"/>
      <c r="P755" s="235"/>
      <c r="Q755" s="235"/>
      <c r="R755" s="235"/>
      <c r="S755" s="235"/>
      <c r="T755" s="235"/>
      <c r="U755" s="235"/>
      <c r="V755" s="235"/>
      <c r="W755" s="235"/>
      <c r="X755" s="235"/>
      <c r="Y755" s="235"/>
      <c r="Z755" s="235"/>
    </row>
    <row r="756">
      <c r="A756" s="236"/>
      <c r="B756" s="236"/>
      <c r="C756" s="237"/>
      <c r="D756" s="237"/>
      <c r="E756" s="238"/>
      <c r="F756" s="238"/>
      <c r="G756" s="239"/>
      <c r="H756" s="239"/>
      <c r="I756" s="235"/>
      <c r="J756" s="235"/>
      <c r="K756" s="235"/>
      <c r="L756" s="235"/>
      <c r="M756" s="235"/>
      <c r="N756" s="235"/>
      <c r="O756" s="235"/>
      <c r="P756" s="235"/>
      <c r="Q756" s="235"/>
      <c r="R756" s="235"/>
      <c r="S756" s="235"/>
      <c r="T756" s="235"/>
      <c r="U756" s="235"/>
      <c r="V756" s="235"/>
      <c r="W756" s="235"/>
      <c r="X756" s="235"/>
      <c r="Y756" s="235"/>
      <c r="Z756" s="235"/>
    </row>
    <row r="757">
      <c r="A757" s="236"/>
      <c r="B757" s="236"/>
      <c r="C757" s="237"/>
      <c r="D757" s="237"/>
      <c r="E757" s="238"/>
      <c r="F757" s="238"/>
      <c r="G757" s="239"/>
      <c r="H757" s="239"/>
      <c r="I757" s="235"/>
      <c r="J757" s="235"/>
      <c r="K757" s="235"/>
      <c r="L757" s="235"/>
      <c r="M757" s="235"/>
      <c r="N757" s="235"/>
      <c r="O757" s="235"/>
      <c r="P757" s="235"/>
      <c r="Q757" s="235"/>
      <c r="R757" s="235"/>
      <c r="S757" s="235"/>
      <c r="T757" s="235"/>
      <c r="U757" s="235"/>
      <c r="V757" s="235"/>
      <c r="W757" s="235"/>
      <c r="X757" s="235"/>
      <c r="Y757" s="235"/>
      <c r="Z757" s="235"/>
    </row>
    <row r="758">
      <c r="A758" s="236"/>
      <c r="B758" s="236"/>
      <c r="C758" s="237"/>
      <c r="D758" s="237"/>
      <c r="E758" s="238"/>
      <c r="F758" s="238"/>
      <c r="G758" s="239"/>
      <c r="H758" s="239"/>
      <c r="I758" s="235"/>
      <c r="J758" s="235"/>
      <c r="K758" s="235"/>
      <c r="L758" s="235"/>
      <c r="M758" s="235"/>
      <c r="N758" s="235"/>
      <c r="O758" s="235"/>
      <c r="P758" s="235"/>
      <c r="Q758" s="235"/>
      <c r="R758" s="235"/>
      <c r="S758" s="235"/>
      <c r="T758" s="235"/>
      <c r="U758" s="235"/>
      <c r="V758" s="235"/>
      <c r="W758" s="235"/>
      <c r="X758" s="235"/>
      <c r="Y758" s="235"/>
      <c r="Z758" s="235"/>
    </row>
    <row r="759">
      <c r="A759" s="236"/>
      <c r="B759" s="236"/>
      <c r="C759" s="237"/>
      <c r="D759" s="237"/>
      <c r="E759" s="238"/>
      <c r="F759" s="238"/>
      <c r="G759" s="239"/>
      <c r="H759" s="239"/>
      <c r="I759" s="235"/>
      <c r="J759" s="235"/>
      <c r="K759" s="235"/>
      <c r="L759" s="235"/>
      <c r="M759" s="235"/>
      <c r="N759" s="235"/>
      <c r="O759" s="235"/>
      <c r="P759" s="235"/>
      <c r="Q759" s="235"/>
      <c r="R759" s="235"/>
      <c r="S759" s="235"/>
      <c r="T759" s="235"/>
      <c r="U759" s="235"/>
      <c r="V759" s="235"/>
      <c r="W759" s="235"/>
      <c r="X759" s="235"/>
      <c r="Y759" s="235"/>
      <c r="Z759" s="235"/>
    </row>
    <row r="760">
      <c r="A760" s="236"/>
      <c r="B760" s="236"/>
      <c r="C760" s="237"/>
      <c r="D760" s="237"/>
      <c r="E760" s="238"/>
      <c r="F760" s="238"/>
      <c r="G760" s="239"/>
      <c r="H760" s="239"/>
      <c r="I760" s="235"/>
      <c r="J760" s="235"/>
      <c r="K760" s="235"/>
      <c r="L760" s="235"/>
      <c r="M760" s="235"/>
      <c r="N760" s="235"/>
      <c r="O760" s="235"/>
      <c r="P760" s="235"/>
      <c r="Q760" s="235"/>
      <c r="R760" s="235"/>
      <c r="S760" s="235"/>
      <c r="T760" s="235"/>
      <c r="U760" s="235"/>
      <c r="V760" s="235"/>
      <c r="W760" s="235"/>
      <c r="X760" s="235"/>
      <c r="Y760" s="235"/>
      <c r="Z760" s="235"/>
    </row>
    <row r="761">
      <c r="A761" s="236"/>
      <c r="B761" s="236"/>
      <c r="C761" s="237"/>
      <c r="D761" s="237"/>
      <c r="E761" s="238"/>
      <c r="F761" s="238"/>
      <c r="G761" s="239"/>
      <c r="H761" s="239"/>
      <c r="I761" s="235"/>
      <c r="J761" s="235"/>
      <c r="K761" s="235"/>
      <c r="L761" s="235"/>
      <c r="M761" s="235"/>
      <c r="N761" s="235"/>
      <c r="O761" s="235"/>
      <c r="P761" s="235"/>
      <c r="Q761" s="235"/>
      <c r="R761" s="235"/>
      <c r="S761" s="235"/>
      <c r="T761" s="235"/>
      <c r="U761" s="235"/>
      <c r="V761" s="235"/>
      <c r="W761" s="235"/>
      <c r="X761" s="235"/>
      <c r="Y761" s="235"/>
      <c r="Z761" s="235"/>
    </row>
    <row r="762">
      <c r="A762" s="236"/>
      <c r="B762" s="236"/>
      <c r="C762" s="237"/>
      <c r="D762" s="237"/>
      <c r="E762" s="238"/>
      <c r="F762" s="238"/>
      <c r="G762" s="239"/>
      <c r="H762" s="239"/>
      <c r="I762" s="235"/>
      <c r="J762" s="235"/>
      <c r="K762" s="235"/>
      <c r="L762" s="235"/>
      <c r="M762" s="235"/>
      <c r="N762" s="235"/>
      <c r="O762" s="235"/>
      <c r="P762" s="235"/>
      <c r="Q762" s="235"/>
      <c r="R762" s="235"/>
      <c r="S762" s="235"/>
      <c r="T762" s="235"/>
      <c r="U762" s="235"/>
      <c r="V762" s="235"/>
      <c r="W762" s="235"/>
      <c r="X762" s="235"/>
      <c r="Y762" s="235"/>
      <c r="Z762" s="235"/>
    </row>
    <row r="763">
      <c r="A763" s="236"/>
      <c r="B763" s="236"/>
      <c r="C763" s="237"/>
      <c r="D763" s="237"/>
      <c r="E763" s="238"/>
      <c r="F763" s="238"/>
      <c r="G763" s="239"/>
      <c r="H763" s="239"/>
      <c r="I763" s="235"/>
      <c r="J763" s="235"/>
      <c r="K763" s="235"/>
      <c r="L763" s="235"/>
      <c r="M763" s="235"/>
      <c r="N763" s="235"/>
      <c r="O763" s="235"/>
      <c r="P763" s="235"/>
      <c r="Q763" s="235"/>
      <c r="R763" s="235"/>
      <c r="S763" s="235"/>
      <c r="T763" s="235"/>
      <c r="U763" s="235"/>
      <c r="V763" s="235"/>
      <c r="W763" s="235"/>
      <c r="X763" s="235"/>
      <c r="Y763" s="235"/>
      <c r="Z763" s="235"/>
    </row>
    <row r="764">
      <c r="A764" s="236"/>
      <c r="B764" s="236"/>
      <c r="C764" s="237"/>
      <c r="D764" s="237"/>
      <c r="E764" s="238"/>
      <c r="F764" s="238"/>
      <c r="G764" s="239"/>
      <c r="H764" s="239"/>
      <c r="I764" s="235"/>
      <c r="J764" s="235"/>
      <c r="K764" s="235"/>
      <c r="L764" s="235"/>
      <c r="M764" s="235"/>
      <c r="N764" s="235"/>
      <c r="O764" s="235"/>
      <c r="P764" s="235"/>
      <c r="Q764" s="235"/>
      <c r="R764" s="235"/>
      <c r="S764" s="235"/>
      <c r="T764" s="235"/>
      <c r="U764" s="235"/>
      <c r="V764" s="235"/>
      <c r="W764" s="235"/>
      <c r="X764" s="235"/>
      <c r="Y764" s="235"/>
      <c r="Z764" s="235"/>
    </row>
    <row r="765">
      <c r="A765" s="236"/>
      <c r="B765" s="236"/>
      <c r="C765" s="237"/>
      <c r="D765" s="237"/>
      <c r="E765" s="238"/>
      <c r="F765" s="238"/>
      <c r="G765" s="239"/>
      <c r="H765" s="239"/>
      <c r="I765" s="235"/>
      <c r="J765" s="235"/>
      <c r="K765" s="235"/>
      <c r="L765" s="235"/>
      <c r="M765" s="235"/>
      <c r="N765" s="235"/>
      <c r="O765" s="235"/>
      <c r="P765" s="235"/>
      <c r="Q765" s="235"/>
      <c r="R765" s="235"/>
      <c r="S765" s="235"/>
      <c r="T765" s="235"/>
      <c r="U765" s="235"/>
      <c r="V765" s="235"/>
      <c r="W765" s="235"/>
      <c r="X765" s="235"/>
      <c r="Y765" s="235"/>
      <c r="Z765" s="235"/>
    </row>
    <row r="766">
      <c r="A766" s="236"/>
      <c r="B766" s="236"/>
      <c r="C766" s="237"/>
      <c r="D766" s="237"/>
      <c r="E766" s="238"/>
      <c r="F766" s="238"/>
      <c r="G766" s="239"/>
      <c r="H766" s="239"/>
      <c r="I766" s="235"/>
      <c r="J766" s="235"/>
      <c r="K766" s="235"/>
      <c r="L766" s="235"/>
      <c r="M766" s="235"/>
      <c r="N766" s="235"/>
      <c r="O766" s="235"/>
      <c r="P766" s="235"/>
      <c r="Q766" s="235"/>
      <c r="R766" s="235"/>
      <c r="S766" s="235"/>
      <c r="T766" s="235"/>
      <c r="U766" s="235"/>
      <c r="V766" s="235"/>
      <c r="W766" s="235"/>
      <c r="X766" s="235"/>
      <c r="Y766" s="235"/>
      <c r="Z766" s="235"/>
    </row>
    <row r="767">
      <c r="A767" s="236"/>
      <c r="B767" s="236"/>
      <c r="C767" s="237"/>
      <c r="D767" s="237"/>
      <c r="E767" s="238"/>
      <c r="F767" s="238"/>
      <c r="G767" s="239"/>
      <c r="H767" s="239"/>
      <c r="I767" s="235"/>
      <c r="J767" s="235"/>
      <c r="K767" s="235"/>
      <c r="L767" s="235"/>
      <c r="M767" s="235"/>
      <c r="N767" s="235"/>
      <c r="O767" s="235"/>
      <c r="P767" s="235"/>
      <c r="Q767" s="235"/>
      <c r="R767" s="235"/>
      <c r="S767" s="235"/>
      <c r="T767" s="235"/>
      <c r="U767" s="235"/>
      <c r="V767" s="235"/>
      <c r="W767" s="235"/>
      <c r="X767" s="235"/>
      <c r="Y767" s="235"/>
      <c r="Z767" s="235"/>
    </row>
    <row r="768">
      <c r="A768" s="236"/>
      <c r="B768" s="236"/>
      <c r="C768" s="237"/>
      <c r="D768" s="237"/>
      <c r="E768" s="238"/>
      <c r="F768" s="238"/>
      <c r="G768" s="239"/>
      <c r="H768" s="239"/>
      <c r="I768" s="235"/>
      <c r="J768" s="235"/>
      <c r="K768" s="235"/>
      <c r="L768" s="235"/>
      <c r="M768" s="235"/>
      <c r="N768" s="235"/>
      <c r="O768" s="235"/>
      <c r="P768" s="235"/>
      <c r="Q768" s="235"/>
      <c r="R768" s="235"/>
      <c r="S768" s="235"/>
      <c r="T768" s="235"/>
      <c r="U768" s="235"/>
      <c r="V768" s="235"/>
      <c r="W768" s="235"/>
      <c r="X768" s="235"/>
      <c r="Y768" s="235"/>
      <c r="Z768" s="235"/>
    </row>
    <row r="769">
      <c r="A769" s="236"/>
      <c r="B769" s="236"/>
      <c r="C769" s="237"/>
      <c r="D769" s="237"/>
      <c r="E769" s="238"/>
      <c r="F769" s="238"/>
      <c r="G769" s="239"/>
      <c r="H769" s="239"/>
      <c r="I769" s="235"/>
      <c r="J769" s="235"/>
      <c r="K769" s="235"/>
      <c r="L769" s="235"/>
      <c r="M769" s="235"/>
      <c r="N769" s="235"/>
      <c r="O769" s="235"/>
      <c r="P769" s="235"/>
      <c r="Q769" s="235"/>
      <c r="R769" s="235"/>
      <c r="S769" s="235"/>
      <c r="T769" s="235"/>
      <c r="U769" s="235"/>
      <c r="V769" s="235"/>
      <c r="W769" s="235"/>
      <c r="X769" s="235"/>
      <c r="Y769" s="235"/>
      <c r="Z769" s="235"/>
    </row>
    <row r="770">
      <c r="A770" s="236"/>
      <c r="B770" s="236"/>
      <c r="C770" s="237"/>
      <c r="D770" s="237"/>
      <c r="E770" s="238"/>
      <c r="F770" s="238"/>
      <c r="G770" s="239"/>
      <c r="H770" s="239"/>
      <c r="I770" s="235"/>
      <c r="J770" s="235"/>
      <c r="K770" s="235"/>
      <c r="L770" s="235"/>
      <c r="M770" s="235"/>
      <c r="N770" s="235"/>
      <c r="O770" s="235"/>
      <c r="P770" s="235"/>
      <c r="Q770" s="235"/>
      <c r="R770" s="235"/>
      <c r="S770" s="235"/>
      <c r="T770" s="235"/>
      <c r="U770" s="235"/>
      <c r="V770" s="235"/>
      <c r="W770" s="235"/>
      <c r="X770" s="235"/>
      <c r="Y770" s="235"/>
      <c r="Z770" s="235"/>
    </row>
    <row r="771">
      <c r="A771" s="236"/>
      <c r="B771" s="236"/>
      <c r="C771" s="237"/>
      <c r="D771" s="237"/>
      <c r="E771" s="238"/>
      <c r="F771" s="238"/>
      <c r="G771" s="239"/>
      <c r="H771" s="239"/>
      <c r="I771" s="235"/>
      <c r="J771" s="235"/>
      <c r="K771" s="235"/>
      <c r="L771" s="235"/>
      <c r="M771" s="235"/>
      <c r="N771" s="235"/>
      <c r="O771" s="235"/>
      <c r="P771" s="235"/>
      <c r="Q771" s="235"/>
      <c r="R771" s="235"/>
      <c r="S771" s="235"/>
      <c r="T771" s="235"/>
      <c r="U771" s="235"/>
      <c r="V771" s="235"/>
      <c r="W771" s="235"/>
      <c r="X771" s="235"/>
      <c r="Y771" s="235"/>
      <c r="Z771" s="235"/>
    </row>
    <row r="772">
      <c r="A772" s="236"/>
      <c r="B772" s="236"/>
      <c r="C772" s="237"/>
      <c r="D772" s="237"/>
      <c r="E772" s="238"/>
      <c r="F772" s="238"/>
      <c r="G772" s="239"/>
      <c r="H772" s="239"/>
      <c r="I772" s="235"/>
      <c r="J772" s="235"/>
      <c r="K772" s="235"/>
      <c r="L772" s="235"/>
      <c r="M772" s="235"/>
      <c r="N772" s="235"/>
      <c r="O772" s="235"/>
      <c r="P772" s="235"/>
      <c r="Q772" s="235"/>
      <c r="R772" s="235"/>
      <c r="S772" s="235"/>
      <c r="T772" s="235"/>
      <c r="U772" s="235"/>
      <c r="V772" s="235"/>
      <c r="W772" s="235"/>
      <c r="X772" s="235"/>
      <c r="Y772" s="235"/>
      <c r="Z772" s="235"/>
    </row>
    <row r="773">
      <c r="A773" s="236"/>
      <c r="B773" s="236"/>
      <c r="C773" s="237"/>
      <c r="D773" s="237"/>
      <c r="E773" s="238"/>
      <c r="F773" s="238"/>
      <c r="G773" s="239"/>
      <c r="H773" s="239"/>
      <c r="I773" s="235"/>
      <c r="J773" s="235"/>
      <c r="K773" s="235"/>
      <c r="L773" s="235"/>
      <c r="M773" s="235"/>
      <c r="N773" s="235"/>
      <c r="O773" s="235"/>
      <c r="P773" s="235"/>
      <c r="Q773" s="235"/>
      <c r="R773" s="235"/>
      <c r="S773" s="235"/>
      <c r="T773" s="235"/>
      <c r="U773" s="235"/>
      <c r="V773" s="235"/>
      <c r="W773" s="235"/>
      <c r="X773" s="235"/>
      <c r="Y773" s="235"/>
      <c r="Z773" s="235"/>
    </row>
    <row r="774">
      <c r="A774" s="236"/>
      <c r="B774" s="236"/>
      <c r="C774" s="237"/>
      <c r="D774" s="237"/>
      <c r="E774" s="238"/>
      <c r="F774" s="238"/>
      <c r="G774" s="239"/>
      <c r="H774" s="239"/>
      <c r="I774" s="235"/>
      <c r="J774" s="235"/>
      <c r="K774" s="235"/>
      <c r="L774" s="235"/>
      <c r="M774" s="235"/>
      <c r="N774" s="235"/>
      <c r="O774" s="235"/>
      <c r="P774" s="235"/>
      <c r="Q774" s="235"/>
      <c r="R774" s="235"/>
      <c r="S774" s="235"/>
      <c r="T774" s="235"/>
      <c r="U774" s="235"/>
      <c r="V774" s="235"/>
      <c r="W774" s="235"/>
      <c r="X774" s="235"/>
      <c r="Y774" s="235"/>
      <c r="Z774" s="235"/>
    </row>
    <row r="775">
      <c r="A775" s="236"/>
      <c r="B775" s="236"/>
      <c r="C775" s="237"/>
      <c r="D775" s="237"/>
      <c r="E775" s="238"/>
      <c r="F775" s="238"/>
      <c r="G775" s="239"/>
      <c r="H775" s="239"/>
      <c r="I775" s="235"/>
      <c r="J775" s="235"/>
      <c r="K775" s="235"/>
      <c r="L775" s="235"/>
      <c r="M775" s="235"/>
      <c r="N775" s="235"/>
      <c r="O775" s="235"/>
      <c r="P775" s="235"/>
      <c r="Q775" s="235"/>
      <c r="R775" s="235"/>
      <c r="S775" s="235"/>
      <c r="T775" s="235"/>
      <c r="U775" s="235"/>
      <c r="V775" s="235"/>
      <c r="W775" s="235"/>
      <c r="X775" s="235"/>
      <c r="Y775" s="235"/>
      <c r="Z775" s="235"/>
    </row>
    <row r="776">
      <c r="A776" s="236"/>
      <c r="B776" s="236"/>
      <c r="C776" s="237"/>
      <c r="D776" s="237"/>
      <c r="E776" s="238"/>
      <c r="F776" s="238"/>
      <c r="G776" s="239"/>
      <c r="H776" s="239"/>
      <c r="I776" s="235"/>
      <c r="J776" s="235"/>
      <c r="K776" s="235"/>
      <c r="L776" s="235"/>
      <c r="M776" s="235"/>
      <c r="N776" s="235"/>
      <c r="O776" s="235"/>
      <c r="P776" s="235"/>
      <c r="Q776" s="235"/>
      <c r="R776" s="235"/>
      <c r="S776" s="235"/>
      <c r="T776" s="235"/>
      <c r="U776" s="235"/>
      <c r="V776" s="235"/>
      <c r="W776" s="235"/>
      <c r="X776" s="235"/>
      <c r="Y776" s="235"/>
      <c r="Z776" s="235"/>
    </row>
    <row r="777">
      <c r="A777" s="236"/>
      <c r="B777" s="236"/>
      <c r="C777" s="237"/>
      <c r="D777" s="237"/>
      <c r="E777" s="238"/>
      <c r="F777" s="238"/>
      <c r="G777" s="239"/>
      <c r="H777" s="239"/>
      <c r="I777" s="235"/>
      <c r="J777" s="235"/>
      <c r="K777" s="235"/>
      <c r="L777" s="235"/>
      <c r="M777" s="235"/>
      <c r="N777" s="235"/>
      <c r="O777" s="235"/>
      <c r="P777" s="235"/>
      <c r="Q777" s="235"/>
      <c r="R777" s="235"/>
      <c r="S777" s="235"/>
      <c r="T777" s="235"/>
      <c r="U777" s="235"/>
      <c r="V777" s="235"/>
      <c r="W777" s="235"/>
      <c r="X777" s="235"/>
      <c r="Y777" s="235"/>
      <c r="Z777" s="235"/>
    </row>
    <row r="778">
      <c r="A778" s="236"/>
      <c r="B778" s="236"/>
      <c r="C778" s="237"/>
      <c r="D778" s="237"/>
      <c r="E778" s="238"/>
      <c r="F778" s="238"/>
      <c r="G778" s="239"/>
      <c r="H778" s="239"/>
      <c r="I778" s="235"/>
      <c r="J778" s="235"/>
      <c r="K778" s="235"/>
      <c r="L778" s="235"/>
      <c r="M778" s="235"/>
      <c r="N778" s="235"/>
      <c r="O778" s="235"/>
      <c r="P778" s="235"/>
      <c r="Q778" s="235"/>
      <c r="R778" s="235"/>
      <c r="S778" s="235"/>
      <c r="T778" s="235"/>
      <c r="U778" s="235"/>
      <c r="V778" s="235"/>
      <c r="W778" s="235"/>
      <c r="X778" s="235"/>
      <c r="Y778" s="235"/>
      <c r="Z778" s="235"/>
    </row>
    <row r="779">
      <c r="A779" s="236"/>
      <c r="B779" s="236"/>
      <c r="C779" s="237"/>
      <c r="D779" s="237"/>
      <c r="E779" s="238"/>
      <c r="F779" s="238"/>
      <c r="G779" s="239"/>
      <c r="H779" s="239"/>
      <c r="I779" s="235"/>
      <c r="J779" s="235"/>
      <c r="K779" s="235"/>
      <c r="L779" s="235"/>
      <c r="M779" s="235"/>
      <c r="N779" s="235"/>
      <c r="O779" s="235"/>
      <c r="P779" s="235"/>
      <c r="Q779" s="235"/>
      <c r="R779" s="235"/>
      <c r="S779" s="235"/>
      <c r="T779" s="235"/>
      <c r="U779" s="235"/>
      <c r="V779" s="235"/>
      <c r="W779" s="235"/>
      <c r="X779" s="235"/>
      <c r="Y779" s="235"/>
      <c r="Z779" s="235"/>
    </row>
    <row r="780">
      <c r="A780" s="236"/>
      <c r="B780" s="236"/>
      <c r="C780" s="237"/>
      <c r="D780" s="237"/>
      <c r="E780" s="238"/>
      <c r="F780" s="238"/>
      <c r="G780" s="239"/>
      <c r="H780" s="239"/>
      <c r="I780" s="235"/>
      <c r="J780" s="235"/>
      <c r="K780" s="235"/>
      <c r="L780" s="235"/>
      <c r="M780" s="235"/>
      <c r="N780" s="235"/>
      <c r="O780" s="235"/>
      <c r="P780" s="235"/>
      <c r="Q780" s="235"/>
      <c r="R780" s="235"/>
      <c r="S780" s="235"/>
      <c r="T780" s="235"/>
      <c r="U780" s="235"/>
      <c r="V780" s="235"/>
      <c r="W780" s="235"/>
      <c r="X780" s="235"/>
      <c r="Y780" s="235"/>
      <c r="Z780" s="235"/>
    </row>
    <row r="781">
      <c r="A781" s="236"/>
      <c r="B781" s="236"/>
      <c r="C781" s="237"/>
      <c r="D781" s="237"/>
      <c r="E781" s="238"/>
      <c r="F781" s="238"/>
      <c r="G781" s="239"/>
      <c r="H781" s="239"/>
      <c r="I781" s="235"/>
      <c r="J781" s="235"/>
      <c r="K781" s="235"/>
      <c r="L781" s="235"/>
      <c r="M781" s="235"/>
      <c r="N781" s="235"/>
      <c r="O781" s="235"/>
      <c r="P781" s="235"/>
      <c r="Q781" s="235"/>
      <c r="R781" s="235"/>
      <c r="S781" s="235"/>
      <c r="T781" s="235"/>
      <c r="U781" s="235"/>
      <c r="V781" s="235"/>
      <c r="W781" s="235"/>
      <c r="X781" s="235"/>
      <c r="Y781" s="235"/>
      <c r="Z781" s="235"/>
    </row>
    <row r="782">
      <c r="A782" s="236"/>
      <c r="B782" s="236"/>
      <c r="C782" s="237"/>
      <c r="D782" s="237"/>
      <c r="E782" s="238"/>
      <c r="F782" s="238"/>
      <c r="G782" s="239"/>
      <c r="H782" s="239"/>
      <c r="I782" s="235"/>
      <c r="J782" s="235"/>
      <c r="K782" s="235"/>
      <c r="L782" s="235"/>
      <c r="M782" s="235"/>
      <c r="N782" s="235"/>
      <c r="O782" s="235"/>
      <c r="P782" s="235"/>
      <c r="Q782" s="235"/>
      <c r="R782" s="235"/>
      <c r="S782" s="235"/>
      <c r="T782" s="235"/>
      <c r="U782" s="235"/>
      <c r="V782" s="235"/>
      <c r="W782" s="235"/>
      <c r="X782" s="235"/>
      <c r="Y782" s="235"/>
      <c r="Z782" s="235"/>
    </row>
    <row r="783">
      <c r="A783" s="236"/>
      <c r="B783" s="236"/>
      <c r="C783" s="237"/>
      <c r="D783" s="237"/>
      <c r="E783" s="238"/>
      <c r="F783" s="238"/>
      <c r="G783" s="239"/>
      <c r="H783" s="239"/>
      <c r="I783" s="235"/>
      <c r="J783" s="235"/>
      <c r="K783" s="235"/>
      <c r="L783" s="235"/>
      <c r="M783" s="235"/>
      <c r="N783" s="235"/>
      <c r="O783" s="235"/>
      <c r="P783" s="235"/>
      <c r="Q783" s="235"/>
      <c r="R783" s="235"/>
      <c r="S783" s="235"/>
      <c r="T783" s="235"/>
      <c r="U783" s="235"/>
      <c r="V783" s="235"/>
      <c r="W783" s="235"/>
      <c r="X783" s="235"/>
      <c r="Y783" s="235"/>
      <c r="Z783" s="235"/>
    </row>
    <row r="784">
      <c r="A784" s="236"/>
      <c r="B784" s="236"/>
      <c r="C784" s="237"/>
      <c r="D784" s="237"/>
      <c r="E784" s="238"/>
      <c r="F784" s="238"/>
      <c r="G784" s="239"/>
      <c r="H784" s="239"/>
      <c r="I784" s="235"/>
      <c r="J784" s="235"/>
      <c r="K784" s="235"/>
      <c r="L784" s="235"/>
      <c r="M784" s="235"/>
      <c r="N784" s="235"/>
      <c r="O784" s="235"/>
      <c r="P784" s="235"/>
      <c r="Q784" s="235"/>
      <c r="R784" s="235"/>
      <c r="S784" s="235"/>
      <c r="T784" s="235"/>
      <c r="U784" s="235"/>
      <c r="V784" s="235"/>
      <c r="W784" s="235"/>
      <c r="X784" s="235"/>
      <c r="Y784" s="235"/>
      <c r="Z784" s="235"/>
    </row>
    <row r="785">
      <c r="A785" s="236"/>
      <c r="B785" s="236"/>
      <c r="C785" s="237"/>
      <c r="D785" s="237"/>
      <c r="E785" s="238"/>
      <c r="F785" s="238"/>
      <c r="G785" s="239"/>
      <c r="H785" s="239"/>
      <c r="I785" s="235"/>
      <c r="J785" s="235"/>
      <c r="K785" s="235"/>
      <c r="L785" s="235"/>
      <c r="M785" s="235"/>
      <c r="N785" s="235"/>
      <c r="O785" s="235"/>
      <c r="P785" s="235"/>
      <c r="Q785" s="235"/>
      <c r="R785" s="235"/>
      <c r="S785" s="235"/>
      <c r="T785" s="235"/>
      <c r="U785" s="235"/>
      <c r="V785" s="235"/>
      <c r="W785" s="235"/>
      <c r="X785" s="235"/>
      <c r="Y785" s="235"/>
      <c r="Z785" s="235"/>
    </row>
    <row r="786">
      <c r="A786" s="236"/>
      <c r="B786" s="236"/>
      <c r="C786" s="237"/>
      <c r="D786" s="237"/>
      <c r="E786" s="238"/>
      <c r="F786" s="238"/>
      <c r="G786" s="239"/>
      <c r="H786" s="239"/>
      <c r="I786" s="235"/>
      <c r="J786" s="235"/>
      <c r="K786" s="235"/>
      <c r="L786" s="235"/>
      <c r="M786" s="235"/>
      <c r="N786" s="235"/>
      <c r="O786" s="235"/>
      <c r="P786" s="235"/>
      <c r="Q786" s="235"/>
      <c r="R786" s="235"/>
      <c r="S786" s="235"/>
      <c r="T786" s="235"/>
      <c r="U786" s="235"/>
      <c r="V786" s="235"/>
      <c r="W786" s="235"/>
      <c r="X786" s="235"/>
      <c r="Y786" s="235"/>
      <c r="Z786" s="235"/>
    </row>
    <row r="787">
      <c r="A787" s="236"/>
      <c r="B787" s="236"/>
      <c r="C787" s="237"/>
      <c r="D787" s="237"/>
      <c r="E787" s="238"/>
      <c r="F787" s="238"/>
      <c r="G787" s="239"/>
      <c r="H787" s="239"/>
      <c r="I787" s="235"/>
      <c r="J787" s="235"/>
      <c r="K787" s="235"/>
      <c r="L787" s="235"/>
      <c r="M787" s="235"/>
      <c r="N787" s="235"/>
      <c r="O787" s="235"/>
      <c r="P787" s="235"/>
      <c r="Q787" s="235"/>
      <c r="R787" s="235"/>
      <c r="S787" s="235"/>
      <c r="T787" s="235"/>
      <c r="U787" s="235"/>
      <c r="V787" s="235"/>
      <c r="W787" s="235"/>
      <c r="X787" s="235"/>
      <c r="Y787" s="235"/>
      <c r="Z787" s="235"/>
    </row>
    <row r="788">
      <c r="A788" s="236"/>
      <c r="B788" s="236"/>
      <c r="C788" s="237"/>
      <c r="D788" s="237"/>
      <c r="E788" s="238"/>
      <c r="F788" s="238"/>
      <c r="G788" s="239"/>
      <c r="H788" s="239"/>
      <c r="I788" s="235"/>
      <c r="J788" s="235"/>
      <c r="K788" s="235"/>
      <c r="L788" s="235"/>
      <c r="M788" s="235"/>
      <c r="N788" s="235"/>
      <c r="O788" s="235"/>
      <c r="P788" s="235"/>
      <c r="Q788" s="235"/>
      <c r="R788" s="235"/>
      <c r="S788" s="235"/>
      <c r="T788" s="235"/>
      <c r="U788" s="235"/>
      <c r="V788" s="235"/>
      <c r="W788" s="235"/>
      <c r="X788" s="235"/>
      <c r="Y788" s="235"/>
      <c r="Z788" s="235"/>
    </row>
    <row r="789">
      <c r="A789" s="236"/>
      <c r="B789" s="236"/>
      <c r="C789" s="237"/>
      <c r="D789" s="237"/>
      <c r="E789" s="238"/>
      <c r="F789" s="238"/>
      <c r="G789" s="239"/>
      <c r="H789" s="239"/>
      <c r="I789" s="235"/>
      <c r="J789" s="235"/>
      <c r="K789" s="235"/>
      <c r="L789" s="235"/>
      <c r="M789" s="235"/>
      <c r="N789" s="235"/>
      <c r="O789" s="235"/>
      <c r="P789" s="235"/>
      <c r="Q789" s="235"/>
      <c r="R789" s="235"/>
      <c r="S789" s="235"/>
      <c r="T789" s="235"/>
      <c r="U789" s="235"/>
      <c r="V789" s="235"/>
      <c r="W789" s="235"/>
      <c r="X789" s="235"/>
      <c r="Y789" s="235"/>
      <c r="Z789" s="235"/>
    </row>
    <row r="790">
      <c r="A790" s="236"/>
      <c r="B790" s="236"/>
      <c r="C790" s="237"/>
      <c r="D790" s="237"/>
      <c r="E790" s="238"/>
      <c r="F790" s="238"/>
      <c r="G790" s="239"/>
      <c r="H790" s="239"/>
      <c r="I790" s="235"/>
      <c r="J790" s="235"/>
      <c r="K790" s="235"/>
      <c r="L790" s="235"/>
      <c r="M790" s="235"/>
      <c r="N790" s="235"/>
      <c r="O790" s="235"/>
      <c r="P790" s="235"/>
      <c r="Q790" s="235"/>
      <c r="R790" s="235"/>
      <c r="S790" s="235"/>
      <c r="T790" s="235"/>
      <c r="U790" s="235"/>
      <c r="V790" s="235"/>
      <c r="W790" s="235"/>
      <c r="X790" s="235"/>
      <c r="Y790" s="235"/>
      <c r="Z790" s="235"/>
    </row>
    <row r="791">
      <c r="A791" s="236"/>
      <c r="B791" s="236"/>
      <c r="C791" s="237"/>
      <c r="D791" s="237"/>
      <c r="E791" s="238"/>
      <c r="F791" s="238"/>
      <c r="G791" s="239"/>
      <c r="H791" s="239"/>
      <c r="I791" s="235"/>
      <c r="J791" s="235"/>
      <c r="K791" s="235"/>
      <c r="L791" s="235"/>
      <c r="M791" s="235"/>
      <c r="N791" s="235"/>
      <c r="O791" s="235"/>
      <c r="P791" s="235"/>
      <c r="Q791" s="235"/>
      <c r="R791" s="235"/>
      <c r="S791" s="235"/>
      <c r="T791" s="235"/>
      <c r="U791" s="235"/>
      <c r="V791" s="235"/>
      <c r="W791" s="235"/>
      <c r="X791" s="235"/>
      <c r="Y791" s="235"/>
      <c r="Z791" s="235"/>
    </row>
    <row r="792">
      <c r="A792" s="236"/>
      <c r="B792" s="236"/>
      <c r="C792" s="237"/>
      <c r="D792" s="237"/>
      <c r="E792" s="238"/>
      <c r="F792" s="238"/>
      <c r="G792" s="239"/>
      <c r="H792" s="239"/>
      <c r="I792" s="235"/>
      <c r="J792" s="235"/>
      <c r="K792" s="235"/>
      <c r="L792" s="235"/>
      <c r="M792" s="235"/>
      <c r="N792" s="235"/>
      <c r="O792" s="235"/>
      <c r="P792" s="235"/>
      <c r="Q792" s="235"/>
      <c r="R792" s="235"/>
      <c r="S792" s="235"/>
      <c r="T792" s="235"/>
      <c r="U792" s="235"/>
      <c r="V792" s="235"/>
      <c r="W792" s="235"/>
      <c r="X792" s="235"/>
      <c r="Y792" s="235"/>
      <c r="Z792" s="235"/>
    </row>
    <row r="793">
      <c r="A793" s="236"/>
      <c r="B793" s="236"/>
      <c r="C793" s="237"/>
      <c r="D793" s="237"/>
      <c r="E793" s="238"/>
      <c r="F793" s="238"/>
      <c r="G793" s="239"/>
      <c r="H793" s="239"/>
      <c r="I793" s="235"/>
      <c r="J793" s="235"/>
      <c r="K793" s="235"/>
      <c r="L793" s="235"/>
      <c r="M793" s="235"/>
      <c r="N793" s="235"/>
      <c r="O793" s="235"/>
      <c r="P793" s="235"/>
      <c r="Q793" s="235"/>
      <c r="R793" s="235"/>
      <c r="S793" s="235"/>
      <c r="T793" s="235"/>
      <c r="U793" s="235"/>
      <c r="V793" s="235"/>
      <c r="W793" s="235"/>
      <c r="X793" s="235"/>
      <c r="Y793" s="235"/>
      <c r="Z793" s="235"/>
    </row>
    <row r="794">
      <c r="A794" s="236"/>
      <c r="B794" s="236"/>
      <c r="C794" s="237"/>
      <c r="D794" s="237"/>
      <c r="E794" s="238"/>
      <c r="F794" s="238"/>
      <c r="G794" s="239"/>
      <c r="H794" s="239"/>
      <c r="I794" s="235"/>
      <c r="J794" s="235"/>
      <c r="K794" s="235"/>
      <c r="L794" s="235"/>
      <c r="M794" s="235"/>
      <c r="N794" s="235"/>
      <c r="O794" s="235"/>
      <c r="P794" s="235"/>
      <c r="Q794" s="235"/>
      <c r="R794" s="235"/>
      <c r="S794" s="235"/>
      <c r="T794" s="235"/>
      <c r="U794" s="235"/>
      <c r="V794" s="235"/>
      <c r="W794" s="235"/>
      <c r="X794" s="235"/>
      <c r="Y794" s="235"/>
      <c r="Z794" s="235"/>
    </row>
    <row r="795">
      <c r="A795" s="236"/>
      <c r="B795" s="236"/>
      <c r="C795" s="237"/>
      <c r="D795" s="237"/>
      <c r="E795" s="238"/>
      <c r="F795" s="238"/>
      <c r="G795" s="239"/>
      <c r="H795" s="239"/>
      <c r="I795" s="235"/>
      <c r="J795" s="235"/>
      <c r="K795" s="235"/>
      <c r="L795" s="235"/>
      <c r="M795" s="235"/>
      <c r="N795" s="235"/>
      <c r="O795" s="235"/>
      <c r="P795" s="235"/>
      <c r="Q795" s="235"/>
      <c r="R795" s="235"/>
      <c r="S795" s="235"/>
      <c r="T795" s="235"/>
      <c r="U795" s="235"/>
      <c r="V795" s="235"/>
      <c r="W795" s="235"/>
      <c r="X795" s="235"/>
      <c r="Y795" s="235"/>
      <c r="Z795" s="235"/>
    </row>
    <row r="796">
      <c r="A796" s="236"/>
      <c r="B796" s="236"/>
      <c r="C796" s="237"/>
      <c r="D796" s="237"/>
      <c r="E796" s="238"/>
      <c r="F796" s="238"/>
      <c r="G796" s="239"/>
      <c r="H796" s="239"/>
      <c r="I796" s="235"/>
      <c r="J796" s="235"/>
      <c r="K796" s="235"/>
      <c r="L796" s="235"/>
      <c r="M796" s="235"/>
      <c r="N796" s="235"/>
      <c r="O796" s="235"/>
      <c r="P796" s="235"/>
      <c r="Q796" s="235"/>
      <c r="R796" s="235"/>
      <c r="S796" s="235"/>
      <c r="T796" s="235"/>
      <c r="U796" s="235"/>
      <c r="V796" s="235"/>
      <c r="W796" s="235"/>
      <c r="X796" s="235"/>
      <c r="Y796" s="235"/>
      <c r="Z796" s="235"/>
    </row>
    <row r="797">
      <c r="A797" s="236"/>
      <c r="B797" s="236"/>
      <c r="C797" s="237"/>
      <c r="D797" s="237"/>
      <c r="E797" s="238"/>
      <c r="F797" s="238"/>
      <c r="G797" s="239"/>
      <c r="H797" s="239"/>
      <c r="I797" s="235"/>
      <c r="J797" s="235"/>
      <c r="K797" s="235"/>
      <c r="L797" s="235"/>
      <c r="M797" s="235"/>
      <c r="N797" s="235"/>
      <c r="O797" s="235"/>
      <c r="P797" s="235"/>
      <c r="Q797" s="235"/>
      <c r="R797" s="235"/>
      <c r="S797" s="235"/>
      <c r="T797" s="235"/>
      <c r="U797" s="235"/>
      <c r="V797" s="235"/>
      <c r="W797" s="235"/>
      <c r="X797" s="235"/>
      <c r="Y797" s="235"/>
      <c r="Z797" s="235"/>
    </row>
    <row r="798">
      <c r="A798" s="236"/>
      <c r="B798" s="236"/>
      <c r="C798" s="237"/>
      <c r="D798" s="237"/>
      <c r="E798" s="238"/>
      <c r="F798" s="238"/>
      <c r="G798" s="239"/>
      <c r="H798" s="239"/>
      <c r="I798" s="235"/>
      <c r="J798" s="235"/>
      <c r="K798" s="235"/>
      <c r="L798" s="235"/>
      <c r="M798" s="235"/>
      <c r="N798" s="235"/>
      <c r="O798" s="235"/>
      <c r="P798" s="235"/>
      <c r="Q798" s="235"/>
      <c r="R798" s="235"/>
      <c r="S798" s="235"/>
      <c r="T798" s="235"/>
      <c r="U798" s="235"/>
      <c r="V798" s="235"/>
      <c r="W798" s="235"/>
      <c r="X798" s="235"/>
      <c r="Y798" s="235"/>
      <c r="Z798" s="235"/>
    </row>
    <row r="799">
      <c r="A799" s="236"/>
      <c r="B799" s="236"/>
      <c r="C799" s="237"/>
      <c r="D799" s="237"/>
      <c r="E799" s="238"/>
      <c r="F799" s="238"/>
      <c r="G799" s="239"/>
      <c r="H799" s="239"/>
      <c r="I799" s="235"/>
      <c r="J799" s="235"/>
      <c r="K799" s="235"/>
      <c r="L799" s="235"/>
      <c r="M799" s="235"/>
      <c r="N799" s="235"/>
      <c r="O799" s="235"/>
      <c r="P799" s="235"/>
      <c r="Q799" s="235"/>
      <c r="R799" s="235"/>
      <c r="S799" s="235"/>
      <c r="T799" s="235"/>
      <c r="U799" s="235"/>
      <c r="V799" s="235"/>
      <c r="W799" s="235"/>
      <c r="X799" s="235"/>
      <c r="Y799" s="235"/>
      <c r="Z799" s="235"/>
    </row>
    <row r="800">
      <c r="A800" s="236"/>
      <c r="B800" s="236"/>
      <c r="C800" s="237"/>
      <c r="D800" s="237"/>
      <c r="E800" s="238"/>
      <c r="F800" s="238"/>
      <c r="G800" s="239"/>
      <c r="H800" s="239"/>
      <c r="I800" s="235"/>
      <c r="J800" s="235"/>
      <c r="K800" s="235"/>
      <c r="L800" s="235"/>
      <c r="M800" s="235"/>
      <c r="N800" s="235"/>
      <c r="O800" s="235"/>
      <c r="P800" s="235"/>
      <c r="Q800" s="235"/>
      <c r="R800" s="235"/>
      <c r="S800" s="235"/>
      <c r="T800" s="235"/>
      <c r="U800" s="235"/>
      <c r="V800" s="235"/>
      <c r="W800" s="235"/>
      <c r="X800" s="235"/>
      <c r="Y800" s="235"/>
      <c r="Z800" s="235"/>
    </row>
    <row r="801">
      <c r="A801" s="236"/>
      <c r="B801" s="236"/>
      <c r="C801" s="237"/>
      <c r="D801" s="237"/>
      <c r="E801" s="238"/>
      <c r="F801" s="238"/>
      <c r="G801" s="239"/>
      <c r="H801" s="239"/>
      <c r="I801" s="235"/>
      <c r="J801" s="235"/>
      <c r="K801" s="235"/>
      <c r="L801" s="235"/>
      <c r="M801" s="235"/>
      <c r="N801" s="235"/>
      <c r="O801" s="235"/>
      <c r="P801" s="235"/>
      <c r="Q801" s="235"/>
      <c r="R801" s="235"/>
      <c r="S801" s="235"/>
      <c r="T801" s="235"/>
      <c r="U801" s="235"/>
      <c r="V801" s="235"/>
      <c r="W801" s="235"/>
      <c r="X801" s="235"/>
      <c r="Y801" s="235"/>
      <c r="Z801" s="235"/>
    </row>
    <row r="802">
      <c r="A802" s="236"/>
      <c r="B802" s="236"/>
      <c r="C802" s="237"/>
      <c r="D802" s="237"/>
      <c r="E802" s="238"/>
      <c r="F802" s="238"/>
      <c r="G802" s="239"/>
      <c r="H802" s="239"/>
      <c r="I802" s="235"/>
      <c r="J802" s="235"/>
      <c r="K802" s="235"/>
      <c r="L802" s="235"/>
      <c r="M802" s="235"/>
      <c r="N802" s="235"/>
      <c r="O802" s="235"/>
      <c r="P802" s="235"/>
      <c r="Q802" s="235"/>
      <c r="R802" s="235"/>
      <c r="S802" s="235"/>
      <c r="T802" s="235"/>
      <c r="U802" s="235"/>
      <c r="V802" s="235"/>
      <c r="W802" s="235"/>
      <c r="X802" s="235"/>
      <c r="Y802" s="235"/>
      <c r="Z802" s="235"/>
    </row>
    <row r="803">
      <c r="A803" s="236"/>
      <c r="B803" s="236"/>
      <c r="C803" s="237"/>
      <c r="D803" s="237"/>
      <c r="E803" s="238"/>
      <c r="F803" s="238"/>
      <c r="G803" s="239"/>
      <c r="H803" s="239"/>
      <c r="I803" s="235"/>
      <c r="J803" s="235"/>
      <c r="K803" s="235"/>
      <c r="L803" s="235"/>
      <c r="M803" s="235"/>
      <c r="N803" s="235"/>
      <c r="O803" s="235"/>
      <c r="P803" s="235"/>
      <c r="Q803" s="235"/>
      <c r="R803" s="235"/>
      <c r="S803" s="235"/>
      <c r="T803" s="235"/>
      <c r="U803" s="235"/>
      <c r="V803" s="235"/>
      <c r="W803" s="235"/>
      <c r="X803" s="235"/>
      <c r="Y803" s="235"/>
      <c r="Z803" s="235"/>
    </row>
    <row r="804">
      <c r="A804" s="236"/>
      <c r="B804" s="236"/>
      <c r="C804" s="237"/>
      <c r="D804" s="237"/>
      <c r="E804" s="238"/>
      <c r="F804" s="238"/>
      <c r="G804" s="239"/>
      <c r="H804" s="239"/>
      <c r="I804" s="235"/>
      <c r="J804" s="235"/>
      <c r="K804" s="235"/>
      <c r="L804" s="235"/>
      <c r="M804" s="235"/>
      <c r="N804" s="235"/>
      <c r="O804" s="235"/>
      <c r="P804" s="235"/>
      <c r="Q804" s="235"/>
      <c r="R804" s="235"/>
      <c r="S804" s="235"/>
      <c r="T804" s="235"/>
      <c r="U804" s="235"/>
      <c r="V804" s="235"/>
      <c r="W804" s="235"/>
      <c r="X804" s="235"/>
      <c r="Y804" s="235"/>
      <c r="Z804" s="235"/>
    </row>
    <row r="805">
      <c r="A805" s="236"/>
      <c r="B805" s="236"/>
      <c r="C805" s="237"/>
      <c r="D805" s="237"/>
      <c r="E805" s="238"/>
      <c r="F805" s="238"/>
      <c r="G805" s="239"/>
      <c r="H805" s="239"/>
      <c r="I805" s="235"/>
      <c r="J805" s="235"/>
      <c r="K805" s="235"/>
      <c r="L805" s="235"/>
      <c r="M805" s="235"/>
      <c r="N805" s="235"/>
      <c r="O805" s="235"/>
      <c r="P805" s="235"/>
      <c r="Q805" s="235"/>
      <c r="R805" s="235"/>
      <c r="S805" s="235"/>
      <c r="T805" s="235"/>
      <c r="U805" s="235"/>
      <c r="V805" s="235"/>
      <c r="W805" s="235"/>
      <c r="X805" s="235"/>
      <c r="Y805" s="235"/>
      <c r="Z805" s="235"/>
    </row>
    <row r="806">
      <c r="A806" s="236"/>
      <c r="B806" s="236"/>
      <c r="C806" s="237"/>
      <c r="D806" s="237"/>
      <c r="E806" s="238"/>
      <c r="F806" s="238"/>
      <c r="G806" s="239"/>
      <c r="H806" s="239"/>
      <c r="I806" s="235"/>
      <c r="J806" s="235"/>
      <c r="K806" s="235"/>
      <c r="L806" s="235"/>
      <c r="M806" s="235"/>
      <c r="N806" s="235"/>
      <c r="O806" s="235"/>
      <c r="P806" s="235"/>
      <c r="Q806" s="235"/>
      <c r="R806" s="235"/>
      <c r="S806" s="235"/>
      <c r="T806" s="235"/>
      <c r="U806" s="235"/>
      <c r="V806" s="235"/>
      <c r="W806" s="235"/>
      <c r="X806" s="235"/>
      <c r="Y806" s="235"/>
      <c r="Z806" s="235"/>
    </row>
    <row r="807">
      <c r="A807" s="236"/>
      <c r="B807" s="236"/>
      <c r="C807" s="237"/>
      <c r="D807" s="237"/>
      <c r="E807" s="238"/>
      <c r="F807" s="238"/>
      <c r="G807" s="239"/>
      <c r="H807" s="239"/>
      <c r="I807" s="235"/>
      <c r="J807" s="235"/>
      <c r="K807" s="235"/>
      <c r="L807" s="235"/>
      <c r="M807" s="235"/>
      <c r="N807" s="235"/>
      <c r="O807" s="235"/>
      <c r="P807" s="235"/>
      <c r="Q807" s="235"/>
      <c r="R807" s="235"/>
      <c r="S807" s="235"/>
      <c r="T807" s="235"/>
      <c r="U807" s="235"/>
      <c r="V807" s="235"/>
      <c r="W807" s="235"/>
      <c r="X807" s="235"/>
      <c r="Y807" s="235"/>
      <c r="Z807" s="235"/>
    </row>
    <row r="808">
      <c r="A808" s="236"/>
      <c r="B808" s="236"/>
      <c r="C808" s="237"/>
      <c r="D808" s="237"/>
      <c r="E808" s="238"/>
      <c r="F808" s="238"/>
      <c r="G808" s="239"/>
      <c r="H808" s="239"/>
      <c r="I808" s="235"/>
      <c r="J808" s="235"/>
      <c r="K808" s="235"/>
      <c r="L808" s="235"/>
      <c r="M808" s="235"/>
      <c r="N808" s="235"/>
      <c r="O808" s="235"/>
      <c r="P808" s="235"/>
      <c r="Q808" s="235"/>
      <c r="R808" s="235"/>
      <c r="S808" s="235"/>
      <c r="T808" s="235"/>
      <c r="U808" s="235"/>
      <c r="V808" s="235"/>
      <c r="W808" s="235"/>
      <c r="X808" s="235"/>
      <c r="Y808" s="235"/>
      <c r="Z808" s="235"/>
    </row>
    <row r="809">
      <c r="A809" s="236"/>
      <c r="B809" s="236"/>
      <c r="C809" s="237"/>
      <c r="D809" s="237"/>
      <c r="E809" s="238"/>
      <c r="F809" s="238"/>
      <c r="G809" s="239"/>
      <c r="H809" s="239"/>
      <c r="I809" s="235"/>
      <c r="J809" s="235"/>
      <c r="K809" s="235"/>
      <c r="L809" s="235"/>
      <c r="M809" s="235"/>
      <c r="N809" s="235"/>
      <c r="O809" s="235"/>
      <c r="P809" s="235"/>
      <c r="Q809" s="235"/>
      <c r="R809" s="235"/>
      <c r="S809" s="235"/>
      <c r="T809" s="235"/>
      <c r="U809" s="235"/>
      <c r="V809" s="235"/>
      <c r="W809" s="235"/>
      <c r="X809" s="235"/>
      <c r="Y809" s="235"/>
      <c r="Z809" s="235"/>
    </row>
    <row r="810">
      <c r="A810" s="236"/>
      <c r="B810" s="236"/>
      <c r="C810" s="237"/>
      <c r="D810" s="237"/>
      <c r="E810" s="238"/>
      <c r="F810" s="238"/>
      <c r="G810" s="239"/>
      <c r="H810" s="239"/>
      <c r="I810" s="235"/>
      <c r="J810" s="235"/>
      <c r="K810" s="235"/>
      <c r="L810" s="235"/>
      <c r="M810" s="235"/>
      <c r="N810" s="235"/>
      <c r="O810" s="235"/>
      <c r="P810" s="235"/>
      <c r="Q810" s="235"/>
      <c r="R810" s="235"/>
      <c r="S810" s="235"/>
      <c r="T810" s="235"/>
      <c r="U810" s="235"/>
      <c r="V810" s="235"/>
      <c r="W810" s="235"/>
      <c r="X810" s="235"/>
      <c r="Y810" s="235"/>
      <c r="Z810" s="235"/>
    </row>
    <row r="811">
      <c r="A811" s="236"/>
      <c r="B811" s="236"/>
      <c r="C811" s="237"/>
      <c r="D811" s="237"/>
      <c r="E811" s="238"/>
      <c r="F811" s="238"/>
      <c r="G811" s="239"/>
      <c r="H811" s="239"/>
      <c r="I811" s="235"/>
      <c r="J811" s="235"/>
      <c r="K811" s="235"/>
      <c r="L811" s="235"/>
      <c r="M811" s="235"/>
      <c r="N811" s="235"/>
      <c r="O811" s="235"/>
      <c r="P811" s="235"/>
      <c r="Q811" s="235"/>
      <c r="R811" s="235"/>
      <c r="S811" s="235"/>
      <c r="T811" s="235"/>
      <c r="U811" s="235"/>
      <c r="V811" s="235"/>
      <c r="W811" s="235"/>
      <c r="X811" s="235"/>
      <c r="Y811" s="235"/>
      <c r="Z811" s="235"/>
    </row>
    <row r="812">
      <c r="A812" s="236"/>
      <c r="B812" s="236"/>
      <c r="C812" s="237"/>
      <c r="D812" s="237"/>
      <c r="E812" s="238"/>
      <c r="F812" s="238"/>
      <c r="G812" s="239"/>
      <c r="H812" s="239"/>
      <c r="I812" s="235"/>
      <c r="J812" s="235"/>
      <c r="K812" s="235"/>
      <c r="L812" s="235"/>
      <c r="M812" s="235"/>
      <c r="N812" s="235"/>
      <c r="O812" s="235"/>
      <c r="P812" s="235"/>
      <c r="Q812" s="235"/>
      <c r="R812" s="235"/>
      <c r="S812" s="235"/>
      <c r="T812" s="235"/>
      <c r="U812" s="235"/>
      <c r="V812" s="235"/>
      <c r="W812" s="235"/>
      <c r="X812" s="235"/>
      <c r="Y812" s="235"/>
      <c r="Z812" s="235"/>
    </row>
    <row r="813">
      <c r="A813" s="236"/>
      <c r="B813" s="236"/>
      <c r="C813" s="237"/>
      <c r="D813" s="237"/>
      <c r="E813" s="238"/>
      <c r="F813" s="238"/>
      <c r="G813" s="239"/>
      <c r="H813" s="239"/>
      <c r="I813" s="235"/>
      <c r="J813" s="235"/>
      <c r="K813" s="235"/>
      <c r="L813" s="235"/>
      <c r="M813" s="235"/>
      <c r="N813" s="235"/>
      <c r="O813" s="235"/>
      <c r="P813" s="235"/>
      <c r="Q813" s="235"/>
      <c r="R813" s="235"/>
      <c r="S813" s="235"/>
      <c r="T813" s="235"/>
      <c r="U813" s="235"/>
      <c r="V813" s="235"/>
      <c r="W813" s="235"/>
      <c r="X813" s="235"/>
      <c r="Y813" s="235"/>
      <c r="Z813" s="235"/>
    </row>
    <row r="814">
      <c r="A814" s="236"/>
      <c r="B814" s="236"/>
      <c r="C814" s="237"/>
      <c r="D814" s="237"/>
      <c r="E814" s="238"/>
      <c r="F814" s="238"/>
      <c r="G814" s="239"/>
      <c r="H814" s="239"/>
      <c r="I814" s="235"/>
      <c r="J814" s="235"/>
      <c r="K814" s="235"/>
      <c r="L814" s="235"/>
      <c r="M814" s="235"/>
      <c r="N814" s="235"/>
      <c r="O814" s="235"/>
      <c r="P814" s="235"/>
      <c r="Q814" s="235"/>
      <c r="R814" s="235"/>
      <c r="S814" s="235"/>
      <c r="T814" s="235"/>
      <c r="U814" s="235"/>
      <c r="V814" s="235"/>
      <c r="W814" s="235"/>
      <c r="X814" s="235"/>
      <c r="Y814" s="235"/>
      <c r="Z814" s="235"/>
    </row>
    <row r="815">
      <c r="A815" s="236"/>
      <c r="B815" s="236"/>
      <c r="C815" s="237"/>
      <c r="D815" s="237"/>
      <c r="E815" s="238"/>
      <c r="F815" s="238"/>
      <c r="G815" s="239"/>
      <c r="H815" s="239"/>
      <c r="I815" s="235"/>
      <c r="J815" s="235"/>
      <c r="K815" s="235"/>
      <c r="L815" s="235"/>
      <c r="M815" s="235"/>
      <c r="N815" s="235"/>
      <c r="O815" s="235"/>
      <c r="P815" s="235"/>
      <c r="Q815" s="235"/>
      <c r="R815" s="235"/>
      <c r="S815" s="235"/>
      <c r="T815" s="235"/>
      <c r="U815" s="235"/>
      <c r="V815" s="235"/>
      <c r="W815" s="235"/>
      <c r="X815" s="235"/>
      <c r="Y815" s="235"/>
      <c r="Z815" s="235"/>
    </row>
    <row r="816">
      <c r="A816" s="236"/>
      <c r="B816" s="236"/>
      <c r="C816" s="237"/>
      <c r="D816" s="237"/>
      <c r="E816" s="238"/>
      <c r="F816" s="238"/>
      <c r="G816" s="239"/>
      <c r="H816" s="239"/>
      <c r="I816" s="235"/>
      <c r="J816" s="235"/>
      <c r="K816" s="235"/>
      <c r="L816" s="235"/>
      <c r="M816" s="235"/>
      <c r="N816" s="235"/>
      <c r="O816" s="235"/>
      <c r="P816" s="235"/>
      <c r="Q816" s="235"/>
      <c r="R816" s="235"/>
      <c r="S816" s="235"/>
      <c r="T816" s="235"/>
      <c r="U816" s="235"/>
      <c r="V816" s="235"/>
      <c r="W816" s="235"/>
      <c r="X816" s="235"/>
      <c r="Y816" s="235"/>
      <c r="Z816" s="235"/>
    </row>
    <row r="817">
      <c r="A817" s="236"/>
      <c r="B817" s="236"/>
      <c r="C817" s="237"/>
      <c r="D817" s="237"/>
      <c r="E817" s="238"/>
      <c r="F817" s="238"/>
      <c r="G817" s="239"/>
      <c r="H817" s="239"/>
      <c r="I817" s="235"/>
      <c r="J817" s="235"/>
      <c r="K817" s="235"/>
      <c r="L817" s="235"/>
      <c r="M817" s="235"/>
      <c r="N817" s="235"/>
      <c r="O817" s="235"/>
      <c r="P817" s="235"/>
      <c r="Q817" s="235"/>
      <c r="R817" s="235"/>
      <c r="S817" s="235"/>
      <c r="T817" s="235"/>
      <c r="U817" s="235"/>
      <c r="V817" s="235"/>
      <c r="W817" s="235"/>
      <c r="X817" s="235"/>
      <c r="Y817" s="235"/>
      <c r="Z817" s="235"/>
    </row>
    <row r="818">
      <c r="A818" s="236"/>
      <c r="B818" s="236"/>
      <c r="C818" s="237"/>
      <c r="D818" s="237"/>
      <c r="E818" s="238"/>
      <c r="F818" s="238"/>
      <c r="G818" s="239"/>
      <c r="H818" s="239"/>
      <c r="I818" s="235"/>
      <c r="J818" s="235"/>
      <c r="K818" s="235"/>
      <c r="L818" s="235"/>
      <c r="M818" s="235"/>
      <c r="N818" s="235"/>
      <c r="O818" s="235"/>
      <c r="P818" s="235"/>
      <c r="Q818" s="235"/>
      <c r="R818" s="235"/>
      <c r="S818" s="235"/>
      <c r="T818" s="235"/>
      <c r="U818" s="235"/>
      <c r="V818" s="235"/>
      <c r="W818" s="235"/>
      <c r="X818" s="235"/>
      <c r="Y818" s="235"/>
      <c r="Z818" s="235"/>
    </row>
    <row r="819">
      <c r="A819" s="236"/>
      <c r="B819" s="236"/>
      <c r="C819" s="237"/>
      <c r="D819" s="237"/>
      <c r="E819" s="238"/>
      <c r="F819" s="238"/>
      <c r="G819" s="239"/>
      <c r="H819" s="239"/>
      <c r="I819" s="235"/>
      <c r="J819" s="235"/>
      <c r="K819" s="235"/>
      <c r="L819" s="235"/>
      <c r="M819" s="235"/>
      <c r="N819" s="235"/>
      <c r="O819" s="235"/>
      <c r="P819" s="235"/>
      <c r="Q819" s="235"/>
      <c r="R819" s="235"/>
      <c r="S819" s="235"/>
      <c r="T819" s="235"/>
      <c r="U819" s="235"/>
      <c r="V819" s="235"/>
      <c r="W819" s="235"/>
      <c r="X819" s="235"/>
      <c r="Y819" s="235"/>
      <c r="Z819" s="235"/>
    </row>
    <row r="820">
      <c r="A820" s="236"/>
      <c r="B820" s="236"/>
      <c r="C820" s="237"/>
      <c r="D820" s="237"/>
      <c r="E820" s="238"/>
      <c r="F820" s="238"/>
      <c r="G820" s="239"/>
      <c r="H820" s="239"/>
      <c r="I820" s="235"/>
      <c r="J820" s="235"/>
      <c r="K820" s="235"/>
      <c r="L820" s="235"/>
      <c r="M820" s="235"/>
      <c r="N820" s="235"/>
      <c r="O820" s="235"/>
      <c r="P820" s="235"/>
      <c r="Q820" s="235"/>
      <c r="R820" s="235"/>
      <c r="S820" s="235"/>
      <c r="T820" s="235"/>
      <c r="U820" s="235"/>
      <c r="V820" s="235"/>
      <c r="W820" s="235"/>
      <c r="X820" s="235"/>
      <c r="Y820" s="235"/>
      <c r="Z820" s="235"/>
    </row>
    <row r="821">
      <c r="A821" s="236"/>
      <c r="B821" s="236"/>
      <c r="C821" s="237"/>
      <c r="D821" s="237"/>
      <c r="E821" s="238"/>
      <c r="F821" s="238"/>
      <c r="G821" s="239"/>
      <c r="H821" s="239"/>
      <c r="I821" s="235"/>
      <c r="J821" s="235"/>
      <c r="K821" s="235"/>
      <c r="L821" s="235"/>
      <c r="M821" s="235"/>
      <c r="N821" s="235"/>
      <c r="O821" s="235"/>
      <c r="P821" s="235"/>
      <c r="Q821" s="235"/>
      <c r="R821" s="235"/>
      <c r="S821" s="235"/>
      <c r="T821" s="235"/>
      <c r="U821" s="235"/>
      <c r="V821" s="235"/>
      <c r="W821" s="235"/>
      <c r="X821" s="235"/>
      <c r="Y821" s="235"/>
      <c r="Z821" s="235"/>
    </row>
    <row r="822">
      <c r="A822" s="236"/>
      <c r="B822" s="236"/>
      <c r="C822" s="237"/>
      <c r="D822" s="237"/>
      <c r="E822" s="238"/>
      <c r="F822" s="238"/>
      <c r="G822" s="239"/>
      <c r="H822" s="239"/>
      <c r="I822" s="235"/>
      <c r="J822" s="235"/>
      <c r="K822" s="235"/>
      <c r="L822" s="235"/>
      <c r="M822" s="235"/>
      <c r="N822" s="235"/>
      <c r="O822" s="235"/>
      <c r="P822" s="235"/>
      <c r="Q822" s="235"/>
      <c r="R822" s="235"/>
      <c r="S822" s="235"/>
      <c r="T822" s="235"/>
      <c r="U822" s="235"/>
      <c r="V822" s="235"/>
      <c r="W822" s="235"/>
      <c r="X822" s="235"/>
      <c r="Y822" s="235"/>
      <c r="Z822" s="235"/>
    </row>
    <row r="823">
      <c r="A823" s="236"/>
      <c r="B823" s="236"/>
      <c r="C823" s="237"/>
      <c r="D823" s="237"/>
      <c r="E823" s="238"/>
      <c r="F823" s="238"/>
      <c r="G823" s="239"/>
      <c r="H823" s="239"/>
      <c r="I823" s="235"/>
      <c r="J823" s="235"/>
      <c r="K823" s="235"/>
      <c r="L823" s="235"/>
      <c r="M823" s="235"/>
      <c r="N823" s="235"/>
      <c r="O823" s="235"/>
      <c r="P823" s="235"/>
      <c r="Q823" s="235"/>
      <c r="R823" s="235"/>
      <c r="S823" s="235"/>
      <c r="T823" s="235"/>
      <c r="U823" s="235"/>
      <c r="V823" s="235"/>
      <c r="W823" s="235"/>
      <c r="X823" s="235"/>
      <c r="Y823" s="235"/>
      <c r="Z823" s="235"/>
    </row>
    <row r="824">
      <c r="A824" s="236"/>
      <c r="B824" s="236"/>
      <c r="C824" s="237"/>
      <c r="D824" s="237"/>
      <c r="E824" s="238"/>
      <c r="F824" s="238"/>
      <c r="G824" s="239"/>
      <c r="H824" s="239"/>
      <c r="I824" s="235"/>
      <c r="J824" s="235"/>
      <c r="K824" s="235"/>
      <c r="L824" s="235"/>
      <c r="M824" s="235"/>
      <c r="N824" s="235"/>
      <c r="O824" s="235"/>
      <c r="P824" s="235"/>
      <c r="Q824" s="235"/>
      <c r="R824" s="235"/>
      <c r="S824" s="235"/>
      <c r="T824" s="235"/>
      <c r="U824" s="235"/>
      <c r="V824" s="235"/>
      <c r="W824" s="235"/>
      <c r="X824" s="235"/>
      <c r="Y824" s="235"/>
      <c r="Z824" s="235"/>
    </row>
    <row r="825">
      <c r="A825" s="236"/>
      <c r="B825" s="236"/>
      <c r="C825" s="237"/>
      <c r="D825" s="237"/>
      <c r="E825" s="238"/>
      <c r="F825" s="238"/>
      <c r="G825" s="239"/>
      <c r="H825" s="239"/>
      <c r="I825" s="235"/>
      <c r="J825" s="235"/>
      <c r="K825" s="235"/>
      <c r="L825" s="235"/>
      <c r="M825" s="235"/>
      <c r="N825" s="235"/>
      <c r="O825" s="235"/>
      <c r="P825" s="235"/>
      <c r="Q825" s="235"/>
      <c r="R825" s="235"/>
      <c r="S825" s="235"/>
      <c r="T825" s="235"/>
      <c r="U825" s="235"/>
      <c r="V825" s="235"/>
      <c r="W825" s="235"/>
      <c r="X825" s="235"/>
      <c r="Y825" s="235"/>
      <c r="Z825" s="235"/>
    </row>
    <row r="826">
      <c r="A826" s="236"/>
      <c r="B826" s="236"/>
      <c r="C826" s="237"/>
      <c r="D826" s="237"/>
      <c r="E826" s="238"/>
      <c r="F826" s="238"/>
      <c r="G826" s="239"/>
      <c r="H826" s="239"/>
      <c r="I826" s="235"/>
      <c r="J826" s="235"/>
      <c r="K826" s="235"/>
      <c r="L826" s="235"/>
      <c r="M826" s="235"/>
      <c r="N826" s="235"/>
      <c r="O826" s="235"/>
      <c r="P826" s="235"/>
      <c r="Q826" s="235"/>
      <c r="R826" s="235"/>
      <c r="S826" s="235"/>
      <c r="T826" s="235"/>
      <c r="U826" s="235"/>
      <c r="V826" s="235"/>
      <c r="W826" s="235"/>
      <c r="X826" s="235"/>
      <c r="Y826" s="235"/>
      <c r="Z826" s="235"/>
    </row>
    <row r="827">
      <c r="A827" s="236"/>
      <c r="B827" s="236"/>
      <c r="C827" s="237"/>
      <c r="D827" s="237"/>
      <c r="E827" s="238"/>
      <c r="F827" s="238"/>
      <c r="G827" s="239"/>
      <c r="H827" s="239"/>
      <c r="I827" s="235"/>
      <c r="J827" s="235"/>
      <c r="K827" s="235"/>
      <c r="L827" s="235"/>
      <c r="M827" s="235"/>
      <c r="N827" s="235"/>
      <c r="O827" s="235"/>
      <c r="P827" s="235"/>
      <c r="Q827" s="235"/>
      <c r="R827" s="235"/>
      <c r="S827" s="235"/>
      <c r="T827" s="235"/>
      <c r="U827" s="235"/>
      <c r="V827" s="235"/>
      <c r="W827" s="235"/>
      <c r="X827" s="235"/>
      <c r="Y827" s="235"/>
      <c r="Z827" s="235"/>
    </row>
    <row r="828">
      <c r="A828" s="236"/>
      <c r="B828" s="236"/>
      <c r="C828" s="237"/>
      <c r="D828" s="237"/>
      <c r="E828" s="238"/>
      <c r="F828" s="238"/>
      <c r="G828" s="239"/>
      <c r="H828" s="239"/>
      <c r="I828" s="235"/>
      <c r="J828" s="235"/>
      <c r="K828" s="235"/>
      <c r="L828" s="235"/>
      <c r="M828" s="235"/>
      <c r="N828" s="235"/>
      <c r="O828" s="235"/>
      <c r="P828" s="235"/>
      <c r="Q828" s="235"/>
      <c r="R828" s="235"/>
      <c r="S828" s="235"/>
      <c r="T828" s="235"/>
      <c r="U828" s="235"/>
      <c r="V828" s="235"/>
      <c r="W828" s="235"/>
      <c r="X828" s="235"/>
      <c r="Y828" s="235"/>
      <c r="Z828" s="235"/>
    </row>
    <row r="829">
      <c r="A829" s="236"/>
      <c r="B829" s="236"/>
      <c r="C829" s="237"/>
      <c r="D829" s="237"/>
      <c r="E829" s="238"/>
      <c r="F829" s="238"/>
      <c r="G829" s="239"/>
      <c r="H829" s="239"/>
      <c r="I829" s="235"/>
      <c r="J829" s="235"/>
      <c r="K829" s="235"/>
      <c r="L829" s="235"/>
      <c r="M829" s="235"/>
      <c r="N829" s="235"/>
      <c r="O829" s="235"/>
      <c r="P829" s="235"/>
      <c r="Q829" s="235"/>
      <c r="R829" s="235"/>
      <c r="S829" s="235"/>
      <c r="T829" s="235"/>
      <c r="U829" s="235"/>
      <c r="V829" s="235"/>
      <c r="W829" s="235"/>
      <c r="X829" s="235"/>
      <c r="Y829" s="235"/>
      <c r="Z829" s="235"/>
    </row>
    <row r="830">
      <c r="A830" s="236"/>
      <c r="B830" s="236"/>
      <c r="C830" s="237"/>
      <c r="D830" s="237"/>
      <c r="E830" s="238"/>
      <c r="F830" s="238"/>
      <c r="G830" s="239"/>
      <c r="H830" s="239"/>
      <c r="I830" s="235"/>
      <c r="J830" s="235"/>
      <c r="K830" s="235"/>
      <c r="L830" s="235"/>
      <c r="M830" s="235"/>
      <c r="N830" s="235"/>
      <c r="O830" s="235"/>
      <c r="P830" s="235"/>
      <c r="Q830" s="235"/>
      <c r="R830" s="235"/>
      <c r="S830" s="235"/>
      <c r="T830" s="235"/>
      <c r="U830" s="235"/>
      <c r="V830" s="235"/>
      <c r="W830" s="235"/>
      <c r="X830" s="235"/>
      <c r="Y830" s="235"/>
      <c r="Z830" s="235"/>
    </row>
    <row r="831">
      <c r="A831" s="236"/>
      <c r="B831" s="236"/>
      <c r="C831" s="237"/>
      <c r="D831" s="237"/>
      <c r="E831" s="238"/>
      <c r="F831" s="238"/>
      <c r="G831" s="239"/>
      <c r="H831" s="239"/>
      <c r="I831" s="235"/>
      <c r="J831" s="235"/>
      <c r="K831" s="235"/>
      <c r="L831" s="235"/>
      <c r="M831" s="235"/>
      <c r="N831" s="235"/>
      <c r="O831" s="235"/>
      <c r="P831" s="235"/>
      <c r="Q831" s="235"/>
      <c r="R831" s="235"/>
      <c r="S831" s="235"/>
      <c r="T831" s="235"/>
      <c r="U831" s="235"/>
      <c r="V831" s="235"/>
      <c r="W831" s="235"/>
      <c r="X831" s="235"/>
      <c r="Y831" s="235"/>
      <c r="Z831" s="235"/>
    </row>
    <row r="832">
      <c r="A832" s="236"/>
      <c r="B832" s="236"/>
      <c r="C832" s="237"/>
      <c r="D832" s="237"/>
      <c r="E832" s="238"/>
      <c r="F832" s="238"/>
      <c r="G832" s="239"/>
      <c r="H832" s="239"/>
      <c r="I832" s="235"/>
      <c r="J832" s="235"/>
      <c r="K832" s="235"/>
      <c r="L832" s="235"/>
      <c r="M832" s="235"/>
      <c r="N832" s="235"/>
      <c r="O832" s="235"/>
      <c r="P832" s="235"/>
      <c r="Q832" s="235"/>
      <c r="R832" s="235"/>
      <c r="S832" s="235"/>
      <c r="T832" s="235"/>
      <c r="U832" s="235"/>
      <c r="V832" s="235"/>
      <c r="W832" s="235"/>
      <c r="X832" s="235"/>
      <c r="Y832" s="235"/>
      <c r="Z832" s="235"/>
    </row>
    <row r="833">
      <c r="A833" s="236"/>
      <c r="B833" s="236"/>
      <c r="C833" s="237"/>
      <c r="D833" s="237"/>
      <c r="E833" s="238"/>
      <c r="F833" s="238"/>
      <c r="G833" s="239"/>
      <c r="H833" s="239"/>
      <c r="I833" s="235"/>
      <c r="J833" s="235"/>
      <c r="K833" s="235"/>
      <c r="L833" s="235"/>
      <c r="M833" s="235"/>
      <c r="N833" s="235"/>
      <c r="O833" s="235"/>
      <c r="P833" s="235"/>
      <c r="Q833" s="235"/>
      <c r="R833" s="235"/>
      <c r="S833" s="235"/>
      <c r="T833" s="235"/>
      <c r="U833" s="235"/>
      <c r="V833" s="235"/>
      <c r="W833" s="235"/>
      <c r="X833" s="235"/>
      <c r="Y833" s="235"/>
      <c r="Z833" s="235"/>
    </row>
    <row r="834">
      <c r="A834" s="236"/>
      <c r="B834" s="236"/>
      <c r="C834" s="237"/>
      <c r="D834" s="237"/>
      <c r="E834" s="238"/>
      <c r="F834" s="238"/>
      <c r="G834" s="239"/>
      <c r="H834" s="239"/>
      <c r="I834" s="235"/>
      <c r="J834" s="235"/>
      <c r="K834" s="235"/>
      <c r="L834" s="235"/>
      <c r="M834" s="235"/>
      <c r="N834" s="235"/>
      <c r="O834" s="235"/>
      <c r="P834" s="235"/>
      <c r="Q834" s="235"/>
      <c r="R834" s="235"/>
      <c r="S834" s="235"/>
      <c r="T834" s="235"/>
      <c r="U834" s="235"/>
      <c r="V834" s="235"/>
      <c r="W834" s="235"/>
      <c r="X834" s="235"/>
      <c r="Y834" s="235"/>
      <c r="Z834" s="235"/>
    </row>
    <row r="835">
      <c r="A835" s="236"/>
      <c r="B835" s="236"/>
      <c r="C835" s="237"/>
      <c r="D835" s="237"/>
      <c r="E835" s="238"/>
      <c r="F835" s="238"/>
      <c r="G835" s="239"/>
      <c r="H835" s="239"/>
      <c r="I835" s="235"/>
      <c r="J835" s="235"/>
      <c r="K835" s="235"/>
      <c r="L835" s="235"/>
      <c r="M835" s="235"/>
      <c r="N835" s="235"/>
      <c r="O835" s="235"/>
      <c r="P835" s="235"/>
      <c r="Q835" s="235"/>
      <c r="R835" s="235"/>
      <c r="S835" s="235"/>
      <c r="T835" s="235"/>
      <c r="U835" s="235"/>
      <c r="V835" s="235"/>
      <c r="W835" s="235"/>
      <c r="X835" s="235"/>
      <c r="Y835" s="235"/>
      <c r="Z835" s="235"/>
    </row>
    <row r="836">
      <c r="A836" s="236"/>
      <c r="B836" s="236"/>
      <c r="C836" s="237"/>
      <c r="D836" s="237"/>
      <c r="E836" s="238"/>
      <c r="F836" s="238"/>
      <c r="G836" s="239"/>
      <c r="H836" s="239"/>
      <c r="I836" s="235"/>
      <c r="J836" s="235"/>
      <c r="K836" s="235"/>
      <c r="L836" s="235"/>
      <c r="M836" s="235"/>
      <c r="N836" s="235"/>
      <c r="O836" s="235"/>
      <c r="P836" s="235"/>
      <c r="Q836" s="235"/>
      <c r="R836" s="235"/>
      <c r="S836" s="235"/>
      <c r="T836" s="235"/>
      <c r="U836" s="235"/>
      <c r="V836" s="235"/>
      <c r="W836" s="235"/>
      <c r="X836" s="235"/>
      <c r="Y836" s="235"/>
      <c r="Z836" s="235"/>
    </row>
    <row r="837">
      <c r="A837" s="236"/>
      <c r="B837" s="236"/>
      <c r="C837" s="237"/>
      <c r="D837" s="237"/>
      <c r="E837" s="238"/>
      <c r="F837" s="238"/>
      <c r="G837" s="239"/>
      <c r="H837" s="239"/>
      <c r="I837" s="235"/>
      <c r="J837" s="235"/>
      <c r="K837" s="235"/>
      <c r="L837" s="235"/>
      <c r="M837" s="235"/>
      <c r="N837" s="235"/>
      <c r="O837" s="235"/>
      <c r="P837" s="235"/>
      <c r="Q837" s="235"/>
      <c r="R837" s="235"/>
      <c r="S837" s="235"/>
      <c r="T837" s="235"/>
      <c r="U837" s="235"/>
      <c r="V837" s="235"/>
      <c r="W837" s="235"/>
      <c r="X837" s="235"/>
      <c r="Y837" s="235"/>
      <c r="Z837" s="235"/>
    </row>
    <row r="838">
      <c r="A838" s="236"/>
      <c r="B838" s="236"/>
      <c r="C838" s="237"/>
      <c r="D838" s="237"/>
      <c r="E838" s="238"/>
      <c r="F838" s="238"/>
      <c r="G838" s="239"/>
      <c r="H838" s="239"/>
      <c r="I838" s="235"/>
      <c r="J838" s="235"/>
      <c r="K838" s="235"/>
      <c r="L838" s="235"/>
      <c r="M838" s="235"/>
      <c r="N838" s="235"/>
      <c r="O838" s="235"/>
      <c r="P838" s="235"/>
      <c r="Q838" s="235"/>
      <c r="R838" s="235"/>
      <c r="S838" s="235"/>
      <c r="T838" s="235"/>
      <c r="U838" s="235"/>
      <c r="V838" s="235"/>
      <c r="W838" s="235"/>
      <c r="X838" s="235"/>
      <c r="Y838" s="235"/>
      <c r="Z838" s="235"/>
    </row>
    <row r="839">
      <c r="A839" s="236"/>
      <c r="B839" s="236"/>
      <c r="C839" s="237"/>
      <c r="D839" s="237"/>
      <c r="E839" s="238"/>
      <c r="F839" s="238"/>
      <c r="G839" s="239"/>
      <c r="H839" s="239"/>
      <c r="I839" s="235"/>
      <c r="J839" s="235"/>
      <c r="K839" s="235"/>
      <c r="L839" s="235"/>
      <c r="M839" s="235"/>
      <c r="N839" s="235"/>
      <c r="O839" s="235"/>
      <c r="P839" s="235"/>
      <c r="Q839" s="235"/>
      <c r="R839" s="235"/>
      <c r="S839" s="235"/>
      <c r="T839" s="235"/>
      <c r="U839" s="235"/>
      <c r="V839" s="235"/>
      <c r="W839" s="235"/>
      <c r="X839" s="235"/>
      <c r="Y839" s="235"/>
      <c r="Z839" s="235"/>
    </row>
    <row r="840">
      <c r="A840" s="236"/>
      <c r="B840" s="236"/>
      <c r="C840" s="237"/>
      <c r="D840" s="237"/>
      <c r="E840" s="238"/>
      <c r="F840" s="238"/>
      <c r="G840" s="239"/>
      <c r="H840" s="239"/>
      <c r="I840" s="235"/>
      <c r="J840" s="235"/>
      <c r="K840" s="235"/>
      <c r="L840" s="235"/>
      <c r="M840" s="235"/>
      <c r="N840" s="235"/>
      <c r="O840" s="235"/>
      <c r="P840" s="235"/>
      <c r="Q840" s="235"/>
      <c r="R840" s="235"/>
      <c r="S840" s="235"/>
      <c r="T840" s="235"/>
      <c r="U840" s="235"/>
      <c r="V840" s="235"/>
      <c r="W840" s="235"/>
      <c r="X840" s="235"/>
      <c r="Y840" s="235"/>
      <c r="Z840" s="235"/>
    </row>
    <row r="841">
      <c r="A841" s="236"/>
      <c r="B841" s="236"/>
      <c r="C841" s="237"/>
      <c r="D841" s="237"/>
      <c r="E841" s="238"/>
      <c r="F841" s="238"/>
      <c r="G841" s="239"/>
      <c r="H841" s="239"/>
      <c r="I841" s="235"/>
      <c r="J841" s="235"/>
      <c r="K841" s="235"/>
      <c r="L841" s="235"/>
      <c r="M841" s="235"/>
      <c r="N841" s="235"/>
      <c r="O841" s="235"/>
      <c r="P841" s="235"/>
      <c r="Q841" s="235"/>
      <c r="R841" s="235"/>
      <c r="S841" s="235"/>
      <c r="T841" s="235"/>
      <c r="U841" s="235"/>
      <c r="V841" s="235"/>
      <c r="W841" s="235"/>
      <c r="X841" s="235"/>
      <c r="Y841" s="235"/>
      <c r="Z841" s="235"/>
    </row>
    <row r="842">
      <c r="A842" s="236"/>
      <c r="B842" s="236"/>
      <c r="C842" s="237"/>
      <c r="D842" s="237"/>
      <c r="E842" s="238"/>
      <c r="F842" s="238"/>
      <c r="G842" s="239"/>
      <c r="H842" s="239"/>
      <c r="I842" s="235"/>
      <c r="J842" s="235"/>
      <c r="K842" s="235"/>
      <c r="L842" s="235"/>
      <c r="M842" s="235"/>
      <c r="N842" s="235"/>
      <c r="O842" s="235"/>
      <c r="P842" s="235"/>
      <c r="Q842" s="235"/>
      <c r="R842" s="235"/>
      <c r="S842" s="235"/>
      <c r="T842" s="235"/>
      <c r="U842" s="235"/>
      <c r="V842" s="235"/>
      <c r="W842" s="235"/>
      <c r="X842" s="235"/>
      <c r="Y842" s="235"/>
      <c r="Z842" s="235"/>
    </row>
    <row r="843">
      <c r="A843" s="236"/>
      <c r="B843" s="236"/>
      <c r="C843" s="237"/>
      <c r="D843" s="237"/>
      <c r="E843" s="238"/>
      <c r="F843" s="238"/>
      <c r="G843" s="239"/>
      <c r="H843" s="239"/>
      <c r="I843" s="235"/>
      <c r="J843" s="235"/>
      <c r="K843" s="235"/>
      <c r="L843" s="235"/>
      <c r="M843" s="235"/>
      <c r="N843" s="235"/>
      <c r="O843" s="235"/>
      <c r="P843" s="235"/>
      <c r="Q843" s="235"/>
      <c r="R843" s="235"/>
      <c r="S843" s="235"/>
      <c r="T843" s="235"/>
      <c r="U843" s="235"/>
      <c r="V843" s="235"/>
      <c r="W843" s="235"/>
      <c r="X843" s="235"/>
      <c r="Y843" s="235"/>
      <c r="Z843" s="235"/>
    </row>
    <row r="844">
      <c r="A844" s="236"/>
      <c r="B844" s="236"/>
      <c r="C844" s="237"/>
      <c r="D844" s="237"/>
      <c r="E844" s="238"/>
      <c r="F844" s="238"/>
      <c r="G844" s="239"/>
      <c r="H844" s="239"/>
      <c r="I844" s="235"/>
      <c r="J844" s="235"/>
      <c r="K844" s="235"/>
      <c r="L844" s="235"/>
      <c r="M844" s="235"/>
      <c r="N844" s="235"/>
      <c r="O844" s="235"/>
      <c r="P844" s="235"/>
      <c r="Q844" s="235"/>
      <c r="R844" s="235"/>
      <c r="S844" s="235"/>
      <c r="T844" s="235"/>
      <c r="U844" s="235"/>
      <c r="V844" s="235"/>
      <c r="W844" s="235"/>
      <c r="X844" s="235"/>
      <c r="Y844" s="235"/>
      <c r="Z844" s="235"/>
    </row>
    <row r="845">
      <c r="A845" s="236"/>
      <c r="B845" s="236"/>
      <c r="C845" s="237"/>
      <c r="D845" s="237"/>
      <c r="E845" s="238"/>
      <c r="F845" s="238"/>
      <c r="G845" s="239"/>
      <c r="H845" s="239"/>
      <c r="I845" s="235"/>
      <c r="J845" s="235"/>
      <c r="K845" s="235"/>
      <c r="L845" s="235"/>
      <c r="M845" s="235"/>
      <c r="N845" s="235"/>
      <c r="O845" s="235"/>
      <c r="P845" s="235"/>
      <c r="Q845" s="235"/>
      <c r="R845" s="235"/>
      <c r="S845" s="235"/>
      <c r="T845" s="235"/>
      <c r="U845" s="235"/>
      <c r="V845" s="235"/>
      <c r="W845" s="235"/>
      <c r="X845" s="235"/>
      <c r="Y845" s="235"/>
      <c r="Z845" s="235"/>
    </row>
    <row r="846">
      <c r="A846" s="236"/>
      <c r="B846" s="236"/>
      <c r="C846" s="237"/>
      <c r="D846" s="237"/>
      <c r="E846" s="238"/>
      <c r="F846" s="238"/>
      <c r="G846" s="239"/>
      <c r="H846" s="239"/>
      <c r="I846" s="235"/>
      <c r="J846" s="235"/>
      <c r="K846" s="235"/>
      <c r="L846" s="235"/>
      <c r="M846" s="235"/>
      <c r="N846" s="235"/>
      <c r="O846" s="235"/>
      <c r="P846" s="235"/>
      <c r="Q846" s="235"/>
      <c r="R846" s="235"/>
      <c r="S846" s="235"/>
      <c r="T846" s="235"/>
      <c r="U846" s="235"/>
      <c r="V846" s="235"/>
      <c r="W846" s="235"/>
      <c r="X846" s="235"/>
      <c r="Y846" s="235"/>
      <c r="Z846" s="235"/>
    </row>
    <row r="847">
      <c r="A847" s="236"/>
      <c r="B847" s="236"/>
      <c r="C847" s="237"/>
      <c r="D847" s="237"/>
      <c r="E847" s="238"/>
      <c r="F847" s="238"/>
      <c r="G847" s="239"/>
      <c r="H847" s="239"/>
      <c r="I847" s="235"/>
      <c r="J847" s="235"/>
      <c r="K847" s="235"/>
      <c r="L847" s="235"/>
      <c r="M847" s="235"/>
      <c r="N847" s="235"/>
      <c r="O847" s="235"/>
      <c r="P847" s="235"/>
      <c r="Q847" s="235"/>
      <c r="R847" s="235"/>
      <c r="S847" s="235"/>
      <c r="T847" s="235"/>
      <c r="U847" s="235"/>
      <c r="V847" s="235"/>
      <c r="W847" s="235"/>
      <c r="X847" s="235"/>
      <c r="Y847" s="235"/>
      <c r="Z847" s="235"/>
    </row>
    <row r="848">
      <c r="A848" s="236"/>
      <c r="B848" s="236"/>
      <c r="C848" s="237"/>
      <c r="D848" s="237"/>
      <c r="E848" s="238"/>
      <c r="F848" s="238"/>
      <c r="G848" s="239"/>
      <c r="H848" s="239"/>
      <c r="I848" s="235"/>
      <c r="J848" s="235"/>
      <c r="K848" s="235"/>
      <c r="L848" s="235"/>
      <c r="M848" s="235"/>
      <c r="N848" s="235"/>
      <c r="O848" s="235"/>
      <c r="P848" s="235"/>
      <c r="Q848" s="235"/>
      <c r="R848" s="235"/>
      <c r="S848" s="235"/>
      <c r="T848" s="235"/>
      <c r="U848" s="235"/>
      <c r="V848" s="235"/>
      <c r="W848" s="235"/>
      <c r="X848" s="235"/>
      <c r="Y848" s="235"/>
      <c r="Z848" s="235"/>
    </row>
    <row r="849">
      <c r="A849" s="236"/>
      <c r="B849" s="236"/>
      <c r="C849" s="237"/>
      <c r="D849" s="237"/>
      <c r="E849" s="238"/>
      <c r="F849" s="238"/>
      <c r="G849" s="239"/>
      <c r="H849" s="239"/>
      <c r="I849" s="235"/>
      <c r="J849" s="235"/>
      <c r="K849" s="235"/>
      <c r="L849" s="235"/>
      <c r="M849" s="235"/>
      <c r="N849" s="235"/>
      <c r="O849" s="235"/>
      <c r="P849" s="235"/>
      <c r="Q849" s="235"/>
      <c r="R849" s="235"/>
      <c r="S849" s="235"/>
      <c r="T849" s="235"/>
      <c r="U849" s="235"/>
      <c r="V849" s="235"/>
      <c r="W849" s="235"/>
      <c r="X849" s="235"/>
      <c r="Y849" s="235"/>
      <c r="Z849" s="235"/>
    </row>
    <row r="850">
      <c r="A850" s="236"/>
      <c r="B850" s="236"/>
      <c r="C850" s="237"/>
      <c r="D850" s="237"/>
      <c r="E850" s="238"/>
      <c r="F850" s="238"/>
      <c r="G850" s="239"/>
      <c r="H850" s="239"/>
      <c r="I850" s="235"/>
      <c r="J850" s="235"/>
      <c r="K850" s="235"/>
      <c r="L850" s="235"/>
      <c r="M850" s="235"/>
      <c r="N850" s="235"/>
      <c r="O850" s="235"/>
      <c r="P850" s="235"/>
      <c r="Q850" s="235"/>
      <c r="R850" s="235"/>
      <c r="S850" s="235"/>
      <c r="T850" s="235"/>
      <c r="U850" s="235"/>
      <c r="V850" s="235"/>
      <c r="W850" s="235"/>
      <c r="X850" s="235"/>
      <c r="Y850" s="235"/>
      <c r="Z850" s="235"/>
    </row>
    <row r="851">
      <c r="A851" s="236"/>
      <c r="B851" s="236"/>
      <c r="C851" s="237"/>
      <c r="D851" s="237"/>
      <c r="E851" s="238"/>
      <c r="F851" s="238"/>
      <c r="G851" s="239"/>
      <c r="H851" s="239"/>
      <c r="I851" s="235"/>
      <c r="J851" s="235"/>
      <c r="K851" s="235"/>
      <c r="L851" s="235"/>
      <c r="M851" s="235"/>
      <c r="N851" s="235"/>
      <c r="O851" s="235"/>
      <c r="P851" s="235"/>
      <c r="Q851" s="235"/>
      <c r="R851" s="235"/>
      <c r="S851" s="235"/>
      <c r="T851" s="235"/>
      <c r="U851" s="235"/>
      <c r="V851" s="235"/>
      <c r="W851" s="235"/>
      <c r="X851" s="235"/>
      <c r="Y851" s="235"/>
      <c r="Z851" s="235"/>
    </row>
    <row r="852">
      <c r="A852" s="236"/>
      <c r="B852" s="236"/>
      <c r="C852" s="237"/>
      <c r="D852" s="237"/>
      <c r="E852" s="238"/>
      <c r="F852" s="238"/>
      <c r="G852" s="239"/>
      <c r="H852" s="239"/>
      <c r="I852" s="235"/>
      <c r="J852" s="235"/>
      <c r="K852" s="235"/>
      <c r="L852" s="235"/>
      <c r="M852" s="235"/>
      <c r="N852" s="235"/>
      <c r="O852" s="235"/>
      <c r="P852" s="235"/>
      <c r="Q852" s="235"/>
      <c r="R852" s="235"/>
      <c r="S852" s="235"/>
      <c r="T852" s="235"/>
      <c r="U852" s="235"/>
      <c r="V852" s="235"/>
      <c r="W852" s="235"/>
      <c r="X852" s="235"/>
      <c r="Y852" s="235"/>
      <c r="Z852" s="235"/>
    </row>
    <row r="853">
      <c r="A853" s="236"/>
      <c r="B853" s="236"/>
      <c r="C853" s="237"/>
      <c r="D853" s="237"/>
      <c r="E853" s="238"/>
      <c r="F853" s="238"/>
      <c r="G853" s="239"/>
      <c r="H853" s="239"/>
      <c r="I853" s="235"/>
      <c r="J853" s="235"/>
      <c r="K853" s="235"/>
      <c r="L853" s="235"/>
      <c r="M853" s="235"/>
      <c r="N853" s="235"/>
      <c r="O853" s="235"/>
      <c r="P853" s="235"/>
      <c r="Q853" s="235"/>
      <c r="R853" s="235"/>
      <c r="S853" s="235"/>
      <c r="T853" s="235"/>
      <c r="U853" s="235"/>
      <c r="V853" s="235"/>
      <c r="W853" s="235"/>
      <c r="X853" s="235"/>
      <c r="Y853" s="235"/>
      <c r="Z853" s="235"/>
    </row>
    <row r="854">
      <c r="A854" s="236"/>
      <c r="B854" s="236"/>
      <c r="C854" s="237"/>
      <c r="D854" s="237"/>
      <c r="E854" s="238"/>
      <c r="F854" s="238"/>
      <c r="G854" s="239"/>
      <c r="H854" s="239"/>
      <c r="I854" s="235"/>
      <c r="J854" s="235"/>
      <c r="K854" s="235"/>
      <c r="L854" s="235"/>
      <c r="M854" s="235"/>
      <c r="N854" s="235"/>
      <c r="O854" s="235"/>
      <c r="P854" s="235"/>
      <c r="Q854" s="235"/>
      <c r="R854" s="235"/>
      <c r="S854" s="235"/>
      <c r="T854" s="235"/>
      <c r="U854" s="235"/>
      <c r="V854" s="235"/>
      <c r="W854" s="235"/>
      <c r="X854" s="235"/>
      <c r="Y854" s="235"/>
      <c r="Z854" s="235"/>
    </row>
    <row r="855">
      <c r="A855" s="236"/>
      <c r="B855" s="236"/>
      <c r="C855" s="237"/>
      <c r="D855" s="237"/>
      <c r="E855" s="238"/>
      <c r="F855" s="238"/>
      <c r="G855" s="239"/>
      <c r="H855" s="239"/>
      <c r="I855" s="235"/>
      <c r="J855" s="235"/>
      <c r="K855" s="235"/>
      <c r="L855" s="235"/>
      <c r="M855" s="235"/>
      <c r="N855" s="235"/>
      <c r="O855" s="235"/>
      <c r="P855" s="235"/>
      <c r="Q855" s="235"/>
      <c r="R855" s="235"/>
      <c r="S855" s="235"/>
      <c r="T855" s="235"/>
      <c r="U855" s="235"/>
      <c r="V855" s="235"/>
      <c r="W855" s="235"/>
      <c r="X855" s="235"/>
      <c r="Y855" s="235"/>
      <c r="Z855" s="235"/>
    </row>
    <row r="856">
      <c r="A856" s="236"/>
      <c r="B856" s="236"/>
      <c r="C856" s="237"/>
      <c r="D856" s="237"/>
      <c r="E856" s="238"/>
      <c r="F856" s="238"/>
      <c r="G856" s="239"/>
      <c r="H856" s="239"/>
      <c r="I856" s="235"/>
      <c r="J856" s="235"/>
      <c r="K856" s="235"/>
      <c r="L856" s="235"/>
      <c r="M856" s="235"/>
      <c r="N856" s="235"/>
      <c r="O856" s="235"/>
      <c r="P856" s="235"/>
      <c r="Q856" s="235"/>
      <c r="R856" s="235"/>
      <c r="S856" s="235"/>
      <c r="T856" s="235"/>
      <c r="U856" s="235"/>
      <c r="V856" s="235"/>
      <c r="W856" s="235"/>
      <c r="X856" s="235"/>
      <c r="Y856" s="235"/>
      <c r="Z856" s="235"/>
    </row>
    <row r="857">
      <c r="A857" s="236"/>
      <c r="B857" s="236"/>
      <c r="C857" s="237"/>
      <c r="D857" s="237"/>
      <c r="E857" s="238"/>
      <c r="F857" s="238"/>
      <c r="G857" s="239"/>
      <c r="H857" s="239"/>
      <c r="I857" s="235"/>
      <c r="J857" s="235"/>
      <c r="K857" s="235"/>
      <c r="L857" s="235"/>
      <c r="M857" s="235"/>
      <c r="N857" s="235"/>
      <c r="O857" s="235"/>
      <c r="P857" s="235"/>
      <c r="Q857" s="235"/>
      <c r="R857" s="235"/>
      <c r="S857" s="235"/>
      <c r="T857" s="235"/>
      <c r="U857" s="235"/>
      <c r="V857" s="235"/>
      <c r="W857" s="235"/>
      <c r="X857" s="235"/>
      <c r="Y857" s="235"/>
      <c r="Z857" s="235"/>
    </row>
    <row r="858">
      <c r="A858" s="236"/>
      <c r="B858" s="236"/>
      <c r="C858" s="237"/>
      <c r="D858" s="237"/>
      <c r="E858" s="238"/>
      <c r="F858" s="238"/>
      <c r="G858" s="239"/>
      <c r="H858" s="239"/>
      <c r="I858" s="235"/>
      <c r="J858" s="235"/>
      <c r="K858" s="235"/>
      <c r="L858" s="235"/>
      <c r="M858" s="235"/>
      <c r="N858" s="235"/>
      <c r="O858" s="235"/>
      <c r="P858" s="235"/>
      <c r="Q858" s="235"/>
      <c r="R858" s="235"/>
      <c r="S858" s="235"/>
      <c r="T858" s="235"/>
      <c r="U858" s="235"/>
      <c r="V858" s="235"/>
      <c r="W858" s="235"/>
      <c r="X858" s="235"/>
      <c r="Y858" s="235"/>
      <c r="Z858" s="235"/>
    </row>
    <row r="859">
      <c r="A859" s="236"/>
      <c r="B859" s="236"/>
      <c r="C859" s="237"/>
      <c r="D859" s="237"/>
      <c r="E859" s="238"/>
      <c r="F859" s="238"/>
      <c r="G859" s="239"/>
      <c r="H859" s="239"/>
      <c r="I859" s="235"/>
      <c r="J859" s="235"/>
      <c r="K859" s="235"/>
      <c r="L859" s="235"/>
      <c r="M859" s="235"/>
      <c r="N859" s="235"/>
      <c r="O859" s="235"/>
      <c r="P859" s="235"/>
      <c r="Q859" s="235"/>
      <c r="R859" s="235"/>
      <c r="S859" s="235"/>
      <c r="T859" s="235"/>
      <c r="U859" s="235"/>
      <c r="V859" s="235"/>
      <c r="W859" s="235"/>
      <c r="X859" s="235"/>
      <c r="Y859" s="235"/>
      <c r="Z859" s="235"/>
    </row>
    <row r="860">
      <c r="A860" s="236"/>
      <c r="B860" s="236"/>
      <c r="C860" s="237"/>
      <c r="D860" s="237"/>
      <c r="E860" s="238"/>
      <c r="F860" s="238"/>
      <c r="G860" s="239"/>
      <c r="H860" s="239"/>
      <c r="I860" s="235"/>
      <c r="J860" s="235"/>
      <c r="K860" s="235"/>
      <c r="L860" s="235"/>
      <c r="M860" s="235"/>
      <c r="N860" s="235"/>
      <c r="O860" s="235"/>
      <c r="P860" s="235"/>
      <c r="Q860" s="235"/>
      <c r="R860" s="235"/>
      <c r="S860" s="235"/>
      <c r="T860" s="235"/>
      <c r="U860" s="235"/>
      <c r="V860" s="235"/>
      <c r="W860" s="235"/>
      <c r="X860" s="235"/>
      <c r="Y860" s="235"/>
      <c r="Z860" s="235"/>
    </row>
    <row r="861">
      <c r="A861" s="236"/>
      <c r="B861" s="236"/>
      <c r="C861" s="237"/>
      <c r="D861" s="237"/>
      <c r="E861" s="238"/>
      <c r="F861" s="238"/>
      <c r="G861" s="239"/>
      <c r="H861" s="239"/>
      <c r="I861" s="235"/>
      <c r="J861" s="235"/>
      <c r="K861" s="235"/>
      <c r="L861" s="235"/>
      <c r="M861" s="235"/>
      <c r="N861" s="235"/>
      <c r="O861" s="235"/>
      <c r="P861" s="235"/>
      <c r="Q861" s="235"/>
      <c r="R861" s="235"/>
      <c r="S861" s="235"/>
      <c r="T861" s="235"/>
      <c r="U861" s="235"/>
      <c r="V861" s="235"/>
      <c r="W861" s="235"/>
      <c r="X861" s="235"/>
      <c r="Y861" s="235"/>
      <c r="Z861" s="235"/>
    </row>
    <row r="862">
      <c r="A862" s="236"/>
      <c r="B862" s="236"/>
      <c r="C862" s="237"/>
      <c r="D862" s="237"/>
      <c r="E862" s="238"/>
      <c r="F862" s="238"/>
      <c r="G862" s="239"/>
      <c r="H862" s="239"/>
      <c r="I862" s="235"/>
      <c r="J862" s="235"/>
      <c r="K862" s="235"/>
      <c r="L862" s="235"/>
      <c r="M862" s="235"/>
      <c r="N862" s="235"/>
      <c r="O862" s="235"/>
      <c r="P862" s="235"/>
      <c r="Q862" s="235"/>
      <c r="R862" s="235"/>
      <c r="S862" s="235"/>
      <c r="T862" s="235"/>
      <c r="U862" s="235"/>
      <c r="V862" s="235"/>
      <c r="W862" s="235"/>
      <c r="X862" s="235"/>
      <c r="Y862" s="235"/>
      <c r="Z862" s="235"/>
    </row>
    <row r="863">
      <c r="A863" s="236"/>
      <c r="B863" s="236"/>
      <c r="C863" s="237"/>
      <c r="D863" s="237"/>
      <c r="E863" s="238"/>
      <c r="F863" s="238"/>
      <c r="G863" s="239"/>
      <c r="H863" s="239"/>
      <c r="I863" s="235"/>
      <c r="J863" s="235"/>
      <c r="K863" s="235"/>
      <c r="L863" s="235"/>
      <c r="M863" s="235"/>
      <c r="N863" s="235"/>
      <c r="O863" s="235"/>
      <c r="P863" s="235"/>
      <c r="Q863" s="235"/>
      <c r="R863" s="235"/>
      <c r="S863" s="235"/>
      <c r="T863" s="235"/>
      <c r="U863" s="235"/>
      <c r="V863" s="235"/>
      <c r="W863" s="235"/>
      <c r="X863" s="235"/>
      <c r="Y863" s="235"/>
      <c r="Z863" s="235"/>
    </row>
    <row r="864">
      <c r="A864" s="236"/>
      <c r="B864" s="236"/>
      <c r="C864" s="237"/>
      <c r="D864" s="237"/>
      <c r="E864" s="238"/>
      <c r="F864" s="238"/>
      <c r="G864" s="239"/>
      <c r="H864" s="239"/>
      <c r="I864" s="235"/>
      <c r="J864" s="235"/>
      <c r="K864" s="235"/>
      <c r="L864" s="235"/>
      <c r="M864" s="235"/>
      <c r="N864" s="235"/>
      <c r="O864" s="235"/>
      <c r="P864" s="235"/>
      <c r="Q864" s="235"/>
      <c r="R864" s="235"/>
      <c r="S864" s="235"/>
      <c r="T864" s="235"/>
      <c r="U864" s="235"/>
      <c r="V864" s="235"/>
      <c r="W864" s="235"/>
      <c r="X864" s="235"/>
      <c r="Y864" s="235"/>
      <c r="Z864" s="235"/>
    </row>
    <row r="865">
      <c r="A865" s="236"/>
      <c r="B865" s="236"/>
      <c r="C865" s="237"/>
      <c r="D865" s="237"/>
      <c r="E865" s="238"/>
      <c r="F865" s="238"/>
      <c r="G865" s="239"/>
      <c r="H865" s="239"/>
      <c r="I865" s="235"/>
      <c r="J865" s="235"/>
      <c r="K865" s="235"/>
      <c r="L865" s="235"/>
      <c r="M865" s="235"/>
      <c r="N865" s="235"/>
      <c r="O865" s="235"/>
      <c r="P865" s="235"/>
      <c r="Q865" s="235"/>
      <c r="R865" s="235"/>
      <c r="S865" s="235"/>
      <c r="T865" s="235"/>
      <c r="U865" s="235"/>
      <c r="V865" s="235"/>
      <c r="W865" s="235"/>
      <c r="X865" s="235"/>
      <c r="Y865" s="235"/>
      <c r="Z865" s="235"/>
    </row>
    <row r="866">
      <c r="A866" s="236"/>
      <c r="B866" s="236"/>
      <c r="C866" s="237"/>
      <c r="D866" s="237"/>
      <c r="E866" s="238"/>
      <c r="F866" s="238"/>
      <c r="G866" s="239"/>
      <c r="H866" s="239"/>
      <c r="I866" s="235"/>
      <c r="J866" s="235"/>
      <c r="K866" s="235"/>
      <c r="L866" s="235"/>
      <c r="M866" s="235"/>
      <c r="N866" s="235"/>
      <c r="O866" s="235"/>
      <c r="P866" s="235"/>
      <c r="Q866" s="235"/>
      <c r="R866" s="235"/>
      <c r="S866" s="235"/>
      <c r="T866" s="235"/>
      <c r="U866" s="235"/>
      <c r="V866" s="235"/>
      <c r="W866" s="235"/>
      <c r="X866" s="235"/>
      <c r="Y866" s="235"/>
      <c r="Z866" s="235"/>
    </row>
    <row r="867">
      <c r="A867" s="236"/>
      <c r="B867" s="236"/>
      <c r="C867" s="237"/>
      <c r="D867" s="237"/>
      <c r="E867" s="238"/>
      <c r="F867" s="238"/>
      <c r="G867" s="239"/>
      <c r="H867" s="239"/>
      <c r="I867" s="235"/>
      <c r="J867" s="235"/>
      <c r="K867" s="235"/>
      <c r="L867" s="235"/>
      <c r="M867" s="235"/>
      <c r="N867" s="235"/>
      <c r="O867" s="235"/>
      <c r="P867" s="235"/>
      <c r="Q867" s="235"/>
      <c r="R867" s="235"/>
      <c r="S867" s="235"/>
      <c r="T867" s="235"/>
      <c r="U867" s="235"/>
      <c r="V867" s="235"/>
      <c r="W867" s="235"/>
      <c r="X867" s="235"/>
      <c r="Y867" s="235"/>
      <c r="Z867" s="235"/>
    </row>
    <row r="868">
      <c r="A868" s="236"/>
      <c r="B868" s="236"/>
      <c r="C868" s="237"/>
      <c r="D868" s="237"/>
      <c r="E868" s="238"/>
      <c r="F868" s="238"/>
      <c r="G868" s="239"/>
      <c r="H868" s="239"/>
      <c r="I868" s="235"/>
      <c r="J868" s="235"/>
      <c r="K868" s="235"/>
      <c r="L868" s="235"/>
      <c r="M868" s="235"/>
      <c r="N868" s="235"/>
      <c r="O868" s="235"/>
      <c r="P868" s="235"/>
      <c r="Q868" s="235"/>
      <c r="R868" s="235"/>
      <c r="S868" s="235"/>
      <c r="T868" s="235"/>
      <c r="U868" s="235"/>
      <c r="V868" s="235"/>
      <c r="W868" s="235"/>
      <c r="X868" s="235"/>
      <c r="Y868" s="235"/>
      <c r="Z868" s="235"/>
    </row>
    <row r="869">
      <c r="A869" s="236"/>
      <c r="B869" s="236"/>
      <c r="C869" s="237"/>
      <c r="D869" s="237"/>
      <c r="E869" s="238"/>
      <c r="F869" s="238"/>
      <c r="G869" s="239"/>
      <c r="H869" s="239"/>
      <c r="I869" s="235"/>
      <c r="J869" s="235"/>
      <c r="K869" s="235"/>
      <c r="L869" s="235"/>
      <c r="M869" s="235"/>
      <c r="N869" s="235"/>
      <c r="O869" s="235"/>
      <c r="P869" s="235"/>
      <c r="Q869" s="235"/>
      <c r="R869" s="235"/>
      <c r="S869" s="235"/>
      <c r="T869" s="235"/>
      <c r="U869" s="235"/>
      <c r="V869" s="235"/>
      <c r="W869" s="235"/>
      <c r="X869" s="235"/>
      <c r="Y869" s="235"/>
      <c r="Z869" s="235"/>
    </row>
    <row r="870">
      <c r="A870" s="236"/>
      <c r="B870" s="236"/>
      <c r="C870" s="237"/>
      <c r="D870" s="237"/>
      <c r="E870" s="238"/>
      <c r="F870" s="238"/>
      <c r="G870" s="239"/>
      <c r="H870" s="239"/>
      <c r="I870" s="235"/>
      <c r="J870" s="235"/>
      <c r="K870" s="235"/>
      <c r="L870" s="235"/>
      <c r="M870" s="235"/>
      <c r="N870" s="235"/>
      <c r="O870" s="235"/>
      <c r="P870" s="235"/>
      <c r="Q870" s="235"/>
      <c r="R870" s="235"/>
      <c r="S870" s="235"/>
      <c r="T870" s="235"/>
      <c r="U870" s="235"/>
      <c r="V870" s="235"/>
      <c r="W870" s="235"/>
      <c r="X870" s="235"/>
      <c r="Y870" s="235"/>
      <c r="Z870" s="235"/>
    </row>
    <row r="871">
      <c r="A871" s="236"/>
      <c r="B871" s="236"/>
      <c r="C871" s="237"/>
      <c r="D871" s="237"/>
      <c r="E871" s="238"/>
      <c r="F871" s="238"/>
      <c r="G871" s="239"/>
      <c r="H871" s="239"/>
      <c r="I871" s="235"/>
      <c r="J871" s="235"/>
      <c r="K871" s="235"/>
      <c r="L871" s="235"/>
      <c r="M871" s="235"/>
      <c r="N871" s="235"/>
      <c r="O871" s="235"/>
      <c r="P871" s="235"/>
      <c r="Q871" s="235"/>
      <c r="R871" s="235"/>
      <c r="S871" s="235"/>
      <c r="T871" s="235"/>
      <c r="U871" s="235"/>
      <c r="V871" s="235"/>
      <c r="W871" s="235"/>
      <c r="X871" s="235"/>
      <c r="Y871" s="235"/>
      <c r="Z871" s="235"/>
    </row>
    <row r="872">
      <c r="A872" s="236"/>
      <c r="B872" s="236"/>
      <c r="C872" s="237"/>
      <c r="D872" s="237"/>
      <c r="E872" s="238"/>
      <c r="F872" s="238"/>
      <c r="G872" s="239"/>
      <c r="H872" s="239"/>
      <c r="I872" s="235"/>
      <c r="J872" s="235"/>
      <c r="K872" s="235"/>
      <c r="L872" s="235"/>
      <c r="M872" s="235"/>
      <c r="N872" s="235"/>
      <c r="O872" s="235"/>
      <c r="P872" s="235"/>
      <c r="Q872" s="235"/>
      <c r="R872" s="235"/>
      <c r="S872" s="235"/>
      <c r="T872" s="235"/>
      <c r="U872" s="235"/>
      <c r="V872" s="235"/>
      <c r="W872" s="235"/>
      <c r="X872" s="235"/>
      <c r="Y872" s="235"/>
      <c r="Z872" s="235"/>
    </row>
    <row r="873">
      <c r="A873" s="236"/>
      <c r="B873" s="236"/>
      <c r="C873" s="237"/>
      <c r="D873" s="237"/>
      <c r="E873" s="238"/>
      <c r="F873" s="238"/>
      <c r="G873" s="239"/>
      <c r="H873" s="239"/>
      <c r="I873" s="235"/>
      <c r="J873" s="235"/>
      <c r="K873" s="235"/>
      <c r="L873" s="235"/>
      <c r="M873" s="235"/>
      <c r="N873" s="235"/>
      <c r="O873" s="235"/>
      <c r="P873" s="235"/>
      <c r="Q873" s="235"/>
      <c r="R873" s="235"/>
      <c r="S873" s="235"/>
      <c r="T873" s="235"/>
      <c r="U873" s="235"/>
      <c r="V873" s="235"/>
      <c r="W873" s="235"/>
      <c r="X873" s="235"/>
      <c r="Y873" s="235"/>
      <c r="Z873" s="235"/>
    </row>
    <row r="874">
      <c r="A874" s="236"/>
      <c r="B874" s="236"/>
      <c r="C874" s="237"/>
      <c r="D874" s="237"/>
      <c r="E874" s="238"/>
      <c r="F874" s="238"/>
      <c r="G874" s="239"/>
      <c r="H874" s="239"/>
      <c r="I874" s="235"/>
      <c r="J874" s="235"/>
      <c r="K874" s="235"/>
      <c r="L874" s="235"/>
      <c r="M874" s="235"/>
      <c r="N874" s="235"/>
      <c r="O874" s="235"/>
      <c r="P874" s="235"/>
      <c r="Q874" s="235"/>
      <c r="R874" s="235"/>
      <c r="S874" s="235"/>
      <c r="T874" s="235"/>
      <c r="U874" s="235"/>
      <c r="V874" s="235"/>
      <c r="W874" s="235"/>
      <c r="X874" s="235"/>
      <c r="Y874" s="235"/>
      <c r="Z874" s="235"/>
    </row>
    <row r="875">
      <c r="A875" s="236"/>
      <c r="B875" s="236"/>
      <c r="C875" s="237"/>
      <c r="D875" s="237"/>
      <c r="E875" s="238"/>
      <c r="F875" s="238"/>
      <c r="G875" s="239"/>
      <c r="H875" s="239"/>
      <c r="I875" s="235"/>
      <c r="J875" s="235"/>
      <c r="K875" s="235"/>
      <c r="L875" s="235"/>
      <c r="M875" s="235"/>
      <c r="N875" s="235"/>
      <c r="O875" s="235"/>
      <c r="P875" s="235"/>
      <c r="Q875" s="235"/>
      <c r="R875" s="235"/>
      <c r="S875" s="235"/>
      <c r="T875" s="235"/>
      <c r="U875" s="235"/>
      <c r="V875" s="235"/>
      <c r="W875" s="235"/>
      <c r="X875" s="235"/>
      <c r="Y875" s="235"/>
      <c r="Z875" s="235"/>
    </row>
    <row r="876">
      <c r="A876" s="236"/>
      <c r="B876" s="236"/>
      <c r="C876" s="237"/>
      <c r="D876" s="237"/>
      <c r="E876" s="238"/>
      <c r="F876" s="238"/>
      <c r="G876" s="239"/>
      <c r="H876" s="239"/>
      <c r="I876" s="235"/>
      <c r="J876" s="235"/>
      <c r="K876" s="235"/>
      <c r="L876" s="235"/>
      <c r="M876" s="235"/>
      <c r="N876" s="235"/>
      <c r="O876" s="235"/>
      <c r="P876" s="235"/>
      <c r="Q876" s="235"/>
      <c r="R876" s="235"/>
      <c r="S876" s="235"/>
      <c r="T876" s="235"/>
      <c r="U876" s="235"/>
      <c r="V876" s="235"/>
      <c r="W876" s="235"/>
      <c r="X876" s="235"/>
      <c r="Y876" s="235"/>
      <c r="Z876" s="235"/>
    </row>
    <row r="877">
      <c r="A877" s="236"/>
      <c r="B877" s="236"/>
      <c r="C877" s="237"/>
      <c r="D877" s="237"/>
      <c r="E877" s="238"/>
      <c r="F877" s="238"/>
      <c r="G877" s="239"/>
      <c r="H877" s="239"/>
      <c r="I877" s="235"/>
      <c r="J877" s="235"/>
      <c r="K877" s="235"/>
      <c r="L877" s="235"/>
      <c r="M877" s="235"/>
      <c r="N877" s="235"/>
      <c r="O877" s="235"/>
      <c r="P877" s="235"/>
      <c r="Q877" s="235"/>
      <c r="R877" s="235"/>
      <c r="S877" s="235"/>
      <c r="T877" s="235"/>
      <c r="U877" s="235"/>
      <c r="V877" s="235"/>
      <c r="W877" s="235"/>
      <c r="X877" s="235"/>
      <c r="Y877" s="235"/>
      <c r="Z877" s="235"/>
    </row>
    <row r="878">
      <c r="A878" s="236"/>
      <c r="B878" s="236"/>
      <c r="C878" s="237"/>
      <c r="D878" s="237"/>
      <c r="E878" s="238"/>
      <c r="F878" s="238"/>
      <c r="G878" s="239"/>
      <c r="H878" s="239"/>
      <c r="I878" s="235"/>
      <c r="J878" s="235"/>
      <c r="K878" s="235"/>
      <c r="L878" s="235"/>
      <c r="M878" s="235"/>
      <c r="N878" s="235"/>
      <c r="O878" s="235"/>
      <c r="P878" s="235"/>
      <c r="Q878" s="235"/>
      <c r="R878" s="235"/>
      <c r="S878" s="235"/>
      <c r="T878" s="235"/>
      <c r="U878" s="235"/>
      <c r="V878" s="235"/>
      <c r="W878" s="235"/>
      <c r="X878" s="235"/>
      <c r="Y878" s="235"/>
      <c r="Z878" s="235"/>
    </row>
    <row r="879">
      <c r="A879" s="236"/>
      <c r="B879" s="236"/>
      <c r="C879" s="237"/>
      <c r="D879" s="237"/>
      <c r="E879" s="238"/>
      <c r="F879" s="238"/>
      <c r="G879" s="239"/>
      <c r="H879" s="239"/>
      <c r="I879" s="235"/>
      <c r="J879" s="235"/>
      <c r="K879" s="235"/>
      <c r="L879" s="235"/>
      <c r="M879" s="235"/>
      <c r="N879" s="235"/>
      <c r="O879" s="235"/>
      <c r="P879" s="235"/>
      <c r="Q879" s="235"/>
      <c r="R879" s="235"/>
      <c r="S879" s="235"/>
      <c r="T879" s="235"/>
      <c r="U879" s="235"/>
      <c r="V879" s="235"/>
      <c r="W879" s="235"/>
      <c r="X879" s="235"/>
      <c r="Y879" s="235"/>
      <c r="Z879" s="235"/>
    </row>
    <row r="880">
      <c r="A880" s="236"/>
      <c r="B880" s="236"/>
      <c r="C880" s="237"/>
      <c r="D880" s="237"/>
      <c r="E880" s="238"/>
      <c r="F880" s="238"/>
      <c r="G880" s="239"/>
      <c r="H880" s="239"/>
      <c r="I880" s="235"/>
      <c r="J880" s="235"/>
      <c r="K880" s="235"/>
      <c r="L880" s="235"/>
      <c r="M880" s="235"/>
      <c r="N880" s="235"/>
      <c r="O880" s="235"/>
      <c r="P880" s="235"/>
      <c r="Q880" s="235"/>
      <c r="R880" s="235"/>
      <c r="S880" s="235"/>
      <c r="T880" s="235"/>
      <c r="U880" s="235"/>
      <c r="V880" s="235"/>
      <c r="W880" s="235"/>
      <c r="X880" s="235"/>
      <c r="Y880" s="235"/>
      <c r="Z880" s="235"/>
    </row>
    <row r="881">
      <c r="A881" s="236"/>
      <c r="B881" s="236"/>
      <c r="C881" s="237"/>
      <c r="D881" s="237"/>
      <c r="E881" s="238"/>
      <c r="F881" s="238"/>
      <c r="G881" s="239"/>
      <c r="H881" s="239"/>
      <c r="I881" s="235"/>
      <c r="J881" s="235"/>
      <c r="K881" s="235"/>
      <c r="L881" s="235"/>
      <c r="M881" s="235"/>
      <c r="N881" s="235"/>
      <c r="O881" s="235"/>
      <c r="P881" s="235"/>
      <c r="Q881" s="235"/>
      <c r="R881" s="235"/>
      <c r="S881" s="235"/>
      <c r="T881" s="235"/>
      <c r="U881" s="235"/>
      <c r="V881" s="235"/>
      <c r="W881" s="235"/>
      <c r="X881" s="235"/>
      <c r="Y881" s="235"/>
      <c r="Z881" s="235"/>
    </row>
    <row r="882">
      <c r="A882" s="236"/>
      <c r="B882" s="236"/>
      <c r="C882" s="237"/>
      <c r="D882" s="237"/>
      <c r="E882" s="238"/>
      <c r="F882" s="238"/>
      <c r="G882" s="239"/>
      <c r="H882" s="239"/>
      <c r="I882" s="235"/>
      <c r="J882" s="235"/>
      <c r="K882" s="235"/>
      <c r="L882" s="235"/>
      <c r="M882" s="235"/>
      <c r="N882" s="235"/>
      <c r="O882" s="235"/>
      <c r="P882" s="235"/>
      <c r="Q882" s="235"/>
      <c r="R882" s="235"/>
      <c r="S882" s="235"/>
      <c r="T882" s="235"/>
      <c r="U882" s="235"/>
      <c r="V882" s="235"/>
      <c r="W882" s="235"/>
      <c r="X882" s="235"/>
      <c r="Y882" s="235"/>
      <c r="Z882" s="235"/>
    </row>
    <row r="883">
      <c r="A883" s="236"/>
      <c r="B883" s="236"/>
      <c r="C883" s="237"/>
      <c r="D883" s="237"/>
      <c r="E883" s="238"/>
      <c r="F883" s="238"/>
      <c r="G883" s="239"/>
      <c r="H883" s="239"/>
      <c r="I883" s="235"/>
      <c r="J883" s="235"/>
      <c r="K883" s="235"/>
      <c r="L883" s="235"/>
      <c r="M883" s="235"/>
      <c r="N883" s="235"/>
      <c r="O883" s="235"/>
      <c r="P883" s="235"/>
      <c r="Q883" s="235"/>
      <c r="R883" s="235"/>
      <c r="S883" s="235"/>
      <c r="T883" s="235"/>
      <c r="U883" s="235"/>
      <c r="V883" s="235"/>
      <c r="W883" s="235"/>
      <c r="X883" s="235"/>
      <c r="Y883" s="235"/>
      <c r="Z883" s="235"/>
    </row>
    <row r="884">
      <c r="A884" s="236"/>
      <c r="B884" s="236"/>
      <c r="C884" s="237"/>
      <c r="D884" s="237"/>
      <c r="E884" s="238"/>
      <c r="F884" s="238"/>
      <c r="G884" s="239"/>
      <c r="H884" s="239"/>
      <c r="I884" s="235"/>
      <c r="J884" s="235"/>
      <c r="K884" s="235"/>
      <c r="L884" s="235"/>
      <c r="M884" s="235"/>
      <c r="N884" s="235"/>
      <c r="O884" s="235"/>
      <c r="P884" s="235"/>
      <c r="Q884" s="235"/>
      <c r="R884" s="235"/>
      <c r="S884" s="235"/>
      <c r="T884" s="235"/>
      <c r="U884" s="235"/>
      <c r="V884" s="235"/>
      <c r="W884" s="235"/>
      <c r="X884" s="235"/>
      <c r="Y884" s="235"/>
      <c r="Z884" s="235"/>
    </row>
    <row r="885">
      <c r="A885" s="236"/>
      <c r="B885" s="236"/>
      <c r="C885" s="237"/>
      <c r="D885" s="237"/>
      <c r="E885" s="238"/>
      <c r="F885" s="238"/>
      <c r="G885" s="239"/>
      <c r="H885" s="239"/>
      <c r="I885" s="235"/>
      <c r="J885" s="235"/>
      <c r="K885" s="235"/>
      <c r="L885" s="235"/>
      <c r="M885" s="235"/>
      <c r="N885" s="235"/>
      <c r="O885" s="235"/>
      <c r="P885" s="235"/>
      <c r="Q885" s="235"/>
      <c r="R885" s="235"/>
      <c r="S885" s="235"/>
      <c r="T885" s="235"/>
      <c r="U885" s="235"/>
      <c r="V885" s="235"/>
      <c r="W885" s="235"/>
      <c r="X885" s="235"/>
      <c r="Y885" s="235"/>
      <c r="Z885" s="235"/>
    </row>
    <row r="886">
      <c r="A886" s="236"/>
      <c r="B886" s="236"/>
      <c r="C886" s="237"/>
      <c r="D886" s="237"/>
      <c r="E886" s="238"/>
      <c r="F886" s="238"/>
      <c r="G886" s="239"/>
      <c r="H886" s="239"/>
      <c r="I886" s="235"/>
      <c r="J886" s="235"/>
      <c r="K886" s="235"/>
      <c r="L886" s="235"/>
      <c r="M886" s="235"/>
      <c r="N886" s="235"/>
      <c r="O886" s="235"/>
      <c r="P886" s="235"/>
      <c r="Q886" s="235"/>
      <c r="R886" s="235"/>
      <c r="S886" s="235"/>
      <c r="T886" s="235"/>
      <c r="U886" s="235"/>
      <c r="V886" s="235"/>
      <c r="W886" s="235"/>
      <c r="X886" s="235"/>
      <c r="Y886" s="235"/>
      <c r="Z886" s="235"/>
    </row>
    <row r="887">
      <c r="A887" s="236"/>
      <c r="B887" s="236"/>
      <c r="C887" s="237"/>
      <c r="D887" s="237"/>
      <c r="E887" s="238"/>
      <c r="F887" s="238"/>
      <c r="G887" s="239"/>
      <c r="H887" s="239"/>
      <c r="I887" s="235"/>
      <c r="J887" s="235"/>
      <c r="K887" s="235"/>
      <c r="L887" s="235"/>
      <c r="M887" s="235"/>
      <c r="N887" s="235"/>
      <c r="O887" s="235"/>
      <c r="P887" s="235"/>
      <c r="Q887" s="235"/>
      <c r="R887" s="235"/>
      <c r="S887" s="235"/>
      <c r="T887" s="235"/>
      <c r="U887" s="235"/>
      <c r="V887" s="235"/>
      <c r="W887" s="235"/>
      <c r="X887" s="235"/>
      <c r="Y887" s="235"/>
      <c r="Z887" s="235"/>
    </row>
    <row r="888">
      <c r="A888" s="236"/>
      <c r="B888" s="236"/>
      <c r="C888" s="237"/>
      <c r="D888" s="237"/>
      <c r="E888" s="238"/>
      <c r="F888" s="238"/>
      <c r="G888" s="239"/>
      <c r="H888" s="239"/>
      <c r="I888" s="235"/>
      <c r="J888" s="235"/>
      <c r="K888" s="235"/>
      <c r="L888" s="235"/>
      <c r="M888" s="235"/>
      <c r="N888" s="235"/>
      <c r="O888" s="235"/>
      <c r="P888" s="235"/>
      <c r="Q888" s="235"/>
      <c r="R888" s="235"/>
      <c r="S888" s="235"/>
      <c r="T888" s="235"/>
      <c r="U888" s="235"/>
      <c r="V888" s="235"/>
      <c r="W888" s="235"/>
      <c r="X888" s="235"/>
      <c r="Y888" s="235"/>
      <c r="Z888" s="235"/>
    </row>
    <row r="889">
      <c r="A889" s="236"/>
      <c r="B889" s="236"/>
      <c r="C889" s="237"/>
      <c r="D889" s="237"/>
      <c r="E889" s="238"/>
      <c r="F889" s="238"/>
      <c r="G889" s="239"/>
      <c r="H889" s="239"/>
      <c r="I889" s="235"/>
      <c r="J889" s="235"/>
      <c r="K889" s="235"/>
      <c r="L889" s="235"/>
      <c r="M889" s="235"/>
      <c r="N889" s="235"/>
      <c r="O889" s="235"/>
      <c r="P889" s="235"/>
      <c r="Q889" s="235"/>
      <c r="R889" s="235"/>
      <c r="S889" s="235"/>
      <c r="T889" s="235"/>
      <c r="U889" s="235"/>
      <c r="V889" s="235"/>
      <c r="W889" s="235"/>
      <c r="X889" s="235"/>
      <c r="Y889" s="235"/>
      <c r="Z889" s="235"/>
    </row>
    <row r="890">
      <c r="A890" s="236"/>
      <c r="B890" s="236"/>
      <c r="C890" s="237"/>
      <c r="D890" s="237"/>
      <c r="E890" s="238"/>
      <c r="F890" s="238"/>
      <c r="G890" s="239"/>
      <c r="H890" s="239"/>
      <c r="I890" s="235"/>
      <c r="J890" s="235"/>
      <c r="K890" s="235"/>
      <c r="L890" s="235"/>
      <c r="M890" s="235"/>
      <c r="N890" s="235"/>
      <c r="O890" s="235"/>
      <c r="P890" s="235"/>
      <c r="Q890" s="235"/>
      <c r="R890" s="235"/>
      <c r="S890" s="235"/>
      <c r="T890" s="235"/>
      <c r="U890" s="235"/>
      <c r="V890" s="235"/>
      <c r="W890" s="235"/>
      <c r="X890" s="235"/>
      <c r="Y890" s="235"/>
      <c r="Z890" s="235"/>
    </row>
    <row r="891">
      <c r="A891" s="236"/>
      <c r="B891" s="236"/>
      <c r="C891" s="237"/>
      <c r="D891" s="237"/>
      <c r="E891" s="238"/>
      <c r="F891" s="238"/>
      <c r="G891" s="239"/>
      <c r="H891" s="239"/>
      <c r="I891" s="235"/>
      <c r="J891" s="235"/>
      <c r="K891" s="235"/>
      <c r="L891" s="235"/>
      <c r="M891" s="235"/>
      <c r="N891" s="235"/>
      <c r="O891" s="235"/>
      <c r="P891" s="235"/>
      <c r="Q891" s="235"/>
      <c r="R891" s="235"/>
      <c r="S891" s="235"/>
      <c r="T891" s="235"/>
      <c r="U891" s="235"/>
      <c r="V891" s="235"/>
      <c r="W891" s="235"/>
      <c r="X891" s="235"/>
      <c r="Y891" s="235"/>
      <c r="Z891" s="235"/>
    </row>
    <row r="892">
      <c r="A892" s="236"/>
      <c r="B892" s="236"/>
      <c r="C892" s="237"/>
      <c r="D892" s="237"/>
      <c r="E892" s="238"/>
      <c r="F892" s="238"/>
      <c r="G892" s="239"/>
      <c r="H892" s="239"/>
      <c r="I892" s="235"/>
      <c r="J892" s="235"/>
      <c r="K892" s="235"/>
      <c r="L892" s="235"/>
      <c r="M892" s="235"/>
      <c r="N892" s="235"/>
      <c r="O892" s="235"/>
      <c r="P892" s="235"/>
      <c r="Q892" s="235"/>
      <c r="R892" s="235"/>
      <c r="S892" s="235"/>
      <c r="T892" s="235"/>
      <c r="U892" s="235"/>
      <c r="V892" s="235"/>
      <c r="W892" s="235"/>
      <c r="X892" s="235"/>
      <c r="Y892" s="235"/>
      <c r="Z892" s="235"/>
    </row>
    <row r="893">
      <c r="A893" s="236"/>
      <c r="B893" s="236"/>
      <c r="C893" s="237"/>
      <c r="D893" s="237"/>
      <c r="E893" s="238"/>
      <c r="F893" s="238"/>
      <c r="G893" s="239"/>
      <c r="H893" s="239"/>
      <c r="I893" s="235"/>
      <c r="J893" s="235"/>
      <c r="K893" s="235"/>
      <c r="L893" s="235"/>
      <c r="M893" s="235"/>
      <c r="N893" s="235"/>
      <c r="O893" s="235"/>
      <c r="P893" s="235"/>
      <c r="Q893" s="235"/>
      <c r="R893" s="235"/>
      <c r="S893" s="235"/>
      <c r="T893" s="235"/>
      <c r="U893" s="235"/>
      <c r="V893" s="235"/>
      <c r="W893" s="235"/>
      <c r="X893" s="235"/>
      <c r="Y893" s="235"/>
      <c r="Z893" s="235"/>
    </row>
    <row r="894">
      <c r="A894" s="236"/>
      <c r="B894" s="236"/>
      <c r="C894" s="237"/>
      <c r="D894" s="237"/>
      <c r="E894" s="238"/>
      <c r="F894" s="238"/>
      <c r="G894" s="239"/>
      <c r="H894" s="239"/>
      <c r="I894" s="235"/>
      <c r="J894" s="235"/>
      <c r="K894" s="235"/>
      <c r="L894" s="235"/>
      <c r="M894" s="235"/>
      <c r="N894" s="235"/>
      <c r="O894" s="235"/>
      <c r="P894" s="235"/>
      <c r="Q894" s="235"/>
      <c r="R894" s="235"/>
      <c r="S894" s="235"/>
      <c r="T894" s="235"/>
      <c r="U894" s="235"/>
      <c r="V894" s="235"/>
      <c r="W894" s="235"/>
      <c r="X894" s="235"/>
      <c r="Y894" s="235"/>
      <c r="Z894" s="235"/>
    </row>
    <row r="895">
      <c r="A895" s="236"/>
      <c r="B895" s="236"/>
      <c r="C895" s="237"/>
      <c r="D895" s="237"/>
      <c r="E895" s="238"/>
      <c r="F895" s="238"/>
      <c r="G895" s="239"/>
      <c r="H895" s="239"/>
      <c r="I895" s="235"/>
      <c r="J895" s="235"/>
      <c r="K895" s="235"/>
      <c r="L895" s="235"/>
      <c r="M895" s="235"/>
      <c r="N895" s="235"/>
      <c r="O895" s="235"/>
      <c r="P895" s="235"/>
      <c r="Q895" s="235"/>
      <c r="R895" s="235"/>
      <c r="S895" s="235"/>
      <c r="T895" s="235"/>
      <c r="U895" s="235"/>
      <c r="V895" s="235"/>
      <c r="W895" s="235"/>
      <c r="X895" s="235"/>
      <c r="Y895" s="235"/>
      <c r="Z895" s="235"/>
    </row>
    <row r="896">
      <c r="A896" s="236"/>
      <c r="B896" s="236"/>
      <c r="C896" s="237"/>
      <c r="D896" s="237"/>
      <c r="E896" s="238"/>
      <c r="F896" s="238"/>
      <c r="G896" s="239"/>
      <c r="H896" s="239"/>
      <c r="I896" s="235"/>
      <c r="J896" s="235"/>
      <c r="K896" s="235"/>
      <c r="L896" s="235"/>
      <c r="M896" s="235"/>
      <c r="N896" s="235"/>
      <c r="O896" s="235"/>
      <c r="P896" s="235"/>
      <c r="Q896" s="235"/>
      <c r="R896" s="235"/>
      <c r="S896" s="235"/>
      <c r="T896" s="235"/>
      <c r="U896" s="235"/>
      <c r="V896" s="235"/>
      <c r="W896" s="235"/>
      <c r="X896" s="235"/>
      <c r="Y896" s="235"/>
      <c r="Z896" s="235"/>
    </row>
    <row r="897">
      <c r="A897" s="236"/>
      <c r="B897" s="236"/>
      <c r="C897" s="237"/>
      <c r="D897" s="237"/>
      <c r="E897" s="238"/>
      <c r="F897" s="238"/>
      <c r="G897" s="239"/>
      <c r="H897" s="239"/>
      <c r="I897" s="235"/>
      <c r="J897" s="235"/>
      <c r="K897" s="235"/>
      <c r="L897" s="235"/>
      <c r="M897" s="235"/>
      <c r="N897" s="235"/>
      <c r="O897" s="235"/>
      <c r="P897" s="235"/>
      <c r="Q897" s="235"/>
      <c r="R897" s="235"/>
      <c r="S897" s="235"/>
      <c r="T897" s="235"/>
      <c r="U897" s="235"/>
      <c r="V897" s="235"/>
      <c r="W897" s="235"/>
      <c r="X897" s="235"/>
      <c r="Y897" s="235"/>
      <c r="Z897" s="235"/>
    </row>
    <row r="898">
      <c r="A898" s="236"/>
      <c r="B898" s="236"/>
      <c r="C898" s="237"/>
      <c r="D898" s="237"/>
      <c r="E898" s="238"/>
      <c r="F898" s="238"/>
      <c r="G898" s="239"/>
      <c r="H898" s="239"/>
      <c r="I898" s="235"/>
      <c r="J898" s="235"/>
      <c r="K898" s="235"/>
      <c r="L898" s="235"/>
      <c r="M898" s="235"/>
      <c r="N898" s="235"/>
      <c r="O898" s="235"/>
      <c r="P898" s="235"/>
      <c r="Q898" s="235"/>
      <c r="R898" s="235"/>
      <c r="S898" s="235"/>
      <c r="T898" s="235"/>
      <c r="U898" s="235"/>
      <c r="V898" s="235"/>
      <c r="W898" s="235"/>
      <c r="X898" s="235"/>
      <c r="Y898" s="235"/>
      <c r="Z898" s="235"/>
    </row>
    <row r="899">
      <c r="A899" s="236"/>
      <c r="B899" s="236"/>
      <c r="C899" s="237"/>
      <c r="D899" s="237"/>
      <c r="E899" s="238"/>
      <c r="F899" s="238"/>
      <c r="G899" s="239"/>
      <c r="H899" s="239"/>
      <c r="I899" s="235"/>
      <c r="J899" s="235"/>
      <c r="K899" s="235"/>
      <c r="L899" s="235"/>
      <c r="M899" s="235"/>
      <c r="N899" s="235"/>
      <c r="O899" s="235"/>
      <c r="P899" s="235"/>
      <c r="Q899" s="235"/>
      <c r="R899" s="235"/>
      <c r="S899" s="235"/>
      <c r="T899" s="235"/>
      <c r="U899" s="235"/>
      <c r="V899" s="235"/>
      <c r="W899" s="235"/>
      <c r="X899" s="235"/>
      <c r="Y899" s="235"/>
      <c r="Z899" s="235"/>
    </row>
    <row r="900">
      <c r="A900" s="236"/>
      <c r="B900" s="236"/>
      <c r="C900" s="237"/>
      <c r="D900" s="237"/>
      <c r="E900" s="238"/>
      <c r="F900" s="238"/>
      <c r="G900" s="239"/>
      <c r="H900" s="239"/>
      <c r="I900" s="235"/>
      <c r="J900" s="235"/>
      <c r="K900" s="235"/>
      <c r="L900" s="235"/>
      <c r="M900" s="235"/>
      <c r="N900" s="235"/>
      <c r="O900" s="235"/>
      <c r="P900" s="235"/>
      <c r="Q900" s="235"/>
      <c r="R900" s="235"/>
      <c r="S900" s="235"/>
      <c r="T900" s="235"/>
      <c r="U900" s="235"/>
      <c r="V900" s="235"/>
      <c r="W900" s="235"/>
      <c r="X900" s="235"/>
      <c r="Y900" s="235"/>
      <c r="Z900" s="235"/>
    </row>
    <row r="901">
      <c r="A901" s="236"/>
      <c r="B901" s="236"/>
      <c r="C901" s="237"/>
      <c r="D901" s="237"/>
      <c r="E901" s="238"/>
      <c r="F901" s="238"/>
      <c r="G901" s="239"/>
      <c r="H901" s="239"/>
      <c r="I901" s="235"/>
      <c r="J901" s="235"/>
      <c r="K901" s="235"/>
      <c r="L901" s="235"/>
      <c r="M901" s="235"/>
      <c r="N901" s="235"/>
      <c r="O901" s="235"/>
      <c r="P901" s="235"/>
      <c r="Q901" s="235"/>
      <c r="R901" s="235"/>
      <c r="S901" s="235"/>
      <c r="T901" s="235"/>
      <c r="U901" s="235"/>
      <c r="V901" s="235"/>
      <c r="W901" s="235"/>
      <c r="X901" s="235"/>
      <c r="Y901" s="235"/>
      <c r="Z901" s="235"/>
    </row>
    <row r="902">
      <c r="A902" s="236"/>
      <c r="B902" s="236"/>
      <c r="C902" s="237"/>
      <c r="D902" s="237"/>
      <c r="E902" s="238"/>
      <c r="F902" s="238"/>
      <c r="G902" s="239"/>
      <c r="H902" s="239"/>
      <c r="I902" s="235"/>
      <c r="J902" s="235"/>
      <c r="K902" s="235"/>
      <c r="L902" s="235"/>
      <c r="M902" s="235"/>
      <c r="N902" s="235"/>
      <c r="O902" s="235"/>
      <c r="P902" s="235"/>
      <c r="Q902" s="235"/>
      <c r="R902" s="235"/>
      <c r="S902" s="235"/>
      <c r="T902" s="235"/>
      <c r="U902" s="235"/>
      <c r="V902" s="235"/>
      <c r="W902" s="235"/>
      <c r="X902" s="235"/>
      <c r="Y902" s="235"/>
      <c r="Z902" s="235"/>
    </row>
    <row r="903">
      <c r="A903" s="236"/>
      <c r="B903" s="236"/>
      <c r="C903" s="237"/>
      <c r="D903" s="237"/>
      <c r="E903" s="238"/>
      <c r="F903" s="238"/>
      <c r="G903" s="239"/>
      <c r="H903" s="239"/>
      <c r="I903" s="235"/>
      <c r="J903" s="235"/>
      <c r="K903" s="235"/>
      <c r="L903" s="235"/>
      <c r="M903" s="235"/>
      <c r="N903" s="235"/>
      <c r="O903" s="235"/>
      <c r="P903" s="235"/>
      <c r="Q903" s="235"/>
      <c r="R903" s="235"/>
      <c r="S903" s="235"/>
      <c r="T903" s="235"/>
      <c r="U903" s="235"/>
      <c r="V903" s="235"/>
      <c r="W903" s="235"/>
      <c r="X903" s="235"/>
      <c r="Y903" s="235"/>
      <c r="Z903" s="235"/>
    </row>
    <row r="904">
      <c r="A904" s="236"/>
      <c r="B904" s="236"/>
      <c r="C904" s="237"/>
      <c r="D904" s="237"/>
      <c r="E904" s="238"/>
      <c r="F904" s="238"/>
      <c r="G904" s="239"/>
      <c r="H904" s="239"/>
      <c r="I904" s="235"/>
      <c r="J904" s="235"/>
      <c r="K904" s="235"/>
      <c r="L904" s="235"/>
      <c r="M904" s="235"/>
      <c r="N904" s="235"/>
      <c r="O904" s="235"/>
      <c r="P904" s="235"/>
      <c r="Q904" s="235"/>
      <c r="R904" s="235"/>
      <c r="S904" s="235"/>
      <c r="T904" s="235"/>
      <c r="U904" s="235"/>
      <c r="V904" s="235"/>
      <c r="W904" s="235"/>
      <c r="X904" s="235"/>
      <c r="Y904" s="235"/>
      <c r="Z904" s="235"/>
    </row>
    <row r="905">
      <c r="A905" s="236"/>
      <c r="B905" s="236"/>
      <c r="C905" s="237"/>
      <c r="D905" s="237"/>
      <c r="E905" s="238"/>
      <c r="F905" s="238"/>
      <c r="G905" s="239"/>
      <c r="H905" s="239"/>
      <c r="I905" s="235"/>
      <c r="J905" s="235"/>
      <c r="K905" s="235"/>
      <c r="L905" s="235"/>
      <c r="M905" s="235"/>
      <c r="N905" s="235"/>
      <c r="O905" s="235"/>
      <c r="P905" s="235"/>
      <c r="Q905" s="235"/>
      <c r="R905" s="235"/>
      <c r="S905" s="235"/>
      <c r="T905" s="235"/>
      <c r="U905" s="235"/>
      <c r="V905" s="235"/>
      <c r="W905" s="235"/>
      <c r="X905" s="235"/>
      <c r="Y905" s="235"/>
      <c r="Z905" s="235"/>
    </row>
    <row r="906">
      <c r="A906" s="236"/>
      <c r="B906" s="236"/>
      <c r="C906" s="237"/>
      <c r="D906" s="237"/>
      <c r="E906" s="238"/>
      <c r="F906" s="238"/>
      <c r="G906" s="239"/>
      <c r="H906" s="239"/>
      <c r="I906" s="235"/>
      <c r="J906" s="235"/>
      <c r="K906" s="235"/>
      <c r="L906" s="235"/>
      <c r="M906" s="235"/>
      <c r="N906" s="235"/>
      <c r="O906" s="235"/>
      <c r="P906" s="235"/>
      <c r="Q906" s="235"/>
      <c r="R906" s="235"/>
      <c r="S906" s="235"/>
      <c r="T906" s="235"/>
      <c r="U906" s="235"/>
      <c r="V906" s="235"/>
      <c r="W906" s="235"/>
      <c r="X906" s="235"/>
      <c r="Y906" s="235"/>
      <c r="Z906" s="235"/>
    </row>
    <row r="907">
      <c r="A907" s="236"/>
      <c r="B907" s="236"/>
      <c r="C907" s="237"/>
      <c r="D907" s="237"/>
      <c r="E907" s="238"/>
      <c r="F907" s="238"/>
      <c r="G907" s="239"/>
      <c r="H907" s="239"/>
      <c r="I907" s="235"/>
      <c r="J907" s="235"/>
      <c r="K907" s="235"/>
      <c r="L907" s="235"/>
      <c r="M907" s="235"/>
      <c r="N907" s="235"/>
      <c r="O907" s="235"/>
      <c r="P907" s="235"/>
      <c r="Q907" s="235"/>
      <c r="R907" s="235"/>
      <c r="S907" s="235"/>
      <c r="T907" s="235"/>
      <c r="U907" s="235"/>
      <c r="V907" s="235"/>
      <c r="W907" s="235"/>
      <c r="X907" s="235"/>
      <c r="Y907" s="235"/>
      <c r="Z907" s="235"/>
    </row>
    <row r="908">
      <c r="A908" s="236"/>
      <c r="B908" s="236"/>
      <c r="C908" s="237"/>
      <c r="D908" s="237"/>
      <c r="E908" s="238"/>
      <c r="F908" s="238"/>
      <c r="G908" s="239"/>
      <c r="H908" s="239"/>
      <c r="I908" s="235"/>
      <c r="J908" s="235"/>
      <c r="K908" s="235"/>
      <c r="L908" s="235"/>
      <c r="M908" s="235"/>
      <c r="N908" s="235"/>
      <c r="O908" s="235"/>
      <c r="P908" s="235"/>
      <c r="Q908" s="235"/>
      <c r="R908" s="235"/>
      <c r="S908" s="235"/>
      <c r="T908" s="235"/>
      <c r="U908" s="235"/>
      <c r="V908" s="235"/>
      <c r="W908" s="235"/>
      <c r="X908" s="235"/>
      <c r="Y908" s="235"/>
      <c r="Z908" s="235"/>
    </row>
    <row r="909">
      <c r="A909" s="236"/>
      <c r="B909" s="236"/>
      <c r="C909" s="237"/>
      <c r="D909" s="237"/>
      <c r="E909" s="238"/>
      <c r="F909" s="238"/>
      <c r="G909" s="239"/>
      <c r="H909" s="239"/>
      <c r="I909" s="235"/>
      <c r="J909" s="235"/>
      <c r="K909" s="235"/>
      <c r="L909" s="235"/>
      <c r="M909" s="235"/>
      <c r="N909" s="235"/>
      <c r="O909" s="235"/>
      <c r="P909" s="235"/>
      <c r="Q909" s="235"/>
      <c r="R909" s="235"/>
      <c r="S909" s="235"/>
      <c r="T909" s="235"/>
      <c r="U909" s="235"/>
      <c r="V909" s="235"/>
      <c r="W909" s="235"/>
      <c r="X909" s="235"/>
      <c r="Y909" s="235"/>
      <c r="Z909" s="235"/>
    </row>
    <row r="910">
      <c r="A910" s="236"/>
      <c r="B910" s="236"/>
      <c r="C910" s="237"/>
      <c r="D910" s="237"/>
      <c r="E910" s="238"/>
      <c r="F910" s="238"/>
      <c r="G910" s="239"/>
      <c r="H910" s="239"/>
      <c r="I910" s="235"/>
      <c r="J910" s="235"/>
      <c r="K910" s="235"/>
      <c r="L910" s="235"/>
      <c r="M910" s="235"/>
      <c r="N910" s="235"/>
      <c r="O910" s="235"/>
      <c r="P910" s="235"/>
      <c r="Q910" s="235"/>
      <c r="R910" s="235"/>
      <c r="S910" s="235"/>
      <c r="T910" s="235"/>
      <c r="U910" s="235"/>
      <c r="V910" s="235"/>
      <c r="W910" s="235"/>
      <c r="X910" s="235"/>
      <c r="Y910" s="235"/>
      <c r="Z910" s="235"/>
    </row>
    <row r="911">
      <c r="A911" s="236"/>
      <c r="B911" s="236"/>
      <c r="C911" s="237"/>
      <c r="D911" s="237"/>
      <c r="E911" s="238"/>
      <c r="F911" s="238"/>
      <c r="G911" s="239"/>
      <c r="H911" s="239"/>
      <c r="I911" s="235"/>
      <c r="J911" s="235"/>
      <c r="K911" s="235"/>
      <c r="L911" s="235"/>
      <c r="M911" s="235"/>
      <c r="N911" s="235"/>
      <c r="O911" s="235"/>
      <c r="P911" s="235"/>
      <c r="Q911" s="235"/>
      <c r="R911" s="235"/>
      <c r="S911" s="235"/>
      <c r="T911" s="235"/>
      <c r="U911" s="235"/>
      <c r="V911" s="235"/>
      <c r="W911" s="235"/>
      <c r="X911" s="235"/>
      <c r="Y911" s="235"/>
      <c r="Z911" s="235"/>
    </row>
    <row r="912">
      <c r="A912" s="236"/>
      <c r="B912" s="236"/>
      <c r="C912" s="237"/>
      <c r="D912" s="237"/>
      <c r="E912" s="238"/>
      <c r="F912" s="238"/>
      <c r="G912" s="239"/>
      <c r="H912" s="239"/>
      <c r="I912" s="235"/>
      <c r="J912" s="235"/>
      <c r="K912" s="235"/>
      <c r="L912" s="235"/>
      <c r="M912" s="235"/>
      <c r="N912" s="235"/>
      <c r="O912" s="235"/>
      <c r="P912" s="235"/>
      <c r="Q912" s="235"/>
      <c r="R912" s="235"/>
      <c r="S912" s="235"/>
      <c r="T912" s="235"/>
      <c r="U912" s="235"/>
      <c r="V912" s="235"/>
      <c r="W912" s="235"/>
      <c r="X912" s="235"/>
      <c r="Y912" s="235"/>
      <c r="Z912" s="235"/>
    </row>
    <row r="913">
      <c r="A913" s="236"/>
      <c r="B913" s="236"/>
      <c r="C913" s="237"/>
      <c r="D913" s="237"/>
      <c r="E913" s="238"/>
      <c r="F913" s="238"/>
      <c r="G913" s="239"/>
      <c r="H913" s="239"/>
      <c r="I913" s="235"/>
      <c r="J913" s="235"/>
      <c r="K913" s="235"/>
      <c r="L913" s="235"/>
      <c r="M913" s="235"/>
      <c r="N913" s="235"/>
      <c r="O913" s="235"/>
      <c r="P913" s="235"/>
      <c r="Q913" s="235"/>
      <c r="R913" s="235"/>
      <c r="S913" s="235"/>
      <c r="T913" s="235"/>
      <c r="U913" s="235"/>
      <c r="V913" s="235"/>
      <c r="W913" s="235"/>
      <c r="X913" s="235"/>
      <c r="Y913" s="235"/>
      <c r="Z913" s="235"/>
    </row>
    <row r="914">
      <c r="A914" s="236"/>
      <c r="B914" s="236"/>
      <c r="C914" s="237"/>
      <c r="D914" s="237"/>
      <c r="E914" s="238"/>
      <c r="F914" s="238"/>
      <c r="G914" s="239"/>
      <c r="H914" s="239"/>
      <c r="I914" s="235"/>
      <c r="J914" s="235"/>
      <c r="K914" s="235"/>
      <c r="L914" s="235"/>
      <c r="M914" s="235"/>
      <c r="N914" s="235"/>
      <c r="O914" s="235"/>
      <c r="P914" s="235"/>
      <c r="Q914" s="235"/>
      <c r="R914" s="235"/>
      <c r="S914" s="235"/>
      <c r="T914" s="235"/>
      <c r="U914" s="235"/>
      <c r="V914" s="235"/>
      <c r="W914" s="235"/>
      <c r="X914" s="235"/>
      <c r="Y914" s="235"/>
      <c r="Z914" s="235"/>
    </row>
    <row r="915">
      <c r="A915" s="236"/>
      <c r="B915" s="236"/>
      <c r="C915" s="237"/>
      <c r="D915" s="237"/>
      <c r="E915" s="238"/>
      <c r="F915" s="238"/>
      <c r="G915" s="239"/>
      <c r="H915" s="239"/>
      <c r="I915" s="235"/>
      <c r="J915" s="235"/>
      <c r="K915" s="235"/>
      <c r="L915" s="235"/>
      <c r="M915" s="235"/>
      <c r="N915" s="235"/>
      <c r="O915" s="235"/>
      <c r="P915" s="235"/>
      <c r="Q915" s="235"/>
      <c r="R915" s="235"/>
      <c r="S915" s="235"/>
      <c r="T915" s="235"/>
      <c r="U915" s="235"/>
      <c r="V915" s="235"/>
      <c r="W915" s="235"/>
      <c r="X915" s="235"/>
      <c r="Y915" s="235"/>
      <c r="Z915" s="235"/>
    </row>
    <row r="916">
      <c r="A916" s="236"/>
      <c r="B916" s="236"/>
      <c r="C916" s="237"/>
      <c r="D916" s="237"/>
      <c r="E916" s="238"/>
      <c r="F916" s="238"/>
      <c r="G916" s="239"/>
      <c r="H916" s="239"/>
      <c r="I916" s="235"/>
      <c r="J916" s="235"/>
      <c r="K916" s="235"/>
      <c r="L916" s="235"/>
      <c r="M916" s="235"/>
      <c r="N916" s="235"/>
      <c r="O916" s="235"/>
      <c r="P916" s="235"/>
      <c r="Q916" s="235"/>
      <c r="R916" s="235"/>
      <c r="S916" s="235"/>
      <c r="T916" s="235"/>
      <c r="U916" s="235"/>
      <c r="V916" s="235"/>
      <c r="W916" s="235"/>
      <c r="X916" s="235"/>
      <c r="Y916" s="235"/>
      <c r="Z916" s="235"/>
    </row>
    <row r="917">
      <c r="A917" s="236"/>
      <c r="B917" s="236"/>
      <c r="C917" s="237"/>
      <c r="D917" s="237"/>
      <c r="E917" s="238"/>
      <c r="F917" s="238"/>
      <c r="G917" s="239"/>
      <c r="H917" s="239"/>
      <c r="I917" s="235"/>
      <c r="J917" s="235"/>
      <c r="K917" s="235"/>
      <c r="L917" s="235"/>
      <c r="M917" s="235"/>
      <c r="N917" s="235"/>
      <c r="O917" s="235"/>
      <c r="P917" s="235"/>
      <c r="Q917" s="235"/>
      <c r="R917" s="235"/>
      <c r="S917" s="235"/>
      <c r="T917" s="235"/>
      <c r="U917" s="235"/>
      <c r="V917" s="235"/>
      <c r="W917" s="235"/>
      <c r="X917" s="235"/>
      <c r="Y917" s="235"/>
      <c r="Z917" s="235"/>
    </row>
    <row r="918">
      <c r="A918" s="236"/>
      <c r="B918" s="236"/>
      <c r="C918" s="237"/>
      <c r="D918" s="237"/>
      <c r="E918" s="238"/>
      <c r="F918" s="238"/>
      <c r="G918" s="239"/>
      <c r="H918" s="239"/>
      <c r="I918" s="235"/>
      <c r="J918" s="235"/>
      <c r="K918" s="235"/>
      <c r="L918" s="235"/>
      <c r="M918" s="235"/>
      <c r="N918" s="235"/>
      <c r="O918" s="235"/>
      <c r="P918" s="235"/>
      <c r="Q918" s="235"/>
      <c r="R918" s="235"/>
      <c r="S918" s="235"/>
      <c r="T918" s="235"/>
      <c r="U918" s="235"/>
      <c r="V918" s="235"/>
      <c r="W918" s="235"/>
      <c r="X918" s="235"/>
      <c r="Y918" s="235"/>
      <c r="Z918" s="235"/>
    </row>
    <row r="919">
      <c r="A919" s="236"/>
      <c r="B919" s="236"/>
      <c r="C919" s="237"/>
      <c r="D919" s="237"/>
      <c r="E919" s="238"/>
      <c r="F919" s="238"/>
      <c r="G919" s="239"/>
      <c r="H919" s="239"/>
      <c r="I919" s="235"/>
      <c r="J919" s="235"/>
      <c r="K919" s="235"/>
      <c r="L919" s="235"/>
      <c r="M919" s="235"/>
      <c r="N919" s="235"/>
      <c r="O919" s="235"/>
      <c r="P919" s="235"/>
      <c r="Q919" s="235"/>
      <c r="R919" s="235"/>
      <c r="S919" s="235"/>
      <c r="T919" s="235"/>
      <c r="U919" s="235"/>
      <c r="V919" s="235"/>
      <c r="W919" s="235"/>
      <c r="X919" s="235"/>
      <c r="Y919" s="235"/>
      <c r="Z919" s="235"/>
    </row>
    <row r="920">
      <c r="A920" s="236"/>
      <c r="B920" s="236"/>
      <c r="C920" s="237"/>
      <c r="D920" s="237"/>
      <c r="E920" s="238"/>
      <c r="F920" s="238"/>
      <c r="G920" s="239"/>
      <c r="H920" s="239"/>
      <c r="I920" s="235"/>
      <c r="J920" s="235"/>
      <c r="K920" s="235"/>
      <c r="L920" s="235"/>
      <c r="M920" s="235"/>
      <c r="N920" s="235"/>
      <c r="O920" s="235"/>
      <c r="P920" s="235"/>
      <c r="Q920" s="235"/>
      <c r="R920" s="235"/>
      <c r="S920" s="235"/>
      <c r="T920" s="235"/>
      <c r="U920" s="235"/>
      <c r="V920" s="235"/>
      <c r="W920" s="235"/>
      <c r="X920" s="235"/>
      <c r="Y920" s="235"/>
      <c r="Z920" s="235"/>
    </row>
    <row r="921">
      <c r="A921" s="236"/>
      <c r="B921" s="236"/>
      <c r="C921" s="237"/>
      <c r="D921" s="237"/>
      <c r="E921" s="238"/>
      <c r="F921" s="238"/>
      <c r="G921" s="239"/>
      <c r="H921" s="239"/>
      <c r="I921" s="235"/>
      <c r="J921" s="235"/>
      <c r="K921" s="235"/>
      <c r="L921" s="235"/>
      <c r="M921" s="235"/>
      <c r="N921" s="235"/>
      <c r="O921" s="235"/>
      <c r="P921" s="235"/>
      <c r="Q921" s="235"/>
      <c r="R921" s="235"/>
      <c r="S921" s="235"/>
      <c r="T921" s="235"/>
      <c r="U921" s="235"/>
      <c r="V921" s="235"/>
      <c r="W921" s="235"/>
      <c r="X921" s="235"/>
      <c r="Y921" s="235"/>
      <c r="Z921" s="235"/>
    </row>
    <row r="922">
      <c r="A922" s="236"/>
      <c r="B922" s="236"/>
      <c r="C922" s="237"/>
      <c r="D922" s="237"/>
      <c r="E922" s="238"/>
      <c r="F922" s="238"/>
      <c r="G922" s="239"/>
      <c r="H922" s="239"/>
      <c r="I922" s="235"/>
      <c r="J922" s="235"/>
      <c r="K922" s="235"/>
      <c r="L922" s="235"/>
      <c r="M922" s="235"/>
      <c r="N922" s="235"/>
      <c r="O922" s="235"/>
      <c r="P922" s="235"/>
      <c r="Q922" s="235"/>
      <c r="R922" s="235"/>
      <c r="S922" s="235"/>
      <c r="T922" s="235"/>
      <c r="U922" s="235"/>
      <c r="V922" s="235"/>
      <c r="W922" s="235"/>
      <c r="X922" s="235"/>
      <c r="Y922" s="235"/>
      <c r="Z922" s="235"/>
    </row>
    <row r="923">
      <c r="A923" s="236"/>
      <c r="B923" s="236"/>
      <c r="C923" s="237"/>
      <c r="D923" s="237"/>
      <c r="E923" s="238"/>
      <c r="F923" s="238"/>
      <c r="G923" s="239"/>
      <c r="H923" s="239"/>
      <c r="I923" s="235"/>
      <c r="J923" s="235"/>
      <c r="K923" s="235"/>
      <c r="L923" s="235"/>
      <c r="M923" s="235"/>
      <c r="N923" s="235"/>
      <c r="O923" s="235"/>
      <c r="P923" s="235"/>
      <c r="Q923" s="235"/>
      <c r="R923" s="235"/>
      <c r="S923" s="235"/>
      <c r="T923" s="235"/>
      <c r="U923" s="235"/>
      <c r="V923" s="235"/>
      <c r="W923" s="235"/>
      <c r="X923" s="235"/>
      <c r="Y923" s="235"/>
      <c r="Z923" s="235"/>
    </row>
    <row r="924">
      <c r="A924" s="236"/>
      <c r="B924" s="236"/>
      <c r="C924" s="237"/>
      <c r="D924" s="237"/>
      <c r="E924" s="238"/>
      <c r="F924" s="238"/>
      <c r="G924" s="239"/>
      <c r="H924" s="239"/>
      <c r="I924" s="235"/>
      <c r="J924" s="235"/>
      <c r="K924" s="235"/>
      <c r="L924" s="235"/>
      <c r="M924" s="235"/>
      <c r="N924" s="235"/>
      <c r="O924" s="235"/>
      <c r="P924" s="235"/>
      <c r="Q924" s="235"/>
      <c r="R924" s="235"/>
      <c r="S924" s="235"/>
      <c r="T924" s="235"/>
      <c r="U924" s="235"/>
      <c r="V924" s="235"/>
      <c r="W924" s="235"/>
      <c r="X924" s="235"/>
      <c r="Y924" s="235"/>
      <c r="Z924" s="235"/>
    </row>
    <row r="925">
      <c r="A925" s="236"/>
      <c r="B925" s="236"/>
      <c r="C925" s="237"/>
      <c r="D925" s="237"/>
      <c r="E925" s="238"/>
      <c r="F925" s="238"/>
      <c r="G925" s="239"/>
      <c r="H925" s="239"/>
      <c r="I925" s="235"/>
      <c r="J925" s="235"/>
      <c r="K925" s="235"/>
      <c r="L925" s="235"/>
      <c r="M925" s="235"/>
      <c r="N925" s="235"/>
      <c r="O925" s="235"/>
      <c r="P925" s="235"/>
      <c r="Q925" s="235"/>
      <c r="R925" s="235"/>
      <c r="S925" s="235"/>
      <c r="T925" s="235"/>
      <c r="U925" s="235"/>
      <c r="V925" s="235"/>
      <c r="W925" s="235"/>
      <c r="X925" s="235"/>
      <c r="Y925" s="235"/>
      <c r="Z925" s="235"/>
    </row>
    <row r="926">
      <c r="A926" s="236"/>
      <c r="B926" s="236"/>
      <c r="C926" s="237"/>
      <c r="D926" s="237"/>
      <c r="E926" s="238"/>
      <c r="F926" s="238"/>
      <c r="G926" s="239"/>
      <c r="H926" s="239"/>
      <c r="I926" s="235"/>
      <c r="J926" s="235"/>
      <c r="K926" s="235"/>
      <c r="L926" s="235"/>
      <c r="M926" s="235"/>
      <c r="N926" s="235"/>
      <c r="O926" s="235"/>
      <c r="P926" s="235"/>
      <c r="Q926" s="235"/>
      <c r="R926" s="235"/>
      <c r="S926" s="235"/>
      <c r="T926" s="235"/>
      <c r="U926" s="235"/>
      <c r="V926" s="235"/>
      <c r="W926" s="235"/>
      <c r="X926" s="235"/>
      <c r="Y926" s="235"/>
      <c r="Z926" s="235"/>
    </row>
    <row r="927">
      <c r="A927" s="236"/>
      <c r="B927" s="236"/>
      <c r="C927" s="237"/>
      <c r="D927" s="237"/>
      <c r="E927" s="238"/>
      <c r="F927" s="238"/>
      <c r="G927" s="239"/>
      <c r="H927" s="239"/>
      <c r="I927" s="235"/>
      <c r="J927" s="235"/>
      <c r="K927" s="235"/>
      <c r="L927" s="235"/>
      <c r="M927" s="235"/>
      <c r="N927" s="235"/>
      <c r="O927" s="235"/>
      <c r="P927" s="235"/>
      <c r="Q927" s="235"/>
      <c r="R927" s="235"/>
      <c r="S927" s="235"/>
      <c r="T927" s="235"/>
      <c r="U927" s="235"/>
      <c r="V927" s="235"/>
      <c r="W927" s="235"/>
      <c r="X927" s="235"/>
      <c r="Y927" s="235"/>
      <c r="Z927" s="235"/>
    </row>
    <row r="928">
      <c r="A928" s="236"/>
      <c r="B928" s="236"/>
      <c r="C928" s="237"/>
      <c r="D928" s="237"/>
      <c r="E928" s="238"/>
      <c r="F928" s="238"/>
      <c r="G928" s="239"/>
      <c r="H928" s="239"/>
      <c r="I928" s="235"/>
      <c r="J928" s="235"/>
      <c r="K928" s="235"/>
      <c r="L928" s="235"/>
      <c r="M928" s="235"/>
      <c r="N928" s="235"/>
      <c r="O928" s="235"/>
      <c r="P928" s="235"/>
      <c r="Q928" s="235"/>
      <c r="R928" s="235"/>
      <c r="S928" s="235"/>
      <c r="T928" s="235"/>
      <c r="U928" s="235"/>
      <c r="V928" s="235"/>
      <c r="W928" s="235"/>
      <c r="X928" s="235"/>
      <c r="Y928" s="235"/>
      <c r="Z928" s="235"/>
    </row>
    <row r="929">
      <c r="A929" s="236"/>
      <c r="B929" s="236"/>
      <c r="C929" s="237"/>
      <c r="D929" s="237"/>
      <c r="E929" s="238"/>
      <c r="F929" s="238"/>
      <c r="G929" s="239"/>
      <c r="H929" s="239"/>
      <c r="I929" s="235"/>
      <c r="J929" s="235"/>
      <c r="K929" s="235"/>
      <c r="L929" s="235"/>
      <c r="M929" s="235"/>
      <c r="N929" s="235"/>
      <c r="O929" s="235"/>
      <c r="P929" s="235"/>
      <c r="Q929" s="235"/>
      <c r="R929" s="235"/>
      <c r="S929" s="235"/>
      <c r="T929" s="235"/>
      <c r="U929" s="235"/>
      <c r="V929" s="235"/>
      <c r="W929" s="235"/>
      <c r="X929" s="235"/>
      <c r="Y929" s="235"/>
      <c r="Z929" s="235"/>
    </row>
    <row r="930">
      <c r="A930" s="236"/>
      <c r="B930" s="236"/>
      <c r="C930" s="237"/>
      <c r="D930" s="237"/>
      <c r="E930" s="238"/>
      <c r="F930" s="238"/>
      <c r="G930" s="239"/>
      <c r="H930" s="239"/>
      <c r="I930" s="235"/>
      <c r="J930" s="235"/>
      <c r="K930" s="235"/>
      <c r="L930" s="235"/>
      <c r="M930" s="235"/>
      <c r="N930" s="235"/>
      <c r="O930" s="235"/>
      <c r="P930" s="235"/>
      <c r="Q930" s="235"/>
      <c r="R930" s="235"/>
      <c r="S930" s="235"/>
      <c r="T930" s="235"/>
      <c r="U930" s="235"/>
      <c r="V930" s="235"/>
      <c r="W930" s="235"/>
      <c r="X930" s="235"/>
      <c r="Y930" s="235"/>
      <c r="Z930" s="235"/>
    </row>
    <row r="931">
      <c r="A931" s="236"/>
      <c r="B931" s="236"/>
      <c r="C931" s="237"/>
      <c r="D931" s="237"/>
      <c r="E931" s="238"/>
      <c r="F931" s="238"/>
      <c r="G931" s="239"/>
      <c r="H931" s="239"/>
      <c r="I931" s="235"/>
      <c r="J931" s="235"/>
      <c r="K931" s="235"/>
      <c r="L931" s="235"/>
      <c r="M931" s="235"/>
      <c r="N931" s="235"/>
      <c r="O931" s="235"/>
      <c r="P931" s="235"/>
      <c r="Q931" s="235"/>
      <c r="R931" s="235"/>
      <c r="S931" s="235"/>
      <c r="T931" s="235"/>
      <c r="U931" s="235"/>
      <c r="V931" s="235"/>
      <c r="W931" s="235"/>
      <c r="X931" s="235"/>
      <c r="Y931" s="235"/>
      <c r="Z931" s="235"/>
    </row>
    <row r="932">
      <c r="A932" s="236"/>
      <c r="B932" s="236"/>
      <c r="C932" s="237"/>
      <c r="D932" s="237"/>
      <c r="E932" s="238"/>
      <c r="F932" s="238"/>
      <c r="G932" s="239"/>
      <c r="H932" s="239"/>
      <c r="I932" s="235"/>
      <c r="J932" s="235"/>
      <c r="K932" s="235"/>
      <c r="L932" s="235"/>
      <c r="M932" s="235"/>
      <c r="N932" s="235"/>
      <c r="O932" s="235"/>
      <c r="P932" s="235"/>
      <c r="Q932" s="235"/>
      <c r="R932" s="235"/>
      <c r="S932" s="235"/>
      <c r="T932" s="235"/>
      <c r="U932" s="235"/>
      <c r="V932" s="235"/>
      <c r="W932" s="235"/>
      <c r="X932" s="235"/>
      <c r="Y932" s="235"/>
      <c r="Z932" s="235"/>
    </row>
    <row r="933">
      <c r="A933" s="236"/>
      <c r="B933" s="236"/>
      <c r="C933" s="237"/>
      <c r="D933" s="237"/>
      <c r="E933" s="238"/>
      <c r="F933" s="238"/>
      <c r="G933" s="239"/>
      <c r="H933" s="239"/>
      <c r="I933" s="235"/>
      <c r="J933" s="235"/>
      <c r="K933" s="235"/>
      <c r="L933" s="235"/>
      <c r="M933" s="235"/>
      <c r="N933" s="235"/>
      <c r="O933" s="235"/>
      <c r="P933" s="235"/>
      <c r="Q933" s="235"/>
      <c r="R933" s="235"/>
      <c r="S933" s="235"/>
      <c r="T933" s="235"/>
      <c r="U933" s="235"/>
      <c r="V933" s="235"/>
      <c r="W933" s="235"/>
      <c r="X933" s="235"/>
      <c r="Y933" s="235"/>
      <c r="Z933" s="235"/>
    </row>
    <row r="934">
      <c r="A934" s="236"/>
      <c r="B934" s="236"/>
      <c r="C934" s="237"/>
      <c r="D934" s="237"/>
      <c r="E934" s="238"/>
      <c r="F934" s="238"/>
      <c r="G934" s="239"/>
      <c r="H934" s="239"/>
      <c r="I934" s="235"/>
      <c r="J934" s="235"/>
      <c r="K934" s="235"/>
      <c r="L934" s="235"/>
      <c r="M934" s="235"/>
      <c r="N934" s="235"/>
      <c r="O934" s="235"/>
      <c r="P934" s="235"/>
      <c r="Q934" s="235"/>
      <c r="R934" s="235"/>
      <c r="S934" s="235"/>
      <c r="T934" s="235"/>
      <c r="U934" s="235"/>
      <c r="V934" s="235"/>
      <c r="W934" s="235"/>
      <c r="X934" s="235"/>
      <c r="Y934" s="235"/>
      <c r="Z934" s="235"/>
    </row>
    <row r="935">
      <c r="A935" s="236"/>
      <c r="B935" s="236"/>
      <c r="C935" s="237"/>
      <c r="D935" s="237"/>
      <c r="E935" s="238"/>
      <c r="F935" s="238"/>
      <c r="G935" s="239"/>
      <c r="H935" s="239"/>
      <c r="I935" s="235"/>
      <c r="J935" s="235"/>
      <c r="K935" s="235"/>
      <c r="L935" s="235"/>
      <c r="M935" s="235"/>
      <c r="N935" s="235"/>
      <c r="O935" s="235"/>
      <c r="P935" s="235"/>
      <c r="Q935" s="235"/>
      <c r="R935" s="235"/>
      <c r="S935" s="235"/>
      <c r="T935" s="235"/>
      <c r="U935" s="235"/>
      <c r="V935" s="235"/>
      <c r="W935" s="235"/>
      <c r="X935" s="235"/>
      <c r="Y935" s="235"/>
      <c r="Z935" s="235"/>
    </row>
    <row r="936">
      <c r="A936" s="236"/>
      <c r="B936" s="236"/>
      <c r="C936" s="237"/>
      <c r="D936" s="237"/>
      <c r="E936" s="238"/>
      <c r="F936" s="238"/>
      <c r="G936" s="239"/>
      <c r="H936" s="239"/>
      <c r="I936" s="235"/>
      <c r="J936" s="235"/>
      <c r="K936" s="235"/>
      <c r="L936" s="235"/>
      <c r="M936" s="235"/>
      <c r="N936" s="235"/>
      <c r="O936" s="235"/>
      <c r="P936" s="235"/>
      <c r="Q936" s="235"/>
      <c r="R936" s="235"/>
      <c r="S936" s="235"/>
      <c r="T936" s="235"/>
      <c r="U936" s="235"/>
      <c r="V936" s="235"/>
      <c r="W936" s="235"/>
      <c r="X936" s="235"/>
      <c r="Y936" s="235"/>
      <c r="Z936" s="235"/>
    </row>
    <row r="937">
      <c r="A937" s="236"/>
      <c r="B937" s="236"/>
      <c r="C937" s="237"/>
      <c r="D937" s="237"/>
      <c r="E937" s="238"/>
      <c r="F937" s="238"/>
      <c r="G937" s="239"/>
      <c r="H937" s="239"/>
      <c r="I937" s="235"/>
      <c r="J937" s="235"/>
      <c r="K937" s="235"/>
      <c r="L937" s="235"/>
      <c r="M937" s="235"/>
      <c r="N937" s="235"/>
      <c r="O937" s="235"/>
      <c r="P937" s="235"/>
      <c r="Q937" s="235"/>
      <c r="R937" s="235"/>
      <c r="S937" s="235"/>
      <c r="T937" s="235"/>
      <c r="U937" s="235"/>
      <c r="V937" s="235"/>
      <c r="W937" s="235"/>
      <c r="X937" s="235"/>
      <c r="Y937" s="235"/>
      <c r="Z937" s="235"/>
    </row>
    <row r="938">
      <c r="A938" s="236"/>
      <c r="B938" s="236"/>
      <c r="C938" s="237"/>
      <c r="D938" s="237"/>
      <c r="E938" s="238"/>
      <c r="F938" s="238"/>
      <c r="G938" s="239"/>
      <c r="H938" s="239"/>
      <c r="I938" s="235"/>
      <c r="J938" s="235"/>
      <c r="K938" s="235"/>
      <c r="L938" s="235"/>
      <c r="M938" s="235"/>
      <c r="N938" s="235"/>
      <c r="O938" s="235"/>
      <c r="P938" s="235"/>
      <c r="Q938" s="235"/>
      <c r="R938" s="235"/>
      <c r="S938" s="235"/>
      <c r="T938" s="235"/>
      <c r="U938" s="235"/>
      <c r="V938" s="235"/>
      <c r="W938" s="235"/>
      <c r="X938" s="235"/>
      <c r="Y938" s="235"/>
      <c r="Z938" s="235"/>
    </row>
    <row r="939">
      <c r="A939" s="236"/>
      <c r="B939" s="236"/>
      <c r="C939" s="237"/>
      <c r="D939" s="237"/>
      <c r="E939" s="238"/>
      <c r="F939" s="238"/>
      <c r="G939" s="239"/>
      <c r="H939" s="239"/>
      <c r="I939" s="235"/>
      <c r="J939" s="235"/>
      <c r="K939" s="235"/>
      <c r="L939" s="235"/>
      <c r="M939" s="235"/>
      <c r="N939" s="235"/>
      <c r="O939" s="235"/>
      <c r="P939" s="235"/>
      <c r="Q939" s="235"/>
      <c r="R939" s="235"/>
      <c r="S939" s="235"/>
      <c r="T939" s="235"/>
      <c r="U939" s="235"/>
      <c r="V939" s="235"/>
      <c r="W939" s="235"/>
      <c r="X939" s="235"/>
      <c r="Y939" s="235"/>
      <c r="Z939" s="235"/>
    </row>
    <row r="940">
      <c r="A940" s="236"/>
      <c r="B940" s="236"/>
      <c r="C940" s="237"/>
      <c r="D940" s="237"/>
      <c r="E940" s="238"/>
      <c r="F940" s="238"/>
      <c r="G940" s="239"/>
      <c r="H940" s="239"/>
      <c r="I940" s="235"/>
      <c r="J940" s="235"/>
      <c r="K940" s="235"/>
      <c r="L940" s="235"/>
      <c r="M940" s="235"/>
      <c r="N940" s="235"/>
      <c r="O940" s="235"/>
      <c r="P940" s="235"/>
      <c r="Q940" s="235"/>
      <c r="R940" s="235"/>
      <c r="S940" s="235"/>
      <c r="T940" s="235"/>
      <c r="U940" s="235"/>
      <c r="V940" s="235"/>
      <c r="W940" s="235"/>
      <c r="X940" s="235"/>
      <c r="Y940" s="235"/>
      <c r="Z940" s="235"/>
    </row>
    <row r="941">
      <c r="A941" s="236"/>
      <c r="B941" s="236"/>
      <c r="C941" s="237"/>
      <c r="D941" s="237"/>
      <c r="E941" s="238"/>
      <c r="F941" s="238"/>
      <c r="G941" s="239"/>
      <c r="H941" s="239"/>
      <c r="I941" s="235"/>
      <c r="J941" s="235"/>
      <c r="K941" s="235"/>
      <c r="L941" s="235"/>
      <c r="M941" s="235"/>
      <c r="N941" s="235"/>
      <c r="O941" s="235"/>
      <c r="P941" s="235"/>
      <c r="Q941" s="235"/>
      <c r="R941" s="235"/>
      <c r="S941" s="235"/>
      <c r="T941" s="235"/>
      <c r="U941" s="235"/>
      <c r="V941" s="235"/>
      <c r="W941" s="235"/>
      <c r="X941" s="235"/>
      <c r="Y941" s="235"/>
      <c r="Z941" s="235"/>
    </row>
    <row r="942">
      <c r="A942" s="236"/>
      <c r="B942" s="236"/>
      <c r="C942" s="237"/>
      <c r="D942" s="237"/>
      <c r="E942" s="238"/>
      <c r="F942" s="238"/>
      <c r="G942" s="239"/>
      <c r="H942" s="239"/>
      <c r="I942" s="235"/>
      <c r="J942" s="235"/>
      <c r="K942" s="235"/>
      <c r="L942" s="235"/>
      <c r="M942" s="235"/>
      <c r="N942" s="235"/>
      <c r="O942" s="235"/>
      <c r="P942" s="235"/>
      <c r="Q942" s="235"/>
      <c r="R942" s="235"/>
      <c r="S942" s="235"/>
      <c r="T942" s="235"/>
      <c r="U942" s="235"/>
      <c r="V942" s="235"/>
      <c r="W942" s="235"/>
      <c r="X942" s="235"/>
      <c r="Y942" s="235"/>
      <c r="Z942" s="235"/>
    </row>
    <row r="943">
      <c r="A943" s="236"/>
      <c r="B943" s="236"/>
      <c r="C943" s="237"/>
      <c r="D943" s="237"/>
      <c r="E943" s="238"/>
      <c r="F943" s="238"/>
      <c r="G943" s="239"/>
      <c r="H943" s="239"/>
      <c r="I943" s="235"/>
      <c r="J943" s="235"/>
      <c r="K943" s="235"/>
      <c r="L943" s="235"/>
      <c r="M943" s="235"/>
      <c r="N943" s="235"/>
      <c r="O943" s="235"/>
      <c r="P943" s="235"/>
      <c r="Q943" s="235"/>
      <c r="R943" s="235"/>
      <c r="S943" s="235"/>
      <c r="T943" s="235"/>
      <c r="U943" s="235"/>
      <c r="V943" s="235"/>
      <c r="W943" s="235"/>
      <c r="X943" s="235"/>
      <c r="Y943" s="235"/>
      <c r="Z943" s="235"/>
    </row>
    <row r="944">
      <c r="A944" s="236"/>
      <c r="B944" s="236"/>
      <c r="C944" s="237"/>
      <c r="D944" s="237"/>
      <c r="E944" s="238"/>
      <c r="F944" s="238"/>
      <c r="G944" s="239"/>
      <c r="H944" s="239"/>
      <c r="I944" s="235"/>
      <c r="J944" s="235"/>
      <c r="K944" s="235"/>
      <c r="L944" s="235"/>
      <c r="M944" s="235"/>
      <c r="N944" s="235"/>
      <c r="O944" s="235"/>
      <c r="P944" s="235"/>
      <c r="Q944" s="235"/>
      <c r="R944" s="235"/>
      <c r="S944" s="235"/>
      <c r="T944" s="235"/>
      <c r="U944" s="235"/>
      <c r="V944" s="235"/>
      <c r="W944" s="235"/>
      <c r="X944" s="235"/>
      <c r="Y944" s="235"/>
      <c r="Z944" s="235"/>
    </row>
    <row r="945">
      <c r="A945" s="236"/>
      <c r="B945" s="236"/>
      <c r="C945" s="237"/>
      <c r="D945" s="237"/>
      <c r="E945" s="238"/>
      <c r="F945" s="238"/>
      <c r="G945" s="239"/>
      <c r="H945" s="239"/>
      <c r="I945" s="235"/>
      <c r="J945" s="235"/>
      <c r="K945" s="235"/>
      <c r="L945" s="235"/>
      <c r="M945" s="235"/>
      <c r="N945" s="235"/>
      <c r="O945" s="235"/>
      <c r="P945" s="235"/>
      <c r="Q945" s="235"/>
      <c r="R945" s="235"/>
      <c r="S945" s="235"/>
      <c r="T945" s="235"/>
      <c r="U945" s="235"/>
      <c r="V945" s="235"/>
      <c r="W945" s="235"/>
      <c r="X945" s="235"/>
      <c r="Y945" s="235"/>
      <c r="Z945" s="235"/>
    </row>
    <row r="946">
      <c r="A946" s="236"/>
      <c r="B946" s="236"/>
      <c r="C946" s="237"/>
      <c r="D946" s="237"/>
      <c r="E946" s="238"/>
      <c r="F946" s="238"/>
      <c r="G946" s="239"/>
      <c r="H946" s="239"/>
      <c r="I946" s="235"/>
      <c r="J946" s="235"/>
      <c r="K946" s="235"/>
      <c r="L946" s="235"/>
      <c r="M946" s="235"/>
      <c r="N946" s="235"/>
      <c r="O946" s="235"/>
      <c r="P946" s="235"/>
      <c r="Q946" s="235"/>
      <c r="R946" s="235"/>
      <c r="S946" s="235"/>
      <c r="T946" s="235"/>
      <c r="U946" s="235"/>
      <c r="V946" s="235"/>
      <c r="W946" s="235"/>
      <c r="X946" s="235"/>
      <c r="Y946" s="235"/>
      <c r="Z946" s="235"/>
    </row>
    <row r="947">
      <c r="A947" s="236"/>
      <c r="B947" s="236"/>
      <c r="C947" s="237"/>
      <c r="D947" s="237"/>
      <c r="E947" s="238"/>
      <c r="F947" s="238"/>
      <c r="G947" s="239"/>
      <c r="H947" s="239"/>
      <c r="I947" s="235"/>
      <c r="J947" s="235"/>
      <c r="K947" s="235"/>
      <c r="L947" s="235"/>
      <c r="M947" s="235"/>
      <c r="N947" s="235"/>
      <c r="O947" s="235"/>
      <c r="P947" s="235"/>
      <c r="Q947" s="235"/>
      <c r="R947" s="235"/>
      <c r="S947" s="235"/>
      <c r="T947" s="235"/>
      <c r="U947" s="235"/>
      <c r="V947" s="235"/>
      <c r="W947" s="235"/>
      <c r="X947" s="235"/>
      <c r="Y947" s="235"/>
      <c r="Z947" s="235"/>
    </row>
    <row r="948">
      <c r="A948" s="236"/>
      <c r="B948" s="236"/>
      <c r="C948" s="237"/>
      <c r="D948" s="237"/>
      <c r="E948" s="238"/>
      <c r="F948" s="238"/>
      <c r="G948" s="239"/>
      <c r="H948" s="239"/>
      <c r="I948" s="235"/>
      <c r="J948" s="235"/>
      <c r="K948" s="235"/>
      <c r="L948" s="235"/>
      <c r="M948" s="235"/>
      <c r="N948" s="235"/>
      <c r="O948" s="235"/>
      <c r="P948" s="235"/>
      <c r="Q948" s="235"/>
      <c r="R948" s="235"/>
      <c r="S948" s="235"/>
      <c r="T948" s="235"/>
      <c r="U948" s="235"/>
      <c r="V948" s="235"/>
      <c r="W948" s="235"/>
      <c r="X948" s="235"/>
      <c r="Y948" s="235"/>
      <c r="Z948" s="235"/>
    </row>
    <row r="949">
      <c r="A949" s="236"/>
      <c r="B949" s="236"/>
      <c r="C949" s="237"/>
      <c r="D949" s="237"/>
      <c r="E949" s="238"/>
      <c r="F949" s="238"/>
      <c r="G949" s="239"/>
      <c r="H949" s="239"/>
      <c r="I949" s="235"/>
      <c r="J949" s="235"/>
      <c r="K949" s="235"/>
      <c r="L949" s="235"/>
      <c r="M949" s="235"/>
      <c r="N949" s="235"/>
      <c r="O949" s="235"/>
      <c r="P949" s="235"/>
      <c r="Q949" s="235"/>
      <c r="R949" s="235"/>
      <c r="S949" s="235"/>
      <c r="T949" s="235"/>
      <c r="U949" s="235"/>
      <c r="V949" s="235"/>
      <c r="W949" s="235"/>
      <c r="X949" s="235"/>
      <c r="Y949" s="235"/>
      <c r="Z949" s="235"/>
    </row>
    <row r="950">
      <c r="A950" s="236"/>
      <c r="B950" s="236"/>
      <c r="C950" s="237"/>
      <c r="D950" s="237"/>
      <c r="E950" s="238"/>
      <c r="F950" s="238"/>
      <c r="G950" s="239"/>
      <c r="H950" s="239"/>
      <c r="I950" s="235"/>
      <c r="J950" s="235"/>
      <c r="K950" s="235"/>
      <c r="L950" s="235"/>
      <c r="M950" s="235"/>
      <c r="N950" s="235"/>
      <c r="O950" s="235"/>
      <c r="P950" s="235"/>
      <c r="Q950" s="235"/>
      <c r="R950" s="235"/>
      <c r="S950" s="235"/>
      <c r="T950" s="235"/>
      <c r="U950" s="235"/>
      <c r="V950" s="235"/>
      <c r="W950" s="235"/>
      <c r="X950" s="235"/>
      <c r="Y950" s="235"/>
      <c r="Z950" s="235"/>
    </row>
    <row r="951">
      <c r="A951" s="236"/>
      <c r="B951" s="236"/>
      <c r="C951" s="237"/>
      <c r="D951" s="237"/>
      <c r="E951" s="238"/>
      <c r="F951" s="238"/>
      <c r="G951" s="239"/>
      <c r="H951" s="239"/>
      <c r="I951" s="235"/>
      <c r="J951" s="235"/>
      <c r="K951" s="235"/>
      <c r="L951" s="235"/>
      <c r="M951" s="235"/>
      <c r="N951" s="235"/>
      <c r="O951" s="235"/>
      <c r="P951" s="235"/>
      <c r="Q951" s="235"/>
      <c r="R951" s="235"/>
      <c r="S951" s="235"/>
      <c r="T951" s="235"/>
      <c r="U951" s="235"/>
      <c r="V951" s="235"/>
      <c r="W951" s="235"/>
      <c r="X951" s="235"/>
      <c r="Y951" s="235"/>
      <c r="Z951" s="235"/>
    </row>
    <row r="952">
      <c r="A952" s="236"/>
      <c r="B952" s="236"/>
      <c r="C952" s="237"/>
      <c r="D952" s="237"/>
      <c r="E952" s="238"/>
      <c r="F952" s="238"/>
      <c r="G952" s="239"/>
      <c r="H952" s="239"/>
      <c r="I952" s="235"/>
      <c r="J952" s="235"/>
      <c r="K952" s="235"/>
      <c r="L952" s="235"/>
      <c r="M952" s="235"/>
      <c r="N952" s="235"/>
      <c r="O952" s="235"/>
      <c r="P952" s="235"/>
      <c r="Q952" s="235"/>
      <c r="R952" s="235"/>
      <c r="S952" s="235"/>
      <c r="T952" s="235"/>
      <c r="U952" s="235"/>
      <c r="V952" s="235"/>
      <c r="W952" s="235"/>
      <c r="X952" s="235"/>
      <c r="Y952" s="235"/>
      <c r="Z952" s="235"/>
    </row>
    <row r="953">
      <c r="A953" s="236"/>
      <c r="B953" s="236"/>
      <c r="C953" s="237"/>
      <c r="D953" s="237"/>
      <c r="E953" s="238"/>
      <c r="F953" s="238"/>
      <c r="G953" s="239"/>
      <c r="H953" s="239"/>
      <c r="I953" s="235"/>
      <c r="J953" s="235"/>
      <c r="K953" s="235"/>
      <c r="L953" s="235"/>
      <c r="M953" s="235"/>
      <c r="N953" s="235"/>
      <c r="O953" s="235"/>
      <c r="P953" s="235"/>
      <c r="Q953" s="235"/>
      <c r="R953" s="235"/>
      <c r="S953" s="235"/>
      <c r="T953" s="235"/>
      <c r="U953" s="235"/>
      <c r="V953" s="235"/>
      <c r="W953" s="235"/>
      <c r="X953" s="235"/>
      <c r="Y953" s="235"/>
      <c r="Z953" s="235"/>
    </row>
    <row r="954">
      <c r="A954" s="236"/>
      <c r="B954" s="236"/>
      <c r="C954" s="237"/>
      <c r="D954" s="237"/>
      <c r="E954" s="238"/>
      <c r="F954" s="238"/>
      <c r="G954" s="239"/>
      <c r="H954" s="239"/>
      <c r="I954" s="235"/>
      <c r="J954" s="235"/>
      <c r="K954" s="235"/>
      <c r="L954" s="235"/>
      <c r="M954" s="235"/>
      <c r="N954" s="235"/>
      <c r="O954" s="235"/>
      <c r="P954" s="235"/>
      <c r="Q954" s="235"/>
      <c r="R954" s="235"/>
      <c r="S954" s="235"/>
      <c r="T954" s="235"/>
      <c r="U954" s="235"/>
      <c r="V954" s="235"/>
      <c r="W954" s="235"/>
      <c r="X954" s="235"/>
      <c r="Y954" s="235"/>
      <c r="Z954" s="235"/>
    </row>
    <row r="955">
      <c r="A955" s="236"/>
      <c r="B955" s="236"/>
      <c r="C955" s="237"/>
      <c r="D955" s="237"/>
      <c r="E955" s="238"/>
      <c r="F955" s="238"/>
      <c r="G955" s="239"/>
      <c r="H955" s="239"/>
      <c r="I955" s="235"/>
      <c r="J955" s="235"/>
      <c r="K955" s="235"/>
      <c r="L955" s="235"/>
      <c r="M955" s="235"/>
      <c r="N955" s="235"/>
      <c r="O955" s="235"/>
      <c r="P955" s="235"/>
      <c r="Q955" s="235"/>
      <c r="R955" s="235"/>
      <c r="S955" s="235"/>
      <c r="T955" s="235"/>
      <c r="U955" s="235"/>
      <c r="V955" s="235"/>
      <c r="W955" s="235"/>
      <c r="X955" s="235"/>
      <c r="Y955" s="235"/>
      <c r="Z955" s="235"/>
    </row>
    <row r="956">
      <c r="A956" s="236"/>
      <c r="B956" s="236"/>
      <c r="C956" s="237"/>
      <c r="D956" s="237"/>
      <c r="E956" s="238"/>
      <c r="F956" s="238"/>
      <c r="G956" s="239"/>
      <c r="H956" s="239"/>
      <c r="I956" s="235"/>
      <c r="J956" s="235"/>
      <c r="K956" s="235"/>
      <c r="L956" s="235"/>
      <c r="M956" s="235"/>
      <c r="N956" s="235"/>
      <c r="O956" s="235"/>
      <c r="P956" s="235"/>
      <c r="Q956" s="235"/>
      <c r="R956" s="235"/>
      <c r="S956" s="235"/>
      <c r="T956" s="235"/>
      <c r="U956" s="235"/>
      <c r="V956" s="235"/>
      <c r="W956" s="235"/>
      <c r="X956" s="235"/>
      <c r="Y956" s="235"/>
      <c r="Z956" s="235"/>
    </row>
    <row r="957">
      <c r="A957" s="236"/>
      <c r="B957" s="236"/>
      <c r="C957" s="237"/>
      <c r="D957" s="237"/>
      <c r="E957" s="238"/>
      <c r="F957" s="238"/>
      <c r="G957" s="239"/>
      <c r="H957" s="239"/>
      <c r="I957" s="235"/>
      <c r="J957" s="235"/>
      <c r="K957" s="235"/>
      <c r="L957" s="235"/>
      <c r="M957" s="235"/>
      <c r="N957" s="235"/>
      <c r="O957" s="235"/>
      <c r="P957" s="235"/>
      <c r="Q957" s="235"/>
      <c r="R957" s="235"/>
      <c r="S957" s="235"/>
      <c r="T957" s="235"/>
      <c r="U957" s="235"/>
      <c r="V957" s="235"/>
      <c r="W957" s="235"/>
      <c r="X957" s="235"/>
      <c r="Y957" s="235"/>
      <c r="Z957" s="235"/>
    </row>
    <row r="958">
      <c r="A958" s="236"/>
      <c r="B958" s="236"/>
      <c r="C958" s="237"/>
      <c r="D958" s="237"/>
      <c r="E958" s="238"/>
      <c r="F958" s="238"/>
      <c r="G958" s="239"/>
      <c r="H958" s="239"/>
      <c r="I958" s="235"/>
      <c r="J958" s="235"/>
      <c r="K958" s="235"/>
      <c r="L958" s="235"/>
      <c r="M958" s="235"/>
      <c r="N958" s="235"/>
      <c r="O958" s="235"/>
      <c r="P958" s="235"/>
      <c r="Q958" s="235"/>
      <c r="R958" s="235"/>
      <c r="S958" s="235"/>
      <c r="T958" s="235"/>
      <c r="U958" s="235"/>
      <c r="V958" s="235"/>
      <c r="W958" s="235"/>
      <c r="X958" s="235"/>
      <c r="Y958" s="235"/>
      <c r="Z958" s="235"/>
    </row>
    <row r="959">
      <c r="A959" s="236"/>
      <c r="B959" s="236"/>
      <c r="C959" s="237"/>
      <c r="D959" s="237"/>
      <c r="E959" s="238"/>
      <c r="F959" s="238"/>
      <c r="G959" s="239"/>
      <c r="H959" s="239"/>
      <c r="I959" s="235"/>
      <c r="J959" s="235"/>
      <c r="K959" s="235"/>
      <c r="L959" s="235"/>
      <c r="M959" s="235"/>
      <c r="N959" s="235"/>
      <c r="O959" s="235"/>
      <c r="P959" s="235"/>
      <c r="Q959" s="235"/>
      <c r="R959" s="235"/>
      <c r="S959" s="235"/>
      <c r="T959" s="235"/>
      <c r="U959" s="235"/>
      <c r="V959" s="235"/>
      <c r="W959" s="235"/>
      <c r="X959" s="235"/>
      <c r="Y959" s="235"/>
      <c r="Z959" s="235"/>
    </row>
    <row r="960">
      <c r="A960" s="236"/>
      <c r="B960" s="236"/>
      <c r="C960" s="237"/>
      <c r="D960" s="237"/>
      <c r="E960" s="238"/>
      <c r="F960" s="238"/>
      <c r="G960" s="239"/>
      <c r="H960" s="239"/>
      <c r="I960" s="235"/>
      <c r="J960" s="235"/>
      <c r="K960" s="235"/>
      <c r="L960" s="235"/>
      <c r="M960" s="235"/>
      <c r="N960" s="235"/>
      <c r="O960" s="235"/>
      <c r="P960" s="235"/>
      <c r="Q960" s="235"/>
      <c r="R960" s="235"/>
      <c r="S960" s="235"/>
      <c r="T960" s="235"/>
      <c r="U960" s="235"/>
      <c r="V960" s="235"/>
      <c r="W960" s="235"/>
      <c r="X960" s="235"/>
      <c r="Y960" s="235"/>
      <c r="Z960" s="235"/>
    </row>
    <row r="961">
      <c r="A961" s="236"/>
      <c r="B961" s="236"/>
      <c r="C961" s="237"/>
      <c r="D961" s="237"/>
      <c r="E961" s="238"/>
      <c r="F961" s="238"/>
      <c r="G961" s="239"/>
      <c r="H961" s="239"/>
      <c r="I961" s="235"/>
      <c r="J961" s="235"/>
      <c r="K961" s="235"/>
      <c r="L961" s="235"/>
      <c r="M961" s="235"/>
      <c r="N961" s="235"/>
      <c r="O961" s="235"/>
      <c r="P961" s="235"/>
      <c r="Q961" s="235"/>
      <c r="R961" s="235"/>
      <c r="S961" s="235"/>
      <c r="T961" s="235"/>
      <c r="U961" s="235"/>
      <c r="V961" s="235"/>
      <c r="W961" s="235"/>
      <c r="X961" s="235"/>
      <c r="Y961" s="235"/>
      <c r="Z961" s="235"/>
    </row>
    <row r="962">
      <c r="A962" s="236"/>
      <c r="B962" s="236"/>
      <c r="C962" s="237"/>
      <c r="D962" s="237"/>
      <c r="E962" s="238"/>
      <c r="F962" s="238"/>
      <c r="G962" s="239"/>
      <c r="H962" s="239"/>
      <c r="I962" s="235"/>
      <c r="J962" s="235"/>
      <c r="K962" s="235"/>
      <c r="L962" s="235"/>
      <c r="M962" s="235"/>
      <c r="N962" s="235"/>
      <c r="O962" s="235"/>
      <c r="P962" s="235"/>
      <c r="Q962" s="235"/>
      <c r="R962" s="235"/>
      <c r="S962" s="235"/>
      <c r="T962" s="235"/>
      <c r="U962" s="235"/>
      <c r="V962" s="235"/>
      <c r="W962" s="235"/>
      <c r="X962" s="235"/>
      <c r="Y962" s="235"/>
      <c r="Z962" s="235"/>
    </row>
    <row r="963">
      <c r="A963" s="236"/>
      <c r="B963" s="236"/>
      <c r="C963" s="237"/>
      <c r="D963" s="237"/>
      <c r="E963" s="238"/>
      <c r="F963" s="238"/>
      <c r="G963" s="239"/>
      <c r="H963" s="239"/>
      <c r="I963" s="235"/>
      <c r="J963" s="235"/>
      <c r="K963" s="235"/>
      <c r="L963" s="235"/>
      <c r="M963" s="235"/>
      <c r="N963" s="235"/>
      <c r="O963" s="235"/>
      <c r="P963" s="235"/>
      <c r="Q963" s="235"/>
      <c r="R963" s="235"/>
      <c r="S963" s="235"/>
      <c r="T963" s="235"/>
      <c r="U963" s="235"/>
      <c r="V963" s="235"/>
      <c r="W963" s="235"/>
      <c r="X963" s="235"/>
      <c r="Y963" s="235"/>
      <c r="Z963" s="235"/>
    </row>
    <row r="964">
      <c r="A964" s="236"/>
      <c r="B964" s="236"/>
      <c r="C964" s="237"/>
      <c r="D964" s="237"/>
      <c r="E964" s="238"/>
      <c r="F964" s="238"/>
      <c r="G964" s="239"/>
      <c r="H964" s="239"/>
      <c r="I964" s="235"/>
      <c r="J964" s="235"/>
      <c r="K964" s="235"/>
      <c r="L964" s="235"/>
      <c r="M964" s="235"/>
      <c r="N964" s="235"/>
      <c r="O964" s="235"/>
      <c r="P964" s="235"/>
      <c r="Q964" s="235"/>
      <c r="R964" s="235"/>
      <c r="S964" s="235"/>
      <c r="T964" s="235"/>
      <c r="U964" s="235"/>
      <c r="V964" s="235"/>
      <c r="W964" s="235"/>
      <c r="X964" s="235"/>
      <c r="Y964" s="235"/>
      <c r="Z964" s="235"/>
    </row>
    <row r="965">
      <c r="A965" s="236"/>
      <c r="B965" s="236"/>
      <c r="C965" s="237"/>
      <c r="D965" s="237"/>
      <c r="E965" s="238"/>
      <c r="F965" s="238"/>
      <c r="G965" s="239"/>
      <c r="H965" s="239"/>
      <c r="I965" s="235"/>
      <c r="J965" s="235"/>
      <c r="K965" s="235"/>
      <c r="L965" s="235"/>
      <c r="M965" s="235"/>
      <c r="N965" s="235"/>
      <c r="O965" s="235"/>
      <c r="P965" s="235"/>
      <c r="Q965" s="235"/>
      <c r="R965" s="235"/>
      <c r="S965" s="235"/>
      <c r="T965" s="235"/>
      <c r="U965" s="235"/>
      <c r="V965" s="235"/>
      <c r="W965" s="235"/>
      <c r="X965" s="235"/>
      <c r="Y965" s="235"/>
      <c r="Z965" s="235"/>
    </row>
    <row r="966">
      <c r="A966" s="236"/>
      <c r="B966" s="236"/>
      <c r="C966" s="237"/>
      <c r="D966" s="237"/>
      <c r="E966" s="238"/>
      <c r="F966" s="238"/>
      <c r="G966" s="239"/>
      <c r="H966" s="239"/>
      <c r="I966" s="235"/>
      <c r="J966" s="235"/>
      <c r="K966" s="235"/>
      <c r="L966" s="235"/>
      <c r="M966" s="235"/>
      <c r="N966" s="235"/>
      <c r="O966" s="235"/>
      <c r="P966" s="235"/>
      <c r="Q966" s="235"/>
      <c r="R966" s="235"/>
      <c r="S966" s="235"/>
      <c r="T966" s="235"/>
      <c r="U966" s="235"/>
      <c r="V966" s="235"/>
      <c r="W966" s="235"/>
      <c r="X966" s="235"/>
      <c r="Y966" s="235"/>
      <c r="Z966" s="235"/>
    </row>
    <row r="967">
      <c r="A967" s="236"/>
      <c r="B967" s="236"/>
      <c r="C967" s="237"/>
      <c r="D967" s="237"/>
      <c r="E967" s="238"/>
      <c r="F967" s="238"/>
      <c r="G967" s="239"/>
      <c r="H967" s="239"/>
      <c r="I967" s="235"/>
      <c r="J967" s="235"/>
      <c r="K967" s="235"/>
      <c r="L967" s="235"/>
      <c r="M967" s="235"/>
      <c r="N967" s="235"/>
      <c r="O967" s="235"/>
      <c r="P967" s="235"/>
      <c r="Q967" s="235"/>
      <c r="R967" s="235"/>
      <c r="S967" s="235"/>
      <c r="T967" s="235"/>
      <c r="U967" s="235"/>
      <c r="V967" s="235"/>
      <c r="W967" s="235"/>
      <c r="X967" s="235"/>
      <c r="Y967" s="235"/>
      <c r="Z967" s="235"/>
    </row>
    <row r="968">
      <c r="A968" s="236"/>
      <c r="B968" s="236"/>
      <c r="C968" s="237"/>
      <c r="D968" s="237"/>
      <c r="E968" s="238"/>
      <c r="F968" s="238"/>
      <c r="G968" s="239"/>
      <c r="H968" s="239"/>
      <c r="I968" s="235"/>
      <c r="J968" s="235"/>
      <c r="K968" s="235"/>
      <c r="L968" s="235"/>
      <c r="M968" s="235"/>
      <c r="N968" s="235"/>
      <c r="O968" s="235"/>
      <c r="P968" s="235"/>
      <c r="Q968" s="235"/>
      <c r="R968" s="235"/>
      <c r="S968" s="235"/>
      <c r="T968" s="235"/>
      <c r="U968" s="235"/>
      <c r="V968" s="235"/>
      <c r="W968" s="235"/>
      <c r="X968" s="235"/>
      <c r="Y968" s="235"/>
      <c r="Z968" s="235"/>
    </row>
    <row r="969">
      <c r="A969" s="236"/>
      <c r="B969" s="236"/>
      <c r="C969" s="237"/>
      <c r="D969" s="237"/>
      <c r="E969" s="238"/>
      <c r="F969" s="238"/>
      <c r="G969" s="239"/>
      <c r="H969" s="239"/>
      <c r="I969" s="235"/>
      <c r="J969" s="235"/>
      <c r="K969" s="235"/>
      <c r="L969" s="235"/>
      <c r="M969" s="235"/>
      <c r="N969" s="235"/>
      <c r="O969" s="235"/>
      <c r="P969" s="235"/>
      <c r="Q969" s="235"/>
      <c r="R969" s="235"/>
      <c r="S969" s="235"/>
      <c r="T969" s="235"/>
      <c r="U969" s="235"/>
      <c r="V969" s="235"/>
      <c r="W969" s="235"/>
      <c r="X969" s="235"/>
      <c r="Y969" s="235"/>
      <c r="Z969" s="235"/>
    </row>
    <row r="970">
      <c r="A970" s="236"/>
      <c r="B970" s="236"/>
      <c r="C970" s="237"/>
      <c r="D970" s="237"/>
      <c r="E970" s="238"/>
      <c r="F970" s="238"/>
      <c r="G970" s="239"/>
      <c r="H970" s="239"/>
      <c r="I970" s="235"/>
      <c r="J970" s="235"/>
      <c r="K970" s="235"/>
      <c r="L970" s="235"/>
      <c r="M970" s="235"/>
      <c r="N970" s="235"/>
      <c r="O970" s="235"/>
      <c r="P970" s="235"/>
      <c r="Q970" s="235"/>
      <c r="R970" s="235"/>
      <c r="S970" s="235"/>
      <c r="T970" s="235"/>
      <c r="U970" s="235"/>
      <c r="V970" s="235"/>
      <c r="W970" s="235"/>
      <c r="X970" s="235"/>
      <c r="Y970" s="235"/>
      <c r="Z970" s="235"/>
    </row>
    <row r="971">
      <c r="A971" s="236"/>
      <c r="B971" s="236"/>
      <c r="C971" s="237"/>
      <c r="D971" s="237"/>
      <c r="E971" s="238"/>
      <c r="F971" s="238"/>
      <c r="G971" s="239"/>
      <c r="H971" s="239"/>
      <c r="I971" s="235"/>
      <c r="J971" s="235"/>
      <c r="K971" s="235"/>
      <c r="L971" s="235"/>
      <c r="M971" s="235"/>
      <c r="N971" s="235"/>
      <c r="O971" s="235"/>
      <c r="P971" s="235"/>
      <c r="Q971" s="235"/>
      <c r="R971" s="235"/>
      <c r="S971" s="235"/>
      <c r="T971" s="235"/>
      <c r="U971" s="235"/>
      <c r="V971" s="235"/>
      <c r="W971" s="235"/>
      <c r="X971" s="235"/>
      <c r="Y971" s="235"/>
      <c r="Z971" s="235"/>
    </row>
    <row r="972">
      <c r="A972" s="236"/>
      <c r="B972" s="236"/>
      <c r="C972" s="237"/>
      <c r="D972" s="237"/>
      <c r="E972" s="238"/>
      <c r="F972" s="238"/>
      <c r="G972" s="239"/>
      <c r="H972" s="239"/>
      <c r="I972" s="235"/>
      <c r="J972" s="235"/>
      <c r="K972" s="235"/>
      <c r="L972" s="235"/>
      <c r="M972" s="235"/>
      <c r="N972" s="235"/>
      <c r="O972" s="235"/>
      <c r="P972" s="235"/>
      <c r="Q972" s="235"/>
      <c r="R972" s="235"/>
      <c r="S972" s="235"/>
      <c r="T972" s="235"/>
      <c r="U972" s="235"/>
      <c r="V972" s="235"/>
      <c r="W972" s="235"/>
      <c r="X972" s="235"/>
      <c r="Y972" s="235"/>
      <c r="Z972" s="235"/>
    </row>
    <row r="973">
      <c r="A973" s="236"/>
      <c r="B973" s="236"/>
      <c r="C973" s="237"/>
      <c r="D973" s="237"/>
      <c r="E973" s="238"/>
      <c r="F973" s="238"/>
      <c r="G973" s="239"/>
      <c r="H973" s="239"/>
      <c r="I973" s="235"/>
      <c r="J973" s="235"/>
      <c r="K973" s="235"/>
      <c r="L973" s="235"/>
      <c r="M973" s="235"/>
      <c r="N973" s="235"/>
      <c r="O973" s="235"/>
      <c r="P973" s="235"/>
      <c r="Q973" s="235"/>
      <c r="R973" s="235"/>
      <c r="S973" s="235"/>
      <c r="T973" s="235"/>
      <c r="U973" s="235"/>
      <c r="V973" s="235"/>
      <c r="W973" s="235"/>
      <c r="X973" s="235"/>
      <c r="Y973" s="235"/>
      <c r="Z973" s="235"/>
    </row>
    <row r="974">
      <c r="A974" s="236"/>
      <c r="B974" s="236"/>
      <c r="C974" s="237"/>
      <c r="D974" s="237"/>
      <c r="E974" s="238"/>
      <c r="F974" s="238"/>
      <c r="G974" s="239"/>
      <c r="H974" s="239"/>
      <c r="I974" s="235"/>
      <c r="J974" s="235"/>
      <c r="K974" s="235"/>
      <c r="L974" s="235"/>
      <c r="M974" s="235"/>
      <c r="N974" s="235"/>
      <c r="O974" s="235"/>
      <c r="P974" s="235"/>
      <c r="Q974" s="235"/>
      <c r="R974" s="235"/>
      <c r="S974" s="235"/>
      <c r="T974" s="235"/>
      <c r="U974" s="235"/>
      <c r="V974" s="235"/>
      <c r="W974" s="235"/>
      <c r="X974" s="235"/>
      <c r="Y974" s="235"/>
      <c r="Z974" s="235"/>
    </row>
    <row r="975">
      <c r="A975" s="236"/>
      <c r="B975" s="236"/>
      <c r="C975" s="237"/>
      <c r="D975" s="237"/>
      <c r="E975" s="238"/>
      <c r="F975" s="238"/>
      <c r="G975" s="239"/>
      <c r="H975" s="239"/>
      <c r="I975" s="235"/>
      <c r="J975" s="235"/>
      <c r="K975" s="235"/>
      <c r="L975" s="235"/>
      <c r="M975" s="235"/>
      <c r="N975" s="235"/>
      <c r="O975" s="235"/>
      <c r="P975" s="235"/>
      <c r="Q975" s="235"/>
      <c r="R975" s="235"/>
      <c r="S975" s="235"/>
      <c r="T975" s="235"/>
      <c r="U975" s="235"/>
      <c r="V975" s="235"/>
      <c r="W975" s="235"/>
      <c r="X975" s="235"/>
      <c r="Y975" s="235"/>
      <c r="Z975" s="235"/>
    </row>
    <row r="976">
      <c r="A976" s="236"/>
      <c r="B976" s="236"/>
      <c r="C976" s="237"/>
      <c r="D976" s="237"/>
      <c r="E976" s="238"/>
      <c r="F976" s="238"/>
      <c r="G976" s="239"/>
      <c r="H976" s="239"/>
      <c r="I976" s="235"/>
      <c r="J976" s="235"/>
      <c r="K976" s="235"/>
      <c r="L976" s="235"/>
      <c r="M976" s="235"/>
      <c r="N976" s="235"/>
      <c r="O976" s="235"/>
      <c r="P976" s="235"/>
      <c r="Q976" s="235"/>
      <c r="R976" s="235"/>
      <c r="S976" s="235"/>
      <c r="T976" s="235"/>
      <c r="U976" s="235"/>
      <c r="V976" s="235"/>
      <c r="W976" s="235"/>
      <c r="X976" s="235"/>
      <c r="Y976" s="235"/>
      <c r="Z976" s="235"/>
    </row>
    <row r="977">
      <c r="A977" s="236"/>
      <c r="B977" s="236"/>
      <c r="C977" s="237"/>
      <c r="D977" s="237"/>
      <c r="E977" s="238"/>
      <c r="F977" s="238"/>
      <c r="G977" s="239"/>
      <c r="H977" s="239"/>
      <c r="I977" s="235"/>
      <c r="J977" s="235"/>
      <c r="K977" s="235"/>
      <c r="L977" s="235"/>
      <c r="M977" s="235"/>
      <c r="N977" s="235"/>
      <c r="O977" s="235"/>
      <c r="P977" s="235"/>
      <c r="Q977" s="235"/>
      <c r="R977" s="235"/>
      <c r="S977" s="235"/>
      <c r="T977" s="235"/>
      <c r="U977" s="235"/>
      <c r="V977" s="235"/>
      <c r="W977" s="235"/>
      <c r="X977" s="235"/>
      <c r="Y977" s="235"/>
      <c r="Z977" s="235"/>
    </row>
    <row r="978">
      <c r="A978" s="236"/>
      <c r="B978" s="236"/>
      <c r="C978" s="237"/>
      <c r="D978" s="237"/>
      <c r="E978" s="238"/>
      <c r="F978" s="238"/>
      <c r="G978" s="239"/>
      <c r="H978" s="239"/>
      <c r="I978" s="235"/>
      <c r="J978" s="235"/>
      <c r="K978" s="235"/>
      <c r="L978" s="235"/>
      <c r="M978" s="235"/>
      <c r="N978" s="235"/>
      <c r="O978" s="235"/>
      <c r="P978" s="235"/>
      <c r="Q978" s="235"/>
      <c r="R978" s="235"/>
      <c r="S978" s="235"/>
      <c r="T978" s="235"/>
      <c r="U978" s="235"/>
      <c r="V978" s="235"/>
      <c r="W978" s="235"/>
      <c r="X978" s="235"/>
      <c r="Y978" s="235"/>
      <c r="Z978" s="235"/>
    </row>
    <row r="979">
      <c r="A979" s="236"/>
      <c r="B979" s="236"/>
      <c r="C979" s="237"/>
      <c r="D979" s="237"/>
      <c r="E979" s="238"/>
      <c r="F979" s="238"/>
      <c r="G979" s="239"/>
      <c r="H979" s="239"/>
      <c r="I979" s="235"/>
      <c r="J979" s="235"/>
      <c r="K979" s="235"/>
      <c r="L979" s="235"/>
      <c r="M979" s="235"/>
      <c r="N979" s="235"/>
      <c r="O979" s="235"/>
      <c r="P979" s="235"/>
      <c r="Q979" s="235"/>
      <c r="R979" s="235"/>
      <c r="S979" s="235"/>
      <c r="T979" s="235"/>
      <c r="U979" s="235"/>
      <c r="V979" s="235"/>
      <c r="W979" s="235"/>
      <c r="X979" s="235"/>
      <c r="Y979" s="235"/>
      <c r="Z979" s="235"/>
    </row>
    <row r="980">
      <c r="A980" s="236"/>
      <c r="B980" s="236"/>
      <c r="C980" s="237"/>
      <c r="D980" s="237"/>
      <c r="E980" s="238"/>
      <c r="F980" s="238"/>
      <c r="G980" s="239"/>
      <c r="H980" s="239"/>
      <c r="I980" s="235"/>
      <c r="J980" s="235"/>
      <c r="K980" s="235"/>
      <c r="L980" s="235"/>
      <c r="M980" s="235"/>
      <c r="N980" s="235"/>
      <c r="O980" s="235"/>
      <c r="P980" s="235"/>
      <c r="Q980" s="235"/>
      <c r="R980" s="235"/>
      <c r="S980" s="235"/>
      <c r="T980" s="235"/>
      <c r="U980" s="235"/>
      <c r="V980" s="235"/>
      <c r="W980" s="235"/>
      <c r="X980" s="235"/>
      <c r="Y980" s="235"/>
      <c r="Z980" s="235"/>
    </row>
    <row r="981">
      <c r="A981" s="236"/>
      <c r="B981" s="236"/>
      <c r="C981" s="237"/>
      <c r="D981" s="237"/>
      <c r="E981" s="238"/>
      <c r="F981" s="238"/>
      <c r="G981" s="239"/>
      <c r="H981" s="239"/>
      <c r="I981" s="235"/>
      <c r="J981" s="235"/>
      <c r="K981" s="235"/>
      <c r="L981" s="235"/>
      <c r="M981" s="235"/>
      <c r="N981" s="235"/>
      <c r="O981" s="235"/>
      <c r="P981" s="235"/>
      <c r="Q981" s="235"/>
      <c r="R981" s="235"/>
      <c r="S981" s="235"/>
      <c r="T981" s="235"/>
      <c r="U981" s="235"/>
      <c r="V981" s="235"/>
      <c r="W981" s="235"/>
      <c r="X981" s="235"/>
      <c r="Y981" s="235"/>
      <c r="Z981" s="235"/>
    </row>
    <row r="982">
      <c r="A982" s="236"/>
      <c r="B982" s="236"/>
      <c r="C982" s="237"/>
      <c r="D982" s="237"/>
      <c r="E982" s="238"/>
      <c r="F982" s="238"/>
      <c r="G982" s="239"/>
      <c r="H982" s="239"/>
      <c r="I982" s="235"/>
      <c r="J982" s="235"/>
      <c r="K982" s="235"/>
      <c r="L982" s="235"/>
      <c r="M982" s="235"/>
      <c r="N982" s="235"/>
      <c r="O982" s="235"/>
      <c r="P982" s="235"/>
      <c r="Q982" s="235"/>
      <c r="R982" s="235"/>
      <c r="S982" s="235"/>
      <c r="T982" s="235"/>
      <c r="U982" s="235"/>
      <c r="V982" s="235"/>
      <c r="W982" s="235"/>
      <c r="X982" s="235"/>
      <c r="Y982" s="235"/>
      <c r="Z982" s="235"/>
    </row>
    <row r="983">
      <c r="A983" s="236"/>
      <c r="B983" s="236"/>
      <c r="C983" s="237"/>
      <c r="D983" s="237"/>
      <c r="E983" s="238"/>
      <c r="F983" s="238"/>
      <c r="G983" s="239"/>
      <c r="H983" s="239"/>
      <c r="I983" s="235"/>
      <c r="J983" s="235"/>
      <c r="K983" s="235"/>
      <c r="L983" s="235"/>
      <c r="M983" s="235"/>
      <c r="N983" s="235"/>
      <c r="O983" s="235"/>
      <c r="P983" s="235"/>
      <c r="Q983" s="235"/>
      <c r="R983" s="235"/>
      <c r="S983" s="235"/>
      <c r="T983" s="235"/>
      <c r="U983" s="235"/>
      <c r="V983" s="235"/>
      <c r="W983" s="235"/>
      <c r="X983" s="235"/>
      <c r="Y983" s="235"/>
      <c r="Z983" s="235"/>
    </row>
    <row r="984">
      <c r="A984" s="236"/>
      <c r="B984" s="236"/>
      <c r="C984" s="237"/>
      <c r="D984" s="237"/>
      <c r="E984" s="238"/>
      <c r="F984" s="238"/>
      <c r="G984" s="239"/>
      <c r="H984" s="239"/>
      <c r="I984" s="235"/>
      <c r="J984" s="235"/>
      <c r="K984" s="235"/>
      <c r="L984" s="235"/>
      <c r="M984" s="235"/>
      <c r="N984" s="235"/>
      <c r="O984" s="235"/>
      <c r="P984" s="235"/>
      <c r="Q984" s="235"/>
      <c r="R984" s="235"/>
      <c r="S984" s="235"/>
      <c r="T984" s="235"/>
      <c r="U984" s="235"/>
      <c r="V984" s="235"/>
      <c r="W984" s="235"/>
      <c r="X984" s="235"/>
      <c r="Y984" s="235"/>
      <c r="Z984" s="235"/>
    </row>
    <row r="985">
      <c r="A985" s="236"/>
      <c r="B985" s="236"/>
      <c r="C985" s="237"/>
      <c r="D985" s="237"/>
      <c r="E985" s="238"/>
      <c r="F985" s="238"/>
      <c r="G985" s="239"/>
      <c r="H985" s="239"/>
      <c r="I985" s="235"/>
      <c r="J985" s="235"/>
      <c r="K985" s="235"/>
      <c r="L985" s="235"/>
      <c r="M985" s="235"/>
      <c r="N985" s="235"/>
      <c r="O985" s="235"/>
      <c r="P985" s="235"/>
      <c r="Q985" s="235"/>
      <c r="R985" s="235"/>
      <c r="S985" s="235"/>
      <c r="T985" s="235"/>
      <c r="U985" s="235"/>
      <c r="V985" s="235"/>
      <c r="W985" s="235"/>
      <c r="X985" s="235"/>
      <c r="Y985" s="235"/>
      <c r="Z985" s="235"/>
    </row>
    <row r="986">
      <c r="A986" s="236"/>
      <c r="B986" s="236"/>
      <c r="C986" s="237"/>
      <c r="D986" s="237"/>
      <c r="E986" s="238"/>
      <c r="F986" s="238"/>
      <c r="G986" s="239"/>
      <c r="H986" s="239"/>
      <c r="I986" s="235"/>
      <c r="J986" s="235"/>
      <c r="K986" s="235"/>
      <c r="L986" s="235"/>
      <c r="M986" s="235"/>
      <c r="N986" s="235"/>
      <c r="O986" s="235"/>
      <c r="P986" s="235"/>
      <c r="Q986" s="235"/>
      <c r="R986" s="235"/>
      <c r="S986" s="235"/>
      <c r="T986" s="235"/>
      <c r="U986" s="235"/>
      <c r="V986" s="235"/>
      <c r="W986" s="235"/>
      <c r="X986" s="235"/>
      <c r="Y986" s="235"/>
      <c r="Z986" s="235"/>
    </row>
    <row r="987">
      <c r="A987" s="236"/>
      <c r="B987" s="236"/>
      <c r="C987" s="237"/>
      <c r="D987" s="237"/>
      <c r="E987" s="238"/>
      <c r="F987" s="238"/>
      <c r="G987" s="239"/>
      <c r="H987" s="239"/>
      <c r="I987" s="235"/>
      <c r="J987" s="235"/>
      <c r="K987" s="235"/>
      <c r="L987" s="235"/>
      <c r="M987" s="235"/>
      <c r="N987" s="235"/>
      <c r="O987" s="235"/>
      <c r="P987" s="235"/>
      <c r="Q987" s="235"/>
      <c r="R987" s="235"/>
      <c r="S987" s="235"/>
      <c r="T987" s="235"/>
      <c r="U987" s="235"/>
      <c r="V987" s="235"/>
      <c r="W987" s="235"/>
      <c r="X987" s="235"/>
      <c r="Y987" s="235"/>
      <c r="Z987" s="235"/>
    </row>
    <row r="988">
      <c r="A988" s="236"/>
      <c r="B988" s="236"/>
      <c r="C988" s="237"/>
      <c r="D988" s="237"/>
      <c r="E988" s="238"/>
      <c r="F988" s="238"/>
      <c r="G988" s="239"/>
      <c r="H988" s="239"/>
      <c r="I988" s="235"/>
      <c r="J988" s="235"/>
      <c r="K988" s="235"/>
      <c r="L988" s="235"/>
      <c r="M988" s="235"/>
      <c r="N988" s="235"/>
      <c r="O988" s="235"/>
      <c r="P988" s="235"/>
      <c r="Q988" s="235"/>
      <c r="R988" s="235"/>
      <c r="S988" s="235"/>
      <c r="T988" s="235"/>
      <c r="U988" s="235"/>
      <c r="V988" s="235"/>
      <c r="W988" s="235"/>
      <c r="X988" s="235"/>
      <c r="Y988" s="235"/>
      <c r="Z988" s="235"/>
    </row>
    <row r="989">
      <c r="A989" s="236"/>
      <c r="B989" s="236"/>
      <c r="C989" s="237"/>
      <c r="D989" s="237"/>
      <c r="E989" s="238"/>
      <c r="F989" s="238"/>
      <c r="G989" s="239"/>
      <c r="H989" s="239"/>
      <c r="I989" s="235"/>
      <c r="J989" s="235"/>
      <c r="K989" s="235"/>
      <c r="L989" s="235"/>
      <c r="M989" s="235"/>
      <c r="N989" s="235"/>
      <c r="O989" s="235"/>
      <c r="P989" s="235"/>
      <c r="Q989" s="235"/>
      <c r="R989" s="235"/>
      <c r="S989" s="235"/>
      <c r="T989" s="235"/>
      <c r="U989" s="235"/>
      <c r="V989" s="235"/>
      <c r="W989" s="235"/>
      <c r="X989" s="235"/>
      <c r="Y989" s="235"/>
      <c r="Z989" s="235"/>
    </row>
    <row r="990">
      <c r="A990" s="236"/>
      <c r="B990" s="236"/>
      <c r="C990" s="237"/>
      <c r="D990" s="237"/>
      <c r="E990" s="238"/>
      <c r="F990" s="238"/>
      <c r="G990" s="239"/>
      <c r="H990" s="239"/>
      <c r="I990" s="235"/>
      <c r="J990" s="235"/>
      <c r="K990" s="235"/>
      <c r="L990" s="235"/>
      <c r="M990" s="235"/>
      <c r="N990" s="235"/>
      <c r="O990" s="235"/>
      <c r="P990" s="235"/>
      <c r="Q990" s="235"/>
      <c r="R990" s="235"/>
      <c r="S990" s="235"/>
      <c r="T990" s="235"/>
      <c r="U990" s="235"/>
      <c r="V990" s="235"/>
      <c r="W990" s="235"/>
      <c r="X990" s="235"/>
      <c r="Y990" s="235"/>
      <c r="Z990" s="235"/>
    </row>
    <row r="991">
      <c r="A991" s="236"/>
      <c r="B991" s="236"/>
      <c r="C991" s="237"/>
      <c r="D991" s="237"/>
      <c r="E991" s="238"/>
      <c r="F991" s="238"/>
      <c r="G991" s="239"/>
      <c r="H991" s="239"/>
      <c r="I991" s="235"/>
      <c r="J991" s="235"/>
      <c r="K991" s="235"/>
      <c r="L991" s="235"/>
      <c r="M991" s="235"/>
      <c r="N991" s="235"/>
      <c r="O991" s="235"/>
      <c r="P991" s="235"/>
      <c r="Q991" s="235"/>
      <c r="R991" s="235"/>
      <c r="S991" s="235"/>
      <c r="T991" s="235"/>
      <c r="U991" s="235"/>
      <c r="V991" s="235"/>
      <c r="W991" s="235"/>
      <c r="X991" s="235"/>
      <c r="Y991" s="235"/>
      <c r="Z991" s="235"/>
    </row>
    <row r="992">
      <c r="A992" s="236"/>
      <c r="B992" s="236"/>
      <c r="C992" s="237"/>
      <c r="D992" s="237"/>
      <c r="E992" s="238"/>
      <c r="F992" s="238"/>
      <c r="G992" s="239"/>
      <c r="H992" s="239"/>
      <c r="I992" s="235"/>
      <c r="J992" s="235"/>
      <c r="K992" s="235"/>
      <c r="L992" s="235"/>
      <c r="M992" s="235"/>
      <c r="N992" s="235"/>
      <c r="O992" s="235"/>
      <c r="P992" s="235"/>
      <c r="Q992" s="235"/>
      <c r="R992" s="235"/>
      <c r="S992" s="235"/>
      <c r="T992" s="235"/>
      <c r="U992" s="235"/>
      <c r="V992" s="235"/>
      <c r="W992" s="235"/>
      <c r="X992" s="235"/>
      <c r="Y992" s="235"/>
      <c r="Z992" s="235"/>
    </row>
    <row r="993">
      <c r="A993" s="236"/>
      <c r="B993" s="236"/>
      <c r="C993" s="237"/>
      <c r="D993" s="237"/>
      <c r="E993" s="238"/>
      <c r="F993" s="238"/>
      <c r="G993" s="239"/>
      <c r="H993" s="239"/>
      <c r="I993" s="235"/>
      <c r="J993" s="235"/>
      <c r="K993" s="235"/>
      <c r="L993" s="235"/>
      <c r="M993" s="235"/>
      <c r="N993" s="235"/>
      <c r="O993" s="235"/>
      <c r="P993" s="235"/>
      <c r="Q993" s="235"/>
      <c r="R993" s="235"/>
      <c r="S993" s="235"/>
      <c r="T993" s="235"/>
      <c r="U993" s="235"/>
      <c r="V993" s="235"/>
      <c r="W993" s="235"/>
      <c r="X993" s="235"/>
      <c r="Y993" s="235"/>
      <c r="Z993" s="235"/>
    </row>
    <row r="994">
      <c r="A994" s="236"/>
      <c r="B994" s="236"/>
      <c r="C994" s="237"/>
      <c r="D994" s="237"/>
      <c r="E994" s="238"/>
      <c r="F994" s="238"/>
      <c r="G994" s="239"/>
      <c r="H994" s="239"/>
      <c r="I994" s="235"/>
      <c r="J994" s="235"/>
      <c r="K994" s="235"/>
      <c r="L994" s="235"/>
      <c r="M994" s="235"/>
      <c r="N994" s="235"/>
      <c r="O994" s="235"/>
      <c r="P994" s="235"/>
      <c r="Q994" s="235"/>
      <c r="R994" s="235"/>
      <c r="S994" s="235"/>
      <c r="T994" s="235"/>
      <c r="U994" s="235"/>
      <c r="V994" s="235"/>
      <c r="W994" s="235"/>
      <c r="X994" s="235"/>
      <c r="Y994" s="235"/>
      <c r="Z994" s="235"/>
    </row>
    <row r="995">
      <c r="A995" s="236"/>
      <c r="B995" s="236"/>
      <c r="C995" s="237"/>
      <c r="D995" s="237"/>
      <c r="E995" s="238"/>
      <c r="F995" s="238"/>
      <c r="G995" s="239"/>
      <c r="H995" s="239"/>
      <c r="I995" s="235"/>
      <c r="J995" s="235"/>
      <c r="K995" s="235"/>
      <c r="L995" s="235"/>
      <c r="M995" s="235"/>
      <c r="N995" s="235"/>
      <c r="O995" s="235"/>
      <c r="P995" s="235"/>
      <c r="Q995" s="235"/>
      <c r="R995" s="235"/>
      <c r="S995" s="235"/>
      <c r="T995" s="235"/>
      <c r="U995" s="235"/>
      <c r="V995" s="235"/>
      <c r="W995" s="235"/>
      <c r="X995" s="235"/>
      <c r="Y995" s="235"/>
      <c r="Z995" s="235"/>
    </row>
    <row r="996">
      <c r="A996" s="236"/>
      <c r="B996" s="236"/>
      <c r="C996" s="237"/>
      <c r="D996" s="237"/>
      <c r="E996" s="238"/>
      <c r="F996" s="238"/>
      <c r="G996" s="239"/>
      <c r="H996" s="239"/>
      <c r="I996" s="235"/>
      <c r="J996" s="235"/>
      <c r="K996" s="235"/>
      <c r="L996" s="235"/>
      <c r="M996" s="235"/>
      <c r="N996" s="235"/>
      <c r="O996" s="235"/>
      <c r="P996" s="235"/>
      <c r="Q996" s="235"/>
      <c r="R996" s="235"/>
      <c r="S996" s="235"/>
      <c r="T996" s="235"/>
      <c r="U996" s="235"/>
      <c r="V996" s="235"/>
      <c r="W996" s="235"/>
      <c r="X996" s="235"/>
      <c r="Y996" s="235"/>
      <c r="Z996" s="235"/>
    </row>
    <row r="997">
      <c r="A997" s="236"/>
      <c r="B997" s="236"/>
      <c r="C997" s="237"/>
      <c r="D997" s="237"/>
      <c r="E997" s="238"/>
      <c r="F997" s="238"/>
      <c r="G997" s="239"/>
      <c r="H997" s="239"/>
      <c r="I997" s="235"/>
      <c r="J997" s="235"/>
      <c r="K997" s="235"/>
      <c r="L997" s="235"/>
      <c r="M997" s="235"/>
      <c r="N997" s="235"/>
      <c r="O997" s="235"/>
      <c r="P997" s="235"/>
      <c r="Q997" s="235"/>
      <c r="R997" s="235"/>
      <c r="S997" s="235"/>
      <c r="T997" s="235"/>
      <c r="U997" s="235"/>
      <c r="V997" s="235"/>
      <c r="W997" s="235"/>
      <c r="X997" s="235"/>
      <c r="Y997" s="235"/>
      <c r="Z997" s="235"/>
    </row>
    <row r="998">
      <c r="A998" s="236"/>
      <c r="B998" s="236"/>
      <c r="C998" s="237"/>
      <c r="D998" s="237"/>
      <c r="E998" s="238"/>
      <c r="F998" s="238"/>
      <c r="G998" s="239"/>
      <c r="H998" s="239"/>
      <c r="I998" s="235"/>
      <c r="J998" s="235"/>
      <c r="K998" s="235"/>
      <c r="L998" s="235"/>
      <c r="M998" s="235"/>
      <c r="N998" s="235"/>
      <c r="O998" s="235"/>
      <c r="P998" s="235"/>
      <c r="Q998" s="235"/>
      <c r="R998" s="235"/>
      <c r="S998" s="235"/>
      <c r="T998" s="235"/>
      <c r="U998" s="235"/>
      <c r="V998" s="235"/>
      <c r="W998" s="235"/>
      <c r="X998" s="235"/>
      <c r="Y998" s="235"/>
      <c r="Z998" s="235"/>
    </row>
    <row r="999">
      <c r="A999" s="236"/>
      <c r="B999" s="236"/>
      <c r="C999" s="237"/>
      <c r="D999" s="237"/>
      <c r="E999" s="238"/>
      <c r="F999" s="238"/>
      <c r="G999" s="239"/>
      <c r="H999" s="239"/>
      <c r="I999" s="235"/>
      <c r="J999" s="235"/>
      <c r="K999" s="235"/>
      <c r="L999" s="235"/>
      <c r="M999" s="235"/>
      <c r="N999" s="235"/>
      <c r="O999" s="235"/>
      <c r="P999" s="235"/>
      <c r="Q999" s="235"/>
      <c r="R999" s="235"/>
      <c r="S999" s="235"/>
      <c r="T999" s="235"/>
      <c r="U999" s="235"/>
      <c r="V999" s="235"/>
      <c r="W999" s="235"/>
      <c r="X999" s="235"/>
      <c r="Y999" s="235"/>
      <c r="Z999" s="235"/>
    </row>
    <row r="1000">
      <c r="A1000" s="236"/>
      <c r="B1000" s="236"/>
      <c r="C1000" s="237"/>
      <c r="D1000" s="237"/>
      <c r="E1000" s="238"/>
      <c r="F1000" s="238"/>
      <c r="G1000" s="239"/>
      <c r="H1000" s="239"/>
      <c r="I1000" s="235"/>
      <c r="J1000" s="235"/>
      <c r="K1000" s="235"/>
      <c r="L1000" s="235"/>
      <c r="M1000" s="235"/>
      <c r="N1000" s="235"/>
      <c r="O1000" s="235"/>
      <c r="P1000" s="235"/>
      <c r="Q1000" s="235"/>
      <c r="R1000" s="235"/>
      <c r="S1000" s="235"/>
      <c r="T1000" s="235"/>
      <c r="U1000" s="235"/>
      <c r="V1000" s="235"/>
      <c r="W1000" s="235"/>
      <c r="X1000" s="235"/>
      <c r="Y1000" s="235"/>
      <c r="Z1000" s="235"/>
    </row>
    <row r="1001">
      <c r="A1001" s="236"/>
      <c r="B1001" s="236"/>
      <c r="C1001" s="237"/>
      <c r="D1001" s="237"/>
      <c r="E1001" s="238"/>
      <c r="F1001" s="238"/>
      <c r="G1001" s="239"/>
      <c r="H1001" s="239"/>
      <c r="I1001" s="235"/>
      <c r="J1001" s="235"/>
      <c r="K1001" s="235"/>
      <c r="L1001" s="235"/>
      <c r="M1001" s="235"/>
      <c r="N1001" s="235"/>
      <c r="O1001" s="235"/>
      <c r="P1001" s="235"/>
      <c r="Q1001" s="235"/>
      <c r="R1001" s="235"/>
      <c r="S1001" s="235"/>
      <c r="T1001" s="235"/>
      <c r="U1001" s="235"/>
      <c r="V1001" s="235"/>
      <c r="W1001" s="235"/>
      <c r="X1001" s="235"/>
      <c r="Y1001" s="235"/>
      <c r="Z1001" s="235"/>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79.25"/>
    <col customWidth="1" min="4" max="4" width="19.63"/>
  </cols>
  <sheetData>
    <row r="1">
      <c r="A1" s="244" t="s">
        <v>207</v>
      </c>
      <c r="B1" s="245" t="s">
        <v>83</v>
      </c>
      <c r="C1" s="245" t="s">
        <v>84</v>
      </c>
      <c r="D1" s="245" t="s">
        <v>208</v>
      </c>
    </row>
    <row r="2">
      <c r="A2" s="246" t="str">
        <f>IFERROR(__xludf.DUMMYFUNCTION("IMPORTRANGE('Homebrew Sheet'!$A$6,""'Pokemon Roles'!$A$2:$D$51"")"),"")</f>
        <v/>
      </c>
      <c r="B2" s="247"/>
      <c r="C2" s="247"/>
      <c r="D2" s="247"/>
    </row>
    <row r="3">
      <c r="A3" s="246"/>
      <c r="B3" s="247"/>
      <c r="C3" s="247"/>
      <c r="D3" s="247"/>
    </row>
    <row r="4">
      <c r="A4" s="246"/>
      <c r="B4" s="247"/>
      <c r="C4" s="247"/>
      <c r="D4" s="247"/>
    </row>
    <row r="5">
      <c r="A5" s="246"/>
      <c r="B5" s="247"/>
      <c r="C5" s="247"/>
      <c r="D5" s="247"/>
    </row>
    <row r="6">
      <c r="A6" s="246"/>
      <c r="B6" s="247"/>
      <c r="C6" s="247"/>
      <c r="D6" s="247"/>
    </row>
    <row r="7">
      <c r="A7" s="246"/>
      <c r="B7" s="247"/>
      <c r="C7" s="247"/>
      <c r="D7" s="247"/>
    </row>
    <row r="8">
      <c r="A8" s="246"/>
      <c r="B8" s="247"/>
      <c r="C8" s="247"/>
      <c r="D8" s="247"/>
    </row>
    <row r="9">
      <c r="A9" s="246"/>
      <c r="B9" s="247"/>
      <c r="C9" s="247"/>
      <c r="D9" s="247"/>
    </row>
    <row r="10">
      <c r="A10" s="246"/>
      <c r="B10" s="247"/>
      <c r="C10" s="247"/>
      <c r="D10" s="247"/>
    </row>
    <row r="11">
      <c r="A11" s="246"/>
      <c r="B11" s="247"/>
      <c r="C11" s="247"/>
      <c r="D11" s="247"/>
    </row>
    <row r="12">
      <c r="A12" s="246"/>
      <c r="B12" s="247"/>
      <c r="C12" s="247"/>
      <c r="D12" s="247"/>
    </row>
    <row r="13">
      <c r="A13" s="246"/>
      <c r="B13" s="247"/>
      <c r="C13" s="247"/>
      <c r="D13" s="247"/>
    </row>
    <row r="14">
      <c r="A14" s="246"/>
      <c r="B14" s="247"/>
      <c r="C14" s="247"/>
      <c r="D14" s="247"/>
    </row>
    <row r="15">
      <c r="A15" s="246"/>
      <c r="B15" s="247"/>
      <c r="C15" s="247"/>
      <c r="D15" s="247"/>
    </row>
    <row r="16">
      <c r="A16" s="246"/>
      <c r="B16" s="247"/>
      <c r="C16" s="247"/>
      <c r="D16" s="247"/>
    </row>
    <row r="17">
      <c r="A17" s="246"/>
      <c r="B17" s="247"/>
      <c r="C17" s="247"/>
      <c r="D17" s="247"/>
    </row>
    <row r="18">
      <c r="A18" s="246"/>
      <c r="B18" s="247"/>
      <c r="C18" s="247"/>
      <c r="D18" s="247"/>
    </row>
    <row r="19">
      <c r="A19" s="246"/>
      <c r="B19" s="247"/>
      <c r="C19" s="247"/>
      <c r="D19" s="247"/>
    </row>
    <row r="20">
      <c r="A20" s="246"/>
      <c r="B20" s="247"/>
      <c r="C20" s="247"/>
      <c r="D20" s="247"/>
    </row>
    <row r="21">
      <c r="A21" s="246"/>
      <c r="B21" s="247"/>
      <c r="C21" s="247"/>
      <c r="D21" s="247"/>
    </row>
    <row r="22">
      <c r="A22" s="246"/>
      <c r="B22" s="247"/>
      <c r="C22" s="247"/>
      <c r="D22" s="247"/>
    </row>
    <row r="23">
      <c r="A23" s="246"/>
      <c r="B23" s="247"/>
      <c r="C23" s="247"/>
      <c r="D23" s="247"/>
    </row>
    <row r="24">
      <c r="A24" s="246"/>
      <c r="B24" s="247"/>
      <c r="C24" s="247"/>
      <c r="D24" s="247"/>
    </row>
    <row r="25">
      <c r="A25" s="246"/>
      <c r="B25" s="247"/>
      <c r="C25" s="247"/>
      <c r="D25" s="247"/>
    </row>
    <row r="26">
      <c r="A26" s="246"/>
      <c r="B26" s="247"/>
      <c r="C26" s="247"/>
      <c r="D26" s="247"/>
    </row>
    <row r="27">
      <c r="A27" s="246"/>
      <c r="B27" s="247"/>
      <c r="C27" s="247"/>
      <c r="D27" s="247"/>
    </row>
    <row r="28">
      <c r="A28" s="246"/>
      <c r="B28" s="247"/>
      <c r="C28" s="247"/>
      <c r="D28" s="247"/>
    </row>
    <row r="29">
      <c r="A29" s="246"/>
      <c r="B29" s="247"/>
      <c r="C29" s="247"/>
      <c r="D29" s="247"/>
    </row>
    <row r="30">
      <c r="A30" s="246"/>
      <c r="B30" s="247"/>
      <c r="C30" s="247"/>
      <c r="D30" s="247"/>
    </row>
    <row r="31">
      <c r="A31" s="246"/>
      <c r="B31" s="247"/>
      <c r="C31" s="247"/>
      <c r="D31" s="247"/>
    </row>
    <row r="32">
      <c r="A32" s="246"/>
      <c r="B32" s="247"/>
      <c r="C32" s="247"/>
      <c r="D32" s="247"/>
    </row>
    <row r="33">
      <c r="A33" s="246"/>
      <c r="B33" s="247"/>
      <c r="C33" s="247"/>
      <c r="D33" s="247"/>
    </row>
    <row r="34">
      <c r="A34" s="246"/>
      <c r="B34" s="247"/>
      <c r="C34" s="247"/>
      <c r="D34" s="247"/>
    </row>
    <row r="35">
      <c r="A35" s="246"/>
      <c r="B35" s="247"/>
      <c r="C35" s="247"/>
      <c r="D35" s="247"/>
    </row>
    <row r="36">
      <c r="A36" s="246"/>
      <c r="B36" s="247"/>
      <c r="C36" s="247"/>
      <c r="D36" s="247"/>
    </row>
    <row r="37">
      <c r="A37" s="246"/>
      <c r="B37" s="247"/>
      <c r="C37" s="247"/>
      <c r="D37" s="247"/>
    </row>
    <row r="38">
      <c r="A38" s="246"/>
      <c r="B38" s="247"/>
      <c r="C38" s="247"/>
      <c r="D38" s="247"/>
    </row>
    <row r="39">
      <c r="A39" s="246"/>
      <c r="B39" s="247"/>
      <c r="C39" s="247"/>
      <c r="D39" s="247"/>
    </row>
    <row r="40">
      <c r="A40" s="246"/>
      <c r="B40" s="247"/>
      <c r="C40" s="247"/>
      <c r="D40" s="247"/>
    </row>
    <row r="41">
      <c r="A41" s="246"/>
      <c r="B41" s="247"/>
      <c r="C41" s="247"/>
      <c r="D41" s="247"/>
    </row>
    <row r="42">
      <c r="A42" s="246"/>
      <c r="B42" s="247"/>
      <c r="C42" s="247"/>
      <c r="D42" s="247"/>
    </row>
    <row r="43">
      <c r="A43" s="246"/>
      <c r="B43" s="247"/>
      <c r="C43" s="247"/>
      <c r="D43" s="247"/>
    </row>
    <row r="44">
      <c r="A44" s="246"/>
      <c r="B44" s="247"/>
      <c r="C44" s="247"/>
      <c r="D44" s="247"/>
    </row>
    <row r="45">
      <c r="A45" s="246"/>
      <c r="B45" s="247"/>
      <c r="C45" s="247"/>
      <c r="D45" s="247"/>
    </row>
    <row r="46">
      <c r="A46" s="246"/>
      <c r="B46" s="247"/>
      <c r="C46" s="247"/>
      <c r="D46" s="247"/>
    </row>
    <row r="47">
      <c r="A47" s="246"/>
      <c r="B47" s="247"/>
      <c r="C47" s="247"/>
      <c r="D47" s="247"/>
    </row>
    <row r="48">
      <c r="A48" s="246"/>
      <c r="B48" s="247"/>
      <c r="C48" s="247"/>
      <c r="D48" s="247"/>
    </row>
    <row r="49">
      <c r="A49" s="246"/>
      <c r="B49" s="247"/>
      <c r="C49" s="247"/>
      <c r="D49" s="247"/>
    </row>
    <row r="50">
      <c r="A50" s="246"/>
      <c r="B50" s="247"/>
      <c r="C50" s="247"/>
      <c r="D50" s="247"/>
    </row>
    <row r="51">
      <c r="A51" s="248"/>
      <c r="B51" s="249"/>
      <c r="C51" s="249"/>
      <c r="D51" s="249"/>
    </row>
    <row r="52">
      <c r="A52" s="246" t="str">
        <f>IFERROR(__xludf.DUMMYFUNCTION("IMPORTRANGE(""https://docs.google.com/spreadsheets/d/1OWqz0Kj63DvuK16jiKGSn_Hv_N2mbyV2QAdHjKdcrpw/edit?gid=438375825#gid=438375825"",""'Pokemon Roles'!$A$2:$D"")"),"Artillerist")</f>
        <v>Artillerist</v>
      </c>
      <c r="B52" s="247" t="str">
        <f>IFERROR(__xludf.DUMMYFUNCTION("""COMPUTED_VALUE"""),"As a Swift or Movement Action, you create a 2x2 Zone within 8m. Then choose a Natural Blast or Line Attack  within Frequency. At the end of the next Round if you haven’t fainted, the chosen Attack is used as a Free Action on all Enemies in this Zone (unle"&amp;"ss it affects the field like Hazards). This Role may also be activated with Priority at the start of a Round. If you do so, the Attack is used at the end of the Round rather than the next one.")</f>
        <v>As a Swift or Movement Action, you create a 2x2 Zone within 8m. Then choose a Natural Blast or Line Attack  within Frequency. At the end of the next Round if you haven’t fainted, the chosen Attack is used as a Free Action on all Enemies in this Zone (unless it affects the field like Hazards). This Role may also be activated with Priority at the start of a Round. If you do so, the Attack is used at the end of the Round rather than the next one.</v>
      </c>
      <c r="C52" s="247" t="str">
        <f>IFERROR(__xludf.DUMMYFUNCTION("""COMPUTED_VALUE"""),"HP, Attack, Sp Attack")</f>
        <v>HP, Attack, Sp Attack</v>
      </c>
      <c r="D52" s="247"/>
    </row>
    <row r="53">
      <c r="A53" s="246" t="str">
        <f>IFERROR(__xludf.DUMMYFUNCTION("""COMPUTED_VALUE"""),"Behemoth")</f>
        <v>Behemoth</v>
      </c>
      <c r="B53" s="247" t="str">
        <f>IFERROR(__xludf.DUMMYFUNCTION("""COMPUTED_VALUE"""),"Your Size Category is increased by one step. As a Swift Action, until the end of your turn, you may use your Melee Attacks as if their Range were Burst 1 or Close Blast 2. If any Attacks are used this way, you cannot perform Save Checks until the start of"&amp;" your next Turn.  ")</f>
        <v>Your Size Category is increased by one step. As a Swift Action, until the end of your turn, you may use your Melee Attacks as if their Range were Burst 1 or Close Blast 2. If any Attacks are used this way, you cannot perform Save Checks until the start of your next Turn.  </v>
      </c>
      <c r="C53" s="247" t="str">
        <f>IFERROR(__xludf.DUMMYFUNCTION("""COMPUTED_VALUE"""),"HP, Attack, Defense")</f>
        <v>HP, Attack, Defense</v>
      </c>
      <c r="D53" s="247"/>
    </row>
    <row r="54">
      <c r="A54" s="246" t="str">
        <f>IFERROR(__xludf.DUMMYFUNCTION("""COMPUTED_VALUE"""),"Brawler")</f>
        <v>Brawler</v>
      </c>
      <c r="B54" s="247" t="str">
        <f>IFERROR(__xludf.DUMMYFUNCTION("""COMPUTED_VALUE"""),"Whenever you resolve a Melee Damaging Attack used as a Standard Action, you may use another Melee Attack or Basic Attack against a different adjacent enemy as a Movement Action + Reaction; or a Reaction if the triggering Attack missed. This Attack is resi"&amp;"sted by an additional step for each Status Affliction you are affected by. ")</f>
        <v>Whenever you resolve a Melee Damaging Attack used as a Standard Action, you may use another Melee Attack or Basic Attack against a different adjacent enemy as a Movement Action + Reaction; or a Reaction if the triggering Attack missed. This Attack is resisted by an additional step for each Status Affliction you are affected by. </v>
      </c>
      <c r="C54" s="247" t="str">
        <f>IFERROR(__xludf.DUMMYFUNCTION("""COMPUTED_VALUE"""),"HP, Attack, Defense")</f>
        <v>HP, Attack, Defense</v>
      </c>
      <c r="D54" s="247"/>
    </row>
    <row r="55">
      <c r="A55" s="246" t="str">
        <f>IFERROR(__xludf.DUMMYFUNCTION("""COMPUTED_VALUE"""),"Corruptor")</f>
        <v>Corruptor</v>
      </c>
      <c r="B55" s="247" t="str">
        <f>IFERROR(__xludf.DUMMYFUNCTION("""COMPUTED_VALUE"""),"Whenever you inflict a Status Affliction, one affected enemy may become Marked with a Corruption Mark while that have that Affliction. Enemies with your Corruption Mark must lose a Tick of Hit Points or have a Stat with Positive CS lowered by -2 in order "&amp;"to perform a Save Check or use a Self Attack.")</f>
        <v>Whenever you inflict a Status Affliction, one affected enemy may become Marked with a Corruption Mark while that have that Affliction. Enemies with your Corruption Mark must lose a Tick of Hit Points or have a Stat with Positive CS lowered by -2 in order to perform a Save Check or use a Self Attack.</v>
      </c>
      <c r="C55" s="247" t="str">
        <f>IFERROR(__xludf.DUMMYFUNCTION("""COMPUTED_VALUE"""),"HP, Sp Attack, Sp Defense")</f>
        <v>HP, Sp Attack, Sp Defense</v>
      </c>
      <c r="D55" s="247"/>
    </row>
    <row r="56">
      <c r="A56" s="246" t="str">
        <f>IFERROR(__xludf.DUMMYFUNCTION("""COMPUTED_VALUE"""),"Detonator")</f>
        <v>Detonator</v>
      </c>
      <c r="B56" s="247" t="str">
        <f>IFERROR(__xludf.DUMMYFUNCTION("""COMPUTED_VALUE"""),"As a Swift or Movement Action, you may create an Explosive Hazard within 3m that are [Breakable - Fragile]. As a Free Action (Priority) when you would Faint or as a Swift Action + Reaction, you may destroy any number of these Hazards and then immediately "&amp;"use a Basic Attack with the Targets being all Combatants that were Adjacent to Explosive Hazards destroyed this way. This Basic Attack has the Smite Keyword. You cannot destroy Explosive Hazards that you created in the same Turn. ")</f>
        <v>As a Swift or Movement Action, you may create an Explosive Hazard within 3m that are [Breakable - Fragile]. As a Free Action (Priority) when you would Faint or as a Swift Action + Reaction, you may destroy any number of these Hazards and then immediately use a Basic Attack with the Targets being all Combatants that were Adjacent to Explosive Hazards destroyed this way. This Basic Attack has the Smite Keyword. You cannot destroy Explosive Hazards that you created in the same Turn. </v>
      </c>
      <c r="C56" s="247" t="str">
        <f>IFERROR(__xludf.DUMMYFUNCTION("""COMPUTED_VALUE"""),"Attack, Sp Attack, Speed")</f>
        <v>Attack, Sp Attack, Speed</v>
      </c>
      <c r="D56" s="247"/>
    </row>
    <row r="57">
      <c r="A57" s="246" t="str">
        <f>IFERROR(__xludf.DUMMYFUNCTION("""COMPUTED_VALUE"""),"Executioner")</f>
        <v>Executioner</v>
      </c>
      <c r="B57" s="247" t="str">
        <f>IFERROR(__xludf.DUMMYFUNCTION("""COMPUTED_VALUE"""),"As a Swift Action, you can Target an enemy within 10m and learn their current Hit Points and its percentage based on their Max HP. Whenever you use an Attack against a single enemy that is below 50% Hit Points or has a Status Affliction, they cannot apply"&amp;" Stat Evasion against it. ")</f>
        <v>As a Swift Action, you can Target an enemy within 10m and learn their current Hit Points and its percentage based on their Max HP. Whenever you use an Attack against a single enemy that is below 50% Hit Points or has a Status Affliction, they cannot apply Stat Evasion against it. </v>
      </c>
      <c r="C57" s="247" t="str">
        <f>IFERROR(__xludf.DUMMYFUNCTION("""COMPUTED_VALUE"""),"Attack, Sp Attack, Speed")</f>
        <v>Attack, Sp Attack, Speed</v>
      </c>
      <c r="D57" s="247"/>
    </row>
    <row r="58">
      <c r="A58" s="246" t="str">
        <f>IFERROR(__xludf.DUMMYFUNCTION("""COMPUTED_VALUE"""),"Magus")</f>
        <v>Magus</v>
      </c>
      <c r="B58" s="247" t="str">
        <f>IFERROR(__xludf.DUMMYFUNCTION("""COMPUTED_VALUE"""),"Your Special Attacks grant an Energy Token upon either missing all Targets or on a 17+ (Max 3). Energy Tokens act as Spirit Points for Mental Affliction Save Checks and non-Physical Attack Accuracy Rolls. Energy Tokens are removed at the end of a Scene.  ")</f>
        <v>Your Special Attacks grant an Energy Token upon either missing all Targets or on a 17+ (Max 3). Energy Tokens act as Spirit Points for Mental Affliction Save Checks and non-Physical Attack Accuracy Rolls. Energy Tokens are removed at the end of a Scene.  </v>
      </c>
      <c r="C58" s="247" t="str">
        <f>IFERROR(__xludf.DUMMYFUNCTION("""COMPUTED_VALUE"""),"HP, Special Attack, Special Defense")</f>
        <v>HP, Special Attack, Special Defense</v>
      </c>
      <c r="D58" s="247"/>
    </row>
    <row r="59">
      <c r="A59" s="246" t="str">
        <f>IFERROR(__xludf.DUMMYFUNCTION("""COMPUTED_VALUE"""),"Mystic")</f>
        <v>Mystic</v>
      </c>
      <c r="B59" s="247" t="str">
        <f>IFERROR(__xludf.DUMMYFUNCTION("""COMPUTED_VALUE"""),"As a Swift Action, you may use a Physical Attack as if it were the Special Category or vice versa. If the Attack matches one of your Types, this is a Free Action instead. ")</f>
        <v>As a Swift Action, you may use a Physical Attack as if it were the Special Category or vice versa. If the Attack matches one of your Types, this is a Free Action instead. </v>
      </c>
      <c r="C59" s="247" t="str">
        <f>IFERROR(__xludf.DUMMYFUNCTION("""COMPUTED_VALUE"""),"Attack, Sp Attack, Sp Defense")</f>
        <v>Attack, Sp Attack, Sp Defense</v>
      </c>
      <c r="D59" s="247"/>
    </row>
    <row r="60">
      <c r="A60" s="246" t="str">
        <f>IFERROR(__xludf.DUMMYFUNCTION("""COMPUTED_VALUE"""),"Ranger")</f>
        <v>Ranger</v>
      </c>
      <c r="B60" s="247" t="str">
        <f>IFERROR(__xludf.DUMMYFUNCTION("""COMPUTED_VALUE"""),"As a Swift or Movement Action you may choose a 1-Target Attack you know. Until the end of your Turn, that Attack’s Range becomes “5, 1 Target” if it was Melee, or its existing range is increased by +2 meters. Whenever an enemy within 5m, but not adjacent "&amp;"to you, misses an Attack on you, you may trigger an Attack of Opportunity against them, ignoring Range.")</f>
        <v>As a Swift or Movement Action you may choose a 1-Target Attack you know. Until the end of your Turn, that Attack’s Range becomes “5, 1 Target” if it was Melee, or its existing range is increased by +2 meters. Whenever an enemy within 5m, but not adjacent to you, misses an Attack on you, you may trigger an Attack of Opportunity against them, ignoring Range.</v>
      </c>
      <c r="C60" s="247" t="str">
        <f>IFERROR(__xludf.DUMMYFUNCTION("""COMPUTED_VALUE"""),"Attack, Sp Attack, Speed")</f>
        <v>Attack, Sp Attack, Speed</v>
      </c>
      <c r="D60" s="247"/>
    </row>
    <row r="61">
      <c r="A61" s="246" t="str">
        <f>IFERROR(__xludf.DUMMYFUNCTION("""COMPUTED_VALUE"""),"Zephyr")</f>
        <v>Zephyr</v>
      </c>
      <c r="B61" s="247" t="str">
        <f>IFERROR(__xludf.DUMMYFUNCTION("""COMPUTED_VALUE"""),"Once per Turn, as a Swift or Movement Action you may choose a “Melee, 1 Target” Attack you know and grant it one of the following until the end of your Turn. It gains the Dash Keyword. It gains the Pass Keyword. Enemies treat it as having the Unstoppable "&amp;"Keyword if Speed isn’t their highest Stat Evasion.")</f>
        <v>Once per Turn, as a Swift or Movement Action you may choose a “Melee, 1 Target” Attack you know and grant it one of the following until the end of your Turn. It gains the Dash Keyword. It gains the Pass Keyword. Enemies treat it as having the Unstoppable Keyword if Speed isn’t their highest Stat Evasion.</v>
      </c>
      <c r="C61" s="247" t="str">
        <f>IFERROR(__xludf.DUMMYFUNCTION("""COMPUTED_VALUE"""),"HP, Attack, Speed")</f>
        <v>HP, Attack, Speed</v>
      </c>
      <c r="D61" s="247"/>
    </row>
    <row r="62">
      <c r="A62" s="246" t="str">
        <f>IFERROR(__xludf.DUMMYFUNCTION("""COMPUTED_VALUE"""),"Avenger")</f>
        <v>Avenger</v>
      </c>
      <c r="B62" s="247" t="str">
        <f>IFERROR(__xludf.DUMMYFUNCTION("""COMPUTED_VALUE""")," Once per Round, whenever an Ally is hit by an Attack, as a Free Action the Attacker becomes Marked with an Avenger Mark. While an Enemy has an Avenger Mark, you are Provoked by them. Your Attacks have a bonus to Accuracy against enemies with your Avenger"&amp;" Mark equal to your Tier Level, or double if they caused an Ally to faint this Round. ")</f>
        <v> Once per Round, whenever an Ally is hit by an Attack, as a Free Action the Attacker becomes Marked with an Avenger Mark. While an Enemy has an Avenger Mark, you are Provoked by them. Your Attacks have a bonus to Accuracy against enemies with your Avenger Mark equal to your Tier Level, or double if they caused an Ally to faint this Round. </v>
      </c>
      <c r="C62" s="247" t="str">
        <f>IFERROR(__xludf.DUMMYFUNCTION("""COMPUTED_VALUE"""),"Attack, Defense, Sp Attack")</f>
        <v>Attack, Defense, Sp Attack</v>
      </c>
      <c r="D62" s="247"/>
    </row>
    <row r="63">
      <c r="A63" s="246" t="str">
        <f>IFERROR(__xludf.DUMMYFUNCTION("""COMPUTED_VALUE"""),"Bastion")</f>
        <v>Bastion</v>
      </c>
      <c r="B63" s="247" t="str">
        <f>IFERROR(__xludf.DUMMYFUNCTION("""COMPUTED_VALUE"""),"Whenever you’re hit by a Physical Attack, you may use a Reaction or Swift Action to apply half of your Special Defense to Damage Calculations instead, or both to apply the full value. This also applies to being hit by Special Attacks, with Defense being u"&amp;"sed instead. ")</f>
        <v>Whenever you’re hit by a Physical Attack, you may use a Reaction or Swift Action to apply half of your Special Defense to Damage Calculations instead, or both to apply the full value. This also applies to being hit by Special Attacks, with Defense being used instead. </v>
      </c>
      <c r="C63" s="247" t="str">
        <f>IFERROR(__xludf.DUMMYFUNCTION("""COMPUTED_VALUE"""),"HP, Defense, Sp Defense")</f>
        <v>HP, Defense, Sp Defense</v>
      </c>
      <c r="D63" s="247"/>
    </row>
    <row r="64">
      <c r="A64" s="246" t="str">
        <f>IFERROR(__xludf.DUMMYFUNCTION("""COMPUTED_VALUE"""),"Bulwark")</f>
        <v>Bulwark</v>
      </c>
      <c r="B64" s="247" t="str">
        <f>IFERROR(__xludf.DUMMYFUNCTION("""COMPUTED_VALUE"""),"Allies that are Adjacent to you treat you as Cover Terrain. If any Adjacent Allies are hit by a Blast or Line Attack, they may use a Reaction to resist it by an additional Damage Step, but if you were also Targeted, it is one step more effective against y"&amp;"ou.
")</f>
        <v>Allies that are Adjacent to you treat you as Cover Terrain. If any Adjacent Allies are hit by a Blast or Line Attack, they may use a Reaction to resist it by an additional Damage Step, but if you were also Targeted, it is one step more effective against you.
</v>
      </c>
      <c r="C64" s="247" t="str">
        <f>IFERROR(__xludf.DUMMYFUNCTION("""COMPUTED_VALUE"""),"HP, Attack, Defense")</f>
        <v>HP, Attack, Defense</v>
      </c>
      <c r="D64" s="247"/>
    </row>
    <row r="65">
      <c r="A65" s="246" t="str">
        <f>IFERROR(__xludf.DUMMYFUNCTION("""COMPUTED_VALUE"""),"Decoy")</f>
        <v>Decoy</v>
      </c>
      <c r="B65" s="247" t="str">
        <f>IFERROR(__xludf.DUMMYFUNCTION("""COMPUTED_VALUE"""),"ou gain the Taunt Attack and it doesn’t take an Attack Slot. Whenever you cause an Enemy to become Provoked, it is treated as if it were a Mental Affliction instead of its listed duration. ")</f>
        <v>ou gain the Taunt Attack and it doesn’t take an Attack Slot. Whenever you cause an Enemy to become Provoked, it is treated as if it were a Mental Affliction instead of its listed duration. </v>
      </c>
      <c r="C65" s="247" t="str">
        <f>IFERROR(__xludf.DUMMYFUNCTION("""COMPUTED_VALUE"""),"HP, Defense, Sp Defense")</f>
        <v>HP, Defense, Sp Defense</v>
      </c>
      <c r="D65" s="247"/>
    </row>
    <row r="66">
      <c r="A66" s="246" t="str">
        <f>IFERROR(__xludf.DUMMYFUNCTION("""COMPUTED_VALUE"""),"Obstructor")</f>
        <v>Obstructor</v>
      </c>
      <c r="B66" s="247" t="str">
        <f>IFERROR(__xludf.DUMMYFUNCTION("""COMPUTED_VALUE"""),"Choose up to 2 unoccupied Spaces within 3m to create Blocking, Cover, or Slow Terrain that is [Breakable - Fragile] and cannot exceed your size. This requires a Swift or Movement Action, but can be used as a Standard Action, to instead choose up to 4 spac"&amp;"es or make it [Breakable - Dense] instead.")</f>
        <v>Choose up to 2 unoccupied Spaces within 3m to create Blocking, Cover, or Slow Terrain that is [Breakable - Fragile] and cannot exceed your size. This requires a Swift or Movement Action, but can be used as a Standard Action, to instead choose up to 4 spaces or make it [Breakable - Dense] instead.</v>
      </c>
      <c r="C66" s="247" t="str">
        <f>IFERROR(__xludf.DUMMYFUNCTION("""COMPUTED_VALUE"""),"HP, Defense, Sp Defense")</f>
        <v>HP, Defense, Sp Defense</v>
      </c>
      <c r="D66" s="247"/>
    </row>
    <row r="67">
      <c r="A67" s="246" t="str">
        <f>IFERROR(__xludf.DUMMYFUNCTION("""COMPUTED_VALUE"""),"Sanctifier")</f>
        <v>Sanctifier</v>
      </c>
      <c r="B67" s="247" t="str">
        <f>IFERROR(__xludf.DUMMYFUNCTION("""COMPUTED_VALUE"""),"At the start of the Round, you may create a 3x3 Zone within 5m as a Free Action. At the end of the Round, any Combatant occupying this Zone restores HIt Points equal to your Tick Value multiplied by your Tier Level. This cannot be used if you have a Statu"&amp;"s Affliction and you can only have one Zone at a time. ")</f>
        <v>At the start of the Round, you may create a 3x3 Zone within 5m as a Free Action. At the end of the Round, any Combatant occupying this Zone restores HIt Points equal to your Tick Value multiplied by your Tier Level. This cannot be used if you have a Status Affliction and you can only have one Zone at a time. </v>
      </c>
      <c r="C67" s="247" t="str">
        <f>IFERROR(__xludf.DUMMYFUNCTION("""COMPUTED_VALUE"""),"HP, Sp Attack, Sp Defense")</f>
        <v>HP, Sp Attack, Sp Defense</v>
      </c>
      <c r="D67" s="247"/>
    </row>
    <row r="68">
      <c r="A68" s="246" t="str">
        <f>IFERROR(__xludf.DUMMYFUNCTION("""COMPUTED_VALUE"""),"Sentry")</f>
        <v>Sentry</v>
      </c>
      <c r="B68" s="247" t="str">
        <f>IFERROR(__xludf.DUMMYFUNCTION("""COMPUTED_VALUE"""),"At the start of the Round, you may create a Zone of up to 4 contiguous unoccupied spaces within 5m which lasts until the end of the Round or you trigger this Effect. Whenever an enemy enters this Zone you may Trigger an Attack of Opportunity or use an Att"&amp;"ack as if it had the Priority Keyword with only them as the Target. ")</f>
        <v>At the start of the Round, you may create a Zone of up to 4 contiguous unoccupied spaces within 5m which lasts until the end of the Round or you trigger this Effect. Whenever an enemy enters this Zone you may Trigger an Attack of Opportunity or use an Attack as if it had the Priority Keyword with only them as the Target. </v>
      </c>
      <c r="C68" s="247" t="str">
        <f>IFERROR(__xludf.DUMMYFUNCTION("""COMPUTED_VALUE"""),"HP, Attack, Sp Attack")</f>
        <v>HP, Attack, Sp Attack</v>
      </c>
      <c r="D68" s="247"/>
    </row>
    <row r="69">
      <c r="A69" s="246" t="str">
        <f>IFERROR(__xludf.DUMMYFUNCTION("""COMPUTED_VALUE"""),"Tumbler")</f>
        <v>Tumbler</v>
      </c>
      <c r="B69" s="247" t="str">
        <f>IFERROR(__xludf.DUMMYFUNCTION("""COMPUTED_VALUE"""),"At the start of the Scene, you gain Nimble Tokens equal to your Tier Level, which last until the end of the Scene. You may expend one Nimble Token as a Reaction to do any of the following. Gain +3 Uncapped Evasion against an Attack after seeing the Accura"&amp;"cy Roll. Treat your Defense Stat as if it were half the value of your Speed Stat. Treat an Attack only you are Targeted by as if it didn’t have the Smite Keyword. ")</f>
        <v>At the start of the Scene, you gain Nimble Tokens equal to your Tier Level, which last until the end of the Scene. You may expend one Nimble Token as a Reaction to do any of the following. Gain +3 Uncapped Evasion against an Attack after seeing the Accuracy Roll. Treat your Defense Stat as if it were half the value of your Speed Stat. Treat an Attack only you are Targeted by as if it didn’t have the Smite Keyword. </v>
      </c>
      <c r="C69" s="247" t="str">
        <f>IFERROR(__xludf.DUMMYFUNCTION("""COMPUTED_VALUE"""),"HP, Attack, Speed")</f>
        <v>HP, Attack, Speed</v>
      </c>
      <c r="D69" s="247"/>
    </row>
    <row r="70">
      <c r="A70" s="246" t="str">
        <f>IFERROR(__xludf.DUMMYFUNCTION("""COMPUTED_VALUE"""),"Vitalist")</f>
        <v>Vitalist</v>
      </c>
      <c r="B70" s="247" t="str">
        <f>IFERROR(__xludf.DUMMYFUNCTION("""COMPUTED_VALUE"""),"Whenever you gain Temporary Hit Points you may instead restore the same amount of Hit Points. Whenever you restore Hit Points, you may instead gain that much Temporary Hit Points. As a Swift Action, you can lose 3 Ticks of Hit Points to cure yourself of a"&amp;" Physical Affliction (If your Defense is higher than your Special Defense), or a Mental Affliction (If your Special Defense is higher than your Defense).")</f>
        <v>Whenever you gain Temporary Hit Points you may instead restore the same amount of Hit Points. Whenever you restore Hit Points, you may instead gain that much Temporary Hit Points. As a Swift Action, you can lose 3 Ticks of Hit Points to cure yourself of a Physical Affliction (If your Defense is higher than your Special Defense), or a Mental Affliction (If your Special Defense is higher than your Defense).</v>
      </c>
      <c r="C70" s="247" t="str">
        <f>IFERROR(__xludf.DUMMYFUNCTION("""COMPUTED_VALUE"""),"HP, Defense, Sp Defense")</f>
        <v>HP, Defense, Sp Defense</v>
      </c>
      <c r="D70" s="247"/>
    </row>
    <row r="71">
      <c r="A71" s="246" t="str">
        <f>IFERROR(__xludf.DUMMYFUNCTION("""COMPUTED_VALUE"""),"Warden")</f>
        <v>Warden</v>
      </c>
      <c r="B71" s="247" t="str">
        <f>IFERROR(__xludf.DUMMYFUNCTION("""COMPUTED_VALUE"""),"Once per Round you may use the Intercept Maneuver as a Swift Action on an Adjacent Allly. Whenever you use the Intercept Maneuver, it isn’t increased by an additional damage step. ")</f>
        <v>Once per Round you may use the Intercept Maneuver as a Swift Action on an Adjacent Allly. Whenever you use the Intercept Maneuver, it isn’t increased by an additional damage step. </v>
      </c>
      <c r="C71" s="247" t="str">
        <f>IFERROR(__xludf.DUMMYFUNCTION("""COMPUTED_VALUE"""),"HP, Defense, Sp Defense")</f>
        <v>HP, Defense, Sp Defense</v>
      </c>
      <c r="D71" s="247"/>
    </row>
    <row r="72">
      <c r="A72" s="246" t="str">
        <f>IFERROR(__xludf.DUMMYFUNCTION("""COMPUTED_VALUE"""),"Breaker")</f>
        <v>Breaker</v>
      </c>
      <c r="B72" s="247" t="str">
        <f>IFERROR(__xludf.DUMMYFUNCTION("""COMPUTED_VALUE"""),"As a Swift Action when using a Damaging Attack against a single Target, apply one of the following effects. If the Target has negative CS in the corresponding Defense Stat, all are applied instead
» The Target and their Adjacent Allies  cannot use Reacti"&amp;"ons until the Attack resolves
» They cannot apply Damage Reduction against it
» This Attack ignores positive CS in Defense and Sp Defense. ")</f>
        <v>As a Swift Action when using a Damaging Attack against a single Target, apply one of the following effects. If the Target has negative CS in the corresponding Defense Stat, all are applied instead
» The Target and their Adjacent Allies  cannot use Reactions until the Attack resolves
» They cannot apply Damage Reduction against it
» This Attack ignores positive CS in Defense and Sp Defense. </v>
      </c>
      <c r="C72" s="247" t="str">
        <f>IFERROR(__xludf.DUMMYFUNCTION("""COMPUTED_VALUE"""),"HP, Attack, Defense")</f>
        <v>HP, Attack, Defense</v>
      </c>
      <c r="D72" s="247"/>
    </row>
    <row r="73">
      <c r="A73" s="246" t="str">
        <f>IFERROR(__xludf.DUMMYFUNCTION("""COMPUTED_VALUE"""),"Caretaker")</f>
        <v>Caretaker</v>
      </c>
      <c r="B73" s="247" t="str">
        <f>IFERROR(__xludf.DUMMYFUNCTION("""COMPUTED_VALUE"""),"You gain the Helping Hand Attack and it doesn’t take an Attack Slot. Whenever you Target an Ally with an Attack, Ability or Bolster Maneuver, they gain a Tick of Temporary Hit Points unless it was a Free Action. Temp HP gained this way can stack on existi"&amp;"ng Temp HP. ")</f>
        <v>You gain the Helping Hand Attack and it doesn’t take an Attack Slot. Whenever you Target an Ally with an Attack, Ability or Bolster Maneuver, they gain a Tick of Temporary Hit Points unless it was a Free Action. Temp HP gained this way can stack on existing Temp HP. </v>
      </c>
      <c r="C73" s="247" t="str">
        <f>IFERROR(__xludf.DUMMYFUNCTION("""COMPUTED_VALUE"""),"HP, Sp Attack, Sp Defense")</f>
        <v>HP, Sp Attack, Sp Defense</v>
      </c>
      <c r="D73" s="247"/>
    </row>
    <row r="74">
      <c r="A74" s="246" t="str">
        <f>IFERROR(__xludf.DUMMYFUNCTION("""COMPUTED_VALUE"""),"Companion")</f>
        <v>Companion</v>
      </c>
      <c r="B74" s="247" t="str">
        <f>IFERROR(__xludf.DUMMYFUNCTION("""COMPUTED_VALUE"""),"At the start of the Scene or as a Standard Action, an Ally becomes Marked with a Friend Mark. You may use Self Attacks as if they were Melee, 1 Target, however they can only Target an Ally with your Friend Mark. When used this way, instances of “The User”"&amp;" become “The Target” instead.")</f>
        <v>At the start of the Scene or as a Standard Action, an Ally becomes Marked with a Friend Mark. You may use Self Attacks as if they were Melee, 1 Target, however they can only Target an Ally with your Friend Mark. When used this way, instances of “The User” become “The Target” instead.</v>
      </c>
      <c r="C74" s="247" t="str">
        <f>IFERROR(__xludf.DUMMYFUNCTION("""COMPUTED_VALUE"""),"HP, Sp Defense, Speed")</f>
        <v>HP, Sp Defense, Speed</v>
      </c>
      <c r="D74" s="247"/>
    </row>
    <row r="75">
      <c r="A75" s="246" t="str">
        <f>IFERROR(__xludf.DUMMYFUNCTION("""COMPUTED_VALUE"""),"Disruptor")</f>
        <v>Disruptor</v>
      </c>
      <c r="B75" s="247" t="str">
        <f>IFERROR(__xludf.DUMMYFUNCTION("""COMPUTED_VALUE"""),"Whenever an Enemy within 2m of you rolls a Skill Check, Accuracy Roll or Save Check, you may use a Reaction to penalize it. If it was a Skiil Check, it has a Bane. If it was an Accuracy or Save Check it has a Penalty equal to 1 plus your Tier Level.")</f>
        <v>Whenever an Enemy within 2m of you rolls a Skill Check, Accuracy Roll or Save Check, you may use a Reaction to penalize it. If it was a Skiil Check, it has a Bane. If it was an Accuracy or Save Check it has a Penalty equal to 1 plus your Tier Level.</v>
      </c>
      <c r="C75" s="247" t="str">
        <f>IFERROR(__xludf.DUMMYFUNCTION("""COMPUTED_VALUE"""),"Any Two Different Stats")</f>
        <v>Any Two Different Stats</v>
      </c>
      <c r="D75" s="247"/>
    </row>
    <row r="76">
      <c r="A76" s="246" t="str">
        <f>IFERROR(__xludf.DUMMYFUNCTION("""COMPUTED_VALUE"""),"Enhancer")</f>
        <v>Enhancer</v>
      </c>
      <c r="B76" s="247" t="str">
        <f>IFERROR(__xludf.DUMMYFUNCTION("""COMPUTED_VALUE"""),"As a Reaction, whenever you or an Ally within 3m gain CS, you may target yourself or an Ally within 3m. The Target gains +1 CS in one of the Stats increased. You cannot target the same combatant who gained CS from the Triggering instance. A Combatant cann"&amp;"ot be Targeted by Enhancer more than once per Round.")</f>
        <v>As a Reaction, whenever you or an Ally within 3m gain CS, you may target yourself or an Ally within 3m. The Target gains +1 CS in one of the Stats increased. You cannot target the same combatant who gained CS from the Triggering instance. A Combatant cannot be Targeted by Enhancer more than once per Round.</v>
      </c>
      <c r="C76" s="247" t="str">
        <f>IFERROR(__xludf.DUMMYFUNCTION("""COMPUTED_VALUE"""),"Any Two Different Stats")</f>
        <v>Any Two Different Stats</v>
      </c>
      <c r="D76" s="247"/>
    </row>
    <row r="77">
      <c r="A77" s="246" t="str">
        <f>IFERROR(__xludf.DUMMYFUNCTION("""COMPUTED_VALUE"""),"Leader")</f>
        <v>Leader</v>
      </c>
      <c r="B77" s="247" t="str">
        <f>IFERROR(__xludf.DUMMYFUNCTION("""COMPUTED_VALUE"""),"You may use Basic Orders but can only Target other allied Pokemon with them. Whenever you hit a single enemy with an Attack, they gain a Command Coat. You may expend this Coat when an Allied Pokemon within 3m Targets them with an Attack to use an Order on"&amp;" them as a Free Action. ")</f>
        <v>You may use Basic Orders but can only Target other allied Pokemon with them. Whenever you hit a single enemy with an Attack, they gain a Command Coat. You may expend this Coat when an Allied Pokemon within 3m Targets them with an Attack to use an Order on them as a Free Action. </v>
      </c>
      <c r="C77" s="247" t="str">
        <f>IFERROR(__xludf.DUMMYFUNCTION("""COMPUTED_VALUE"""),"HP, Sp Defense, Speed")</f>
        <v>HP, Sp Defense, Speed</v>
      </c>
      <c r="D77" s="247"/>
    </row>
    <row r="78">
      <c r="A78" s="246" t="str">
        <f>IFERROR(__xludf.DUMMYFUNCTION("""COMPUTED_VALUE"""),"Provisioner")</f>
        <v>Provisioner</v>
      </c>
      <c r="B78" s="247" t="str">
        <f>IFERROR(__xludf.DUMMYFUNCTION("""COMPUTED_VALUE"""),"You gain 4 Inventory Slots. You may use and equip Small or Medium Items regardless if they have the [Pokemon] Keyword. Adjacent Allies may take Items from your Inventory as a Free Action.")</f>
        <v>You gain 4 Inventory Slots. You may use and equip Small or Medium Items regardless if they have the [Pokemon] Keyword. Adjacent Allies may take Items from your Inventory as a Free Action.</v>
      </c>
      <c r="C78" s="247" t="str">
        <f>IFERROR(__xludf.DUMMYFUNCTION("""COMPUTED_VALUE"""),"Any Two Different Stats")</f>
        <v>Any Two Different Stats</v>
      </c>
      <c r="D78" s="247"/>
    </row>
    <row r="79">
      <c r="A79" s="246" t="str">
        <f>IFERROR(__xludf.DUMMYFUNCTION("""COMPUTED_VALUE"""),"Saboteur")</f>
        <v>Saboteur</v>
      </c>
      <c r="B79" s="247" t="str">
        <f>IFERROR(__xludf.DUMMYFUNCTION("""COMPUTED_VALUE"""),"Whenever you hit a Status Attack used as a Standard Action against a single Flanked or Vulnerable Enemy, you may grant them the Sabotaged Condition until the end of their next Turn. This Condition can do any one of the following for the duration they’re a"&amp;"ffected. Choose Type for the enemy to be considered as Neutral 1x Type Effectiveness against them.. The enemy cannot increase their Combat Stages. The enemy cannot restore Hit Points. A Random Ability is Disabled.")</f>
        <v>Whenever you hit a Status Attack used as a Standard Action against a single Flanked or Vulnerable Enemy, you may grant them the Sabotaged Condition until the end of their next Turn. This Condition can do any one of the following for the duration they’re affected. Choose Type for the enemy to be considered as Neutral 1x Type Effectiveness against them.. The enemy cannot increase their Combat Stages. The enemy cannot restore Hit Points. A Random Ability is Disabled.</v>
      </c>
      <c r="C79" s="247" t="str">
        <f>IFERROR(__xludf.DUMMYFUNCTION("""COMPUTED_VALUE"""),"Any Two Different Stats")</f>
        <v>Any Two Different Stats</v>
      </c>
      <c r="D79" s="247"/>
    </row>
    <row r="80">
      <c r="A80" s="246" t="str">
        <f>IFERROR(__xludf.DUMMYFUNCTION("""COMPUTED_VALUE"""),"Scoundrel")</f>
        <v>Scoundrel</v>
      </c>
      <c r="B80" s="247" t="str">
        <f>IFERROR(__xludf.DUMMYFUNCTION("""COMPUTED_VALUE"""),"You may ignore the restrictions and limitations of the Versatile Keyword if the Versatile Attack only targets enemies. Whenever you miss an enemy with an Attack, any subsequent Status Attack you use against only them until the end of the Round has the Sur"&amp;"eshot Keyword. ")</f>
        <v>You may ignore the restrictions and limitations of the Versatile Keyword if the Versatile Attack only targets enemies. Whenever you miss an enemy with an Attack, any subsequent Status Attack you use against only them until the end of the Round has the Sureshot Keyword. </v>
      </c>
      <c r="C80" s="247" t="str">
        <f>IFERROR(__xludf.DUMMYFUNCTION("""COMPUTED_VALUE"""),"HP, Sp Defense, Speed")</f>
        <v>HP, Sp Defense, Speed</v>
      </c>
      <c r="D80" s="247"/>
    </row>
    <row r="81">
      <c r="A81" s="246" t="str">
        <f>IFERROR(__xludf.DUMMYFUNCTION("""COMPUTED_VALUE"""),"Wayfarer")</f>
        <v>Wayfarer</v>
      </c>
      <c r="B81" s="247" t="str">
        <f>IFERROR(__xludf.DUMMYFUNCTION("""COMPUTED_VALUE"""),"The First time you would use a Movement Action each Round, it does not expend the Action. While you’re in Terrain that matches your Naturewalk, you have Uncapped Evasion equal to your Tier Level.  ")</f>
        <v>The First time you would use a Movement Action each Round, it does not expend the Action. While you’re in Terrain that matches your Naturewalk, you have Uncapped Evasion equal to your Tier Level.  </v>
      </c>
      <c r="C81" s="247" t="str">
        <f>IFERROR(__xludf.DUMMYFUNCTION("""COMPUTED_VALUE"""),"Attack, Sp Attack, Speed")</f>
        <v>Attack, Sp Attack, Speed</v>
      </c>
      <c r="D81" s="247"/>
    </row>
    <row r="82">
      <c r="A82" s="246"/>
      <c r="B82" s="247"/>
      <c r="C82" s="247"/>
      <c r="D82" s="247"/>
    </row>
    <row r="83">
      <c r="A83" s="246"/>
      <c r="B83" s="247"/>
      <c r="C83" s="247"/>
      <c r="D83" s="247"/>
    </row>
    <row r="84">
      <c r="A84" s="246"/>
      <c r="B84" s="247"/>
      <c r="C84" s="247"/>
      <c r="D84" s="247"/>
    </row>
    <row r="85">
      <c r="A85" s="246"/>
      <c r="B85" s="247"/>
      <c r="C85" s="247"/>
      <c r="D85" s="247"/>
    </row>
    <row r="86">
      <c r="A86" s="246"/>
      <c r="B86" s="247"/>
      <c r="C86" s="247"/>
      <c r="D86" s="247"/>
    </row>
    <row r="87">
      <c r="A87" s="246"/>
      <c r="B87" s="247"/>
      <c r="C87" s="247"/>
      <c r="D87" s="247"/>
    </row>
    <row r="88">
      <c r="A88" s="246"/>
      <c r="B88" s="247"/>
      <c r="C88" s="247"/>
      <c r="D88" s="247"/>
    </row>
    <row r="89">
      <c r="A89" s="246"/>
      <c r="B89" s="247"/>
      <c r="C89" s="247"/>
      <c r="D89" s="247"/>
    </row>
    <row r="90">
      <c r="A90" s="246"/>
      <c r="B90" s="247"/>
      <c r="C90" s="247"/>
      <c r="D90" s="247"/>
    </row>
    <row r="91">
      <c r="A91" s="246"/>
      <c r="B91" s="247"/>
      <c r="C91" s="247"/>
      <c r="D91" s="247"/>
    </row>
    <row r="92">
      <c r="A92" s="246"/>
      <c r="B92" s="247"/>
      <c r="C92" s="247"/>
      <c r="D92" s="247"/>
    </row>
    <row r="93">
      <c r="A93" s="246"/>
      <c r="B93" s="247"/>
      <c r="C93" s="247"/>
      <c r="D93" s="247"/>
    </row>
    <row r="94">
      <c r="A94" s="246"/>
      <c r="B94" s="247"/>
      <c r="C94" s="247"/>
      <c r="D94" s="247"/>
    </row>
    <row r="95">
      <c r="A95" s="246"/>
      <c r="B95" s="247"/>
      <c r="C95" s="247"/>
      <c r="D95" s="247"/>
    </row>
    <row r="96">
      <c r="A96" s="246"/>
      <c r="B96" s="247"/>
      <c r="C96" s="247"/>
      <c r="D96" s="247"/>
    </row>
    <row r="97">
      <c r="A97" s="246"/>
      <c r="B97" s="247"/>
      <c r="C97" s="247"/>
      <c r="D97" s="247"/>
    </row>
    <row r="98">
      <c r="A98" s="246"/>
      <c r="B98" s="247"/>
      <c r="C98" s="247"/>
      <c r="D98" s="247"/>
    </row>
    <row r="99">
      <c r="A99" s="246"/>
      <c r="B99" s="247"/>
      <c r="C99" s="247"/>
      <c r="D99" s="247"/>
    </row>
    <row r="100">
      <c r="A100" s="246"/>
      <c r="B100" s="247"/>
      <c r="C100" s="247"/>
      <c r="D100" s="247"/>
    </row>
    <row r="101">
      <c r="A101" s="246"/>
      <c r="B101" s="247"/>
      <c r="C101" s="247"/>
      <c r="D101" s="247"/>
    </row>
    <row r="102">
      <c r="A102" s="246"/>
      <c r="B102" s="247"/>
      <c r="C102" s="247"/>
      <c r="D102" s="247"/>
    </row>
    <row r="103">
      <c r="A103" s="246"/>
      <c r="B103" s="247"/>
      <c r="C103" s="247"/>
      <c r="D103" s="247"/>
    </row>
    <row r="104">
      <c r="A104" s="246"/>
      <c r="B104" s="247"/>
      <c r="C104" s="247"/>
      <c r="D104" s="247"/>
    </row>
    <row r="105">
      <c r="A105" s="246"/>
      <c r="B105" s="247"/>
      <c r="C105" s="247"/>
      <c r="D105" s="247"/>
    </row>
    <row r="106">
      <c r="A106" s="246"/>
      <c r="B106" s="247"/>
      <c r="C106" s="247"/>
      <c r="D106" s="247"/>
    </row>
    <row r="107">
      <c r="A107" s="246"/>
      <c r="B107" s="247"/>
      <c r="C107" s="247"/>
      <c r="D107" s="247"/>
    </row>
    <row r="108">
      <c r="A108" s="246"/>
      <c r="B108" s="247"/>
      <c r="C108" s="247"/>
      <c r="D108" s="247"/>
    </row>
    <row r="109">
      <c r="A109" s="246"/>
      <c r="B109" s="247"/>
      <c r="C109" s="247"/>
      <c r="D109" s="247"/>
    </row>
    <row r="110">
      <c r="A110" s="246"/>
      <c r="B110" s="247"/>
      <c r="C110" s="247"/>
      <c r="D110" s="247"/>
    </row>
    <row r="111">
      <c r="A111" s="246"/>
      <c r="B111" s="247"/>
      <c r="C111" s="247"/>
      <c r="D111" s="247"/>
    </row>
    <row r="112">
      <c r="A112" s="246"/>
      <c r="B112" s="247"/>
      <c r="C112" s="247"/>
      <c r="D112" s="247"/>
    </row>
    <row r="113">
      <c r="A113" s="246"/>
      <c r="B113" s="247"/>
      <c r="C113" s="247"/>
      <c r="D113" s="247"/>
    </row>
    <row r="114">
      <c r="A114" s="246"/>
      <c r="B114" s="247"/>
      <c r="C114" s="247"/>
      <c r="D114" s="247"/>
    </row>
    <row r="115">
      <c r="A115" s="246"/>
      <c r="B115" s="247"/>
      <c r="C115" s="247"/>
      <c r="D115" s="247"/>
    </row>
    <row r="116">
      <c r="A116" s="246"/>
      <c r="B116" s="247"/>
      <c r="C116" s="247"/>
      <c r="D116" s="247"/>
    </row>
    <row r="117">
      <c r="A117" s="246"/>
      <c r="B117" s="247"/>
      <c r="C117" s="247"/>
      <c r="D117" s="247"/>
    </row>
    <row r="118">
      <c r="A118" s="246"/>
      <c r="B118" s="247"/>
      <c r="C118" s="247"/>
      <c r="D118" s="247"/>
    </row>
    <row r="119">
      <c r="A119" s="246"/>
      <c r="B119" s="247"/>
      <c r="C119" s="247"/>
      <c r="D119" s="247"/>
    </row>
    <row r="120">
      <c r="A120" s="246"/>
      <c r="B120" s="247"/>
      <c r="C120" s="247"/>
      <c r="D120" s="247"/>
    </row>
    <row r="121">
      <c r="A121" s="246"/>
      <c r="B121" s="247"/>
      <c r="C121" s="247"/>
      <c r="D121" s="247"/>
    </row>
    <row r="122">
      <c r="A122" s="246"/>
      <c r="B122" s="247"/>
      <c r="C122" s="247"/>
      <c r="D122" s="247"/>
    </row>
    <row r="123">
      <c r="A123" s="246"/>
      <c r="B123" s="247"/>
      <c r="C123" s="247"/>
      <c r="D123" s="247"/>
    </row>
    <row r="124">
      <c r="A124" s="246"/>
      <c r="B124" s="247"/>
      <c r="C124" s="247"/>
      <c r="D124" s="247"/>
    </row>
    <row r="125">
      <c r="A125" s="246"/>
      <c r="B125" s="247"/>
      <c r="C125" s="247"/>
      <c r="D125" s="247"/>
    </row>
    <row r="126">
      <c r="A126" s="246"/>
      <c r="B126" s="247"/>
      <c r="C126" s="247"/>
      <c r="D126" s="247"/>
    </row>
    <row r="127">
      <c r="A127" s="246"/>
      <c r="B127" s="247"/>
      <c r="C127" s="247"/>
      <c r="D127" s="247"/>
    </row>
    <row r="128">
      <c r="A128" s="246"/>
      <c r="B128" s="247"/>
      <c r="C128" s="247"/>
      <c r="D128" s="247"/>
    </row>
    <row r="129">
      <c r="A129" s="246"/>
      <c r="B129" s="247"/>
      <c r="C129" s="247"/>
      <c r="D129" s="247"/>
    </row>
    <row r="130">
      <c r="A130" s="246"/>
      <c r="B130" s="247"/>
      <c r="C130" s="247"/>
      <c r="D130" s="247"/>
    </row>
    <row r="131">
      <c r="A131" s="246"/>
      <c r="B131" s="247"/>
      <c r="C131" s="247"/>
      <c r="D131" s="247"/>
    </row>
    <row r="132">
      <c r="A132" s="246"/>
      <c r="B132" s="247"/>
      <c r="C132" s="247"/>
      <c r="D132" s="247"/>
    </row>
    <row r="133">
      <c r="A133" s="246"/>
      <c r="B133" s="247"/>
      <c r="C133" s="247"/>
      <c r="D133" s="247"/>
    </row>
    <row r="134">
      <c r="A134" s="246"/>
      <c r="B134" s="247"/>
      <c r="C134" s="247"/>
      <c r="D134" s="247"/>
    </row>
    <row r="135">
      <c r="A135" s="246"/>
      <c r="B135" s="247"/>
      <c r="C135" s="247"/>
      <c r="D135" s="247"/>
    </row>
    <row r="136">
      <c r="A136" s="246"/>
      <c r="B136" s="247"/>
      <c r="C136" s="247"/>
      <c r="D136" s="247"/>
    </row>
    <row r="137">
      <c r="A137" s="246"/>
      <c r="B137" s="247"/>
      <c r="C137" s="247"/>
      <c r="D137" s="247"/>
    </row>
    <row r="138">
      <c r="A138" s="246"/>
      <c r="B138" s="247"/>
      <c r="C138" s="247"/>
      <c r="D138" s="247"/>
    </row>
    <row r="139">
      <c r="A139" s="246"/>
      <c r="B139" s="247"/>
      <c r="C139" s="247"/>
      <c r="D139" s="247"/>
    </row>
    <row r="140">
      <c r="A140" s="246"/>
      <c r="B140" s="247"/>
      <c r="C140" s="247"/>
      <c r="D140" s="247"/>
    </row>
    <row r="141">
      <c r="A141" s="246"/>
      <c r="B141" s="247"/>
      <c r="C141" s="247"/>
      <c r="D141" s="247"/>
    </row>
    <row r="142">
      <c r="A142" s="246"/>
      <c r="B142" s="247"/>
      <c r="C142" s="247"/>
      <c r="D142" s="247"/>
    </row>
    <row r="143">
      <c r="A143" s="246"/>
      <c r="B143" s="247"/>
      <c r="C143" s="247"/>
      <c r="D143" s="247"/>
    </row>
    <row r="144">
      <c r="A144" s="246"/>
      <c r="B144" s="247"/>
      <c r="C144" s="247"/>
      <c r="D144" s="247"/>
    </row>
    <row r="145">
      <c r="A145" s="246"/>
      <c r="B145" s="247"/>
      <c r="C145" s="247"/>
      <c r="D145" s="247"/>
    </row>
    <row r="146">
      <c r="A146" s="246"/>
      <c r="B146" s="247"/>
      <c r="C146" s="247"/>
      <c r="D146" s="247"/>
    </row>
    <row r="147">
      <c r="A147" s="246"/>
      <c r="B147" s="247"/>
      <c r="C147" s="247"/>
      <c r="D147" s="247"/>
    </row>
    <row r="148">
      <c r="A148" s="246"/>
      <c r="B148" s="247"/>
      <c r="C148" s="247"/>
      <c r="D148" s="247"/>
    </row>
    <row r="149">
      <c r="A149" s="246"/>
      <c r="B149" s="247"/>
      <c r="C149" s="247"/>
      <c r="D149" s="247"/>
    </row>
    <row r="150">
      <c r="A150" s="246"/>
      <c r="B150" s="247"/>
      <c r="C150" s="247"/>
      <c r="D150" s="247"/>
    </row>
    <row r="151">
      <c r="A151" s="246"/>
      <c r="B151" s="247"/>
      <c r="C151" s="247"/>
      <c r="D151" s="247"/>
    </row>
    <row r="152">
      <c r="A152" s="246"/>
      <c r="B152" s="247"/>
      <c r="C152" s="247"/>
      <c r="D152" s="247"/>
    </row>
    <row r="153">
      <c r="A153" s="246"/>
      <c r="B153" s="247"/>
      <c r="C153" s="247"/>
      <c r="D153" s="247"/>
    </row>
    <row r="154">
      <c r="A154" s="246"/>
      <c r="B154" s="247"/>
      <c r="C154" s="247"/>
      <c r="D154" s="247"/>
    </row>
    <row r="155">
      <c r="A155" s="246"/>
      <c r="B155" s="247"/>
      <c r="C155" s="247"/>
      <c r="D155" s="247"/>
    </row>
    <row r="156">
      <c r="A156" s="246"/>
      <c r="B156" s="247"/>
      <c r="C156" s="247"/>
      <c r="D156" s="247"/>
    </row>
    <row r="157">
      <c r="A157" s="246"/>
      <c r="B157" s="247"/>
      <c r="C157" s="247"/>
      <c r="D157" s="247"/>
    </row>
    <row r="158">
      <c r="A158" s="246"/>
      <c r="B158" s="247"/>
      <c r="C158" s="247"/>
      <c r="D158" s="247"/>
    </row>
    <row r="159">
      <c r="A159" s="246"/>
      <c r="B159" s="247"/>
      <c r="C159" s="247"/>
      <c r="D159" s="247"/>
    </row>
    <row r="160">
      <c r="A160" s="246"/>
      <c r="B160" s="247"/>
      <c r="C160" s="247"/>
      <c r="D160" s="247"/>
    </row>
    <row r="161">
      <c r="A161" s="246"/>
      <c r="B161" s="247"/>
      <c r="C161" s="247"/>
      <c r="D161" s="247"/>
    </row>
    <row r="162">
      <c r="A162" s="246"/>
      <c r="B162" s="247"/>
      <c r="C162" s="247"/>
      <c r="D162" s="247"/>
    </row>
    <row r="163">
      <c r="A163" s="246"/>
      <c r="B163" s="247"/>
      <c r="C163" s="247"/>
      <c r="D163" s="247"/>
    </row>
    <row r="164">
      <c r="A164" s="246"/>
      <c r="B164" s="247"/>
      <c r="C164" s="247"/>
      <c r="D164" s="247"/>
    </row>
    <row r="165">
      <c r="A165" s="246"/>
      <c r="B165" s="247"/>
      <c r="C165" s="247"/>
      <c r="D165" s="247"/>
    </row>
    <row r="166">
      <c r="A166" s="246"/>
      <c r="B166" s="247"/>
      <c r="C166" s="247"/>
      <c r="D166" s="247"/>
    </row>
    <row r="167">
      <c r="A167" s="246"/>
      <c r="B167" s="247"/>
      <c r="C167" s="247"/>
      <c r="D167" s="247"/>
    </row>
    <row r="168">
      <c r="A168" s="246"/>
      <c r="B168" s="247"/>
      <c r="C168" s="247"/>
      <c r="D168" s="247"/>
    </row>
    <row r="169">
      <c r="A169" s="246"/>
      <c r="B169" s="247"/>
      <c r="C169" s="247"/>
      <c r="D169" s="247"/>
    </row>
    <row r="170">
      <c r="A170" s="246"/>
      <c r="B170" s="247"/>
      <c r="C170" s="247"/>
      <c r="D170" s="247"/>
    </row>
    <row r="171">
      <c r="A171" s="246"/>
      <c r="B171" s="247"/>
      <c r="C171" s="247"/>
      <c r="D171" s="247"/>
    </row>
    <row r="172">
      <c r="A172" s="246"/>
      <c r="B172" s="247"/>
      <c r="C172" s="247"/>
      <c r="D172" s="247"/>
    </row>
    <row r="173">
      <c r="A173" s="246"/>
      <c r="B173" s="247"/>
      <c r="C173" s="247"/>
      <c r="D173" s="247"/>
    </row>
    <row r="174">
      <c r="A174" s="246"/>
      <c r="B174" s="247"/>
      <c r="C174" s="247"/>
      <c r="D174" s="247"/>
    </row>
    <row r="175">
      <c r="A175" s="246"/>
      <c r="B175" s="247"/>
      <c r="C175" s="247"/>
      <c r="D175" s="247"/>
    </row>
    <row r="176">
      <c r="A176" s="246"/>
      <c r="B176" s="247"/>
      <c r="C176" s="247"/>
      <c r="D176" s="247"/>
    </row>
    <row r="177">
      <c r="A177" s="246"/>
      <c r="B177" s="247"/>
      <c r="C177" s="247"/>
      <c r="D177" s="247"/>
    </row>
    <row r="178">
      <c r="A178" s="246"/>
      <c r="B178" s="247"/>
      <c r="C178" s="247"/>
      <c r="D178" s="247"/>
    </row>
    <row r="179">
      <c r="A179" s="246"/>
      <c r="B179" s="247"/>
      <c r="C179" s="247"/>
      <c r="D179" s="247"/>
    </row>
    <row r="180">
      <c r="A180" s="246"/>
      <c r="B180" s="247"/>
      <c r="C180" s="247"/>
      <c r="D180" s="247"/>
    </row>
    <row r="181">
      <c r="A181" s="246"/>
      <c r="B181" s="247"/>
      <c r="C181" s="247"/>
      <c r="D181" s="247"/>
    </row>
    <row r="182">
      <c r="A182" s="246"/>
      <c r="B182" s="247"/>
      <c r="C182" s="247"/>
      <c r="D182" s="247"/>
    </row>
    <row r="183">
      <c r="A183" s="246"/>
      <c r="B183" s="247"/>
      <c r="C183" s="247"/>
      <c r="D183" s="247"/>
    </row>
    <row r="184">
      <c r="A184" s="246"/>
      <c r="B184" s="247"/>
      <c r="C184" s="247"/>
      <c r="D184" s="247"/>
    </row>
    <row r="185">
      <c r="A185" s="246"/>
      <c r="B185" s="247"/>
      <c r="C185" s="247"/>
      <c r="D185" s="247"/>
    </row>
    <row r="186">
      <c r="A186" s="246"/>
      <c r="B186" s="247"/>
      <c r="C186" s="247"/>
      <c r="D186" s="247"/>
    </row>
    <row r="187">
      <c r="A187" s="246"/>
      <c r="B187" s="247"/>
      <c r="C187" s="247"/>
      <c r="D187" s="247"/>
    </row>
    <row r="188">
      <c r="A188" s="246"/>
      <c r="B188" s="247"/>
      <c r="C188" s="247"/>
      <c r="D188" s="247"/>
    </row>
    <row r="189">
      <c r="A189" s="246"/>
      <c r="B189" s="247"/>
      <c r="C189" s="247"/>
      <c r="D189" s="247"/>
    </row>
    <row r="190">
      <c r="A190" s="246"/>
      <c r="B190" s="247"/>
      <c r="C190" s="247"/>
      <c r="D190" s="247"/>
    </row>
    <row r="191">
      <c r="A191" s="246"/>
      <c r="B191" s="247"/>
      <c r="C191" s="247"/>
      <c r="D191" s="247"/>
    </row>
    <row r="192">
      <c r="A192" s="246"/>
      <c r="B192" s="247"/>
      <c r="C192" s="247"/>
      <c r="D192" s="247"/>
    </row>
    <row r="193">
      <c r="A193" s="246"/>
      <c r="B193" s="247"/>
      <c r="C193" s="247"/>
      <c r="D193" s="247"/>
    </row>
    <row r="194">
      <c r="A194" s="246"/>
      <c r="B194" s="247"/>
      <c r="C194" s="247"/>
      <c r="D194" s="247"/>
    </row>
    <row r="195">
      <c r="A195" s="246"/>
      <c r="B195" s="247"/>
      <c r="C195" s="247"/>
      <c r="D195" s="247"/>
    </row>
    <row r="196">
      <c r="A196" s="246"/>
      <c r="B196" s="247"/>
      <c r="C196" s="247"/>
      <c r="D196" s="247"/>
    </row>
    <row r="197">
      <c r="A197" s="246"/>
      <c r="B197" s="247"/>
      <c r="C197" s="247"/>
      <c r="D197" s="247"/>
    </row>
    <row r="198">
      <c r="A198" s="246"/>
      <c r="B198" s="247"/>
      <c r="C198" s="247"/>
      <c r="D198" s="247"/>
    </row>
    <row r="199">
      <c r="A199" s="246"/>
      <c r="B199" s="247"/>
      <c r="C199" s="247"/>
      <c r="D199" s="247"/>
    </row>
    <row r="200">
      <c r="A200" s="246"/>
      <c r="B200" s="247"/>
      <c r="C200" s="247"/>
      <c r="D200" s="247"/>
    </row>
    <row r="201">
      <c r="A201" s="246"/>
      <c r="B201" s="247"/>
      <c r="C201" s="247"/>
      <c r="D201" s="247"/>
    </row>
    <row r="202">
      <c r="A202" s="246"/>
      <c r="B202" s="247"/>
      <c r="C202" s="247"/>
      <c r="D202" s="247"/>
    </row>
    <row r="203">
      <c r="A203" s="246"/>
      <c r="B203" s="247"/>
      <c r="C203" s="247"/>
      <c r="D203" s="247"/>
    </row>
    <row r="204">
      <c r="A204" s="246"/>
      <c r="B204" s="247"/>
      <c r="C204" s="247"/>
      <c r="D204" s="247"/>
    </row>
    <row r="205">
      <c r="A205" s="246"/>
      <c r="B205" s="247"/>
      <c r="C205" s="247"/>
      <c r="D205" s="247"/>
    </row>
    <row r="206">
      <c r="A206" s="246"/>
      <c r="B206" s="247"/>
      <c r="C206" s="247"/>
      <c r="D206" s="247"/>
    </row>
    <row r="207">
      <c r="A207" s="246"/>
      <c r="B207" s="247"/>
      <c r="C207" s="247"/>
      <c r="D207" s="247"/>
    </row>
    <row r="208">
      <c r="A208" s="246"/>
      <c r="B208" s="247"/>
      <c r="C208" s="247"/>
      <c r="D208" s="247"/>
    </row>
    <row r="209">
      <c r="A209" s="246"/>
      <c r="B209" s="247"/>
      <c r="C209" s="247"/>
      <c r="D209" s="247"/>
    </row>
    <row r="210">
      <c r="A210" s="246"/>
      <c r="B210" s="247"/>
      <c r="C210" s="247"/>
      <c r="D210" s="247"/>
    </row>
    <row r="211">
      <c r="A211" s="246"/>
      <c r="B211" s="247"/>
      <c r="C211" s="247"/>
      <c r="D211" s="247"/>
    </row>
    <row r="212">
      <c r="A212" s="246"/>
      <c r="B212" s="247"/>
      <c r="C212" s="247"/>
      <c r="D212" s="247"/>
    </row>
    <row r="213">
      <c r="A213" s="246"/>
      <c r="B213" s="247"/>
      <c r="C213" s="247"/>
      <c r="D213" s="247"/>
    </row>
    <row r="214">
      <c r="A214" s="246"/>
      <c r="B214" s="247"/>
      <c r="C214" s="247"/>
      <c r="D214" s="247"/>
    </row>
    <row r="215">
      <c r="A215" s="246"/>
      <c r="B215" s="247"/>
      <c r="C215" s="247"/>
      <c r="D215" s="247"/>
    </row>
    <row r="216">
      <c r="A216" s="246"/>
      <c r="B216" s="247"/>
      <c r="C216" s="247"/>
      <c r="D216" s="247"/>
    </row>
    <row r="217">
      <c r="A217" s="246"/>
      <c r="B217" s="247"/>
      <c r="C217" s="247"/>
      <c r="D217" s="247"/>
    </row>
    <row r="218">
      <c r="A218" s="246"/>
      <c r="B218" s="247"/>
      <c r="C218" s="247"/>
      <c r="D218" s="247"/>
    </row>
    <row r="219">
      <c r="A219" s="246"/>
      <c r="B219" s="247"/>
      <c r="C219" s="247"/>
      <c r="D219" s="247"/>
    </row>
    <row r="220">
      <c r="A220" s="246"/>
      <c r="B220" s="247"/>
      <c r="C220" s="247"/>
      <c r="D220" s="247"/>
    </row>
    <row r="221">
      <c r="A221" s="246"/>
      <c r="B221" s="247"/>
      <c r="C221" s="247"/>
      <c r="D221" s="247"/>
    </row>
    <row r="222">
      <c r="A222" s="246"/>
      <c r="B222" s="247"/>
      <c r="C222" s="247"/>
      <c r="D222" s="247"/>
    </row>
    <row r="223">
      <c r="A223" s="246"/>
      <c r="B223" s="247"/>
      <c r="C223" s="247"/>
      <c r="D223" s="247"/>
    </row>
    <row r="224">
      <c r="A224" s="246"/>
      <c r="B224" s="247"/>
      <c r="C224" s="247"/>
      <c r="D224" s="247"/>
    </row>
    <row r="225">
      <c r="A225" s="246"/>
      <c r="B225" s="247"/>
      <c r="C225" s="247"/>
      <c r="D225" s="247"/>
    </row>
    <row r="226">
      <c r="A226" s="246"/>
      <c r="B226" s="247"/>
      <c r="C226" s="247"/>
      <c r="D226" s="247"/>
    </row>
    <row r="227">
      <c r="A227" s="246"/>
      <c r="B227" s="247"/>
      <c r="C227" s="247"/>
      <c r="D227" s="247"/>
    </row>
    <row r="228">
      <c r="A228" s="246"/>
      <c r="B228" s="247"/>
      <c r="C228" s="247"/>
      <c r="D228" s="247"/>
    </row>
    <row r="229">
      <c r="A229" s="246"/>
      <c r="B229" s="247"/>
      <c r="C229" s="247"/>
      <c r="D229" s="247"/>
    </row>
    <row r="230">
      <c r="A230" s="246"/>
      <c r="B230" s="247"/>
      <c r="C230" s="247"/>
      <c r="D230" s="247"/>
    </row>
    <row r="231">
      <c r="A231" s="246"/>
      <c r="B231" s="247"/>
      <c r="C231" s="247"/>
      <c r="D231" s="247"/>
    </row>
    <row r="232">
      <c r="A232" s="246"/>
      <c r="B232" s="247"/>
      <c r="C232" s="247"/>
      <c r="D232" s="247"/>
    </row>
    <row r="233">
      <c r="A233" s="246"/>
      <c r="B233" s="247"/>
      <c r="C233" s="247"/>
      <c r="D233" s="247"/>
    </row>
    <row r="234">
      <c r="A234" s="246"/>
      <c r="B234" s="247"/>
      <c r="C234" s="247"/>
      <c r="D234" s="247"/>
    </row>
    <row r="235">
      <c r="A235" s="246"/>
      <c r="B235" s="247"/>
      <c r="C235" s="247"/>
      <c r="D235" s="247"/>
    </row>
    <row r="236">
      <c r="A236" s="246"/>
      <c r="B236" s="247"/>
      <c r="C236" s="247"/>
      <c r="D236" s="247"/>
    </row>
    <row r="237">
      <c r="A237" s="246"/>
      <c r="B237" s="247"/>
      <c r="C237" s="247"/>
      <c r="D237" s="247"/>
    </row>
    <row r="238">
      <c r="A238" s="246"/>
      <c r="B238" s="247"/>
      <c r="C238" s="247"/>
      <c r="D238" s="247"/>
    </row>
    <row r="239">
      <c r="A239" s="246"/>
      <c r="B239" s="247"/>
      <c r="C239" s="247"/>
      <c r="D239" s="247"/>
    </row>
    <row r="240">
      <c r="A240" s="246"/>
      <c r="B240" s="247"/>
      <c r="C240" s="247"/>
      <c r="D240" s="247"/>
    </row>
    <row r="241">
      <c r="A241" s="246"/>
      <c r="B241" s="247"/>
      <c r="C241" s="247"/>
      <c r="D241" s="247"/>
    </row>
    <row r="242">
      <c r="A242" s="246"/>
      <c r="B242" s="247"/>
      <c r="C242" s="247"/>
      <c r="D242" s="247"/>
    </row>
    <row r="243">
      <c r="A243" s="246"/>
      <c r="B243" s="247"/>
      <c r="C243" s="247"/>
      <c r="D243" s="247"/>
    </row>
    <row r="244">
      <c r="A244" s="246"/>
      <c r="B244" s="247"/>
      <c r="C244" s="247"/>
      <c r="D244" s="247"/>
    </row>
    <row r="245">
      <c r="A245" s="246"/>
      <c r="B245" s="247"/>
      <c r="C245" s="247"/>
      <c r="D245" s="247"/>
    </row>
    <row r="246">
      <c r="A246" s="246"/>
      <c r="B246" s="247"/>
      <c r="C246" s="247"/>
      <c r="D246" s="247"/>
    </row>
    <row r="247">
      <c r="A247" s="246"/>
      <c r="B247" s="247"/>
      <c r="C247" s="247"/>
      <c r="D247" s="247"/>
    </row>
    <row r="248">
      <c r="A248" s="246"/>
      <c r="B248" s="247"/>
      <c r="C248" s="247"/>
      <c r="D248" s="247"/>
    </row>
    <row r="249">
      <c r="A249" s="246"/>
      <c r="B249" s="247"/>
      <c r="C249" s="247"/>
      <c r="D249" s="247"/>
    </row>
    <row r="250">
      <c r="A250" s="246"/>
      <c r="B250" s="247"/>
      <c r="C250" s="247"/>
      <c r="D250" s="247"/>
    </row>
    <row r="251">
      <c r="A251" s="246"/>
      <c r="B251" s="247"/>
      <c r="C251" s="247"/>
      <c r="D251" s="247"/>
    </row>
    <row r="252">
      <c r="A252" s="246"/>
      <c r="B252" s="247"/>
      <c r="C252" s="247"/>
      <c r="D252" s="247"/>
    </row>
    <row r="253">
      <c r="A253" s="246"/>
      <c r="B253" s="247"/>
      <c r="C253" s="247"/>
      <c r="D253" s="247"/>
    </row>
    <row r="254">
      <c r="A254" s="246"/>
      <c r="B254" s="247"/>
      <c r="C254" s="247"/>
      <c r="D254" s="247"/>
    </row>
    <row r="255">
      <c r="A255" s="246"/>
      <c r="B255" s="247"/>
      <c r="C255" s="247"/>
      <c r="D255" s="247"/>
    </row>
    <row r="256">
      <c r="A256" s="246"/>
      <c r="B256" s="247"/>
      <c r="C256" s="247"/>
      <c r="D256" s="247"/>
    </row>
    <row r="257">
      <c r="A257" s="246"/>
      <c r="B257" s="247"/>
      <c r="C257" s="247"/>
      <c r="D257" s="247"/>
    </row>
    <row r="258">
      <c r="A258" s="246"/>
      <c r="B258" s="247"/>
      <c r="C258" s="247"/>
      <c r="D258" s="247"/>
    </row>
    <row r="259">
      <c r="A259" s="246"/>
      <c r="B259" s="247"/>
      <c r="C259" s="247"/>
      <c r="D259" s="247"/>
    </row>
    <row r="260">
      <c r="A260" s="246"/>
      <c r="B260" s="247"/>
      <c r="C260" s="247"/>
      <c r="D260" s="247"/>
    </row>
    <row r="261">
      <c r="A261" s="246"/>
      <c r="B261" s="247"/>
      <c r="C261" s="247"/>
      <c r="D261" s="247"/>
    </row>
    <row r="262">
      <c r="A262" s="246"/>
      <c r="B262" s="247"/>
      <c r="C262" s="247"/>
      <c r="D262" s="247"/>
    </row>
    <row r="263">
      <c r="A263" s="246"/>
      <c r="B263" s="247"/>
      <c r="C263" s="247"/>
      <c r="D263" s="247"/>
    </row>
    <row r="264">
      <c r="A264" s="246"/>
      <c r="B264" s="247"/>
      <c r="C264" s="247"/>
      <c r="D264" s="247"/>
    </row>
    <row r="265">
      <c r="A265" s="246"/>
      <c r="B265" s="247"/>
      <c r="C265" s="247"/>
      <c r="D265" s="247"/>
    </row>
    <row r="266">
      <c r="A266" s="246"/>
      <c r="B266" s="247"/>
      <c r="C266" s="247"/>
      <c r="D266" s="247"/>
    </row>
    <row r="267">
      <c r="A267" s="246"/>
      <c r="B267" s="247"/>
      <c r="C267" s="247"/>
      <c r="D267" s="247"/>
    </row>
    <row r="268">
      <c r="A268" s="246"/>
      <c r="B268" s="247"/>
      <c r="C268" s="247"/>
      <c r="D268" s="247"/>
    </row>
    <row r="269">
      <c r="A269" s="246"/>
      <c r="B269" s="247"/>
      <c r="C269" s="247"/>
      <c r="D269" s="247"/>
    </row>
    <row r="270">
      <c r="A270" s="246"/>
      <c r="B270" s="247"/>
      <c r="C270" s="247"/>
      <c r="D270" s="247"/>
    </row>
    <row r="271">
      <c r="A271" s="246"/>
      <c r="B271" s="247"/>
      <c r="C271" s="247"/>
      <c r="D271" s="247"/>
    </row>
    <row r="272">
      <c r="A272" s="246"/>
      <c r="B272" s="247"/>
      <c r="C272" s="247"/>
      <c r="D272" s="247"/>
    </row>
    <row r="273">
      <c r="A273" s="246"/>
      <c r="B273" s="247"/>
      <c r="C273" s="247"/>
      <c r="D273" s="247"/>
    </row>
    <row r="274">
      <c r="A274" s="246"/>
      <c r="B274" s="247"/>
      <c r="C274" s="247"/>
      <c r="D274" s="247"/>
    </row>
    <row r="275">
      <c r="A275" s="246"/>
      <c r="B275" s="247"/>
      <c r="C275" s="247"/>
      <c r="D275" s="247"/>
    </row>
    <row r="276">
      <c r="A276" s="246"/>
      <c r="B276" s="247"/>
      <c r="C276" s="247"/>
      <c r="D276" s="247"/>
    </row>
    <row r="277">
      <c r="A277" s="246"/>
      <c r="B277" s="247"/>
      <c r="C277" s="247"/>
      <c r="D277" s="247"/>
    </row>
    <row r="278">
      <c r="A278" s="246"/>
      <c r="B278" s="247"/>
      <c r="C278" s="247"/>
      <c r="D278" s="247"/>
    </row>
    <row r="279">
      <c r="A279" s="246"/>
      <c r="B279" s="247"/>
      <c r="C279" s="247"/>
      <c r="D279" s="247"/>
    </row>
    <row r="280">
      <c r="A280" s="246"/>
      <c r="B280" s="247"/>
      <c r="C280" s="247"/>
      <c r="D280" s="247"/>
    </row>
    <row r="281">
      <c r="A281" s="246"/>
      <c r="B281" s="247"/>
      <c r="C281" s="247"/>
      <c r="D281" s="247"/>
    </row>
    <row r="282">
      <c r="A282" s="246"/>
      <c r="B282" s="247"/>
      <c r="C282" s="247"/>
      <c r="D282" s="247"/>
    </row>
    <row r="283">
      <c r="A283" s="246"/>
      <c r="B283" s="247"/>
      <c r="C283" s="247"/>
      <c r="D283" s="247"/>
    </row>
    <row r="284">
      <c r="A284" s="246"/>
      <c r="B284" s="247"/>
      <c r="C284" s="247"/>
      <c r="D284" s="247"/>
    </row>
    <row r="285">
      <c r="A285" s="246"/>
      <c r="B285" s="247"/>
      <c r="C285" s="247"/>
      <c r="D285" s="247"/>
    </row>
    <row r="286">
      <c r="A286" s="246"/>
      <c r="B286" s="247"/>
      <c r="C286" s="247"/>
      <c r="D286" s="247"/>
    </row>
    <row r="287">
      <c r="A287" s="246"/>
      <c r="B287" s="247"/>
      <c r="C287" s="247"/>
      <c r="D287" s="247"/>
    </row>
    <row r="288">
      <c r="A288" s="246"/>
      <c r="B288" s="247"/>
      <c r="C288" s="247"/>
      <c r="D288" s="247"/>
    </row>
    <row r="289">
      <c r="A289" s="246"/>
      <c r="B289" s="247"/>
      <c r="C289" s="247"/>
      <c r="D289" s="247"/>
    </row>
    <row r="290">
      <c r="A290" s="246"/>
      <c r="B290" s="247"/>
      <c r="C290" s="247"/>
      <c r="D290" s="247"/>
    </row>
    <row r="291">
      <c r="A291" s="246"/>
      <c r="B291" s="247"/>
      <c r="C291" s="247"/>
      <c r="D291" s="247"/>
    </row>
    <row r="292">
      <c r="A292" s="246"/>
      <c r="B292" s="247"/>
      <c r="C292" s="247"/>
      <c r="D292" s="247"/>
    </row>
    <row r="293">
      <c r="A293" s="246"/>
      <c r="B293" s="247"/>
      <c r="C293" s="247"/>
      <c r="D293" s="247"/>
    </row>
    <row r="294">
      <c r="A294" s="246"/>
      <c r="B294" s="247"/>
      <c r="C294" s="247"/>
      <c r="D294" s="247"/>
    </row>
    <row r="295">
      <c r="A295" s="246"/>
      <c r="B295" s="247"/>
      <c r="C295" s="247"/>
      <c r="D295" s="247"/>
    </row>
    <row r="296">
      <c r="A296" s="246"/>
      <c r="B296" s="247"/>
      <c r="C296" s="247"/>
      <c r="D296" s="247"/>
    </row>
    <row r="297">
      <c r="A297" s="246"/>
      <c r="B297" s="247"/>
      <c r="C297" s="247"/>
      <c r="D297" s="247"/>
    </row>
    <row r="298">
      <c r="A298" s="246"/>
      <c r="B298" s="247"/>
      <c r="C298" s="247"/>
      <c r="D298" s="247"/>
    </row>
    <row r="299">
      <c r="A299" s="246"/>
      <c r="B299" s="247"/>
      <c r="C299" s="247"/>
      <c r="D299" s="247"/>
    </row>
    <row r="300">
      <c r="A300" s="246"/>
      <c r="B300" s="247"/>
      <c r="C300" s="247"/>
      <c r="D300" s="247"/>
    </row>
    <row r="301">
      <c r="A301" s="246"/>
      <c r="B301" s="247"/>
      <c r="C301" s="247"/>
      <c r="D301" s="247"/>
    </row>
    <row r="302">
      <c r="A302" s="246"/>
      <c r="B302" s="247"/>
      <c r="C302" s="247"/>
      <c r="D302" s="247"/>
    </row>
    <row r="303">
      <c r="A303" s="246"/>
      <c r="B303" s="247"/>
      <c r="C303" s="247"/>
      <c r="D303" s="247"/>
    </row>
    <row r="304">
      <c r="A304" s="246"/>
      <c r="B304" s="247"/>
      <c r="C304" s="247"/>
      <c r="D304" s="247"/>
    </row>
    <row r="305">
      <c r="A305" s="246"/>
      <c r="B305" s="247"/>
      <c r="C305" s="247"/>
      <c r="D305" s="247"/>
    </row>
    <row r="306">
      <c r="A306" s="246"/>
      <c r="B306" s="247"/>
      <c r="C306" s="247"/>
      <c r="D306" s="247"/>
    </row>
    <row r="307">
      <c r="A307" s="246"/>
      <c r="B307" s="247"/>
      <c r="C307" s="247"/>
      <c r="D307" s="247"/>
    </row>
    <row r="308">
      <c r="A308" s="246"/>
      <c r="B308" s="247"/>
      <c r="C308" s="247"/>
      <c r="D308" s="247"/>
    </row>
    <row r="309">
      <c r="A309" s="246"/>
      <c r="B309" s="247"/>
      <c r="C309" s="247"/>
      <c r="D309" s="247"/>
    </row>
    <row r="310">
      <c r="A310" s="246"/>
      <c r="B310" s="247"/>
      <c r="C310" s="247"/>
      <c r="D310" s="247"/>
    </row>
    <row r="311">
      <c r="A311" s="246"/>
      <c r="B311" s="247"/>
      <c r="C311" s="247"/>
      <c r="D311" s="247"/>
    </row>
    <row r="312">
      <c r="A312" s="246"/>
      <c r="B312" s="247"/>
      <c r="C312" s="247"/>
      <c r="D312" s="247"/>
    </row>
    <row r="313">
      <c r="A313" s="246"/>
      <c r="B313" s="247"/>
      <c r="C313" s="247"/>
      <c r="D313" s="247"/>
    </row>
    <row r="314">
      <c r="A314" s="246"/>
      <c r="B314" s="247"/>
      <c r="C314" s="247"/>
      <c r="D314" s="247"/>
    </row>
    <row r="315">
      <c r="A315" s="246"/>
      <c r="B315" s="247"/>
      <c r="C315" s="247"/>
      <c r="D315" s="247"/>
    </row>
    <row r="316">
      <c r="A316" s="246"/>
      <c r="B316" s="247"/>
      <c r="C316" s="247"/>
      <c r="D316" s="247"/>
    </row>
    <row r="317">
      <c r="A317" s="246"/>
      <c r="B317" s="247"/>
      <c r="C317" s="247"/>
      <c r="D317" s="247"/>
    </row>
    <row r="318">
      <c r="A318" s="246"/>
      <c r="B318" s="247"/>
      <c r="C318" s="247"/>
      <c r="D318" s="247"/>
    </row>
    <row r="319">
      <c r="A319" s="246"/>
      <c r="B319" s="247"/>
      <c r="C319" s="247"/>
      <c r="D319" s="247"/>
    </row>
    <row r="320">
      <c r="A320" s="246"/>
      <c r="B320" s="247"/>
      <c r="C320" s="247"/>
      <c r="D320" s="247"/>
    </row>
    <row r="321">
      <c r="A321" s="246"/>
      <c r="B321" s="247"/>
      <c r="C321" s="247"/>
      <c r="D321" s="247"/>
    </row>
    <row r="322">
      <c r="A322" s="246"/>
      <c r="B322" s="247"/>
      <c r="C322" s="247"/>
      <c r="D322" s="247"/>
    </row>
    <row r="323">
      <c r="A323" s="246"/>
      <c r="B323" s="247"/>
      <c r="C323" s="247"/>
      <c r="D323" s="247"/>
    </row>
    <row r="324">
      <c r="A324" s="246"/>
      <c r="B324" s="247"/>
      <c r="C324" s="247"/>
      <c r="D324" s="247"/>
    </row>
    <row r="325">
      <c r="A325" s="246"/>
      <c r="B325" s="247"/>
      <c r="C325" s="247"/>
      <c r="D325" s="247"/>
    </row>
    <row r="326">
      <c r="A326" s="246"/>
      <c r="B326" s="247"/>
      <c r="C326" s="247"/>
      <c r="D326" s="247"/>
    </row>
    <row r="327">
      <c r="A327" s="246"/>
      <c r="B327" s="247"/>
      <c r="C327" s="247"/>
      <c r="D327" s="247"/>
    </row>
    <row r="328">
      <c r="A328" s="246"/>
      <c r="B328" s="247"/>
      <c r="C328" s="247"/>
      <c r="D328" s="247"/>
    </row>
    <row r="329">
      <c r="A329" s="246"/>
      <c r="B329" s="247"/>
      <c r="C329" s="247"/>
      <c r="D329" s="247"/>
    </row>
    <row r="330">
      <c r="A330" s="246"/>
      <c r="B330" s="247"/>
      <c r="C330" s="247"/>
      <c r="D330" s="247"/>
    </row>
    <row r="331">
      <c r="A331" s="246"/>
      <c r="B331" s="247"/>
      <c r="C331" s="247"/>
      <c r="D331" s="247"/>
    </row>
    <row r="332">
      <c r="A332" s="246"/>
      <c r="B332" s="247"/>
      <c r="C332" s="247"/>
      <c r="D332" s="247"/>
    </row>
    <row r="333">
      <c r="A333" s="246"/>
      <c r="B333" s="247"/>
      <c r="C333" s="247"/>
      <c r="D333" s="247"/>
    </row>
    <row r="334">
      <c r="A334" s="246"/>
      <c r="B334" s="247"/>
      <c r="C334" s="247"/>
      <c r="D334" s="247"/>
    </row>
    <row r="335">
      <c r="A335" s="246"/>
      <c r="B335" s="247"/>
      <c r="C335" s="247"/>
      <c r="D335" s="247"/>
    </row>
    <row r="336">
      <c r="A336" s="246"/>
      <c r="B336" s="247"/>
      <c r="C336" s="247"/>
      <c r="D336" s="247"/>
    </row>
    <row r="337">
      <c r="A337" s="246"/>
      <c r="B337" s="247"/>
      <c r="C337" s="247"/>
      <c r="D337" s="247"/>
    </row>
    <row r="338">
      <c r="A338" s="246"/>
      <c r="B338" s="247"/>
      <c r="C338" s="247"/>
      <c r="D338" s="247"/>
    </row>
    <row r="339">
      <c r="A339" s="246"/>
      <c r="B339" s="247"/>
      <c r="C339" s="247"/>
      <c r="D339" s="247"/>
    </row>
    <row r="340">
      <c r="A340" s="246"/>
      <c r="B340" s="247"/>
      <c r="C340" s="247"/>
      <c r="D340" s="247"/>
    </row>
    <row r="341">
      <c r="A341" s="246"/>
      <c r="B341" s="247"/>
      <c r="C341" s="247"/>
      <c r="D341" s="247"/>
    </row>
    <row r="342">
      <c r="A342" s="246"/>
      <c r="B342" s="247"/>
      <c r="C342" s="247"/>
      <c r="D342" s="247"/>
    </row>
    <row r="343">
      <c r="A343" s="246"/>
      <c r="B343" s="247"/>
      <c r="C343" s="247"/>
      <c r="D343" s="247"/>
    </row>
    <row r="344">
      <c r="A344" s="246"/>
      <c r="B344" s="247"/>
      <c r="C344" s="247"/>
      <c r="D344" s="247"/>
    </row>
    <row r="345">
      <c r="A345" s="246"/>
      <c r="B345" s="247"/>
      <c r="C345" s="247"/>
      <c r="D345" s="247"/>
    </row>
    <row r="346">
      <c r="A346" s="246"/>
      <c r="B346" s="247"/>
      <c r="C346" s="247"/>
      <c r="D346" s="247"/>
    </row>
    <row r="347">
      <c r="A347" s="246"/>
      <c r="B347" s="247"/>
      <c r="C347" s="247"/>
      <c r="D347" s="247"/>
    </row>
    <row r="348">
      <c r="A348" s="246"/>
      <c r="B348" s="247"/>
      <c r="C348" s="247"/>
      <c r="D348" s="247"/>
    </row>
    <row r="349">
      <c r="A349" s="246"/>
      <c r="B349" s="247"/>
      <c r="C349" s="247"/>
      <c r="D349" s="247"/>
    </row>
    <row r="350">
      <c r="A350" s="246"/>
      <c r="B350" s="247"/>
      <c r="C350" s="247"/>
      <c r="D350" s="247"/>
    </row>
    <row r="351">
      <c r="A351" s="246"/>
      <c r="B351" s="247"/>
      <c r="C351" s="247"/>
      <c r="D351" s="247"/>
    </row>
    <row r="352">
      <c r="A352" s="246"/>
      <c r="B352" s="247"/>
      <c r="C352" s="247"/>
      <c r="D352" s="247"/>
    </row>
    <row r="353">
      <c r="A353" s="246"/>
      <c r="B353" s="247"/>
      <c r="C353" s="247"/>
      <c r="D353" s="247"/>
    </row>
    <row r="354">
      <c r="A354" s="246"/>
      <c r="B354" s="247"/>
      <c r="C354" s="247"/>
      <c r="D354" s="247"/>
    </row>
    <row r="355">
      <c r="A355" s="246"/>
      <c r="B355" s="247"/>
      <c r="C355" s="247"/>
      <c r="D355" s="247"/>
    </row>
    <row r="356">
      <c r="A356" s="246"/>
      <c r="B356" s="247"/>
      <c r="C356" s="247"/>
      <c r="D356" s="247"/>
    </row>
    <row r="357">
      <c r="A357" s="246"/>
      <c r="B357" s="247"/>
      <c r="C357" s="247"/>
      <c r="D357" s="247"/>
    </row>
    <row r="358">
      <c r="A358" s="246"/>
      <c r="B358" s="247"/>
      <c r="C358" s="247"/>
      <c r="D358" s="247"/>
    </row>
    <row r="359">
      <c r="A359" s="246"/>
      <c r="B359" s="247"/>
      <c r="C359" s="247"/>
      <c r="D359" s="247"/>
    </row>
    <row r="360">
      <c r="A360" s="246"/>
      <c r="B360" s="247"/>
      <c r="C360" s="247"/>
      <c r="D360" s="247"/>
    </row>
    <row r="361">
      <c r="A361" s="246"/>
      <c r="B361" s="247"/>
      <c r="C361" s="247"/>
      <c r="D361" s="247"/>
    </row>
    <row r="362">
      <c r="A362" s="246"/>
      <c r="B362" s="247"/>
      <c r="C362" s="247"/>
      <c r="D362" s="247"/>
    </row>
    <row r="363">
      <c r="A363" s="246"/>
      <c r="B363" s="247"/>
      <c r="C363" s="247"/>
      <c r="D363" s="247"/>
    </row>
    <row r="364">
      <c r="A364" s="246"/>
      <c r="B364" s="247"/>
      <c r="C364" s="247"/>
      <c r="D364" s="247"/>
    </row>
    <row r="365">
      <c r="A365" s="246"/>
      <c r="B365" s="247"/>
      <c r="C365" s="247"/>
      <c r="D365" s="247"/>
    </row>
    <row r="366">
      <c r="A366" s="246"/>
      <c r="B366" s="247"/>
      <c r="C366" s="247"/>
      <c r="D366" s="247"/>
    </row>
    <row r="367">
      <c r="A367" s="246"/>
      <c r="B367" s="247"/>
      <c r="C367" s="247"/>
      <c r="D367" s="247"/>
    </row>
    <row r="368">
      <c r="A368" s="246"/>
      <c r="B368" s="247"/>
      <c r="C368" s="247"/>
      <c r="D368" s="247"/>
    </row>
    <row r="369">
      <c r="A369" s="246"/>
      <c r="B369" s="247"/>
      <c r="C369" s="247"/>
      <c r="D369" s="247"/>
    </row>
    <row r="370">
      <c r="A370" s="246"/>
      <c r="B370" s="247"/>
      <c r="C370" s="247"/>
      <c r="D370" s="247"/>
    </row>
    <row r="371">
      <c r="A371" s="246"/>
      <c r="B371" s="247"/>
      <c r="C371" s="247"/>
      <c r="D371" s="247"/>
    </row>
    <row r="372">
      <c r="A372" s="246"/>
      <c r="B372" s="247"/>
      <c r="C372" s="247"/>
      <c r="D372" s="247"/>
    </row>
    <row r="373">
      <c r="A373" s="246"/>
      <c r="B373" s="247"/>
      <c r="C373" s="247"/>
      <c r="D373" s="247"/>
    </row>
    <row r="374">
      <c r="A374" s="246"/>
      <c r="B374" s="247"/>
      <c r="C374" s="247"/>
      <c r="D374" s="247"/>
    </row>
    <row r="375">
      <c r="A375" s="246"/>
      <c r="B375" s="247"/>
      <c r="C375" s="247"/>
      <c r="D375" s="247"/>
    </row>
    <row r="376">
      <c r="A376" s="246"/>
      <c r="B376" s="247"/>
      <c r="C376" s="247"/>
      <c r="D376" s="247"/>
    </row>
    <row r="377">
      <c r="A377" s="246"/>
      <c r="B377" s="247"/>
      <c r="C377" s="247"/>
      <c r="D377" s="247"/>
    </row>
    <row r="378">
      <c r="A378" s="246"/>
      <c r="B378" s="247"/>
      <c r="C378" s="247"/>
      <c r="D378" s="247"/>
    </row>
    <row r="379">
      <c r="A379" s="246"/>
      <c r="B379" s="247"/>
      <c r="C379" s="247"/>
      <c r="D379" s="247"/>
    </row>
    <row r="380">
      <c r="A380" s="246"/>
      <c r="B380" s="247"/>
      <c r="C380" s="247"/>
      <c r="D380" s="247"/>
    </row>
    <row r="381">
      <c r="A381" s="246"/>
      <c r="B381" s="247"/>
      <c r="C381" s="247"/>
      <c r="D381" s="247"/>
    </row>
    <row r="382">
      <c r="A382" s="246"/>
      <c r="B382" s="247"/>
      <c r="C382" s="247"/>
      <c r="D382" s="247"/>
    </row>
    <row r="383">
      <c r="A383" s="246"/>
      <c r="B383" s="247"/>
      <c r="C383" s="247"/>
      <c r="D383" s="247"/>
    </row>
    <row r="384">
      <c r="A384" s="246"/>
      <c r="B384" s="247"/>
      <c r="C384" s="247"/>
      <c r="D384" s="247"/>
    </row>
    <row r="385">
      <c r="A385" s="246"/>
      <c r="B385" s="247"/>
      <c r="C385" s="247"/>
      <c r="D385" s="247"/>
    </row>
    <row r="386">
      <c r="A386" s="246"/>
      <c r="B386" s="247"/>
      <c r="C386" s="247"/>
      <c r="D386" s="247"/>
    </row>
    <row r="387">
      <c r="A387" s="246"/>
      <c r="B387" s="247"/>
      <c r="C387" s="247"/>
      <c r="D387" s="247"/>
    </row>
    <row r="388">
      <c r="A388" s="246"/>
      <c r="B388" s="247"/>
      <c r="C388" s="247"/>
      <c r="D388" s="247"/>
    </row>
    <row r="389">
      <c r="A389" s="246"/>
      <c r="B389" s="247"/>
      <c r="C389" s="247"/>
      <c r="D389" s="247"/>
    </row>
    <row r="390">
      <c r="A390" s="246"/>
      <c r="B390" s="247"/>
      <c r="C390" s="247"/>
      <c r="D390" s="247"/>
    </row>
    <row r="391">
      <c r="A391" s="246"/>
      <c r="B391" s="247"/>
      <c r="C391" s="247"/>
      <c r="D391" s="247"/>
    </row>
    <row r="392">
      <c r="A392" s="246"/>
      <c r="B392" s="247"/>
      <c r="C392" s="247"/>
      <c r="D392" s="247"/>
    </row>
    <row r="393">
      <c r="A393" s="246"/>
      <c r="B393" s="247"/>
      <c r="C393" s="247"/>
      <c r="D393" s="247"/>
    </row>
    <row r="394">
      <c r="A394" s="246"/>
      <c r="B394" s="247"/>
      <c r="C394" s="247"/>
      <c r="D394" s="247"/>
    </row>
    <row r="395">
      <c r="A395" s="246"/>
      <c r="B395" s="247"/>
      <c r="C395" s="247"/>
      <c r="D395" s="247"/>
    </row>
    <row r="396">
      <c r="A396" s="246"/>
      <c r="B396" s="247"/>
      <c r="C396" s="247"/>
      <c r="D396" s="247"/>
    </row>
    <row r="397">
      <c r="A397" s="246"/>
      <c r="B397" s="247"/>
      <c r="C397" s="247"/>
      <c r="D397" s="247"/>
    </row>
    <row r="398">
      <c r="A398" s="246"/>
      <c r="B398" s="247"/>
      <c r="C398" s="247"/>
      <c r="D398" s="247"/>
    </row>
    <row r="399">
      <c r="A399" s="246"/>
      <c r="B399" s="247"/>
      <c r="C399" s="247"/>
      <c r="D399" s="247"/>
    </row>
    <row r="400">
      <c r="A400" s="246"/>
      <c r="B400" s="247"/>
      <c r="C400" s="247"/>
      <c r="D400" s="247"/>
    </row>
    <row r="401">
      <c r="A401" s="246"/>
      <c r="B401" s="247"/>
      <c r="C401" s="247"/>
      <c r="D401" s="247"/>
    </row>
    <row r="402">
      <c r="A402" s="246"/>
      <c r="B402" s="247"/>
      <c r="C402" s="247"/>
      <c r="D402" s="247"/>
    </row>
    <row r="403">
      <c r="A403" s="246"/>
      <c r="B403" s="247"/>
      <c r="C403" s="247"/>
      <c r="D403" s="247"/>
    </row>
    <row r="404">
      <c r="A404" s="246"/>
      <c r="B404" s="247"/>
      <c r="C404" s="247"/>
      <c r="D404" s="247"/>
    </row>
    <row r="405">
      <c r="A405" s="246"/>
      <c r="B405" s="247"/>
      <c r="C405" s="247"/>
      <c r="D405" s="247"/>
    </row>
    <row r="406">
      <c r="A406" s="246"/>
      <c r="B406" s="247"/>
      <c r="C406" s="247"/>
      <c r="D406" s="247"/>
    </row>
    <row r="407">
      <c r="A407" s="246"/>
      <c r="B407" s="247"/>
      <c r="C407" s="247"/>
      <c r="D407" s="247"/>
    </row>
    <row r="408">
      <c r="A408" s="246"/>
      <c r="B408" s="247"/>
      <c r="C408" s="247"/>
      <c r="D408" s="247"/>
    </row>
    <row r="409">
      <c r="A409" s="246"/>
      <c r="B409" s="247"/>
      <c r="C409" s="247"/>
      <c r="D409" s="247"/>
    </row>
    <row r="410">
      <c r="A410" s="246"/>
      <c r="B410" s="247"/>
      <c r="C410" s="247"/>
      <c r="D410" s="247"/>
    </row>
    <row r="411">
      <c r="A411" s="246"/>
      <c r="B411" s="247"/>
      <c r="C411" s="247"/>
      <c r="D411" s="247"/>
    </row>
    <row r="412">
      <c r="A412" s="246"/>
      <c r="B412" s="247"/>
      <c r="C412" s="247"/>
      <c r="D412" s="247"/>
    </row>
    <row r="413">
      <c r="A413" s="246"/>
      <c r="B413" s="247"/>
      <c r="C413" s="247"/>
      <c r="D413" s="247"/>
    </row>
    <row r="414">
      <c r="A414" s="246"/>
      <c r="B414" s="247"/>
      <c r="C414" s="247"/>
      <c r="D414" s="247"/>
    </row>
    <row r="415">
      <c r="A415" s="246"/>
      <c r="B415" s="247"/>
      <c r="C415" s="247"/>
      <c r="D415" s="247"/>
    </row>
    <row r="416">
      <c r="A416" s="246"/>
      <c r="B416" s="247"/>
      <c r="C416" s="247"/>
      <c r="D416" s="247"/>
    </row>
    <row r="417">
      <c r="A417" s="246"/>
      <c r="B417" s="247"/>
      <c r="C417" s="247"/>
      <c r="D417" s="247"/>
    </row>
    <row r="418">
      <c r="A418" s="246"/>
      <c r="B418" s="247"/>
      <c r="C418" s="247"/>
      <c r="D418" s="247"/>
    </row>
    <row r="419">
      <c r="A419" s="246"/>
      <c r="B419" s="247"/>
      <c r="C419" s="247"/>
      <c r="D419" s="247"/>
    </row>
    <row r="420">
      <c r="A420" s="246"/>
      <c r="B420" s="247"/>
      <c r="C420" s="247"/>
      <c r="D420" s="247"/>
    </row>
    <row r="421">
      <c r="A421" s="246"/>
      <c r="B421" s="247"/>
      <c r="C421" s="247"/>
      <c r="D421" s="247"/>
    </row>
    <row r="422">
      <c r="A422" s="246"/>
      <c r="B422" s="247"/>
      <c r="C422" s="247"/>
      <c r="D422" s="247"/>
    </row>
    <row r="423">
      <c r="A423" s="246"/>
      <c r="B423" s="247"/>
      <c r="C423" s="247"/>
      <c r="D423" s="247"/>
    </row>
    <row r="424">
      <c r="A424" s="246"/>
      <c r="B424" s="247"/>
      <c r="C424" s="247"/>
      <c r="D424" s="247"/>
    </row>
    <row r="425">
      <c r="A425" s="246"/>
      <c r="B425" s="247"/>
      <c r="C425" s="247"/>
      <c r="D425" s="247"/>
    </row>
    <row r="426">
      <c r="A426" s="246"/>
      <c r="B426" s="247"/>
      <c r="C426" s="247"/>
      <c r="D426" s="247"/>
    </row>
    <row r="427">
      <c r="A427" s="246"/>
      <c r="B427" s="247"/>
      <c r="C427" s="247"/>
      <c r="D427" s="247"/>
    </row>
    <row r="428">
      <c r="A428" s="246"/>
      <c r="B428" s="247"/>
      <c r="C428" s="247"/>
      <c r="D428" s="247"/>
    </row>
    <row r="429">
      <c r="A429" s="246"/>
      <c r="B429" s="247"/>
      <c r="C429" s="247"/>
      <c r="D429" s="247"/>
    </row>
    <row r="430">
      <c r="A430" s="246"/>
      <c r="B430" s="247"/>
      <c r="C430" s="247"/>
      <c r="D430" s="247"/>
    </row>
    <row r="431">
      <c r="A431" s="246"/>
      <c r="B431" s="247"/>
      <c r="C431" s="247"/>
      <c r="D431" s="247"/>
    </row>
    <row r="432">
      <c r="A432" s="246"/>
      <c r="B432" s="247"/>
      <c r="C432" s="247"/>
      <c r="D432" s="247"/>
    </row>
    <row r="433">
      <c r="A433" s="246"/>
      <c r="B433" s="247"/>
      <c r="C433" s="247"/>
      <c r="D433" s="247"/>
    </row>
    <row r="434">
      <c r="A434" s="246"/>
      <c r="B434" s="247"/>
      <c r="C434" s="247"/>
      <c r="D434" s="247"/>
    </row>
    <row r="435">
      <c r="A435" s="246"/>
      <c r="B435" s="247"/>
      <c r="C435" s="247"/>
      <c r="D435" s="247"/>
    </row>
    <row r="436">
      <c r="A436" s="246"/>
      <c r="B436" s="247"/>
      <c r="C436" s="247"/>
      <c r="D436" s="247"/>
    </row>
    <row r="437">
      <c r="A437" s="246"/>
      <c r="B437" s="247"/>
      <c r="C437" s="247"/>
      <c r="D437" s="247"/>
    </row>
    <row r="438">
      <c r="A438" s="246"/>
      <c r="B438" s="247"/>
      <c r="C438" s="247"/>
      <c r="D438" s="247"/>
    </row>
    <row r="439">
      <c r="A439" s="246"/>
      <c r="B439" s="247"/>
      <c r="C439" s="247"/>
      <c r="D439" s="247"/>
    </row>
    <row r="440">
      <c r="A440" s="246"/>
      <c r="B440" s="247"/>
      <c r="C440" s="247"/>
      <c r="D440" s="247"/>
    </row>
    <row r="441">
      <c r="A441" s="246"/>
      <c r="B441" s="247"/>
      <c r="C441" s="247"/>
      <c r="D441" s="247"/>
    </row>
    <row r="442">
      <c r="A442" s="246"/>
      <c r="B442" s="247"/>
      <c r="C442" s="247"/>
      <c r="D442" s="247"/>
    </row>
    <row r="443">
      <c r="A443" s="246"/>
      <c r="B443" s="247"/>
      <c r="C443" s="247"/>
      <c r="D443" s="247"/>
    </row>
    <row r="444">
      <c r="A444" s="246"/>
      <c r="B444" s="247"/>
      <c r="C444" s="247"/>
      <c r="D444" s="247"/>
    </row>
    <row r="445">
      <c r="A445" s="246"/>
      <c r="B445" s="247"/>
      <c r="C445" s="247"/>
      <c r="D445" s="247"/>
    </row>
    <row r="446">
      <c r="A446" s="246"/>
      <c r="B446" s="247"/>
      <c r="C446" s="247"/>
      <c r="D446" s="247"/>
    </row>
    <row r="447">
      <c r="A447" s="246"/>
      <c r="B447" s="247"/>
      <c r="C447" s="247"/>
      <c r="D447" s="247"/>
    </row>
    <row r="448">
      <c r="A448" s="246"/>
      <c r="B448" s="247"/>
      <c r="C448" s="247"/>
      <c r="D448" s="247"/>
    </row>
    <row r="449">
      <c r="A449" s="246"/>
      <c r="B449" s="247"/>
      <c r="C449" s="247"/>
      <c r="D449" s="247"/>
    </row>
    <row r="450">
      <c r="A450" s="246"/>
      <c r="B450" s="247"/>
      <c r="C450" s="247"/>
      <c r="D450" s="247"/>
    </row>
    <row r="451">
      <c r="A451" s="246"/>
      <c r="B451" s="247"/>
      <c r="C451" s="247"/>
      <c r="D451" s="247"/>
    </row>
    <row r="452">
      <c r="A452" s="246"/>
      <c r="B452" s="247"/>
      <c r="C452" s="247"/>
      <c r="D452" s="247"/>
    </row>
    <row r="453">
      <c r="A453" s="246"/>
      <c r="B453" s="247"/>
      <c r="C453" s="247"/>
      <c r="D453" s="247"/>
    </row>
    <row r="454">
      <c r="A454" s="246"/>
      <c r="B454" s="247"/>
      <c r="C454" s="247"/>
      <c r="D454" s="247"/>
    </row>
    <row r="455">
      <c r="A455" s="246"/>
      <c r="B455" s="247"/>
      <c r="C455" s="247"/>
      <c r="D455" s="247"/>
    </row>
    <row r="456">
      <c r="A456" s="246"/>
      <c r="B456" s="247"/>
      <c r="C456" s="247"/>
      <c r="D456" s="247"/>
    </row>
    <row r="457">
      <c r="A457" s="246"/>
      <c r="B457" s="247"/>
      <c r="C457" s="247"/>
      <c r="D457" s="247"/>
    </row>
    <row r="458">
      <c r="A458" s="246"/>
      <c r="B458" s="247"/>
      <c r="C458" s="247"/>
      <c r="D458" s="247"/>
    </row>
    <row r="459">
      <c r="A459" s="246"/>
      <c r="B459" s="247"/>
      <c r="C459" s="247"/>
      <c r="D459" s="247"/>
    </row>
    <row r="460">
      <c r="A460" s="246"/>
      <c r="B460" s="247"/>
      <c r="C460" s="247"/>
      <c r="D460" s="247"/>
    </row>
    <row r="461">
      <c r="A461" s="246"/>
      <c r="B461" s="247"/>
      <c r="C461" s="247"/>
      <c r="D461" s="247"/>
    </row>
    <row r="462">
      <c r="A462" s="246"/>
      <c r="B462" s="247"/>
      <c r="C462" s="247"/>
      <c r="D462" s="247"/>
    </row>
    <row r="463">
      <c r="A463" s="246"/>
      <c r="B463" s="247"/>
      <c r="C463" s="247"/>
      <c r="D463" s="247"/>
    </row>
    <row r="464">
      <c r="A464" s="246"/>
      <c r="B464" s="247"/>
      <c r="C464" s="247"/>
      <c r="D464" s="247"/>
    </row>
    <row r="465">
      <c r="A465" s="246"/>
      <c r="B465" s="247"/>
      <c r="C465" s="247"/>
      <c r="D465" s="247"/>
    </row>
    <row r="466">
      <c r="A466" s="246"/>
      <c r="B466" s="247"/>
      <c r="C466" s="247"/>
      <c r="D466" s="247"/>
    </row>
    <row r="467">
      <c r="A467" s="246"/>
      <c r="B467" s="247"/>
      <c r="C467" s="247"/>
      <c r="D467" s="247"/>
    </row>
    <row r="468">
      <c r="A468" s="246"/>
      <c r="B468" s="247"/>
      <c r="C468" s="247"/>
      <c r="D468" s="247"/>
    </row>
    <row r="469">
      <c r="A469" s="246"/>
      <c r="B469" s="247"/>
      <c r="C469" s="247"/>
      <c r="D469" s="247"/>
    </row>
    <row r="470">
      <c r="A470" s="246"/>
      <c r="B470" s="247"/>
      <c r="C470" s="247"/>
      <c r="D470" s="247"/>
    </row>
    <row r="471">
      <c r="A471" s="246"/>
      <c r="B471" s="247"/>
      <c r="C471" s="247"/>
      <c r="D471" s="247"/>
    </row>
    <row r="472">
      <c r="A472" s="246"/>
      <c r="B472" s="247"/>
      <c r="C472" s="247"/>
      <c r="D472" s="247"/>
    </row>
    <row r="473">
      <c r="A473" s="246"/>
      <c r="B473" s="247"/>
      <c r="C473" s="247"/>
      <c r="D473" s="247"/>
    </row>
    <row r="474">
      <c r="A474" s="246"/>
      <c r="B474" s="247"/>
      <c r="C474" s="247"/>
      <c r="D474" s="247"/>
    </row>
    <row r="475">
      <c r="A475" s="246"/>
      <c r="B475" s="247"/>
      <c r="C475" s="247"/>
      <c r="D475" s="247"/>
    </row>
    <row r="476">
      <c r="A476" s="246"/>
      <c r="B476" s="247"/>
      <c r="C476" s="247"/>
      <c r="D476" s="247"/>
    </row>
    <row r="477">
      <c r="A477" s="246"/>
      <c r="B477" s="247"/>
      <c r="C477" s="247"/>
      <c r="D477" s="247"/>
    </row>
    <row r="478">
      <c r="A478" s="246"/>
      <c r="B478" s="247"/>
      <c r="C478" s="247"/>
      <c r="D478" s="247"/>
    </row>
    <row r="479">
      <c r="A479" s="246"/>
      <c r="B479" s="247"/>
      <c r="C479" s="247"/>
      <c r="D479" s="247"/>
    </row>
    <row r="480">
      <c r="A480" s="246"/>
      <c r="B480" s="247"/>
      <c r="C480" s="247"/>
      <c r="D480" s="247"/>
    </row>
    <row r="481">
      <c r="A481" s="246"/>
      <c r="B481" s="247"/>
      <c r="C481" s="247"/>
      <c r="D481" s="247"/>
    </row>
    <row r="482">
      <c r="A482" s="246"/>
      <c r="B482" s="247"/>
      <c r="C482" s="247"/>
      <c r="D482" s="247"/>
    </row>
    <row r="483">
      <c r="A483" s="246"/>
      <c r="B483" s="247"/>
      <c r="C483" s="247"/>
      <c r="D483" s="247"/>
    </row>
    <row r="484">
      <c r="A484" s="246"/>
      <c r="B484" s="247"/>
      <c r="C484" s="247"/>
      <c r="D484" s="247"/>
    </row>
    <row r="485">
      <c r="A485" s="246"/>
      <c r="B485" s="247"/>
      <c r="C485" s="247"/>
      <c r="D485" s="247"/>
    </row>
    <row r="486">
      <c r="A486" s="246"/>
      <c r="B486" s="247"/>
      <c r="C486" s="247"/>
      <c r="D486" s="247"/>
    </row>
    <row r="487">
      <c r="A487" s="246"/>
      <c r="B487" s="247"/>
      <c r="C487" s="247"/>
      <c r="D487" s="247"/>
    </row>
    <row r="488">
      <c r="A488" s="246"/>
      <c r="B488" s="247"/>
      <c r="C488" s="247"/>
      <c r="D488" s="247"/>
    </row>
    <row r="489">
      <c r="A489" s="246"/>
      <c r="B489" s="247"/>
      <c r="C489" s="247"/>
      <c r="D489" s="247"/>
    </row>
    <row r="490">
      <c r="A490" s="246"/>
      <c r="B490" s="247"/>
      <c r="C490" s="247"/>
      <c r="D490" s="247"/>
    </row>
    <row r="491">
      <c r="A491" s="246"/>
      <c r="B491" s="247"/>
      <c r="C491" s="247"/>
      <c r="D491" s="247"/>
    </row>
    <row r="492">
      <c r="A492" s="246"/>
      <c r="B492" s="247"/>
      <c r="C492" s="247"/>
      <c r="D492" s="247"/>
    </row>
    <row r="493">
      <c r="A493" s="246"/>
      <c r="B493" s="247"/>
      <c r="C493" s="247"/>
      <c r="D493" s="247"/>
    </row>
    <row r="494">
      <c r="A494" s="246"/>
      <c r="B494" s="247"/>
      <c r="C494" s="247"/>
      <c r="D494" s="247"/>
    </row>
    <row r="495">
      <c r="A495" s="246"/>
      <c r="B495" s="247"/>
      <c r="C495" s="247"/>
      <c r="D495" s="247"/>
    </row>
    <row r="496">
      <c r="A496" s="246"/>
      <c r="B496" s="247"/>
      <c r="C496" s="247"/>
      <c r="D496" s="247"/>
    </row>
    <row r="497">
      <c r="A497" s="246"/>
      <c r="B497" s="247"/>
      <c r="C497" s="247"/>
      <c r="D497" s="247"/>
    </row>
    <row r="498">
      <c r="A498" s="246"/>
      <c r="B498" s="247"/>
      <c r="C498" s="247"/>
      <c r="D498" s="247"/>
    </row>
    <row r="499">
      <c r="A499" s="246"/>
      <c r="B499" s="247"/>
      <c r="C499" s="247"/>
      <c r="D499" s="247"/>
    </row>
    <row r="500">
      <c r="A500" s="246"/>
      <c r="B500" s="247"/>
      <c r="C500" s="247"/>
      <c r="D500" s="247"/>
    </row>
    <row r="501">
      <c r="A501" s="246"/>
      <c r="B501" s="247"/>
      <c r="C501" s="247"/>
      <c r="D501" s="247"/>
    </row>
    <row r="502">
      <c r="A502" s="246"/>
      <c r="B502" s="247"/>
      <c r="C502" s="247"/>
      <c r="D502" s="247"/>
    </row>
    <row r="503">
      <c r="A503" s="246"/>
      <c r="B503" s="247"/>
      <c r="C503" s="247"/>
      <c r="D503" s="247"/>
    </row>
    <row r="504">
      <c r="A504" s="246"/>
      <c r="B504" s="247"/>
      <c r="C504" s="247"/>
      <c r="D504" s="247"/>
    </row>
    <row r="505">
      <c r="A505" s="246"/>
      <c r="B505" s="247"/>
      <c r="C505" s="247"/>
      <c r="D505" s="247"/>
    </row>
    <row r="506">
      <c r="A506" s="246"/>
      <c r="B506" s="247"/>
      <c r="C506" s="247"/>
      <c r="D506" s="247"/>
    </row>
    <row r="507">
      <c r="A507" s="246"/>
      <c r="B507" s="247"/>
      <c r="C507" s="247"/>
      <c r="D507" s="247"/>
    </row>
    <row r="508">
      <c r="A508" s="246"/>
      <c r="B508" s="247"/>
      <c r="C508" s="247"/>
      <c r="D508" s="247"/>
    </row>
    <row r="509">
      <c r="A509" s="246"/>
      <c r="B509" s="247"/>
      <c r="C509" s="247"/>
      <c r="D509" s="247"/>
    </row>
    <row r="510">
      <c r="A510" s="246"/>
      <c r="B510" s="247"/>
      <c r="C510" s="247"/>
      <c r="D510" s="247"/>
    </row>
    <row r="511">
      <c r="A511" s="246"/>
      <c r="B511" s="247"/>
      <c r="C511" s="247"/>
      <c r="D511" s="247"/>
    </row>
    <row r="512">
      <c r="A512" s="246"/>
      <c r="B512" s="247"/>
      <c r="C512" s="247"/>
      <c r="D512" s="247"/>
    </row>
    <row r="513">
      <c r="A513" s="246"/>
      <c r="B513" s="247"/>
      <c r="C513" s="247"/>
      <c r="D513" s="247"/>
    </row>
    <row r="514">
      <c r="A514" s="246"/>
      <c r="B514" s="247"/>
      <c r="C514" s="247"/>
      <c r="D514" s="247"/>
    </row>
    <row r="515">
      <c r="A515" s="246"/>
      <c r="B515" s="247"/>
      <c r="C515" s="247"/>
      <c r="D515" s="247"/>
    </row>
    <row r="516">
      <c r="A516" s="246"/>
      <c r="B516" s="247"/>
      <c r="C516" s="247"/>
      <c r="D516" s="247"/>
    </row>
    <row r="517">
      <c r="A517" s="246"/>
      <c r="B517" s="247"/>
      <c r="C517" s="247"/>
      <c r="D517" s="247"/>
    </row>
    <row r="518">
      <c r="A518" s="246"/>
      <c r="B518" s="247"/>
      <c r="C518" s="247"/>
      <c r="D518" s="247"/>
    </row>
    <row r="519">
      <c r="A519" s="246"/>
      <c r="B519" s="247"/>
      <c r="C519" s="247"/>
      <c r="D519" s="247"/>
    </row>
    <row r="520">
      <c r="A520" s="246"/>
      <c r="B520" s="247"/>
      <c r="C520" s="247"/>
      <c r="D520" s="247"/>
    </row>
    <row r="521">
      <c r="A521" s="246"/>
      <c r="B521" s="247"/>
      <c r="C521" s="247"/>
      <c r="D521" s="247"/>
    </row>
    <row r="522">
      <c r="A522" s="246"/>
      <c r="B522" s="247"/>
      <c r="C522" s="247"/>
      <c r="D522" s="247"/>
    </row>
    <row r="523">
      <c r="A523" s="246"/>
      <c r="B523" s="247"/>
      <c r="C523" s="247"/>
      <c r="D523" s="247"/>
    </row>
    <row r="524">
      <c r="A524" s="246"/>
      <c r="B524" s="247"/>
      <c r="C524" s="247"/>
      <c r="D524" s="247"/>
    </row>
    <row r="525">
      <c r="A525" s="246"/>
      <c r="B525" s="247"/>
      <c r="C525" s="247"/>
      <c r="D525" s="247"/>
    </row>
    <row r="526">
      <c r="A526" s="246"/>
      <c r="B526" s="247"/>
      <c r="C526" s="247"/>
      <c r="D526" s="247"/>
    </row>
    <row r="527">
      <c r="A527" s="246"/>
      <c r="B527" s="247"/>
      <c r="C527" s="247"/>
      <c r="D527" s="247"/>
    </row>
    <row r="528">
      <c r="A528" s="246"/>
      <c r="B528" s="247"/>
      <c r="C528" s="247"/>
      <c r="D528" s="247"/>
    </row>
    <row r="529">
      <c r="A529" s="246"/>
      <c r="B529" s="247"/>
      <c r="C529" s="247"/>
      <c r="D529" s="247"/>
    </row>
    <row r="530">
      <c r="A530" s="246"/>
      <c r="B530" s="247"/>
      <c r="C530" s="247"/>
      <c r="D530" s="247"/>
    </row>
    <row r="531">
      <c r="A531" s="246"/>
      <c r="B531" s="247"/>
      <c r="C531" s="247"/>
      <c r="D531" s="247"/>
    </row>
    <row r="532">
      <c r="A532" s="246"/>
      <c r="B532" s="247"/>
      <c r="C532" s="247"/>
      <c r="D532" s="247"/>
    </row>
    <row r="533">
      <c r="A533" s="246"/>
      <c r="B533" s="247"/>
      <c r="C533" s="247"/>
      <c r="D533" s="247"/>
    </row>
    <row r="534">
      <c r="A534" s="246"/>
      <c r="B534" s="247"/>
      <c r="C534" s="247"/>
      <c r="D534" s="247"/>
    </row>
    <row r="535">
      <c r="A535" s="246"/>
      <c r="B535" s="247"/>
      <c r="C535" s="247"/>
      <c r="D535" s="247"/>
    </row>
    <row r="536">
      <c r="A536" s="246"/>
      <c r="B536" s="247"/>
      <c r="C536" s="247"/>
      <c r="D536" s="247"/>
    </row>
    <row r="537">
      <c r="A537" s="246"/>
      <c r="B537" s="247"/>
      <c r="C537" s="247"/>
      <c r="D537" s="247"/>
    </row>
    <row r="538">
      <c r="A538" s="246"/>
      <c r="B538" s="247"/>
      <c r="C538" s="247"/>
      <c r="D538" s="247"/>
    </row>
    <row r="539">
      <c r="A539" s="246"/>
      <c r="B539" s="247"/>
      <c r="C539" s="247"/>
      <c r="D539" s="247"/>
    </row>
    <row r="540">
      <c r="A540" s="246"/>
      <c r="B540" s="247"/>
      <c r="C540" s="247"/>
      <c r="D540" s="247"/>
    </row>
    <row r="541">
      <c r="A541" s="246"/>
      <c r="B541" s="247"/>
      <c r="C541" s="247"/>
      <c r="D541" s="247"/>
    </row>
    <row r="542">
      <c r="A542" s="246"/>
      <c r="B542" s="247"/>
      <c r="C542" s="247"/>
      <c r="D542" s="247"/>
    </row>
    <row r="543">
      <c r="A543" s="246"/>
      <c r="B543" s="247"/>
      <c r="C543" s="247"/>
      <c r="D543" s="247"/>
    </row>
    <row r="544">
      <c r="A544" s="246"/>
      <c r="B544" s="247"/>
      <c r="C544" s="247"/>
      <c r="D544" s="247"/>
    </row>
    <row r="545">
      <c r="A545" s="246"/>
      <c r="B545" s="247"/>
      <c r="C545" s="247"/>
      <c r="D545" s="247"/>
    </row>
    <row r="546">
      <c r="A546" s="246"/>
      <c r="B546" s="247"/>
      <c r="C546" s="247"/>
      <c r="D546" s="247"/>
    </row>
    <row r="547">
      <c r="A547" s="246"/>
      <c r="B547" s="247"/>
      <c r="C547" s="247"/>
      <c r="D547" s="247"/>
    </row>
    <row r="548">
      <c r="A548" s="246"/>
      <c r="B548" s="247"/>
      <c r="C548" s="247"/>
      <c r="D548" s="247"/>
    </row>
    <row r="549">
      <c r="A549" s="246"/>
      <c r="B549" s="247"/>
      <c r="C549" s="247"/>
      <c r="D549" s="247"/>
    </row>
    <row r="550">
      <c r="A550" s="246"/>
      <c r="B550" s="247"/>
      <c r="C550" s="247"/>
      <c r="D550" s="247"/>
    </row>
    <row r="551">
      <c r="A551" s="246"/>
      <c r="B551" s="247"/>
      <c r="C551" s="247"/>
      <c r="D551" s="247"/>
    </row>
    <row r="552">
      <c r="A552" s="246"/>
      <c r="B552" s="247"/>
      <c r="C552" s="247"/>
      <c r="D552" s="247"/>
    </row>
    <row r="553">
      <c r="A553" s="246"/>
      <c r="B553" s="247"/>
      <c r="C553" s="247"/>
      <c r="D553" s="247"/>
    </row>
    <row r="554">
      <c r="A554" s="246"/>
      <c r="B554" s="247"/>
      <c r="C554" s="247"/>
      <c r="D554" s="247"/>
    </row>
    <row r="555">
      <c r="A555" s="246"/>
      <c r="B555" s="247"/>
      <c r="C555" s="247"/>
      <c r="D555" s="247"/>
    </row>
    <row r="556">
      <c r="A556" s="246"/>
      <c r="B556" s="247"/>
      <c r="C556" s="247"/>
      <c r="D556" s="247"/>
    </row>
    <row r="557">
      <c r="A557" s="246"/>
      <c r="B557" s="247"/>
      <c r="C557" s="247"/>
      <c r="D557" s="247"/>
    </row>
    <row r="558">
      <c r="A558" s="246"/>
      <c r="B558" s="247"/>
      <c r="C558" s="247"/>
      <c r="D558" s="247"/>
    </row>
    <row r="559">
      <c r="A559" s="246"/>
      <c r="B559" s="247"/>
      <c r="C559" s="247"/>
      <c r="D559" s="247"/>
    </row>
    <row r="560">
      <c r="A560" s="246"/>
      <c r="B560" s="247"/>
      <c r="C560" s="247"/>
      <c r="D560" s="247"/>
    </row>
    <row r="561">
      <c r="A561" s="246"/>
      <c r="B561" s="247"/>
      <c r="C561" s="247"/>
      <c r="D561" s="247"/>
    </row>
    <row r="562">
      <c r="A562" s="246"/>
      <c r="B562" s="247"/>
      <c r="C562" s="247"/>
      <c r="D562" s="247"/>
    </row>
    <row r="563">
      <c r="A563" s="246"/>
      <c r="B563" s="247"/>
      <c r="C563" s="247"/>
      <c r="D563" s="247"/>
    </row>
    <row r="564">
      <c r="A564" s="246"/>
      <c r="B564" s="247"/>
      <c r="C564" s="247"/>
      <c r="D564" s="247"/>
    </row>
    <row r="565">
      <c r="A565" s="246"/>
      <c r="B565" s="247"/>
      <c r="C565" s="247"/>
      <c r="D565" s="247"/>
    </row>
    <row r="566">
      <c r="A566" s="246"/>
      <c r="B566" s="247"/>
      <c r="C566" s="247"/>
      <c r="D566" s="247"/>
    </row>
    <row r="567">
      <c r="A567" s="246"/>
      <c r="B567" s="247"/>
      <c r="C567" s="247"/>
      <c r="D567" s="247"/>
    </row>
    <row r="568">
      <c r="A568" s="246"/>
      <c r="B568" s="247"/>
      <c r="C568" s="247"/>
      <c r="D568" s="247"/>
    </row>
    <row r="569">
      <c r="A569" s="246"/>
      <c r="B569" s="247"/>
      <c r="C569" s="247"/>
      <c r="D569" s="247"/>
    </row>
    <row r="570">
      <c r="A570" s="246"/>
      <c r="B570" s="247"/>
      <c r="C570" s="247"/>
      <c r="D570" s="247"/>
    </row>
    <row r="571">
      <c r="A571" s="246"/>
      <c r="B571" s="247"/>
      <c r="C571" s="247"/>
      <c r="D571" s="247"/>
    </row>
    <row r="572">
      <c r="A572" s="246"/>
      <c r="B572" s="247"/>
      <c r="C572" s="247"/>
      <c r="D572" s="247"/>
    </row>
    <row r="573">
      <c r="A573" s="246"/>
      <c r="B573" s="247"/>
      <c r="C573" s="247"/>
      <c r="D573" s="247"/>
    </row>
    <row r="574">
      <c r="A574" s="246"/>
      <c r="B574" s="247"/>
      <c r="C574" s="247"/>
      <c r="D574" s="247"/>
    </row>
    <row r="575">
      <c r="A575" s="246"/>
      <c r="B575" s="247"/>
      <c r="C575" s="247"/>
      <c r="D575" s="247"/>
    </row>
    <row r="576">
      <c r="A576" s="246"/>
      <c r="B576" s="247"/>
      <c r="C576" s="247"/>
      <c r="D576" s="247"/>
    </row>
    <row r="577">
      <c r="A577" s="246"/>
      <c r="B577" s="247"/>
      <c r="C577" s="247"/>
      <c r="D577" s="247"/>
    </row>
    <row r="578">
      <c r="A578" s="246"/>
      <c r="B578" s="247"/>
      <c r="C578" s="247"/>
      <c r="D578" s="247"/>
    </row>
    <row r="579">
      <c r="A579" s="246"/>
      <c r="B579" s="247"/>
      <c r="C579" s="247"/>
      <c r="D579" s="247"/>
    </row>
    <row r="580">
      <c r="A580" s="246"/>
      <c r="B580" s="247"/>
      <c r="C580" s="247"/>
      <c r="D580" s="247"/>
    </row>
    <row r="581">
      <c r="A581" s="246"/>
      <c r="B581" s="247"/>
      <c r="C581" s="247"/>
      <c r="D581" s="247"/>
    </row>
    <row r="582">
      <c r="A582" s="246"/>
      <c r="B582" s="247"/>
      <c r="C582" s="247"/>
      <c r="D582" s="247"/>
    </row>
    <row r="583">
      <c r="A583" s="246"/>
      <c r="B583" s="247"/>
      <c r="C583" s="247"/>
      <c r="D583" s="247"/>
    </row>
    <row r="584">
      <c r="A584" s="246"/>
      <c r="B584" s="247"/>
      <c r="C584" s="247"/>
      <c r="D584" s="247"/>
    </row>
    <row r="585">
      <c r="A585" s="246"/>
      <c r="B585" s="247"/>
      <c r="C585" s="247"/>
      <c r="D585" s="247"/>
    </row>
    <row r="586">
      <c r="A586" s="246"/>
      <c r="B586" s="247"/>
      <c r="C586" s="247"/>
      <c r="D586" s="247"/>
    </row>
    <row r="587">
      <c r="A587" s="246"/>
      <c r="B587" s="247"/>
      <c r="C587" s="247"/>
      <c r="D587" s="247"/>
    </row>
    <row r="588">
      <c r="A588" s="246"/>
      <c r="B588" s="247"/>
      <c r="C588" s="247"/>
      <c r="D588" s="247"/>
    </row>
    <row r="589">
      <c r="A589" s="246"/>
      <c r="B589" s="247"/>
      <c r="C589" s="247"/>
      <c r="D589" s="247"/>
    </row>
    <row r="590">
      <c r="A590" s="246"/>
      <c r="B590" s="247"/>
      <c r="C590" s="247"/>
      <c r="D590" s="247"/>
    </row>
    <row r="591">
      <c r="A591" s="246"/>
      <c r="B591" s="247"/>
      <c r="C591" s="247"/>
      <c r="D591" s="247"/>
    </row>
    <row r="592">
      <c r="A592" s="246"/>
      <c r="B592" s="247"/>
      <c r="C592" s="247"/>
      <c r="D592" s="247"/>
    </row>
    <row r="593">
      <c r="A593" s="246"/>
      <c r="B593" s="247"/>
      <c r="C593" s="247"/>
      <c r="D593" s="247"/>
    </row>
    <row r="594">
      <c r="A594" s="246"/>
      <c r="B594" s="247"/>
      <c r="C594" s="247"/>
      <c r="D594" s="247"/>
    </row>
    <row r="595">
      <c r="A595" s="246"/>
      <c r="B595" s="247"/>
      <c r="C595" s="247"/>
      <c r="D595" s="247"/>
    </row>
    <row r="596">
      <c r="A596" s="246"/>
      <c r="B596" s="247"/>
      <c r="C596" s="247"/>
      <c r="D596" s="247"/>
    </row>
    <row r="597">
      <c r="A597" s="246"/>
      <c r="B597" s="247"/>
      <c r="C597" s="247"/>
      <c r="D597" s="247"/>
    </row>
    <row r="598">
      <c r="A598" s="246"/>
      <c r="B598" s="247"/>
      <c r="C598" s="247"/>
      <c r="D598" s="247"/>
    </row>
    <row r="599">
      <c r="A599" s="246"/>
      <c r="B599" s="247"/>
      <c r="C599" s="247"/>
      <c r="D599" s="247"/>
    </row>
    <row r="600">
      <c r="A600" s="246"/>
      <c r="B600" s="247"/>
      <c r="C600" s="247"/>
      <c r="D600" s="247"/>
    </row>
    <row r="601">
      <c r="A601" s="246"/>
      <c r="B601" s="247"/>
      <c r="C601" s="247"/>
      <c r="D601" s="247"/>
    </row>
    <row r="602">
      <c r="A602" s="246"/>
      <c r="B602" s="247"/>
      <c r="C602" s="247"/>
      <c r="D602" s="247"/>
    </row>
    <row r="603">
      <c r="A603" s="246"/>
      <c r="B603" s="247"/>
      <c r="C603" s="247"/>
      <c r="D603" s="247"/>
    </row>
    <row r="604">
      <c r="A604" s="246"/>
      <c r="B604" s="247"/>
      <c r="C604" s="247"/>
      <c r="D604" s="247"/>
    </row>
    <row r="605">
      <c r="A605" s="246"/>
      <c r="B605" s="247"/>
      <c r="C605" s="247"/>
      <c r="D605" s="247"/>
    </row>
    <row r="606">
      <c r="A606" s="246"/>
      <c r="B606" s="247"/>
      <c r="C606" s="247"/>
      <c r="D606" s="247"/>
    </row>
    <row r="607">
      <c r="A607" s="246"/>
      <c r="B607" s="247"/>
      <c r="C607" s="247"/>
      <c r="D607" s="247"/>
    </row>
    <row r="608">
      <c r="A608" s="246"/>
      <c r="B608" s="247"/>
      <c r="C608" s="247"/>
      <c r="D608" s="247"/>
    </row>
    <row r="609">
      <c r="A609" s="246"/>
      <c r="B609" s="247"/>
      <c r="C609" s="247"/>
      <c r="D609" s="247"/>
    </row>
    <row r="610">
      <c r="A610" s="246"/>
      <c r="B610" s="247"/>
      <c r="C610" s="247"/>
      <c r="D610" s="247"/>
    </row>
    <row r="611">
      <c r="A611" s="246"/>
      <c r="B611" s="247"/>
      <c r="C611" s="247"/>
      <c r="D611" s="247"/>
    </row>
    <row r="612">
      <c r="A612" s="246"/>
      <c r="B612" s="247"/>
      <c r="C612" s="247"/>
      <c r="D612" s="247"/>
    </row>
    <row r="613">
      <c r="A613" s="246"/>
      <c r="B613" s="247"/>
      <c r="C613" s="247"/>
      <c r="D613" s="247"/>
    </row>
    <row r="614">
      <c r="A614" s="246"/>
      <c r="B614" s="247"/>
      <c r="C614" s="247"/>
      <c r="D614" s="247"/>
    </row>
    <row r="615">
      <c r="A615" s="246"/>
      <c r="B615" s="247"/>
      <c r="C615" s="247"/>
      <c r="D615" s="247"/>
    </row>
    <row r="616">
      <c r="A616" s="246"/>
      <c r="B616" s="247"/>
      <c r="C616" s="247"/>
      <c r="D616" s="247"/>
    </row>
    <row r="617">
      <c r="A617" s="246"/>
      <c r="B617" s="247"/>
      <c r="C617" s="247"/>
      <c r="D617" s="247"/>
    </row>
    <row r="618">
      <c r="A618" s="246"/>
      <c r="B618" s="247"/>
      <c r="C618" s="247"/>
      <c r="D618" s="247"/>
    </row>
    <row r="619">
      <c r="A619" s="246"/>
      <c r="B619" s="247"/>
      <c r="C619" s="247"/>
      <c r="D619" s="247"/>
    </row>
    <row r="620">
      <c r="A620" s="246"/>
      <c r="B620" s="247"/>
      <c r="C620" s="247"/>
      <c r="D620" s="247"/>
    </row>
    <row r="621">
      <c r="A621" s="246"/>
      <c r="B621" s="247"/>
      <c r="C621" s="247"/>
      <c r="D621" s="247"/>
    </row>
    <row r="622">
      <c r="A622" s="246"/>
      <c r="B622" s="247"/>
      <c r="C622" s="247"/>
      <c r="D622" s="247"/>
    </row>
    <row r="623">
      <c r="A623" s="246"/>
      <c r="B623" s="247"/>
      <c r="C623" s="247"/>
      <c r="D623" s="247"/>
    </row>
    <row r="624">
      <c r="A624" s="246"/>
      <c r="B624" s="247"/>
      <c r="C624" s="247"/>
      <c r="D624" s="247"/>
    </row>
    <row r="625">
      <c r="A625" s="246"/>
      <c r="B625" s="247"/>
      <c r="C625" s="247"/>
      <c r="D625" s="247"/>
    </row>
    <row r="626">
      <c r="A626" s="246"/>
      <c r="B626" s="247"/>
      <c r="C626" s="247"/>
      <c r="D626" s="247"/>
    </row>
    <row r="627">
      <c r="A627" s="246"/>
      <c r="B627" s="247"/>
      <c r="C627" s="247"/>
      <c r="D627" s="247"/>
    </row>
    <row r="628">
      <c r="A628" s="246"/>
      <c r="B628" s="247"/>
      <c r="C628" s="247"/>
      <c r="D628" s="247"/>
    </row>
    <row r="629">
      <c r="A629" s="246"/>
      <c r="B629" s="247"/>
      <c r="C629" s="247"/>
      <c r="D629" s="247"/>
    </row>
    <row r="630">
      <c r="A630" s="246"/>
      <c r="B630" s="247"/>
      <c r="C630" s="247"/>
      <c r="D630" s="247"/>
    </row>
    <row r="631">
      <c r="A631" s="246"/>
      <c r="B631" s="247"/>
      <c r="C631" s="247"/>
      <c r="D631" s="247"/>
    </row>
    <row r="632">
      <c r="A632" s="246"/>
      <c r="B632" s="247"/>
      <c r="C632" s="247"/>
      <c r="D632" s="247"/>
    </row>
    <row r="633">
      <c r="A633" s="246"/>
      <c r="B633" s="247"/>
      <c r="C633" s="247"/>
      <c r="D633" s="247"/>
    </row>
    <row r="634">
      <c r="A634" s="246"/>
      <c r="B634" s="247"/>
      <c r="C634" s="247"/>
      <c r="D634" s="247"/>
    </row>
    <row r="635">
      <c r="A635" s="246"/>
      <c r="B635" s="247"/>
      <c r="C635" s="247"/>
      <c r="D635" s="247"/>
    </row>
    <row r="636">
      <c r="A636" s="246"/>
      <c r="B636" s="247"/>
      <c r="C636" s="247"/>
      <c r="D636" s="247"/>
    </row>
    <row r="637">
      <c r="A637" s="246"/>
      <c r="B637" s="247"/>
      <c r="C637" s="247"/>
      <c r="D637" s="247"/>
    </row>
    <row r="638">
      <c r="A638" s="246"/>
      <c r="B638" s="247"/>
      <c r="C638" s="247"/>
      <c r="D638" s="247"/>
    </row>
    <row r="639">
      <c r="A639" s="246"/>
      <c r="B639" s="247"/>
      <c r="C639" s="247"/>
      <c r="D639" s="247"/>
    </row>
    <row r="640">
      <c r="A640" s="246"/>
      <c r="B640" s="247"/>
      <c r="C640" s="247"/>
      <c r="D640" s="247"/>
    </row>
    <row r="641">
      <c r="A641" s="246"/>
      <c r="B641" s="247"/>
      <c r="C641" s="247"/>
      <c r="D641" s="247"/>
    </row>
    <row r="642">
      <c r="A642" s="246"/>
      <c r="B642" s="247"/>
      <c r="C642" s="247"/>
      <c r="D642" s="247"/>
    </row>
    <row r="643">
      <c r="A643" s="246"/>
      <c r="B643" s="247"/>
      <c r="C643" s="247"/>
      <c r="D643" s="247"/>
    </row>
    <row r="644">
      <c r="A644" s="246"/>
      <c r="B644" s="247"/>
      <c r="C644" s="247"/>
      <c r="D644" s="247"/>
    </row>
    <row r="645">
      <c r="A645" s="246"/>
      <c r="B645" s="247"/>
      <c r="C645" s="247"/>
      <c r="D645" s="247"/>
    </row>
    <row r="646">
      <c r="A646" s="246"/>
      <c r="B646" s="247"/>
      <c r="C646" s="247"/>
      <c r="D646" s="247"/>
    </row>
    <row r="647">
      <c r="A647" s="246"/>
      <c r="B647" s="247"/>
      <c r="C647" s="247"/>
      <c r="D647" s="247"/>
    </row>
    <row r="648">
      <c r="A648" s="246"/>
      <c r="B648" s="247"/>
      <c r="C648" s="247"/>
      <c r="D648" s="247"/>
    </row>
    <row r="649">
      <c r="A649" s="246"/>
      <c r="B649" s="247"/>
      <c r="C649" s="247"/>
      <c r="D649" s="247"/>
    </row>
    <row r="650">
      <c r="A650" s="246"/>
      <c r="B650" s="247"/>
      <c r="C650" s="247"/>
      <c r="D650" s="247"/>
    </row>
    <row r="651">
      <c r="A651" s="246"/>
      <c r="B651" s="247"/>
      <c r="C651" s="247"/>
      <c r="D651" s="247"/>
    </row>
    <row r="652">
      <c r="A652" s="246"/>
      <c r="B652" s="247"/>
      <c r="C652" s="247"/>
      <c r="D652" s="247"/>
    </row>
    <row r="653">
      <c r="A653" s="246"/>
      <c r="B653" s="247"/>
      <c r="C653" s="247"/>
      <c r="D653" s="247"/>
    </row>
    <row r="654">
      <c r="A654" s="246"/>
      <c r="B654" s="247"/>
      <c r="C654" s="247"/>
      <c r="D654" s="247"/>
    </row>
    <row r="655">
      <c r="A655" s="246"/>
      <c r="B655" s="247"/>
      <c r="C655" s="247"/>
      <c r="D655" s="247"/>
    </row>
    <row r="656">
      <c r="A656" s="246"/>
      <c r="B656" s="247"/>
      <c r="C656" s="247"/>
      <c r="D656" s="247"/>
    </row>
    <row r="657">
      <c r="A657" s="246"/>
      <c r="B657" s="247"/>
      <c r="C657" s="247"/>
      <c r="D657" s="247"/>
    </row>
    <row r="658">
      <c r="A658" s="246"/>
      <c r="B658" s="247"/>
      <c r="C658" s="247"/>
      <c r="D658" s="247"/>
    </row>
    <row r="659">
      <c r="A659" s="246"/>
      <c r="B659" s="247"/>
      <c r="C659" s="247"/>
      <c r="D659" s="247"/>
    </row>
    <row r="660">
      <c r="A660" s="246"/>
      <c r="B660" s="247"/>
      <c r="C660" s="247"/>
      <c r="D660" s="247"/>
    </row>
    <row r="661">
      <c r="A661" s="246"/>
      <c r="B661" s="247"/>
      <c r="C661" s="247"/>
      <c r="D661" s="247"/>
    </row>
    <row r="662">
      <c r="A662" s="246"/>
      <c r="B662" s="247"/>
      <c r="C662" s="247"/>
      <c r="D662" s="247"/>
    </row>
    <row r="663">
      <c r="A663" s="246"/>
      <c r="B663" s="247"/>
      <c r="C663" s="247"/>
      <c r="D663" s="247"/>
    </row>
    <row r="664">
      <c r="A664" s="246"/>
      <c r="B664" s="247"/>
      <c r="C664" s="247"/>
      <c r="D664" s="247"/>
    </row>
    <row r="665">
      <c r="A665" s="246"/>
      <c r="B665" s="247"/>
      <c r="C665" s="247"/>
      <c r="D665" s="247"/>
    </row>
    <row r="666">
      <c r="A666" s="246"/>
      <c r="B666" s="247"/>
      <c r="C666" s="247"/>
      <c r="D666" s="247"/>
    </row>
    <row r="667">
      <c r="A667" s="246"/>
      <c r="B667" s="247"/>
      <c r="C667" s="247"/>
      <c r="D667" s="247"/>
    </row>
    <row r="668">
      <c r="A668" s="246"/>
      <c r="B668" s="247"/>
      <c r="C668" s="247"/>
      <c r="D668" s="247"/>
    </row>
    <row r="669">
      <c r="A669" s="246"/>
      <c r="B669" s="247"/>
      <c r="C669" s="247"/>
      <c r="D669" s="247"/>
    </row>
    <row r="670">
      <c r="A670" s="246"/>
      <c r="B670" s="247"/>
      <c r="C670" s="247"/>
      <c r="D670" s="247"/>
    </row>
    <row r="671">
      <c r="A671" s="246"/>
      <c r="B671" s="247"/>
      <c r="C671" s="247"/>
      <c r="D671" s="247"/>
    </row>
    <row r="672">
      <c r="A672" s="246"/>
      <c r="B672" s="247"/>
      <c r="C672" s="247"/>
      <c r="D672" s="247"/>
    </row>
    <row r="673">
      <c r="A673" s="246"/>
      <c r="B673" s="247"/>
      <c r="C673" s="247"/>
      <c r="D673" s="247"/>
    </row>
    <row r="674">
      <c r="A674" s="246"/>
      <c r="B674" s="247"/>
      <c r="C674" s="247"/>
      <c r="D674" s="247"/>
    </row>
    <row r="675">
      <c r="A675" s="246"/>
      <c r="B675" s="247"/>
      <c r="C675" s="247"/>
      <c r="D675" s="247"/>
    </row>
    <row r="676">
      <c r="A676" s="246"/>
      <c r="B676" s="247"/>
      <c r="C676" s="247"/>
      <c r="D676" s="247"/>
    </row>
    <row r="677">
      <c r="A677" s="246"/>
      <c r="B677" s="247"/>
      <c r="C677" s="247"/>
      <c r="D677" s="247"/>
    </row>
    <row r="678">
      <c r="A678" s="246"/>
      <c r="B678" s="247"/>
      <c r="C678" s="247"/>
      <c r="D678" s="247"/>
    </row>
    <row r="679">
      <c r="A679" s="246"/>
      <c r="B679" s="247"/>
      <c r="C679" s="247"/>
      <c r="D679" s="247"/>
    </row>
    <row r="680">
      <c r="A680" s="246"/>
      <c r="B680" s="247"/>
      <c r="C680" s="247"/>
      <c r="D680" s="247"/>
    </row>
    <row r="681">
      <c r="A681" s="246"/>
      <c r="B681" s="247"/>
      <c r="C681" s="247"/>
      <c r="D681" s="247"/>
    </row>
    <row r="682">
      <c r="A682" s="246"/>
      <c r="B682" s="247"/>
      <c r="C682" s="247"/>
      <c r="D682" s="247"/>
    </row>
    <row r="683">
      <c r="A683" s="246"/>
      <c r="B683" s="247"/>
      <c r="C683" s="247"/>
      <c r="D683" s="247"/>
    </row>
    <row r="684">
      <c r="A684" s="246"/>
      <c r="B684" s="247"/>
      <c r="C684" s="247"/>
      <c r="D684" s="247"/>
    </row>
    <row r="685">
      <c r="A685" s="246"/>
      <c r="B685" s="247"/>
      <c r="C685" s="247"/>
      <c r="D685" s="247"/>
    </row>
    <row r="686">
      <c r="A686" s="246"/>
      <c r="B686" s="247"/>
      <c r="C686" s="247"/>
      <c r="D686" s="247"/>
    </row>
    <row r="687">
      <c r="A687" s="246"/>
      <c r="B687" s="247"/>
      <c r="C687" s="247"/>
      <c r="D687" s="247"/>
    </row>
    <row r="688">
      <c r="A688" s="246"/>
      <c r="B688" s="247"/>
      <c r="C688" s="247"/>
      <c r="D688" s="247"/>
    </row>
    <row r="689">
      <c r="A689" s="246"/>
      <c r="B689" s="247"/>
      <c r="C689" s="247"/>
      <c r="D689" s="247"/>
    </row>
    <row r="690">
      <c r="A690" s="246"/>
      <c r="B690" s="247"/>
      <c r="C690" s="247"/>
      <c r="D690" s="247"/>
    </row>
    <row r="691">
      <c r="A691" s="246"/>
      <c r="B691" s="247"/>
      <c r="C691" s="247"/>
      <c r="D691" s="247"/>
    </row>
    <row r="692">
      <c r="A692" s="246"/>
      <c r="B692" s="247"/>
      <c r="C692" s="247"/>
      <c r="D692" s="247"/>
    </row>
    <row r="693">
      <c r="A693" s="246"/>
      <c r="B693" s="247"/>
      <c r="C693" s="247"/>
      <c r="D693" s="247"/>
    </row>
    <row r="694">
      <c r="A694" s="246"/>
      <c r="B694" s="247"/>
      <c r="C694" s="247"/>
      <c r="D694" s="247"/>
    </row>
    <row r="695">
      <c r="A695" s="246"/>
      <c r="B695" s="247"/>
      <c r="C695" s="247"/>
      <c r="D695" s="247"/>
    </row>
    <row r="696">
      <c r="A696" s="246"/>
      <c r="B696" s="247"/>
      <c r="C696" s="247"/>
      <c r="D696" s="247"/>
    </row>
    <row r="697">
      <c r="A697" s="246"/>
      <c r="B697" s="247"/>
      <c r="C697" s="247"/>
      <c r="D697" s="247"/>
    </row>
    <row r="698">
      <c r="A698" s="246"/>
      <c r="B698" s="247"/>
      <c r="C698" s="247"/>
      <c r="D698" s="247"/>
    </row>
    <row r="699">
      <c r="A699" s="246"/>
      <c r="B699" s="247"/>
      <c r="C699" s="247"/>
      <c r="D699" s="247"/>
    </row>
    <row r="700">
      <c r="A700" s="246"/>
      <c r="B700" s="247"/>
      <c r="C700" s="247"/>
      <c r="D700" s="247"/>
    </row>
    <row r="701">
      <c r="A701" s="246"/>
      <c r="B701" s="247"/>
      <c r="C701" s="247"/>
      <c r="D701" s="247"/>
    </row>
    <row r="702">
      <c r="A702" s="246"/>
      <c r="B702" s="247"/>
      <c r="C702" s="247"/>
      <c r="D702" s="247"/>
    </row>
    <row r="703">
      <c r="A703" s="246"/>
      <c r="B703" s="247"/>
      <c r="C703" s="247"/>
      <c r="D703" s="247"/>
    </row>
    <row r="704">
      <c r="A704" s="246"/>
      <c r="B704" s="247"/>
      <c r="C704" s="247"/>
      <c r="D704" s="247"/>
    </row>
    <row r="705">
      <c r="A705" s="246"/>
      <c r="B705" s="247"/>
      <c r="C705" s="247"/>
      <c r="D705" s="247"/>
    </row>
    <row r="706">
      <c r="A706" s="246"/>
      <c r="B706" s="247"/>
      <c r="C706" s="247"/>
      <c r="D706" s="247"/>
    </row>
    <row r="707">
      <c r="A707" s="246"/>
      <c r="B707" s="247"/>
      <c r="C707" s="247"/>
      <c r="D707" s="247"/>
    </row>
    <row r="708">
      <c r="A708" s="246"/>
      <c r="B708" s="247"/>
      <c r="C708" s="247"/>
      <c r="D708" s="247"/>
    </row>
    <row r="709">
      <c r="A709" s="246"/>
      <c r="B709" s="247"/>
      <c r="C709" s="247"/>
      <c r="D709" s="247"/>
    </row>
    <row r="710">
      <c r="A710" s="246"/>
      <c r="B710" s="247"/>
      <c r="C710" s="247"/>
      <c r="D710" s="247"/>
    </row>
    <row r="711">
      <c r="A711" s="246"/>
      <c r="B711" s="247"/>
      <c r="C711" s="247"/>
      <c r="D711" s="247"/>
    </row>
    <row r="712">
      <c r="A712" s="246"/>
      <c r="B712" s="247"/>
      <c r="C712" s="247"/>
      <c r="D712" s="247"/>
    </row>
    <row r="713">
      <c r="A713" s="246"/>
      <c r="B713" s="247"/>
      <c r="C713" s="247"/>
      <c r="D713" s="247"/>
    </row>
    <row r="714">
      <c r="A714" s="246"/>
      <c r="B714" s="247"/>
      <c r="C714" s="247"/>
      <c r="D714" s="247"/>
    </row>
    <row r="715">
      <c r="A715" s="246"/>
      <c r="B715" s="247"/>
      <c r="C715" s="247"/>
      <c r="D715" s="247"/>
    </row>
    <row r="716">
      <c r="A716" s="246"/>
      <c r="B716" s="247"/>
      <c r="C716" s="247"/>
      <c r="D716" s="247"/>
    </row>
    <row r="717">
      <c r="A717" s="246"/>
      <c r="B717" s="247"/>
      <c r="C717" s="247"/>
      <c r="D717" s="247"/>
    </row>
    <row r="718">
      <c r="A718" s="246"/>
      <c r="B718" s="247"/>
      <c r="C718" s="247"/>
      <c r="D718" s="247"/>
    </row>
    <row r="719">
      <c r="A719" s="246"/>
      <c r="B719" s="247"/>
      <c r="C719" s="247"/>
      <c r="D719" s="247"/>
    </row>
    <row r="720">
      <c r="A720" s="246"/>
      <c r="B720" s="247"/>
      <c r="C720" s="247"/>
      <c r="D720" s="247"/>
    </row>
    <row r="721">
      <c r="A721" s="246"/>
      <c r="B721" s="247"/>
      <c r="C721" s="247"/>
      <c r="D721" s="247"/>
    </row>
    <row r="722">
      <c r="A722" s="246"/>
      <c r="B722" s="247"/>
      <c r="C722" s="247"/>
      <c r="D722" s="247"/>
    </row>
    <row r="723">
      <c r="A723" s="246"/>
      <c r="B723" s="247"/>
      <c r="C723" s="247"/>
      <c r="D723" s="247"/>
    </row>
    <row r="724">
      <c r="A724" s="246"/>
      <c r="B724" s="247"/>
      <c r="C724" s="247"/>
      <c r="D724" s="247"/>
    </row>
    <row r="725">
      <c r="A725" s="246"/>
      <c r="B725" s="247"/>
      <c r="C725" s="247"/>
      <c r="D725" s="247"/>
    </row>
    <row r="726">
      <c r="A726" s="246"/>
      <c r="B726" s="247"/>
      <c r="C726" s="247"/>
      <c r="D726" s="247"/>
    </row>
    <row r="727">
      <c r="A727" s="246"/>
      <c r="B727" s="247"/>
      <c r="C727" s="247"/>
      <c r="D727" s="247"/>
    </row>
    <row r="728">
      <c r="A728" s="246"/>
      <c r="B728" s="247"/>
      <c r="C728" s="247"/>
      <c r="D728" s="247"/>
    </row>
    <row r="729">
      <c r="A729" s="246"/>
      <c r="B729" s="247"/>
      <c r="C729" s="247"/>
      <c r="D729" s="247"/>
    </row>
    <row r="730">
      <c r="A730" s="246"/>
      <c r="B730" s="247"/>
      <c r="C730" s="247"/>
      <c r="D730" s="247"/>
    </row>
    <row r="731">
      <c r="A731" s="246"/>
      <c r="B731" s="247"/>
      <c r="C731" s="247"/>
      <c r="D731" s="247"/>
    </row>
    <row r="732">
      <c r="A732" s="246"/>
      <c r="B732" s="247"/>
      <c r="C732" s="247"/>
      <c r="D732" s="247"/>
    </row>
    <row r="733">
      <c r="A733" s="246"/>
      <c r="B733" s="247"/>
      <c r="C733" s="247"/>
      <c r="D733" s="247"/>
    </row>
    <row r="734">
      <c r="A734" s="246"/>
      <c r="B734" s="247"/>
      <c r="C734" s="247"/>
      <c r="D734" s="247"/>
    </row>
    <row r="735">
      <c r="A735" s="246"/>
      <c r="B735" s="247"/>
      <c r="C735" s="247"/>
      <c r="D735" s="247"/>
    </row>
    <row r="736">
      <c r="A736" s="246"/>
      <c r="B736" s="247"/>
      <c r="C736" s="247"/>
      <c r="D736" s="247"/>
    </row>
    <row r="737">
      <c r="A737" s="246"/>
      <c r="B737" s="247"/>
      <c r="C737" s="247"/>
      <c r="D737" s="247"/>
    </row>
    <row r="738">
      <c r="A738" s="246"/>
      <c r="B738" s="247"/>
      <c r="C738" s="247"/>
      <c r="D738" s="247"/>
    </row>
    <row r="739">
      <c r="A739" s="246"/>
      <c r="B739" s="247"/>
      <c r="C739" s="247"/>
      <c r="D739" s="247"/>
    </row>
    <row r="740">
      <c r="A740" s="246"/>
      <c r="B740" s="247"/>
      <c r="C740" s="247"/>
      <c r="D740" s="247"/>
    </row>
    <row r="741">
      <c r="A741" s="246"/>
      <c r="B741" s="247"/>
      <c r="C741" s="247"/>
      <c r="D741" s="247"/>
    </row>
    <row r="742">
      <c r="A742" s="246"/>
      <c r="B742" s="247"/>
      <c r="C742" s="247"/>
      <c r="D742" s="247"/>
    </row>
    <row r="743">
      <c r="A743" s="246"/>
      <c r="B743" s="247"/>
      <c r="C743" s="247"/>
      <c r="D743" s="247"/>
    </row>
    <row r="744">
      <c r="A744" s="246"/>
      <c r="B744" s="247"/>
      <c r="C744" s="247"/>
      <c r="D744" s="247"/>
    </row>
    <row r="745">
      <c r="A745" s="246"/>
      <c r="B745" s="247"/>
      <c r="C745" s="247"/>
      <c r="D745" s="247"/>
    </row>
    <row r="746">
      <c r="A746" s="246"/>
      <c r="B746" s="247"/>
      <c r="C746" s="247"/>
      <c r="D746" s="247"/>
    </row>
    <row r="747">
      <c r="A747" s="246"/>
      <c r="B747" s="247"/>
      <c r="C747" s="247"/>
      <c r="D747" s="247"/>
    </row>
    <row r="748">
      <c r="A748" s="246"/>
      <c r="B748" s="247"/>
      <c r="C748" s="247"/>
      <c r="D748" s="247"/>
    </row>
    <row r="749">
      <c r="A749" s="246"/>
      <c r="B749" s="247"/>
      <c r="C749" s="247"/>
      <c r="D749" s="247"/>
    </row>
    <row r="750">
      <c r="A750" s="246"/>
      <c r="B750" s="247"/>
      <c r="C750" s="247"/>
      <c r="D750" s="247"/>
    </row>
    <row r="751">
      <c r="A751" s="246"/>
      <c r="B751" s="247"/>
      <c r="C751" s="247"/>
      <c r="D751" s="247"/>
    </row>
    <row r="752">
      <c r="A752" s="246"/>
      <c r="B752" s="247"/>
      <c r="C752" s="247"/>
      <c r="D752" s="247"/>
    </row>
    <row r="753">
      <c r="A753" s="246"/>
      <c r="B753" s="247"/>
      <c r="C753" s="247"/>
      <c r="D753" s="247"/>
    </row>
    <row r="754">
      <c r="A754" s="246"/>
      <c r="B754" s="247"/>
      <c r="C754" s="247"/>
      <c r="D754" s="247"/>
    </row>
    <row r="755">
      <c r="A755" s="246"/>
      <c r="B755" s="247"/>
      <c r="C755" s="247"/>
      <c r="D755" s="247"/>
    </row>
    <row r="756">
      <c r="A756" s="246"/>
      <c r="B756" s="247"/>
      <c r="C756" s="247"/>
      <c r="D756" s="247"/>
    </row>
    <row r="757">
      <c r="A757" s="246"/>
      <c r="B757" s="247"/>
      <c r="C757" s="247"/>
      <c r="D757" s="247"/>
    </row>
    <row r="758">
      <c r="A758" s="246"/>
      <c r="B758" s="247"/>
      <c r="C758" s="247"/>
      <c r="D758" s="247"/>
    </row>
    <row r="759">
      <c r="A759" s="246"/>
      <c r="B759" s="247"/>
      <c r="C759" s="247"/>
      <c r="D759" s="247"/>
    </row>
    <row r="760">
      <c r="A760" s="246"/>
      <c r="B760" s="247"/>
      <c r="C760" s="247"/>
      <c r="D760" s="247"/>
    </row>
    <row r="761">
      <c r="A761" s="246"/>
      <c r="B761" s="247"/>
      <c r="C761" s="247"/>
      <c r="D761" s="247"/>
    </row>
    <row r="762">
      <c r="A762" s="246"/>
      <c r="B762" s="247"/>
      <c r="C762" s="247"/>
      <c r="D762" s="247"/>
    </row>
    <row r="763">
      <c r="A763" s="246"/>
      <c r="B763" s="247"/>
      <c r="C763" s="247"/>
      <c r="D763" s="247"/>
    </row>
    <row r="764">
      <c r="A764" s="246"/>
      <c r="B764" s="247"/>
      <c r="C764" s="247"/>
      <c r="D764" s="247"/>
    </row>
    <row r="765">
      <c r="A765" s="246"/>
      <c r="B765" s="247"/>
      <c r="C765" s="247"/>
      <c r="D765" s="247"/>
    </row>
    <row r="766">
      <c r="A766" s="246"/>
      <c r="B766" s="247"/>
      <c r="C766" s="247"/>
      <c r="D766" s="247"/>
    </row>
    <row r="767">
      <c r="A767" s="246"/>
      <c r="B767" s="247"/>
      <c r="C767" s="247"/>
      <c r="D767" s="247"/>
    </row>
    <row r="768">
      <c r="A768" s="246"/>
      <c r="B768" s="247"/>
      <c r="C768" s="247"/>
      <c r="D768" s="247"/>
    </row>
    <row r="769">
      <c r="A769" s="246"/>
      <c r="B769" s="247"/>
      <c r="C769" s="247"/>
      <c r="D769" s="247"/>
    </row>
    <row r="770">
      <c r="A770" s="246"/>
      <c r="B770" s="247"/>
      <c r="C770" s="247"/>
      <c r="D770" s="247"/>
    </row>
    <row r="771">
      <c r="A771" s="246"/>
      <c r="B771" s="247"/>
      <c r="C771" s="247"/>
      <c r="D771" s="247"/>
    </row>
    <row r="772">
      <c r="A772" s="246"/>
      <c r="B772" s="247"/>
      <c r="C772" s="247"/>
      <c r="D772" s="247"/>
    </row>
    <row r="773">
      <c r="A773" s="246"/>
      <c r="B773" s="247"/>
      <c r="C773" s="247"/>
      <c r="D773" s="247"/>
    </row>
    <row r="774">
      <c r="A774" s="246"/>
      <c r="B774" s="247"/>
      <c r="C774" s="247"/>
      <c r="D774" s="247"/>
    </row>
    <row r="775">
      <c r="A775" s="246"/>
      <c r="B775" s="247"/>
      <c r="C775" s="247"/>
      <c r="D775" s="247"/>
    </row>
    <row r="776">
      <c r="A776" s="246"/>
      <c r="B776" s="247"/>
      <c r="C776" s="247"/>
      <c r="D776" s="247"/>
    </row>
    <row r="777">
      <c r="A777" s="246"/>
      <c r="B777" s="247"/>
      <c r="C777" s="247"/>
      <c r="D777" s="247"/>
    </row>
    <row r="778">
      <c r="A778" s="246"/>
      <c r="B778" s="247"/>
      <c r="C778" s="247"/>
      <c r="D778" s="247"/>
    </row>
    <row r="779">
      <c r="A779" s="246"/>
      <c r="B779" s="247"/>
      <c r="C779" s="247"/>
      <c r="D779" s="247"/>
    </row>
    <row r="780">
      <c r="A780" s="246"/>
      <c r="B780" s="247"/>
      <c r="C780" s="247"/>
      <c r="D780" s="247"/>
    </row>
    <row r="781">
      <c r="A781" s="246"/>
      <c r="B781" s="247"/>
      <c r="C781" s="247"/>
      <c r="D781" s="247"/>
    </row>
    <row r="782">
      <c r="A782" s="246"/>
      <c r="B782" s="247"/>
      <c r="C782" s="247"/>
      <c r="D782" s="247"/>
    </row>
    <row r="783">
      <c r="A783" s="246"/>
      <c r="B783" s="247"/>
      <c r="C783" s="247"/>
      <c r="D783" s="247"/>
    </row>
    <row r="784">
      <c r="A784" s="246"/>
      <c r="B784" s="247"/>
      <c r="C784" s="247"/>
      <c r="D784" s="247"/>
    </row>
    <row r="785">
      <c r="A785" s="246"/>
      <c r="B785" s="247"/>
      <c r="C785" s="247"/>
      <c r="D785" s="247"/>
    </row>
    <row r="786">
      <c r="A786" s="246"/>
      <c r="B786" s="247"/>
      <c r="C786" s="247"/>
      <c r="D786" s="247"/>
    </row>
    <row r="787">
      <c r="A787" s="246"/>
      <c r="B787" s="247"/>
      <c r="C787" s="247"/>
      <c r="D787" s="247"/>
    </row>
    <row r="788">
      <c r="A788" s="246"/>
      <c r="B788" s="247"/>
      <c r="C788" s="247"/>
      <c r="D788" s="247"/>
    </row>
    <row r="789">
      <c r="A789" s="246"/>
      <c r="B789" s="247"/>
      <c r="C789" s="247"/>
      <c r="D789" s="247"/>
    </row>
    <row r="790">
      <c r="A790" s="246"/>
      <c r="B790" s="247"/>
      <c r="C790" s="247"/>
      <c r="D790" s="247"/>
    </row>
    <row r="791">
      <c r="A791" s="246"/>
      <c r="B791" s="247"/>
      <c r="C791" s="247"/>
      <c r="D791" s="247"/>
    </row>
    <row r="792">
      <c r="A792" s="246"/>
      <c r="B792" s="247"/>
      <c r="C792" s="247"/>
      <c r="D792" s="247"/>
    </row>
    <row r="793">
      <c r="A793" s="246"/>
      <c r="B793" s="247"/>
      <c r="C793" s="247"/>
      <c r="D793" s="247"/>
    </row>
    <row r="794">
      <c r="A794" s="246"/>
      <c r="B794" s="247"/>
      <c r="C794" s="247"/>
      <c r="D794" s="247"/>
    </row>
    <row r="795">
      <c r="A795" s="246"/>
      <c r="B795" s="247"/>
      <c r="C795" s="247"/>
      <c r="D795" s="247"/>
    </row>
    <row r="796">
      <c r="A796" s="246"/>
      <c r="B796" s="247"/>
      <c r="C796" s="247"/>
      <c r="D796" s="247"/>
    </row>
    <row r="797">
      <c r="A797" s="246"/>
      <c r="B797" s="247"/>
      <c r="C797" s="247"/>
      <c r="D797" s="247"/>
    </row>
    <row r="798">
      <c r="A798" s="246"/>
      <c r="B798" s="247"/>
      <c r="C798" s="247"/>
      <c r="D798" s="247"/>
    </row>
    <row r="799">
      <c r="A799" s="246"/>
      <c r="B799" s="247"/>
      <c r="C799" s="247"/>
      <c r="D799" s="247"/>
    </row>
    <row r="800">
      <c r="A800" s="246"/>
      <c r="B800" s="247"/>
      <c r="C800" s="247"/>
      <c r="D800" s="247"/>
    </row>
    <row r="801">
      <c r="A801" s="246"/>
      <c r="B801" s="247"/>
      <c r="C801" s="247"/>
      <c r="D801" s="247"/>
    </row>
    <row r="802">
      <c r="A802" s="246"/>
      <c r="B802" s="247"/>
      <c r="C802" s="247"/>
      <c r="D802" s="247"/>
    </row>
    <row r="803">
      <c r="A803" s="246"/>
      <c r="B803" s="247"/>
      <c r="C803" s="247"/>
      <c r="D803" s="247"/>
    </row>
    <row r="804">
      <c r="A804" s="246"/>
      <c r="B804" s="247"/>
      <c r="C804" s="247"/>
      <c r="D804" s="247"/>
    </row>
    <row r="805">
      <c r="A805" s="246"/>
      <c r="B805" s="247"/>
      <c r="C805" s="247"/>
      <c r="D805" s="247"/>
    </row>
    <row r="806">
      <c r="A806" s="246"/>
      <c r="B806" s="247"/>
      <c r="C806" s="247"/>
      <c r="D806" s="247"/>
    </row>
    <row r="807">
      <c r="A807" s="246"/>
      <c r="B807" s="247"/>
      <c r="C807" s="247"/>
      <c r="D807" s="247"/>
    </row>
    <row r="808">
      <c r="A808" s="246"/>
      <c r="B808" s="247"/>
      <c r="C808" s="247"/>
      <c r="D808" s="247"/>
    </row>
    <row r="809">
      <c r="A809" s="246"/>
      <c r="B809" s="247"/>
      <c r="C809" s="247"/>
      <c r="D809" s="247"/>
    </row>
    <row r="810">
      <c r="A810" s="246"/>
      <c r="B810" s="247"/>
      <c r="C810" s="247"/>
      <c r="D810" s="247"/>
    </row>
    <row r="811">
      <c r="A811" s="246"/>
      <c r="B811" s="247"/>
      <c r="C811" s="247"/>
      <c r="D811" s="247"/>
    </row>
    <row r="812">
      <c r="A812" s="246"/>
      <c r="B812" s="247"/>
      <c r="C812" s="247"/>
      <c r="D812" s="247"/>
    </row>
    <row r="813">
      <c r="A813" s="246"/>
      <c r="B813" s="247"/>
      <c r="C813" s="247"/>
      <c r="D813" s="247"/>
    </row>
    <row r="814">
      <c r="A814" s="246"/>
      <c r="B814" s="247"/>
      <c r="C814" s="247"/>
      <c r="D814" s="247"/>
    </row>
    <row r="815">
      <c r="A815" s="246"/>
      <c r="B815" s="247"/>
      <c r="C815" s="247"/>
      <c r="D815" s="247"/>
    </row>
    <row r="816">
      <c r="A816" s="246"/>
      <c r="B816" s="247"/>
      <c r="C816" s="247"/>
      <c r="D816" s="247"/>
    </row>
    <row r="817">
      <c r="A817" s="246"/>
      <c r="B817" s="247"/>
      <c r="C817" s="247"/>
      <c r="D817" s="247"/>
    </row>
    <row r="818">
      <c r="A818" s="246"/>
      <c r="B818" s="247"/>
      <c r="C818" s="247"/>
      <c r="D818" s="247"/>
    </row>
    <row r="819">
      <c r="A819" s="246"/>
      <c r="B819" s="247"/>
      <c r="C819" s="247"/>
      <c r="D819" s="247"/>
    </row>
    <row r="820">
      <c r="A820" s="246"/>
      <c r="B820" s="247"/>
      <c r="C820" s="247"/>
      <c r="D820" s="247"/>
    </row>
    <row r="821">
      <c r="A821" s="246"/>
      <c r="B821" s="247"/>
      <c r="C821" s="247"/>
      <c r="D821" s="247"/>
    </row>
    <row r="822">
      <c r="A822" s="246"/>
      <c r="B822" s="247"/>
      <c r="C822" s="247"/>
      <c r="D822" s="247"/>
    </row>
    <row r="823">
      <c r="A823" s="246"/>
      <c r="B823" s="247"/>
      <c r="C823" s="247"/>
      <c r="D823" s="247"/>
    </row>
    <row r="824">
      <c r="A824" s="246"/>
      <c r="B824" s="247"/>
      <c r="C824" s="247"/>
      <c r="D824" s="247"/>
    </row>
    <row r="825">
      <c r="A825" s="246"/>
      <c r="B825" s="247"/>
      <c r="C825" s="247"/>
      <c r="D825" s="247"/>
    </row>
    <row r="826">
      <c r="A826" s="246"/>
      <c r="B826" s="247"/>
      <c r="C826" s="247"/>
      <c r="D826" s="247"/>
    </row>
    <row r="827">
      <c r="A827" s="246"/>
      <c r="B827" s="247"/>
      <c r="C827" s="247"/>
      <c r="D827" s="247"/>
    </row>
    <row r="828">
      <c r="A828" s="246"/>
      <c r="B828" s="247"/>
      <c r="C828" s="247"/>
      <c r="D828" s="247"/>
    </row>
    <row r="829">
      <c r="A829" s="246"/>
      <c r="B829" s="247"/>
      <c r="C829" s="247"/>
      <c r="D829" s="247"/>
    </row>
    <row r="830">
      <c r="A830" s="246"/>
      <c r="B830" s="247"/>
      <c r="C830" s="247"/>
      <c r="D830" s="247"/>
    </row>
    <row r="831">
      <c r="A831" s="246"/>
      <c r="B831" s="247"/>
      <c r="C831" s="247"/>
      <c r="D831" s="247"/>
    </row>
    <row r="832">
      <c r="A832" s="246"/>
      <c r="B832" s="247"/>
      <c r="C832" s="247"/>
      <c r="D832" s="247"/>
    </row>
    <row r="833">
      <c r="A833" s="246"/>
      <c r="B833" s="247"/>
      <c r="C833" s="247"/>
      <c r="D833" s="247"/>
    </row>
    <row r="834">
      <c r="A834" s="246"/>
      <c r="B834" s="247"/>
      <c r="C834" s="247"/>
      <c r="D834" s="247"/>
    </row>
    <row r="835">
      <c r="A835" s="246"/>
      <c r="B835" s="247"/>
      <c r="C835" s="247"/>
      <c r="D835" s="247"/>
    </row>
    <row r="836">
      <c r="A836" s="246"/>
      <c r="B836" s="247"/>
      <c r="C836" s="247"/>
      <c r="D836" s="247"/>
    </row>
    <row r="837">
      <c r="A837" s="246"/>
      <c r="B837" s="247"/>
      <c r="C837" s="247"/>
      <c r="D837" s="247"/>
    </row>
    <row r="838">
      <c r="A838" s="246"/>
      <c r="B838" s="247"/>
      <c r="C838" s="247"/>
      <c r="D838" s="247"/>
    </row>
    <row r="839">
      <c r="A839" s="246"/>
      <c r="B839" s="247"/>
      <c r="C839" s="247"/>
      <c r="D839" s="247"/>
    </row>
    <row r="840">
      <c r="A840" s="246"/>
      <c r="B840" s="247"/>
      <c r="C840" s="247"/>
      <c r="D840" s="247"/>
    </row>
    <row r="841">
      <c r="A841" s="246"/>
      <c r="B841" s="247"/>
      <c r="C841" s="247"/>
      <c r="D841" s="247"/>
    </row>
    <row r="842">
      <c r="A842" s="246"/>
      <c r="B842" s="247"/>
      <c r="C842" s="247"/>
      <c r="D842" s="247"/>
    </row>
    <row r="843">
      <c r="A843" s="246"/>
      <c r="B843" s="247"/>
      <c r="C843" s="247"/>
      <c r="D843" s="247"/>
    </row>
    <row r="844">
      <c r="A844" s="246"/>
      <c r="B844" s="247"/>
      <c r="C844" s="247"/>
      <c r="D844" s="247"/>
    </row>
    <row r="845">
      <c r="A845" s="246"/>
      <c r="B845" s="247"/>
      <c r="C845" s="247"/>
      <c r="D845" s="247"/>
    </row>
    <row r="846">
      <c r="A846" s="246"/>
      <c r="B846" s="247"/>
      <c r="C846" s="247"/>
      <c r="D846" s="247"/>
    </row>
    <row r="847">
      <c r="A847" s="246"/>
      <c r="B847" s="247"/>
      <c r="C847" s="247"/>
      <c r="D847" s="247"/>
    </row>
    <row r="848">
      <c r="A848" s="246"/>
      <c r="B848" s="247"/>
      <c r="C848" s="247"/>
      <c r="D848" s="247"/>
    </row>
    <row r="849">
      <c r="A849" s="246"/>
      <c r="B849" s="247"/>
      <c r="C849" s="247"/>
      <c r="D849" s="247"/>
    </row>
    <row r="850">
      <c r="A850" s="246"/>
      <c r="B850" s="247"/>
      <c r="C850" s="247"/>
      <c r="D850" s="247"/>
    </row>
    <row r="851">
      <c r="A851" s="246"/>
      <c r="B851" s="247"/>
      <c r="C851" s="247"/>
      <c r="D851" s="247"/>
    </row>
    <row r="852">
      <c r="A852" s="246"/>
      <c r="B852" s="247"/>
      <c r="C852" s="247"/>
      <c r="D852" s="247"/>
    </row>
    <row r="853">
      <c r="A853" s="246"/>
      <c r="B853" s="247"/>
      <c r="C853" s="247"/>
      <c r="D853" s="247"/>
    </row>
    <row r="854">
      <c r="A854" s="246"/>
      <c r="B854" s="247"/>
      <c r="C854" s="247"/>
      <c r="D854" s="247"/>
    </row>
    <row r="855">
      <c r="A855" s="246"/>
      <c r="B855" s="247"/>
      <c r="C855" s="247"/>
      <c r="D855" s="247"/>
    </row>
    <row r="856">
      <c r="A856" s="246"/>
      <c r="B856" s="247"/>
      <c r="C856" s="247"/>
      <c r="D856" s="247"/>
    </row>
    <row r="857">
      <c r="A857" s="246"/>
      <c r="B857" s="247"/>
      <c r="C857" s="247"/>
      <c r="D857" s="247"/>
    </row>
    <row r="858">
      <c r="A858" s="246"/>
      <c r="B858" s="247"/>
      <c r="C858" s="247"/>
      <c r="D858" s="247"/>
    </row>
    <row r="859">
      <c r="A859" s="246"/>
      <c r="B859" s="247"/>
      <c r="C859" s="247"/>
      <c r="D859" s="247"/>
    </row>
    <row r="860">
      <c r="A860" s="246"/>
      <c r="B860" s="247"/>
      <c r="C860" s="247"/>
      <c r="D860" s="247"/>
    </row>
    <row r="861">
      <c r="A861" s="246"/>
      <c r="B861" s="247"/>
      <c r="C861" s="247"/>
      <c r="D861" s="247"/>
    </row>
    <row r="862">
      <c r="A862" s="246"/>
      <c r="B862" s="247"/>
      <c r="C862" s="247"/>
      <c r="D862" s="247"/>
    </row>
    <row r="863">
      <c r="A863" s="246"/>
      <c r="B863" s="247"/>
      <c r="C863" s="247"/>
      <c r="D863" s="247"/>
    </row>
    <row r="864">
      <c r="A864" s="246"/>
      <c r="B864" s="247"/>
      <c r="C864" s="247"/>
      <c r="D864" s="247"/>
    </row>
    <row r="865">
      <c r="A865" s="246"/>
      <c r="B865" s="247"/>
      <c r="C865" s="247"/>
      <c r="D865" s="247"/>
    </row>
    <row r="866">
      <c r="A866" s="246"/>
      <c r="B866" s="247"/>
      <c r="C866" s="247"/>
      <c r="D866" s="247"/>
    </row>
    <row r="867">
      <c r="A867" s="246"/>
      <c r="B867" s="247"/>
      <c r="C867" s="247"/>
      <c r="D867" s="247"/>
    </row>
    <row r="868">
      <c r="A868" s="246"/>
      <c r="B868" s="247"/>
      <c r="C868" s="247"/>
      <c r="D868" s="247"/>
    </row>
    <row r="869">
      <c r="A869" s="246"/>
      <c r="B869" s="247"/>
      <c r="C869" s="247"/>
      <c r="D869" s="247"/>
    </row>
    <row r="870">
      <c r="A870" s="246"/>
      <c r="B870" s="247"/>
      <c r="C870" s="247"/>
      <c r="D870" s="247"/>
    </row>
    <row r="871">
      <c r="A871" s="246"/>
      <c r="B871" s="247"/>
      <c r="C871" s="247"/>
      <c r="D871" s="247"/>
    </row>
    <row r="872">
      <c r="A872" s="246"/>
      <c r="B872" s="247"/>
      <c r="C872" s="247"/>
      <c r="D872" s="247"/>
    </row>
    <row r="873">
      <c r="A873" s="246"/>
      <c r="B873" s="247"/>
      <c r="C873" s="247"/>
      <c r="D873" s="247"/>
    </row>
    <row r="874">
      <c r="A874" s="246"/>
      <c r="B874" s="247"/>
      <c r="C874" s="247"/>
      <c r="D874" s="247"/>
    </row>
    <row r="875">
      <c r="A875" s="246"/>
      <c r="B875" s="247"/>
      <c r="C875" s="247"/>
      <c r="D875" s="247"/>
    </row>
    <row r="876">
      <c r="A876" s="246"/>
      <c r="B876" s="247"/>
      <c r="C876" s="247"/>
      <c r="D876" s="247"/>
    </row>
    <row r="877">
      <c r="A877" s="246"/>
      <c r="B877" s="247"/>
      <c r="C877" s="247"/>
      <c r="D877" s="247"/>
    </row>
    <row r="878">
      <c r="A878" s="246"/>
      <c r="B878" s="247"/>
      <c r="C878" s="247"/>
      <c r="D878" s="247"/>
    </row>
    <row r="879">
      <c r="A879" s="246"/>
      <c r="B879" s="247"/>
      <c r="C879" s="247"/>
      <c r="D879" s="247"/>
    </row>
    <row r="880">
      <c r="A880" s="246"/>
      <c r="B880" s="247"/>
      <c r="C880" s="247"/>
      <c r="D880" s="247"/>
    </row>
    <row r="881">
      <c r="A881" s="246"/>
      <c r="B881" s="247"/>
      <c r="C881" s="247"/>
      <c r="D881" s="247"/>
    </row>
    <row r="882">
      <c r="A882" s="246"/>
      <c r="B882" s="247"/>
      <c r="C882" s="247"/>
      <c r="D882" s="247"/>
    </row>
    <row r="883">
      <c r="A883" s="246"/>
      <c r="B883" s="247"/>
      <c r="C883" s="247"/>
      <c r="D883" s="247"/>
    </row>
    <row r="884">
      <c r="A884" s="246"/>
      <c r="B884" s="247"/>
      <c r="C884" s="247"/>
      <c r="D884" s="247"/>
    </row>
    <row r="885">
      <c r="A885" s="246"/>
      <c r="B885" s="247"/>
      <c r="C885" s="247"/>
      <c r="D885" s="247"/>
    </row>
    <row r="886">
      <c r="A886" s="246"/>
      <c r="B886" s="247"/>
      <c r="C886" s="247"/>
      <c r="D886" s="247"/>
    </row>
    <row r="887">
      <c r="A887" s="246"/>
      <c r="B887" s="247"/>
      <c r="C887" s="247"/>
      <c r="D887" s="247"/>
    </row>
    <row r="888">
      <c r="A888" s="246"/>
      <c r="B888" s="247"/>
      <c r="C888" s="247"/>
      <c r="D888" s="247"/>
    </row>
    <row r="889">
      <c r="A889" s="246"/>
      <c r="B889" s="247"/>
      <c r="C889" s="247"/>
      <c r="D889" s="247"/>
    </row>
    <row r="890">
      <c r="A890" s="246"/>
      <c r="B890" s="247"/>
      <c r="C890" s="247"/>
      <c r="D890" s="247"/>
    </row>
    <row r="891">
      <c r="A891" s="246"/>
      <c r="B891" s="247"/>
      <c r="C891" s="247"/>
      <c r="D891" s="247"/>
    </row>
    <row r="892">
      <c r="A892" s="246"/>
      <c r="B892" s="247"/>
      <c r="C892" s="247"/>
      <c r="D892" s="247"/>
    </row>
    <row r="893">
      <c r="A893" s="246"/>
      <c r="B893" s="247"/>
      <c r="C893" s="247"/>
      <c r="D893" s="247"/>
    </row>
    <row r="894">
      <c r="A894" s="246"/>
      <c r="B894" s="247"/>
      <c r="C894" s="247"/>
      <c r="D894" s="247"/>
    </row>
    <row r="895">
      <c r="A895" s="246"/>
      <c r="B895" s="247"/>
      <c r="C895" s="247"/>
      <c r="D895" s="247"/>
    </row>
    <row r="896">
      <c r="A896" s="246"/>
      <c r="B896" s="247"/>
      <c r="C896" s="247"/>
      <c r="D896" s="247"/>
    </row>
    <row r="897">
      <c r="A897" s="246"/>
      <c r="B897" s="247"/>
      <c r="C897" s="247"/>
      <c r="D897" s="247"/>
    </row>
    <row r="898">
      <c r="A898" s="246"/>
      <c r="B898" s="247"/>
      <c r="C898" s="247"/>
      <c r="D898" s="247"/>
    </row>
    <row r="899">
      <c r="A899" s="246"/>
      <c r="B899" s="247"/>
      <c r="C899" s="247"/>
      <c r="D899" s="247"/>
    </row>
    <row r="900">
      <c r="A900" s="246"/>
      <c r="B900" s="247"/>
      <c r="C900" s="247"/>
      <c r="D900" s="247"/>
    </row>
    <row r="901">
      <c r="A901" s="246"/>
      <c r="B901" s="247"/>
      <c r="C901" s="247"/>
      <c r="D901" s="247"/>
    </row>
    <row r="902">
      <c r="A902" s="246"/>
      <c r="B902" s="247"/>
      <c r="C902" s="247"/>
      <c r="D902" s="247"/>
    </row>
    <row r="903">
      <c r="A903" s="246"/>
      <c r="B903" s="247"/>
      <c r="C903" s="247"/>
      <c r="D903" s="247"/>
    </row>
    <row r="904">
      <c r="A904" s="246"/>
      <c r="B904" s="247"/>
      <c r="C904" s="247"/>
      <c r="D904" s="247"/>
    </row>
    <row r="905">
      <c r="A905" s="246"/>
      <c r="B905" s="247"/>
      <c r="C905" s="247"/>
      <c r="D905" s="247"/>
    </row>
    <row r="906">
      <c r="A906" s="246"/>
      <c r="B906" s="247"/>
      <c r="C906" s="247"/>
      <c r="D906" s="247"/>
    </row>
    <row r="907">
      <c r="A907" s="246"/>
      <c r="B907" s="247"/>
      <c r="C907" s="247"/>
      <c r="D907" s="247"/>
    </row>
    <row r="908">
      <c r="A908" s="246"/>
      <c r="B908" s="247"/>
      <c r="C908" s="247"/>
      <c r="D908" s="247"/>
    </row>
    <row r="909">
      <c r="A909" s="246"/>
      <c r="B909" s="247"/>
      <c r="C909" s="247"/>
      <c r="D909" s="247"/>
    </row>
    <row r="910">
      <c r="A910" s="246"/>
      <c r="B910" s="247"/>
      <c r="C910" s="247"/>
      <c r="D910" s="247"/>
    </row>
    <row r="911">
      <c r="A911" s="246"/>
      <c r="B911" s="247"/>
      <c r="C911" s="247"/>
      <c r="D911" s="247"/>
    </row>
    <row r="912">
      <c r="A912" s="246"/>
      <c r="B912" s="247"/>
      <c r="C912" s="247"/>
      <c r="D912" s="247"/>
    </row>
    <row r="913">
      <c r="A913" s="246"/>
      <c r="B913" s="247"/>
      <c r="C913" s="247"/>
      <c r="D913" s="247"/>
    </row>
    <row r="914">
      <c r="A914" s="246"/>
      <c r="B914" s="247"/>
      <c r="C914" s="247"/>
      <c r="D914" s="247"/>
    </row>
    <row r="915">
      <c r="A915" s="246"/>
      <c r="B915" s="247"/>
      <c r="C915" s="247"/>
      <c r="D915" s="247"/>
    </row>
    <row r="916">
      <c r="A916" s="246"/>
      <c r="B916" s="247"/>
      <c r="C916" s="247"/>
      <c r="D916" s="247"/>
    </row>
    <row r="917">
      <c r="A917" s="246"/>
      <c r="B917" s="247"/>
      <c r="C917" s="247"/>
      <c r="D917" s="247"/>
    </row>
    <row r="918">
      <c r="A918" s="246"/>
      <c r="B918" s="247"/>
      <c r="C918" s="247"/>
      <c r="D918" s="247"/>
    </row>
    <row r="919">
      <c r="A919" s="246"/>
      <c r="B919" s="247"/>
      <c r="C919" s="247"/>
      <c r="D919" s="247"/>
    </row>
    <row r="920">
      <c r="A920" s="246"/>
      <c r="B920" s="247"/>
      <c r="C920" s="247"/>
      <c r="D920" s="247"/>
    </row>
    <row r="921">
      <c r="A921" s="246"/>
      <c r="B921" s="247"/>
      <c r="C921" s="247"/>
      <c r="D921" s="247"/>
    </row>
    <row r="922">
      <c r="A922" s="246"/>
      <c r="B922" s="247"/>
      <c r="C922" s="247"/>
      <c r="D922" s="247"/>
    </row>
    <row r="923">
      <c r="A923" s="246"/>
      <c r="B923" s="247"/>
      <c r="C923" s="247"/>
      <c r="D923" s="247"/>
    </row>
    <row r="924">
      <c r="A924" s="246"/>
      <c r="B924" s="247"/>
      <c r="C924" s="247"/>
      <c r="D924" s="247"/>
    </row>
    <row r="925">
      <c r="A925" s="246"/>
      <c r="B925" s="247"/>
      <c r="C925" s="247"/>
      <c r="D925" s="247"/>
    </row>
    <row r="926">
      <c r="A926" s="246"/>
      <c r="B926" s="247"/>
      <c r="C926" s="247"/>
      <c r="D926" s="247"/>
    </row>
    <row r="927">
      <c r="A927" s="246"/>
      <c r="B927" s="247"/>
      <c r="C927" s="247"/>
      <c r="D927" s="247"/>
    </row>
    <row r="928">
      <c r="A928" s="246"/>
      <c r="B928" s="247"/>
      <c r="C928" s="247"/>
      <c r="D928" s="247"/>
    </row>
    <row r="929">
      <c r="A929" s="246"/>
      <c r="B929" s="247"/>
      <c r="C929" s="247"/>
      <c r="D929" s="247"/>
    </row>
    <row r="930">
      <c r="A930" s="246"/>
      <c r="B930" s="247"/>
      <c r="C930" s="247"/>
      <c r="D930" s="247"/>
    </row>
    <row r="931">
      <c r="A931" s="246"/>
      <c r="B931" s="247"/>
      <c r="C931" s="247"/>
      <c r="D931" s="247"/>
    </row>
    <row r="932">
      <c r="A932" s="246"/>
      <c r="B932" s="247"/>
      <c r="C932" s="247"/>
      <c r="D932" s="247"/>
    </row>
    <row r="933">
      <c r="A933" s="246"/>
      <c r="B933" s="247"/>
      <c r="C933" s="247"/>
      <c r="D933" s="247"/>
    </row>
    <row r="934">
      <c r="A934" s="246"/>
      <c r="B934" s="247"/>
      <c r="C934" s="247"/>
      <c r="D934" s="247"/>
    </row>
    <row r="935">
      <c r="A935" s="246"/>
      <c r="B935" s="247"/>
      <c r="C935" s="247"/>
      <c r="D935" s="247"/>
    </row>
    <row r="936">
      <c r="A936" s="246"/>
      <c r="B936" s="247"/>
      <c r="C936" s="247"/>
      <c r="D936" s="247"/>
    </row>
    <row r="937">
      <c r="A937" s="246"/>
      <c r="B937" s="247"/>
      <c r="C937" s="247"/>
      <c r="D937" s="247"/>
    </row>
    <row r="938">
      <c r="A938" s="246"/>
      <c r="B938" s="247"/>
      <c r="C938" s="247"/>
      <c r="D938" s="247"/>
    </row>
    <row r="939">
      <c r="A939" s="246"/>
      <c r="B939" s="247"/>
      <c r="C939" s="247"/>
      <c r="D939" s="247"/>
    </row>
    <row r="940">
      <c r="A940" s="246"/>
      <c r="B940" s="247"/>
      <c r="C940" s="247"/>
      <c r="D940" s="247"/>
    </row>
    <row r="941">
      <c r="A941" s="246"/>
      <c r="B941" s="247"/>
      <c r="C941" s="247"/>
      <c r="D941" s="247"/>
    </row>
    <row r="942">
      <c r="A942" s="246"/>
      <c r="B942" s="247"/>
      <c r="C942" s="247"/>
      <c r="D942" s="247"/>
    </row>
    <row r="943">
      <c r="A943" s="246"/>
      <c r="B943" s="247"/>
      <c r="C943" s="247"/>
      <c r="D943" s="247"/>
    </row>
    <row r="944">
      <c r="A944" s="246"/>
      <c r="B944" s="247"/>
      <c r="C944" s="247"/>
      <c r="D944" s="247"/>
    </row>
    <row r="945">
      <c r="A945" s="246"/>
      <c r="B945" s="247"/>
      <c r="C945" s="247"/>
      <c r="D945" s="247"/>
    </row>
    <row r="946">
      <c r="A946" s="246"/>
      <c r="B946" s="247"/>
      <c r="C946" s="247"/>
      <c r="D946" s="247"/>
    </row>
    <row r="947">
      <c r="A947" s="246"/>
      <c r="B947" s="247"/>
      <c r="C947" s="247"/>
      <c r="D947" s="247"/>
    </row>
    <row r="948">
      <c r="A948" s="246"/>
      <c r="B948" s="247"/>
      <c r="C948" s="247"/>
      <c r="D948" s="247"/>
    </row>
    <row r="949">
      <c r="A949" s="246"/>
      <c r="B949" s="247"/>
      <c r="C949" s="247"/>
      <c r="D949" s="247"/>
    </row>
    <row r="950">
      <c r="A950" s="246"/>
      <c r="B950" s="247"/>
      <c r="C950" s="247"/>
      <c r="D950" s="247"/>
    </row>
    <row r="951">
      <c r="A951" s="246"/>
      <c r="B951" s="247"/>
      <c r="C951" s="247"/>
      <c r="D951" s="247"/>
    </row>
    <row r="952">
      <c r="A952" s="246"/>
      <c r="B952" s="247"/>
      <c r="C952" s="247"/>
      <c r="D952" s="247"/>
    </row>
    <row r="953">
      <c r="A953" s="246"/>
      <c r="B953" s="247"/>
      <c r="C953" s="247"/>
      <c r="D953" s="247"/>
    </row>
    <row r="954">
      <c r="A954" s="246"/>
      <c r="B954" s="247"/>
      <c r="C954" s="247"/>
      <c r="D954" s="247"/>
    </row>
    <row r="955">
      <c r="A955" s="246"/>
      <c r="B955" s="247"/>
      <c r="C955" s="247"/>
      <c r="D955" s="247"/>
    </row>
    <row r="956">
      <c r="A956" s="246"/>
      <c r="B956" s="247"/>
      <c r="C956" s="247"/>
      <c r="D956" s="247"/>
    </row>
    <row r="957">
      <c r="A957" s="246"/>
      <c r="B957" s="247"/>
      <c r="C957" s="247"/>
      <c r="D957" s="247"/>
    </row>
    <row r="958">
      <c r="A958" s="246"/>
      <c r="B958" s="247"/>
      <c r="C958" s="247"/>
      <c r="D958" s="247"/>
    </row>
    <row r="959">
      <c r="A959" s="246"/>
      <c r="B959" s="247"/>
      <c r="C959" s="247"/>
      <c r="D959" s="247"/>
    </row>
    <row r="960">
      <c r="A960" s="246"/>
      <c r="B960" s="247"/>
      <c r="C960" s="247"/>
      <c r="D960" s="247"/>
    </row>
    <row r="961">
      <c r="A961" s="246"/>
      <c r="B961" s="247"/>
      <c r="C961" s="247"/>
      <c r="D961" s="247"/>
    </row>
    <row r="962">
      <c r="A962" s="246"/>
      <c r="B962" s="247"/>
      <c r="C962" s="247"/>
      <c r="D962" s="247"/>
    </row>
    <row r="963">
      <c r="A963" s="246"/>
      <c r="B963" s="247"/>
      <c r="C963" s="247"/>
      <c r="D963" s="247"/>
    </row>
    <row r="964">
      <c r="A964" s="246"/>
      <c r="B964" s="247"/>
      <c r="C964" s="247"/>
      <c r="D964" s="247"/>
    </row>
    <row r="965">
      <c r="A965" s="246"/>
      <c r="B965" s="247"/>
      <c r="C965" s="247"/>
      <c r="D965" s="247"/>
    </row>
    <row r="966">
      <c r="A966" s="246"/>
      <c r="B966" s="247"/>
      <c r="C966" s="247"/>
      <c r="D966" s="247"/>
    </row>
    <row r="967">
      <c r="A967" s="246"/>
      <c r="B967" s="247"/>
      <c r="C967" s="247"/>
      <c r="D967" s="247"/>
    </row>
    <row r="968">
      <c r="A968" s="246"/>
      <c r="B968" s="247"/>
      <c r="C968" s="247"/>
      <c r="D968" s="247"/>
    </row>
    <row r="969">
      <c r="A969" s="246"/>
      <c r="B969" s="247"/>
      <c r="C969" s="247"/>
      <c r="D969" s="247"/>
    </row>
    <row r="970">
      <c r="A970" s="246"/>
      <c r="B970" s="247"/>
      <c r="C970" s="247"/>
      <c r="D970" s="247"/>
    </row>
    <row r="971">
      <c r="A971" s="246"/>
      <c r="B971" s="247"/>
      <c r="C971" s="247"/>
      <c r="D971" s="247"/>
    </row>
    <row r="972">
      <c r="A972" s="246"/>
      <c r="B972" s="247"/>
      <c r="C972" s="247"/>
      <c r="D972" s="247"/>
    </row>
    <row r="973">
      <c r="A973" s="246"/>
      <c r="B973" s="247"/>
      <c r="C973" s="247"/>
      <c r="D973" s="247"/>
    </row>
    <row r="974">
      <c r="A974" s="246"/>
      <c r="B974" s="247"/>
      <c r="C974" s="247"/>
      <c r="D974" s="247"/>
    </row>
    <row r="975">
      <c r="A975" s="246"/>
      <c r="B975" s="247"/>
      <c r="C975" s="247"/>
      <c r="D975" s="247"/>
    </row>
    <row r="976">
      <c r="A976" s="246"/>
      <c r="B976" s="247"/>
      <c r="C976" s="247"/>
      <c r="D976" s="247"/>
    </row>
    <row r="977">
      <c r="A977" s="246"/>
      <c r="B977" s="247"/>
      <c r="C977" s="247"/>
      <c r="D977" s="247"/>
    </row>
    <row r="978">
      <c r="A978" s="246"/>
      <c r="B978" s="247"/>
      <c r="C978" s="247"/>
      <c r="D978" s="247"/>
    </row>
    <row r="979">
      <c r="A979" s="246"/>
      <c r="B979" s="247"/>
      <c r="C979" s="247"/>
      <c r="D979" s="247"/>
    </row>
    <row r="980">
      <c r="A980" s="246"/>
      <c r="B980" s="247"/>
      <c r="C980" s="247"/>
      <c r="D980" s="247"/>
    </row>
    <row r="981">
      <c r="A981" s="246"/>
      <c r="B981" s="247"/>
      <c r="C981" s="247"/>
      <c r="D981" s="247"/>
    </row>
    <row r="982">
      <c r="A982" s="246"/>
      <c r="B982" s="247"/>
      <c r="C982" s="247"/>
      <c r="D982" s="247"/>
    </row>
    <row r="983">
      <c r="A983" s="246"/>
      <c r="B983" s="247"/>
      <c r="C983" s="247"/>
      <c r="D983" s="247"/>
    </row>
    <row r="984">
      <c r="A984" s="246"/>
      <c r="B984" s="247"/>
      <c r="C984" s="247"/>
      <c r="D984" s="247"/>
    </row>
    <row r="985">
      <c r="A985" s="246"/>
      <c r="B985" s="247"/>
      <c r="C985" s="247"/>
      <c r="D985" s="247"/>
    </row>
    <row r="986">
      <c r="A986" s="246"/>
      <c r="B986" s="247"/>
      <c r="C986" s="247"/>
      <c r="D986" s="247"/>
    </row>
    <row r="987">
      <c r="A987" s="246"/>
      <c r="B987" s="247"/>
      <c r="C987" s="247"/>
      <c r="D987" s="247"/>
    </row>
    <row r="988">
      <c r="A988" s="246"/>
      <c r="B988" s="247"/>
      <c r="C988" s="247"/>
      <c r="D988" s="247"/>
    </row>
    <row r="989">
      <c r="A989" s="246"/>
      <c r="B989" s="247"/>
      <c r="C989" s="247"/>
      <c r="D989" s="247"/>
    </row>
    <row r="990">
      <c r="A990" s="246"/>
      <c r="B990" s="247"/>
      <c r="C990" s="247"/>
      <c r="D990" s="247"/>
    </row>
    <row r="991">
      <c r="A991" s="246"/>
      <c r="B991" s="247"/>
      <c r="C991" s="247"/>
      <c r="D991" s="247"/>
    </row>
    <row r="992">
      <c r="A992" s="246"/>
      <c r="B992" s="247"/>
      <c r="C992" s="247"/>
      <c r="D992" s="247"/>
    </row>
    <row r="993">
      <c r="A993" s="246"/>
      <c r="B993" s="247"/>
      <c r="C993" s="247"/>
      <c r="D993" s="247"/>
    </row>
    <row r="994">
      <c r="A994" s="246"/>
      <c r="B994" s="247"/>
      <c r="C994" s="247"/>
      <c r="D994" s="247"/>
    </row>
    <row r="995">
      <c r="A995" s="246"/>
      <c r="B995" s="247"/>
      <c r="C995" s="247"/>
      <c r="D995" s="247"/>
    </row>
    <row r="996">
      <c r="A996" s="246"/>
      <c r="B996" s="247"/>
      <c r="C996" s="247"/>
      <c r="D996" s="247"/>
    </row>
    <row r="997">
      <c r="A997" s="246"/>
      <c r="B997" s="247"/>
      <c r="C997" s="247"/>
      <c r="D997" s="247"/>
    </row>
    <row r="998">
      <c r="A998" s="246"/>
      <c r="B998" s="247"/>
      <c r="C998" s="247"/>
      <c r="D998" s="247"/>
    </row>
    <row r="999">
      <c r="A999" s="246"/>
      <c r="B999" s="247"/>
      <c r="C999" s="247"/>
      <c r="D999" s="247"/>
    </row>
    <row r="1000">
      <c r="A1000" s="246"/>
      <c r="B1000" s="247"/>
      <c r="C1000" s="247"/>
      <c r="D1000" s="247"/>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3" width="9.0"/>
    <col customWidth="1" min="4" max="10" width="5.13"/>
    <col customWidth="1" min="11" max="11" width="9.0"/>
    <col customWidth="1" min="12" max="12" width="10.13"/>
  </cols>
  <sheetData>
    <row r="1">
      <c r="A1" s="145" t="s">
        <v>209</v>
      </c>
      <c r="B1" s="250" t="s">
        <v>210</v>
      </c>
      <c r="C1" s="250" t="s">
        <v>211</v>
      </c>
      <c r="D1" s="250" t="s">
        <v>212</v>
      </c>
      <c r="E1" s="250" t="s">
        <v>213</v>
      </c>
      <c r="F1" s="250" t="s">
        <v>214</v>
      </c>
      <c r="G1" s="250" t="s">
        <v>215</v>
      </c>
      <c r="H1" s="250" t="s">
        <v>216</v>
      </c>
      <c r="I1" s="250" t="s">
        <v>217</v>
      </c>
      <c r="J1" s="250" t="s">
        <v>218</v>
      </c>
      <c r="K1" s="250" t="s">
        <v>219</v>
      </c>
      <c r="L1" s="250" t="s">
        <v>220</v>
      </c>
      <c r="M1" s="250" t="s">
        <v>221</v>
      </c>
      <c r="N1" s="173" t="s">
        <v>222</v>
      </c>
      <c r="R1" s="173" t="s">
        <v>223</v>
      </c>
      <c r="V1" s="173" t="s">
        <v>224</v>
      </c>
      <c r="AD1" s="250" t="s">
        <v>225</v>
      </c>
      <c r="AE1" s="250" t="s">
        <v>226</v>
      </c>
    </row>
    <row r="2">
      <c r="A2" s="251" t="str">
        <f>IFERROR(__xludf.DUMMYFUNCTION("IMPORTRANGE('Homebrew Sheet'!$A$6,""'Poke Data'!$A$2:$AE$201"")"),"")</f>
        <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row>
    <row r="3">
      <c r="A3" s="251"/>
      <c r="B3" s="251"/>
      <c r="C3" s="251"/>
      <c r="D3" s="251"/>
      <c r="E3" s="251"/>
      <c r="F3" s="251"/>
      <c r="G3" s="251"/>
      <c r="H3" s="251"/>
      <c r="I3" s="251"/>
      <c r="J3" s="251"/>
      <c r="K3" s="251"/>
      <c r="L3" s="251"/>
      <c r="M3" s="251"/>
      <c r="N3" s="251"/>
      <c r="O3" s="251"/>
      <c r="P3" s="251"/>
      <c r="Q3" s="251"/>
      <c r="R3" s="251"/>
      <c r="S3" s="251"/>
      <c r="T3" s="251"/>
      <c r="U3" s="251"/>
      <c r="V3" s="251"/>
      <c r="W3" s="251"/>
      <c r="X3" s="251"/>
      <c r="Y3" s="251"/>
      <c r="Z3" s="251"/>
      <c r="AA3" s="251"/>
      <c r="AB3" s="251"/>
      <c r="AC3" s="251"/>
      <c r="AD3" s="251"/>
      <c r="AE3" s="251"/>
    </row>
    <row r="4">
      <c r="A4" s="251"/>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row>
    <row r="5">
      <c r="A5" s="251"/>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row>
    <row r="6">
      <c r="A6" s="251"/>
      <c r="B6" s="251"/>
      <c r="C6" s="251"/>
      <c r="D6" s="251"/>
      <c r="E6" s="251"/>
      <c r="F6" s="251"/>
      <c r="G6" s="251"/>
      <c r="H6" s="251"/>
      <c r="I6" s="251"/>
      <c r="J6" s="251"/>
      <c r="K6" s="251"/>
      <c r="L6" s="251"/>
      <c r="M6" s="251"/>
      <c r="N6" s="251"/>
      <c r="O6" s="251"/>
      <c r="P6" s="251"/>
      <c r="Q6" s="251"/>
      <c r="R6" s="251"/>
      <c r="S6" s="251"/>
      <c r="T6" s="251"/>
      <c r="U6" s="251"/>
      <c r="V6" s="251"/>
      <c r="W6" s="251"/>
      <c r="X6" s="251"/>
      <c r="Y6" s="251"/>
      <c r="Z6" s="251"/>
      <c r="AA6" s="251"/>
      <c r="AB6" s="251"/>
      <c r="AC6" s="251"/>
      <c r="AD6" s="251"/>
      <c r="AE6" s="251"/>
    </row>
    <row r="7">
      <c r="A7" s="251"/>
      <c r="B7" s="251"/>
      <c r="C7" s="251"/>
      <c r="D7" s="251"/>
      <c r="E7" s="251"/>
      <c r="F7" s="251"/>
      <c r="G7" s="251"/>
      <c r="H7" s="251"/>
      <c r="I7" s="251"/>
      <c r="J7" s="251"/>
      <c r="K7" s="251"/>
      <c r="L7" s="251"/>
      <c r="M7" s="251"/>
      <c r="N7" s="251"/>
      <c r="O7" s="251"/>
      <c r="P7" s="251"/>
      <c r="Q7" s="251"/>
      <c r="R7" s="251"/>
      <c r="S7" s="251"/>
      <c r="T7" s="251"/>
      <c r="U7" s="251"/>
      <c r="V7" s="251"/>
      <c r="W7" s="251"/>
      <c r="X7" s="251"/>
      <c r="Y7" s="251"/>
      <c r="Z7" s="251"/>
      <c r="AA7" s="251"/>
      <c r="AB7" s="251"/>
      <c r="AC7" s="251"/>
      <c r="AD7" s="251"/>
      <c r="AE7" s="251"/>
    </row>
    <row r="8">
      <c r="A8" s="251"/>
      <c r="B8" s="251"/>
      <c r="C8" s="251"/>
      <c r="D8" s="251"/>
      <c r="E8" s="251"/>
      <c r="F8" s="251"/>
      <c r="G8" s="251"/>
      <c r="H8" s="251"/>
      <c r="I8" s="251"/>
      <c r="J8" s="251"/>
      <c r="K8" s="251"/>
      <c r="L8" s="251"/>
      <c r="M8" s="251"/>
      <c r="N8" s="251"/>
      <c r="O8" s="251"/>
      <c r="P8" s="251"/>
      <c r="Q8" s="251"/>
      <c r="R8" s="251"/>
      <c r="S8" s="251"/>
      <c r="T8" s="251"/>
      <c r="U8" s="251"/>
      <c r="V8" s="251"/>
      <c r="W8" s="251"/>
      <c r="X8" s="251"/>
      <c r="Y8" s="251"/>
      <c r="Z8" s="251"/>
      <c r="AA8" s="251"/>
      <c r="AB8" s="251"/>
      <c r="AC8" s="251"/>
      <c r="AD8" s="251"/>
      <c r="AE8" s="251"/>
    </row>
    <row r="9">
      <c r="A9" s="251"/>
      <c r="B9" s="251"/>
      <c r="C9" s="251"/>
      <c r="D9" s="251"/>
      <c r="E9" s="251"/>
      <c r="F9" s="251"/>
      <c r="G9" s="251"/>
      <c r="H9" s="251"/>
      <c r="I9" s="251"/>
      <c r="J9" s="251"/>
      <c r="K9" s="251"/>
      <c r="L9" s="251"/>
      <c r="M9" s="251"/>
      <c r="N9" s="251"/>
      <c r="O9" s="251"/>
      <c r="P9" s="251"/>
      <c r="Q9" s="251"/>
      <c r="R9" s="251"/>
      <c r="S9" s="251"/>
      <c r="T9" s="251"/>
      <c r="U9" s="251"/>
      <c r="V9" s="251"/>
      <c r="W9" s="251"/>
      <c r="X9" s="251"/>
      <c r="Y9" s="251"/>
      <c r="Z9" s="251"/>
      <c r="AA9" s="251"/>
      <c r="AB9" s="251"/>
      <c r="AC9" s="251"/>
      <c r="AD9" s="251"/>
      <c r="AE9" s="251"/>
    </row>
    <row r="10">
      <c r="A10" s="251"/>
      <c r="B10" s="251"/>
      <c r="C10" s="251"/>
      <c r="D10" s="251"/>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row>
    <row r="11">
      <c r="A11" s="251"/>
      <c r="B11" s="251"/>
      <c r="C11" s="251"/>
      <c r="D11" s="251"/>
      <c r="E11" s="251"/>
      <c r="F11" s="251"/>
      <c r="G11" s="251"/>
      <c r="H11" s="251"/>
      <c r="I11" s="251"/>
      <c r="J11" s="251"/>
      <c r="K11" s="251"/>
      <c r="L11" s="251"/>
      <c r="M11" s="251"/>
      <c r="N11" s="251"/>
      <c r="O11" s="251"/>
      <c r="P11" s="251"/>
      <c r="Q11" s="251"/>
      <c r="R11" s="251"/>
      <c r="S11" s="251"/>
      <c r="T11" s="251"/>
      <c r="U11" s="251"/>
      <c r="V11" s="251"/>
      <c r="W11" s="251"/>
      <c r="X11" s="251"/>
      <c r="Y11" s="251"/>
      <c r="Z11" s="251"/>
      <c r="AA11" s="251"/>
      <c r="AB11" s="251"/>
      <c r="AC11" s="251"/>
      <c r="AD11" s="251"/>
      <c r="AE11" s="251"/>
    </row>
    <row r="12">
      <c r="A12" s="251"/>
      <c r="B12" s="251"/>
      <c r="C12" s="251"/>
      <c r="D12" s="251"/>
      <c r="E12" s="251"/>
      <c r="F12" s="251"/>
      <c r="G12" s="251"/>
      <c r="H12" s="251"/>
      <c r="I12" s="251"/>
      <c r="J12" s="251"/>
      <c r="K12" s="251"/>
      <c r="L12" s="251"/>
      <c r="M12" s="251"/>
      <c r="N12" s="251"/>
      <c r="O12" s="251"/>
      <c r="P12" s="251"/>
      <c r="Q12" s="251"/>
      <c r="R12" s="251"/>
      <c r="S12" s="251"/>
      <c r="T12" s="251"/>
      <c r="U12" s="251"/>
      <c r="V12" s="251"/>
      <c r="W12" s="251"/>
      <c r="X12" s="251"/>
      <c r="Y12" s="251"/>
      <c r="Z12" s="251"/>
      <c r="AA12" s="251"/>
      <c r="AB12" s="251"/>
      <c r="AC12" s="251"/>
      <c r="AD12" s="251"/>
      <c r="AE12" s="251"/>
    </row>
    <row r="13">
      <c r="A13" s="251"/>
      <c r="B13" s="251"/>
      <c r="C13" s="251"/>
      <c r="D13" s="251"/>
      <c r="E13" s="251"/>
      <c r="F13" s="251"/>
      <c r="G13" s="251"/>
      <c r="H13" s="251"/>
      <c r="I13" s="251"/>
      <c r="J13" s="251"/>
      <c r="K13" s="251"/>
      <c r="L13" s="251"/>
      <c r="M13" s="251"/>
      <c r="N13" s="251"/>
      <c r="O13" s="251"/>
      <c r="P13" s="251"/>
      <c r="Q13" s="251"/>
      <c r="R13" s="251"/>
      <c r="S13" s="251"/>
      <c r="T13" s="251"/>
      <c r="U13" s="251"/>
      <c r="V13" s="251"/>
      <c r="W13" s="251"/>
      <c r="X13" s="251"/>
      <c r="Y13" s="251"/>
      <c r="Z13" s="251"/>
      <c r="AA13" s="251"/>
      <c r="AB13" s="251"/>
      <c r="AC13" s="251"/>
      <c r="AD13" s="251"/>
      <c r="AE13" s="251"/>
    </row>
    <row r="14">
      <c r="A14" s="251"/>
      <c r="B14" s="251"/>
      <c r="C14" s="251"/>
      <c r="D14" s="251"/>
      <c r="E14" s="251"/>
      <c r="F14" s="251"/>
      <c r="G14" s="251"/>
      <c r="H14" s="251"/>
      <c r="I14" s="251"/>
      <c r="J14" s="251"/>
      <c r="K14" s="251"/>
      <c r="L14" s="251"/>
      <c r="M14" s="251"/>
      <c r="N14" s="251"/>
      <c r="O14" s="251"/>
      <c r="P14" s="251"/>
      <c r="Q14" s="251"/>
      <c r="R14" s="251"/>
      <c r="S14" s="251"/>
      <c r="T14" s="251"/>
      <c r="U14" s="251"/>
      <c r="V14" s="251"/>
      <c r="W14" s="251"/>
      <c r="X14" s="251"/>
      <c r="Y14" s="251"/>
      <c r="Z14" s="251"/>
      <c r="AA14" s="251"/>
      <c r="AB14" s="251"/>
      <c r="AC14" s="251"/>
      <c r="AD14" s="251"/>
      <c r="AE14" s="251"/>
    </row>
    <row r="15">
      <c r="A15" s="251"/>
      <c r="B15" s="251"/>
      <c r="C15" s="251"/>
      <c r="D15" s="251"/>
      <c r="E15" s="251"/>
      <c r="F15" s="251"/>
      <c r="G15" s="251"/>
      <c r="H15" s="251"/>
      <c r="I15" s="251"/>
      <c r="J15" s="251"/>
      <c r="K15" s="251"/>
      <c r="L15" s="251"/>
      <c r="M15" s="251"/>
      <c r="N15" s="251"/>
      <c r="O15" s="251"/>
      <c r="P15" s="251"/>
      <c r="Q15" s="251"/>
      <c r="R15" s="251"/>
      <c r="S15" s="251"/>
      <c r="T15" s="251"/>
      <c r="U15" s="251"/>
      <c r="V15" s="251"/>
      <c r="W15" s="251"/>
      <c r="X15" s="251"/>
      <c r="Y15" s="251"/>
      <c r="Z15" s="251"/>
      <c r="AA15" s="251"/>
      <c r="AB15" s="251"/>
      <c r="AC15" s="251"/>
      <c r="AD15" s="251"/>
      <c r="AE15" s="251"/>
    </row>
    <row r="16">
      <c r="A16" s="251"/>
      <c r="B16" s="251"/>
      <c r="C16" s="251"/>
      <c r="D16" s="251"/>
      <c r="E16" s="251"/>
      <c r="F16" s="251"/>
      <c r="G16" s="251"/>
      <c r="H16" s="251"/>
      <c r="I16" s="251"/>
      <c r="J16" s="251"/>
      <c r="K16" s="251"/>
      <c r="L16" s="251"/>
      <c r="M16" s="251"/>
      <c r="N16" s="251"/>
      <c r="O16" s="251"/>
      <c r="P16" s="251"/>
      <c r="Q16" s="251"/>
      <c r="R16" s="251"/>
      <c r="S16" s="251"/>
      <c r="T16" s="251"/>
      <c r="U16" s="251"/>
      <c r="V16" s="251"/>
      <c r="W16" s="251"/>
      <c r="X16" s="251"/>
      <c r="Y16" s="251"/>
      <c r="Z16" s="251"/>
      <c r="AA16" s="251"/>
      <c r="AB16" s="251"/>
      <c r="AC16" s="251"/>
      <c r="AD16" s="251"/>
      <c r="AE16" s="251"/>
    </row>
    <row r="17">
      <c r="A17" s="251"/>
      <c r="B17" s="251"/>
      <c r="C17" s="251"/>
      <c r="D17" s="251"/>
      <c r="E17" s="251"/>
      <c r="F17" s="251"/>
      <c r="G17" s="251"/>
      <c r="H17" s="251"/>
      <c r="I17" s="251"/>
      <c r="J17" s="251"/>
      <c r="K17" s="251"/>
      <c r="L17" s="251"/>
      <c r="M17" s="251"/>
      <c r="N17" s="251"/>
      <c r="O17" s="251"/>
      <c r="P17" s="251"/>
      <c r="Q17" s="251"/>
      <c r="R17" s="251"/>
      <c r="S17" s="251"/>
      <c r="T17" s="251"/>
      <c r="U17" s="251"/>
      <c r="V17" s="251"/>
      <c r="W17" s="251"/>
      <c r="X17" s="251"/>
      <c r="Y17" s="251"/>
      <c r="Z17" s="251"/>
      <c r="AA17" s="251"/>
      <c r="AB17" s="251"/>
      <c r="AC17" s="251"/>
      <c r="AD17" s="251"/>
      <c r="AE17" s="251"/>
    </row>
    <row r="18">
      <c r="A18" s="251"/>
      <c r="B18" s="251"/>
      <c r="C18" s="251"/>
      <c r="D18" s="251"/>
      <c r="E18" s="251"/>
      <c r="F18" s="251"/>
      <c r="G18" s="251"/>
      <c r="H18" s="251"/>
      <c r="I18" s="251"/>
      <c r="J18" s="251"/>
      <c r="K18" s="251"/>
      <c r="L18" s="251"/>
      <c r="M18" s="251"/>
      <c r="N18" s="251"/>
      <c r="O18" s="251"/>
      <c r="P18" s="251"/>
      <c r="Q18" s="251"/>
      <c r="R18" s="251"/>
      <c r="S18" s="251"/>
      <c r="T18" s="251"/>
      <c r="U18" s="251"/>
      <c r="V18" s="251"/>
      <c r="W18" s="251"/>
      <c r="X18" s="251"/>
      <c r="Y18" s="251"/>
      <c r="Z18" s="251"/>
      <c r="AA18" s="251"/>
      <c r="AB18" s="251"/>
      <c r="AC18" s="251"/>
      <c r="AD18" s="251"/>
      <c r="AE18" s="251"/>
    </row>
    <row r="19">
      <c r="A19" s="251"/>
      <c r="B19" s="251"/>
      <c r="C19" s="251"/>
      <c r="D19" s="251"/>
      <c r="E19" s="251"/>
      <c r="F19" s="251"/>
      <c r="G19" s="251"/>
      <c r="H19" s="251"/>
      <c r="I19" s="251"/>
      <c r="J19" s="251"/>
      <c r="K19" s="251"/>
      <c r="L19" s="251"/>
      <c r="M19" s="251"/>
      <c r="N19" s="251"/>
      <c r="O19" s="251"/>
      <c r="P19" s="251"/>
      <c r="Q19" s="251"/>
      <c r="R19" s="251"/>
      <c r="S19" s="251"/>
      <c r="T19" s="251"/>
      <c r="U19" s="251"/>
      <c r="V19" s="251"/>
      <c r="W19" s="251"/>
      <c r="X19" s="251"/>
      <c r="Y19" s="251"/>
      <c r="Z19" s="251"/>
      <c r="AA19" s="251"/>
      <c r="AB19" s="251"/>
      <c r="AC19" s="251"/>
      <c r="AD19" s="251"/>
      <c r="AE19" s="251"/>
    </row>
    <row r="20">
      <c r="A20" s="251"/>
      <c r="B20" s="251"/>
      <c r="C20" s="251"/>
      <c r="D20" s="251"/>
      <c r="E20" s="251"/>
      <c r="F20" s="251"/>
      <c r="G20" s="251"/>
      <c r="H20" s="251"/>
      <c r="I20" s="251"/>
      <c r="J20" s="251"/>
      <c r="K20" s="251"/>
      <c r="L20" s="251"/>
      <c r="M20" s="251"/>
      <c r="N20" s="251"/>
      <c r="O20" s="251"/>
      <c r="P20" s="251"/>
      <c r="Q20" s="251"/>
      <c r="R20" s="251"/>
      <c r="S20" s="251"/>
      <c r="T20" s="251"/>
      <c r="U20" s="251"/>
      <c r="V20" s="251"/>
      <c r="W20" s="251"/>
      <c r="X20" s="251"/>
      <c r="Y20" s="251"/>
      <c r="Z20" s="251"/>
      <c r="AA20" s="251"/>
      <c r="AB20" s="251"/>
      <c r="AC20" s="251"/>
      <c r="AD20" s="251"/>
      <c r="AE20" s="251"/>
    </row>
    <row r="21">
      <c r="A21" s="251"/>
      <c r="B21" s="251"/>
      <c r="C21" s="251"/>
      <c r="D21" s="251"/>
      <c r="E21" s="251"/>
      <c r="F21" s="251"/>
      <c r="G21" s="251"/>
      <c r="H21" s="251"/>
      <c r="I21" s="251"/>
      <c r="J21" s="251"/>
      <c r="K21" s="251"/>
      <c r="L21" s="251"/>
      <c r="M21" s="251"/>
      <c r="N21" s="251"/>
      <c r="O21" s="251"/>
      <c r="P21" s="251"/>
      <c r="Q21" s="251"/>
      <c r="R21" s="251"/>
      <c r="S21" s="251"/>
      <c r="T21" s="251"/>
      <c r="U21" s="251"/>
      <c r="V21" s="251"/>
      <c r="W21" s="251"/>
      <c r="X21" s="251"/>
      <c r="Y21" s="251"/>
      <c r="Z21" s="251"/>
      <c r="AA21" s="251"/>
      <c r="AB21" s="251"/>
      <c r="AC21" s="251"/>
      <c r="AD21" s="251"/>
      <c r="AE21" s="251"/>
    </row>
    <row r="22">
      <c r="A22" s="251"/>
      <c r="B22" s="251"/>
      <c r="C22" s="251"/>
      <c r="D22" s="251"/>
      <c r="E22" s="251"/>
      <c r="F22" s="251"/>
      <c r="G22" s="251"/>
      <c r="H22" s="251"/>
      <c r="I22" s="251"/>
      <c r="J22" s="251"/>
      <c r="K22" s="251"/>
      <c r="L22" s="251"/>
      <c r="M22" s="251"/>
      <c r="N22" s="251"/>
      <c r="O22" s="251"/>
      <c r="P22" s="251"/>
      <c r="Q22" s="251"/>
      <c r="R22" s="251"/>
      <c r="S22" s="251"/>
      <c r="T22" s="251"/>
      <c r="U22" s="251"/>
      <c r="V22" s="251"/>
      <c r="W22" s="251"/>
      <c r="X22" s="251"/>
      <c r="Y22" s="251"/>
      <c r="Z22" s="251"/>
      <c r="AA22" s="251"/>
      <c r="AB22" s="251"/>
      <c r="AC22" s="251"/>
      <c r="AD22" s="251"/>
      <c r="AE22" s="251"/>
    </row>
    <row r="23">
      <c r="A23" s="251"/>
      <c r="B23" s="251"/>
      <c r="C23" s="251"/>
      <c r="D23" s="251"/>
      <c r="E23" s="251"/>
      <c r="F23" s="251"/>
      <c r="G23" s="251"/>
      <c r="H23" s="251"/>
      <c r="I23" s="251"/>
      <c r="J23" s="251"/>
      <c r="K23" s="251"/>
      <c r="L23" s="251"/>
      <c r="M23" s="251"/>
      <c r="N23" s="251"/>
      <c r="O23" s="251"/>
      <c r="P23" s="251"/>
      <c r="Q23" s="251"/>
      <c r="R23" s="251"/>
      <c r="S23" s="251"/>
      <c r="T23" s="251"/>
      <c r="U23" s="251"/>
      <c r="V23" s="251"/>
      <c r="W23" s="251"/>
      <c r="X23" s="251"/>
      <c r="Y23" s="251"/>
      <c r="Z23" s="251"/>
      <c r="AA23" s="251"/>
      <c r="AB23" s="251"/>
      <c r="AC23" s="251"/>
      <c r="AD23" s="251"/>
      <c r="AE23" s="251"/>
    </row>
    <row r="24">
      <c r="A24" s="251"/>
      <c r="B24" s="251"/>
      <c r="C24" s="251"/>
      <c r="D24" s="251"/>
      <c r="E24" s="251"/>
      <c r="F24" s="251"/>
      <c r="G24" s="251"/>
      <c r="H24" s="251"/>
      <c r="I24" s="251"/>
      <c r="J24" s="251"/>
      <c r="K24" s="251"/>
      <c r="L24" s="251"/>
      <c r="M24" s="251"/>
      <c r="N24" s="251"/>
      <c r="O24" s="251"/>
      <c r="P24" s="251"/>
      <c r="Q24" s="251"/>
      <c r="R24" s="251"/>
      <c r="S24" s="251"/>
      <c r="T24" s="251"/>
      <c r="U24" s="251"/>
      <c r="V24" s="251"/>
      <c r="W24" s="251"/>
      <c r="X24" s="251"/>
      <c r="Y24" s="251"/>
      <c r="Z24" s="251"/>
      <c r="AA24" s="251"/>
      <c r="AB24" s="251"/>
      <c r="AC24" s="251"/>
      <c r="AD24" s="251"/>
      <c r="AE24" s="251"/>
    </row>
    <row r="25">
      <c r="A25" s="251"/>
      <c r="B25" s="251"/>
      <c r="C25" s="251"/>
      <c r="D25" s="251"/>
      <c r="E25" s="251"/>
      <c r="F25" s="251"/>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c r="AD25" s="251"/>
      <c r="AE25" s="251"/>
    </row>
    <row r="26">
      <c r="A26" s="251"/>
      <c r="B26" s="251"/>
      <c r="C26" s="251"/>
      <c r="D26" s="251"/>
      <c r="E26" s="251"/>
      <c r="F26" s="251"/>
      <c r="G26" s="251"/>
      <c r="H26" s="251"/>
      <c r="I26" s="251"/>
      <c r="J26" s="251"/>
      <c r="K26" s="251"/>
      <c r="L26" s="251"/>
      <c r="M26" s="251"/>
      <c r="N26" s="251"/>
      <c r="O26" s="251"/>
      <c r="P26" s="251"/>
      <c r="Q26" s="251"/>
      <c r="R26" s="251"/>
      <c r="S26" s="251"/>
      <c r="T26" s="251"/>
      <c r="U26" s="251"/>
      <c r="V26" s="251"/>
      <c r="W26" s="251"/>
      <c r="X26" s="251"/>
      <c r="Y26" s="251"/>
      <c r="Z26" s="251"/>
      <c r="AA26" s="251"/>
      <c r="AB26" s="251"/>
      <c r="AC26" s="251"/>
      <c r="AD26" s="251"/>
      <c r="AE26" s="251"/>
    </row>
    <row r="27">
      <c r="A27" s="251"/>
      <c r="B27" s="251"/>
      <c r="C27" s="251"/>
      <c r="D27" s="251"/>
      <c r="E27" s="251"/>
      <c r="F27" s="251"/>
      <c r="G27" s="251"/>
      <c r="H27" s="251"/>
      <c r="I27" s="251"/>
      <c r="J27" s="251"/>
      <c r="K27" s="251"/>
      <c r="L27" s="251"/>
      <c r="M27" s="251"/>
      <c r="N27" s="251"/>
      <c r="O27" s="251"/>
      <c r="P27" s="251"/>
      <c r="Q27" s="251"/>
      <c r="R27" s="251"/>
      <c r="S27" s="251"/>
      <c r="T27" s="251"/>
      <c r="U27" s="251"/>
      <c r="V27" s="251"/>
      <c r="W27" s="251"/>
      <c r="X27" s="251"/>
      <c r="Y27" s="251"/>
      <c r="Z27" s="251"/>
      <c r="AA27" s="251"/>
      <c r="AB27" s="251"/>
      <c r="AC27" s="251"/>
      <c r="AD27" s="251"/>
      <c r="AE27" s="251"/>
    </row>
    <row r="28">
      <c r="A28" s="251"/>
      <c r="B28" s="251"/>
      <c r="C28" s="251"/>
      <c r="D28" s="251"/>
      <c r="E28" s="251"/>
      <c r="F28" s="251"/>
      <c r="G28" s="251"/>
      <c r="H28" s="251"/>
      <c r="I28" s="251"/>
      <c r="J28" s="251"/>
      <c r="K28" s="251"/>
      <c r="L28" s="251"/>
      <c r="M28" s="251"/>
      <c r="N28" s="251"/>
      <c r="O28" s="251"/>
      <c r="P28" s="251"/>
      <c r="Q28" s="251"/>
      <c r="R28" s="251"/>
      <c r="S28" s="251"/>
      <c r="T28" s="251"/>
      <c r="U28" s="251"/>
      <c r="V28" s="251"/>
      <c r="W28" s="251"/>
      <c r="X28" s="251"/>
      <c r="Y28" s="251"/>
      <c r="Z28" s="251"/>
      <c r="AA28" s="251"/>
      <c r="AB28" s="251"/>
      <c r="AC28" s="251"/>
      <c r="AD28" s="251"/>
      <c r="AE28" s="251"/>
    </row>
    <row r="29">
      <c r="A29" s="251"/>
      <c r="B29" s="251"/>
      <c r="C29" s="251"/>
      <c r="D29" s="251"/>
      <c r="E29" s="251"/>
      <c r="F29" s="251"/>
      <c r="G29" s="251"/>
      <c r="H29" s="251"/>
      <c r="I29" s="251"/>
      <c r="J29" s="251"/>
      <c r="K29" s="251"/>
      <c r="L29" s="251"/>
      <c r="M29" s="251"/>
      <c r="N29" s="251"/>
      <c r="O29" s="251"/>
      <c r="P29" s="251"/>
      <c r="Q29" s="251"/>
      <c r="R29" s="251"/>
      <c r="S29" s="251"/>
      <c r="T29" s="251"/>
      <c r="U29" s="251"/>
      <c r="V29" s="251"/>
      <c r="W29" s="251"/>
      <c r="X29" s="251"/>
      <c r="Y29" s="251"/>
      <c r="Z29" s="251"/>
      <c r="AA29" s="251"/>
      <c r="AB29" s="251"/>
      <c r="AC29" s="251"/>
      <c r="AD29" s="251"/>
      <c r="AE29" s="251"/>
    </row>
    <row r="30">
      <c r="A30" s="251"/>
      <c r="B30" s="251"/>
      <c r="C30" s="251"/>
      <c r="D30" s="251"/>
      <c r="E30" s="251"/>
      <c r="F30" s="251"/>
      <c r="G30" s="251"/>
      <c r="H30" s="251"/>
      <c r="I30" s="251"/>
      <c r="J30" s="251"/>
      <c r="K30" s="251"/>
      <c r="L30" s="251"/>
      <c r="M30" s="251"/>
      <c r="N30" s="251"/>
      <c r="O30" s="251"/>
      <c r="P30" s="251"/>
      <c r="Q30" s="251"/>
      <c r="R30" s="251"/>
      <c r="S30" s="251"/>
      <c r="T30" s="251"/>
      <c r="U30" s="251"/>
      <c r="V30" s="251"/>
      <c r="W30" s="251"/>
      <c r="X30" s="251"/>
      <c r="Y30" s="251"/>
      <c r="Z30" s="251"/>
      <c r="AA30" s="251"/>
      <c r="AB30" s="251"/>
      <c r="AC30" s="251"/>
      <c r="AD30" s="251"/>
      <c r="AE30" s="251"/>
    </row>
    <row r="31">
      <c r="A31" s="251"/>
      <c r="B31" s="251"/>
      <c r="C31" s="251"/>
      <c r="D31" s="251"/>
      <c r="E31" s="251"/>
      <c r="F31" s="251"/>
      <c r="G31" s="251"/>
      <c r="H31" s="251"/>
      <c r="I31" s="251"/>
      <c r="J31" s="251"/>
      <c r="K31" s="251"/>
      <c r="L31" s="251"/>
      <c r="M31" s="251"/>
      <c r="N31" s="251"/>
      <c r="O31" s="251"/>
      <c r="P31" s="251"/>
      <c r="Q31" s="251"/>
      <c r="R31" s="251"/>
      <c r="S31" s="251"/>
      <c r="T31" s="251"/>
      <c r="U31" s="251"/>
      <c r="V31" s="251"/>
      <c r="W31" s="251"/>
      <c r="X31" s="251"/>
      <c r="Y31" s="251"/>
      <c r="Z31" s="251"/>
      <c r="AA31" s="251"/>
      <c r="AB31" s="251"/>
      <c r="AC31" s="251"/>
      <c r="AD31" s="251"/>
      <c r="AE31" s="251"/>
    </row>
    <row r="32">
      <c r="A32" s="251"/>
      <c r="B32" s="251"/>
      <c r="C32" s="251"/>
      <c r="D32" s="251"/>
      <c r="E32" s="251"/>
      <c r="F32" s="251"/>
      <c r="G32" s="251"/>
      <c r="H32" s="251"/>
      <c r="I32" s="251"/>
      <c r="J32" s="251"/>
      <c r="K32" s="251"/>
      <c r="L32" s="251"/>
      <c r="M32" s="251"/>
      <c r="N32" s="251"/>
      <c r="O32" s="251"/>
      <c r="P32" s="251"/>
      <c r="Q32" s="251"/>
      <c r="R32" s="251"/>
      <c r="S32" s="251"/>
      <c r="T32" s="251"/>
      <c r="U32" s="251"/>
      <c r="V32" s="251"/>
      <c r="W32" s="251"/>
      <c r="X32" s="251"/>
      <c r="Y32" s="251"/>
      <c r="Z32" s="251"/>
      <c r="AA32" s="251"/>
      <c r="AB32" s="251"/>
      <c r="AC32" s="251"/>
      <c r="AD32" s="251"/>
      <c r="AE32" s="251"/>
    </row>
    <row r="33">
      <c r="A33" s="251"/>
      <c r="B33" s="251"/>
      <c r="C33" s="251"/>
      <c r="D33" s="251"/>
      <c r="E33" s="251"/>
      <c r="F33" s="251"/>
      <c r="G33" s="251"/>
      <c r="H33" s="251"/>
      <c r="I33" s="251"/>
      <c r="J33" s="251"/>
      <c r="K33" s="251"/>
      <c r="L33" s="251"/>
      <c r="M33" s="251"/>
      <c r="N33" s="251"/>
      <c r="O33" s="251"/>
      <c r="P33" s="251"/>
      <c r="Q33" s="251"/>
      <c r="R33" s="251"/>
      <c r="S33" s="251"/>
      <c r="T33" s="251"/>
      <c r="U33" s="251"/>
      <c r="V33" s="251"/>
      <c r="W33" s="251"/>
      <c r="X33" s="251"/>
      <c r="Y33" s="251"/>
      <c r="Z33" s="251"/>
      <c r="AA33" s="251"/>
      <c r="AB33" s="251"/>
      <c r="AC33" s="251"/>
      <c r="AD33" s="251"/>
      <c r="AE33" s="251"/>
    </row>
    <row r="34">
      <c r="A34" s="251"/>
      <c r="B34" s="251"/>
      <c r="C34" s="251"/>
      <c r="D34" s="251"/>
      <c r="E34" s="251"/>
      <c r="F34" s="251"/>
      <c r="G34" s="251"/>
      <c r="H34" s="251"/>
      <c r="I34" s="251"/>
      <c r="J34" s="251"/>
      <c r="K34" s="251"/>
      <c r="L34" s="251"/>
      <c r="M34" s="251"/>
      <c r="N34" s="251"/>
      <c r="O34" s="251"/>
      <c r="P34" s="251"/>
      <c r="Q34" s="251"/>
      <c r="R34" s="251"/>
      <c r="S34" s="251"/>
      <c r="T34" s="251"/>
      <c r="U34" s="251"/>
      <c r="V34" s="251"/>
      <c r="W34" s="251"/>
      <c r="X34" s="251"/>
      <c r="Y34" s="251"/>
      <c r="Z34" s="251"/>
      <c r="AA34" s="251"/>
      <c r="AB34" s="251"/>
      <c r="AC34" s="251"/>
      <c r="AD34" s="251"/>
      <c r="AE34" s="251"/>
    </row>
    <row r="35">
      <c r="A35" s="251"/>
      <c r="B35" s="251"/>
      <c r="C35" s="251"/>
      <c r="D35" s="251"/>
      <c r="E35" s="251"/>
      <c r="F35" s="251"/>
      <c r="G35" s="251"/>
      <c r="H35" s="251"/>
      <c r="I35" s="251"/>
      <c r="J35" s="251"/>
      <c r="K35" s="251"/>
      <c r="L35" s="251"/>
      <c r="M35" s="251"/>
      <c r="N35" s="251"/>
      <c r="O35" s="251"/>
      <c r="P35" s="251"/>
      <c r="Q35" s="251"/>
      <c r="R35" s="251"/>
      <c r="S35" s="251"/>
      <c r="T35" s="251"/>
      <c r="U35" s="251"/>
      <c r="V35" s="251"/>
      <c r="W35" s="251"/>
      <c r="X35" s="251"/>
      <c r="Y35" s="251"/>
      <c r="Z35" s="251"/>
      <c r="AA35" s="251"/>
      <c r="AB35" s="251"/>
      <c r="AC35" s="251"/>
      <c r="AD35" s="251"/>
      <c r="AE35" s="251"/>
    </row>
    <row r="36">
      <c r="A36" s="251"/>
      <c r="B36" s="251"/>
      <c r="C36" s="251"/>
      <c r="D36" s="251"/>
      <c r="E36" s="251"/>
      <c r="F36" s="251"/>
      <c r="G36" s="251"/>
      <c r="H36" s="251"/>
      <c r="I36" s="251"/>
      <c r="J36" s="251"/>
      <c r="K36" s="251"/>
      <c r="L36" s="251"/>
      <c r="M36" s="251"/>
      <c r="N36" s="251"/>
      <c r="O36" s="251"/>
      <c r="P36" s="251"/>
      <c r="Q36" s="251"/>
      <c r="R36" s="251"/>
      <c r="S36" s="251"/>
      <c r="T36" s="251"/>
      <c r="U36" s="251"/>
      <c r="V36" s="251"/>
      <c r="W36" s="251"/>
      <c r="X36" s="251"/>
      <c r="Y36" s="251"/>
      <c r="Z36" s="251"/>
      <c r="AA36" s="251"/>
      <c r="AB36" s="251"/>
      <c r="AC36" s="251"/>
      <c r="AD36" s="251"/>
      <c r="AE36" s="251"/>
    </row>
    <row r="37">
      <c r="A37" s="251"/>
      <c r="B37" s="251"/>
      <c r="C37" s="251"/>
      <c r="D37" s="251"/>
      <c r="E37" s="251"/>
      <c r="F37" s="251"/>
      <c r="G37" s="251"/>
      <c r="H37" s="251"/>
      <c r="I37" s="251"/>
      <c r="J37" s="251"/>
      <c r="K37" s="251"/>
      <c r="L37" s="251"/>
      <c r="M37" s="251"/>
      <c r="N37" s="251"/>
      <c r="O37" s="251"/>
      <c r="P37" s="251"/>
      <c r="Q37" s="251"/>
      <c r="R37" s="251"/>
      <c r="S37" s="251"/>
      <c r="T37" s="251"/>
      <c r="U37" s="251"/>
      <c r="V37" s="251"/>
      <c r="W37" s="251"/>
      <c r="X37" s="251"/>
      <c r="Y37" s="251"/>
      <c r="Z37" s="251"/>
      <c r="AA37" s="251"/>
      <c r="AB37" s="251"/>
      <c r="AC37" s="251"/>
      <c r="AD37" s="251"/>
      <c r="AE37" s="251"/>
    </row>
    <row r="38">
      <c r="A38" s="251"/>
      <c r="B38" s="251"/>
      <c r="C38" s="251"/>
      <c r="D38" s="251"/>
      <c r="E38" s="251"/>
      <c r="F38" s="251"/>
      <c r="G38" s="251"/>
      <c r="H38" s="251"/>
      <c r="I38" s="251"/>
      <c r="J38" s="251"/>
      <c r="K38" s="251"/>
      <c r="L38" s="251"/>
      <c r="M38" s="251"/>
      <c r="N38" s="251"/>
      <c r="O38" s="251"/>
      <c r="P38" s="251"/>
      <c r="Q38" s="251"/>
      <c r="R38" s="251"/>
      <c r="S38" s="251"/>
      <c r="T38" s="251"/>
      <c r="U38" s="251"/>
      <c r="V38" s="251"/>
      <c r="W38" s="251"/>
      <c r="X38" s="251"/>
      <c r="Y38" s="251"/>
      <c r="Z38" s="251"/>
      <c r="AA38" s="251"/>
      <c r="AB38" s="251"/>
      <c r="AC38" s="251"/>
      <c r="AD38" s="251"/>
      <c r="AE38" s="251"/>
    </row>
    <row r="39">
      <c r="A39" s="251"/>
      <c r="B39" s="251"/>
      <c r="C39" s="251"/>
      <c r="D39" s="251"/>
      <c r="E39" s="251"/>
      <c r="F39" s="251"/>
      <c r="G39" s="251"/>
      <c r="H39" s="251"/>
      <c r="I39" s="251"/>
      <c r="J39" s="251"/>
      <c r="K39" s="251"/>
      <c r="L39" s="251"/>
      <c r="M39" s="251"/>
      <c r="N39" s="251"/>
      <c r="O39" s="251"/>
      <c r="P39" s="251"/>
      <c r="Q39" s="251"/>
      <c r="R39" s="251"/>
      <c r="S39" s="251"/>
      <c r="T39" s="251"/>
      <c r="U39" s="251"/>
      <c r="V39" s="251"/>
      <c r="W39" s="251"/>
      <c r="X39" s="251"/>
      <c r="Y39" s="251"/>
      <c r="Z39" s="251"/>
      <c r="AA39" s="251"/>
      <c r="AB39" s="251"/>
      <c r="AC39" s="251"/>
      <c r="AD39" s="251"/>
      <c r="AE39" s="251"/>
    </row>
    <row r="40">
      <c r="A40" s="251"/>
      <c r="B40" s="251"/>
      <c r="C40" s="251"/>
      <c r="D40" s="251"/>
      <c r="E40" s="251"/>
      <c r="F40" s="251"/>
      <c r="G40" s="251"/>
      <c r="H40" s="251"/>
      <c r="I40" s="251"/>
      <c r="J40" s="251"/>
      <c r="K40" s="251"/>
      <c r="L40" s="251"/>
      <c r="M40" s="251"/>
      <c r="N40" s="251"/>
      <c r="O40" s="251"/>
      <c r="P40" s="251"/>
      <c r="Q40" s="251"/>
      <c r="R40" s="251"/>
      <c r="S40" s="251"/>
      <c r="T40" s="251"/>
      <c r="U40" s="251"/>
      <c r="V40" s="251"/>
      <c r="W40" s="251"/>
      <c r="X40" s="251"/>
      <c r="Y40" s="251"/>
      <c r="Z40" s="251"/>
      <c r="AA40" s="251"/>
      <c r="AB40" s="251"/>
      <c r="AC40" s="251"/>
      <c r="AD40" s="251"/>
      <c r="AE40" s="251"/>
    </row>
    <row r="41">
      <c r="A41" s="251"/>
      <c r="B41" s="251"/>
      <c r="C41" s="251"/>
      <c r="D41" s="251"/>
      <c r="E41" s="251"/>
      <c r="F41" s="251"/>
      <c r="G41" s="251"/>
      <c r="H41" s="251"/>
      <c r="I41" s="251"/>
      <c r="J41" s="251"/>
      <c r="K41" s="251"/>
      <c r="L41" s="251"/>
      <c r="M41" s="251"/>
      <c r="N41" s="251"/>
      <c r="O41" s="251"/>
      <c r="P41" s="251"/>
      <c r="Q41" s="251"/>
      <c r="R41" s="251"/>
      <c r="S41" s="251"/>
      <c r="T41" s="251"/>
      <c r="U41" s="251"/>
      <c r="V41" s="251"/>
      <c r="W41" s="251"/>
      <c r="X41" s="251"/>
      <c r="Y41" s="251"/>
      <c r="Z41" s="251"/>
      <c r="AA41" s="251"/>
      <c r="AB41" s="251"/>
      <c r="AC41" s="251"/>
      <c r="AD41" s="251"/>
      <c r="AE41" s="251"/>
    </row>
    <row r="42">
      <c r="A42" s="251"/>
      <c r="B42" s="251"/>
      <c r="C42" s="251"/>
      <c r="D42" s="251"/>
      <c r="E42" s="251"/>
      <c r="F42" s="251"/>
      <c r="G42" s="251"/>
      <c r="H42" s="251"/>
      <c r="I42" s="251"/>
      <c r="J42" s="251"/>
      <c r="K42" s="251"/>
      <c r="L42" s="251"/>
      <c r="M42" s="251"/>
      <c r="N42" s="251"/>
      <c r="O42" s="251"/>
      <c r="P42" s="251"/>
      <c r="Q42" s="251"/>
      <c r="R42" s="251"/>
      <c r="S42" s="251"/>
      <c r="T42" s="251"/>
      <c r="U42" s="251"/>
      <c r="V42" s="251"/>
      <c r="W42" s="251"/>
      <c r="X42" s="251"/>
      <c r="Y42" s="251"/>
      <c r="Z42" s="251"/>
      <c r="AA42" s="251"/>
      <c r="AB42" s="251"/>
      <c r="AC42" s="251"/>
      <c r="AD42" s="251"/>
      <c r="AE42" s="251"/>
    </row>
    <row r="43">
      <c r="A43" s="251"/>
      <c r="B43" s="251"/>
      <c r="C43" s="251"/>
      <c r="D43" s="251"/>
      <c r="E43" s="251"/>
      <c r="F43" s="251"/>
      <c r="G43" s="251"/>
      <c r="H43" s="251"/>
      <c r="I43" s="251"/>
      <c r="J43" s="251"/>
      <c r="K43" s="251"/>
      <c r="L43" s="251"/>
      <c r="M43" s="251"/>
      <c r="N43" s="251"/>
      <c r="O43" s="251"/>
      <c r="P43" s="251"/>
      <c r="Q43" s="251"/>
      <c r="R43" s="251"/>
      <c r="S43" s="251"/>
      <c r="T43" s="251"/>
      <c r="U43" s="251"/>
      <c r="V43" s="251"/>
      <c r="W43" s="251"/>
      <c r="X43" s="251"/>
      <c r="Y43" s="251"/>
      <c r="Z43" s="251"/>
      <c r="AA43" s="251"/>
      <c r="AB43" s="251"/>
      <c r="AC43" s="251"/>
      <c r="AD43" s="251"/>
      <c r="AE43" s="251"/>
    </row>
    <row r="44">
      <c r="A44" s="251"/>
      <c r="B44" s="251"/>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1"/>
      <c r="AA44" s="251"/>
      <c r="AB44" s="251"/>
      <c r="AC44" s="251"/>
      <c r="AD44" s="251"/>
      <c r="AE44" s="251"/>
    </row>
    <row r="45">
      <c r="A45" s="251"/>
      <c r="B45" s="251"/>
      <c r="C45" s="251"/>
      <c r="D45" s="251"/>
      <c r="E45" s="251"/>
      <c r="F45" s="251"/>
      <c r="G45" s="251"/>
      <c r="H45" s="251"/>
      <c r="I45" s="251"/>
      <c r="J45" s="251"/>
      <c r="K45" s="251"/>
      <c r="L45" s="251"/>
      <c r="M45" s="251"/>
      <c r="N45" s="251"/>
      <c r="O45" s="251"/>
      <c r="P45" s="251"/>
      <c r="Q45" s="251"/>
      <c r="R45" s="251"/>
      <c r="S45" s="251"/>
      <c r="T45" s="251"/>
      <c r="U45" s="251"/>
      <c r="V45" s="251"/>
      <c r="W45" s="251"/>
      <c r="X45" s="251"/>
      <c r="Y45" s="251"/>
      <c r="Z45" s="251"/>
      <c r="AA45" s="251"/>
      <c r="AB45" s="251"/>
      <c r="AC45" s="251"/>
      <c r="AD45" s="251"/>
      <c r="AE45" s="251"/>
    </row>
    <row r="46">
      <c r="A46" s="251"/>
      <c r="B46" s="251"/>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251"/>
      <c r="AB46" s="251"/>
      <c r="AC46" s="251"/>
      <c r="AD46" s="251"/>
      <c r="AE46" s="251"/>
    </row>
    <row r="47">
      <c r="A47" s="251"/>
      <c r="B47" s="251"/>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c r="AA47" s="251"/>
      <c r="AB47" s="251"/>
      <c r="AC47" s="251"/>
      <c r="AD47" s="251"/>
      <c r="AE47" s="251"/>
    </row>
    <row r="48">
      <c r="A48" s="251"/>
      <c r="B48" s="251"/>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c r="AA48" s="251"/>
      <c r="AB48" s="251"/>
      <c r="AC48" s="251"/>
      <c r="AD48" s="251"/>
      <c r="AE48" s="251"/>
    </row>
    <row r="49">
      <c r="A49" s="251"/>
      <c r="B49" s="251"/>
      <c r="C49" s="251"/>
      <c r="D49" s="251"/>
      <c r="E49" s="251"/>
      <c r="F49" s="251"/>
      <c r="G49" s="251"/>
      <c r="H49" s="251"/>
      <c r="I49" s="251"/>
      <c r="J49" s="251"/>
      <c r="K49" s="251"/>
      <c r="L49" s="251"/>
      <c r="M49" s="251"/>
      <c r="N49" s="251"/>
      <c r="O49" s="251"/>
      <c r="P49" s="251"/>
      <c r="Q49" s="251"/>
      <c r="R49" s="251"/>
      <c r="S49" s="251"/>
      <c r="T49" s="251"/>
      <c r="U49" s="251"/>
      <c r="V49" s="251"/>
      <c r="W49" s="251"/>
      <c r="X49" s="251"/>
      <c r="Y49" s="251"/>
      <c r="Z49" s="251"/>
      <c r="AA49" s="251"/>
      <c r="AB49" s="251"/>
      <c r="AC49" s="251"/>
      <c r="AD49" s="251"/>
      <c r="AE49" s="251"/>
    </row>
    <row r="50">
      <c r="A50" s="251"/>
      <c r="B50" s="251"/>
      <c r="C50" s="251"/>
      <c r="D50" s="251"/>
      <c r="E50" s="251"/>
      <c r="F50" s="251"/>
      <c r="G50" s="251"/>
      <c r="H50" s="251"/>
      <c r="I50" s="251"/>
      <c r="J50" s="251"/>
      <c r="K50" s="251"/>
      <c r="L50" s="251"/>
      <c r="M50" s="251"/>
      <c r="N50" s="251"/>
      <c r="O50" s="251"/>
      <c r="P50" s="251"/>
      <c r="Q50" s="251"/>
      <c r="R50" s="251"/>
      <c r="S50" s="251"/>
      <c r="T50" s="251"/>
      <c r="U50" s="251"/>
      <c r="V50" s="251"/>
      <c r="W50" s="251"/>
      <c r="X50" s="251"/>
      <c r="Y50" s="251"/>
      <c r="Z50" s="251"/>
      <c r="AA50" s="251"/>
      <c r="AB50" s="251"/>
      <c r="AC50" s="251"/>
      <c r="AD50" s="251"/>
      <c r="AE50" s="251"/>
    </row>
    <row r="51">
      <c r="A51" s="251"/>
      <c r="B51" s="251"/>
      <c r="C51" s="251"/>
      <c r="D51" s="251"/>
      <c r="E51" s="251"/>
      <c r="F51" s="251"/>
      <c r="G51" s="251"/>
      <c r="H51" s="251"/>
      <c r="I51" s="251"/>
      <c r="J51" s="251"/>
      <c r="K51" s="251"/>
      <c r="L51" s="251"/>
      <c r="M51" s="251"/>
      <c r="N51" s="251"/>
      <c r="O51" s="251"/>
      <c r="P51" s="251"/>
      <c r="Q51" s="251"/>
      <c r="R51" s="251"/>
      <c r="S51" s="251"/>
      <c r="T51" s="251"/>
      <c r="U51" s="251"/>
      <c r="V51" s="251"/>
      <c r="W51" s="251"/>
      <c r="X51" s="251"/>
      <c r="Y51" s="251"/>
      <c r="Z51" s="251"/>
      <c r="AA51" s="251"/>
      <c r="AB51" s="251"/>
      <c r="AC51" s="251"/>
      <c r="AD51" s="251"/>
      <c r="AE51" s="251"/>
    </row>
    <row r="52">
      <c r="A52" s="251"/>
      <c r="B52" s="251"/>
      <c r="C52" s="251"/>
      <c r="D52" s="251"/>
      <c r="E52" s="251"/>
      <c r="F52" s="251"/>
      <c r="G52" s="251"/>
      <c r="H52" s="251"/>
      <c r="I52" s="251"/>
      <c r="J52" s="251"/>
      <c r="K52" s="251"/>
      <c r="L52" s="251"/>
      <c r="M52" s="251"/>
      <c r="N52" s="251"/>
      <c r="O52" s="251"/>
      <c r="P52" s="251"/>
      <c r="Q52" s="251"/>
      <c r="R52" s="251"/>
      <c r="S52" s="251"/>
      <c r="T52" s="251"/>
      <c r="U52" s="251"/>
      <c r="V52" s="251"/>
      <c r="W52" s="251"/>
      <c r="X52" s="251"/>
      <c r="Y52" s="251"/>
      <c r="Z52" s="251"/>
      <c r="AA52" s="251"/>
      <c r="AB52" s="251"/>
      <c r="AC52" s="251"/>
      <c r="AD52" s="251"/>
      <c r="AE52" s="251"/>
    </row>
    <row r="53">
      <c r="A53" s="251"/>
      <c r="B53" s="251"/>
      <c r="C53" s="251"/>
      <c r="D53" s="251"/>
      <c r="E53" s="251"/>
      <c r="F53" s="251"/>
      <c r="G53" s="251"/>
      <c r="H53" s="251"/>
      <c r="I53" s="251"/>
      <c r="J53" s="251"/>
      <c r="K53" s="251"/>
      <c r="L53" s="251"/>
      <c r="M53" s="251"/>
      <c r="N53" s="251"/>
      <c r="O53" s="251"/>
      <c r="P53" s="251"/>
      <c r="Q53" s="251"/>
      <c r="R53" s="251"/>
      <c r="S53" s="251"/>
      <c r="T53" s="251"/>
      <c r="U53" s="251"/>
      <c r="V53" s="251"/>
      <c r="W53" s="251"/>
      <c r="X53" s="251"/>
      <c r="Y53" s="251"/>
      <c r="Z53" s="251"/>
      <c r="AA53" s="251"/>
      <c r="AB53" s="251"/>
      <c r="AC53" s="251"/>
      <c r="AD53" s="251"/>
      <c r="AE53" s="251"/>
    </row>
    <row r="54">
      <c r="A54" s="251"/>
      <c r="B54" s="251"/>
      <c r="C54" s="251"/>
      <c r="D54" s="251"/>
      <c r="E54" s="251"/>
      <c r="F54" s="251"/>
      <c r="G54" s="251"/>
      <c r="H54" s="251"/>
      <c r="I54" s="251"/>
      <c r="J54" s="251"/>
      <c r="K54" s="251"/>
      <c r="L54" s="251"/>
      <c r="M54" s="251"/>
      <c r="N54" s="251"/>
      <c r="O54" s="251"/>
      <c r="P54" s="251"/>
      <c r="Q54" s="251"/>
      <c r="R54" s="251"/>
      <c r="S54" s="251"/>
      <c r="T54" s="251"/>
      <c r="U54" s="251"/>
      <c r="V54" s="251"/>
      <c r="W54" s="251"/>
      <c r="X54" s="251"/>
      <c r="Y54" s="251"/>
      <c r="Z54" s="251"/>
      <c r="AA54" s="251"/>
      <c r="AB54" s="251"/>
      <c r="AC54" s="251"/>
      <c r="AD54" s="251"/>
      <c r="AE54" s="251"/>
    </row>
    <row r="55">
      <c r="A55" s="251"/>
      <c r="B55" s="251"/>
      <c r="C55" s="251"/>
      <c r="D55" s="251"/>
      <c r="E55" s="251"/>
      <c r="F55" s="251"/>
      <c r="G55" s="251"/>
      <c r="H55" s="251"/>
      <c r="I55" s="251"/>
      <c r="J55" s="251"/>
      <c r="K55" s="251"/>
      <c r="L55" s="251"/>
      <c r="M55" s="251"/>
      <c r="N55" s="251"/>
      <c r="O55" s="251"/>
      <c r="P55" s="251"/>
      <c r="Q55" s="251"/>
      <c r="R55" s="251"/>
      <c r="S55" s="251"/>
      <c r="T55" s="251"/>
      <c r="U55" s="251"/>
      <c r="V55" s="251"/>
      <c r="W55" s="251"/>
      <c r="X55" s="251"/>
      <c r="Y55" s="251"/>
      <c r="Z55" s="251"/>
      <c r="AA55" s="251"/>
      <c r="AB55" s="251"/>
      <c r="AC55" s="251"/>
      <c r="AD55" s="251"/>
      <c r="AE55" s="251"/>
    </row>
    <row r="56">
      <c r="A56" s="251"/>
      <c r="B56" s="251"/>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251"/>
    </row>
    <row r="57">
      <c r="A57" s="251"/>
      <c r="B57" s="251"/>
      <c r="C57" s="251"/>
      <c r="D57" s="251"/>
      <c r="E57" s="251"/>
      <c r="F57" s="251"/>
      <c r="G57" s="251"/>
      <c r="H57" s="251"/>
      <c r="I57" s="251"/>
      <c r="J57" s="251"/>
      <c r="K57" s="251"/>
      <c r="L57" s="251"/>
      <c r="M57" s="251"/>
      <c r="N57" s="251"/>
      <c r="O57" s="251"/>
      <c r="P57" s="251"/>
      <c r="Q57" s="251"/>
      <c r="R57" s="251"/>
      <c r="S57" s="251"/>
      <c r="T57" s="251"/>
      <c r="U57" s="251"/>
      <c r="V57" s="251"/>
      <c r="W57" s="251"/>
      <c r="X57" s="251"/>
      <c r="Y57" s="251"/>
      <c r="Z57" s="251"/>
      <c r="AA57" s="251"/>
      <c r="AB57" s="251"/>
      <c r="AC57" s="251"/>
      <c r="AD57" s="251"/>
      <c r="AE57" s="251"/>
    </row>
    <row r="58">
      <c r="A58" s="251"/>
      <c r="B58" s="251"/>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row>
    <row r="59">
      <c r="A59" s="251"/>
      <c r="B59" s="251"/>
      <c r="C59" s="251"/>
      <c r="D59" s="251"/>
      <c r="E59" s="251"/>
      <c r="F59" s="251"/>
      <c r="G59" s="251"/>
      <c r="H59" s="251"/>
      <c r="I59" s="251"/>
      <c r="J59" s="251"/>
      <c r="K59" s="251"/>
      <c r="L59" s="251"/>
      <c r="M59" s="251"/>
      <c r="N59" s="251"/>
      <c r="O59" s="251"/>
      <c r="P59" s="251"/>
      <c r="Q59" s="251"/>
      <c r="R59" s="251"/>
      <c r="S59" s="251"/>
      <c r="T59" s="251"/>
      <c r="U59" s="251"/>
      <c r="V59" s="251"/>
      <c r="W59" s="251"/>
      <c r="X59" s="251"/>
      <c r="Y59" s="251"/>
      <c r="Z59" s="251"/>
      <c r="AA59" s="251"/>
      <c r="AB59" s="251"/>
      <c r="AC59" s="251"/>
      <c r="AD59" s="251"/>
      <c r="AE59" s="251"/>
    </row>
    <row r="60">
      <c r="A60" s="251"/>
      <c r="B60" s="251"/>
      <c r="C60" s="251"/>
      <c r="D60" s="251"/>
      <c r="E60" s="251"/>
      <c r="F60" s="251"/>
      <c r="G60" s="251"/>
      <c r="H60" s="251"/>
      <c r="I60" s="251"/>
      <c r="J60" s="251"/>
      <c r="K60" s="251"/>
      <c r="L60" s="251"/>
      <c r="M60" s="251"/>
      <c r="N60" s="251"/>
      <c r="O60" s="251"/>
      <c r="P60" s="251"/>
      <c r="Q60" s="251"/>
      <c r="R60" s="251"/>
      <c r="S60" s="251"/>
      <c r="T60" s="251"/>
      <c r="U60" s="251"/>
      <c r="V60" s="251"/>
      <c r="W60" s="251"/>
      <c r="X60" s="251"/>
      <c r="Y60" s="251"/>
      <c r="Z60" s="251"/>
      <c r="AA60" s="251"/>
      <c r="AB60" s="251"/>
      <c r="AC60" s="251"/>
      <c r="AD60" s="251"/>
      <c r="AE60" s="251"/>
    </row>
    <row r="61">
      <c r="A61" s="251"/>
      <c r="B61" s="251"/>
      <c r="C61" s="251"/>
      <c r="D61" s="251"/>
      <c r="E61" s="251"/>
      <c r="F61" s="251"/>
      <c r="G61" s="251"/>
      <c r="H61" s="251"/>
      <c r="I61" s="251"/>
      <c r="J61" s="251"/>
      <c r="K61" s="251"/>
      <c r="L61" s="251"/>
      <c r="M61" s="251"/>
      <c r="N61" s="251"/>
      <c r="O61" s="251"/>
      <c r="P61" s="251"/>
      <c r="Q61" s="251"/>
      <c r="R61" s="251"/>
      <c r="S61" s="251"/>
      <c r="T61" s="251"/>
      <c r="U61" s="251"/>
      <c r="V61" s="251"/>
      <c r="W61" s="251"/>
      <c r="X61" s="251"/>
      <c r="Y61" s="251"/>
      <c r="Z61" s="251"/>
      <c r="AA61" s="251"/>
      <c r="AB61" s="251"/>
      <c r="AC61" s="251"/>
      <c r="AD61" s="251"/>
      <c r="AE61" s="251"/>
    </row>
    <row r="62">
      <c r="A62" s="251"/>
      <c r="B62" s="251"/>
      <c r="C62" s="251"/>
      <c r="D62" s="251"/>
      <c r="E62" s="251"/>
      <c r="F62" s="251"/>
      <c r="G62" s="251"/>
      <c r="H62" s="251"/>
      <c r="I62" s="251"/>
      <c r="J62" s="251"/>
      <c r="K62" s="251"/>
      <c r="L62" s="251"/>
      <c r="M62" s="251"/>
      <c r="N62" s="251"/>
      <c r="O62" s="251"/>
      <c r="P62" s="251"/>
      <c r="Q62" s="251"/>
      <c r="R62" s="251"/>
      <c r="S62" s="251"/>
      <c r="T62" s="251"/>
      <c r="U62" s="251"/>
      <c r="V62" s="251"/>
      <c r="W62" s="251"/>
      <c r="X62" s="251"/>
      <c r="Y62" s="251"/>
      <c r="Z62" s="251"/>
      <c r="AA62" s="251"/>
      <c r="AB62" s="251"/>
      <c r="AC62" s="251"/>
      <c r="AD62" s="251"/>
      <c r="AE62" s="251"/>
    </row>
    <row r="63">
      <c r="A63" s="251"/>
      <c r="B63" s="251"/>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c r="AA63" s="251"/>
      <c r="AB63" s="251"/>
      <c r="AC63" s="251"/>
      <c r="AD63" s="251"/>
      <c r="AE63" s="251"/>
    </row>
    <row r="64">
      <c r="A64" s="251"/>
      <c r="B64" s="251"/>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c r="AA64" s="251"/>
      <c r="AB64" s="251"/>
      <c r="AC64" s="251"/>
      <c r="AD64" s="251"/>
      <c r="AE64" s="251"/>
    </row>
    <row r="65">
      <c r="A65" s="251"/>
      <c r="B65" s="251"/>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c r="AA65" s="251"/>
      <c r="AB65" s="251"/>
      <c r="AC65" s="251"/>
      <c r="AD65" s="251"/>
      <c r="AE65" s="251"/>
    </row>
    <row r="66">
      <c r="A66" s="251"/>
      <c r="B66" s="251"/>
      <c r="C66" s="251"/>
      <c r="D66" s="251"/>
      <c r="E66" s="251"/>
      <c r="F66" s="251"/>
      <c r="G66" s="251"/>
      <c r="H66" s="251"/>
      <c r="I66" s="251"/>
      <c r="J66" s="251"/>
      <c r="K66" s="251"/>
      <c r="L66" s="251"/>
      <c r="M66" s="251"/>
      <c r="N66" s="251"/>
      <c r="O66" s="251"/>
      <c r="P66" s="251"/>
      <c r="Q66" s="251"/>
      <c r="R66" s="251"/>
      <c r="S66" s="251"/>
      <c r="T66" s="251"/>
      <c r="U66" s="251"/>
      <c r="V66" s="251"/>
      <c r="W66" s="251"/>
      <c r="X66" s="251"/>
      <c r="Y66" s="251"/>
      <c r="Z66" s="251"/>
      <c r="AA66" s="251"/>
      <c r="AB66" s="251"/>
      <c r="AC66" s="251"/>
      <c r="AD66" s="251"/>
      <c r="AE66" s="251"/>
    </row>
    <row r="67">
      <c r="A67" s="251"/>
      <c r="B67" s="251"/>
      <c r="C67" s="251"/>
      <c r="D67" s="251"/>
      <c r="E67" s="251"/>
      <c r="F67" s="251"/>
      <c r="G67" s="251"/>
      <c r="H67" s="251"/>
      <c r="I67" s="251"/>
      <c r="J67" s="251"/>
      <c r="K67" s="251"/>
      <c r="L67" s="251"/>
      <c r="M67" s="251"/>
      <c r="N67" s="251"/>
      <c r="O67" s="251"/>
      <c r="P67" s="251"/>
      <c r="Q67" s="251"/>
      <c r="R67" s="251"/>
      <c r="S67" s="251"/>
      <c r="T67" s="251"/>
      <c r="U67" s="251"/>
      <c r="V67" s="251"/>
      <c r="W67" s="251"/>
      <c r="X67" s="251"/>
      <c r="Y67" s="251"/>
      <c r="Z67" s="251"/>
      <c r="AA67" s="251"/>
      <c r="AB67" s="251"/>
      <c r="AC67" s="251"/>
      <c r="AD67" s="251"/>
      <c r="AE67" s="251"/>
    </row>
    <row r="68">
      <c r="A68" s="251"/>
      <c r="B68" s="251"/>
      <c r="C68" s="251"/>
      <c r="D68" s="251"/>
      <c r="E68" s="251"/>
      <c r="F68" s="251"/>
      <c r="G68" s="251"/>
      <c r="H68" s="251"/>
      <c r="I68" s="251"/>
      <c r="J68" s="251"/>
      <c r="K68" s="251"/>
      <c r="L68" s="251"/>
      <c r="M68" s="251"/>
      <c r="N68" s="251"/>
      <c r="O68" s="251"/>
      <c r="P68" s="251"/>
      <c r="Q68" s="251"/>
      <c r="R68" s="251"/>
      <c r="S68" s="251"/>
      <c r="T68" s="251"/>
      <c r="U68" s="251"/>
      <c r="V68" s="251"/>
      <c r="W68" s="251"/>
      <c r="X68" s="251"/>
      <c r="Y68" s="251"/>
      <c r="Z68" s="251"/>
      <c r="AA68" s="251"/>
      <c r="AB68" s="251"/>
      <c r="AC68" s="251"/>
      <c r="AD68" s="251"/>
      <c r="AE68" s="251"/>
    </row>
    <row r="69">
      <c r="A69" s="251"/>
      <c r="B69" s="251"/>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c r="AA69" s="251"/>
      <c r="AB69" s="251"/>
      <c r="AC69" s="251"/>
      <c r="AD69" s="251"/>
      <c r="AE69" s="251"/>
    </row>
    <row r="70">
      <c r="A70" s="251"/>
      <c r="B70" s="251"/>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c r="AA70" s="251"/>
      <c r="AB70" s="251"/>
      <c r="AC70" s="251"/>
      <c r="AD70" s="251"/>
      <c r="AE70" s="251"/>
    </row>
    <row r="71">
      <c r="A71" s="251"/>
      <c r="B71" s="251"/>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c r="AA71" s="251"/>
      <c r="AB71" s="251"/>
      <c r="AC71" s="251"/>
      <c r="AD71" s="251"/>
      <c r="AE71" s="251"/>
    </row>
    <row r="72">
      <c r="A72" s="251"/>
      <c r="B72" s="251"/>
      <c r="C72" s="251"/>
      <c r="D72" s="251"/>
      <c r="E72" s="251"/>
      <c r="F72" s="251"/>
      <c r="G72" s="251"/>
      <c r="H72" s="251"/>
      <c r="I72" s="251"/>
      <c r="J72" s="251"/>
      <c r="K72" s="251"/>
      <c r="L72" s="251"/>
      <c r="M72" s="251"/>
      <c r="N72" s="251"/>
      <c r="O72" s="251"/>
      <c r="P72" s="251"/>
      <c r="Q72" s="251"/>
      <c r="R72" s="251"/>
      <c r="S72" s="251"/>
      <c r="T72" s="251"/>
      <c r="U72" s="251"/>
      <c r="V72" s="251"/>
      <c r="W72" s="251"/>
      <c r="X72" s="251"/>
      <c r="Y72" s="251"/>
      <c r="Z72" s="251"/>
      <c r="AA72" s="251"/>
      <c r="AB72" s="251"/>
      <c r="AC72" s="251"/>
      <c r="AD72" s="251"/>
      <c r="AE72" s="251"/>
    </row>
    <row r="73">
      <c r="A73" s="251"/>
      <c r="B73" s="251"/>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c r="AA73" s="251"/>
      <c r="AB73" s="251"/>
      <c r="AC73" s="251"/>
      <c r="AD73" s="251"/>
      <c r="AE73" s="251"/>
    </row>
    <row r="74">
      <c r="A74" s="251"/>
      <c r="B74" s="251"/>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c r="AA74" s="251"/>
      <c r="AB74" s="251"/>
      <c r="AC74" s="251"/>
      <c r="AD74" s="251"/>
      <c r="AE74" s="251"/>
    </row>
    <row r="75">
      <c r="A75" s="251"/>
      <c r="B75" s="251"/>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c r="AA75" s="251"/>
      <c r="AB75" s="251"/>
      <c r="AC75" s="251"/>
      <c r="AD75" s="251"/>
      <c r="AE75" s="251"/>
    </row>
    <row r="76">
      <c r="A76" s="251"/>
      <c r="B76" s="251"/>
      <c r="C76" s="251"/>
      <c r="D76" s="251"/>
      <c r="E76" s="251"/>
      <c r="F76" s="251"/>
      <c r="G76" s="251"/>
      <c r="H76" s="251"/>
      <c r="I76" s="251"/>
      <c r="J76" s="251"/>
      <c r="K76" s="251"/>
      <c r="L76" s="251"/>
      <c r="M76" s="251"/>
      <c r="N76" s="251"/>
      <c r="O76" s="251"/>
      <c r="P76" s="251"/>
      <c r="Q76" s="251"/>
      <c r="R76" s="251"/>
      <c r="S76" s="251"/>
      <c r="T76" s="251"/>
      <c r="U76" s="251"/>
      <c r="V76" s="251"/>
      <c r="W76" s="251"/>
      <c r="X76" s="251"/>
      <c r="Y76" s="251"/>
      <c r="Z76" s="251"/>
      <c r="AA76" s="251"/>
      <c r="AB76" s="251"/>
      <c r="AC76" s="251"/>
      <c r="AD76" s="251"/>
      <c r="AE76" s="251"/>
    </row>
    <row r="77">
      <c r="A77" s="251"/>
      <c r="B77" s="251"/>
      <c r="C77" s="251"/>
      <c r="D77" s="251"/>
      <c r="E77" s="251"/>
      <c r="F77" s="251"/>
      <c r="G77" s="251"/>
      <c r="H77" s="251"/>
      <c r="I77" s="251"/>
      <c r="J77" s="251"/>
      <c r="K77" s="251"/>
      <c r="L77" s="251"/>
      <c r="M77" s="251"/>
      <c r="N77" s="251"/>
      <c r="O77" s="251"/>
      <c r="P77" s="251"/>
      <c r="Q77" s="251"/>
      <c r="R77" s="251"/>
      <c r="S77" s="251"/>
      <c r="T77" s="251"/>
      <c r="U77" s="251"/>
      <c r="V77" s="251"/>
      <c r="W77" s="251"/>
      <c r="X77" s="251"/>
      <c r="Y77" s="251"/>
      <c r="Z77" s="251"/>
      <c r="AA77" s="251"/>
      <c r="AB77" s="251"/>
      <c r="AC77" s="251"/>
      <c r="AD77" s="251"/>
      <c r="AE77" s="251"/>
    </row>
    <row r="78">
      <c r="A78" s="251"/>
      <c r="B78" s="251"/>
      <c r="C78" s="251"/>
      <c r="D78" s="251"/>
      <c r="E78" s="251"/>
      <c r="F78" s="251"/>
      <c r="G78" s="251"/>
      <c r="H78" s="251"/>
      <c r="I78" s="251"/>
      <c r="J78" s="251"/>
      <c r="K78" s="251"/>
      <c r="L78" s="251"/>
      <c r="M78" s="251"/>
      <c r="N78" s="251"/>
      <c r="O78" s="251"/>
      <c r="P78" s="251"/>
      <c r="Q78" s="251"/>
      <c r="R78" s="251"/>
      <c r="S78" s="251"/>
      <c r="T78" s="251"/>
      <c r="U78" s="251"/>
      <c r="V78" s="251"/>
      <c r="W78" s="251"/>
      <c r="X78" s="251"/>
      <c r="Y78" s="251"/>
      <c r="Z78" s="251"/>
      <c r="AA78" s="251"/>
      <c r="AB78" s="251"/>
      <c r="AC78" s="251"/>
      <c r="AD78" s="251"/>
      <c r="AE78" s="251"/>
    </row>
    <row r="79">
      <c r="A79" s="251"/>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c r="AA79" s="251"/>
      <c r="AB79" s="251"/>
      <c r="AC79" s="251"/>
      <c r="AD79" s="251"/>
      <c r="AE79" s="251"/>
    </row>
    <row r="80">
      <c r="A80" s="251"/>
      <c r="B80" s="251"/>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c r="AA80" s="251"/>
      <c r="AB80" s="251"/>
      <c r="AC80" s="251"/>
      <c r="AD80" s="251"/>
      <c r="AE80" s="251"/>
    </row>
    <row r="81">
      <c r="A81" s="251"/>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row>
    <row r="82">
      <c r="A82" s="251"/>
      <c r="B82" s="251"/>
      <c r="C82" s="251"/>
      <c r="D82" s="251"/>
      <c r="E82" s="251"/>
      <c r="F82" s="251"/>
      <c r="G82" s="251"/>
      <c r="H82" s="251"/>
      <c r="I82" s="251"/>
      <c r="J82" s="251"/>
      <c r="K82" s="251"/>
      <c r="L82" s="251"/>
      <c r="M82" s="251"/>
      <c r="N82" s="251"/>
      <c r="O82" s="251"/>
      <c r="P82" s="251"/>
      <c r="Q82" s="251"/>
      <c r="R82" s="251"/>
      <c r="S82" s="251"/>
      <c r="T82" s="251"/>
      <c r="U82" s="251"/>
      <c r="V82" s="251"/>
      <c r="W82" s="251"/>
      <c r="X82" s="251"/>
      <c r="Y82" s="251"/>
      <c r="Z82" s="251"/>
      <c r="AA82" s="251"/>
      <c r="AB82" s="251"/>
      <c r="AC82" s="251"/>
      <c r="AD82" s="251"/>
      <c r="AE82" s="251"/>
    </row>
    <row r="83">
      <c r="A83" s="251"/>
      <c r="B83" s="251"/>
      <c r="C83" s="251"/>
      <c r="D83" s="251"/>
      <c r="E83" s="251"/>
      <c r="F83" s="251"/>
      <c r="G83" s="251"/>
      <c r="H83" s="251"/>
      <c r="I83" s="251"/>
      <c r="J83" s="251"/>
      <c r="K83" s="251"/>
      <c r="L83" s="251"/>
      <c r="M83" s="251"/>
      <c r="N83" s="251"/>
      <c r="O83" s="251"/>
      <c r="P83" s="251"/>
      <c r="Q83" s="251"/>
      <c r="R83" s="251"/>
      <c r="S83" s="251"/>
      <c r="T83" s="251"/>
      <c r="U83" s="251"/>
      <c r="V83" s="251"/>
      <c r="W83" s="251"/>
      <c r="X83" s="251"/>
      <c r="Y83" s="251"/>
      <c r="Z83" s="251"/>
      <c r="AA83" s="251"/>
      <c r="AB83" s="251"/>
      <c r="AC83" s="251"/>
      <c r="AD83" s="251"/>
      <c r="AE83" s="251"/>
    </row>
    <row r="84">
      <c r="A84" s="251"/>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c r="AA84" s="251"/>
      <c r="AB84" s="251"/>
      <c r="AC84" s="251"/>
      <c r="AD84" s="251"/>
      <c r="AE84" s="251"/>
    </row>
    <row r="85">
      <c r="A85" s="251"/>
      <c r="B85" s="251"/>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c r="AA85" s="251"/>
      <c r="AB85" s="251"/>
      <c r="AC85" s="251"/>
      <c r="AD85" s="251"/>
      <c r="AE85" s="251"/>
    </row>
    <row r="86">
      <c r="A86" s="251"/>
      <c r="B86" s="251"/>
      <c r="C86" s="251"/>
      <c r="D86" s="251"/>
      <c r="E86" s="251"/>
      <c r="F86" s="251"/>
      <c r="G86" s="251"/>
      <c r="H86" s="251"/>
      <c r="I86" s="251"/>
      <c r="J86" s="251"/>
      <c r="K86" s="251"/>
      <c r="L86" s="251"/>
      <c r="M86" s="251"/>
      <c r="N86" s="251"/>
      <c r="O86" s="251"/>
      <c r="P86" s="251"/>
      <c r="Q86" s="251"/>
      <c r="R86" s="251"/>
      <c r="S86" s="251"/>
      <c r="T86" s="251"/>
      <c r="U86" s="251"/>
      <c r="V86" s="251"/>
      <c r="W86" s="251"/>
      <c r="X86" s="251"/>
      <c r="Y86" s="251"/>
      <c r="Z86" s="251"/>
      <c r="AA86" s="251"/>
      <c r="AB86" s="251"/>
      <c r="AC86" s="251"/>
      <c r="AD86" s="251"/>
      <c r="AE86" s="251"/>
    </row>
    <row r="87">
      <c r="A87" s="251"/>
      <c r="B87" s="251"/>
      <c r="C87" s="251"/>
      <c r="D87" s="251"/>
      <c r="E87" s="251"/>
      <c r="F87" s="251"/>
      <c r="G87" s="251"/>
      <c r="H87" s="251"/>
      <c r="I87" s="251"/>
      <c r="J87" s="251"/>
      <c r="K87" s="251"/>
      <c r="L87" s="251"/>
      <c r="M87" s="251"/>
      <c r="N87" s="251"/>
      <c r="O87" s="251"/>
      <c r="P87" s="251"/>
      <c r="Q87" s="251"/>
      <c r="R87" s="251"/>
      <c r="S87" s="251"/>
      <c r="T87" s="251"/>
      <c r="U87" s="251"/>
      <c r="V87" s="251"/>
      <c r="W87" s="251"/>
      <c r="X87" s="251"/>
      <c r="Y87" s="251"/>
      <c r="Z87" s="251"/>
      <c r="AA87" s="251"/>
      <c r="AB87" s="251"/>
      <c r="AC87" s="251"/>
      <c r="AD87" s="251"/>
      <c r="AE87" s="251"/>
    </row>
    <row r="88">
      <c r="A88" s="251"/>
      <c r="B88" s="251"/>
      <c r="C88" s="251"/>
      <c r="D88" s="251"/>
      <c r="E88" s="251"/>
      <c r="F88" s="251"/>
      <c r="G88" s="251"/>
      <c r="H88" s="251"/>
      <c r="I88" s="251"/>
      <c r="J88" s="251"/>
      <c r="K88" s="251"/>
      <c r="L88" s="251"/>
      <c r="M88" s="251"/>
      <c r="N88" s="251"/>
      <c r="O88" s="251"/>
      <c r="P88" s="251"/>
      <c r="Q88" s="251"/>
      <c r="R88" s="251"/>
      <c r="S88" s="251"/>
      <c r="T88" s="251"/>
      <c r="U88" s="251"/>
      <c r="V88" s="251"/>
      <c r="W88" s="251"/>
      <c r="X88" s="251"/>
      <c r="Y88" s="251"/>
      <c r="Z88" s="251"/>
      <c r="AA88" s="251"/>
      <c r="AB88" s="251"/>
      <c r="AC88" s="251"/>
      <c r="AD88" s="251"/>
      <c r="AE88" s="251"/>
    </row>
    <row r="89">
      <c r="A89" s="251"/>
      <c r="B89" s="251"/>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c r="AA89" s="251"/>
      <c r="AB89" s="251"/>
      <c r="AC89" s="251"/>
      <c r="AD89" s="251"/>
      <c r="AE89" s="251"/>
    </row>
    <row r="90">
      <c r="A90" s="251"/>
      <c r="B90" s="251"/>
      <c r="C90" s="251"/>
      <c r="D90" s="251"/>
      <c r="E90" s="251"/>
      <c r="F90" s="251"/>
      <c r="G90" s="251"/>
      <c r="H90" s="251"/>
      <c r="I90" s="251"/>
      <c r="J90" s="251"/>
      <c r="K90" s="251"/>
      <c r="L90" s="251"/>
      <c r="M90" s="251"/>
      <c r="N90" s="251"/>
      <c r="O90" s="251"/>
      <c r="P90" s="251"/>
      <c r="Q90" s="251"/>
      <c r="R90" s="251"/>
      <c r="S90" s="251"/>
      <c r="T90" s="251"/>
      <c r="U90" s="251"/>
      <c r="V90" s="251"/>
      <c r="W90" s="251"/>
      <c r="X90" s="251"/>
      <c r="Y90" s="251"/>
      <c r="Z90" s="251"/>
      <c r="AA90" s="251"/>
      <c r="AB90" s="251"/>
      <c r="AC90" s="251"/>
      <c r="AD90" s="251"/>
      <c r="AE90" s="251"/>
    </row>
    <row r="91">
      <c r="A91" s="251"/>
      <c r="B91" s="251"/>
      <c r="C91" s="251"/>
      <c r="D91" s="251"/>
      <c r="E91" s="251"/>
      <c r="F91" s="251"/>
      <c r="G91" s="251"/>
      <c r="H91" s="251"/>
      <c r="I91" s="251"/>
      <c r="J91" s="251"/>
      <c r="K91" s="251"/>
      <c r="L91" s="251"/>
      <c r="M91" s="251"/>
      <c r="N91" s="251"/>
      <c r="O91" s="251"/>
      <c r="P91" s="251"/>
      <c r="Q91" s="251"/>
      <c r="R91" s="251"/>
      <c r="S91" s="251"/>
      <c r="T91" s="251"/>
      <c r="U91" s="251"/>
      <c r="V91" s="251"/>
      <c r="W91" s="251"/>
      <c r="X91" s="251"/>
      <c r="Y91" s="251"/>
      <c r="Z91" s="251"/>
      <c r="AA91" s="251"/>
      <c r="AB91" s="251"/>
      <c r="AC91" s="251"/>
      <c r="AD91" s="251"/>
      <c r="AE91" s="251"/>
    </row>
    <row r="92">
      <c r="A92" s="251"/>
      <c r="B92" s="251"/>
      <c r="C92" s="251"/>
      <c r="D92" s="251"/>
      <c r="E92" s="251"/>
      <c r="F92" s="251"/>
      <c r="G92" s="251"/>
      <c r="H92" s="251"/>
      <c r="I92" s="251"/>
      <c r="J92" s="251"/>
      <c r="K92" s="251"/>
      <c r="L92" s="251"/>
      <c r="M92" s="251"/>
      <c r="N92" s="251"/>
      <c r="O92" s="251"/>
      <c r="P92" s="251"/>
      <c r="Q92" s="251"/>
      <c r="R92" s="251"/>
      <c r="S92" s="251"/>
      <c r="T92" s="251"/>
      <c r="U92" s="251"/>
      <c r="V92" s="251"/>
      <c r="W92" s="251"/>
      <c r="X92" s="251"/>
      <c r="Y92" s="251"/>
      <c r="Z92" s="251"/>
      <c r="AA92" s="251"/>
      <c r="AB92" s="251"/>
      <c r="AC92" s="251"/>
      <c r="AD92" s="251"/>
      <c r="AE92" s="251"/>
    </row>
    <row r="93">
      <c r="A93" s="251"/>
      <c r="B93" s="251"/>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1"/>
      <c r="AA93" s="251"/>
      <c r="AB93" s="251"/>
      <c r="AC93" s="251"/>
      <c r="AD93" s="251"/>
      <c r="AE93" s="251"/>
    </row>
    <row r="94">
      <c r="A94" s="251"/>
      <c r="B94" s="251"/>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1"/>
      <c r="AA94" s="251"/>
      <c r="AB94" s="251"/>
      <c r="AC94" s="251"/>
      <c r="AD94" s="251"/>
      <c r="AE94" s="251"/>
    </row>
    <row r="95">
      <c r="A95" s="251"/>
      <c r="B95" s="251"/>
      <c r="C95" s="251"/>
      <c r="D95" s="251"/>
      <c r="E95" s="251"/>
      <c r="F95" s="251"/>
      <c r="G95" s="251"/>
      <c r="H95" s="251"/>
      <c r="I95" s="251"/>
      <c r="J95" s="251"/>
      <c r="K95" s="251"/>
      <c r="L95" s="251"/>
      <c r="M95" s="251"/>
      <c r="N95" s="251"/>
      <c r="O95" s="251"/>
      <c r="P95" s="251"/>
      <c r="Q95" s="251"/>
      <c r="R95" s="251"/>
      <c r="S95" s="251"/>
      <c r="T95" s="251"/>
      <c r="U95" s="251"/>
      <c r="V95" s="251"/>
      <c r="W95" s="251"/>
      <c r="X95" s="251"/>
      <c r="Y95" s="251"/>
      <c r="Z95" s="251"/>
      <c r="AA95" s="251"/>
      <c r="AB95" s="251"/>
      <c r="AC95" s="251"/>
      <c r="AD95" s="251"/>
      <c r="AE95" s="251"/>
    </row>
    <row r="96">
      <c r="A96" s="251"/>
      <c r="B96" s="25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251"/>
    </row>
    <row r="97">
      <c r="A97" s="251"/>
      <c r="B97" s="251"/>
      <c r="C97" s="251"/>
      <c r="D97" s="251"/>
      <c r="E97" s="251"/>
      <c r="F97" s="251"/>
      <c r="G97" s="251"/>
      <c r="H97" s="251"/>
      <c r="I97" s="251"/>
      <c r="J97" s="251"/>
      <c r="K97" s="251"/>
      <c r="L97" s="251"/>
      <c r="M97" s="251"/>
      <c r="N97" s="251"/>
      <c r="O97" s="251"/>
      <c r="P97" s="251"/>
      <c r="Q97" s="251"/>
      <c r="R97" s="251"/>
      <c r="S97" s="251"/>
      <c r="T97" s="251"/>
      <c r="U97" s="251"/>
      <c r="V97" s="251"/>
      <c r="W97" s="251"/>
      <c r="X97" s="251"/>
      <c r="Y97" s="251"/>
      <c r="Z97" s="251"/>
      <c r="AA97" s="251"/>
      <c r="AB97" s="251"/>
      <c r="AC97" s="251"/>
      <c r="AD97" s="251"/>
      <c r="AE97" s="251"/>
    </row>
    <row r="98">
      <c r="A98" s="251"/>
      <c r="B98" s="251"/>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c r="AA98" s="251"/>
      <c r="AB98" s="251"/>
      <c r="AC98" s="251"/>
      <c r="AD98" s="251"/>
      <c r="AE98" s="251"/>
    </row>
    <row r="99">
      <c r="A99" s="251"/>
      <c r="B99" s="251"/>
      <c r="C99" s="251"/>
      <c r="D99" s="251"/>
      <c r="E99" s="251"/>
      <c r="F99" s="251"/>
      <c r="G99" s="251"/>
      <c r="H99" s="251"/>
      <c r="I99" s="251"/>
      <c r="J99" s="251"/>
      <c r="K99" s="251"/>
      <c r="L99" s="251"/>
      <c r="M99" s="251"/>
      <c r="N99" s="251"/>
      <c r="O99" s="251"/>
      <c r="P99" s="251"/>
      <c r="Q99" s="251"/>
      <c r="R99" s="251"/>
      <c r="S99" s="251"/>
      <c r="T99" s="251"/>
      <c r="U99" s="251"/>
      <c r="V99" s="251"/>
      <c r="W99" s="251"/>
      <c r="X99" s="251"/>
      <c r="Y99" s="251"/>
      <c r="Z99" s="251"/>
      <c r="AA99" s="251"/>
      <c r="AB99" s="251"/>
      <c r="AC99" s="251"/>
      <c r="AD99" s="251"/>
      <c r="AE99" s="251"/>
    </row>
    <row r="100">
      <c r="A100" s="251"/>
      <c r="B100" s="251"/>
      <c r="C100" s="251"/>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c r="AA100" s="251"/>
      <c r="AB100" s="251"/>
      <c r="AC100" s="251"/>
      <c r="AD100" s="251"/>
      <c r="AE100" s="251"/>
    </row>
    <row r="101">
      <c r="A101" s="251"/>
      <c r="B101" s="251"/>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c r="AA101" s="251"/>
      <c r="AB101" s="251"/>
      <c r="AC101" s="251"/>
      <c r="AD101" s="251"/>
      <c r="AE101" s="251"/>
    </row>
    <row r="102">
      <c r="A102" s="251"/>
      <c r="B102" s="251"/>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c r="AA102" s="251"/>
      <c r="AB102" s="251"/>
      <c r="AC102" s="251"/>
      <c r="AD102" s="251"/>
      <c r="AE102" s="251"/>
    </row>
    <row r="103">
      <c r="A103" s="251"/>
      <c r="B103" s="251"/>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c r="AA103" s="251"/>
      <c r="AB103" s="251"/>
      <c r="AC103" s="251"/>
      <c r="AD103" s="251"/>
      <c r="AE103" s="251"/>
    </row>
    <row r="104">
      <c r="A104" s="251"/>
      <c r="B104" s="251"/>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c r="AA104" s="251"/>
      <c r="AB104" s="251"/>
      <c r="AC104" s="251"/>
      <c r="AD104" s="251"/>
      <c r="AE104" s="251"/>
    </row>
    <row r="105">
      <c r="A105" s="251"/>
      <c r="B105" s="251"/>
      <c r="C105" s="251"/>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c r="AA105" s="251"/>
      <c r="AB105" s="251"/>
      <c r="AC105" s="251"/>
      <c r="AD105" s="251"/>
      <c r="AE105" s="251"/>
    </row>
    <row r="106">
      <c r="A106" s="251"/>
      <c r="B106" s="251"/>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c r="AA106" s="251"/>
      <c r="AB106" s="251"/>
      <c r="AC106" s="251"/>
      <c r="AD106" s="251"/>
      <c r="AE106" s="251"/>
    </row>
    <row r="107">
      <c r="A107" s="251"/>
      <c r="B107" s="251"/>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c r="AA107" s="251"/>
      <c r="AB107" s="251"/>
      <c r="AC107" s="251"/>
      <c r="AD107" s="251"/>
      <c r="AE107" s="251"/>
    </row>
    <row r="108">
      <c r="A108" s="251"/>
      <c r="B108" s="251"/>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c r="AA108" s="251"/>
      <c r="AB108" s="251"/>
      <c r="AC108" s="251"/>
      <c r="AD108" s="251"/>
      <c r="AE108" s="251"/>
    </row>
    <row r="109">
      <c r="A109" s="251"/>
      <c r="B109" s="251"/>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c r="AA109" s="251"/>
      <c r="AB109" s="251"/>
      <c r="AC109" s="251"/>
      <c r="AD109" s="251"/>
      <c r="AE109" s="251"/>
    </row>
    <row r="110">
      <c r="A110" s="251"/>
      <c r="B110" s="251"/>
      <c r="C110" s="251"/>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c r="AA110" s="251"/>
      <c r="AB110" s="251"/>
      <c r="AC110" s="251"/>
      <c r="AD110" s="251"/>
      <c r="AE110" s="251"/>
    </row>
    <row r="111">
      <c r="A111" s="251"/>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c r="AA111" s="251"/>
      <c r="AB111" s="251"/>
      <c r="AC111" s="251"/>
      <c r="AD111" s="251"/>
      <c r="AE111" s="251"/>
    </row>
    <row r="112">
      <c r="A112" s="251"/>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row>
    <row r="113">
      <c r="A113" s="251"/>
      <c r="B113" s="251"/>
      <c r="C113" s="251"/>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c r="AA113" s="251"/>
      <c r="AB113" s="251"/>
      <c r="AC113" s="251"/>
      <c r="AD113" s="251"/>
      <c r="AE113" s="251"/>
    </row>
    <row r="114">
      <c r="A114" s="251"/>
      <c r="B114" s="251"/>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c r="AA114" s="251"/>
      <c r="AB114" s="251"/>
      <c r="AC114" s="251"/>
      <c r="AD114" s="251"/>
      <c r="AE114" s="251"/>
    </row>
    <row r="115">
      <c r="A115" s="251"/>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c r="AA115" s="251"/>
      <c r="AB115" s="251"/>
      <c r="AC115" s="251"/>
      <c r="AD115" s="251"/>
      <c r="AE115" s="251"/>
    </row>
    <row r="116">
      <c r="A116" s="251"/>
      <c r="B116" s="251"/>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c r="AA116" s="251"/>
      <c r="AB116" s="251"/>
      <c r="AC116" s="251"/>
      <c r="AD116" s="251"/>
      <c r="AE116" s="251"/>
    </row>
    <row r="117">
      <c r="A117" s="251"/>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c r="AA117" s="251"/>
      <c r="AB117" s="251"/>
      <c r="AC117" s="251"/>
      <c r="AD117" s="251"/>
      <c r="AE117" s="251"/>
    </row>
    <row r="118">
      <c r="A118" s="251"/>
      <c r="B118" s="251"/>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c r="AA118" s="251"/>
      <c r="AB118" s="251"/>
      <c r="AC118" s="251"/>
      <c r="AD118" s="251"/>
      <c r="AE118" s="251"/>
    </row>
    <row r="119">
      <c r="A119" s="251"/>
      <c r="B119" s="251"/>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c r="AA119" s="251"/>
      <c r="AB119" s="251"/>
      <c r="AC119" s="251"/>
      <c r="AD119" s="251"/>
      <c r="AE119" s="251"/>
    </row>
    <row r="120">
      <c r="A120" s="251"/>
      <c r="B120" s="251"/>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c r="AA120" s="251"/>
      <c r="AB120" s="251"/>
      <c r="AC120" s="251"/>
      <c r="AD120" s="251"/>
      <c r="AE120" s="251"/>
    </row>
    <row r="121">
      <c r="A121" s="251"/>
      <c r="B121" s="251"/>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1"/>
      <c r="Y121" s="251"/>
      <c r="Z121" s="251"/>
      <c r="AA121" s="251"/>
      <c r="AB121" s="251"/>
      <c r="AC121" s="251"/>
      <c r="AD121" s="251"/>
      <c r="AE121" s="251"/>
    </row>
    <row r="122">
      <c r="A122" s="251"/>
      <c r="B122" s="251"/>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c r="AA122" s="251"/>
      <c r="AB122" s="251"/>
      <c r="AC122" s="251"/>
      <c r="AD122" s="251"/>
      <c r="AE122" s="251"/>
    </row>
    <row r="123">
      <c r="A123" s="251"/>
      <c r="B123" s="251"/>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c r="AA123" s="251"/>
      <c r="AB123" s="251"/>
      <c r="AC123" s="251"/>
      <c r="AD123" s="251"/>
      <c r="AE123" s="251"/>
    </row>
    <row r="124">
      <c r="A124" s="251"/>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row>
    <row r="125">
      <c r="A125" s="251"/>
      <c r="B125" s="251"/>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c r="AA125" s="251"/>
      <c r="AB125" s="251"/>
      <c r="AC125" s="251"/>
      <c r="AD125" s="251"/>
      <c r="AE125" s="251"/>
    </row>
    <row r="126">
      <c r="A126" s="251"/>
      <c r="B126" s="251"/>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c r="AA126" s="251"/>
      <c r="AB126" s="251"/>
      <c r="AC126" s="251"/>
      <c r="AD126" s="251"/>
      <c r="AE126" s="251"/>
    </row>
    <row r="127">
      <c r="A127" s="251"/>
      <c r="B127" s="251"/>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c r="AA127" s="251"/>
      <c r="AB127" s="251"/>
      <c r="AC127" s="251"/>
      <c r="AD127" s="251"/>
      <c r="AE127" s="251"/>
    </row>
    <row r="128">
      <c r="A128" s="251"/>
      <c r="B128" s="251"/>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1"/>
      <c r="Y128" s="251"/>
      <c r="Z128" s="251"/>
      <c r="AA128" s="251"/>
      <c r="AB128" s="251"/>
      <c r="AC128" s="251"/>
      <c r="AD128" s="251"/>
      <c r="AE128" s="251"/>
    </row>
    <row r="129">
      <c r="A129" s="251"/>
      <c r="B129" s="251"/>
      <c r="C129" s="251"/>
      <c r="D129" s="251"/>
      <c r="E129" s="251"/>
      <c r="F129" s="251"/>
      <c r="G129" s="251"/>
      <c r="H129" s="251"/>
      <c r="I129" s="251"/>
      <c r="J129" s="251"/>
      <c r="K129" s="251"/>
      <c r="L129" s="251"/>
      <c r="M129" s="251"/>
      <c r="N129" s="251"/>
      <c r="O129" s="251"/>
      <c r="P129" s="251"/>
      <c r="Q129" s="251"/>
      <c r="R129" s="251"/>
      <c r="S129" s="251"/>
      <c r="T129" s="251"/>
      <c r="U129" s="251"/>
      <c r="V129" s="251"/>
      <c r="W129" s="251"/>
      <c r="X129" s="251"/>
      <c r="Y129" s="251"/>
      <c r="Z129" s="251"/>
      <c r="AA129" s="251"/>
      <c r="AB129" s="251"/>
      <c r="AC129" s="251"/>
      <c r="AD129" s="251"/>
      <c r="AE129" s="251"/>
    </row>
    <row r="130">
      <c r="A130" s="251"/>
      <c r="B130" s="251"/>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c r="AA130" s="251"/>
      <c r="AB130" s="251"/>
      <c r="AC130" s="251"/>
      <c r="AD130" s="251"/>
      <c r="AE130" s="251"/>
    </row>
    <row r="131">
      <c r="A131" s="251"/>
      <c r="B131" s="251"/>
      <c r="C131" s="251"/>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c r="AA131" s="251"/>
      <c r="AB131" s="251"/>
      <c r="AC131" s="251"/>
      <c r="AD131" s="251"/>
      <c r="AE131" s="251"/>
    </row>
    <row r="132">
      <c r="A132" s="251"/>
      <c r="B132" s="251"/>
      <c r="C132" s="251"/>
      <c r="D132" s="251"/>
      <c r="E132" s="251"/>
      <c r="F132" s="251"/>
      <c r="G132" s="251"/>
      <c r="H132" s="251"/>
      <c r="I132" s="251"/>
      <c r="J132" s="251"/>
      <c r="K132" s="251"/>
      <c r="L132" s="251"/>
      <c r="M132" s="251"/>
      <c r="N132" s="251"/>
      <c r="O132" s="251"/>
      <c r="P132" s="251"/>
      <c r="Q132" s="251"/>
      <c r="R132" s="251"/>
      <c r="S132" s="251"/>
      <c r="T132" s="251"/>
      <c r="U132" s="251"/>
      <c r="V132" s="251"/>
      <c r="W132" s="251"/>
      <c r="X132" s="251"/>
      <c r="Y132" s="251"/>
      <c r="Z132" s="251"/>
      <c r="AA132" s="251"/>
      <c r="AB132" s="251"/>
      <c r="AC132" s="251"/>
      <c r="AD132" s="251"/>
      <c r="AE132" s="251"/>
    </row>
    <row r="133">
      <c r="A133" s="251"/>
      <c r="B133" s="251"/>
      <c r="C133" s="251"/>
      <c r="D133" s="251"/>
      <c r="E133" s="251"/>
      <c r="F133" s="251"/>
      <c r="G133" s="251"/>
      <c r="H133" s="251"/>
      <c r="I133" s="251"/>
      <c r="J133" s="251"/>
      <c r="K133" s="251"/>
      <c r="L133" s="251"/>
      <c r="M133" s="251"/>
      <c r="N133" s="251"/>
      <c r="O133" s="251"/>
      <c r="P133" s="251"/>
      <c r="Q133" s="251"/>
      <c r="R133" s="251"/>
      <c r="S133" s="251"/>
      <c r="T133" s="251"/>
      <c r="U133" s="251"/>
      <c r="V133" s="251"/>
      <c r="W133" s="251"/>
      <c r="X133" s="251"/>
      <c r="Y133" s="251"/>
      <c r="Z133" s="251"/>
      <c r="AA133" s="251"/>
      <c r="AB133" s="251"/>
      <c r="AC133" s="251"/>
      <c r="AD133" s="251"/>
      <c r="AE133" s="251"/>
    </row>
    <row r="134">
      <c r="A134" s="251"/>
      <c r="B134" s="251"/>
      <c r="C134" s="251"/>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c r="AA134" s="251"/>
      <c r="AB134" s="251"/>
      <c r="AC134" s="251"/>
      <c r="AD134" s="251"/>
      <c r="AE134" s="251"/>
    </row>
    <row r="135">
      <c r="A135" s="251"/>
      <c r="B135" s="251"/>
      <c r="C135" s="251"/>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c r="AA135" s="251"/>
      <c r="AB135" s="251"/>
      <c r="AC135" s="251"/>
      <c r="AD135" s="251"/>
      <c r="AE135" s="251"/>
    </row>
    <row r="136">
      <c r="A136" s="251"/>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c r="AA136" s="251"/>
      <c r="AB136" s="251"/>
      <c r="AC136" s="251"/>
      <c r="AD136" s="251"/>
      <c r="AE136" s="251"/>
    </row>
    <row r="137">
      <c r="A137" s="251"/>
      <c r="B137" s="251"/>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c r="AA137" s="251"/>
      <c r="AB137" s="251"/>
      <c r="AC137" s="251"/>
      <c r="AD137" s="251"/>
      <c r="AE137" s="251"/>
    </row>
    <row r="138">
      <c r="A138" s="251"/>
      <c r="B138" s="25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c r="AA138" s="251"/>
      <c r="AB138" s="251"/>
      <c r="AC138" s="251"/>
      <c r="AD138" s="251"/>
      <c r="AE138" s="251"/>
    </row>
    <row r="139">
      <c r="A139" s="251"/>
      <c r="B139" s="251"/>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1"/>
      <c r="Y139" s="251"/>
      <c r="Z139" s="251"/>
      <c r="AA139" s="251"/>
      <c r="AB139" s="251"/>
      <c r="AC139" s="251"/>
      <c r="AD139" s="251"/>
      <c r="AE139" s="251"/>
    </row>
    <row r="140">
      <c r="A140" s="251"/>
      <c r="B140" s="251"/>
      <c r="C140" s="251"/>
      <c r="D140" s="251"/>
      <c r="E140" s="251"/>
      <c r="F140" s="251"/>
      <c r="G140" s="251"/>
      <c r="H140" s="251"/>
      <c r="I140" s="251"/>
      <c r="J140" s="251"/>
      <c r="K140" s="251"/>
      <c r="L140" s="251"/>
      <c r="M140" s="251"/>
      <c r="N140" s="251"/>
      <c r="O140" s="251"/>
      <c r="P140" s="251"/>
      <c r="Q140" s="251"/>
      <c r="R140" s="251"/>
      <c r="S140" s="251"/>
      <c r="T140" s="251"/>
      <c r="U140" s="251"/>
      <c r="V140" s="251"/>
      <c r="W140" s="251"/>
      <c r="X140" s="251"/>
      <c r="Y140" s="251"/>
      <c r="Z140" s="251"/>
      <c r="AA140" s="251"/>
      <c r="AB140" s="251"/>
      <c r="AC140" s="251"/>
      <c r="AD140" s="251"/>
      <c r="AE140" s="251"/>
    </row>
    <row r="141">
      <c r="A141" s="251"/>
      <c r="B141" s="251"/>
      <c r="C141" s="251"/>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c r="AA141" s="251"/>
      <c r="AB141" s="251"/>
      <c r="AC141" s="251"/>
      <c r="AD141" s="251"/>
      <c r="AE141" s="251"/>
    </row>
    <row r="142">
      <c r="A142" s="251"/>
      <c r="B142" s="251"/>
      <c r="C142" s="251"/>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c r="AA142" s="251"/>
      <c r="AB142" s="251"/>
      <c r="AC142" s="251"/>
      <c r="AD142" s="251"/>
      <c r="AE142" s="251"/>
    </row>
    <row r="143">
      <c r="A143" s="251"/>
      <c r="B143" s="251"/>
      <c r="C143" s="251"/>
      <c r="D143" s="251"/>
      <c r="E143" s="251"/>
      <c r="F143" s="251"/>
      <c r="G143" s="251"/>
      <c r="H143" s="251"/>
      <c r="I143" s="251"/>
      <c r="J143" s="251"/>
      <c r="K143" s="251"/>
      <c r="L143" s="251"/>
      <c r="M143" s="251"/>
      <c r="N143" s="251"/>
      <c r="O143" s="251"/>
      <c r="P143" s="251"/>
      <c r="Q143" s="251"/>
      <c r="R143" s="251"/>
      <c r="S143" s="251"/>
      <c r="T143" s="251"/>
      <c r="U143" s="251"/>
      <c r="V143" s="251"/>
      <c r="W143" s="251"/>
      <c r="X143" s="251"/>
      <c r="Y143" s="251"/>
      <c r="Z143" s="251"/>
      <c r="AA143" s="251"/>
      <c r="AB143" s="251"/>
      <c r="AC143" s="251"/>
      <c r="AD143" s="251"/>
      <c r="AE143" s="251"/>
    </row>
    <row r="144">
      <c r="A144" s="251"/>
      <c r="B144" s="251"/>
      <c r="C144" s="251"/>
      <c r="D144" s="251"/>
      <c r="E144" s="251"/>
      <c r="F144" s="251"/>
      <c r="G144" s="251"/>
      <c r="H144" s="251"/>
      <c r="I144" s="251"/>
      <c r="J144" s="251"/>
      <c r="K144" s="251"/>
      <c r="L144" s="251"/>
      <c r="M144" s="251"/>
      <c r="N144" s="251"/>
      <c r="O144" s="251"/>
      <c r="P144" s="251"/>
      <c r="Q144" s="251"/>
      <c r="R144" s="251"/>
      <c r="S144" s="251"/>
      <c r="T144" s="251"/>
      <c r="U144" s="251"/>
      <c r="V144" s="251"/>
      <c r="W144" s="251"/>
      <c r="X144" s="251"/>
      <c r="Y144" s="251"/>
      <c r="Z144" s="251"/>
      <c r="AA144" s="251"/>
      <c r="AB144" s="251"/>
      <c r="AC144" s="251"/>
      <c r="AD144" s="251"/>
      <c r="AE144" s="251"/>
    </row>
    <row r="145">
      <c r="A145" s="251"/>
      <c r="B145" s="251"/>
      <c r="C145" s="251"/>
      <c r="D145" s="251"/>
      <c r="E145" s="251"/>
      <c r="F145" s="251"/>
      <c r="G145" s="251"/>
      <c r="H145" s="251"/>
      <c r="I145" s="251"/>
      <c r="J145" s="251"/>
      <c r="K145" s="251"/>
      <c r="L145" s="251"/>
      <c r="M145" s="251"/>
      <c r="N145" s="251"/>
      <c r="O145" s="251"/>
      <c r="P145" s="251"/>
      <c r="Q145" s="251"/>
      <c r="R145" s="251"/>
      <c r="S145" s="251"/>
      <c r="T145" s="251"/>
      <c r="U145" s="251"/>
      <c r="V145" s="251"/>
      <c r="W145" s="251"/>
      <c r="X145" s="251"/>
      <c r="Y145" s="251"/>
      <c r="Z145" s="251"/>
      <c r="AA145" s="251"/>
      <c r="AB145" s="251"/>
      <c r="AC145" s="251"/>
      <c r="AD145" s="251"/>
      <c r="AE145" s="251"/>
    </row>
    <row r="146">
      <c r="A146" s="251"/>
      <c r="B146" s="251"/>
      <c r="C146" s="251"/>
      <c r="D146" s="251"/>
      <c r="E146" s="251"/>
      <c r="F146" s="251"/>
      <c r="G146" s="251"/>
      <c r="H146" s="251"/>
      <c r="I146" s="251"/>
      <c r="J146" s="251"/>
      <c r="K146" s="251"/>
      <c r="L146" s="251"/>
      <c r="M146" s="251"/>
      <c r="N146" s="251"/>
      <c r="O146" s="251"/>
      <c r="P146" s="251"/>
      <c r="Q146" s="251"/>
      <c r="R146" s="251"/>
      <c r="S146" s="251"/>
      <c r="T146" s="251"/>
      <c r="U146" s="251"/>
      <c r="V146" s="251"/>
      <c r="W146" s="251"/>
      <c r="X146" s="251"/>
      <c r="Y146" s="251"/>
      <c r="Z146" s="251"/>
      <c r="AA146" s="251"/>
      <c r="AB146" s="251"/>
      <c r="AC146" s="251"/>
      <c r="AD146" s="251"/>
      <c r="AE146" s="251"/>
    </row>
    <row r="147">
      <c r="A147" s="251"/>
      <c r="B147" s="251"/>
      <c r="C147" s="251"/>
      <c r="D147" s="251"/>
      <c r="E147" s="251"/>
      <c r="F147" s="251"/>
      <c r="G147" s="251"/>
      <c r="H147" s="251"/>
      <c r="I147" s="251"/>
      <c r="J147" s="251"/>
      <c r="K147" s="251"/>
      <c r="L147" s="251"/>
      <c r="M147" s="251"/>
      <c r="N147" s="251"/>
      <c r="O147" s="251"/>
      <c r="P147" s="251"/>
      <c r="Q147" s="251"/>
      <c r="R147" s="251"/>
      <c r="S147" s="251"/>
      <c r="T147" s="251"/>
      <c r="U147" s="251"/>
      <c r="V147" s="251"/>
      <c r="W147" s="251"/>
      <c r="X147" s="251"/>
      <c r="Y147" s="251"/>
      <c r="Z147" s="251"/>
      <c r="AA147" s="251"/>
      <c r="AB147" s="251"/>
      <c r="AC147" s="251"/>
      <c r="AD147" s="251"/>
      <c r="AE147" s="251"/>
    </row>
    <row r="148">
      <c r="A148" s="251"/>
      <c r="B148" s="251"/>
      <c r="C148" s="251"/>
      <c r="D148" s="251"/>
      <c r="E148" s="251"/>
      <c r="F148" s="251"/>
      <c r="G148" s="251"/>
      <c r="H148" s="251"/>
      <c r="I148" s="251"/>
      <c r="J148" s="251"/>
      <c r="K148" s="251"/>
      <c r="L148" s="251"/>
      <c r="M148" s="251"/>
      <c r="N148" s="251"/>
      <c r="O148" s="251"/>
      <c r="P148" s="251"/>
      <c r="Q148" s="251"/>
      <c r="R148" s="251"/>
      <c r="S148" s="251"/>
      <c r="T148" s="251"/>
      <c r="U148" s="251"/>
      <c r="V148" s="251"/>
      <c r="W148" s="251"/>
      <c r="X148" s="251"/>
      <c r="Y148" s="251"/>
      <c r="Z148" s="251"/>
      <c r="AA148" s="251"/>
      <c r="AB148" s="251"/>
      <c r="AC148" s="251"/>
      <c r="AD148" s="251"/>
      <c r="AE148" s="251"/>
    </row>
    <row r="149">
      <c r="A149" s="251"/>
      <c r="B149" s="251"/>
      <c r="C149" s="251"/>
      <c r="D149" s="251"/>
      <c r="E149" s="251"/>
      <c r="F149" s="251"/>
      <c r="G149" s="251"/>
      <c r="H149" s="251"/>
      <c r="I149" s="251"/>
      <c r="J149" s="251"/>
      <c r="K149" s="251"/>
      <c r="L149" s="251"/>
      <c r="M149" s="251"/>
      <c r="N149" s="251"/>
      <c r="O149" s="251"/>
      <c r="P149" s="251"/>
      <c r="Q149" s="251"/>
      <c r="R149" s="251"/>
      <c r="S149" s="251"/>
      <c r="T149" s="251"/>
      <c r="U149" s="251"/>
      <c r="V149" s="251"/>
      <c r="W149" s="251"/>
      <c r="X149" s="251"/>
      <c r="Y149" s="251"/>
      <c r="Z149" s="251"/>
      <c r="AA149" s="251"/>
      <c r="AB149" s="251"/>
      <c r="AC149" s="251"/>
      <c r="AD149" s="251"/>
      <c r="AE149" s="251"/>
    </row>
    <row r="150">
      <c r="A150" s="251"/>
      <c r="B150" s="251"/>
      <c r="C150" s="251"/>
      <c r="D150" s="251"/>
      <c r="E150" s="251"/>
      <c r="F150" s="251"/>
      <c r="G150" s="251"/>
      <c r="H150" s="251"/>
      <c r="I150" s="251"/>
      <c r="J150" s="251"/>
      <c r="K150" s="251"/>
      <c r="L150" s="251"/>
      <c r="M150" s="251"/>
      <c r="N150" s="251"/>
      <c r="O150" s="251"/>
      <c r="P150" s="251"/>
      <c r="Q150" s="251"/>
      <c r="R150" s="251"/>
      <c r="S150" s="251"/>
      <c r="T150" s="251"/>
      <c r="U150" s="251"/>
      <c r="V150" s="251"/>
      <c r="W150" s="251"/>
      <c r="X150" s="251"/>
      <c r="Y150" s="251"/>
      <c r="Z150" s="251"/>
      <c r="AA150" s="251"/>
      <c r="AB150" s="251"/>
      <c r="AC150" s="251"/>
      <c r="AD150" s="251"/>
      <c r="AE150" s="251"/>
    </row>
    <row r="151">
      <c r="A151" s="251"/>
      <c r="B151" s="251"/>
      <c r="C151" s="251"/>
      <c r="D151" s="251"/>
      <c r="E151" s="251"/>
      <c r="F151" s="251"/>
      <c r="G151" s="251"/>
      <c r="H151" s="251"/>
      <c r="I151" s="251"/>
      <c r="J151" s="251"/>
      <c r="K151" s="251"/>
      <c r="L151" s="251"/>
      <c r="M151" s="251"/>
      <c r="N151" s="251"/>
      <c r="O151" s="251"/>
      <c r="P151" s="251"/>
      <c r="Q151" s="251"/>
      <c r="R151" s="251"/>
      <c r="S151" s="251"/>
      <c r="T151" s="251"/>
      <c r="U151" s="251"/>
      <c r="V151" s="251"/>
      <c r="W151" s="251"/>
      <c r="X151" s="251"/>
      <c r="Y151" s="251"/>
      <c r="Z151" s="251"/>
      <c r="AA151" s="251"/>
      <c r="AB151" s="251"/>
      <c r="AC151" s="251"/>
      <c r="AD151" s="251"/>
      <c r="AE151" s="251"/>
    </row>
    <row r="152">
      <c r="A152" s="251"/>
      <c r="B152" s="251"/>
      <c r="C152" s="251"/>
      <c r="D152" s="251"/>
      <c r="E152" s="251"/>
      <c r="F152" s="251"/>
      <c r="G152" s="251"/>
      <c r="H152" s="251"/>
      <c r="I152" s="251"/>
      <c r="J152" s="251"/>
      <c r="K152" s="251"/>
      <c r="L152" s="251"/>
      <c r="M152" s="251"/>
      <c r="N152" s="251"/>
      <c r="O152" s="251"/>
      <c r="P152" s="251"/>
      <c r="Q152" s="251"/>
      <c r="R152" s="251"/>
      <c r="S152" s="251"/>
      <c r="T152" s="251"/>
      <c r="U152" s="251"/>
      <c r="V152" s="251"/>
      <c r="W152" s="251"/>
      <c r="X152" s="251"/>
      <c r="Y152" s="251"/>
      <c r="Z152" s="251"/>
      <c r="AA152" s="251"/>
      <c r="AB152" s="251"/>
      <c r="AC152" s="251"/>
      <c r="AD152" s="251"/>
      <c r="AE152" s="251"/>
    </row>
    <row r="153">
      <c r="A153" s="251"/>
      <c r="B153" s="251"/>
      <c r="C153" s="251"/>
      <c r="D153" s="251"/>
      <c r="E153" s="251"/>
      <c r="F153" s="251"/>
      <c r="G153" s="251"/>
      <c r="H153" s="251"/>
      <c r="I153" s="251"/>
      <c r="J153" s="251"/>
      <c r="K153" s="251"/>
      <c r="L153" s="251"/>
      <c r="M153" s="251"/>
      <c r="N153" s="251"/>
      <c r="O153" s="251"/>
      <c r="P153" s="251"/>
      <c r="Q153" s="251"/>
      <c r="R153" s="251"/>
      <c r="S153" s="251"/>
      <c r="T153" s="251"/>
      <c r="U153" s="251"/>
      <c r="V153" s="251"/>
      <c r="W153" s="251"/>
      <c r="X153" s="251"/>
      <c r="Y153" s="251"/>
      <c r="Z153" s="251"/>
      <c r="AA153" s="251"/>
      <c r="AB153" s="251"/>
      <c r="AC153" s="251"/>
      <c r="AD153" s="251"/>
      <c r="AE153" s="251"/>
    </row>
    <row r="154">
      <c r="A154" s="251"/>
      <c r="B154" s="251"/>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c r="AA154" s="251"/>
      <c r="AB154" s="251"/>
      <c r="AC154" s="251"/>
      <c r="AD154" s="251"/>
      <c r="AE154" s="251"/>
    </row>
    <row r="155">
      <c r="A155" s="251"/>
      <c r="B155" s="251"/>
      <c r="C155" s="251"/>
      <c r="D155" s="251"/>
      <c r="E155" s="251"/>
      <c r="F155" s="251"/>
      <c r="G155" s="251"/>
      <c r="H155" s="251"/>
      <c r="I155" s="251"/>
      <c r="J155" s="251"/>
      <c r="K155" s="251"/>
      <c r="L155" s="251"/>
      <c r="M155" s="251"/>
      <c r="N155" s="251"/>
      <c r="O155" s="251"/>
      <c r="P155" s="251"/>
      <c r="Q155" s="251"/>
      <c r="R155" s="251"/>
      <c r="S155" s="251"/>
      <c r="T155" s="251"/>
      <c r="U155" s="251"/>
      <c r="V155" s="251"/>
      <c r="W155" s="251"/>
      <c r="X155" s="251"/>
      <c r="Y155" s="251"/>
      <c r="Z155" s="251"/>
      <c r="AA155" s="251"/>
      <c r="AB155" s="251"/>
      <c r="AC155" s="251"/>
      <c r="AD155" s="251"/>
      <c r="AE155" s="251"/>
    </row>
    <row r="156">
      <c r="A156" s="251"/>
      <c r="B156" s="251"/>
      <c r="C156" s="251"/>
      <c r="D156" s="251"/>
      <c r="E156" s="251"/>
      <c r="F156" s="251"/>
      <c r="G156" s="251"/>
      <c r="H156" s="251"/>
      <c r="I156" s="251"/>
      <c r="J156" s="251"/>
      <c r="K156" s="251"/>
      <c r="L156" s="251"/>
      <c r="M156" s="251"/>
      <c r="N156" s="251"/>
      <c r="O156" s="251"/>
      <c r="P156" s="251"/>
      <c r="Q156" s="251"/>
      <c r="R156" s="251"/>
      <c r="S156" s="251"/>
      <c r="T156" s="251"/>
      <c r="U156" s="251"/>
      <c r="V156" s="251"/>
      <c r="W156" s="251"/>
      <c r="X156" s="251"/>
      <c r="Y156" s="251"/>
      <c r="Z156" s="251"/>
      <c r="AA156" s="251"/>
      <c r="AB156" s="251"/>
      <c r="AC156" s="251"/>
      <c r="AD156" s="251"/>
      <c r="AE156" s="251"/>
    </row>
    <row r="157">
      <c r="A157" s="251"/>
      <c r="B157" s="251"/>
      <c r="C157" s="251"/>
      <c r="D157" s="251"/>
      <c r="E157" s="251"/>
      <c r="F157" s="251"/>
      <c r="G157" s="251"/>
      <c r="H157" s="251"/>
      <c r="I157" s="251"/>
      <c r="J157" s="251"/>
      <c r="K157" s="251"/>
      <c r="L157" s="251"/>
      <c r="M157" s="251"/>
      <c r="N157" s="251"/>
      <c r="O157" s="251"/>
      <c r="P157" s="251"/>
      <c r="Q157" s="251"/>
      <c r="R157" s="251"/>
      <c r="S157" s="251"/>
      <c r="T157" s="251"/>
      <c r="U157" s="251"/>
      <c r="V157" s="251"/>
      <c r="W157" s="251"/>
      <c r="X157" s="251"/>
      <c r="Y157" s="251"/>
      <c r="Z157" s="251"/>
      <c r="AA157" s="251"/>
      <c r="AB157" s="251"/>
      <c r="AC157" s="251"/>
      <c r="AD157" s="251"/>
      <c r="AE157" s="251"/>
    </row>
    <row r="158">
      <c r="A158" s="251"/>
      <c r="B158" s="251"/>
      <c r="C158" s="251"/>
      <c r="D158" s="251"/>
      <c r="E158" s="251"/>
      <c r="F158" s="251"/>
      <c r="G158" s="251"/>
      <c r="H158" s="251"/>
      <c r="I158" s="251"/>
      <c r="J158" s="251"/>
      <c r="K158" s="251"/>
      <c r="L158" s="251"/>
      <c r="M158" s="251"/>
      <c r="N158" s="251"/>
      <c r="O158" s="251"/>
      <c r="P158" s="251"/>
      <c r="Q158" s="251"/>
      <c r="R158" s="251"/>
      <c r="S158" s="251"/>
      <c r="T158" s="251"/>
      <c r="U158" s="251"/>
      <c r="V158" s="251"/>
      <c r="W158" s="251"/>
      <c r="X158" s="251"/>
      <c r="Y158" s="251"/>
      <c r="Z158" s="251"/>
      <c r="AA158" s="251"/>
      <c r="AB158" s="251"/>
      <c r="AC158" s="251"/>
      <c r="AD158" s="251"/>
      <c r="AE158" s="251"/>
    </row>
    <row r="159">
      <c r="A159" s="251"/>
      <c r="B159" s="251"/>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c r="AA159" s="251"/>
      <c r="AB159" s="251"/>
      <c r="AC159" s="251"/>
      <c r="AD159" s="251"/>
      <c r="AE159" s="251"/>
    </row>
    <row r="160">
      <c r="A160" s="251"/>
      <c r="B160" s="251"/>
      <c r="C160" s="251"/>
      <c r="D160" s="251"/>
      <c r="E160" s="251"/>
      <c r="F160" s="251"/>
      <c r="G160" s="251"/>
      <c r="H160" s="251"/>
      <c r="I160" s="251"/>
      <c r="J160" s="251"/>
      <c r="K160" s="251"/>
      <c r="L160" s="251"/>
      <c r="M160" s="251"/>
      <c r="N160" s="251"/>
      <c r="O160" s="251"/>
      <c r="P160" s="251"/>
      <c r="Q160" s="251"/>
      <c r="R160" s="251"/>
      <c r="S160" s="251"/>
      <c r="T160" s="251"/>
      <c r="U160" s="251"/>
      <c r="V160" s="251"/>
      <c r="W160" s="251"/>
      <c r="X160" s="251"/>
      <c r="Y160" s="251"/>
      <c r="Z160" s="251"/>
      <c r="AA160" s="251"/>
      <c r="AB160" s="251"/>
      <c r="AC160" s="251"/>
      <c r="AD160" s="251"/>
      <c r="AE160" s="251"/>
    </row>
    <row r="161">
      <c r="A161" s="251"/>
      <c r="B161" s="251"/>
      <c r="C161" s="251"/>
      <c r="D161" s="251"/>
      <c r="E161" s="251"/>
      <c r="F161" s="251"/>
      <c r="G161" s="251"/>
      <c r="H161" s="251"/>
      <c r="I161" s="251"/>
      <c r="J161" s="251"/>
      <c r="K161" s="251"/>
      <c r="L161" s="251"/>
      <c r="M161" s="251"/>
      <c r="N161" s="251"/>
      <c r="O161" s="251"/>
      <c r="P161" s="251"/>
      <c r="Q161" s="251"/>
      <c r="R161" s="251"/>
      <c r="S161" s="251"/>
      <c r="T161" s="251"/>
      <c r="U161" s="251"/>
      <c r="V161" s="251"/>
      <c r="W161" s="251"/>
      <c r="X161" s="251"/>
      <c r="Y161" s="251"/>
      <c r="Z161" s="251"/>
      <c r="AA161" s="251"/>
      <c r="AB161" s="251"/>
      <c r="AC161" s="251"/>
      <c r="AD161" s="251"/>
      <c r="AE161" s="251"/>
    </row>
    <row r="162">
      <c r="A162" s="251"/>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c r="AA162" s="251"/>
      <c r="AB162" s="251"/>
      <c r="AC162" s="251"/>
      <c r="AD162" s="251"/>
      <c r="AE162" s="251"/>
    </row>
    <row r="163">
      <c r="A163" s="251"/>
      <c r="B163" s="251"/>
      <c r="C163" s="251"/>
      <c r="D163" s="251"/>
      <c r="E163" s="251"/>
      <c r="F163" s="251"/>
      <c r="G163" s="251"/>
      <c r="H163" s="251"/>
      <c r="I163" s="251"/>
      <c r="J163" s="251"/>
      <c r="K163" s="251"/>
      <c r="L163" s="251"/>
      <c r="M163" s="251"/>
      <c r="N163" s="251"/>
      <c r="O163" s="251"/>
      <c r="P163" s="251"/>
      <c r="Q163" s="251"/>
      <c r="R163" s="251"/>
      <c r="S163" s="251"/>
      <c r="T163" s="251"/>
      <c r="U163" s="251"/>
      <c r="V163" s="251"/>
      <c r="W163" s="251"/>
      <c r="X163" s="251"/>
      <c r="Y163" s="251"/>
      <c r="Z163" s="251"/>
      <c r="AA163" s="251"/>
      <c r="AB163" s="251"/>
      <c r="AC163" s="251"/>
      <c r="AD163" s="251"/>
      <c r="AE163" s="251"/>
    </row>
    <row r="164">
      <c r="A164" s="251"/>
      <c r="B164" s="251"/>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1"/>
      <c r="Y164" s="251"/>
      <c r="Z164" s="251"/>
      <c r="AA164" s="251"/>
      <c r="AB164" s="251"/>
      <c r="AC164" s="251"/>
      <c r="AD164" s="251"/>
      <c r="AE164" s="251"/>
    </row>
    <row r="165">
      <c r="A165" s="251"/>
      <c r="B165" s="251"/>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c r="AA165" s="251"/>
      <c r="AB165" s="251"/>
      <c r="AC165" s="251"/>
      <c r="AD165" s="251"/>
      <c r="AE165" s="251"/>
    </row>
    <row r="166">
      <c r="A166" s="251"/>
      <c r="B166" s="251"/>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1"/>
      <c r="Y166" s="251"/>
      <c r="Z166" s="251"/>
      <c r="AA166" s="251"/>
      <c r="AB166" s="251"/>
      <c r="AC166" s="251"/>
      <c r="AD166" s="251"/>
      <c r="AE166" s="251"/>
    </row>
    <row r="167">
      <c r="A167" s="251"/>
      <c r="B167" s="251"/>
      <c r="C167" s="251"/>
      <c r="D167" s="251"/>
      <c r="E167" s="251"/>
      <c r="F167" s="251"/>
      <c r="G167" s="251"/>
      <c r="H167" s="251"/>
      <c r="I167" s="251"/>
      <c r="J167" s="251"/>
      <c r="K167" s="251"/>
      <c r="L167" s="251"/>
      <c r="M167" s="251"/>
      <c r="N167" s="251"/>
      <c r="O167" s="251"/>
      <c r="P167" s="251"/>
      <c r="Q167" s="251"/>
      <c r="R167" s="251"/>
      <c r="S167" s="251"/>
      <c r="T167" s="251"/>
      <c r="U167" s="251"/>
      <c r="V167" s="251"/>
      <c r="W167" s="251"/>
      <c r="X167" s="251"/>
      <c r="Y167" s="251"/>
      <c r="Z167" s="251"/>
      <c r="AA167" s="251"/>
      <c r="AB167" s="251"/>
      <c r="AC167" s="251"/>
      <c r="AD167" s="251"/>
      <c r="AE167" s="251"/>
    </row>
    <row r="168">
      <c r="A168" s="251"/>
      <c r="B168" s="251"/>
      <c r="C168" s="251"/>
      <c r="D168" s="251"/>
      <c r="E168" s="251"/>
      <c r="F168" s="251"/>
      <c r="G168" s="251"/>
      <c r="H168" s="251"/>
      <c r="I168" s="251"/>
      <c r="J168" s="251"/>
      <c r="K168" s="251"/>
      <c r="L168" s="251"/>
      <c r="M168" s="251"/>
      <c r="N168" s="251"/>
      <c r="O168" s="251"/>
      <c r="P168" s="251"/>
      <c r="Q168" s="251"/>
      <c r="R168" s="251"/>
      <c r="S168" s="251"/>
      <c r="T168" s="251"/>
      <c r="U168" s="251"/>
      <c r="V168" s="251"/>
      <c r="W168" s="251"/>
      <c r="X168" s="251"/>
      <c r="Y168" s="251"/>
      <c r="Z168" s="251"/>
      <c r="AA168" s="251"/>
      <c r="AB168" s="251"/>
      <c r="AC168" s="251"/>
      <c r="AD168" s="251"/>
      <c r="AE168" s="251"/>
    </row>
    <row r="169">
      <c r="A169" s="251"/>
      <c r="B169" s="251"/>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c r="AA169" s="251"/>
      <c r="AB169" s="251"/>
      <c r="AC169" s="251"/>
      <c r="AD169" s="251"/>
      <c r="AE169" s="251"/>
    </row>
    <row r="170">
      <c r="A170" s="251"/>
      <c r="B170" s="251"/>
      <c r="C170" s="251"/>
      <c r="D170" s="251"/>
      <c r="E170" s="251"/>
      <c r="F170" s="251"/>
      <c r="G170" s="251"/>
      <c r="H170" s="251"/>
      <c r="I170" s="251"/>
      <c r="J170" s="251"/>
      <c r="K170" s="251"/>
      <c r="L170" s="251"/>
      <c r="M170" s="251"/>
      <c r="N170" s="251"/>
      <c r="O170" s="251"/>
      <c r="P170" s="251"/>
      <c r="Q170" s="251"/>
      <c r="R170" s="251"/>
      <c r="S170" s="251"/>
      <c r="T170" s="251"/>
      <c r="U170" s="251"/>
      <c r="V170" s="251"/>
      <c r="W170" s="251"/>
      <c r="X170" s="251"/>
      <c r="Y170" s="251"/>
      <c r="Z170" s="251"/>
      <c r="AA170" s="251"/>
      <c r="AB170" s="251"/>
      <c r="AC170" s="251"/>
      <c r="AD170" s="251"/>
      <c r="AE170" s="251"/>
    </row>
    <row r="171">
      <c r="A171" s="251"/>
      <c r="B171" s="251"/>
      <c r="C171" s="251"/>
      <c r="D171" s="251"/>
      <c r="E171" s="251"/>
      <c r="F171" s="251"/>
      <c r="G171" s="251"/>
      <c r="H171" s="251"/>
      <c r="I171" s="251"/>
      <c r="J171" s="251"/>
      <c r="K171" s="251"/>
      <c r="L171" s="251"/>
      <c r="M171" s="251"/>
      <c r="N171" s="251"/>
      <c r="O171" s="251"/>
      <c r="P171" s="251"/>
      <c r="Q171" s="251"/>
      <c r="R171" s="251"/>
      <c r="S171" s="251"/>
      <c r="T171" s="251"/>
      <c r="U171" s="251"/>
      <c r="V171" s="251"/>
      <c r="W171" s="251"/>
      <c r="X171" s="251"/>
      <c r="Y171" s="251"/>
      <c r="Z171" s="251"/>
      <c r="AA171" s="251"/>
      <c r="AB171" s="251"/>
      <c r="AC171" s="251"/>
      <c r="AD171" s="251"/>
      <c r="AE171" s="251"/>
    </row>
    <row r="172">
      <c r="A172" s="251"/>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c r="AA172" s="251"/>
      <c r="AB172" s="251"/>
      <c r="AC172" s="251"/>
      <c r="AD172" s="251"/>
      <c r="AE172" s="251"/>
    </row>
    <row r="173">
      <c r="A173" s="251"/>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c r="AA173" s="251"/>
      <c r="AB173" s="251"/>
      <c r="AC173" s="251"/>
      <c r="AD173" s="251"/>
      <c r="AE173" s="251"/>
    </row>
    <row r="174">
      <c r="A174" s="251"/>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251"/>
    </row>
    <row r="175">
      <c r="A175" s="251"/>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c r="AA175" s="251"/>
      <c r="AB175" s="251"/>
      <c r="AC175" s="251"/>
      <c r="AD175" s="251"/>
      <c r="AE175" s="251"/>
    </row>
    <row r="176">
      <c r="A176" s="251"/>
      <c r="B176" s="251"/>
      <c r="C176" s="251"/>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c r="AA176" s="251"/>
      <c r="AB176" s="251"/>
      <c r="AC176" s="251"/>
      <c r="AD176" s="251"/>
      <c r="AE176" s="251"/>
    </row>
    <row r="177">
      <c r="A177" s="251"/>
      <c r="B177" s="251"/>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1"/>
      <c r="Y177" s="251"/>
      <c r="Z177" s="251"/>
      <c r="AA177" s="251"/>
      <c r="AB177" s="251"/>
      <c r="AC177" s="251"/>
      <c r="AD177" s="251"/>
      <c r="AE177" s="251"/>
    </row>
    <row r="178">
      <c r="A178" s="251"/>
      <c r="B178" s="251"/>
      <c r="C178" s="251"/>
      <c r="D178" s="251"/>
      <c r="E178" s="251"/>
      <c r="F178" s="251"/>
      <c r="G178" s="251"/>
      <c r="H178" s="251"/>
      <c r="I178" s="251"/>
      <c r="J178" s="251"/>
      <c r="K178" s="251"/>
      <c r="L178" s="251"/>
      <c r="M178" s="251"/>
      <c r="N178" s="251"/>
      <c r="O178" s="251"/>
      <c r="P178" s="251"/>
      <c r="Q178" s="251"/>
      <c r="R178" s="251"/>
      <c r="S178" s="251"/>
      <c r="T178" s="251"/>
      <c r="U178" s="251"/>
      <c r="V178" s="251"/>
      <c r="W178" s="251"/>
      <c r="X178" s="251"/>
      <c r="Y178" s="251"/>
      <c r="Z178" s="251"/>
      <c r="AA178" s="251"/>
      <c r="AB178" s="251"/>
      <c r="AC178" s="251"/>
      <c r="AD178" s="251"/>
      <c r="AE178" s="251"/>
    </row>
    <row r="179">
      <c r="A179" s="251"/>
      <c r="B179" s="251"/>
      <c r="C179" s="251"/>
      <c r="D179" s="251"/>
      <c r="E179" s="251"/>
      <c r="F179" s="251"/>
      <c r="G179" s="251"/>
      <c r="H179" s="251"/>
      <c r="I179" s="251"/>
      <c r="J179" s="251"/>
      <c r="K179" s="251"/>
      <c r="L179" s="251"/>
      <c r="M179" s="251"/>
      <c r="N179" s="251"/>
      <c r="O179" s="251"/>
      <c r="P179" s="251"/>
      <c r="Q179" s="251"/>
      <c r="R179" s="251"/>
      <c r="S179" s="251"/>
      <c r="T179" s="251"/>
      <c r="U179" s="251"/>
      <c r="V179" s="251"/>
      <c r="W179" s="251"/>
      <c r="X179" s="251"/>
      <c r="Y179" s="251"/>
      <c r="Z179" s="251"/>
      <c r="AA179" s="251"/>
      <c r="AB179" s="251"/>
      <c r="AC179" s="251"/>
      <c r="AD179" s="251"/>
      <c r="AE179" s="251"/>
    </row>
    <row r="180">
      <c r="A180" s="251"/>
      <c r="B180" s="251"/>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c r="AA180" s="251"/>
      <c r="AB180" s="251"/>
      <c r="AC180" s="251"/>
      <c r="AD180" s="251"/>
      <c r="AE180" s="251"/>
    </row>
    <row r="181">
      <c r="A181" s="251"/>
      <c r="B181" s="251"/>
      <c r="C181" s="251"/>
      <c r="D181" s="251"/>
      <c r="E181" s="251"/>
      <c r="F181" s="251"/>
      <c r="G181" s="251"/>
      <c r="H181" s="251"/>
      <c r="I181" s="251"/>
      <c r="J181" s="251"/>
      <c r="K181" s="251"/>
      <c r="L181" s="251"/>
      <c r="M181" s="251"/>
      <c r="N181" s="251"/>
      <c r="O181" s="251"/>
      <c r="P181" s="251"/>
      <c r="Q181" s="251"/>
      <c r="R181" s="251"/>
      <c r="S181" s="251"/>
      <c r="T181" s="251"/>
      <c r="U181" s="251"/>
      <c r="V181" s="251"/>
      <c r="W181" s="251"/>
      <c r="X181" s="251"/>
      <c r="Y181" s="251"/>
      <c r="Z181" s="251"/>
      <c r="AA181" s="251"/>
      <c r="AB181" s="251"/>
      <c r="AC181" s="251"/>
      <c r="AD181" s="251"/>
      <c r="AE181" s="251"/>
    </row>
    <row r="182">
      <c r="A182" s="251"/>
      <c r="B182" s="251"/>
      <c r="C182" s="251"/>
      <c r="D182" s="251"/>
      <c r="E182" s="251"/>
      <c r="F182" s="251"/>
      <c r="G182" s="251"/>
      <c r="H182" s="251"/>
      <c r="I182" s="251"/>
      <c r="J182" s="251"/>
      <c r="K182" s="251"/>
      <c r="L182" s="251"/>
      <c r="M182" s="251"/>
      <c r="N182" s="251"/>
      <c r="O182" s="251"/>
      <c r="P182" s="251"/>
      <c r="Q182" s="251"/>
      <c r="R182" s="251"/>
      <c r="S182" s="251"/>
      <c r="T182" s="251"/>
      <c r="U182" s="251"/>
      <c r="V182" s="251"/>
      <c r="W182" s="251"/>
      <c r="X182" s="251"/>
      <c r="Y182" s="251"/>
      <c r="Z182" s="251"/>
      <c r="AA182" s="251"/>
      <c r="AB182" s="251"/>
      <c r="AC182" s="251"/>
      <c r="AD182" s="251"/>
      <c r="AE182" s="251"/>
    </row>
    <row r="183">
      <c r="A183" s="251"/>
      <c r="B183" s="251"/>
      <c r="C183" s="251"/>
      <c r="D183" s="251"/>
      <c r="E183" s="251"/>
      <c r="F183" s="251"/>
      <c r="G183" s="251"/>
      <c r="H183" s="251"/>
      <c r="I183" s="251"/>
      <c r="J183" s="251"/>
      <c r="K183" s="251"/>
      <c r="L183" s="251"/>
      <c r="M183" s="251"/>
      <c r="N183" s="251"/>
      <c r="O183" s="251"/>
      <c r="P183" s="251"/>
      <c r="Q183" s="251"/>
      <c r="R183" s="251"/>
      <c r="S183" s="251"/>
      <c r="T183" s="251"/>
      <c r="U183" s="251"/>
      <c r="V183" s="251"/>
      <c r="W183" s="251"/>
      <c r="X183" s="251"/>
      <c r="Y183" s="251"/>
      <c r="Z183" s="251"/>
      <c r="AA183" s="251"/>
      <c r="AB183" s="251"/>
      <c r="AC183" s="251"/>
      <c r="AD183" s="251"/>
      <c r="AE183" s="251"/>
    </row>
    <row r="184">
      <c r="A184" s="251"/>
      <c r="B184" s="251"/>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1"/>
      <c r="Y184" s="251"/>
      <c r="Z184" s="251"/>
      <c r="AA184" s="251"/>
      <c r="AB184" s="251"/>
      <c r="AC184" s="251"/>
      <c r="AD184" s="251"/>
      <c r="AE184" s="251"/>
    </row>
    <row r="185">
      <c r="A185" s="251"/>
      <c r="B185" s="251"/>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1"/>
      <c r="Y185" s="251"/>
      <c r="Z185" s="251"/>
      <c r="AA185" s="251"/>
      <c r="AB185" s="251"/>
      <c r="AC185" s="251"/>
      <c r="AD185" s="251"/>
      <c r="AE185" s="251"/>
    </row>
    <row r="186">
      <c r="A186" s="251"/>
      <c r="B186" s="251"/>
      <c r="C186" s="251"/>
      <c r="D186" s="251"/>
      <c r="E186" s="251"/>
      <c r="F186" s="251"/>
      <c r="G186" s="251"/>
      <c r="H186" s="251"/>
      <c r="I186" s="251"/>
      <c r="J186" s="251"/>
      <c r="K186" s="251"/>
      <c r="L186" s="251"/>
      <c r="M186" s="251"/>
      <c r="N186" s="251"/>
      <c r="O186" s="251"/>
      <c r="P186" s="251"/>
      <c r="Q186" s="251"/>
      <c r="R186" s="251"/>
      <c r="S186" s="251"/>
      <c r="T186" s="251"/>
      <c r="U186" s="251"/>
      <c r="V186" s="251"/>
      <c r="W186" s="251"/>
      <c r="X186" s="251"/>
      <c r="Y186" s="251"/>
      <c r="Z186" s="251"/>
      <c r="AA186" s="251"/>
      <c r="AB186" s="251"/>
      <c r="AC186" s="251"/>
      <c r="AD186" s="251"/>
      <c r="AE186" s="251"/>
    </row>
    <row r="187">
      <c r="A187" s="251"/>
      <c r="B187" s="251"/>
      <c r="C187" s="251"/>
      <c r="D187" s="251"/>
      <c r="E187" s="251"/>
      <c r="F187" s="251"/>
      <c r="G187" s="251"/>
      <c r="H187" s="251"/>
      <c r="I187" s="251"/>
      <c r="J187" s="251"/>
      <c r="K187" s="251"/>
      <c r="L187" s="251"/>
      <c r="M187" s="251"/>
      <c r="N187" s="251"/>
      <c r="O187" s="251"/>
      <c r="P187" s="251"/>
      <c r="Q187" s="251"/>
      <c r="R187" s="251"/>
      <c r="S187" s="251"/>
      <c r="T187" s="251"/>
      <c r="U187" s="251"/>
      <c r="V187" s="251"/>
      <c r="W187" s="251"/>
      <c r="X187" s="251"/>
      <c r="Y187" s="251"/>
      <c r="Z187" s="251"/>
      <c r="AA187" s="251"/>
      <c r="AB187" s="251"/>
      <c r="AC187" s="251"/>
      <c r="AD187" s="251"/>
      <c r="AE187" s="251"/>
    </row>
    <row r="188">
      <c r="A188" s="251"/>
      <c r="B188" s="251"/>
      <c r="C188" s="251"/>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c r="AA188" s="251"/>
      <c r="AB188" s="251"/>
      <c r="AC188" s="251"/>
      <c r="AD188" s="251"/>
      <c r="AE188" s="251"/>
    </row>
    <row r="189">
      <c r="A189" s="251"/>
      <c r="B189" s="251"/>
      <c r="C189" s="251"/>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c r="AA189" s="251"/>
      <c r="AB189" s="251"/>
      <c r="AC189" s="251"/>
      <c r="AD189" s="251"/>
      <c r="AE189" s="251"/>
    </row>
    <row r="190">
      <c r="A190" s="251"/>
      <c r="B190" s="251"/>
      <c r="C190" s="251"/>
      <c r="D190" s="251"/>
      <c r="E190" s="251"/>
      <c r="F190" s="251"/>
      <c r="G190" s="251"/>
      <c r="H190" s="251"/>
      <c r="I190" s="251"/>
      <c r="J190" s="251"/>
      <c r="K190" s="251"/>
      <c r="L190" s="251"/>
      <c r="M190" s="251"/>
      <c r="N190" s="251"/>
      <c r="O190" s="251"/>
      <c r="P190" s="251"/>
      <c r="Q190" s="251"/>
      <c r="R190" s="251"/>
      <c r="S190" s="251"/>
      <c r="T190" s="251"/>
      <c r="U190" s="251"/>
      <c r="V190" s="251"/>
      <c r="W190" s="251"/>
      <c r="X190" s="251"/>
      <c r="Y190" s="251"/>
      <c r="Z190" s="251"/>
      <c r="AA190" s="251"/>
      <c r="AB190" s="251"/>
      <c r="AC190" s="251"/>
      <c r="AD190" s="251"/>
      <c r="AE190" s="251"/>
    </row>
    <row r="191">
      <c r="A191" s="251"/>
      <c r="B191" s="251"/>
      <c r="C191" s="251"/>
      <c r="D191" s="251"/>
      <c r="E191" s="251"/>
      <c r="F191" s="251"/>
      <c r="G191" s="251"/>
      <c r="H191" s="251"/>
      <c r="I191" s="251"/>
      <c r="J191" s="251"/>
      <c r="K191" s="251"/>
      <c r="L191" s="251"/>
      <c r="M191" s="251"/>
      <c r="N191" s="251"/>
      <c r="O191" s="251"/>
      <c r="P191" s="251"/>
      <c r="Q191" s="251"/>
      <c r="R191" s="251"/>
      <c r="S191" s="251"/>
      <c r="T191" s="251"/>
      <c r="U191" s="251"/>
      <c r="V191" s="251"/>
      <c r="W191" s="251"/>
      <c r="X191" s="251"/>
      <c r="Y191" s="251"/>
      <c r="Z191" s="251"/>
      <c r="AA191" s="251"/>
      <c r="AB191" s="251"/>
      <c r="AC191" s="251"/>
      <c r="AD191" s="251"/>
      <c r="AE191" s="251"/>
    </row>
    <row r="192">
      <c r="A192" s="251"/>
      <c r="B192" s="251"/>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c r="AA192" s="251"/>
      <c r="AB192" s="251"/>
      <c r="AC192" s="251"/>
      <c r="AD192" s="251"/>
      <c r="AE192" s="251"/>
    </row>
    <row r="193">
      <c r="A193" s="251"/>
      <c r="B193" s="251"/>
      <c r="C193" s="251"/>
      <c r="D193" s="251"/>
      <c r="E193" s="251"/>
      <c r="F193" s="251"/>
      <c r="G193" s="251"/>
      <c r="H193" s="251"/>
      <c r="I193" s="251"/>
      <c r="J193" s="251"/>
      <c r="K193" s="251"/>
      <c r="L193" s="251"/>
      <c r="M193" s="251"/>
      <c r="N193" s="251"/>
      <c r="O193" s="251"/>
      <c r="P193" s="251"/>
      <c r="Q193" s="251"/>
      <c r="R193" s="251"/>
      <c r="S193" s="251"/>
      <c r="T193" s="251"/>
      <c r="U193" s="251"/>
      <c r="V193" s="251"/>
      <c r="W193" s="251"/>
      <c r="X193" s="251"/>
      <c r="Y193" s="251"/>
      <c r="Z193" s="251"/>
      <c r="AA193" s="251"/>
      <c r="AB193" s="251"/>
      <c r="AC193" s="251"/>
      <c r="AD193" s="251"/>
      <c r="AE193" s="251"/>
    </row>
    <row r="194">
      <c r="A194" s="251"/>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c r="AA194" s="251"/>
      <c r="AB194" s="251"/>
      <c r="AC194" s="251"/>
      <c r="AD194" s="251"/>
      <c r="AE194" s="251"/>
    </row>
    <row r="195">
      <c r="A195" s="251"/>
      <c r="B195" s="251"/>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c r="AA195" s="251"/>
      <c r="AB195" s="251"/>
      <c r="AC195" s="251"/>
      <c r="AD195" s="251"/>
      <c r="AE195" s="251"/>
    </row>
    <row r="196">
      <c r="A196" s="251"/>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c r="AA196" s="251"/>
      <c r="AB196" s="251"/>
      <c r="AC196" s="251"/>
      <c r="AD196" s="251"/>
      <c r="AE196" s="251"/>
    </row>
    <row r="197">
      <c r="A197" s="251"/>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c r="AA197" s="251"/>
      <c r="AB197" s="251"/>
      <c r="AC197" s="251"/>
      <c r="AD197" s="251"/>
      <c r="AE197" s="251"/>
    </row>
    <row r="198">
      <c r="A198" s="251"/>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row>
    <row r="199">
      <c r="A199" s="251"/>
      <c r="B199" s="251"/>
      <c r="C199" s="251"/>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c r="AA199" s="251"/>
      <c r="AB199" s="251"/>
      <c r="AC199" s="251"/>
      <c r="AD199" s="251"/>
      <c r="AE199" s="251"/>
    </row>
    <row r="200">
      <c r="A200" s="251"/>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c r="AA200" s="251"/>
      <c r="AB200" s="251"/>
      <c r="AC200" s="251"/>
      <c r="AD200" s="251"/>
      <c r="AE200" s="251"/>
    </row>
    <row r="20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c r="AA201" s="252"/>
      <c r="AB201" s="252"/>
      <c r="AC201" s="252"/>
      <c r="AD201" s="252"/>
      <c r="AE201" s="252"/>
    </row>
    <row r="202">
      <c r="A202" s="251" t="str">
        <f>IFERROR(__xludf.DUMMYFUNCTION("IMPORTRANGE(""https://docs.google.com/spreadsheets/d/1OWqz0Kj63DvuK16jiKGSn_Hv_N2mbyV2QAdHjKdcrpw"", ""'Poke Data'!$A$2:$AE"")"),"Bulbasaur")</f>
        <v>Bulbasaur</v>
      </c>
      <c r="B202" s="251" t="str">
        <f>IFERROR(__xludf.DUMMYFUNCTION("""COMPUTED_VALUE"""),"Grass")</f>
        <v>Grass</v>
      </c>
      <c r="C202" s="251" t="str">
        <f>IFERROR(__xludf.DUMMYFUNCTION("""COMPUTED_VALUE"""),"Poison")</f>
        <v>Poison</v>
      </c>
      <c r="D202" s="251">
        <f>IFERROR(__xludf.DUMMYFUNCTION("""COMPUTED_VALUE"""),5.0)</f>
        <v>5</v>
      </c>
      <c r="E202" s="251">
        <f>IFERROR(__xludf.DUMMYFUNCTION("""COMPUTED_VALUE"""),5.0)</f>
        <v>5</v>
      </c>
      <c r="F202" s="251">
        <f>IFERROR(__xludf.DUMMYFUNCTION("""COMPUTED_VALUE"""),5.0)</f>
        <v>5</v>
      </c>
      <c r="G202" s="251">
        <f>IFERROR(__xludf.DUMMYFUNCTION("""COMPUTED_VALUE"""),7.0)</f>
        <v>7</v>
      </c>
      <c r="H202" s="251">
        <f>IFERROR(__xludf.DUMMYFUNCTION("""COMPUTED_VALUE"""),7.0)</f>
        <v>7</v>
      </c>
      <c r="I202" s="251">
        <f>IFERROR(__xludf.DUMMYFUNCTION("""COMPUTED_VALUE"""),5.0)</f>
        <v>5</v>
      </c>
      <c r="J202" s="251">
        <f>IFERROR(__xludf.DUMMYFUNCTION("""COMPUTED_VALUE"""),2.0)</f>
        <v>2</v>
      </c>
      <c r="K202" s="251" t="str">
        <f>IFERROR(__xludf.DUMMYFUNCTION("""COMPUTED_VALUE"""),"Small")</f>
        <v>Small</v>
      </c>
      <c r="L202" s="251">
        <f>IFERROR(__xludf.DUMMYFUNCTION("""COMPUTED_VALUE"""),2.0)</f>
        <v>2</v>
      </c>
      <c r="M202" s="251" t="str">
        <f>IFERROR(__xludf.DUMMYFUNCTION("""COMPUTED_VALUE"""),"Grasslands, Forest")</f>
        <v>Grasslands, Forest</v>
      </c>
      <c r="N202" s="251" t="str">
        <f>IFERROR(__xludf.DUMMYFUNCTION("""COMPUTED_VALUE"""),"--")</f>
        <v>--</v>
      </c>
      <c r="O202" s="251" t="str">
        <f>IFERROR(__xludf.DUMMYFUNCTION("""COMPUTED_VALUE"""),"--")</f>
        <v>--</v>
      </c>
      <c r="P202" s="251" t="str">
        <f>IFERROR(__xludf.DUMMYFUNCTION("""COMPUTED_VALUE"""),"--")</f>
        <v>--</v>
      </c>
      <c r="Q202" s="251" t="str">
        <f>IFERROR(__xludf.DUMMYFUNCTION("""COMPUTED_VALUE"""),"--")</f>
        <v>--</v>
      </c>
      <c r="R202" s="251" t="str">
        <f>IFERROR(__xludf.DUMMYFUNCTION("""COMPUTED_VALUE"""),"Threaded")</f>
        <v>Threaded</v>
      </c>
      <c r="S202" s="251" t="str">
        <f>IFERROR(__xludf.DUMMYFUNCTION("""COMPUTED_VALUE"""),"Underdog")</f>
        <v>Underdog</v>
      </c>
      <c r="T202" s="251" t="str">
        <f>IFERROR(__xludf.DUMMYFUNCTION("""COMPUTED_VALUE"""),"--")</f>
        <v>--</v>
      </c>
      <c r="U202" s="251" t="str">
        <f>IFERROR(__xludf.DUMMYFUNCTION("""COMPUTED_VALUE"""),"--")</f>
        <v>--</v>
      </c>
      <c r="V202" s="251" t="str">
        <f>IFERROR(__xludf.DUMMYFUNCTION("""COMPUTED_VALUE"""),"Alluring")</f>
        <v>Alluring</v>
      </c>
      <c r="W202" s="251" t="str">
        <f>IFERROR(__xludf.DUMMYFUNCTION("""COMPUTED_VALUE"""),"--")</f>
        <v>--</v>
      </c>
      <c r="X202" s="251" t="str">
        <f>IFERROR(__xludf.DUMMYFUNCTION("""COMPUTED_VALUE"""),"--")</f>
        <v>--</v>
      </c>
      <c r="Y202" s="251" t="str">
        <f>IFERROR(__xludf.DUMMYFUNCTION("""COMPUTED_VALUE"""),"--")</f>
        <v>--</v>
      </c>
      <c r="Z202" s="251" t="str">
        <f>IFERROR(__xludf.DUMMYFUNCTION("""COMPUTED_VALUE"""),"--")</f>
        <v>--</v>
      </c>
      <c r="AA202" s="251" t="str">
        <f>IFERROR(__xludf.DUMMYFUNCTION("""COMPUTED_VALUE"""),"--")</f>
        <v>--</v>
      </c>
      <c r="AB202" s="251" t="str">
        <f>IFERROR(__xludf.DUMMYFUNCTION("""COMPUTED_VALUE"""),"--")</f>
        <v>--</v>
      </c>
      <c r="AC202" s="251" t="str">
        <f>IFERROR(__xludf.DUMMYFUNCTION("""COMPUTED_VALUE"""),"--")</f>
        <v>--</v>
      </c>
      <c r="AD202" s="251">
        <f>IFERROR(__xludf.DUMMYFUNCTION("""COMPUTED_VALUE"""),1.0)</f>
        <v>1</v>
      </c>
      <c r="AE202" s="251" t="str">
        <f>IFERROR(__xludf.DUMMYFUNCTION("""COMPUTED_VALUE"""),"Phototroph")</f>
        <v>Phototroph</v>
      </c>
    </row>
    <row r="203">
      <c r="A203" s="251" t="str">
        <f>IFERROR(__xludf.DUMMYFUNCTION("""COMPUTED_VALUE"""),"Ivysaur")</f>
        <v>Ivysaur</v>
      </c>
      <c r="B203" s="251" t="str">
        <f>IFERROR(__xludf.DUMMYFUNCTION("""COMPUTED_VALUE"""),"Grass")</f>
        <v>Grass</v>
      </c>
      <c r="C203" s="251" t="str">
        <f>IFERROR(__xludf.DUMMYFUNCTION("""COMPUTED_VALUE"""),"Poison")</f>
        <v>Poison</v>
      </c>
      <c r="D203" s="251">
        <f>IFERROR(__xludf.DUMMYFUNCTION("""COMPUTED_VALUE"""),6.0)</f>
        <v>6</v>
      </c>
      <c r="E203" s="251">
        <f>IFERROR(__xludf.DUMMYFUNCTION("""COMPUTED_VALUE"""),6.0)</f>
        <v>6</v>
      </c>
      <c r="F203" s="251">
        <f>IFERROR(__xludf.DUMMYFUNCTION("""COMPUTED_VALUE"""),6.0)</f>
        <v>6</v>
      </c>
      <c r="G203" s="251">
        <f>IFERROR(__xludf.DUMMYFUNCTION("""COMPUTED_VALUE"""),8.0)</f>
        <v>8</v>
      </c>
      <c r="H203" s="251">
        <f>IFERROR(__xludf.DUMMYFUNCTION("""COMPUTED_VALUE"""),8.0)</f>
        <v>8</v>
      </c>
      <c r="I203" s="251">
        <f>IFERROR(__xludf.DUMMYFUNCTION("""COMPUTED_VALUE"""),6.0)</f>
        <v>6</v>
      </c>
      <c r="J203" s="251">
        <f>IFERROR(__xludf.DUMMYFUNCTION("""COMPUTED_VALUE"""),3.0)</f>
        <v>3</v>
      </c>
      <c r="K203" s="251" t="str">
        <f>IFERROR(__xludf.DUMMYFUNCTION("""COMPUTED_VALUE"""),"Medium")</f>
        <v>Medium</v>
      </c>
      <c r="L203" s="251">
        <f>IFERROR(__xludf.DUMMYFUNCTION("""COMPUTED_VALUE"""),2.0)</f>
        <v>2</v>
      </c>
      <c r="M203" s="251" t="str">
        <f>IFERROR(__xludf.DUMMYFUNCTION("""COMPUTED_VALUE"""),"Grasslands, Forest")</f>
        <v>Grasslands, Forest</v>
      </c>
      <c r="N203" s="251" t="str">
        <f>IFERROR(__xludf.DUMMYFUNCTION("""COMPUTED_VALUE"""),"--")</f>
        <v>--</v>
      </c>
      <c r="O203" s="251" t="str">
        <f>IFERROR(__xludf.DUMMYFUNCTION("""COMPUTED_VALUE"""),"--")</f>
        <v>--</v>
      </c>
      <c r="P203" s="251" t="str">
        <f>IFERROR(__xludf.DUMMYFUNCTION("""COMPUTED_VALUE"""),"--")</f>
        <v>--</v>
      </c>
      <c r="Q203" s="251" t="str">
        <f>IFERROR(__xludf.DUMMYFUNCTION("""COMPUTED_VALUE"""),"--")</f>
        <v>--</v>
      </c>
      <c r="R203" s="251" t="str">
        <f>IFERROR(__xludf.DUMMYFUNCTION("""COMPUTED_VALUE"""),"Threaded")</f>
        <v>Threaded</v>
      </c>
      <c r="S203" s="251" t="str">
        <f>IFERROR(__xludf.DUMMYFUNCTION("""COMPUTED_VALUE"""),"Underdog")</f>
        <v>Underdog</v>
      </c>
      <c r="T203" s="251" t="str">
        <f>IFERROR(__xludf.DUMMYFUNCTION("""COMPUTED_VALUE"""),"--")</f>
        <v>--</v>
      </c>
      <c r="U203" s="251" t="str">
        <f>IFERROR(__xludf.DUMMYFUNCTION("""COMPUTED_VALUE"""),"--")</f>
        <v>--</v>
      </c>
      <c r="V203" s="251" t="str">
        <f>IFERROR(__xludf.DUMMYFUNCTION("""COMPUTED_VALUE"""),"Alluring")</f>
        <v>Alluring</v>
      </c>
      <c r="W203" s="251" t="str">
        <f>IFERROR(__xludf.DUMMYFUNCTION("""COMPUTED_VALUE"""),"--")</f>
        <v>--</v>
      </c>
      <c r="X203" s="251" t="str">
        <f>IFERROR(__xludf.DUMMYFUNCTION("""COMPUTED_VALUE"""),"--")</f>
        <v>--</v>
      </c>
      <c r="Y203" s="251" t="str">
        <f>IFERROR(__xludf.DUMMYFUNCTION("""COMPUTED_VALUE"""),"--")</f>
        <v>--</v>
      </c>
      <c r="Z203" s="251" t="str">
        <f>IFERROR(__xludf.DUMMYFUNCTION("""COMPUTED_VALUE"""),"--")</f>
        <v>--</v>
      </c>
      <c r="AA203" s="251" t="str">
        <f>IFERROR(__xludf.DUMMYFUNCTION("""COMPUTED_VALUE"""),"--")</f>
        <v>--</v>
      </c>
      <c r="AB203" s="251" t="str">
        <f>IFERROR(__xludf.DUMMYFUNCTION("""COMPUTED_VALUE"""),"--")</f>
        <v>--</v>
      </c>
      <c r="AC203" s="251" t="str">
        <f>IFERROR(__xludf.DUMMYFUNCTION("""COMPUTED_VALUE"""),"--")</f>
        <v>--</v>
      </c>
      <c r="AD203" s="251">
        <f>IFERROR(__xludf.DUMMYFUNCTION("""COMPUTED_VALUE"""),2.0)</f>
        <v>2</v>
      </c>
      <c r="AE203" s="251" t="str">
        <f>IFERROR(__xludf.DUMMYFUNCTION("""COMPUTED_VALUE"""),"Phototroph")</f>
        <v>Phototroph</v>
      </c>
    </row>
    <row r="204">
      <c r="A204" s="251" t="str">
        <f>IFERROR(__xludf.DUMMYFUNCTION("""COMPUTED_VALUE"""),"Venusaur")</f>
        <v>Venusaur</v>
      </c>
      <c r="B204" s="251" t="str">
        <f>IFERROR(__xludf.DUMMYFUNCTION("""COMPUTED_VALUE"""),"Grass")</f>
        <v>Grass</v>
      </c>
      <c r="C204" s="251" t="str">
        <f>IFERROR(__xludf.DUMMYFUNCTION("""COMPUTED_VALUE"""),"Poison")</f>
        <v>Poison</v>
      </c>
      <c r="D204" s="251">
        <f>IFERROR(__xludf.DUMMYFUNCTION("""COMPUTED_VALUE"""),8.0)</f>
        <v>8</v>
      </c>
      <c r="E204" s="251">
        <f>IFERROR(__xludf.DUMMYFUNCTION("""COMPUTED_VALUE"""),8.0)</f>
        <v>8</v>
      </c>
      <c r="F204" s="251">
        <f>IFERROR(__xludf.DUMMYFUNCTION("""COMPUTED_VALUE"""),8.0)</f>
        <v>8</v>
      </c>
      <c r="G204" s="251">
        <f>IFERROR(__xludf.DUMMYFUNCTION("""COMPUTED_VALUE"""),10.0)</f>
        <v>10</v>
      </c>
      <c r="H204" s="251">
        <f>IFERROR(__xludf.DUMMYFUNCTION("""COMPUTED_VALUE"""),10.0)</f>
        <v>10</v>
      </c>
      <c r="I204" s="251">
        <f>IFERROR(__xludf.DUMMYFUNCTION("""COMPUTED_VALUE"""),8.0)</f>
        <v>8</v>
      </c>
      <c r="J204" s="251">
        <f>IFERROR(__xludf.DUMMYFUNCTION("""COMPUTED_VALUE"""),8.0)</f>
        <v>8</v>
      </c>
      <c r="K204" s="251" t="str">
        <f>IFERROR(__xludf.DUMMYFUNCTION("""COMPUTED_VALUE"""),"Large")</f>
        <v>Large</v>
      </c>
      <c r="L204" s="251">
        <f>IFERROR(__xludf.DUMMYFUNCTION("""COMPUTED_VALUE"""),5.0)</f>
        <v>5</v>
      </c>
      <c r="M204" s="251" t="str">
        <f>IFERROR(__xludf.DUMMYFUNCTION("""COMPUTED_VALUE"""),"Grasslands, Forest")</f>
        <v>Grasslands, Forest</v>
      </c>
      <c r="N204" s="251" t="str">
        <f>IFERROR(__xludf.DUMMYFUNCTION("""COMPUTED_VALUE"""),"--")</f>
        <v>--</v>
      </c>
      <c r="O204" s="251" t="str">
        <f>IFERROR(__xludf.DUMMYFUNCTION("""COMPUTED_VALUE"""),"--")</f>
        <v>--</v>
      </c>
      <c r="P204" s="251" t="str">
        <f>IFERROR(__xludf.DUMMYFUNCTION("""COMPUTED_VALUE"""),"--")</f>
        <v>--</v>
      </c>
      <c r="Q204" s="251" t="str">
        <f>IFERROR(__xludf.DUMMYFUNCTION("""COMPUTED_VALUE"""),"--")</f>
        <v>--</v>
      </c>
      <c r="R204" s="251" t="str">
        <f>IFERROR(__xludf.DUMMYFUNCTION("""COMPUTED_VALUE"""),"Threaded")</f>
        <v>Threaded</v>
      </c>
      <c r="S204" s="251" t="str">
        <f>IFERROR(__xludf.DUMMYFUNCTION("""COMPUTED_VALUE"""),"--")</f>
        <v>--</v>
      </c>
      <c r="T204" s="251" t="str">
        <f>IFERROR(__xludf.DUMMYFUNCTION("""COMPUTED_VALUE"""),"--")</f>
        <v>--</v>
      </c>
      <c r="U204" s="251" t="str">
        <f>IFERROR(__xludf.DUMMYFUNCTION("""COMPUTED_VALUE"""),"--")</f>
        <v>--</v>
      </c>
      <c r="V204" s="251" t="str">
        <f>IFERROR(__xludf.DUMMYFUNCTION("""COMPUTED_VALUE"""),"Alluring")</f>
        <v>Alluring</v>
      </c>
      <c r="W204" s="251" t="str">
        <f>IFERROR(__xludf.DUMMYFUNCTION("""COMPUTED_VALUE"""),"--")</f>
        <v>--</v>
      </c>
      <c r="X204" s="251" t="str">
        <f>IFERROR(__xludf.DUMMYFUNCTION("""COMPUTED_VALUE"""),"--")</f>
        <v>--</v>
      </c>
      <c r="Y204" s="251" t="str">
        <f>IFERROR(__xludf.DUMMYFUNCTION("""COMPUTED_VALUE"""),"--")</f>
        <v>--</v>
      </c>
      <c r="Z204" s="251" t="str">
        <f>IFERROR(__xludf.DUMMYFUNCTION("""COMPUTED_VALUE"""),"--")</f>
        <v>--</v>
      </c>
      <c r="AA204" s="251" t="str">
        <f>IFERROR(__xludf.DUMMYFUNCTION("""COMPUTED_VALUE"""),"--")</f>
        <v>--</v>
      </c>
      <c r="AB204" s="251" t="str">
        <f>IFERROR(__xludf.DUMMYFUNCTION("""COMPUTED_VALUE"""),"--")</f>
        <v>--</v>
      </c>
      <c r="AC204" s="251" t="str">
        <f>IFERROR(__xludf.DUMMYFUNCTION("""COMPUTED_VALUE"""),"--")</f>
        <v>--</v>
      </c>
      <c r="AD204" s="251">
        <f>IFERROR(__xludf.DUMMYFUNCTION("""COMPUTED_VALUE"""),3.0)</f>
        <v>3</v>
      </c>
      <c r="AE204" s="251" t="str">
        <f>IFERROR(__xludf.DUMMYFUNCTION("""COMPUTED_VALUE"""),"Omnivore, Phototroph")</f>
        <v>Omnivore, Phototroph</v>
      </c>
    </row>
    <row r="205">
      <c r="A205" s="251" t="str">
        <f>IFERROR(__xludf.DUMMYFUNCTION("""COMPUTED_VALUE"""),"Chikorita")</f>
        <v>Chikorita</v>
      </c>
      <c r="B205" s="251" t="str">
        <f>IFERROR(__xludf.DUMMYFUNCTION("""COMPUTED_VALUE"""),"Grass")</f>
        <v>Grass</v>
      </c>
      <c r="C205" s="251" t="str">
        <f>IFERROR(__xludf.DUMMYFUNCTION("""COMPUTED_VALUE"""),"None")</f>
        <v>None</v>
      </c>
      <c r="D205" s="251">
        <f>IFERROR(__xludf.DUMMYFUNCTION("""COMPUTED_VALUE"""),5.0)</f>
        <v>5</v>
      </c>
      <c r="E205" s="251">
        <f>IFERROR(__xludf.DUMMYFUNCTION("""COMPUTED_VALUE"""),5.0)</f>
        <v>5</v>
      </c>
      <c r="F205" s="251">
        <f>IFERROR(__xludf.DUMMYFUNCTION("""COMPUTED_VALUE"""),7.0)</f>
        <v>7</v>
      </c>
      <c r="G205" s="251">
        <f>IFERROR(__xludf.DUMMYFUNCTION("""COMPUTED_VALUE"""),5.0)</f>
        <v>5</v>
      </c>
      <c r="H205" s="251">
        <f>IFERROR(__xludf.DUMMYFUNCTION("""COMPUTED_VALUE"""),7.0)</f>
        <v>7</v>
      </c>
      <c r="I205" s="251">
        <f>IFERROR(__xludf.DUMMYFUNCTION("""COMPUTED_VALUE"""),5.0)</f>
        <v>5</v>
      </c>
      <c r="J205" s="251">
        <f>IFERROR(__xludf.DUMMYFUNCTION("""COMPUTED_VALUE"""),2.0)</f>
        <v>2</v>
      </c>
      <c r="K205" s="251" t="str">
        <f>IFERROR(__xludf.DUMMYFUNCTION("""COMPUTED_VALUE"""),"Small")</f>
        <v>Small</v>
      </c>
      <c r="L205" s="251">
        <f>IFERROR(__xludf.DUMMYFUNCTION("""COMPUTED_VALUE"""),1.0)</f>
        <v>1</v>
      </c>
      <c r="M205" s="251" t="str">
        <f>IFERROR(__xludf.DUMMYFUNCTION("""COMPUTED_VALUE"""),"Grasslands, Forest")</f>
        <v>Grasslands, Forest</v>
      </c>
      <c r="N205" s="251" t="str">
        <f>IFERROR(__xludf.DUMMYFUNCTION("""COMPUTED_VALUE"""),"--")</f>
        <v>--</v>
      </c>
      <c r="O205" s="251" t="str">
        <f>IFERROR(__xludf.DUMMYFUNCTION("""COMPUTED_VALUE"""),"--")</f>
        <v>--</v>
      </c>
      <c r="P205" s="251" t="str">
        <f>IFERROR(__xludf.DUMMYFUNCTION("""COMPUTED_VALUE"""),"--")</f>
        <v>--</v>
      </c>
      <c r="Q205" s="251" t="str">
        <f>IFERROR(__xludf.DUMMYFUNCTION("""COMPUTED_VALUE"""),"--")</f>
        <v>--</v>
      </c>
      <c r="R205" s="251" t="str">
        <f>IFERROR(__xludf.DUMMYFUNCTION("""COMPUTED_VALUE"""),"Underdog")</f>
        <v>Underdog</v>
      </c>
      <c r="S205" s="251" t="str">
        <f>IFERROR(__xludf.DUMMYFUNCTION("""COMPUTED_VALUE"""),"--")</f>
        <v>--</v>
      </c>
      <c r="T205" s="251" t="str">
        <f>IFERROR(__xludf.DUMMYFUNCTION("""COMPUTED_VALUE"""),"--")</f>
        <v>--</v>
      </c>
      <c r="U205" s="251" t="str">
        <f>IFERROR(__xludf.DUMMYFUNCTION("""COMPUTED_VALUE"""),"--")</f>
        <v>--</v>
      </c>
      <c r="V205" s="251" t="str">
        <f>IFERROR(__xludf.DUMMYFUNCTION("""COMPUTED_VALUE"""),"Alluring")</f>
        <v>Alluring</v>
      </c>
      <c r="W205" s="251" t="str">
        <f>IFERROR(__xludf.DUMMYFUNCTION("""COMPUTED_VALUE"""),"--")</f>
        <v>--</v>
      </c>
      <c r="X205" s="251" t="str">
        <f>IFERROR(__xludf.DUMMYFUNCTION("""COMPUTED_VALUE"""),"--")</f>
        <v>--</v>
      </c>
      <c r="Y205" s="251" t="str">
        <f>IFERROR(__xludf.DUMMYFUNCTION("""COMPUTED_VALUE"""),"--")</f>
        <v>--</v>
      </c>
      <c r="Z205" s="251" t="str">
        <f>IFERROR(__xludf.DUMMYFUNCTION("""COMPUTED_VALUE"""),"--")</f>
        <v>--</v>
      </c>
      <c r="AA205" s="251" t="str">
        <f>IFERROR(__xludf.DUMMYFUNCTION("""COMPUTED_VALUE"""),"--")</f>
        <v>--</v>
      </c>
      <c r="AB205" s="251" t="str">
        <f>IFERROR(__xludf.DUMMYFUNCTION("""COMPUTED_VALUE"""),"--")</f>
        <v>--</v>
      </c>
      <c r="AC205" s="251" t="str">
        <f>IFERROR(__xludf.DUMMYFUNCTION("""COMPUTED_VALUE"""),"--")</f>
        <v>--</v>
      </c>
      <c r="AD205" s="251">
        <f>IFERROR(__xludf.DUMMYFUNCTION("""COMPUTED_VALUE"""),1.0)</f>
        <v>1</v>
      </c>
      <c r="AE205" s="251" t="str">
        <f>IFERROR(__xludf.DUMMYFUNCTION("""COMPUTED_VALUE"""),"Phototroph")</f>
        <v>Phototroph</v>
      </c>
    </row>
    <row r="206">
      <c r="A206" s="251" t="str">
        <f>IFERROR(__xludf.DUMMYFUNCTION("""COMPUTED_VALUE"""),"Bayleef")</f>
        <v>Bayleef</v>
      </c>
      <c r="B206" s="251" t="str">
        <f>IFERROR(__xludf.DUMMYFUNCTION("""COMPUTED_VALUE"""),"Grass")</f>
        <v>Grass</v>
      </c>
      <c r="C206" s="251" t="str">
        <f>IFERROR(__xludf.DUMMYFUNCTION("""COMPUTED_VALUE"""),"None")</f>
        <v>None</v>
      </c>
      <c r="D206" s="251">
        <f>IFERROR(__xludf.DUMMYFUNCTION("""COMPUTED_VALUE"""),6.0)</f>
        <v>6</v>
      </c>
      <c r="E206" s="251">
        <f>IFERROR(__xludf.DUMMYFUNCTION("""COMPUTED_VALUE"""),6.0)</f>
        <v>6</v>
      </c>
      <c r="F206" s="251">
        <f>IFERROR(__xludf.DUMMYFUNCTION("""COMPUTED_VALUE"""),8.0)</f>
        <v>8</v>
      </c>
      <c r="G206" s="251">
        <f>IFERROR(__xludf.DUMMYFUNCTION("""COMPUTED_VALUE"""),6.0)</f>
        <v>6</v>
      </c>
      <c r="H206" s="251">
        <f>IFERROR(__xludf.DUMMYFUNCTION("""COMPUTED_VALUE"""),8.0)</f>
        <v>8</v>
      </c>
      <c r="I206" s="251">
        <f>IFERROR(__xludf.DUMMYFUNCTION("""COMPUTED_VALUE"""),6.0)</f>
        <v>6</v>
      </c>
      <c r="J206" s="251">
        <f>IFERROR(__xludf.DUMMYFUNCTION("""COMPUTED_VALUE"""),3.0)</f>
        <v>3</v>
      </c>
      <c r="K206" s="251" t="str">
        <f>IFERROR(__xludf.DUMMYFUNCTION("""COMPUTED_VALUE"""),"Medium")</f>
        <v>Medium</v>
      </c>
      <c r="L206" s="251">
        <f>IFERROR(__xludf.DUMMYFUNCTION("""COMPUTED_VALUE"""),2.0)</f>
        <v>2</v>
      </c>
      <c r="M206" s="251" t="str">
        <f>IFERROR(__xludf.DUMMYFUNCTION("""COMPUTED_VALUE"""),"Grasslands, Forest")</f>
        <v>Grasslands, Forest</v>
      </c>
      <c r="N206" s="251" t="str">
        <f>IFERROR(__xludf.DUMMYFUNCTION("""COMPUTED_VALUE"""),"--")</f>
        <v>--</v>
      </c>
      <c r="O206" s="251" t="str">
        <f>IFERROR(__xludf.DUMMYFUNCTION("""COMPUTED_VALUE"""),"--")</f>
        <v>--</v>
      </c>
      <c r="P206" s="251" t="str">
        <f>IFERROR(__xludf.DUMMYFUNCTION("""COMPUTED_VALUE"""),"--")</f>
        <v>--</v>
      </c>
      <c r="Q206" s="251" t="str">
        <f>IFERROR(__xludf.DUMMYFUNCTION("""COMPUTED_VALUE"""),"--")</f>
        <v>--</v>
      </c>
      <c r="R206" s="251" t="str">
        <f>IFERROR(__xludf.DUMMYFUNCTION("""COMPUTED_VALUE"""),"Underdog")</f>
        <v>Underdog</v>
      </c>
      <c r="S206" s="251" t="str">
        <f>IFERROR(__xludf.DUMMYFUNCTION("""COMPUTED_VALUE"""),"--")</f>
        <v>--</v>
      </c>
      <c r="T206" s="251" t="str">
        <f>IFERROR(__xludf.DUMMYFUNCTION("""COMPUTED_VALUE"""),"--")</f>
        <v>--</v>
      </c>
      <c r="U206" s="251" t="str">
        <f>IFERROR(__xludf.DUMMYFUNCTION("""COMPUTED_VALUE"""),"--")</f>
        <v>--</v>
      </c>
      <c r="V206" s="251" t="str">
        <f>IFERROR(__xludf.DUMMYFUNCTION("""COMPUTED_VALUE"""),"Alluring")</f>
        <v>Alluring</v>
      </c>
      <c r="W206" s="251" t="str">
        <f>IFERROR(__xludf.DUMMYFUNCTION("""COMPUTED_VALUE"""),"--")</f>
        <v>--</v>
      </c>
      <c r="X206" s="251" t="str">
        <f>IFERROR(__xludf.DUMMYFUNCTION("""COMPUTED_VALUE"""),"--")</f>
        <v>--</v>
      </c>
      <c r="Y206" s="251" t="str">
        <f>IFERROR(__xludf.DUMMYFUNCTION("""COMPUTED_VALUE"""),"--")</f>
        <v>--</v>
      </c>
      <c r="Z206" s="251" t="str">
        <f>IFERROR(__xludf.DUMMYFUNCTION("""COMPUTED_VALUE"""),"--")</f>
        <v>--</v>
      </c>
      <c r="AA206" s="251" t="str">
        <f>IFERROR(__xludf.DUMMYFUNCTION("""COMPUTED_VALUE"""),"--")</f>
        <v>--</v>
      </c>
      <c r="AB206" s="251" t="str">
        <f>IFERROR(__xludf.DUMMYFUNCTION("""COMPUTED_VALUE"""),"--")</f>
        <v>--</v>
      </c>
      <c r="AC206" s="251" t="str">
        <f>IFERROR(__xludf.DUMMYFUNCTION("""COMPUTED_VALUE"""),"--")</f>
        <v>--</v>
      </c>
      <c r="AD206" s="251">
        <f>IFERROR(__xludf.DUMMYFUNCTION("""COMPUTED_VALUE"""),2.0)</f>
        <v>2</v>
      </c>
      <c r="AE206" s="251" t="str">
        <f>IFERROR(__xludf.DUMMYFUNCTION("""COMPUTED_VALUE"""),"Phototroph")</f>
        <v>Phototroph</v>
      </c>
    </row>
    <row r="207">
      <c r="A207" s="251" t="str">
        <f>IFERROR(__xludf.DUMMYFUNCTION("""COMPUTED_VALUE"""),"Meganium")</f>
        <v>Meganium</v>
      </c>
      <c r="B207" s="251" t="str">
        <f>IFERROR(__xludf.DUMMYFUNCTION("""COMPUTED_VALUE"""),"Grass")</f>
        <v>Grass</v>
      </c>
      <c r="C207" s="251" t="str">
        <f>IFERROR(__xludf.DUMMYFUNCTION("""COMPUTED_VALUE"""),"None")</f>
        <v>None</v>
      </c>
      <c r="D207" s="251">
        <f>IFERROR(__xludf.DUMMYFUNCTION("""COMPUTED_VALUE"""),8.0)</f>
        <v>8</v>
      </c>
      <c r="E207" s="251">
        <f>IFERROR(__xludf.DUMMYFUNCTION("""COMPUTED_VALUE"""),8.0)</f>
        <v>8</v>
      </c>
      <c r="F207" s="251">
        <f>IFERROR(__xludf.DUMMYFUNCTION("""COMPUTED_VALUE"""),10.0)</f>
        <v>10</v>
      </c>
      <c r="G207" s="251">
        <f>IFERROR(__xludf.DUMMYFUNCTION("""COMPUTED_VALUE"""),8.0)</f>
        <v>8</v>
      </c>
      <c r="H207" s="251">
        <f>IFERROR(__xludf.DUMMYFUNCTION("""COMPUTED_VALUE"""),10.0)</f>
        <v>10</v>
      </c>
      <c r="I207" s="251">
        <f>IFERROR(__xludf.DUMMYFUNCTION("""COMPUTED_VALUE"""),8.0)</f>
        <v>8</v>
      </c>
      <c r="J207" s="251">
        <f>IFERROR(__xludf.DUMMYFUNCTION("""COMPUTED_VALUE"""),4.0)</f>
        <v>4</v>
      </c>
      <c r="K207" s="251" t="str">
        <f>IFERROR(__xludf.DUMMYFUNCTION("""COMPUTED_VALUE"""),"Large")</f>
        <v>Large</v>
      </c>
      <c r="L207" s="251">
        <f>IFERROR(__xludf.DUMMYFUNCTION("""COMPUTED_VALUE"""),5.0)</f>
        <v>5</v>
      </c>
      <c r="M207" s="251" t="str">
        <f>IFERROR(__xludf.DUMMYFUNCTION("""COMPUTED_VALUE"""),"Grasslands, Forest")</f>
        <v>Grasslands, Forest</v>
      </c>
      <c r="N207" s="251" t="str">
        <f>IFERROR(__xludf.DUMMYFUNCTION("""COMPUTED_VALUE"""),"--")</f>
        <v>--</v>
      </c>
      <c r="O207" s="251" t="str">
        <f>IFERROR(__xludf.DUMMYFUNCTION("""COMPUTED_VALUE"""),"--")</f>
        <v>--</v>
      </c>
      <c r="P207" s="251" t="str">
        <f>IFERROR(__xludf.DUMMYFUNCTION("""COMPUTED_VALUE"""),"--")</f>
        <v>--</v>
      </c>
      <c r="Q207" s="251" t="str">
        <f>IFERROR(__xludf.DUMMYFUNCTION("""COMPUTED_VALUE"""),"--")</f>
        <v>--</v>
      </c>
      <c r="R207" s="251" t="str">
        <f>IFERROR(__xludf.DUMMYFUNCTION("""COMPUTED_VALUE"""),"--")</f>
        <v>--</v>
      </c>
      <c r="S207" s="251" t="str">
        <f>IFERROR(__xludf.DUMMYFUNCTION("""COMPUTED_VALUE"""),"--")</f>
        <v>--</v>
      </c>
      <c r="T207" s="251" t="str">
        <f>IFERROR(__xludf.DUMMYFUNCTION("""COMPUTED_VALUE"""),"--")</f>
        <v>--</v>
      </c>
      <c r="U207" s="251" t="str">
        <f>IFERROR(__xludf.DUMMYFUNCTION("""COMPUTED_VALUE"""),"--")</f>
        <v>--</v>
      </c>
      <c r="V207" s="251" t="str">
        <f>IFERROR(__xludf.DUMMYFUNCTION("""COMPUTED_VALUE"""),"Alluring")</f>
        <v>Alluring</v>
      </c>
      <c r="W207" s="251" t="str">
        <f>IFERROR(__xludf.DUMMYFUNCTION("""COMPUTED_VALUE"""),"--")</f>
        <v>--</v>
      </c>
      <c r="X207" s="251" t="str">
        <f>IFERROR(__xludf.DUMMYFUNCTION("""COMPUTED_VALUE"""),"--")</f>
        <v>--</v>
      </c>
      <c r="Y207" s="251" t="str">
        <f>IFERROR(__xludf.DUMMYFUNCTION("""COMPUTED_VALUE"""),"--")</f>
        <v>--</v>
      </c>
      <c r="Z207" s="251" t="str">
        <f>IFERROR(__xludf.DUMMYFUNCTION("""COMPUTED_VALUE"""),"--")</f>
        <v>--</v>
      </c>
      <c r="AA207" s="251" t="str">
        <f>IFERROR(__xludf.DUMMYFUNCTION("""COMPUTED_VALUE"""),"--")</f>
        <v>--</v>
      </c>
      <c r="AB207" s="251" t="str">
        <f>IFERROR(__xludf.DUMMYFUNCTION("""COMPUTED_VALUE"""),"--")</f>
        <v>--</v>
      </c>
      <c r="AC207" s="251" t="str">
        <f>IFERROR(__xludf.DUMMYFUNCTION("""COMPUTED_VALUE"""),"--")</f>
        <v>--</v>
      </c>
      <c r="AD207" s="251">
        <f>IFERROR(__xludf.DUMMYFUNCTION("""COMPUTED_VALUE"""),3.0)</f>
        <v>3</v>
      </c>
      <c r="AE207" s="251" t="str">
        <f>IFERROR(__xludf.DUMMYFUNCTION("""COMPUTED_VALUE"""),"Phototroph")</f>
        <v>Phototroph</v>
      </c>
    </row>
    <row r="208">
      <c r="A208" s="251" t="str">
        <f>IFERROR(__xludf.DUMMYFUNCTION("""COMPUTED_VALUE"""),"Treecko")</f>
        <v>Treecko</v>
      </c>
      <c r="B208" s="251" t="str">
        <f>IFERROR(__xludf.DUMMYFUNCTION("""COMPUTED_VALUE"""),"Grass")</f>
        <v>Grass</v>
      </c>
      <c r="C208" s="251" t="str">
        <f>IFERROR(__xludf.DUMMYFUNCTION("""COMPUTED_VALUE"""),"None")</f>
        <v>None</v>
      </c>
      <c r="D208" s="251">
        <f>IFERROR(__xludf.DUMMYFUNCTION("""COMPUTED_VALUE"""),4.0)</f>
        <v>4</v>
      </c>
      <c r="E208" s="251">
        <f>IFERROR(__xludf.DUMMYFUNCTION("""COMPUTED_VALUE"""),5.0)</f>
        <v>5</v>
      </c>
      <c r="F208" s="251">
        <f>IFERROR(__xludf.DUMMYFUNCTION("""COMPUTED_VALUE"""),4.0)</f>
        <v>4</v>
      </c>
      <c r="G208" s="251">
        <f>IFERROR(__xludf.DUMMYFUNCTION("""COMPUTED_VALUE"""),7.0)</f>
        <v>7</v>
      </c>
      <c r="H208" s="251">
        <f>IFERROR(__xludf.DUMMYFUNCTION("""COMPUTED_VALUE"""),6.0)</f>
        <v>6</v>
      </c>
      <c r="I208" s="251">
        <f>IFERROR(__xludf.DUMMYFUNCTION("""COMPUTED_VALUE"""),7.0)</f>
        <v>7</v>
      </c>
      <c r="J208" s="251">
        <f>IFERROR(__xludf.DUMMYFUNCTION("""COMPUTED_VALUE"""),2.0)</f>
        <v>2</v>
      </c>
      <c r="K208" s="251" t="str">
        <f>IFERROR(__xludf.DUMMYFUNCTION("""COMPUTED_VALUE"""),"Small")</f>
        <v>Small</v>
      </c>
      <c r="L208" s="251">
        <f>IFERROR(__xludf.DUMMYFUNCTION("""COMPUTED_VALUE"""),1.0)</f>
        <v>1</v>
      </c>
      <c r="M208" s="251" t="str">
        <f>IFERROR(__xludf.DUMMYFUNCTION("""COMPUTED_VALUE"""),"Grasslands, Forest")</f>
        <v>Grasslands, Forest</v>
      </c>
      <c r="N208" s="251" t="str">
        <f>IFERROR(__xludf.DUMMYFUNCTION("""COMPUTED_VALUE"""),"Climber")</f>
        <v>Climber</v>
      </c>
      <c r="O208" s="251" t="str">
        <f>IFERROR(__xludf.DUMMYFUNCTION("""COMPUTED_VALUE"""),"Quick")</f>
        <v>Quick</v>
      </c>
      <c r="P208" s="251" t="str">
        <f>IFERROR(__xludf.DUMMYFUNCTION("""COMPUTED_VALUE"""),"--")</f>
        <v>--</v>
      </c>
      <c r="Q208" s="251" t="str">
        <f>IFERROR(__xludf.DUMMYFUNCTION("""COMPUTED_VALUE"""),"--")</f>
        <v>--</v>
      </c>
      <c r="R208" s="251" t="str">
        <f>IFERROR(__xludf.DUMMYFUNCTION("""COMPUTED_VALUE"""),"Underdog")</f>
        <v>Underdog</v>
      </c>
      <c r="S208" s="251" t="str">
        <f>IFERROR(__xludf.DUMMYFUNCTION("""COMPUTED_VALUE"""),"--")</f>
        <v>--</v>
      </c>
      <c r="T208" s="251" t="str">
        <f>IFERROR(__xludf.DUMMYFUNCTION("""COMPUTED_VALUE"""),"--")</f>
        <v>--</v>
      </c>
      <c r="U208" s="251" t="str">
        <f>IFERROR(__xludf.DUMMYFUNCTION("""COMPUTED_VALUE"""),"--")</f>
        <v>--</v>
      </c>
      <c r="V208" s="251" t="str">
        <f>IFERROR(__xludf.DUMMYFUNCTION("""COMPUTED_VALUE"""),"--")</f>
        <v>--</v>
      </c>
      <c r="W208" s="251" t="str">
        <f>IFERROR(__xludf.DUMMYFUNCTION("""COMPUTED_VALUE"""),"--")</f>
        <v>--</v>
      </c>
      <c r="X208" s="251" t="str">
        <f>IFERROR(__xludf.DUMMYFUNCTION("""COMPUTED_VALUE"""),"--")</f>
        <v>--</v>
      </c>
      <c r="Y208" s="251" t="str">
        <f>IFERROR(__xludf.DUMMYFUNCTION("""COMPUTED_VALUE"""),"--")</f>
        <v>--</v>
      </c>
      <c r="Z208" s="251" t="str">
        <f>IFERROR(__xludf.DUMMYFUNCTION("""COMPUTED_VALUE"""),"--")</f>
        <v>--</v>
      </c>
      <c r="AA208" s="251" t="str">
        <f>IFERROR(__xludf.DUMMYFUNCTION("""COMPUTED_VALUE"""),"--")</f>
        <v>--</v>
      </c>
      <c r="AB208" s="251" t="str">
        <f>IFERROR(__xludf.DUMMYFUNCTION("""COMPUTED_VALUE"""),"--")</f>
        <v>--</v>
      </c>
      <c r="AC208" s="251" t="str">
        <f>IFERROR(__xludf.DUMMYFUNCTION("""COMPUTED_VALUE"""),"--")</f>
        <v>--</v>
      </c>
      <c r="AD208" s="251">
        <f>IFERROR(__xludf.DUMMYFUNCTION("""COMPUTED_VALUE"""),1.0)</f>
        <v>1</v>
      </c>
      <c r="AE208" s="251" t="str">
        <f>IFERROR(__xludf.DUMMYFUNCTION("""COMPUTED_VALUE"""),"Herbivore")</f>
        <v>Herbivore</v>
      </c>
    </row>
    <row r="209">
      <c r="A209" s="251" t="str">
        <f>IFERROR(__xludf.DUMMYFUNCTION("""COMPUTED_VALUE"""),"Grovyle")</f>
        <v>Grovyle</v>
      </c>
      <c r="B209" s="251" t="str">
        <f>IFERROR(__xludf.DUMMYFUNCTION("""COMPUTED_VALUE"""),"Grass")</f>
        <v>Grass</v>
      </c>
      <c r="C209" s="251" t="str">
        <f>IFERROR(__xludf.DUMMYFUNCTION("""COMPUTED_VALUE"""),"None")</f>
        <v>None</v>
      </c>
      <c r="D209" s="251">
        <f>IFERROR(__xludf.DUMMYFUNCTION("""COMPUTED_VALUE"""),5.0)</f>
        <v>5</v>
      </c>
      <c r="E209" s="251">
        <f>IFERROR(__xludf.DUMMYFUNCTION("""COMPUTED_VALUE"""),7.0)</f>
        <v>7</v>
      </c>
      <c r="F209" s="251">
        <f>IFERROR(__xludf.DUMMYFUNCTION("""COMPUTED_VALUE"""),5.0)</f>
        <v>5</v>
      </c>
      <c r="G209" s="251">
        <f>IFERROR(__xludf.DUMMYFUNCTION("""COMPUTED_VALUE"""),9.0)</f>
        <v>9</v>
      </c>
      <c r="H209" s="251">
        <f>IFERROR(__xludf.DUMMYFUNCTION("""COMPUTED_VALUE"""),6.0)</f>
        <v>6</v>
      </c>
      <c r="I209" s="251">
        <f>IFERROR(__xludf.DUMMYFUNCTION("""COMPUTED_VALUE"""),7.0)</f>
        <v>7</v>
      </c>
      <c r="J209" s="251">
        <f>IFERROR(__xludf.DUMMYFUNCTION("""COMPUTED_VALUE"""),3.0)</f>
        <v>3</v>
      </c>
      <c r="K209" s="251" t="str">
        <f>IFERROR(__xludf.DUMMYFUNCTION("""COMPUTED_VALUE"""),"Medium")</f>
        <v>Medium</v>
      </c>
      <c r="L209" s="251">
        <f>IFERROR(__xludf.DUMMYFUNCTION("""COMPUTED_VALUE"""),2.0)</f>
        <v>2</v>
      </c>
      <c r="M209" s="251" t="str">
        <f>IFERROR(__xludf.DUMMYFUNCTION("""COMPUTED_VALUE"""),"Grasslands, Forest")</f>
        <v>Grasslands, Forest</v>
      </c>
      <c r="N209" s="251" t="str">
        <f>IFERROR(__xludf.DUMMYFUNCTION("""COMPUTED_VALUE"""),"Climber")</f>
        <v>Climber</v>
      </c>
      <c r="O209" s="251" t="str">
        <f>IFERROR(__xludf.DUMMYFUNCTION("""COMPUTED_VALUE"""),"Glider")</f>
        <v>Glider</v>
      </c>
      <c r="P209" s="251" t="str">
        <f>IFERROR(__xludf.DUMMYFUNCTION("""COMPUTED_VALUE"""),"Quick")</f>
        <v>Quick</v>
      </c>
      <c r="Q209" s="251" t="str">
        <f>IFERROR(__xludf.DUMMYFUNCTION("""COMPUTED_VALUE"""),"--")</f>
        <v>--</v>
      </c>
      <c r="R209" s="251" t="str">
        <f>IFERROR(__xludf.DUMMYFUNCTION("""COMPUTED_VALUE"""),"Underdog")</f>
        <v>Underdog</v>
      </c>
      <c r="S209" s="251" t="str">
        <f>IFERROR(__xludf.DUMMYFUNCTION("""COMPUTED_VALUE"""),"--")</f>
        <v>--</v>
      </c>
      <c r="T209" s="251" t="str">
        <f>IFERROR(__xludf.DUMMYFUNCTION("""COMPUTED_VALUE"""),"--")</f>
        <v>--</v>
      </c>
      <c r="U209" s="251" t="str">
        <f>IFERROR(__xludf.DUMMYFUNCTION("""COMPUTED_VALUE"""),"--")</f>
        <v>--</v>
      </c>
      <c r="V209" s="251" t="str">
        <f>IFERROR(__xludf.DUMMYFUNCTION("""COMPUTED_VALUE"""),"--")</f>
        <v>--</v>
      </c>
      <c r="W209" s="251" t="str">
        <f>IFERROR(__xludf.DUMMYFUNCTION("""COMPUTED_VALUE"""),"--")</f>
        <v>--</v>
      </c>
      <c r="X209" s="251" t="str">
        <f>IFERROR(__xludf.DUMMYFUNCTION("""COMPUTED_VALUE"""),"--")</f>
        <v>--</v>
      </c>
      <c r="Y209" s="251" t="str">
        <f>IFERROR(__xludf.DUMMYFUNCTION("""COMPUTED_VALUE"""),"--")</f>
        <v>--</v>
      </c>
      <c r="Z209" s="251" t="str">
        <f>IFERROR(__xludf.DUMMYFUNCTION("""COMPUTED_VALUE"""),"--")</f>
        <v>--</v>
      </c>
      <c r="AA209" s="251" t="str">
        <f>IFERROR(__xludf.DUMMYFUNCTION("""COMPUTED_VALUE"""),"--")</f>
        <v>--</v>
      </c>
      <c r="AB209" s="251" t="str">
        <f>IFERROR(__xludf.DUMMYFUNCTION("""COMPUTED_VALUE"""),"--")</f>
        <v>--</v>
      </c>
      <c r="AC209" s="251" t="str">
        <f>IFERROR(__xludf.DUMMYFUNCTION("""COMPUTED_VALUE"""),"--")</f>
        <v>--</v>
      </c>
      <c r="AD209" s="251">
        <f>IFERROR(__xludf.DUMMYFUNCTION("""COMPUTED_VALUE"""),2.0)</f>
        <v>2</v>
      </c>
      <c r="AE209" s="251" t="str">
        <f>IFERROR(__xludf.DUMMYFUNCTION("""COMPUTED_VALUE"""),"Herbivore")</f>
        <v>Herbivore</v>
      </c>
    </row>
    <row r="210">
      <c r="A210" s="251" t="str">
        <f>IFERROR(__xludf.DUMMYFUNCTION("""COMPUTED_VALUE"""),"Sceptile")</f>
        <v>Sceptile</v>
      </c>
      <c r="B210" s="251" t="str">
        <f>IFERROR(__xludf.DUMMYFUNCTION("""COMPUTED_VALUE"""),"Grass")</f>
        <v>Grass</v>
      </c>
      <c r="C210" s="251" t="str">
        <f>IFERROR(__xludf.DUMMYFUNCTION("""COMPUTED_VALUE"""),"None")</f>
        <v>None</v>
      </c>
      <c r="D210" s="251">
        <f>IFERROR(__xludf.DUMMYFUNCTION("""COMPUTED_VALUE"""),7.0)</f>
        <v>7</v>
      </c>
      <c r="E210" s="251">
        <f>IFERROR(__xludf.DUMMYFUNCTION("""COMPUTED_VALUE"""),9.0)</f>
        <v>9</v>
      </c>
      <c r="F210" s="251">
        <f>IFERROR(__xludf.DUMMYFUNCTION("""COMPUTED_VALUE"""),7.0)</f>
        <v>7</v>
      </c>
      <c r="G210" s="251">
        <f>IFERROR(__xludf.DUMMYFUNCTION("""COMPUTED_VALUE"""),11.0)</f>
        <v>11</v>
      </c>
      <c r="H210" s="251">
        <f>IFERROR(__xludf.DUMMYFUNCTION("""COMPUTED_VALUE"""),9.0)</f>
        <v>9</v>
      </c>
      <c r="I210" s="251">
        <f>IFERROR(__xludf.DUMMYFUNCTION("""COMPUTED_VALUE"""),12.0)</f>
        <v>12</v>
      </c>
      <c r="J210" s="251">
        <f>IFERROR(__xludf.DUMMYFUNCTION("""COMPUTED_VALUE"""),5.0)</f>
        <v>5</v>
      </c>
      <c r="K210" s="251" t="str">
        <f>IFERROR(__xludf.DUMMYFUNCTION("""COMPUTED_VALUE"""),"Medium")</f>
        <v>Medium</v>
      </c>
      <c r="L210" s="251">
        <f>IFERROR(__xludf.DUMMYFUNCTION("""COMPUTED_VALUE"""),4.0)</f>
        <v>4</v>
      </c>
      <c r="M210" s="251" t="str">
        <f>IFERROR(__xludf.DUMMYFUNCTION("""COMPUTED_VALUE"""),"Grasslands, Forest")</f>
        <v>Grasslands, Forest</v>
      </c>
      <c r="N210" s="251" t="str">
        <f>IFERROR(__xludf.DUMMYFUNCTION("""COMPUTED_VALUE"""),"Climber")</f>
        <v>Climber</v>
      </c>
      <c r="O210" s="251" t="str">
        <f>IFERROR(__xludf.DUMMYFUNCTION("""COMPUTED_VALUE"""),"Quick")</f>
        <v>Quick</v>
      </c>
      <c r="P210" s="251" t="str">
        <f>IFERROR(__xludf.DUMMYFUNCTION("""COMPUTED_VALUE"""),"--")</f>
        <v>--</v>
      </c>
      <c r="Q210" s="251" t="str">
        <f>IFERROR(__xludf.DUMMYFUNCTION("""COMPUTED_VALUE"""),"--")</f>
        <v>--</v>
      </c>
      <c r="R210" s="251" t="str">
        <f>IFERROR(__xludf.DUMMYFUNCTION("""COMPUTED_VALUE"""),"--")</f>
        <v>--</v>
      </c>
      <c r="S210" s="251" t="str">
        <f>IFERROR(__xludf.DUMMYFUNCTION("""COMPUTED_VALUE"""),"--")</f>
        <v>--</v>
      </c>
      <c r="T210" s="251" t="str">
        <f>IFERROR(__xludf.DUMMYFUNCTION("""COMPUTED_VALUE"""),"--")</f>
        <v>--</v>
      </c>
      <c r="U210" s="251" t="str">
        <f>IFERROR(__xludf.DUMMYFUNCTION("""COMPUTED_VALUE"""),"--")</f>
        <v>--</v>
      </c>
      <c r="V210" s="251" t="str">
        <f>IFERROR(__xludf.DUMMYFUNCTION("""COMPUTED_VALUE"""),"--")</f>
        <v>--</v>
      </c>
      <c r="W210" s="251" t="str">
        <f>IFERROR(__xludf.DUMMYFUNCTION("""COMPUTED_VALUE"""),"--")</f>
        <v>--</v>
      </c>
      <c r="X210" s="251" t="str">
        <f>IFERROR(__xludf.DUMMYFUNCTION("""COMPUTED_VALUE"""),"--")</f>
        <v>--</v>
      </c>
      <c r="Y210" s="251" t="str">
        <f>IFERROR(__xludf.DUMMYFUNCTION("""COMPUTED_VALUE"""),"--")</f>
        <v>--</v>
      </c>
      <c r="Z210" s="251" t="str">
        <f>IFERROR(__xludf.DUMMYFUNCTION("""COMPUTED_VALUE"""),"--")</f>
        <v>--</v>
      </c>
      <c r="AA210" s="251" t="str">
        <f>IFERROR(__xludf.DUMMYFUNCTION("""COMPUTED_VALUE"""),"--")</f>
        <v>--</v>
      </c>
      <c r="AB210" s="251" t="str">
        <f>IFERROR(__xludf.DUMMYFUNCTION("""COMPUTED_VALUE"""),"--")</f>
        <v>--</v>
      </c>
      <c r="AC210" s="251" t="str">
        <f>IFERROR(__xludf.DUMMYFUNCTION("""COMPUTED_VALUE"""),"--")</f>
        <v>--</v>
      </c>
      <c r="AD210" s="251">
        <f>IFERROR(__xludf.DUMMYFUNCTION("""COMPUTED_VALUE"""),3.0)</f>
        <v>3</v>
      </c>
      <c r="AE210" s="251" t="str">
        <f>IFERROR(__xludf.DUMMYFUNCTION("""COMPUTED_VALUE"""),"Herbivore")</f>
        <v>Herbivore</v>
      </c>
    </row>
    <row r="211">
      <c r="A211" s="251" t="str">
        <f>IFERROR(__xludf.DUMMYFUNCTION("""COMPUTED_VALUE"""),"Turtwig")</f>
        <v>Turtwig</v>
      </c>
      <c r="B211" s="251" t="str">
        <f>IFERROR(__xludf.DUMMYFUNCTION("""COMPUTED_VALUE"""),"Grass")</f>
        <v>Grass</v>
      </c>
      <c r="C211" s="251" t="str">
        <f>IFERROR(__xludf.DUMMYFUNCTION("""COMPUTED_VALUE"""),"None")</f>
        <v>None</v>
      </c>
      <c r="D211" s="251">
        <f>IFERROR(__xludf.DUMMYFUNCTION("""COMPUTED_VALUE"""),6.0)</f>
        <v>6</v>
      </c>
      <c r="E211" s="251">
        <f>IFERROR(__xludf.DUMMYFUNCTION("""COMPUTED_VALUE"""),7.0)</f>
        <v>7</v>
      </c>
      <c r="F211" s="251">
        <f>IFERROR(__xludf.DUMMYFUNCTION("""COMPUTED_VALUE"""),6.0)</f>
        <v>6</v>
      </c>
      <c r="G211" s="251">
        <f>IFERROR(__xludf.DUMMYFUNCTION("""COMPUTED_VALUE"""),5.0)</f>
        <v>5</v>
      </c>
      <c r="H211" s="251">
        <f>IFERROR(__xludf.DUMMYFUNCTION("""COMPUTED_VALUE"""),6.0)</f>
        <v>6</v>
      </c>
      <c r="I211" s="251">
        <f>IFERROR(__xludf.DUMMYFUNCTION("""COMPUTED_VALUE"""),3.0)</f>
        <v>3</v>
      </c>
      <c r="J211" s="251">
        <f>IFERROR(__xludf.DUMMYFUNCTION("""COMPUTED_VALUE"""),3.0)</f>
        <v>3</v>
      </c>
      <c r="K211" s="251" t="str">
        <f>IFERROR(__xludf.DUMMYFUNCTION("""COMPUTED_VALUE"""),"Small")</f>
        <v>Small</v>
      </c>
      <c r="L211" s="251">
        <f>IFERROR(__xludf.DUMMYFUNCTION("""COMPUTED_VALUE"""),1.0)</f>
        <v>1</v>
      </c>
      <c r="M211" s="251" t="str">
        <f>IFERROR(__xludf.DUMMYFUNCTION("""COMPUTED_VALUE"""),"Grasslands, Forest")</f>
        <v>Grasslands, Forest</v>
      </c>
      <c r="N211" s="251" t="str">
        <f>IFERROR(__xludf.DUMMYFUNCTION("""COMPUTED_VALUE"""),"--")</f>
        <v>--</v>
      </c>
      <c r="O211" s="251" t="str">
        <f>IFERROR(__xludf.DUMMYFUNCTION("""COMPUTED_VALUE"""),"--")</f>
        <v>--</v>
      </c>
      <c r="P211" s="251" t="str">
        <f>IFERROR(__xludf.DUMMYFUNCTION("""COMPUTED_VALUE"""),"--")</f>
        <v>--</v>
      </c>
      <c r="Q211" s="251" t="str">
        <f>IFERROR(__xludf.DUMMYFUNCTION("""COMPUTED_VALUE"""),"--")</f>
        <v>--</v>
      </c>
      <c r="R211" s="251" t="str">
        <f>IFERROR(__xludf.DUMMYFUNCTION("""COMPUTED_VALUE"""),"Underdog")</f>
        <v>Underdog</v>
      </c>
      <c r="S211" s="251" t="str">
        <f>IFERROR(__xludf.DUMMYFUNCTION("""COMPUTED_VALUE"""),"--")</f>
        <v>--</v>
      </c>
      <c r="T211" s="251" t="str">
        <f>IFERROR(__xludf.DUMMYFUNCTION("""COMPUTED_VALUE"""),"--")</f>
        <v>--</v>
      </c>
      <c r="U211" s="251" t="str">
        <f>IFERROR(__xludf.DUMMYFUNCTION("""COMPUTED_VALUE"""),"--")</f>
        <v>--</v>
      </c>
      <c r="V211" s="251" t="str">
        <f>IFERROR(__xludf.DUMMYFUNCTION("""COMPUTED_VALUE"""),"--")</f>
        <v>--</v>
      </c>
      <c r="W211" s="251" t="str">
        <f>IFERROR(__xludf.DUMMYFUNCTION("""COMPUTED_VALUE"""),"--")</f>
        <v>--</v>
      </c>
      <c r="X211" s="251" t="str">
        <f>IFERROR(__xludf.DUMMYFUNCTION("""COMPUTED_VALUE"""),"--")</f>
        <v>--</v>
      </c>
      <c r="Y211" s="251" t="str">
        <f>IFERROR(__xludf.DUMMYFUNCTION("""COMPUTED_VALUE"""),"--")</f>
        <v>--</v>
      </c>
      <c r="Z211" s="251" t="str">
        <f>IFERROR(__xludf.DUMMYFUNCTION("""COMPUTED_VALUE"""),"--")</f>
        <v>--</v>
      </c>
      <c r="AA211" s="251" t="str">
        <f>IFERROR(__xludf.DUMMYFUNCTION("""COMPUTED_VALUE"""),"--")</f>
        <v>--</v>
      </c>
      <c r="AB211" s="251" t="str">
        <f>IFERROR(__xludf.DUMMYFUNCTION("""COMPUTED_VALUE"""),"--")</f>
        <v>--</v>
      </c>
      <c r="AC211" s="251" t="str">
        <f>IFERROR(__xludf.DUMMYFUNCTION("""COMPUTED_VALUE"""),"--")</f>
        <v>--</v>
      </c>
      <c r="AD211" s="251">
        <f>IFERROR(__xludf.DUMMYFUNCTION("""COMPUTED_VALUE"""),1.0)</f>
        <v>1</v>
      </c>
      <c r="AE211" s="251" t="str">
        <f>IFERROR(__xludf.DUMMYFUNCTION("""COMPUTED_VALUE"""),"Herbivore, Phototroph")</f>
        <v>Herbivore, Phototroph</v>
      </c>
    </row>
    <row r="212">
      <c r="A212" s="251" t="str">
        <f>IFERROR(__xludf.DUMMYFUNCTION("""COMPUTED_VALUE"""),"Grotle")</f>
        <v>Grotle</v>
      </c>
      <c r="B212" s="251" t="str">
        <f>IFERROR(__xludf.DUMMYFUNCTION("""COMPUTED_VALUE"""),"Grass")</f>
        <v>Grass</v>
      </c>
      <c r="C212" s="251" t="str">
        <f>IFERROR(__xludf.DUMMYFUNCTION("""COMPUTED_VALUE"""),"None")</f>
        <v>None</v>
      </c>
      <c r="D212" s="251">
        <f>IFERROR(__xludf.DUMMYFUNCTION("""COMPUTED_VALUE"""),8.0)</f>
        <v>8</v>
      </c>
      <c r="E212" s="251">
        <f>IFERROR(__xludf.DUMMYFUNCTION("""COMPUTED_VALUE"""),9.0)</f>
        <v>9</v>
      </c>
      <c r="F212" s="251">
        <f>IFERROR(__xludf.DUMMYFUNCTION("""COMPUTED_VALUE"""),9.0)</f>
        <v>9</v>
      </c>
      <c r="G212" s="251">
        <f>IFERROR(__xludf.DUMMYFUNCTION("""COMPUTED_VALUE"""),6.0)</f>
        <v>6</v>
      </c>
      <c r="H212" s="251">
        <f>IFERROR(__xludf.DUMMYFUNCTION("""COMPUTED_VALUE"""),7.0)</f>
        <v>7</v>
      </c>
      <c r="I212" s="251">
        <f>IFERROR(__xludf.DUMMYFUNCTION("""COMPUTED_VALUE"""),4.0)</f>
        <v>4</v>
      </c>
      <c r="J212" s="251">
        <f>IFERROR(__xludf.DUMMYFUNCTION("""COMPUTED_VALUE"""),4.0)</f>
        <v>4</v>
      </c>
      <c r="K212" s="251" t="str">
        <f>IFERROR(__xludf.DUMMYFUNCTION("""COMPUTED_VALUE"""),"Medium")</f>
        <v>Medium</v>
      </c>
      <c r="L212" s="251">
        <f>IFERROR(__xludf.DUMMYFUNCTION("""COMPUTED_VALUE"""),4.0)</f>
        <v>4</v>
      </c>
      <c r="M212" s="251" t="str">
        <f>IFERROR(__xludf.DUMMYFUNCTION("""COMPUTED_VALUE"""),"Grasslands, Forest")</f>
        <v>Grasslands, Forest</v>
      </c>
      <c r="N212" s="251" t="str">
        <f>IFERROR(__xludf.DUMMYFUNCTION("""COMPUTED_VALUE"""),"--")</f>
        <v>--</v>
      </c>
      <c r="O212" s="251" t="str">
        <f>IFERROR(__xludf.DUMMYFUNCTION("""COMPUTED_VALUE"""),"--")</f>
        <v>--</v>
      </c>
      <c r="P212" s="251" t="str">
        <f>IFERROR(__xludf.DUMMYFUNCTION("""COMPUTED_VALUE"""),"--")</f>
        <v>--</v>
      </c>
      <c r="Q212" s="251" t="str">
        <f>IFERROR(__xludf.DUMMYFUNCTION("""COMPUTED_VALUE"""),"--")</f>
        <v>--</v>
      </c>
      <c r="R212" s="251" t="str">
        <f>IFERROR(__xludf.DUMMYFUNCTION("""COMPUTED_VALUE"""),"Underdog")</f>
        <v>Underdog</v>
      </c>
      <c r="S212" s="251" t="str">
        <f>IFERROR(__xludf.DUMMYFUNCTION("""COMPUTED_VALUE"""),"--")</f>
        <v>--</v>
      </c>
      <c r="T212" s="251" t="str">
        <f>IFERROR(__xludf.DUMMYFUNCTION("""COMPUTED_VALUE"""),"--")</f>
        <v>--</v>
      </c>
      <c r="U212" s="251" t="str">
        <f>IFERROR(__xludf.DUMMYFUNCTION("""COMPUTED_VALUE"""),"--")</f>
        <v>--</v>
      </c>
      <c r="V212" s="251" t="str">
        <f>IFERROR(__xludf.DUMMYFUNCTION("""COMPUTED_VALUE"""),"--")</f>
        <v>--</v>
      </c>
      <c r="W212" s="251" t="str">
        <f>IFERROR(__xludf.DUMMYFUNCTION("""COMPUTED_VALUE"""),"--")</f>
        <v>--</v>
      </c>
      <c r="X212" s="251" t="str">
        <f>IFERROR(__xludf.DUMMYFUNCTION("""COMPUTED_VALUE"""),"--")</f>
        <v>--</v>
      </c>
      <c r="Y212" s="251" t="str">
        <f>IFERROR(__xludf.DUMMYFUNCTION("""COMPUTED_VALUE"""),"--")</f>
        <v>--</v>
      </c>
      <c r="Z212" s="251" t="str">
        <f>IFERROR(__xludf.DUMMYFUNCTION("""COMPUTED_VALUE"""),"--")</f>
        <v>--</v>
      </c>
      <c r="AA212" s="251" t="str">
        <f>IFERROR(__xludf.DUMMYFUNCTION("""COMPUTED_VALUE"""),"--")</f>
        <v>--</v>
      </c>
      <c r="AB212" s="251" t="str">
        <f>IFERROR(__xludf.DUMMYFUNCTION("""COMPUTED_VALUE"""),"--")</f>
        <v>--</v>
      </c>
      <c r="AC212" s="251" t="str">
        <f>IFERROR(__xludf.DUMMYFUNCTION("""COMPUTED_VALUE"""),"--")</f>
        <v>--</v>
      </c>
      <c r="AD212" s="251">
        <f>IFERROR(__xludf.DUMMYFUNCTION("""COMPUTED_VALUE"""),2.0)</f>
        <v>2</v>
      </c>
      <c r="AE212" s="251" t="str">
        <f>IFERROR(__xludf.DUMMYFUNCTION("""COMPUTED_VALUE"""),"Herbivore, Phototroph")</f>
        <v>Herbivore, Phototroph</v>
      </c>
    </row>
    <row r="213">
      <c r="A213" s="251" t="str">
        <f>IFERROR(__xludf.DUMMYFUNCTION("""COMPUTED_VALUE"""),"Torterra")</f>
        <v>Torterra</v>
      </c>
      <c r="B213" s="251" t="str">
        <f>IFERROR(__xludf.DUMMYFUNCTION("""COMPUTED_VALUE"""),"Grass")</f>
        <v>Grass</v>
      </c>
      <c r="C213" s="251" t="str">
        <f>IFERROR(__xludf.DUMMYFUNCTION("""COMPUTED_VALUE"""),"Ground")</f>
        <v>Ground</v>
      </c>
      <c r="D213" s="251">
        <f>IFERROR(__xludf.DUMMYFUNCTION("""COMPUTED_VALUE"""),10.0)</f>
        <v>10</v>
      </c>
      <c r="E213" s="251">
        <f>IFERROR(__xludf.DUMMYFUNCTION("""COMPUTED_VALUE"""),11.0)</f>
        <v>11</v>
      </c>
      <c r="F213" s="251">
        <f>IFERROR(__xludf.DUMMYFUNCTION("""COMPUTED_VALUE"""),11.0)</f>
        <v>11</v>
      </c>
      <c r="G213" s="251">
        <f>IFERROR(__xludf.DUMMYFUNCTION("""COMPUTED_VALUE"""),8.0)</f>
        <v>8</v>
      </c>
      <c r="H213" s="251">
        <f>IFERROR(__xludf.DUMMYFUNCTION("""COMPUTED_VALUE"""),9.0)</f>
        <v>9</v>
      </c>
      <c r="I213" s="251">
        <f>IFERROR(__xludf.DUMMYFUNCTION("""COMPUTED_VALUE"""),4.0)</f>
        <v>4</v>
      </c>
      <c r="J213" s="251">
        <f>IFERROR(__xludf.DUMMYFUNCTION("""COMPUTED_VALUE"""),7.0)</f>
        <v>7</v>
      </c>
      <c r="K213" s="251" t="str">
        <f>IFERROR(__xludf.DUMMYFUNCTION("""COMPUTED_VALUE"""),"Large")</f>
        <v>Large</v>
      </c>
      <c r="L213" s="251">
        <f>IFERROR(__xludf.DUMMYFUNCTION("""COMPUTED_VALUE"""),6.0)</f>
        <v>6</v>
      </c>
      <c r="M213" s="251" t="str">
        <f>IFERROR(__xludf.DUMMYFUNCTION("""COMPUTED_VALUE"""),"Grasslands, Forest")</f>
        <v>Grasslands, Forest</v>
      </c>
      <c r="N213" s="251" t="str">
        <f>IFERROR(__xludf.DUMMYFUNCTION("""COMPUTED_VALUE"""),"--")</f>
        <v>--</v>
      </c>
      <c r="O213" s="251" t="str">
        <f>IFERROR(__xludf.DUMMYFUNCTION("""COMPUTED_VALUE"""),"--")</f>
        <v>--</v>
      </c>
      <c r="P213" s="251" t="str">
        <f>IFERROR(__xludf.DUMMYFUNCTION("""COMPUTED_VALUE"""),"--")</f>
        <v>--</v>
      </c>
      <c r="Q213" s="251" t="str">
        <f>IFERROR(__xludf.DUMMYFUNCTION("""COMPUTED_VALUE"""),"--")</f>
        <v>--</v>
      </c>
      <c r="R213" s="251" t="str">
        <f>IFERROR(__xludf.DUMMYFUNCTION("""COMPUTED_VALUE"""),"--")</f>
        <v>--</v>
      </c>
      <c r="S213" s="251" t="str">
        <f>IFERROR(__xludf.DUMMYFUNCTION("""COMPUTED_VALUE"""),"--")</f>
        <v>--</v>
      </c>
      <c r="T213" s="251" t="str">
        <f>IFERROR(__xludf.DUMMYFUNCTION("""COMPUTED_VALUE"""),"--")</f>
        <v>--</v>
      </c>
      <c r="U213" s="251" t="str">
        <f>IFERROR(__xludf.DUMMYFUNCTION("""COMPUTED_VALUE"""),"--")</f>
        <v>--</v>
      </c>
      <c r="V213" s="251" t="str">
        <f>IFERROR(__xludf.DUMMYFUNCTION("""COMPUTED_VALUE"""),"Groundshaper")</f>
        <v>Groundshaper</v>
      </c>
      <c r="W213" s="251" t="str">
        <f>IFERROR(__xludf.DUMMYFUNCTION("""COMPUTED_VALUE"""),"--")</f>
        <v>--</v>
      </c>
      <c r="X213" s="251" t="str">
        <f>IFERROR(__xludf.DUMMYFUNCTION("""COMPUTED_VALUE"""),"--")</f>
        <v>--</v>
      </c>
      <c r="Y213" s="251" t="str">
        <f>IFERROR(__xludf.DUMMYFUNCTION("""COMPUTED_VALUE"""),"--")</f>
        <v>--</v>
      </c>
      <c r="Z213" s="251" t="str">
        <f>IFERROR(__xludf.DUMMYFUNCTION("""COMPUTED_VALUE"""),"--")</f>
        <v>--</v>
      </c>
      <c r="AA213" s="251" t="str">
        <f>IFERROR(__xludf.DUMMYFUNCTION("""COMPUTED_VALUE"""),"--")</f>
        <v>--</v>
      </c>
      <c r="AB213" s="251" t="str">
        <f>IFERROR(__xludf.DUMMYFUNCTION("""COMPUTED_VALUE"""),"--")</f>
        <v>--</v>
      </c>
      <c r="AC213" s="251" t="str">
        <f>IFERROR(__xludf.DUMMYFUNCTION("""COMPUTED_VALUE"""),"--")</f>
        <v>--</v>
      </c>
      <c r="AD213" s="251">
        <f>IFERROR(__xludf.DUMMYFUNCTION("""COMPUTED_VALUE"""),3.0)</f>
        <v>3</v>
      </c>
      <c r="AE213" s="251" t="str">
        <f>IFERROR(__xludf.DUMMYFUNCTION("""COMPUTED_VALUE"""),"Herbivore, Phototroph")</f>
        <v>Herbivore, Phototroph</v>
      </c>
    </row>
    <row r="214">
      <c r="A214" s="251" t="str">
        <f>IFERROR(__xludf.DUMMYFUNCTION("""COMPUTED_VALUE"""),"Snivy")</f>
        <v>Snivy</v>
      </c>
      <c r="B214" s="251" t="str">
        <f>IFERROR(__xludf.DUMMYFUNCTION("""COMPUTED_VALUE"""),"Grass")</f>
        <v>Grass</v>
      </c>
      <c r="C214" s="251" t="str">
        <f>IFERROR(__xludf.DUMMYFUNCTION("""COMPUTED_VALUE"""),"None")</f>
        <v>None</v>
      </c>
      <c r="D214" s="251">
        <f>IFERROR(__xludf.DUMMYFUNCTION("""COMPUTED_VALUE"""),5.0)</f>
        <v>5</v>
      </c>
      <c r="E214" s="251">
        <f>IFERROR(__xludf.DUMMYFUNCTION("""COMPUTED_VALUE"""),5.0)</f>
        <v>5</v>
      </c>
      <c r="F214" s="251">
        <f>IFERROR(__xludf.DUMMYFUNCTION("""COMPUTED_VALUE"""),6.0)</f>
        <v>6</v>
      </c>
      <c r="G214" s="251">
        <f>IFERROR(__xludf.DUMMYFUNCTION("""COMPUTED_VALUE"""),5.0)</f>
        <v>5</v>
      </c>
      <c r="H214" s="251">
        <f>IFERROR(__xludf.DUMMYFUNCTION("""COMPUTED_VALUE"""),6.0)</f>
        <v>6</v>
      </c>
      <c r="I214" s="251">
        <f>IFERROR(__xludf.DUMMYFUNCTION("""COMPUTED_VALUE"""),6.0)</f>
        <v>6</v>
      </c>
      <c r="J214" s="251">
        <f>IFERROR(__xludf.DUMMYFUNCTION("""COMPUTED_VALUE"""),2.0)</f>
        <v>2</v>
      </c>
      <c r="K214" s="251" t="str">
        <f>IFERROR(__xludf.DUMMYFUNCTION("""COMPUTED_VALUE"""),"Small")</f>
        <v>Small</v>
      </c>
      <c r="L214" s="251">
        <f>IFERROR(__xludf.DUMMYFUNCTION("""COMPUTED_VALUE"""),1.0)</f>
        <v>1</v>
      </c>
      <c r="M214" s="251" t="str">
        <f>IFERROR(__xludf.DUMMYFUNCTION("""COMPUTED_VALUE"""),"Grasslands, Forest")</f>
        <v>Grasslands, Forest</v>
      </c>
      <c r="N214" s="251" t="str">
        <f>IFERROR(__xludf.DUMMYFUNCTION("""COMPUTED_VALUE"""),"--")</f>
        <v>--</v>
      </c>
      <c r="O214" s="251" t="str">
        <f>IFERROR(__xludf.DUMMYFUNCTION("""COMPUTED_VALUE"""),"--")</f>
        <v>--</v>
      </c>
      <c r="P214" s="251" t="str">
        <f>IFERROR(__xludf.DUMMYFUNCTION("""COMPUTED_VALUE"""),"--")</f>
        <v>--</v>
      </c>
      <c r="Q214" s="251" t="str">
        <f>IFERROR(__xludf.DUMMYFUNCTION("""COMPUTED_VALUE"""),"--")</f>
        <v>--</v>
      </c>
      <c r="R214" s="251" t="str">
        <f>IFERROR(__xludf.DUMMYFUNCTION("""COMPUTED_VALUE"""),"Underdog")</f>
        <v>Underdog</v>
      </c>
      <c r="S214" s="251" t="str">
        <f>IFERROR(__xludf.DUMMYFUNCTION("""COMPUTED_VALUE"""),"--")</f>
        <v>--</v>
      </c>
      <c r="T214" s="251" t="str">
        <f>IFERROR(__xludf.DUMMYFUNCTION("""COMPUTED_VALUE"""),"--")</f>
        <v>--</v>
      </c>
      <c r="U214" s="251" t="str">
        <f>IFERROR(__xludf.DUMMYFUNCTION("""COMPUTED_VALUE"""),"--")</f>
        <v>--</v>
      </c>
      <c r="V214" s="251" t="str">
        <f>IFERROR(__xludf.DUMMYFUNCTION("""COMPUTED_VALUE"""),"--")</f>
        <v>--</v>
      </c>
      <c r="W214" s="251" t="str">
        <f>IFERROR(__xludf.DUMMYFUNCTION("""COMPUTED_VALUE"""),"--")</f>
        <v>--</v>
      </c>
      <c r="X214" s="251" t="str">
        <f>IFERROR(__xludf.DUMMYFUNCTION("""COMPUTED_VALUE"""),"--")</f>
        <v>--</v>
      </c>
      <c r="Y214" s="251" t="str">
        <f>IFERROR(__xludf.DUMMYFUNCTION("""COMPUTED_VALUE"""),"--")</f>
        <v>--</v>
      </c>
      <c r="Z214" s="251" t="str">
        <f>IFERROR(__xludf.DUMMYFUNCTION("""COMPUTED_VALUE"""),"--")</f>
        <v>--</v>
      </c>
      <c r="AA214" s="251" t="str">
        <f>IFERROR(__xludf.DUMMYFUNCTION("""COMPUTED_VALUE"""),"--")</f>
        <v>--</v>
      </c>
      <c r="AB214" s="251" t="str">
        <f>IFERROR(__xludf.DUMMYFUNCTION("""COMPUTED_VALUE"""),"--")</f>
        <v>--</v>
      </c>
      <c r="AC214" s="251" t="str">
        <f>IFERROR(__xludf.DUMMYFUNCTION("""COMPUTED_VALUE"""),"--")</f>
        <v>--</v>
      </c>
      <c r="AD214" s="251">
        <f>IFERROR(__xludf.DUMMYFUNCTION("""COMPUTED_VALUE"""),1.0)</f>
        <v>1</v>
      </c>
      <c r="AE214" s="251" t="str">
        <f>IFERROR(__xludf.DUMMYFUNCTION("""COMPUTED_VALUE"""),"Herbivore, Phototroph")</f>
        <v>Herbivore, Phototroph</v>
      </c>
    </row>
    <row r="215">
      <c r="A215" s="251" t="str">
        <f>IFERROR(__xludf.DUMMYFUNCTION("""COMPUTED_VALUE"""),"Servine")</f>
        <v>Servine</v>
      </c>
      <c r="B215" s="251" t="str">
        <f>IFERROR(__xludf.DUMMYFUNCTION("""COMPUTED_VALUE"""),"Grass")</f>
        <v>Grass</v>
      </c>
      <c r="C215" s="251" t="str">
        <f>IFERROR(__xludf.DUMMYFUNCTION("""COMPUTED_VALUE"""),"None")</f>
        <v>None</v>
      </c>
      <c r="D215" s="251">
        <f>IFERROR(__xludf.DUMMYFUNCTION("""COMPUTED_VALUE"""),6.0)</f>
        <v>6</v>
      </c>
      <c r="E215" s="251">
        <f>IFERROR(__xludf.DUMMYFUNCTION("""COMPUTED_VALUE"""),6.0)</f>
        <v>6</v>
      </c>
      <c r="F215" s="251">
        <f>IFERROR(__xludf.DUMMYFUNCTION("""COMPUTED_VALUE"""),8.0)</f>
        <v>8</v>
      </c>
      <c r="G215" s="251">
        <f>IFERROR(__xludf.DUMMYFUNCTION("""COMPUTED_VALUE"""),6.0)</f>
        <v>6</v>
      </c>
      <c r="H215" s="251">
        <f>IFERROR(__xludf.DUMMYFUNCTION("""COMPUTED_VALUE"""),8.0)</f>
        <v>8</v>
      </c>
      <c r="I215" s="251">
        <f>IFERROR(__xludf.DUMMYFUNCTION("""COMPUTED_VALUE"""),8.0)</f>
        <v>8</v>
      </c>
      <c r="J215" s="251">
        <f>IFERROR(__xludf.DUMMYFUNCTION("""COMPUTED_VALUE"""),3.0)</f>
        <v>3</v>
      </c>
      <c r="K215" s="251" t="str">
        <f>IFERROR(__xludf.DUMMYFUNCTION("""COMPUTED_VALUE"""),"Small")</f>
        <v>Small</v>
      </c>
      <c r="L215" s="251">
        <f>IFERROR(__xludf.DUMMYFUNCTION("""COMPUTED_VALUE"""),2.0)</f>
        <v>2</v>
      </c>
      <c r="M215" s="251" t="str">
        <f>IFERROR(__xludf.DUMMYFUNCTION("""COMPUTED_VALUE"""),"Grasslands, Forest")</f>
        <v>Grasslands, Forest</v>
      </c>
      <c r="N215" s="251" t="str">
        <f>IFERROR(__xludf.DUMMYFUNCTION("""COMPUTED_VALUE"""),"--")</f>
        <v>--</v>
      </c>
      <c r="O215" s="251" t="str">
        <f>IFERROR(__xludf.DUMMYFUNCTION("""COMPUTED_VALUE"""),"--")</f>
        <v>--</v>
      </c>
      <c r="P215" s="251" t="str">
        <f>IFERROR(__xludf.DUMMYFUNCTION("""COMPUTED_VALUE"""),"--")</f>
        <v>--</v>
      </c>
      <c r="Q215" s="251" t="str">
        <f>IFERROR(__xludf.DUMMYFUNCTION("""COMPUTED_VALUE"""),"--")</f>
        <v>--</v>
      </c>
      <c r="R215" s="251" t="str">
        <f>IFERROR(__xludf.DUMMYFUNCTION("""COMPUTED_VALUE"""),"Underdog")</f>
        <v>Underdog</v>
      </c>
      <c r="S215" s="251" t="str">
        <f>IFERROR(__xludf.DUMMYFUNCTION("""COMPUTED_VALUE"""),"--")</f>
        <v>--</v>
      </c>
      <c r="T215" s="251" t="str">
        <f>IFERROR(__xludf.DUMMYFUNCTION("""COMPUTED_VALUE"""),"--")</f>
        <v>--</v>
      </c>
      <c r="U215" s="251" t="str">
        <f>IFERROR(__xludf.DUMMYFUNCTION("""COMPUTED_VALUE"""),"--")</f>
        <v>--</v>
      </c>
      <c r="V215" s="251" t="str">
        <f>IFERROR(__xludf.DUMMYFUNCTION("""COMPUTED_VALUE"""),"--")</f>
        <v>--</v>
      </c>
      <c r="W215" s="251" t="str">
        <f>IFERROR(__xludf.DUMMYFUNCTION("""COMPUTED_VALUE"""),"--")</f>
        <v>--</v>
      </c>
      <c r="X215" s="251" t="str">
        <f>IFERROR(__xludf.DUMMYFUNCTION("""COMPUTED_VALUE"""),"--")</f>
        <v>--</v>
      </c>
      <c r="Y215" s="251" t="str">
        <f>IFERROR(__xludf.DUMMYFUNCTION("""COMPUTED_VALUE"""),"--")</f>
        <v>--</v>
      </c>
      <c r="Z215" s="251" t="str">
        <f>IFERROR(__xludf.DUMMYFUNCTION("""COMPUTED_VALUE"""),"--")</f>
        <v>--</v>
      </c>
      <c r="AA215" s="251" t="str">
        <f>IFERROR(__xludf.DUMMYFUNCTION("""COMPUTED_VALUE"""),"--")</f>
        <v>--</v>
      </c>
      <c r="AB215" s="251" t="str">
        <f>IFERROR(__xludf.DUMMYFUNCTION("""COMPUTED_VALUE"""),"--")</f>
        <v>--</v>
      </c>
      <c r="AC215" s="251" t="str">
        <f>IFERROR(__xludf.DUMMYFUNCTION("""COMPUTED_VALUE"""),"--")</f>
        <v>--</v>
      </c>
      <c r="AD215" s="251">
        <f>IFERROR(__xludf.DUMMYFUNCTION("""COMPUTED_VALUE"""),2.0)</f>
        <v>2</v>
      </c>
      <c r="AE215" s="251" t="str">
        <f>IFERROR(__xludf.DUMMYFUNCTION("""COMPUTED_VALUE"""),"Herbivore, Phototroph")</f>
        <v>Herbivore, Phototroph</v>
      </c>
    </row>
    <row r="216">
      <c r="A216" s="251" t="str">
        <f>IFERROR(__xludf.DUMMYFUNCTION("""COMPUTED_VALUE"""),"Serperior")</f>
        <v>Serperior</v>
      </c>
      <c r="B216" s="251" t="str">
        <f>IFERROR(__xludf.DUMMYFUNCTION("""COMPUTED_VALUE"""),"Grass")</f>
        <v>Grass</v>
      </c>
      <c r="C216" s="251" t="str">
        <f>IFERROR(__xludf.DUMMYFUNCTION("""COMPUTED_VALUE"""),"None")</f>
        <v>None</v>
      </c>
      <c r="D216" s="251">
        <f>IFERROR(__xludf.DUMMYFUNCTION("""COMPUTED_VALUE"""),8.0)</f>
        <v>8</v>
      </c>
      <c r="E216" s="251">
        <f>IFERROR(__xludf.DUMMYFUNCTION("""COMPUTED_VALUE"""),8.0)</f>
        <v>8</v>
      </c>
      <c r="F216" s="251">
        <f>IFERROR(__xludf.DUMMYFUNCTION("""COMPUTED_VALUE"""),10.0)</f>
        <v>10</v>
      </c>
      <c r="G216" s="251">
        <f>IFERROR(__xludf.DUMMYFUNCTION("""COMPUTED_VALUE"""),8.0)</f>
        <v>8</v>
      </c>
      <c r="H216" s="251">
        <f>IFERROR(__xludf.DUMMYFUNCTION("""COMPUTED_VALUE"""),10.0)</f>
        <v>10</v>
      </c>
      <c r="I216" s="251">
        <f>IFERROR(__xludf.DUMMYFUNCTION("""COMPUTED_VALUE"""),11.0)</f>
        <v>11</v>
      </c>
      <c r="J216" s="251">
        <f>IFERROR(__xludf.DUMMYFUNCTION("""COMPUTED_VALUE"""),5.0)</f>
        <v>5</v>
      </c>
      <c r="K216" s="251" t="str">
        <f>IFERROR(__xludf.DUMMYFUNCTION("""COMPUTED_VALUE"""),"Large")</f>
        <v>Large</v>
      </c>
      <c r="L216" s="251">
        <f>IFERROR(__xludf.DUMMYFUNCTION("""COMPUTED_VALUE"""),4.0)</f>
        <v>4</v>
      </c>
      <c r="M216" s="251" t="str">
        <f>IFERROR(__xludf.DUMMYFUNCTION("""COMPUTED_VALUE"""),"Grasslands, Forest")</f>
        <v>Grasslands, Forest</v>
      </c>
      <c r="N216" s="251" t="str">
        <f>IFERROR(__xludf.DUMMYFUNCTION("""COMPUTED_VALUE"""),"--")</f>
        <v>--</v>
      </c>
      <c r="O216" s="251" t="str">
        <f>IFERROR(__xludf.DUMMYFUNCTION("""COMPUTED_VALUE"""),"--")</f>
        <v>--</v>
      </c>
      <c r="P216" s="251" t="str">
        <f>IFERROR(__xludf.DUMMYFUNCTION("""COMPUTED_VALUE"""),"--")</f>
        <v>--</v>
      </c>
      <c r="Q216" s="251" t="str">
        <f>IFERROR(__xludf.DUMMYFUNCTION("""COMPUTED_VALUE"""),"--")</f>
        <v>--</v>
      </c>
      <c r="R216" s="251" t="str">
        <f>IFERROR(__xludf.DUMMYFUNCTION("""COMPUTED_VALUE"""),"--")</f>
        <v>--</v>
      </c>
      <c r="S216" s="251" t="str">
        <f>IFERROR(__xludf.DUMMYFUNCTION("""COMPUTED_VALUE"""),"--")</f>
        <v>--</v>
      </c>
      <c r="T216" s="251" t="str">
        <f>IFERROR(__xludf.DUMMYFUNCTION("""COMPUTED_VALUE"""),"--")</f>
        <v>--</v>
      </c>
      <c r="U216" s="251" t="str">
        <f>IFERROR(__xludf.DUMMYFUNCTION("""COMPUTED_VALUE"""),"--")</f>
        <v>--</v>
      </c>
      <c r="V216" s="251" t="str">
        <f>IFERROR(__xludf.DUMMYFUNCTION("""COMPUTED_VALUE"""),"--")</f>
        <v>--</v>
      </c>
      <c r="W216" s="251" t="str">
        <f>IFERROR(__xludf.DUMMYFUNCTION("""COMPUTED_VALUE"""),"--")</f>
        <v>--</v>
      </c>
      <c r="X216" s="251" t="str">
        <f>IFERROR(__xludf.DUMMYFUNCTION("""COMPUTED_VALUE"""),"--")</f>
        <v>--</v>
      </c>
      <c r="Y216" s="251" t="str">
        <f>IFERROR(__xludf.DUMMYFUNCTION("""COMPUTED_VALUE"""),"--")</f>
        <v>--</v>
      </c>
      <c r="Z216" s="251" t="str">
        <f>IFERROR(__xludf.DUMMYFUNCTION("""COMPUTED_VALUE"""),"--")</f>
        <v>--</v>
      </c>
      <c r="AA216" s="251" t="str">
        <f>IFERROR(__xludf.DUMMYFUNCTION("""COMPUTED_VALUE"""),"--")</f>
        <v>--</v>
      </c>
      <c r="AB216" s="251" t="str">
        <f>IFERROR(__xludf.DUMMYFUNCTION("""COMPUTED_VALUE"""),"--")</f>
        <v>--</v>
      </c>
      <c r="AC216" s="251" t="str">
        <f>IFERROR(__xludf.DUMMYFUNCTION("""COMPUTED_VALUE"""),"--")</f>
        <v>--</v>
      </c>
      <c r="AD216" s="251">
        <f>IFERROR(__xludf.DUMMYFUNCTION("""COMPUTED_VALUE"""),3.0)</f>
        <v>3</v>
      </c>
      <c r="AE216" s="251" t="str">
        <f>IFERROR(__xludf.DUMMYFUNCTION("""COMPUTED_VALUE"""),"Herbivore, Phototroph")</f>
        <v>Herbivore, Phototroph</v>
      </c>
    </row>
    <row r="217">
      <c r="A217" s="251" t="str">
        <f>IFERROR(__xludf.DUMMYFUNCTION("""COMPUTED_VALUE"""),"Chespin")</f>
        <v>Chespin</v>
      </c>
      <c r="B217" s="251" t="str">
        <f>IFERROR(__xludf.DUMMYFUNCTION("""COMPUTED_VALUE"""),"Grass")</f>
        <v>Grass</v>
      </c>
      <c r="C217" s="251" t="str">
        <f>IFERROR(__xludf.DUMMYFUNCTION("""COMPUTED_VALUE"""),"None")</f>
        <v>None</v>
      </c>
      <c r="D217" s="251">
        <f>IFERROR(__xludf.DUMMYFUNCTION("""COMPUTED_VALUE"""),6.0)</f>
        <v>6</v>
      </c>
      <c r="E217" s="251">
        <f>IFERROR(__xludf.DUMMYFUNCTION("""COMPUTED_VALUE"""),6.0)</f>
        <v>6</v>
      </c>
      <c r="F217" s="251">
        <f>IFERROR(__xludf.DUMMYFUNCTION("""COMPUTED_VALUE"""),7.0)</f>
        <v>7</v>
      </c>
      <c r="G217" s="251">
        <f>IFERROR(__xludf.DUMMYFUNCTION("""COMPUTED_VALUE"""),5.0)</f>
        <v>5</v>
      </c>
      <c r="H217" s="251">
        <f>IFERROR(__xludf.DUMMYFUNCTION("""COMPUTED_VALUE"""),5.0)</f>
        <v>5</v>
      </c>
      <c r="I217" s="251">
        <f>IFERROR(__xludf.DUMMYFUNCTION("""COMPUTED_VALUE"""),4.0)</f>
        <v>4</v>
      </c>
      <c r="J217" s="251">
        <f>IFERROR(__xludf.DUMMYFUNCTION("""COMPUTED_VALUE"""),2.0)</f>
        <v>2</v>
      </c>
      <c r="K217" s="251" t="str">
        <f>IFERROR(__xludf.DUMMYFUNCTION("""COMPUTED_VALUE"""),"Small")</f>
        <v>Small</v>
      </c>
      <c r="L217" s="251">
        <f>IFERROR(__xludf.DUMMYFUNCTION("""COMPUTED_VALUE"""),1.0)</f>
        <v>1</v>
      </c>
      <c r="M217" s="251" t="str">
        <f>IFERROR(__xludf.DUMMYFUNCTION("""COMPUTED_VALUE"""),"Grasslands, Forest")</f>
        <v>Grasslands, Forest</v>
      </c>
      <c r="N217" s="251" t="str">
        <f>IFERROR(__xludf.DUMMYFUNCTION("""COMPUTED_VALUE"""),"--")</f>
        <v>--</v>
      </c>
      <c r="O217" s="251" t="str">
        <f>IFERROR(__xludf.DUMMYFUNCTION("""COMPUTED_VALUE"""),"--")</f>
        <v>--</v>
      </c>
      <c r="P217" s="251" t="str">
        <f>IFERROR(__xludf.DUMMYFUNCTION("""COMPUTED_VALUE"""),"--")</f>
        <v>--</v>
      </c>
      <c r="Q217" s="251" t="str">
        <f>IFERROR(__xludf.DUMMYFUNCTION("""COMPUTED_VALUE"""),"--")</f>
        <v>--</v>
      </c>
      <c r="R217" s="251" t="str">
        <f>IFERROR(__xludf.DUMMYFUNCTION("""COMPUTED_VALUE"""),"Underdog")</f>
        <v>Underdog</v>
      </c>
      <c r="S217" s="251" t="str">
        <f>IFERROR(__xludf.DUMMYFUNCTION("""COMPUTED_VALUE"""),"--")</f>
        <v>--</v>
      </c>
      <c r="T217" s="251" t="str">
        <f>IFERROR(__xludf.DUMMYFUNCTION("""COMPUTED_VALUE"""),"--")</f>
        <v>--</v>
      </c>
      <c r="U217" s="251" t="str">
        <f>IFERROR(__xludf.DUMMYFUNCTION("""COMPUTED_VALUE"""),"--")</f>
        <v>--</v>
      </c>
      <c r="V217" s="251" t="str">
        <f>IFERROR(__xludf.DUMMYFUNCTION("""COMPUTED_VALUE"""),"--")</f>
        <v>--</v>
      </c>
      <c r="W217" s="251" t="str">
        <f>IFERROR(__xludf.DUMMYFUNCTION("""COMPUTED_VALUE"""),"--")</f>
        <v>--</v>
      </c>
      <c r="X217" s="251" t="str">
        <f>IFERROR(__xludf.DUMMYFUNCTION("""COMPUTED_VALUE"""),"--")</f>
        <v>--</v>
      </c>
      <c r="Y217" s="251" t="str">
        <f>IFERROR(__xludf.DUMMYFUNCTION("""COMPUTED_VALUE"""),"--")</f>
        <v>--</v>
      </c>
      <c r="Z217" s="251" t="str">
        <f>IFERROR(__xludf.DUMMYFUNCTION("""COMPUTED_VALUE"""),"--")</f>
        <v>--</v>
      </c>
      <c r="AA217" s="251" t="str">
        <f>IFERROR(__xludf.DUMMYFUNCTION("""COMPUTED_VALUE"""),"--")</f>
        <v>--</v>
      </c>
      <c r="AB217" s="251" t="str">
        <f>IFERROR(__xludf.DUMMYFUNCTION("""COMPUTED_VALUE"""),"--")</f>
        <v>--</v>
      </c>
      <c r="AC217" s="251" t="str">
        <f>IFERROR(__xludf.DUMMYFUNCTION("""COMPUTED_VALUE"""),"--")</f>
        <v>--</v>
      </c>
      <c r="AD217" s="251">
        <f>IFERROR(__xludf.DUMMYFUNCTION("""COMPUTED_VALUE"""),1.0)</f>
        <v>1</v>
      </c>
      <c r="AE217" s="251" t="str">
        <f>IFERROR(__xludf.DUMMYFUNCTION("""COMPUTED_VALUE"""),"Herbivore")</f>
        <v>Herbivore</v>
      </c>
    </row>
    <row r="218">
      <c r="A218" s="251" t="str">
        <f>IFERROR(__xludf.DUMMYFUNCTION("""COMPUTED_VALUE"""),"Quilladin")</f>
        <v>Quilladin</v>
      </c>
      <c r="B218" s="251" t="str">
        <f>IFERROR(__xludf.DUMMYFUNCTION("""COMPUTED_VALUE"""),"Grass")</f>
        <v>Grass</v>
      </c>
      <c r="C218" s="251" t="str">
        <f>IFERROR(__xludf.DUMMYFUNCTION("""COMPUTED_VALUE"""),"None")</f>
        <v>None</v>
      </c>
      <c r="D218" s="251">
        <f>IFERROR(__xludf.DUMMYFUNCTION("""COMPUTED_VALUE"""),6.0)</f>
        <v>6</v>
      </c>
      <c r="E218" s="251">
        <f>IFERROR(__xludf.DUMMYFUNCTION("""COMPUTED_VALUE"""),8.0)</f>
        <v>8</v>
      </c>
      <c r="F218" s="251">
        <f>IFERROR(__xludf.DUMMYFUNCTION("""COMPUTED_VALUE"""),10.0)</f>
        <v>10</v>
      </c>
      <c r="G218" s="251">
        <f>IFERROR(__xludf.DUMMYFUNCTION("""COMPUTED_VALUE"""),6.0)</f>
        <v>6</v>
      </c>
      <c r="H218" s="251">
        <f>IFERROR(__xludf.DUMMYFUNCTION("""COMPUTED_VALUE"""),6.0)</f>
        <v>6</v>
      </c>
      <c r="I218" s="251">
        <f>IFERROR(__xludf.DUMMYFUNCTION("""COMPUTED_VALUE"""),6.0)</f>
        <v>6</v>
      </c>
      <c r="J218" s="251">
        <f>IFERROR(__xludf.DUMMYFUNCTION("""COMPUTED_VALUE"""),3.0)</f>
        <v>3</v>
      </c>
      <c r="K218" s="251" t="str">
        <f>IFERROR(__xludf.DUMMYFUNCTION("""COMPUTED_VALUE"""),"Small")</f>
        <v>Small</v>
      </c>
      <c r="L218" s="251">
        <f>IFERROR(__xludf.DUMMYFUNCTION("""COMPUTED_VALUE"""),3.0)</f>
        <v>3</v>
      </c>
      <c r="M218" s="251" t="str">
        <f>IFERROR(__xludf.DUMMYFUNCTION("""COMPUTED_VALUE"""),"Grasslands, Forest")</f>
        <v>Grasslands, Forest</v>
      </c>
      <c r="N218" s="251" t="str">
        <f>IFERROR(__xludf.DUMMYFUNCTION("""COMPUTED_VALUE"""),"--")</f>
        <v>--</v>
      </c>
      <c r="O218" s="251" t="str">
        <f>IFERROR(__xludf.DUMMYFUNCTION("""COMPUTED_VALUE"""),"--")</f>
        <v>--</v>
      </c>
      <c r="P218" s="251" t="str">
        <f>IFERROR(__xludf.DUMMYFUNCTION("""COMPUTED_VALUE"""),"--")</f>
        <v>--</v>
      </c>
      <c r="Q218" s="251" t="str">
        <f>IFERROR(__xludf.DUMMYFUNCTION("""COMPUTED_VALUE"""),"--")</f>
        <v>--</v>
      </c>
      <c r="R218" s="251" t="str">
        <f>IFERROR(__xludf.DUMMYFUNCTION("""COMPUTED_VALUE"""),"Underdog")</f>
        <v>Underdog</v>
      </c>
      <c r="S218" s="251" t="str">
        <f>IFERROR(__xludf.DUMMYFUNCTION("""COMPUTED_VALUE"""),"--")</f>
        <v>--</v>
      </c>
      <c r="T218" s="251" t="str">
        <f>IFERROR(__xludf.DUMMYFUNCTION("""COMPUTED_VALUE"""),"--")</f>
        <v>--</v>
      </c>
      <c r="U218" s="251" t="str">
        <f>IFERROR(__xludf.DUMMYFUNCTION("""COMPUTED_VALUE"""),"--")</f>
        <v>--</v>
      </c>
      <c r="V218" s="251" t="str">
        <f>IFERROR(__xludf.DUMMYFUNCTION("""COMPUTED_VALUE"""),"--")</f>
        <v>--</v>
      </c>
      <c r="W218" s="251" t="str">
        <f>IFERROR(__xludf.DUMMYFUNCTION("""COMPUTED_VALUE"""),"--")</f>
        <v>--</v>
      </c>
      <c r="X218" s="251" t="str">
        <f>IFERROR(__xludf.DUMMYFUNCTION("""COMPUTED_VALUE"""),"--")</f>
        <v>--</v>
      </c>
      <c r="Y218" s="251" t="str">
        <f>IFERROR(__xludf.DUMMYFUNCTION("""COMPUTED_VALUE"""),"--")</f>
        <v>--</v>
      </c>
      <c r="Z218" s="251" t="str">
        <f>IFERROR(__xludf.DUMMYFUNCTION("""COMPUTED_VALUE"""),"--")</f>
        <v>--</v>
      </c>
      <c r="AA218" s="251" t="str">
        <f>IFERROR(__xludf.DUMMYFUNCTION("""COMPUTED_VALUE"""),"--")</f>
        <v>--</v>
      </c>
      <c r="AB218" s="251" t="str">
        <f>IFERROR(__xludf.DUMMYFUNCTION("""COMPUTED_VALUE"""),"--")</f>
        <v>--</v>
      </c>
      <c r="AC218" s="251" t="str">
        <f>IFERROR(__xludf.DUMMYFUNCTION("""COMPUTED_VALUE"""),"--")</f>
        <v>--</v>
      </c>
      <c r="AD218" s="251">
        <f>IFERROR(__xludf.DUMMYFUNCTION("""COMPUTED_VALUE"""),2.0)</f>
        <v>2</v>
      </c>
      <c r="AE218" s="251" t="str">
        <f>IFERROR(__xludf.DUMMYFUNCTION("""COMPUTED_VALUE"""),"Herbivore")</f>
        <v>Herbivore</v>
      </c>
    </row>
    <row r="219">
      <c r="A219" s="251" t="str">
        <f>IFERROR(__xludf.DUMMYFUNCTION("""COMPUTED_VALUE"""),"Chesnaught")</f>
        <v>Chesnaught</v>
      </c>
      <c r="B219" s="251" t="str">
        <f>IFERROR(__xludf.DUMMYFUNCTION("""COMPUTED_VALUE"""),"Grass")</f>
        <v>Grass</v>
      </c>
      <c r="C219" s="251" t="str">
        <f>IFERROR(__xludf.DUMMYFUNCTION("""COMPUTED_VALUE"""),"Fighting")</f>
        <v>Fighting</v>
      </c>
      <c r="D219" s="251">
        <f>IFERROR(__xludf.DUMMYFUNCTION("""COMPUTED_VALUE"""),9.0)</f>
        <v>9</v>
      </c>
      <c r="E219" s="251">
        <f>IFERROR(__xludf.DUMMYFUNCTION("""COMPUTED_VALUE"""),11.0)</f>
        <v>11</v>
      </c>
      <c r="F219" s="251">
        <f>IFERROR(__xludf.DUMMYFUNCTION("""COMPUTED_VALUE"""),12.0)</f>
        <v>12</v>
      </c>
      <c r="G219" s="251">
        <f>IFERROR(__xludf.DUMMYFUNCTION("""COMPUTED_VALUE"""),7.0)</f>
        <v>7</v>
      </c>
      <c r="H219" s="251">
        <f>IFERROR(__xludf.DUMMYFUNCTION("""COMPUTED_VALUE"""),8.0)</f>
        <v>8</v>
      </c>
      <c r="I219" s="251">
        <f>IFERROR(__xludf.DUMMYFUNCTION("""COMPUTED_VALUE"""),6.0)</f>
        <v>6</v>
      </c>
      <c r="J219" s="251">
        <f>IFERROR(__xludf.DUMMYFUNCTION("""COMPUTED_VALUE"""),7.0)</f>
        <v>7</v>
      </c>
      <c r="K219" s="251" t="str">
        <f>IFERROR(__xludf.DUMMYFUNCTION("""COMPUTED_VALUE"""),"Medium")</f>
        <v>Medium</v>
      </c>
      <c r="L219" s="251">
        <f>IFERROR(__xludf.DUMMYFUNCTION("""COMPUTED_VALUE"""),4.0)</f>
        <v>4</v>
      </c>
      <c r="M219" s="251" t="str">
        <f>IFERROR(__xludf.DUMMYFUNCTION("""COMPUTED_VALUE"""),"Grasslands, Forest")</f>
        <v>Grasslands, Forest</v>
      </c>
      <c r="N219" s="251" t="str">
        <f>IFERROR(__xludf.DUMMYFUNCTION("""COMPUTED_VALUE"""),"--")</f>
        <v>--</v>
      </c>
      <c r="O219" s="251" t="str">
        <f>IFERROR(__xludf.DUMMYFUNCTION("""COMPUTED_VALUE"""),"--")</f>
        <v>--</v>
      </c>
      <c r="P219" s="251" t="str">
        <f>IFERROR(__xludf.DUMMYFUNCTION("""COMPUTED_VALUE"""),"--")</f>
        <v>--</v>
      </c>
      <c r="Q219" s="251" t="str">
        <f>IFERROR(__xludf.DUMMYFUNCTION("""COMPUTED_VALUE"""),"--")</f>
        <v>--</v>
      </c>
      <c r="R219" s="251" t="str">
        <f>IFERROR(__xludf.DUMMYFUNCTION("""COMPUTED_VALUE"""),"--")</f>
        <v>--</v>
      </c>
      <c r="S219" s="251" t="str">
        <f>IFERROR(__xludf.DUMMYFUNCTION("""COMPUTED_VALUE"""),"--")</f>
        <v>--</v>
      </c>
      <c r="T219" s="251" t="str">
        <f>IFERROR(__xludf.DUMMYFUNCTION("""COMPUTED_VALUE"""),"--")</f>
        <v>--</v>
      </c>
      <c r="U219" s="251" t="str">
        <f>IFERROR(__xludf.DUMMYFUNCTION("""COMPUTED_VALUE"""),"--")</f>
        <v>--</v>
      </c>
      <c r="V219" s="251" t="str">
        <f>IFERROR(__xludf.DUMMYFUNCTION("""COMPUTED_VALUE"""),"--")</f>
        <v>--</v>
      </c>
      <c r="W219" s="251" t="str">
        <f>IFERROR(__xludf.DUMMYFUNCTION("""COMPUTED_VALUE"""),"--")</f>
        <v>--</v>
      </c>
      <c r="X219" s="251" t="str">
        <f>IFERROR(__xludf.DUMMYFUNCTION("""COMPUTED_VALUE"""),"--")</f>
        <v>--</v>
      </c>
      <c r="Y219" s="251" t="str">
        <f>IFERROR(__xludf.DUMMYFUNCTION("""COMPUTED_VALUE"""),"--")</f>
        <v>--</v>
      </c>
      <c r="Z219" s="251" t="str">
        <f>IFERROR(__xludf.DUMMYFUNCTION("""COMPUTED_VALUE"""),"--")</f>
        <v>--</v>
      </c>
      <c r="AA219" s="251" t="str">
        <f>IFERROR(__xludf.DUMMYFUNCTION("""COMPUTED_VALUE"""),"--")</f>
        <v>--</v>
      </c>
      <c r="AB219" s="251" t="str">
        <f>IFERROR(__xludf.DUMMYFUNCTION("""COMPUTED_VALUE"""),"--")</f>
        <v>--</v>
      </c>
      <c r="AC219" s="251" t="str">
        <f>IFERROR(__xludf.DUMMYFUNCTION("""COMPUTED_VALUE"""),"--")</f>
        <v>--</v>
      </c>
      <c r="AD219" s="251">
        <f>IFERROR(__xludf.DUMMYFUNCTION("""COMPUTED_VALUE"""),3.0)</f>
        <v>3</v>
      </c>
      <c r="AE219" s="251" t="str">
        <f>IFERROR(__xludf.DUMMYFUNCTION("""COMPUTED_VALUE"""),"Herbivore")</f>
        <v>Herbivore</v>
      </c>
    </row>
    <row r="220">
      <c r="A220" s="251" t="str">
        <f>IFERROR(__xludf.DUMMYFUNCTION("""COMPUTED_VALUE"""),"Rowlet")</f>
        <v>Rowlet</v>
      </c>
      <c r="B220" s="251" t="str">
        <f>IFERROR(__xludf.DUMMYFUNCTION("""COMPUTED_VALUE"""),"Grass")</f>
        <v>Grass</v>
      </c>
      <c r="C220" s="251" t="str">
        <f>IFERROR(__xludf.DUMMYFUNCTION("""COMPUTED_VALUE"""),"Flying")</f>
        <v>Flying</v>
      </c>
      <c r="D220" s="251">
        <f>IFERROR(__xludf.DUMMYFUNCTION("""COMPUTED_VALUE"""),7.0)</f>
        <v>7</v>
      </c>
      <c r="E220" s="251">
        <f>IFERROR(__xludf.DUMMYFUNCTION("""COMPUTED_VALUE"""),6.0)</f>
        <v>6</v>
      </c>
      <c r="F220" s="251">
        <f>IFERROR(__xludf.DUMMYFUNCTION("""COMPUTED_VALUE"""),6.0)</f>
        <v>6</v>
      </c>
      <c r="G220" s="251">
        <f>IFERROR(__xludf.DUMMYFUNCTION("""COMPUTED_VALUE"""),5.0)</f>
        <v>5</v>
      </c>
      <c r="H220" s="251">
        <f>IFERROR(__xludf.DUMMYFUNCTION("""COMPUTED_VALUE"""),5.0)</f>
        <v>5</v>
      </c>
      <c r="I220" s="251">
        <f>IFERROR(__xludf.DUMMYFUNCTION("""COMPUTED_VALUE"""),4.0)</f>
        <v>4</v>
      </c>
      <c r="J220" s="251">
        <f>IFERROR(__xludf.DUMMYFUNCTION("""COMPUTED_VALUE"""),1.0)</f>
        <v>1</v>
      </c>
      <c r="K220" s="251" t="str">
        <f>IFERROR(__xludf.DUMMYFUNCTION("""COMPUTED_VALUE"""),"Small")</f>
        <v>Small</v>
      </c>
      <c r="L220" s="251">
        <f>IFERROR(__xludf.DUMMYFUNCTION("""COMPUTED_VALUE"""),1.0)</f>
        <v>1</v>
      </c>
      <c r="M220" s="251" t="str">
        <f>IFERROR(__xludf.DUMMYFUNCTION("""COMPUTED_VALUE"""),"Grasslands, Forest")</f>
        <v>Grasslands, Forest</v>
      </c>
      <c r="N220" s="251" t="str">
        <f>IFERROR(__xludf.DUMMYFUNCTION("""COMPUTED_VALUE"""),"Flier")</f>
        <v>Flier</v>
      </c>
      <c r="O220" s="251" t="str">
        <f>IFERROR(__xludf.DUMMYFUNCTION("""COMPUTED_VALUE"""),"--")</f>
        <v>--</v>
      </c>
      <c r="P220" s="251" t="str">
        <f>IFERROR(__xludf.DUMMYFUNCTION("""COMPUTED_VALUE"""),"--")</f>
        <v>--</v>
      </c>
      <c r="Q220" s="251" t="str">
        <f>IFERROR(__xludf.DUMMYFUNCTION("""COMPUTED_VALUE"""),"--")</f>
        <v>--</v>
      </c>
      <c r="R220" s="251" t="str">
        <f>IFERROR(__xludf.DUMMYFUNCTION("""COMPUTED_VALUE"""),"Darkvision")</f>
        <v>Darkvision</v>
      </c>
      <c r="S220" s="251" t="str">
        <f>IFERROR(__xludf.DUMMYFUNCTION("""COMPUTED_VALUE"""),"Underdog")</f>
        <v>Underdog</v>
      </c>
      <c r="T220" s="251" t="str">
        <f>IFERROR(__xludf.DUMMYFUNCTION("""COMPUTED_VALUE"""),"--")</f>
        <v>--</v>
      </c>
      <c r="U220" s="251" t="str">
        <f>IFERROR(__xludf.DUMMYFUNCTION("""COMPUTED_VALUE"""),"--")</f>
        <v>--</v>
      </c>
      <c r="V220" s="251" t="str">
        <f>IFERROR(__xludf.DUMMYFUNCTION("""COMPUTED_VALUE"""),"--")</f>
        <v>--</v>
      </c>
      <c r="W220" s="251" t="str">
        <f>IFERROR(__xludf.DUMMYFUNCTION("""COMPUTED_VALUE"""),"--")</f>
        <v>--</v>
      </c>
      <c r="X220" s="251" t="str">
        <f>IFERROR(__xludf.DUMMYFUNCTION("""COMPUTED_VALUE"""),"--")</f>
        <v>--</v>
      </c>
      <c r="Y220" s="251" t="str">
        <f>IFERROR(__xludf.DUMMYFUNCTION("""COMPUTED_VALUE"""),"--")</f>
        <v>--</v>
      </c>
      <c r="Z220" s="251" t="str">
        <f>IFERROR(__xludf.DUMMYFUNCTION("""COMPUTED_VALUE"""),"--")</f>
        <v>--</v>
      </c>
      <c r="AA220" s="251" t="str">
        <f>IFERROR(__xludf.DUMMYFUNCTION("""COMPUTED_VALUE"""),"--")</f>
        <v>--</v>
      </c>
      <c r="AB220" s="251" t="str">
        <f>IFERROR(__xludf.DUMMYFUNCTION("""COMPUTED_VALUE"""),"--")</f>
        <v>--</v>
      </c>
      <c r="AC220" s="251" t="str">
        <f>IFERROR(__xludf.DUMMYFUNCTION("""COMPUTED_VALUE"""),"--")</f>
        <v>--</v>
      </c>
      <c r="AD220" s="251">
        <f>IFERROR(__xludf.DUMMYFUNCTION("""COMPUTED_VALUE"""),1.0)</f>
        <v>1</v>
      </c>
      <c r="AE220" s="251" t="str">
        <f>IFERROR(__xludf.DUMMYFUNCTION("""COMPUTED_VALUE"""),"Carnivore")</f>
        <v>Carnivore</v>
      </c>
    </row>
    <row r="221">
      <c r="A221" s="251" t="str">
        <f>IFERROR(__xludf.DUMMYFUNCTION("""COMPUTED_VALUE"""),"Dartrix")</f>
        <v>Dartrix</v>
      </c>
      <c r="B221" s="251" t="str">
        <f>IFERROR(__xludf.DUMMYFUNCTION("""COMPUTED_VALUE"""),"Grass")</f>
        <v>Grass</v>
      </c>
      <c r="C221" s="251" t="str">
        <f>IFERROR(__xludf.DUMMYFUNCTION("""COMPUTED_VALUE"""),"Flying")</f>
        <v>Flying</v>
      </c>
      <c r="D221" s="251">
        <f>IFERROR(__xludf.DUMMYFUNCTION("""COMPUTED_VALUE"""),8.0)</f>
        <v>8</v>
      </c>
      <c r="E221" s="251">
        <f>IFERROR(__xludf.DUMMYFUNCTION("""COMPUTED_VALUE"""),8.0)</f>
        <v>8</v>
      </c>
      <c r="F221" s="251">
        <f>IFERROR(__xludf.DUMMYFUNCTION("""COMPUTED_VALUE"""),8.0)</f>
        <v>8</v>
      </c>
      <c r="G221" s="251">
        <f>IFERROR(__xludf.DUMMYFUNCTION("""COMPUTED_VALUE"""),7.0)</f>
        <v>7</v>
      </c>
      <c r="H221" s="251">
        <f>IFERROR(__xludf.DUMMYFUNCTION("""COMPUTED_VALUE"""),7.0)</f>
        <v>7</v>
      </c>
      <c r="I221" s="251">
        <f>IFERROR(__xludf.DUMMYFUNCTION("""COMPUTED_VALUE"""),5.0)</f>
        <v>5</v>
      </c>
      <c r="J221" s="251">
        <f>IFERROR(__xludf.DUMMYFUNCTION("""COMPUTED_VALUE"""),2.0)</f>
        <v>2</v>
      </c>
      <c r="K221" s="251" t="str">
        <f>IFERROR(__xludf.DUMMYFUNCTION("""COMPUTED_VALUE"""),"Small")</f>
        <v>Small</v>
      </c>
      <c r="L221" s="251">
        <f>IFERROR(__xludf.DUMMYFUNCTION("""COMPUTED_VALUE"""),2.0)</f>
        <v>2</v>
      </c>
      <c r="M221" s="251" t="str">
        <f>IFERROR(__xludf.DUMMYFUNCTION("""COMPUTED_VALUE"""),"Grasslands, Forest")</f>
        <v>Grasslands, Forest</v>
      </c>
      <c r="N221" s="251" t="str">
        <f>IFERROR(__xludf.DUMMYFUNCTION("""COMPUTED_VALUE"""),"Flier")</f>
        <v>Flier</v>
      </c>
      <c r="O221" s="251" t="str">
        <f>IFERROR(__xludf.DUMMYFUNCTION("""COMPUTED_VALUE"""),"--")</f>
        <v>--</v>
      </c>
      <c r="P221" s="251" t="str">
        <f>IFERROR(__xludf.DUMMYFUNCTION("""COMPUTED_VALUE"""),"--")</f>
        <v>--</v>
      </c>
      <c r="Q221" s="251" t="str">
        <f>IFERROR(__xludf.DUMMYFUNCTION("""COMPUTED_VALUE"""),"--")</f>
        <v>--</v>
      </c>
      <c r="R221" s="251" t="str">
        <f>IFERROR(__xludf.DUMMYFUNCTION("""COMPUTED_VALUE"""),"Darkvision")</f>
        <v>Darkvision</v>
      </c>
      <c r="S221" s="251" t="str">
        <f>IFERROR(__xludf.DUMMYFUNCTION("""COMPUTED_VALUE"""),"Underdog")</f>
        <v>Underdog</v>
      </c>
      <c r="T221" s="251" t="str">
        <f>IFERROR(__xludf.DUMMYFUNCTION("""COMPUTED_VALUE"""),"--")</f>
        <v>--</v>
      </c>
      <c r="U221" s="251" t="str">
        <f>IFERROR(__xludf.DUMMYFUNCTION("""COMPUTED_VALUE"""),"--")</f>
        <v>--</v>
      </c>
      <c r="V221" s="251" t="str">
        <f>IFERROR(__xludf.DUMMYFUNCTION("""COMPUTED_VALUE"""),"--")</f>
        <v>--</v>
      </c>
      <c r="W221" s="251" t="str">
        <f>IFERROR(__xludf.DUMMYFUNCTION("""COMPUTED_VALUE"""),"--")</f>
        <v>--</v>
      </c>
      <c r="X221" s="251" t="str">
        <f>IFERROR(__xludf.DUMMYFUNCTION("""COMPUTED_VALUE"""),"--")</f>
        <v>--</v>
      </c>
      <c r="Y221" s="251" t="str">
        <f>IFERROR(__xludf.DUMMYFUNCTION("""COMPUTED_VALUE"""),"--")</f>
        <v>--</v>
      </c>
      <c r="Z221" s="251" t="str">
        <f>IFERROR(__xludf.DUMMYFUNCTION("""COMPUTED_VALUE"""),"--")</f>
        <v>--</v>
      </c>
      <c r="AA221" s="251" t="str">
        <f>IFERROR(__xludf.DUMMYFUNCTION("""COMPUTED_VALUE"""),"--")</f>
        <v>--</v>
      </c>
      <c r="AB221" s="251" t="str">
        <f>IFERROR(__xludf.DUMMYFUNCTION("""COMPUTED_VALUE"""),"--")</f>
        <v>--</v>
      </c>
      <c r="AC221" s="251" t="str">
        <f>IFERROR(__xludf.DUMMYFUNCTION("""COMPUTED_VALUE"""),"--")</f>
        <v>--</v>
      </c>
      <c r="AD221" s="251">
        <f>IFERROR(__xludf.DUMMYFUNCTION("""COMPUTED_VALUE"""),2.0)</f>
        <v>2</v>
      </c>
      <c r="AE221" s="251" t="str">
        <f>IFERROR(__xludf.DUMMYFUNCTION("""COMPUTED_VALUE"""),"Carnivore")</f>
        <v>Carnivore</v>
      </c>
    </row>
    <row r="222">
      <c r="A222" s="251" t="str">
        <f>IFERROR(__xludf.DUMMYFUNCTION("""COMPUTED_VALUE"""),"Decidueye")</f>
        <v>Decidueye</v>
      </c>
      <c r="B222" s="251" t="str">
        <f>IFERROR(__xludf.DUMMYFUNCTION("""COMPUTED_VALUE"""),"Grass")</f>
        <v>Grass</v>
      </c>
      <c r="C222" s="251" t="str">
        <f>IFERROR(__xludf.DUMMYFUNCTION("""COMPUTED_VALUE"""),"Ghost")</f>
        <v>Ghost</v>
      </c>
      <c r="D222" s="251">
        <f>IFERROR(__xludf.DUMMYFUNCTION("""COMPUTED_VALUE"""),8.0)</f>
        <v>8</v>
      </c>
      <c r="E222" s="251">
        <f>IFERROR(__xludf.DUMMYFUNCTION("""COMPUTED_VALUE"""),11.0)</f>
        <v>11</v>
      </c>
      <c r="F222" s="251">
        <f>IFERROR(__xludf.DUMMYFUNCTION("""COMPUTED_VALUE"""),8.0)</f>
        <v>8</v>
      </c>
      <c r="G222" s="251">
        <f>IFERROR(__xludf.DUMMYFUNCTION("""COMPUTED_VALUE"""),10.0)</f>
        <v>10</v>
      </c>
      <c r="H222" s="251">
        <f>IFERROR(__xludf.DUMMYFUNCTION("""COMPUTED_VALUE"""),10.0)</f>
        <v>10</v>
      </c>
      <c r="I222" s="251">
        <f>IFERROR(__xludf.DUMMYFUNCTION("""COMPUTED_VALUE"""),9.0)</f>
        <v>9</v>
      </c>
      <c r="J222" s="251">
        <f>IFERROR(__xludf.DUMMYFUNCTION("""COMPUTED_VALUE"""),4.0)</f>
        <v>4</v>
      </c>
      <c r="K222" s="251" t="str">
        <f>IFERROR(__xludf.DUMMYFUNCTION("""COMPUTED_VALUE"""),"Medium")</f>
        <v>Medium</v>
      </c>
      <c r="L222" s="251">
        <f>IFERROR(__xludf.DUMMYFUNCTION("""COMPUTED_VALUE"""),3.0)</f>
        <v>3</v>
      </c>
      <c r="M222" s="251" t="str">
        <f>IFERROR(__xludf.DUMMYFUNCTION("""COMPUTED_VALUE"""),"Grasslands, Forest")</f>
        <v>Grasslands, Forest</v>
      </c>
      <c r="N222" s="251" t="str">
        <f>IFERROR(__xludf.DUMMYFUNCTION("""COMPUTED_VALUE"""),"Flier")</f>
        <v>Flier</v>
      </c>
      <c r="O222" s="251" t="str">
        <f>IFERROR(__xludf.DUMMYFUNCTION("""COMPUTED_VALUE"""),"--")</f>
        <v>--</v>
      </c>
      <c r="P222" s="251" t="str">
        <f>IFERROR(__xludf.DUMMYFUNCTION("""COMPUTED_VALUE"""),"--")</f>
        <v>--</v>
      </c>
      <c r="Q222" s="251" t="str">
        <f>IFERROR(__xludf.DUMMYFUNCTION("""COMPUTED_VALUE"""),"--")</f>
        <v>--</v>
      </c>
      <c r="R222" s="251" t="str">
        <f>IFERROR(__xludf.DUMMYFUNCTION("""COMPUTED_VALUE"""),"Darkvision")</f>
        <v>Darkvision</v>
      </c>
      <c r="S222" s="251" t="str">
        <f>IFERROR(__xludf.DUMMYFUNCTION("""COMPUTED_VALUE"""),"Wielder (Ranged)")</f>
        <v>Wielder (Ranged)</v>
      </c>
      <c r="T222" s="251" t="str">
        <f>IFERROR(__xludf.DUMMYFUNCTION("""COMPUTED_VALUE"""),"--")</f>
        <v>--</v>
      </c>
      <c r="U222" s="251" t="str">
        <f>IFERROR(__xludf.DUMMYFUNCTION("""COMPUTED_VALUE"""),"--")</f>
        <v>--</v>
      </c>
      <c r="V222" s="251" t="str">
        <f>IFERROR(__xludf.DUMMYFUNCTION("""COMPUTED_VALUE"""),"Dead Silent")</f>
        <v>Dead Silent</v>
      </c>
      <c r="W222" s="251" t="str">
        <f>IFERROR(__xludf.DUMMYFUNCTION("""COMPUTED_VALUE"""),"--")</f>
        <v>--</v>
      </c>
      <c r="X222" s="251" t="str">
        <f>IFERROR(__xludf.DUMMYFUNCTION("""COMPUTED_VALUE"""),"--")</f>
        <v>--</v>
      </c>
      <c r="Y222" s="251" t="str">
        <f>IFERROR(__xludf.DUMMYFUNCTION("""COMPUTED_VALUE"""),"--")</f>
        <v>--</v>
      </c>
      <c r="Z222" s="251" t="str">
        <f>IFERROR(__xludf.DUMMYFUNCTION("""COMPUTED_VALUE"""),"--")</f>
        <v>--</v>
      </c>
      <c r="AA222" s="251" t="str">
        <f>IFERROR(__xludf.DUMMYFUNCTION("""COMPUTED_VALUE"""),"--")</f>
        <v>--</v>
      </c>
      <c r="AB222" s="251" t="str">
        <f>IFERROR(__xludf.DUMMYFUNCTION("""COMPUTED_VALUE"""),"--")</f>
        <v>--</v>
      </c>
      <c r="AC222" s="251" t="str">
        <f>IFERROR(__xludf.DUMMYFUNCTION("""COMPUTED_VALUE"""),"--")</f>
        <v>--</v>
      </c>
      <c r="AD222" s="251">
        <f>IFERROR(__xludf.DUMMYFUNCTION("""COMPUTED_VALUE"""),3.0)</f>
        <v>3</v>
      </c>
      <c r="AE222" s="251" t="str">
        <f>IFERROR(__xludf.DUMMYFUNCTION("""COMPUTED_VALUE"""),"Carnivore")</f>
        <v>Carnivore</v>
      </c>
    </row>
    <row r="223">
      <c r="A223" s="251" t="str">
        <f>IFERROR(__xludf.DUMMYFUNCTION("""COMPUTED_VALUE"""),"Hisuian Decidueye")</f>
        <v>Hisuian Decidueye</v>
      </c>
      <c r="B223" s="251" t="str">
        <f>IFERROR(__xludf.DUMMYFUNCTION("""COMPUTED_VALUE"""),"Grass")</f>
        <v>Grass</v>
      </c>
      <c r="C223" s="251" t="str">
        <f>IFERROR(__xludf.DUMMYFUNCTION("""COMPUTED_VALUE"""),"Fighting")</f>
        <v>Fighting</v>
      </c>
      <c r="D223" s="251">
        <f>IFERROR(__xludf.DUMMYFUNCTION("""COMPUTED_VALUE"""),8.0)</f>
        <v>8</v>
      </c>
      <c r="E223" s="251">
        <f>IFERROR(__xludf.DUMMYFUNCTION("""COMPUTED_VALUE"""),11.0)</f>
        <v>11</v>
      </c>
      <c r="F223" s="251">
        <f>IFERROR(__xludf.DUMMYFUNCTION("""COMPUTED_VALUE"""),9.0)</f>
        <v>9</v>
      </c>
      <c r="G223" s="251">
        <f>IFERROR(__xludf.DUMMYFUNCTION("""COMPUTED_VALUE"""),10.0)</f>
        <v>10</v>
      </c>
      <c r="H223" s="251">
        <f>IFERROR(__xludf.DUMMYFUNCTION("""COMPUTED_VALUE"""),8.0)</f>
        <v>8</v>
      </c>
      <c r="I223" s="251">
        <f>IFERROR(__xludf.DUMMYFUNCTION("""COMPUTED_VALUE"""),10.0)</f>
        <v>10</v>
      </c>
      <c r="J223" s="251">
        <f>IFERROR(__xludf.DUMMYFUNCTION("""COMPUTED_VALUE"""),7.0)</f>
        <v>7</v>
      </c>
      <c r="K223" s="251" t="str">
        <f>IFERROR(__xludf.DUMMYFUNCTION("""COMPUTED_VALUE"""),"Medium")</f>
        <v>Medium</v>
      </c>
      <c r="L223" s="251">
        <f>IFERROR(__xludf.DUMMYFUNCTION("""COMPUTED_VALUE"""),3.0)</f>
        <v>3</v>
      </c>
      <c r="M223" s="251" t="str">
        <f>IFERROR(__xludf.DUMMYFUNCTION("""COMPUTED_VALUE"""),"Grasslands, Mountain")</f>
        <v>Grasslands, Mountain</v>
      </c>
      <c r="N223" s="251" t="str">
        <f>IFERROR(__xludf.DUMMYFUNCTION("""COMPUTED_VALUE"""),"Flier")</f>
        <v>Flier</v>
      </c>
      <c r="O223" s="251" t="str">
        <f>IFERROR(__xludf.DUMMYFUNCTION("""COMPUTED_VALUE"""),"Quick")</f>
        <v>Quick</v>
      </c>
      <c r="P223" s="251" t="str">
        <f>IFERROR(__xludf.DUMMYFUNCTION("""COMPUTED_VALUE"""),"--")</f>
        <v>--</v>
      </c>
      <c r="Q223" s="251" t="str">
        <f>IFERROR(__xludf.DUMMYFUNCTION("""COMPUTED_VALUE"""),"--")</f>
        <v>--</v>
      </c>
      <c r="R223" s="251" t="str">
        <f>IFERROR(__xludf.DUMMYFUNCTION("""COMPUTED_VALUE"""),"--")</f>
        <v>--</v>
      </c>
      <c r="S223" s="251" t="str">
        <f>IFERROR(__xludf.DUMMYFUNCTION("""COMPUTED_VALUE"""),"--")</f>
        <v>--</v>
      </c>
      <c r="T223" s="251" t="str">
        <f>IFERROR(__xludf.DUMMYFUNCTION("""COMPUTED_VALUE"""),"--")</f>
        <v>--</v>
      </c>
      <c r="U223" s="251" t="str">
        <f>IFERROR(__xludf.DUMMYFUNCTION("""COMPUTED_VALUE"""),"--")</f>
        <v>--</v>
      </c>
      <c r="V223" s="251" t="str">
        <f>IFERROR(__xludf.DUMMYFUNCTION("""COMPUTED_VALUE"""),"Aura Reader")</f>
        <v>Aura Reader</v>
      </c>
      <c r="W223" s="251" t="str">
        <f>IFERROR(__xludf.DUMMYFUNCTION("""COMPUTED_VALUE"""),"Dead Silent")</f>
        <v>Dead Silent</v>
      </c>
      <c r="X223" s="251" t="str">
        <f>IFERROR(__xludf.DUMMYFUNCTION("""COMPUTED_VALUE"""),"--")</f>
        <v>--</v>
      </c>
      <c r="Y223" s="251" t="str">
        <f>IFERROR(__xludf.DUMMYFUNCTION("""COMPUTED_VALUE"""),"--")</f>
        <v>--</v>
      </c>
      <c r="Z223" s="251" t="str">
        <f>IFERROR(__xludf.DUMMYFUNCTION("""COMPUTED_VALUE"""),"--")</f>
        <v>--</v>
      </c>
      <c r="AA223" s="251" t="str">
        <f>IFERROR(__xludf.DUMMYFUNCTION("""COMPUTED_VALUE"""),"--")</f>
        <v>--</v>
      </c>
      <c r="AB223" s="251" t="str">
        <f>IFERROR(__xludf.DUMMYFUNCTION("""COMPUTED_VALUE"""),"--")</f>
        <v>--</v>
      </c>
      <c r="AC223" s="251" t="str">
        <f>IFERROR(__xludf.DUMMYFUNCTION("""COMPUTED_VALUE"""),"--")</f>
        <v>--</v>
      </c>
      <c r="AD223" s="251">
        <f>IFERROR(__xludf.DUMMYFUNCTION("""COMPUTED_VALUE"""),3.0)</f>
        <v>3</v>
      </c>
      <c r="AE223" s="251" t="str">
        <f>IFERROR(__xludf.DUMMYFUNCTION("""COMPUTED_VALUE"""),"Carnivore")</f>
        <v>Carnivore</v>
      </c>
    </row>
    <row r="224">
      <c r="A224" s="251" t="str">
        <f>IFERROR(__xludf.DUMMYFUNCTION("""COMPUTED_VALUE"""),"Grookey")</f>
        <v>Grookey</v>
      </c>
      <c r="B224" s="251" t="str">
        <f>IFERROR(__xludf.DUMMYFUNCTION("""COMPUTED_VALUE"""),"Grass")</f>
        <v>Grass</v>
      </c>
      <c r="C224" s="251" t="str">
        <f>IFERROR(__xludf.DUMMYFUNCTION("""COMPUTED_VALUE"""),"None")</f>
        <v>None</v>
      </c>
      <c r="D224" s="251">
        <f>IFERROR(__xludf.DUMMYFUNCTION("""COMPUTED_VALUE"""),5.0)</f>
        <v>5</v>
      </c>
      <c r="E224" s="251">
        <f>IFERROR(__xludf.DUMMYFUNCTION("""COMPUTED_VALUE"""),7.0)</f>
        <v>7</v>
      </c>
      <c r="F224" s="251">
        <f>IFERROR(__xludf.DUMMYFUNCTION("""COMPUTED_VALUE"""),5.0)</f>
        <v>5</v>
      </c>
      <c r="G224" s="251">
        <f>IFERROR(__xludf.DUMMYFUNCTION("""COMPUTED_VALUE"""),4.0)</f>
        <v>4</v>
      </c>
      <c r="H224" s="251">
        <f>IFERROR(__xludf.DUMMYFUNCTION("""COMPUTED_VALUE"""),4.0)</f>
        <v>4</v>
      </c>
      <c r="I224" s="251">
        <f>IFERROR(__xludf.DUMMYFUNCTION("""COMPUTED_VALUE"""),7.0)</f>
        <v>7</v>
      </c>
      <c r="J224" s="251">
        <f>IFERROR(__xludf.DUMMYFUNCTION("""COMPUTED_VALUE"""),2.0)</f>
        <v>2</v>
      </c>
      <c r="K224" s="251" t="str">
        <f>IFERROR(__xludf.DUMMYFUNCTION("""COMPUTED_VALUE"""),"Small")</f>
        <v>Small</v>
      </c>
      <c r="L224" s="251">
        <f>IFERROR(__xludf.DUMMYFUNCTION("""COMPUTED_VALUE"""),1.0)</f>
        <v>1</v>
      </c>
      <c r="M224" s="251" t="str">
        <f>IFERROR(__xludf.DUMMYFUNCTION("""COMPUTED_VALUE"""),"Forest")</f>
        <v>Forest</v>
      </c>
      <c r="N224" s="251" t="str">
        <f>IFERROR(__xludf.DUMMYFUNCTION("""COMPUTED_VALUE"""),"Climber")</f>
        <v>Climber</v>
      </c>
      <c r="O224" s="251" t="str">
        <f>IFERROR(__xludf.DUMMYFUNCTION("""COMPUTED_VALUE"""),"Jumper")</f>
        <v>Jumper</v>
      </c>
      <c r="P224" s="251" t="str">
        <f>IFERROR(__xludf.DUMMYFUNCTION("""COMPUTED_VALUE"""),"--")</f>
        <v>--</v>
      </c>
      <c r="Q224" s="251" t="str">
        <f>IFERROR(__xludf.DUMMYFUNCTION("""COMPUTED_VALUE"""),"--")</f>
        <v>--</v>
      </c>
      <c r="R224" s="251" t="str">
        <f>IFERROR(__xludf.DUMMYFUNCTION("""COMPUTED_VALUE"""),"Underdog")</f>
        <v>Underdog</v>
      </c>
      <c r="S224" s="251" t="str">
        <f>IFERROR(__xludf.DUMMYFUNCTION("""COMPUTED_VALUE"""),"--")</f>
        <v>--</v>
      </c>
      <c r="T224" s="251" t="str">
        <f>IFERROR(__xludf.DUMMYFUNCTION("""COMPUTED_VALUE"""),"--")</f>
        <v>--</v>
      </c>
      <c r="U224" s="251" t="str">
        <f>IFERROR(__xludf.DUMMYFUNCTION("""COMPUTED_VALUE"""),"--")</f>
        <v>--</v>
      </c>
      <c r="V224" s="251" t="str">
        <f>IFERROR(__xludf.DUMMYFUNCTION("""COMPUTED_VALUE"""),"Pack Mon")</f>
        <v>Pack Mon</v>
      </c>
      <c r="W224" s="251" t="str">
        <f>IFERROR(__xludf.DUMMYFUNCTION("""COMPUTED_VALUE"""),"--")</f>
        <v>--</v>
      </c>
      <c r="X224" s="251" t="str">
        <f>IFERROR(__xludf.DUMMYFUNCTION("""COMPUTED_VALUE"""),"--")</f>
        <v>--</v>
      </c>
      <c r="Y224" s="251" t="str">
        <f>IFERROR(__xludf.DUMMYFUNCTION("""COMPUTED_VALUE"""),"--")</f>
        <v>--</v>
      </c>
      <c r="Z224" s="251" t="str">
        <f>IFERROR(__xludf.DUMMYFUNCTION("""COMPUTED_VALUE"""),"--")</f>
        <v>--</v>
      </c>
      <c r="AA224" s="251" t="str">
        <f>IFERROR(__xludf.DUMMYFUNCTION("""COMPUTED_VALUE"""),"--")</f>
        <v>--</v>
      </c>
      <c r="AB224" s="251" t="str">
        <f>IFERROR(__xludf.DUMMYFUNCTION("""COMPUTED_VALUE"""),"--")</f>
        <v>--</v>
      </c>
      <c r="AC224" s="251" t="str">
        <f>IFERROR(__xludf.DUMMYFUNCTION("""COMPUTED_VALUE"""),"--")</f>
        <v>--</v>
      </c>
      <c r="AD224" s="251">
        <f>IFERROR(__xludf.DUMMYFUNCTION("""COMPUTED_VALUE"""),1.0)</f>
        <v>1</v>
      </c>
      <c r="AE224" s="251" t="str">
        <f>IFERROR(__xludf.DUMMYFUNCTION("""COMPUTED_VALUE"""),"Herbivore")</f>
        <v>Herbivore</v>
      </c>
    </row>
    <row r="225">
      <c r="A225" s="251" t="str">
        <f>IFERROR(__xludf.DUMMYFUNCTION("""COMPUTED_VALUE"""),"Thwackey")</f>
        <v>Thwackey</v>
      </c>
      <c r="B225" s="251" t="str">
        <f>IFERROR(__xludf.DUMMYFUNCTION("""COMPUTED_VALUE"""),"Grass")</f>
        <v>Grass</v>
      </c>
      <c r="C225" s="251" t="str">
        <f>IFERROR(__xludf.DUMMYFUNCTION("""COMPUTED_VALUE"""),"None")</f>
        <v>None</v>
      </c>
      <c r="D225" s="251">
        <f>IFERROR(__xludf.DUMMYFUNCTION("""COMPUTED_VALUE"""),7.0)</f>
        <v>7</v>
      </c>
      <c r="E225" s="251">
        <f>IFERROR(__xludf.DUMMYFUNCTION("""COMPUTED_VALUE"""),9.0)</f>
        <v>9</v>
      </c>
      <c r="F225" s="251">
        <f>IFERROR(__xludf.DUMMYFUNCTION("""COMPUTED_VALUE"""),7.0)</f>
        <v>7</v>
      </c>
      <c r="G225" s="251">
        <f>IFERROR(__xludf.DUMMYFUNCTION("""COMPUTED_VALUE"""),6.0)</f>
        <v>6</v>
      </c>
      <c r="H225" s="251">
        <f>IFERROR(__xludf.DUMMYFUNCTION("""COMPUTED_VALUE"""),6.0)</f>
        <v>6</v>
      </c>
      <c r="I225" s="251">
        <f>IFERROR(__xludf.DUMMYFUNCTION("""COMPUTED_VALUE"""),7.0)</f>
        <v>7</v>
      </c>
      <c r="J225" s="251">
        <f>IFERROR(__xludf.DUMMYFUNCTION("""COMPUTED_VALUE"""),3.0)</f>
        <v>3</v>
      </c>
      <c r="K225" s="251" t="str">
        <f>IFERROR(__xludf.DUMMYFUNCTION("""COMPUTED_VALUE"""),"Small")</f>
        <v>Small</v>
      </c>
      <c r="L225" s="251">
        <f>IFERROR(__xludf.DUMMYFUNCTION("""COMPUTED_VALUE"""),2.0)</f>
        <v>2</v>
      </c>
      <c r="M225" s="251" t="str">
        <f>IFERROR(__xludf.DUMMYFUNCTION("""COMPUTED_VALUE"""),"Forest")</f>
        <v>Forest</v>
      </c>
      <c r="N225" s="251" t="str">
        <f>IFERROR(__xludf.DUMMYFUNCTION("""COMPUTED_VALUE"""),"Climber")</f>
        <v>Climber</v>
      </c>
      <c r="O225" s="251" t="str">
        <f>IFERROR(__xludf.DUMMYFUNCTION("""COMPUTED_VALUE"""),"Jumper")</f>
        <v>Jumper</v>
      </c>
      <c r="P225" s="251" t="str">
        <f>IFERROR(__xludf.DUMMYFUNCTION("""COMPUTED_VALUE"""),"--")</f>
        <v>--</v>
      </c>
      <c r="Q225" s="251" t="str">
        <f>IFERROR(__xludf.DUMMYFUNCTION("""COMPUTED_VALUE"""),"--")</f>
        <v>--</v>
      </c>
      <c r="R225" s="251" t="str">
        <f>IFERROR(__xludf.DUMMYFUNCTION("""COMPUTED_VALUE"""),"Underdog")</f>
        <v>Underdog</v>
      </c>
      <c r="S225" s="251" t="str">
        <f>IFERROR(__xludf.DUMMYFUNCTION("""COMPUTED_VALUE"""),"--")</f>
        <v>--</v>
      </c>
      <c r="T225" s="251" t="str">
        <f>IFERROR(__xludf.DUMMYFUNCTION("""COMPUTED_VALUE"""),"--")</f>
        <v>--</v>
      </c>
      <c r="U225" s="251" t="str">
        <f>IFERROR(__xludf.DUMMYFUNCTION("""COMPUTED_VALUE"""),"--")</f>
        <v>--</v>
      </c>
      <c r="V225" s="251" t="str">
        <f>IFERROR(__xludf.DUMMYFUNCTION("""COMPUTED_VALUE"""),"Pack Mon")</f>
        <v>Pack Mon</v>
      </c>
      <c r="W225" s="251" t="str">
        <f>IFERROR(__xludf.DUMMYFUNCTION("""COMPUTED_VALUE"""),"--")</f>
        <v>--</v>
      </c>
      <c r="X225" s="251" t="str">
        <f>IFERROR(__xludf.DUMMYFUNCTION("""COMPUTED_VALUE"""),"--")</f>
        <v>--</v>
      </c>
      <c r="Y225" s="251" t="str">
        <f>IFERROR(__xludf.DUMMYFUNCTION("""COMPUTED_VALUE"""),"--")</f>
        <v>--</v>
      </c>
      <c r="Z225" s="251" t="str">
        <f>IFERROR(__xludf.DUMMYFUNCTION("""COMPUTED_VALUE"""),"--")</f>
        <v>--</v>
      </c>
      <c r="AA225" s="251" t="str">
        <f>IFERROR(__xludf.DUMMYFUNCTION("""COMPUTED_VALUE"""),"--")</f>
        <v>--</v>
      </c>
      <c r="AB225" s="251" t="str">
        <f>IFERROR(__xludf.DUMMYFUNCTION("""COMPUTED_VALUE"""),"--")</f>
        <v>--</v>
      </c>
      <c r="AC225" s="251" t="str">
        <f>IFERROR(__xludf.DUMMYFUNCTION("""COMPUTED_VALUE"""),"--")</f>
        <v>--</v>
      </c>
      <c r="AD225" s="251">
        <f>IFERROR(__xludf.DUMMYFUNCTION("""COMPUTED_VALUE"""),2.0)</f>
        <v>2</v>
      </c>
      <c r="AE225" s="251" t="str">
        <f>IFERROR(__xludf.DUMMYFUNCTION("""COMPUTED_VALUE"""),"Herbivore")</f>
        <v>Herbivore</v>
      </c>
    </row>
    <row r="226">
      <c r="A226" s="251" t="str">
        <f>IFERROR(__xludf.DUMMYFUNCTION("""COMPUTED_VALUE"""),"Rillaboom")</f>
        <v>Rillaboom</v>
      </c>
      <c r="B226" s="251" t="str">
        <f>IFERROR(__xludf.DUMMYFUNCTION("""COMPUTED_VALUE"""),"Grass")</f>
        <v>Grass</v>
      </c>
      <c r="C226" s="251" t="str">
        <f>IFERROR(__xludf.DUMMYFUNCTION("""COMPUTED_VALUE"""),"None")</f>
        <v>None</v>
      </c>
      <c r="D226" s="251">
        <f>IFERROR(__xludf.DUMMYFUNCTION("""COMPUTED_VALUE"""),10.0)</f>
        <v>10</v>
      </c>
      <c r="E226" s="251">
        <f>IFERROR(__xludf.DUMMYFUNCTION("""COMPUTED_VALUE"""),13.0)</f>
        <v>13</v>
      </c>
      <c r="F226" s="251">
        <f>IFERROR(__xludf.DUMMYFUNCTION("""COMPUTED_VALUE"""),9.0)</f>
        <v>9</v>
      </c>
      <c r="G226" s="251">
        <f>IFERROR(__xludf.DUMMYFUNCTION("""COMPUTED_VALUE"""),6.0)</f>
        <v>6</v>
      </c>
      <c r="H226" s="251">
        <f>IFERROR(__xludf.DUMMYFUNCTION("""COMPUTED_VALUE"""),7.0)</f>
        <v>7</v>
      </c>
      <c r="I226" s="251">
        <f>IFERROR(__xludf.DUMMYFUNCTION("""COMPUTED_VALUE"""),9.0)</f>
        <v>9</v>
      </c>
      <c r="J226" s="251">
        <f>IFERROR(__xludf.DUMMYFUNCTION("""COMPUTED_VALUE"""),8.0)</f>
        <v>8</v>
      </c>
      <c r="K226" s="251" t="str">
        <f>IFERROR(__xludf.DUMMYFUNCTION("""COMPUTED_VALUE"""),"Large")</f>
        <v>Large</v>
      </c>
      <c r="L226" s="251">
        <f>IFERROR(__xludf.DUMMYFUNCTION("""COMPUTED_VALUE"""),4.0)</f>
        <v>4</v>
      </c>
      <c r="M226" s="251" t="str">
        <f>IFERROR(__xludf.DUMMYFUNCTION("""COMPUTED_VALUE"""),"Forest")</f>
        <v>Forest</v>
      </c>
      <c r="N226" s="251" t="str">
        <f>IFERROR(__xludf.DUMMYFUNCTION("""COMPUTED_VALUE"""),"Climber")</f>
        <v>Climber</v>
      </c>
      <c r="O226" s="251" t="str">
        <f>IFERROR(__xludf.DUMMYFUNCTION("""COMPUTED_VALUE"""),"Jumper")</f>
        <v>Jumper</v>
      </c>
      <c r="P226" s="251" t="str">
        <f>IFERROR(__xludf.DUMMYFUNCTION("""COMPUTED_VALUE"""),"--")</f>
        <v>--</v>
      </c>
      <c r="Q226" s="251" t="str">
        <f>IFERROR(__xludf.DUMMYFUNCTION("""COMPUTED_VALUE"""),"--")</f>
        <v>--</v>
      </c>
      <c r="R226" s="251" t="str">
        <f>IFERROR(__xludf.DUMMYFUNCTION("""COMPUTED_VALUE"""),"--")</f>
        <v>--</v>
      </c>
      <c r="S226" s="251" t="str">
        <f>IFERROR(__xludf.DUMMYFUNCTION("""COMPUTED_VALUE"""),"--")</f>
        <v>--</v>
      </c>
      <c r="T226" s="251" t="str">
        <f>IFERROR(__xludf.DUMMYFUNCTION("""COMPUTED_VALUE"""),"--")</f>
        <v>--</v>
      </c>
      <c r="U226" s="251" t="str">
        <f>IFERROR(__xludf.DUMMYFUNCTION("""COMPUTED_VALUE"""),"--")</f>
        <v>--</v>
      </c>
      <c r="V226" s="251" t="str">
        <f>IFERROR(__xludf.DUMMYFUNCTION("""COMPUTED_VALUE"""),"Pack Mon")</f>
        <v>Pack Mon</v>
      </c>
      <c r="W226" s="251" t="str">
        <f>IFERROR(__xludf.DUMMYFUNCTION("""COMPUTED_VALUE"""),"--")</f>
        <v>--</v>
      </c>
      <c r="X226" s="251" t="str">
        <f>IFERROR(__xludf.DUMMYFUNCTION("""COMPUTED_VALUE"""),"--")</f>
        <v>--</v>
      </c>
      <c r="Y226" s="251" t="str">
        <f>IFERROR(__xludf.DUMMYFUNCTION("""COMPUTED_VALUE"""),"--")</f>
        <v>--</v>
      </c>
      <c r="Z226" s="251" t="str">
        <f>IFERROR(__xludf.DUMMYFUNCTION("""COMPUTED_VALUE"""),"--")</f>
        <v>--</v>
      </c>
      <c r="AA226" s="251" t="str">
        <f>IFERROR(__xludf.DUMMYFUNCTION("""COMPUTED_VALUE"""),"--")</f>
        <v>--</v>
      </c>
      <c r="AB226" s="251" t="str">
        <f>IFERROR(__xludf.DUMMYFUNCTION("""COMPUTED_VALUE"""),"--")</f>
        <v>--</v>
      </c>
      <c r="AC226" s="251" t="str">
        <f>IFERROR(__xludf.DUMMYFUNCTION("""COMPUTED_VALUE"""),"--")</f>
        <v>--</v>
      </c>
      <c r="AD226" s="251">
        <f>IFERROR(__xludf.DUMMYFUNCTION("""COMPUTED_VALUE"""),3.0)</f>
        <v>3</v>
      </c>
      <c r="AE226" s="251" t="str">
        <f>IFERROR(__xludf.DUMMYFUNCTION("""COMPUTED_VALUE"""),"Herbivore")</f>
        <v>Herbivore</v>
      </c>
    </row>
    <row r="227">
      <c r="A227" s="251" t="str">
        <f>IFERROR(__xludf.DUMMYFUNCTION("""COMPUTED_VALUE"""),"Sprigatito")</f>
        <v>Sprigatito</v>
      </c>
      <c r="B227" s="251" t="str">
        <f>IFERROR(__xludf.DUMMYFUNCTION("""COMPUTED_VALUE"""),"Grass")</f>
        <v>Grass</v>
      </c>
      <c r="C227" s="251" t="str">
        <f>IFERROR(__xludf.DUMMYFUNCTION("""COMPUTED_VALUE"""),"None")</f>
        <v>None</v>
      </c>
      <c r="D227" s="251">
        <f>IFERROR(__xludf.DUMMYFUNCTION("""COMPUTED_VALUE"""),4.0)</f>
        <v>4</v>
      </c>
      <c r="E227" s="251">
        <f>IFERROR(__xludf.DUMMYFUNCTION("""COMPUTED_VALUE"""),6.0)</f>
        <v>6</v>
      </c>
      <c r="F227" s="251">
        <f>IFERROR(__xludf.DUMMYFUNCTION("""COMPUTED_VALUE"""),5.0)</f>
        <v>5</v>
      </c>
      <c r="G227" s="251">
        <f>IFERROR(__xludf.DUMMYFUNCTION("""COMPUTED_VALUE"""),5.0)</f>
        <v>5</v>
      </c>
      <c r="H227" s="251">
        <f>IFERROR(__xludf.DUMMYFUNCTION("""COMPUTED_VALUE"""),5.0)</f>
        <v>5</v>
      </c>
      <c r="I227" s="251">
        <f>IFERROR(__xludf.DUMMYFUNCTION("""COMPUTED_VALUE"""),7.0)</f>
        <v>7</v>
      </c>
      <c r="J227" s="251">
        <f>IFERROR(__xludf.DUMMYFUNCTION("""COMPUTED_VALUE"""),1.0)</f>
        <v>1</v>
      </c>
      <c r="K227" s="251" t="str">
        <f>IFERROR(__xludf.DUMMYFUNCTION("""COMPUTED_VALUE"""),"Small")</f>
        <v>Small</v>
      </c>
      <c r="L227" s="251">
        <f>IFERROR(__xludf.DUMMYFUNCTION("""COMPUTED_VALUE"""),1.0)</f>
        <v>1</v>
      </c>
      <c r="M227" s="251" t="str">
        <f>IFERROR(__xludf.DUMMYFUNCTION("""COMPUTED_VALUE"""),"Grasslands")</f>
        <v>Grasslands</v>
      </c>
      <c r="N227" s="251" t="str">
        <f>IFERROR(__xludf.DUMMYFUNCTION("""COMPUTED_VALUE"""),"--")</f>
        <v>--</v>
      </c>
      <c r="O227" s="251" t="str">
        <f>IFERROR(__xludf.DUMMYFUNCTION("""COMPUTED_VALUE"""),"--")</f>
        <v>--</v>
      </c>
      <c r="P227" s="251" t="str">
        <f>IFERROR(__xludf.DUMMYFUNCTION("""COMPUTED_VALUE"""),"--")</f>
        <v>--</v>
      </c>
      <c r="Q227" s="251" t="str">
        <f>IFERROR(__xludf.DUMMYFUNCTION("""COMPUTED_VALUE"""),"--")</f>
        <v>--</v>
      </c>
      <c r="R227" s="251" t="str">
        <f>IFERROR(__xludf.DUMMYFUNCTION("""COMPUTED_VALUE"""),"Underdog")</f>
        <v>Underdog</v>
      </c>
      <c r="S227" s="251" t="str">
        <f>IFERROR(__xludf.DUMMYFUNCTION("""COMPUTED_VALUE"""),"--")</f>
        <v>--</v>
      </c>
      <c r="T227" s="251" t="str">
        <f>IFERROR(__xludf.DUMMYFUNCTION("""COMPUTED_VALUE"""),"--")</f>
        <v>--</v>
      </c>
      <c r="U227" s="251" t="str">
        <f>IFERROR(__xludf.DUMMYFUNCTION("""COMPUTED_VALUE"""),"--")</f>
        <v>--</v>
      </c>
      <c r="V227" s="251" t="str">
        <f>IFERROR(__xludf.DUMMYFUNCTION("""COMPUTED_VALUE"""),"Alluring")</f>
        <v>Alluring</v>
      </c>
      <c r="W227" s="251" t="str">
        <f>IFERROR(__xludf.DUMMYFUNCTION("""COMPUTED_VALUE"""),"--")</f>
        <v>--</v>
      </c>
      <c r="X227" s="251" t="str">
        <f>IFERROR(__xludf.DUMMYFUNCTION("""COMPUTED_VALUE"""),"--")</f>
        <v>--</v>
      </c>
      <c r="Y227" s="251" t="str">
        <f>IFERROR(__xludf.DUMMYFUNCTION("""COMPUTED_VALUE"""),"--")</f>
        <v>--</v>
      </c>
      <c r="Z227" s="251" t="str">
        <f>IFERROR(__xludf.DUMMYFUNCTION("""COMPUTED_VALUE"""),"--")</f>
        <v>--</v>
      </c>
      <c r="AA227" s="251" t="str">
        <f>IFERROR(__xludf.DUMMYFUNCTION("""COMPUTED_VALUE"""),"--")</f>
        <v>--</v>
      </c>
      <c r="AB227" s="251" t="str">
        <f>IFERROR(__xludf.DUMMYFUNCTION("""COMPUTED_VALUE"""),"--")</f>
        <v>--</v>
      </c>
      <c r="AC227" s="251" t="str">
        <f>IFERROR(__xludf.DUMMYFUNCTION("""COMPUTED_VALUE"""),"--")</f>
        <v>--</v>
      </c>
      <c r="AD227" s="251">
        <f>IFERROR(__xludf.DUMMYFUNCTION("""COMPUTED_VALUE"""),1.0)</f>
        <v>1</v>
      </c>
      <c r="AE227" s="251" t="str">
        <f>IFERROR(__xludf.DUMMYFUNCTION("""COMPUTED_VALUE"""),"Carnivore")</f>
        <v>Carnivore</v>
      </c>
    </row>
    <row r="228">
      <c r="A228" s="251" t="str">
        <f>IFERROR(__xludf.DUMMYFUNCTION("""COMPUTED_VALUE"""),"Floragato")</f>
        <v>Floragato</v>
      </c>
      <c r="B228" s="251" t="str">
        <f>IFERROR(__xludf.DUMMYFUNCTION("""COMPUTED_VALUE"""),"Grass")</f>
        <v>Grass</v>
      </c>
      <c r="C228" s="251" t="str">
        <f>IFERROR(__xludf.DUMMYFUNCTION("""COMPUTED_VALUE"""),"None")</f>
        <v>None</v>
      </c>
      <c r="D228" s="251">
        <f>IFERROR(__xludf.DUMMYFUNCTION("""COMPUTED_VALUE"""),6.0)</f>
        <v>6</v>
      </c>
      <c r="E228" s="251">
        <f>IFERROR(__xludf.DUMMYFUNCTION("""COMPUTED_VALUE"""),8.0)</f>
        <v>8</v>
      </c>
      <c r="F228" s="251">
        <f>IFERROR(__xludf.DUMMYFUNCTION("""COMPUTED_VALUE"""),6.0)</f>
        <v>6</v>
      </c>
      <c r="G228" s="251">
        <f>IFERROR(__xludf.DUMMYFUNCTION("""COMPUTED_VALUE"""),6.0)</f>
        <v>6</v>
      </c>
      <c r="H228" s="251">
        <f>IFERROR(__xludf.DUMMYFUNCTION("""COMPUTED_VALUE"""),6.0)</f>
        <v>6</v>
      </c>
      <c r="I228" s="251">
        <f>IFERROR(__xludf.DUMMYFUNCTION("""COMPUTED_VALUE"""),8.0)</f>
        <v>8</v>
      </c>
      <c r="J228" s="251">
        <f>IFERROR(__xludf.DUMMYFUNCTION("""COMPUTED_VALUE"""),2.0)</f>
        <v>2</v>
      </c>
      <c r="K228" s="251" t="str">
        <f>IFERROR(__xludf.DUMMYFUNCTION("""COMPUTED_VALUE"""),"Small")</f>
        <v>Small</v>
      </c>
      <c r="L228" s="251">
        <f>IFERROR(__xludf.DUMMYFUNCTION("""COMPUTED_VALUE"""),2.0)</f>
        <v>2</v>
      </c>
      <c r="M228" s="251" t="str">
        <f>IFERROR(__xludf.DUMMYFUNCTION("""COMPUTED_VALUE"""),"Grasslands")</f>
        <v>Grasslands</v>
      </c>
      <c r="N228" s="251" t="str">
        <f>IFERROR(__xludf.DUMMYFUNCTION("""COMPUTED_VALUE"""),"--")</f>
        <v>--</v>
      </c>
      <c r="O228" s="251" t="str">
        <f>IFERROR(__xludf.DUMMYFUNCTION("""COMPUTED_VALUE"""),"--")</f>
        <v>--</v>
      </c>
      <c r="P228" s="251" t="str">
        <f>IFERROR(__xludf.DUMMYFUNCTION("""COMPUTED_VALUE"""),"--")</f>
        <v>--</v>
      </c>
      <c r="Q228" s="251" t="str">
        <f>IFERROR(__xludf.DUMMYFUNCTION("""COMPUTED_VALUE"""),"--")</f>
        <v>--</v>
      </c>
      <c r="R228" s="251" t="str">
        <f>IFERROR(__xludf.DUMMYFUNCTION("""COMPUTED_VALUE"""),"Reach")</f>
        <v>Reach</v>
      </c>
      <c r="S228" s="251" t="str">
        <f>IFERROR(__xludf.DUMMYFUNCTION("""COMPUTED_VALUE"""),"Underdog")</f>
        <v>Underdog</v>
      </c>
      <c r="T228" s="251" t="str">
        <f>IFERROR(__xludf.DUMMYFUNCTION("""COMPUTED_VALUE"""),"--")</f>
        <v>--</v>
      </c>
      <c r="U228" s="251" t="str">
        <f>IFERROR(__xludf.DUMMYFUNCTION("""COMPUTED_VALUE"""),"--")</f>
        <v>--</v>
      </c>
      <c r="V228" s="251" t="str">
        <f>IFERROR(__xludf.DUMMYFUNCTION("""COMPUTED_VALUE"""),"Alluring")</f>
        <v>Alluring</v>
      </c>
      <c r="W228" s="251" t="str">
        <f>IFERROR(__xludf.DUMMYFUNCTION("""COMPUTED_VALUE"""),"--")</f>
        <v>--</v>
      </c>
      <c r="X228" s="251" t="str">
        <f>IFERROR(__xludf.DUMMYFUNCTION("""COMPUTED_VALUE"""),"--")</f>
        <v>--</v>
      </c>
      <c r="Y228" s="251" t="str">
        <f>IFERROR(__xludf.DUMMYFUNCTION("""COMPUTED_VALUE"""),"--")</f>
        <v>--</v>
      </c>
      <c r="Z228" s="251" t="str">
        <f>IFERROR(__xludf.DUMMYFUNCTION("""COMPUTED_VALUE"""),"--")</f>
        <v>--</v>
      </c>
      <c r="AA228" s="251" t="str">
        <f>IFERROR(__xludf.DUMMYFUNCTION("""COMPUTED_VALUE"""),"--")</f>
        <v>--</v>
      </c>
      <c r="AB228" s="251" t="str">
        <f>IFERROR(__xludf.DUMMYFUNCTION("""COMPUTED_VALUE"""),"--")</f>
        <v>--</v>
      </c>
      <c r="AC228" s="251" t="str">
        <f>IFERROR(__xludf.DUMMYFUNCTION("""COMPUTED_VALUE"""),"--")</f>
        <v>--</v>
      </c>
      <c r="AD228" s="251">
        <f>IFERROR(__xludf.DUMMYFUNCTION("""COMPUTED_VALUE"""),2.0)</f>
        <v>2</v>
      </c>
      <c r="AE228" s="251" t="str">
        <f>IFERROR(__xludf.DUMMYFUNCTION("""COMPUTED_VALUE"""),"Carnivore")</f>
        <v>Carnivore</v>
      </c>
    </row>
    <row r="229">
      <c r="A229" s="251" t="str">
        <f>IFERROR(__xludf.DUMMYFUNCTION("""COMPUTED_VALUE"""),"Meowscarada")</f>
        <v>Meowscarada</v>
      </c>
      <c r="B229" s="251" t="str">
        <f>IFERROR(__xludf.DUMMYFUNCTION("""COMPUTED_VALUE"""),"Grass")</f>
        <v>Grass</v>
      </c>
      <c r="C229" s="251" t="str">
        <f>IFERROR(__xludf.DUMMYFUNCTION("""COMPUTED_VALUE"""),"Dark")</f>
        <v>Dark</v>
      </c>
      <c r="D229" s="251">
        <f>IFERROR(__xludf.DUMMYFUNCTION("""COMPUTED_VALUE"""),8.0)</f>
        <v>8</v>
      </c>
      <c r="E229" s="251">
        <f>IFERROR(__xludf.DUMMYFUNCTION("""COMPUTED_VALUE"""),11.0)</f>
        <v>11</v>
      </c>
      <c r="F229" s="251">
        <f>IFERROR(__xludf.DUMMYFUNCTION("""COMPUTED_VALUE"""),7.0)</f>
        <v>7</v>
      </c>
      <c r="G229" s="251">
        <f>IFERROR(__xludf.DUMMYFUNCTION("""COMPUTED_VALUE"""),8.0)</f>
        <v>8</v>
      </c>
      <c r="H229" s="251">
        <f>IFERROR(__xludf.DUMMYFUNCTION("""COMPUTED_VALUE"""),7.0)</f>
        <v>7</v>
      </c>
      <c r="I229" s="251">
        <f>IFERROR(__xludf.DUMMYFUNCTION("""COMPUTED_VALUE"""),12.0)</f>
        <v>12</v>
      </c>
      <c r="J229" s="251">
        <f>IFERROR(__xludf.DUMMYFUNCTION("""COMPUTED_VALUE"""),4.0)</f>
        <v>4</v>
      </c>
      <c r="K229" s="251" t="str">
        <f>IFERROR(__xludf.DUMMYFUNCTION("""COMPUTED_VALUE"""),"Medium")</f>
        <v>Medium</v>
      </c>
      <c r="L229" s="251">
        <f>IFERROR(__xludf.DUMMYFUNCTION("""COMPUTED_VALUE"""),3.0)</f>
        <v>3</v>
      </c>
      <c r="M229" s="251" t="str">
        <f>IFERROR(__xludf.DUMMYFUNCTION("""COMPUTED_VALUE"""),"Grasslands")</f>
        <v>Grasslands</v>
      </c>
      <c r="N229" s="251" t="str">
        <f>IFERROR(__xludf.DUMMYFUNCTION("""COMPUTED_VALUE"""),"--")</f>
        <v>--</v>
      </c>
      <c r="O229" s="251" t="str">
        <f>IFERROR(__xludf.DUMMYFUNCTION("""COMPUTED_VALUE"""),"--")</f>
        <v>--</v>
      </c>
      <c r="P229" s="251" t="str">
        <f>IFERROR(__xludf.DUMMYFUNCTION("""COMPUTED_VALUE"""),"--")</f>
        <v>--</v>
      </c>
      <c r="Q229" s="251" t="str">
        <f>IFERROR(__xludf.DUMMYFUNCTION("""COMPUTED_VALUE"""),"--")</f>
        <v>--</v>
      </c>
      <c r="R229" s="251" t="str">
        <f>IFERROR(__xludf.DUMMYFUNCTION("""COMPUTED_VALUE"""),"--")</f>
        <v>--</v>
      </c>
      <c r="S229" s="251" t="str">
        <f>IFERROR(__xludf.DUMMYFUNCTION("""COMPUTED_VALUE"""),"--")</f>
        <v>--</v>
      </c>
      <c r="T229" s="251" t="str">
        <f>IFERROR(__xludf.DUMMYFUNCTION("""COMPUTED_VALUE"""),"--")</f>
        <v>--</v>
      </c>
      <c r="U229" s="251" t="str">
        <f>IFERROR(__xludf.DUMMYFUNCTION("""COMPUTED_VALUE"""),"--")</f>
        <v>--</v>
      </c>
      <c r="V229" s="251" t="str">
        <f>IFERROR(__xludf.DUMMYFUNCTION("""COMPUTED_VALUE"""),"Alluring")</f>
        <v>Alluring</v>
      </c>
      <c r="W229" s="251" t="str">
        <f>IFERROR(__xludf.DUMMYFUNCTION("""COMPUTED_VALUE"""),"Illusionist")</f>
        <v>Illusionist</v>
      </c>
      <c r="X229" s="251" t="str">
        <f>IFERROR(__xludf.DUMMYFUNCTION("""COMPUTED_VALUE"""),"--")</f>
        <v>--</v>
      </c>
      <c r="Y229" s="251" t="str">
        <f>IFERROR(__xludf.DUMMYFUNCTION("""COMPUTED_VALUE"""),"--")</f>
        <v>--</v>
      </c>
      <c r="Z229" s="251" t="str">
        <f>IFERROR(__xludf.DUMMYFUNCTION("""COMPUTED_VALUE"""),"--")</f>
        <v>--</v>
      </c>
      <c r="AA229" s="251" t="str">
        <f>IFERROR(__xludf.DUMMYFUNCTION("""COMPUTED_VALUE"""),"--")</f>
        <v>--</v>
      </c>
      <c r="AB229" s="251" t="str">
        <f>IFERROR(__xludf.DUMMYFUNCTION("""COMPUTED_VALUE"""),"--")</f>
        <v>--</v>
      </c>
      <c r="AC229" s="251" t="str">
        <f>IFERROR(__xludf.DUMMYFUNCTION("""COMPUTED_VALUE"""),"--")</f>
        <v>--</v>
      </c>
      <c r="AD229" s="251">
        <f>IFERROR(__xludf.DUMMYFUNCTION("""COMPUTED_VALUE"""),3.0)</f>
        <v>3</v>
      </c>
      <c r="AE229" s="251" t="str">
        <f>IFERROR(__xludf.DUMMYFUNCTION("""COMPUTED_VALUE"""),"Carnivore")</f>
        <v>Carnivore</v>
      </c>
    </row>
    <row r="230">
      <c r="A230" s="251" t="str">
        <f>IFERROR(__xludf.DUMMYFUNCTION("""COMPUTED_VALUE"""),"Charmander")</f>
        <v>Charmander</v>
      </c>
      <c r="B230" s="251" t="str">
        <f>IFERROR(__xludf.DUMMYFUNCTION("""COMPUTED_VALUE"""),"Fire")</f>
        <v>Fire</v>
      </c>
      <c r="C230" s="251" t="str">
        <f>IFERROR(__xludf.DUMMYFUNCTION("""COMPUTED_VALUE"""),"None")</f>
        <v>None</v>
      </c>
      <c r="D230" s="251">
        <f>IFERROR(__xludf.DUMMYFUNCTION("""COMPUTED_VALUE"""),4.0)</f>
        <v>4</v>
      </c>
      <c r="E230" s="251">
        <f>IFERROR(__xludf.DUMMYFUNCTION("""COMPUTED_VALUE"""),5.0)</f>
        <v>5</v>
      </c>
      <c r="F230" s="251">
        <f>IFERROR(__xludf.DUMMYFUNCTION("""COMPUTED_VALUE"""),4.0)</f>
        <v>4</v>
      </c>
      <c r="G230" s="251">
        <f>IFERROR(__xludf.DUMMYFUNCTION("""COMPUTED_VALUE"""),6.0)</f>
        <v>6</v>
      </c>
      <c r="H230" s="251">
        <f>IFERROR(__xludf.DUMMYFUNCTION("""COMPUTED_VALUE"""),5.0)</f>
        <v>5</v>
      </c>
      <c r="I230" s="251">
        <f>IFERROR(__xludf.DUMMYFUNCTION("""COMPUTED_VALUE"""),7.0)</f>
        <v>7</v>
      </c>
      <c r="J230" s="251">
        <f>IFERROR(__xludf.DUMMYFUNCTION("""COMPUTED_VALUE"""),2.0)</f>
        <v>2</v>
      </c>
      <c r="K230" s="251" t="str">
        <f>IFERROR(__xludf.DUMMYFUNCTION("""COMPUTED_VALUE"""),"Small")</f>
        <v>Small</v>
      </c>
      <c r="L230" s="251">
        <f>IFERROR(__xludf.DUMMYFUNCTION("""COMPUTED_VALUE"""),1.0)</f>
        <v>1</v>
      </c>
      <c r="M230" s="251" t="str">
        <f>IFERROR(__xludf.DUMMYFUNCTION("""COMPUTED_VALUE"""),"Mountain")</f>
        <v>Mountain</v>
      </c>
      <c r="N230" s="251" t="str">
        <f>IFERROR(__xludf.DUMMYFUNCTION("""COMPUTED_VALUE"""),"--")</f>
        <v>--</v>
      </c>
      <c r="O230" s="251" t="str">
        <f>IFERROR(__xludf.DUMMYFUNCTION("""COMPUTED_VALUE"""),"--")</f>
        <v>--</v>
      </c>
      <c r="P230" s="251" t="str">
        <f>IFERROR(__xludf.DUMMYFUNCTION("""COMPUTED_VALUE"""),"--")</f>
        <v>--</v>
      </c>
      <c r="Q230" s="251" t="str">
        <f>IFERROR(__xludf.DUMMYFUNCTION("""COMPUTED_VALUE"""),"--")</f>
        <v>--</v>
      </c>
      <c r="R230" s="251" t="str">
        <f>IFERROR(__xludf.DUMMYFUNCTION("""COMPUTED_VALUE"""),"Underdog")</f>
        <v>Underdog</v>
      </c>
      <c r="S230" s="251" t="str">
        <f>IFERROR(__xludf.DUMMYFUNCTION("""COMPUTED_VALUE"""),"--")</f>
        <v>--</v>
      </c>
      <c r="T230" s="251" t="str">
        <f>IFERROR(__xludf.DUMMYFUNCTION("""COMPUTED_VALUE"""),"--")</f>
        <v>--</v>
      </c>
      <c r="U230" s="251" t="str">
        <f>IFERROR(__xludf.DUMMYFUNCTION("""COMPUTED_VALUE"""),"--")</f>
        <v>--</v>
      </c>
      <c r="V230" s="251" t="str">
        <f>IFERROR(__xludf.DUMMYFUNCTION("""COMPUTED_VALUE"""),"Glow")</f>
        <v>Glow</v>
      </c>
      <c r="W230" s="251" t="str">
        <f>IFERROR(__xludf.DUMMYFUNCTION("""COMPUTED_VALUE"""),"Heater")</f>
        <v>Heater</v>
      </c>
      <c r="X230" s="251" t="str">
        <f>IFERROR(__xludf.DUMMYFUNCTION("""COMPUTED_VALUE"""),"--")</f>
        <v>--</v>
      </c>
      <c r="Y230" s="251" t="str">
        <f>IFERROR(__xludf.DUMMYFUNCTION("""COMPUTED_VALUE"""),"--")</f>
        <v>--</v>
      </c>
      <c r="Z230" s="251" t="str">
        <f>IFERROR(__xludf.DUMMYFUNCTION("""COMPUTED_VALUE"""),"--")</f>
        <v>--</v>
      </c>
      <c r="AA230" s="251" t="str">
        <f>IFERROR(__xludf.DUMMYFUNCTION("""COMPUTED_VALUE"""),"--")</f>
        <v>--</v>
      </c>
      <c r="AB230" s="251" t="str">
        <f>IFERROR(__xludf.DUMMYFUNCTION("""COMPUTED_VALUE"""),"--")</f>
        <v>--</v>
      </c>
      <c r="AC230" s="251" t="str">
        <f>IFERROR(__xludf.DUMMYFUNCTION("""COMPUTED_VALUE"""),"--")</f>
        <v>--</v>
      </c>
      <c r="AD230" s="251">
        <f>IFERROR(__xludf.DUMMYFUNCTION("""COMPUTED_VALUE"""),1.0)</f>
        <v>1</v>
      </c>
      <c r="AE230" s="251" t="str">
        <f>IFERROR(__xludf.DUMMYFUNCTION("""COMPUTED_VALUE"""),"Herbivore")</f>
        <v>Herbivore</v>
      </c>
    </row>
    <row r="231">
      <c r="A231" s="251" t="str">
        <f>IFERROR(__xludf.DUMMYFUNCTION("""COMPUTED_VALUE"""),"Charmeleon")</f>
        <v>Charmeleon</v>
      </c>
      <c r="B231" s="251" t="str">
        <f>IFERROR(__xludf.DUMMYFUNCTION("""COMPUTED_VALUE"""),"Fire")</f>
        <v>Fire</v>
      </c>
      <c r="C231" s="251" t="str">
        <f>IFERROR(__xludf.DUMMYFUNCTION("""COMPUTED_VALUE"""),"None")</f>
        <v>None</v>
      </c>
      <c r="D231" s="251">
        <f>IFERROR(__xludf.DUMMYFUNCTION("""COMPUTED_VALUE"""),6.0)</f>
        <v>6</v>
      </c>
      <c r="E231" s="251">
        <f>IFERROR(__xludf.DUMMYFUNCTION("""COMPUTED_VALUE"""),6.0)</f>
        <v>6</v>
      </c>
      <c r="F231" s="251">
        <f>IFERROR(__xludf.DUMMYFUNCTION("""COMPUTED_VALUE"""),6.0)</f>
        <v>6</v>
      </c>
      <c r="G231" s="251">
        <f>IFERROR(__xludf.DUMMYFUNCTION("""COMPUTED_VALUE"""),8.0)</f>
        <v>8</v>
      </c>
      <c r="H231" s="251">
        <f>IFERROR(__xludf.DUMMYFUNCTION("""COMPUTED_VALUE"""),7.0)</f>
        <v>7</v>
      </c>
      <c r="I231" s="251">
        <f>IFERROR(__xludf.DUMMYFUNCTION("""COMPUTED_VALUE"""),8.0)</f>
        <v>8</v>
      </c>
      <c r="J231" s="251">
        <f>IFERROR(__xludf.DUMMYFUNCTION("""COMPUTED_VALUE"""),4.0)</f>
        <v>4</v>
      </c>
      <c r="K231" s="251" t="str">
        <f>IFERROR(__xludf.DUMMYFUNCTION("""COMPUTED_VALUE"""),"Medium")</f>
        <v>Medium</v>
      </c>
      <c r="L231" s="251">
        <f>IFERROR(__xludf.DUMMYFUNCTION("""COMPUTED_VALUE"""),2.0)</f>
        <v>2</v>
      </c>
      <c r="M231" s="251" t="str">
        <f>IFERROR(__xludf.DUMMYFUNCTION("""COMPUTED_VALUE"""),"Mountain")</f>
        <v>Mountain</v>
      </c>
      <c r="N231" s="251" t="str">
        <f>IFERROR(__xludf.DUMMYFUNCTION("""COMPUTED_VALUE"""),"--")</f>
        <v>--</v>
      </c>
      <c r="O231" s="251" t="str">
        <f>IFERROR(__xludf.DUMMYFUNCTION("""COMPUTED_VALUE"""),"--")</f>
        <v>--</v>
      </c>
      <c r="P231" s="251" t="str">
        <f>IFERROR(__xludf.DUMMYFUNCTION("""COMPUTED_VALUE"""),"--")</f>
        <v>--</v>
      </c>
      <c r="Q231" s="251" t="str">
        <f>IFERROR(__xludf.DUMMYFUNCTION("""COMPUTED_VALUE"""),"--")</f>
        <v>--</v>
      </c>
      <c r="R231" s="251" t="str">
        <f>IFERROR(__xludf.DUMMYFUNCTION("""COMPUTED_VALUE"""),"Underdog")</f>
        <v>Underdog</v>
      </c>
      <c r="S231" s="251" t="str">
        <f>IFERROR(__xludf.DUMMYFUNCTION("""COMPUTED_VALUE"""),"--")</f>
        <v>--</v>
      </c>
      <c r="T231" s="251" t="str">
        <f>IFERROR(__xludf.DUMMYFUNCTION("""COMPUTED_VALUE"""),"--")</f>
        <v>--</v>
      </c>
      <c r="U231" s="251" t="str">
        <f>IFERROR(__xludf.DUMMYFUNCTION("""COMPUTED_VALUE"""),"--")</f>
        <v>--</v>
      </c>
      <c r="V231" s="251" t="str">
        <f>IFERROR(__xludf.DUMMYFUNCTION("""COMPUTED_VALUE"""),"Glow")</f>
        <v>Glow</v>
      </c>
      <c r="W231" s="251" t="str">
        <f>IFERROR(__xludf.DUMMYFUNCTION("""COMPUTED_VALUE"""),"Heater")</f>
        <v>Heater</v>
      </c>
      <c r="X231" s="251" t="str">
        <f>IFERROR(__xludf.DUMMYFUNCTION("""COMPUTED_VALUE"""),"--")</f>
        <v>--</v>
      </c>
      <c r="Y231" s="251" t="str">
        <f>IFERROR(__xludf.DUMMYFUNCTION("""COMPUTED_VALUE"""),"--")</f>
        <v>--</v>
      </c>
      <c r="Z231" s="251" t="str">
        <f>IFERROR(__xludf.DUMMYFUNCTION("""COMPUTED_VALUE"""),"--")</f>
        <v>--</v>
      </c>
      <c r="AA231" s="251" t="str">
        <f>IFERROR(__xludf.DUMMYFUNCTION("""COMPUTED_VALUE"""),"--")</f>
        <v>--</v>
      </c>
      <c r="AB231" s="251" t="str">
        <f>IFERROR(__xludf.DUMMYFUNCTION("""COMPUTED_VALUE"""),"--")</f>
        <v>--</v>
      </c>
      <c r="AC231" s="251" t="str">
        <f>IFERROR(__xludf.DUMMYFUNCTION("""COMPUTED_VALUE"""),"--")</f>
        <v>--</v>
      </c>
      <c r="AD231" s="251">
        <f>IFERROR(__xludf.DUMMYFUNCTION("""COMPUTED_VALUE"""),2.0)</f>
        <v>2</v>
      </c>
      <c r="AE231" s="251" t="str">
        <f>IFERROR(__xludf.DUMMYFUNCTION("""COMPUTED_VALUE"""),"Carnivore")</f>
        <v>Carnivore</v>
      </c>
    </row>
    <row r="232">
      <c r="A232" s="251" t="str">
        <f>IFERROR(__xludf.DUMMYFUNCTION("""COMPUTED_VALUE"""),"Charizard")</f>
        <v>Charizard</v>
      </c>
      <c r="B232" s="251" t="str">
        <f>IFERROR(__xludf.DUMMYFUNCTION("""COMPUTED_VALUE"""),"Fire")</f>
        <v>Fire</v>
      </c>
      <c r="C232" s="251" t="str">
        <f>IFERROR(__xludf.DUMMYFUNCTION("""COMPUTED_VALUE"""),"Flying")</f>
        <v>Flying</v>
      </c>
      <c r="D232" s="251">
        <f>IFERROR(__xludf.DUMMYFUNCTION("""COMPUTED_VALUE"""),8.0)</f>
        <v>8</v>
      </c>
      <c r="E232" s="251">
        <f>IFERROR(__xludf.DUMMYFUNCTION("""COMPUTED_VALUE"""),8.0)</f>
        <v>8</v>
      </c>
      <c r="F232" s="251">
        <f>IFERROR(__xludf.DUMMYFUNCTION("""COMPUTED_VALUE"""),8.0)</f>
        <v>8</v>
      </c>
      <c r="G232" s="251">
        <f>IFERROR(__xludf.DUMMYFUNCTION("""COMPUTED_VALUE"""),11.0)</f>
        <v>11</v>
      </c>
      <c r="H232" s="251">
        <f>IFERROR(__xludf.DUMMYFUNCTION("""COMPUTED_VALUE"""),9.0)</f>
        <v>9</v>
      </c>
      <c r="I232" s="251">
        <f>IFERROR(__xludf.DUMMYFUNCTION("""COMPUTED_VALUE"""),10.0)</f>
        <v>10</v>
      </c>
      <c r="J232" s="251">
        <f>IFERROR(__xludf.DUMMYFUNCTION("""COMPUTED_VALUE"""),8.0)</f>
        <v>8</v>
      </c>
      <c r="K232" s="251" t="str">
        <f>IFERROR(__xludf.DUMMYFUNCTION("""COMPUTED_VALUE"""),"Medium")</f>
        <v>Medium</v>
      </c>
      <c r="L232" s="251">
        <f>IFERROR(__xludf.DUMMYFUNCTION("""COMPUTED_VALUE"""),4.0)</f>
        <v>4</v>
      </c>
      <c r="M232" s="251" t="str">
        <f>IFERROR(__xludf.DUMMYFUNCTION("""COMPUTED_VALUE"""),"Mountain")</f>
        <v>Mountain</v>
      </c>
      <c r="N232" s="251" t="str">
        <f>IFERROR(__xludf.DUMMYFUNCTION("""COMPUTED_VALUE"""),"Flier")</f>
        <v>Flier</v>
      </c>
      <c r="O232" s="251" t="str">
        <f>IFERROR(__xludf.DUMMYFUNCTION("""COMPUTED_VALUE"""),"--")</f>
        <v>--</v>
      </c>
      <c r="P232" s="251" t="str">
        <f>IFERROR(__xludf.DUMMYFUNCTION("""COMPUTED_VALUE"""),"--")</f>
        <v>--</v>
      </c>
      <c r="Q232" s="251" t="str">
        <f>IFERROR(__xludf.DUMMYFUNCTION("""COMPUTED_VALUE"""),"--")</f>
        <v>--</v>
      </c>
      <c r="R232" s="251" t="str">
        <f>IFERROR(__xludf.DUMMYFUNCTION("""COMPUTED_VALUE"""),"Mountable")</f>
        <v>Mountable</v>
      </c>
      <c r="S232" s="251" t="str">
        <f>IFERROR(__xludf.DUMMYFUNCTION("""COMPUTED_VALUE"""),"--")</f>
        <v>--</v>
      </c>
      <c r="T232" s="251" t="str">
        <f>IFERROR(__xludf.DUMMYFUNCTION("""COMPUTED_VALUE"""),"--")</f>
        <v>--</v>
      </c>
      <c r="U232" s="251" t="str">
        <f>IFERROR(__xludf.DUMMYFUNCTION("""COMPUTED_VALUE"""),"--")</f>
        <v>--</v>
      </c>
      <c r="V232" s="251" t="str">
        <f>IFERROR(__xludf.DUMMYFUNCTION("""COMPUTED_VALUE"""),"Glow")</f>
        <v>Glow</v>
      </c>
      <c r="W232" s="251" t="str">
        <f>IFERROR(__xludf.DUMMYFUNCTION("""COMPUTED_VALUE"""),"Heater")</f>
        <v>Heater</v>
      </c>
      <c r="X232" s="251" t="str">
        <f>IFERROR(__xludf.DUMMYFUNCTION("""COMPUTED_VALUE"""),"--")</f>
        <v>--</v>
      </c>
      <c r="Y232" s="251" t="str">
        <f>IFERROR(__xludf.DUMMYFUNCTION("""COMPUTED_VALUE"""),"--")</f>
        <v>--</v>
      </c>
      <c r="Z232" s="251" t="str">
        <f>IFERROR(__xludf.DUMMYFUNCTION("""COMPUTED_VALUE"""),"--")</f>
        <v>--</v>
      </c>
      <c r="AA232" s="251" t="str">
        <f>IFERROR(__xludf.DUMMYFUNCTION("""COMPUTED_VALUE"""),"--")</f>
        <v>--</v>
      </c>
      <c r="AB232" s="251" t="str">
        <f>IFERROR(__xludf.DUMMYFUNCTION("""COMPUTED_VALUE"""),"--")</f>
        <v>--</v>
      </c>
      <c r="AC232" s="251" t="str">
        <f>IFERROR(__xludf.DUMMYFUNCTION("""COMPUTED_VALUE"""),"--")</f>
        <v>--</v>
      </c>
      <c r="AD232" s="251">
        <f>IFERROR(__xludf.DUMMYFUNCTION("""COMPUTED_VALUE"""),3.0)</f>
        <v>3</v>
      </c>
      <c r="AE232" s="251" t="str">
        <f>IFERROR(__xludf.DUMMYFUNCTION("""COMPUTED_VALUE"""),"Carnivore")</f>
        <v>Carnivore</v>
      </c>
    </row>
    <row r="233">
      <c r="A233" s="251" t="str">
        <f>IFERROR(__xludf.DUMMYFUNCTION("""COMPUTED_VALUE"""),"Cyndaquil")</f>
        <v>Cyndaquil</v>
      </c>
      <c r="B233" s="251" t="str">
        <f>IFERROR(__xludf.DUMMYFUNCTION("""COMPUTED_VALUE"""),"Fire")</f>
        <v>Fire</v>
      </c>
      <c r="C233" s="251" t="str">
        <f>IFERROR(__xludf.DUMMYFUNCTION("""COMPUTED_VALUE"""),"None")</f>
        <v>None</v>
      </c>
      <c r="D233" s="251">
        <f>IFERROR(__xludf.DUMMYFUNCTION("""COMPUTED_VALUE"""),4.0)</f>
        <v>4</v>
      </c>
      <c r="E233" s="251">
        <f>IFERROR(__xludf.DUMMYFUNCTION("""COMPUTED_VALUE"""),5.0)</f>
        <v>5</v>
      </c>
      <c r="F233" s="251">
        <f>IFERROR(__xludf.DUMMYFUNCTION("""COMPUTED_VALUE"""),4.0)</f>
        <v>4</v>
      </c>
      <c r="G233" s="251">
        <f>IFERROR(__xludf.DUMMYFUNCTION("""COMPUTED_VALUE"""),6.0)</f>
        <v>6</v>
      </c>
      <c r="H233" s="251">
        <f>IFERROR(__xludf.DUMMYFUNCTION("""COMPUTED_VALUE"""),5.0)</f>
        <v>5</v>
      </c>
      <c r="I233" s="251">
        <f>IFERROR(__xludf.DUMMYFUNCTION("""COMPUTED_VALUE"""),7.0)</f>
        <v>7</v>
      </c>
      <c r="J233" s="251">
        <f>IFERROR(__xludf.DUMMYFUNCTION("""COMPUTED_VALUE"""),2.0)</f>
        <v>2</v>
      </c>
      <c r="K233" s="251" t="str">
        <f>IFERROR(__xludf.DUMMYFUNCTION("""COMPUTED_VALUE"""),"Small")</f>
        <v>Small</v>
      </c>
      <c r="L233" s="251">
        <f>IFERROR(__xludf.DUMMYFUNCTION("""COMPUTED_VALUE"""),1.0)</f>
        <v>1</v>
      </c>
      <c r="M233" s="251" t="str">
        <f>IFERROR(__xludf.DUMMYFUNCTION("""COMPUTED_VALUE"""),"Cave, Grasslands")</f>
        <v>Cave, Grasslands</v>
      </c>
      <c r="N233" s="251" t="str">
        <f>IFERROR(__xludf.DUMMYFUNCTION("""COMPUTED_VALUE"""),"--")</f>
        <v>--</v>
      </c>
      <c r="O233" s="251" t="str">
        <f>IFERROR(__xludf.DUMMYFUNCTION("""COMPUTED_VALUE"""),"--")</f>
        <v>--</v>
      </c>
      <c r="P233" s="251" t="str">
        <f>IFERROR(__xludf.DUMMYFUNCTION("""COMPUTED_VALUE"""),"--")</f>
        <v>--</v>
      </c>
      <c r="Q233" s="251" t="str">
        <f>IFERROR(__xludf.DUMMYFUNCTION("""COMPUTED_VALUE"""),"--")</f>
        <v>--</v>
      </c>
      <c r="R233" s="251" t="str">
        <f>IFERROR(__xludf.DUMMYFUNCTION("""COMPUTED_VALUE"""),"Underdog")</f>
        <v>Underdog</v>
      </c>
      <c r="S233" s="251" t="str">
        <f>IFERROR(__xludf.DUMMYFUNCTION("""COMPUTED_VALUE"""),"--")</f>
        <v>--</v>
      </c>
      <c r="T233" s="251" t="str">
        <f>IFERROR(__xludf.DUMMYFUNCTION("""COMPUTED_VALUE"""),"--")</f>
        <v>--</v>
      </c>
      <c r="U233" s="251" t="str">
        <f>IFERROR(__xludf.DUMMYFUNCTION("""COMPUTED_VALUE"""),"--")</f>
        <v>--</v>
      </c>
      <c r="V233" s="251" t="str">
        <f>IFERROR(__xludf.DUMMYFUNCTION("""COMPUTED_VALUE"""),"Glow")</f>
        <v>Glow</v>
      </c>
      <c r="W233" s="251" t="str">
        <f>IFERROR(__xludf.DUMMYFUNCTION("""COMPUTED_VALUE"""),"Heater")</f>
        <v>Heater</v>
      </c>
      <c r="X233" s="251" t="str">
        <f>IFERROR(__xludf.DUMMYFUNCTION("""COMPUTED_VALUE"""),"--")</f>
        <v>--</v>
      </c>
      <c r="Y233" s="251" t="str">
        <f>IFERROR(__xludf.DUMMYFUNCTION("""COMPUTED_VALUE"""),"--")</f>
        <v>--</v>
      </c>
      <c r="Z233" s="251" t="str">
        <f>IFERROR(__xludf.DUMMYFUNCTION("""COMPUTED_VALUE"""),"--")</f>
        <v>--</v>
      </c>
      <c r="AA233" s="251" t="str">
        <f>IFERROR(__xludf.DUMMYFUNCTION("""COMPUTED_VALUE"""),"--")</f>
        <v>--</v>
      </c>
      <c r="AB233" s="251" t="str">
        <f>IFERROR(__xludf.DUMMYFUNCTION("""COMPUTED_VALUE"""),"--")</f>
        <v>--</v>
      </c>
      <c r="AC233" s="251" t="str">
        <f>IFERROR(__xludf.DUMMYFUNCTION("""COMPUTED_VALUE"""),"--")</f>
        <v>--</v>
      </c>
      <c r="AD233" s="251">
        <f>IFERROR(__xludf.DUMMYFUNCTION("""COMPUTED_VALUE"""),1.0)</f>
        <v>1</v>
      </c>
      <c r="AE233" s="251" t="str">
        <f>IFERROR(__xludf.DUMMYFUNCTION("""COMPUTED_VALUE"""),"Herbivore")</f>
        <v>Herbivore</v>
      </c>
    </row>
    <row r="234">
      <c r="A234" s="251" t="str">
        <f>IFERROR(__xludf.DUMMYFUNCTION("""COMPUTED_VALUE"""),"Quilava")</f>
        <v>Quilava</v>
      </c>
      <c r="B234" s="251" t="str">
        <f>IFERROR(__xludf.DUMMYFUNCTION("""COMPUTED_VALUE"""),"Fire")</f>
        <v>Fire</v>
      </c>
      <c r="C234" s="251" t="str">
        <f>IFERROR(__xludf.DUMMYFUNCTION("""COMPUTED_VALUE"""),"None")</f>
        <v>None</v>
      </c>
      <c r="D234" s="251">
        <f>IFERROR(__xludf.DUMMYFUNCTION("""COMPUTED_VALUE"""),6.0)</f>
        <v>6</v>
      </c>
      <c r="E234" s="251">
        <f>IFERROR(__xludf.DUMMYFUNCTION("""COMPUTED_VALUE"""),6.0)</f>
        <v>6</v>
      </c>
      <c r="F234" s="251">
        <f>IFERROR(__xludf.DUMMYFUNCTION("""COMPUTED_VALUE"""),6.0)</f>
        <v>6</v>
      </c>
      <c r="G234" s="251">
        <f>IFERROR(__xludf.DUMMYFUNCTION("""COMPUTED_VALUE"""),8.0)</f>
        <v>8</v>
      </c>
      <c r="H234" s="251">
        <f>IFERROR(__xludf.DUMMYFUNCTION("""COMPUTED_VALUE"""),7.0)</f>
        <v>7</v>
      </c>
      <c r="I234" s="251">
        <f>IFERROR(__xludf.DUMMYFUNCTION("""COMPUTED_VALUE"""),8.0)</f>
        <v>8</v>
      </c>
      <c r="J234" s="251">
        <f>IFERROR(__xludf.DUMMYFUNCTION("""COMPUTED_VALUE"""),3.0)</f>
        <v>3</v>
      </c>
      <c r="K234" s="251" t="str">
        <f>IFERROR(__xludf.DUMMYFUNCTION("""COMPUTED_VALUE"""),"Small")</f>
        <v>Small</v>
      </c>
      <c r="L234" s="251">
        <f>IFERROR(__xludf.DUMMYFUNCTION("""COMPUTED_VALUE"""),2.0)</f>
        <v>2</v>
      </c>
      <c r="M234" s="251" t="str">
        <f>IFERROR(__xludf.DUMMYFUNCTION("""COMPUTED_VALUE"""),"Cave, Grasslands")</f>
        <v>Cave, Grasslands</v>
      </c>
      <c r="N234" s="251" t="str">
        <f>IFERROR(__xludf.DUMMYFUNCTION("""COMPUTED_VALUE"""),"--")</f>
        <v>--</v>
      </c>
      <c r="O234" s="251" t="str">
        <f>IFERROR(__xludf.DUMMYFUNCTION("""COMPUTED_VALUE"""),"--")</f>
        <v>--</v>
      </c>
      <c r="P234" s="251" t="str">
        <f>IFERROR(__xludf.DUMMYFUNCTION("""COMPUTED_VALUE"""),"--")</f>
        <v>--</v>
      </c>
      <c r="Q234" s="251" t="str">
        <f>IFERROR(__xludf.DUMMYFUNCTION("""COMPUTED_VALUE"""),"--")</f>
        <v>--</v>
      </c>
      <c r="R234" s="251" t="str">
        <f>IFERROR(__xludf.DUMMYFUNCTION("""COMPUTED_VALUE"""),"Underdog")</f>
        <v>Underdog</v>
      </c>
      <c r="S234" s="251" t="str">
        <f>IFERROR(__xludf.DUMMYFUNCTION("""COMPUTED_VALUE"""),"--")</f>
        <v>--</v>
      </c>
      <c r="T234" s="251" t="str">
        <f>IFERROR(__xludf.DUMMYFUNCTION("""COMPUTED_VALUE"""),"--")</f>
        <v>--</v>
      </c>
      <c r="U234" s="251" t="str">
        <f>IFERROR(__xludf.DUMMYFUNCTION("""COMPUTED_VALUE"""),"--")</f>
        <v>--</v>
      </c>
      <c r="V234" s="251" t="str">
        <f>IFERROR(__xludf.DUMMYFUNCTION("""COMPUTED_VALUE"""),"Glow")</f>
        <v>Glow</v>
      </c>
      <c r="W234" s="251" t="str">
        <f>IFERROR(__xludf.DUMMYFUNCTION("""COMPUTED_VALUE"""),"Heater")</f>
        <v>Heater</v>
      </c>
      <c r="X234" s="251" t="str">
        <f>IFERROR(__xludf.DUMMYFUNCTION("""COMPUTED_VALUE"""),"--")</f>
        <v>--</v>
      </c>
      <c r="Y234" s="251" t="str">
        <f>IFERROR(__xludf.DUMMYFUNCTION("""COMPUTED_VALUE"""),"--")</f>
        <v>--</v>
      </c>
      <c r="Z234" s="251" t="str">
        <f>IFERROR(__xludf.DUMMYFUNCTION("""COMPUTED_VALUE"""),"--")</f>
        <v>--</v>
      </c>
      <c r="AA234" s="251" t="str">
        <f>IFERROR(__xludf.DUMMYFUNCTION("""COMPUTED_VALUE"""),"--")</f>
        <v>--</v>
      </c>
      <c r="AB234" s="251" t="str">
        <f>IFERROR(__xludf.DUMMYFUNCTION("""COMPUTED_VALUE"""),"--")</f>
        <v>--</v>
      </c>
      <c r="AC234" s="251" t="str">
        <f>IFERROR(__xludf.DUMMYFUNCTION("""COMPUTED_VALUE"""),"--")</f>
        <v>--</v>
      </c>
      <c r="AD234" s="251">
        <f>IFERROR(__xludf.DUMMYFUNCTION("""COMPUTED_VALUE"""),2.0)</f>
        <v>2</v>
      </c>
      <c r="AE234" s="251" t="str">
        <f>IFERROR(__xludf.DUMMYFUNCTION("""COMPUTED_VALUE"""),"Herbivore")</f>
        <v>Herbivore</v>
      </c>
    </row>
    <row r="235">
      <c r="A235" s="251" t="str">
        <f>IFERROR(__xludf.DUMMYFUNCTION("""COMPUTED_VALUE"""),"Typhlosion")</f>
        <v>Typhlosion</v>
      </c>
      <c r="B235" s="251" t="str">
        <f>IFERROR(__xludf.DUMMYFUNCTION("""COMPUTED_VALUE"""),"Fire")</f>
        <v>Fire</v>
      </c>
      <c r="C235" s="251" t="str">
        <f>IFERROR(__xludf.DUMMYFUNCTION("""COMPUTED_VALUE"""),"None")</f>
        <v>None</v>
      </c>
      <c r="D235" s="251">
        <f>IFERROR(__xludf.DUMMYFUNCTION("""COMPUTED_VALUE"""),8.0)</f>
        <v>8</v>
      </c>
      <c r="E235" s="251">
        <f>IFERROR(__xludf.DUMMYFUNCTION("""COMPUTED_VALUE"""),8.0)</f>
        <v>8</v>
      </c>
      <c r="F235" s="251">
        <f>IFERROR(__xludf.DUMMYFUNCTION("""COMPUTED_VALUE"""),8.0)</f>
        <v>8</v>
      </c>
      <c r="G235" s="251">
        <f>IFERROR(__xludf.DUMMYFUNCTION("""COMPUTED_VALUE"""),11.0)</f>
        <v>11</v>
      </c>
      <c r="H235" s="251">
        <f>IFERROR(__xludf.DUMMYFUNCTION("""COMPUTED_VALUE"""),9.0)</f>
        <v>9</v>
      </c>
      <c r="I235" s="251">
        <f>IFERROR(__xludf.DUMMYFUNCTION("""COMPUTED_VALUE"""),10.0)</f>
        <v>10</v>
      </c>
      <c r="J235" s="251">
        <f>IFERROR(__xludf.DUMMYFUNCTION("""COMPUTED_VALUE"""),6.0)</f>
        <v>6</v>
      </c>
      <c r="K235" s="251" t="str">
        <f>IFERROR(__xludf.DUMMYFUNCTION("""COMPUTED_VALUE"""),"Medium")</f>
        <v>Medium</v>
      </c>
      <c r="L235" s="251">
        <f>IFERROR(__xludf.DUMMYFUNCTION("""COMPUTED_VALUE"""),4.0)</f>
        <v>4</v>
      </c>
      <c r="M235" s="251" t="str">
        <f>IFERROR(__xludf.DUMMYFUNCTION("""COMPUTED_VALUE"""),"Cave, Grasslands")</f>
        <v>Cave, Grasslands</v>
      </c>
      <c r="N235" s="251" t="str">
        <f>IFERROR(__xludf.DUMMYFUNCTION("""COMPUTED_VALUE"""),"--")</f>
        <v>--</v>
      </c>
      <c r="O235" s="251" t="str">
        <f>IFERROR(__xludf.DUMMYFUNCTION("""COMPUTED_VALUE"""),"--")</f>
        <v>--</v>
      </c>
      <c r="P235" s="251" t="str">
        <f>IFERROR(__xludf.DUMMYFUNCTION("""COMPUTED_VALUE"""),"--")</f>
        <v>--</v>
      </c>
      <c r="Q235" s="251" t="str">
        <f>IFERROR(__xludf.DUMMYFUNCTION("""COMPUTED_VALUE"""),"--")</f>
        <v>--</v>
      </c>
      <c r="R235" s="251" t="str">
        <f>IFERROR(__xludf.DUMMYFUNCTION("""COMPUTED_VALUE"""),"--")</f>
        <v>--</v>
      </c>
      <c r="S235" s="251" t="str">
        <f>IFERROR(__xludf.DUMMYFUNCTION("""COMPUTED_VALUE"""),"--")</f>
        <v>--</v>
      </c>
      <c r="T235" s="251" t="str">
        <f>IFERROR(__xludf.DUMMYFUNCTION("""COMPUTED_VALUE"""),"--")</f>
        <v>--</v>
      </c>
      <c r="U235" s="251" t="str">
        <f>IFERROR(__xludf.DUMMYFUNCTION("""COMPUTED_VALUE"""),"--")</f>
        <v>--</v>
      </c>
      <c r="V235" s="251" t="str">
        <f>IFERROR(__xludf.DUMMYFUNCTION("""COMPUTED_VALUE"""),"Glow")</f>
        <v>Glow</v>
      </c>
      <c r="W235" s="251" t="str">
        <f>IFERROR(__xludf.DUMMYFUNCTION("""COMPUTED_VALUE"""),"Heater")</f>
        <v>Heater</v>
      </c>
      <c r="X235" s="251" t="str">
        <f>IFERROR(__xludf.DUMMYFUNCTION("""COMPUTED_VALUE"""),"--")</f>
        <v>--</v>
      </c>
      <c r="Y235" s="251" t="str">
        <f>IFERROR(__xludf.DUMMYFUNCTION("""COMPUTED_VALUE"""),"--")</f>
        <v>--</v>
      </c>
      <c r="Z235" s="251" t="str">
        <f>IFERROR(__xludf.DUMMYFUNCTION("""COMPUTED_VALUE"""),"--")</f>
        <v>--</v>
      </c>
      <c r="AA235" s="251" t="str">
        <f>IFERROR(__xludf.DUMMYFUNCTION("""COMPUTED_VALUE"""),"--")</f>
        <v>--</v>
      </c>
      <c r="AB235" s="251" t="str">
        <f>IFERROR(__xludf.DUMMYFUNCTION("""COMPUTED_VALUE"""),"--")</f>
        <v>--</v>
      </c>
      <c r="AC235" s="251" t="str">
        <f>IFERROR(__xludf.DUMMYFUNCTION("""COMPUTED_VALUE"""),"--")</f>
        <v>--</v>
      </c>
      <c r="AD235" s="251">
        <f>IFERROR(__xludf.DUMMYFUNCTION("""COMPUTED_VALUE"""),3.0)</f>
        <v>3</v>
      </c>
      <c r="AE235" s="251" t="str">
        <f>IFERROR(__xludf.DUMMYFUNCTION("""COMPUTED_VALUE"""),"Herbivore")</f>
        <v>Herbivore</v>
      </c>
    </row>
    <row r="236">
      <c r="A236" s="251" t="str">
        <f>IFERROR(__xludf.DUMMYFUNCTION("""COMPUTED_VALUE"""),"Hisuian Typhlosion")</f>
        <v>Hisuian Typhlosion</v>
      </c>
      <c r="B236" s="251" t="str">
        <f>IFERROR(__xludf.DUMMYFUNCTION("""COMPUTED_VALUE"""),"Fire")</f>
        <v>Fire</v>
      </c>
      <c r="C236" s="251" t="str">
        <f>IFERROR(__xludf.DUMMYFUNCTION("""COMPUTED_VALUE"""),"Ghost")</f>
        <v>Ghost</v>
      </c>
      <c r="D236" s="251">
        <f>IFERROR(__xludf.DUMMYFUNCTION("""COMPUTED_VALUE"""),8.0)</f>
        <v>8</v>
      </c>
      <c r="E236" s="251">
        <f>IFERROR(__xludf.DUMMYFUNCTION("""COMPUTED_VALUE"""),8.0)</f>
        <v>8</v>
      </c>
      <c r="F236" s="251">
        <f>IFERROR(__xludf.DUMMYFUNCTION("""COMPUTED_VALUE"""),8.0)</f>
        <v>8</v>
      </c>
      <c r="G236" s="251">
        <f>IFERROR(__xludf.DUMMYFUNCTION("""COMPUTED_VALUE"""),11.0)</f>
        <v>11</v>
      </c>
      <c r="H236" s="251">
        <f>IFERROR(__xludf.DUMMYFUNCTION("""COMPUTED_VALUE"""),10.0)</f>
        <v>10</v>
      </c>
      <c r="I236" s="251">
        <f>IFERROR(__xludf.DUMMYFUNCTION("""COMPUTED_VALUE"""),9.0)</f>
        <v>9</v>
      </c>
      <c r="J236" s="251">
        <f>IFERROR(__xludf.DUMMYFUNCTION("""COMPUTED_VALUE"""),6.0)</f>
        <v>6</v>
      </c>
      <c r="K236" s="251" t="str">
        <f>IFERROR(__xludf.DUMMYFUNCTION("""COMPUTED_VALUE"""),"Medium")</f>
        <v>Medium</v>
      </c>
      <c r="L236" s="251">
        <f>IFERROR(__xludf.DUMMYFUNCTION("""COMPUTED_VALUE"""),4.0)</f>
        <v>4</v>
      </c>
      <c r="M236" s="251" t="str">
        <f>IFERROR(__xludf.DUMMYFUNCTION("""COMPUTED_VALUE"""),"Cave, Grasslands")</f>
        <v>Cave, Grasslands</v>
      </c>
      <c r="N236" s="251" t="str">
        <f>IFERROR(__xludf.DUMMYFUNCTION("""COMPUTED_VALUE"""),"--")</f>
        <v>--</v>
      </c>
      <c r="O236" s="251" t="str">
        <f>IFERROR(__xludf.DUMMYFUNCTION("""COMPUTED_VALUE"""),"--")</f>
        <v>--</v>
      </c>
      <c r="P236" s="251" t="str">
        <f>IFERROR(__xludf.DUMMYFUNCTION("""COMPUTED_VALUE"""),"--")</f>
        <v>--</v>
      </c>
      <c r="Q236" s="251" t="str">
        <f>IFERROR(__xludf.DUMMYFUNCTION("""COMPUTED_VALUE"""),"--")</f>
        <v>--</v>
      </c>
      <c r="R236" s="251" t="str">
        <f>IFERROR(__xludf.DUMMYFUNCTION("""COMPUTED_VALUE"""),"--")</f>
        <v>--</v>
      </c>
      <c r="S236" s="251" t="str">
        <f>IFERROR(__xludf.DUMMYFUNCTION("""COMPUTED_VALUE"""),"--")</f>
        <v>--</v>
      </c>
      <c r="T236" s="251" t="str">
        <f>IFERROR(__xludf.DUMMYFUNCTION("""COMPUTED_VALUE"""),"--")</f>
        <v>--</v>
      </c>
      <c r="U236" s="251" t="str">
        <f>IFERROR(__xludf.DUMMYFUNCTION("""COMPUTED_VALUE"""),"--")</f>
        <v>--</v>
      </c>
      <c r="V236" s="251" t="str">
        <f>IFERROR(__xludf.DUMMYFUNCTION("""COMPUTED_VALUE"""),"Heater")</f>
        <v>Heater</v>
      </c>
      <c r="W236" s="251" t="str">
        <f>IFERROR(__xludf.DUMMYFUNCTION("""COMPUTED_VALUE"""),"Soul Seer")</f>
        <v>Soul Seer</v>
      </c>
      <c r="X236" s="251" t="str">
        <f>IFERROR(__xludf.DUMMYFUNCTION("""COMPUTED_VALUE"""),"Tracker")</f>
        <v>Tracker</v>
      </c>
      <c r="Y236" s="251" t="str">
        <f>IFERROR(__xludf.DUMMYFUNCTION("""COMPUTED_VALUE"""),"--")</f>
        <v>--</v>
      </c>
      <c r="Z236" s="251" t="str">
        <f>IFERROR(__xludf.DUMMYFUNCTION("""COMPUTED_VALUE"""),"--")</f>
        <v>--</v>
      </c>
      <c r="AA236" s="251" t="str">
        <f>IFERROR(__xludf.DUMMYFUNCTION("""COMPUTED_VALUE"""),"--")</f>
        <v>--</v>
      </c>
      <c r="AB236" s="251" t="str">
        <f>IFERROR(__xludf.DUMMYFUNCTION("""COMPUTED_VALUE"""),"--")</f>
        <v>--</v>
      </c>
      <c r="AC236" s="251" t="str">
        <f>IFERROR(__xludf.DUMMYFUNCTION("""COMPUTED_VALUE"""),"--")</f>
        <v>--</v>
      </c>
      <c r="AD236" s="251">
        <f>IFERROR(__xludf.DUMMYFUNCTION("""COMPUTED_VALUE"""),3.0)</f>
        <v>3</v>
      </c>
      <c r="AE236" s="251" t="str">
        <f>IFERROR(__xludf.DUMMYFUNCTION("""COMPUTED_VALUE"""),"Herbivore")</f>
        <v>Herbivore</v>
      </c>
    </row>
    <row r="237">
      <c r="A237" s="251" t="str">
        <f>IFERROR(__xludf.DUMMYFUNCTION("""COMPUTED_VALUE"""),"Torchic")</f>
        <v>Torchic</v>
      </c>
      <c r="B237" s="251" t="str">
        <f>IFERROR(__xludf.DUMMYFUNCTION("""COMPUTED_VALUE"""),"Fire")</f>
        <v>Fire</v>
      </c>
      <c r="C237" s="251" t="str">
        <f>IFERROR(__xludf.DUMMYFUNCTION("""COMPUTED_VALUE"""),"None")</f>
        <v>None</v>
      </c>
      <c r="D237" s="251">
        <f>IFERROR(__xludf.DUMMYFUNCTION("""COMPUTED_VALUE"""),5.0)</f>
        <v>5</v>
      </c>
      <c r="E237" s="251">
        <f>IFERROR(__xludf.DUMMYFUNCTION("""COMPUTED_VALUE"""),6.0)</f>
        <v>6</v>
      </c>
      <c r="F237" s="251">
        <f>IFERROR(__xludf.DUMMYFUNCTION("""COMPUTED_VALUE"""),4.0)</f>
        <v>4</v>
      </c>
      <c r="G237" s="251">
        <f>IFERROR(__xludf.DUMMYFUNCTION("""COMPUTED_VALUE"""),7.0)</f>
        <v>7</v>
      </c>
      <c r="H237" s="251">
        <f>IFERROR(__xludf.DUMMYFUNCTION("""COMPUTED_VALUE"""),5.0)</f>
        <v>5</v>
      </c>
      <c r="I237" s="251">
        <f>IFERROR(__xludf.DUMMYFUNCTION("""COMPUTED_VALUE"""),5.0)</f>
        <v>5</v>
      </c>
      <c r="J237" s="251">
        <f>IFERROR(__xludf.DUMMYFUNCTION("""COMPUTED_VALUE"""),1.0)</f>
        <v>1</v>
      </c>
      <c r="K237" s="251" t="str">
        <f>IFERROR(__xludf.DUMMYFUNCTION("""COMPUTED_VALUE"""),"Small")</f>
        <v>Small</v>
      </c>
      <c r="L237" s="251">
        <f>IFERROR(__xludf.DUMMYFUNCTION("""COMPUTED_VALUE"""),1.0)</f>
        <v>1</v>
      </c>
      <c r="M237" s="251" t="str">
        <f>IFERROR(__xludf.DUMMYFUNCTION("""COMPUTED_VALUE"""),"Grasslands")</f>
        <v>Grasslands</v>
      </c>
      <c r="N237" s="251" t="str">
        <f>IFERROR(__xludf.DUMMYFUNCTION("""COMPUTED_VALUE"""),"--")</f>
        <v>--</v>
      </c>
      <c r="O237" s="251" t="str">
        <f>IFERROR(__xludf.DUMMYFUNCTION("""COMPUTED_VALUE"""),"--")</f>
        <v>--</v>
      </c>
      <c r="P237" s="251" t="str">
        <f>IFERROR(__xludf.DUMMYFUNCTION("""COMPUTED_VALUE"""),"--")</f>
        <v>--</v>
      </c>
      <c r="Q237" s="251" t="str">
        <f>IFERROR(__xludf.DUMMYFUNCTION("""COMPUTED_VALUE"""),"--")</f>
        <v>--</v>
      </c>
      <c r="R237" s="251" t="str">
        <f>IFERROR(__xludf.DUMMYFUNCTION("""COMPUTED_VALUE"""),"Underdog")</f>
        <v>Underdog</v>
      </c>
      <c r="S237" s="251" t="str">
        <f>IFERROR(__xludf.DUMMYFUNCTION("""COMPUTED_VALUE"""),"--")</f>
        <v>--</v>
      </c>
      <c r="T237" s="251" t="str">
        <f>IFERROR(__xludf.DUMMYFUNCTION("""COMPUTED_VALUE"""),"--")</f>
        <v>--</v>
      </c>
      <c r="U237" s="251" t="str">
        <f>IFERROR(__xludf.DUMMYFUNCTION("""COMPUTED_VALUE"""),"--")</f>
        <v>--</v>
      </c>
      <c r="V237" s="251" t="str">
        <f>IFERROR(__xludf.DUMMYFUNCTION("""COMPUTED_VALUE"""),"--")</f>
        <v>--</v>
      </c>
      <c r="W237" s="251" t="str">
        <f>IFERROR(__xludf.DUMMYFUNCTION("""COMPUTED_VALUE"""),"--")</f>
        <v>--</v>
      </c>
      <c r="X237" s="251" t="str">
        <f>IFERROR(__xludf.DUMMYFUNCTION("""COMPUTED_VALUE"""),"--")</f>
        <v>--</v>
      </c>
      <c r="Y237" s="251" t="str">
        <f>IFERROR(__xludf.DUMMYFUNCTION("""COMPUTED_VALUE"""),"--")</f>
        <v>--</v>
      </c>
      <c r="Z237" s="251" t="str">
        <f>IFERROR(__xludf.DUMMYFUNCTION("""COMPUTED_VALUE"""),"--")</f>
        <v>--</v>
      </c>
      <c r="AA237" s="251" t="str">
        <f>IFERROR(__xludf.DUMMYFUNCTION("""COMPUTED_VALUE"""),"--")</f>
        <v>--</v>
      </c>
      <c r="AB237" s="251" t="str">
        <f>IFERROR(__xludf.DUMMYFUNCTION("""COMPUTED_VALUE"""),"--")</f>
        <v>--</v>
      </c>
      <c r="AC237" s="251" t="str">
        <f>IFERROR(__xludf.DUMMYFUNCTION("""COMPUTED_VALUE"""),"--")</f>
        <v>--</v>
      </c>
      <c r="AD237" s="251">
        <f>IFERROR(__xludf.DUMMYFUNCTION("""COMPUTED_VALUE"""),1.0)</f>
        <v>1</v>
      </c>
      <c r="AE237" s="251" t="str">
        <f>IFERROR(__xludf.DUMMYFUNCTION("""COMPUTED_VALUE"""),"Herbivore")</f>
        <v>Herbivore</v>
      </c>
    </row>
    <row r="238">
      <c r="A238" s="251" t="str">
        <f>IFERROR(__xludf.DUMMYFUNCTION("""COMPUTED_VALUE"""),"Combusken")</f>
        <v>Combusken</v>
      </c>
      <c r="B238" s="251" t="str">
        <f>IFERROR(__xludf.DUMMYFUNCTION("""COMPUTED_VALUE"""),"Fire")</f>
        <v>Fire</v>
      </c>
      <c r="C238" s="251" t="str">
        <f>IFERROR(__xludf.DUMMYFUNCTION("""COMPUTED_VALUE"""),"Fighting")</f>
        <v>Fighting</v>
      </c>
      <c r="D238" s="251">
        <f>IFERROR(__xludf.DUMMYFUNCTION("""COMPUTED_VALUE"""),6.0)</f>
        <v>6</v>
      </c>
      <c r="E238" s="251">
        <f>IFERROR(__xludf.DUMMYFUNCTION("""COMPUTED_VALUE"""),9.0)</f>
        <v>9</v>
      </c>
      <c r="F238" s="251">
        <f>IFERROR(__xludf.DUMMYFUNCTION("""COMPUTED_VALUE"""),6.0)</f>
        <v>6</v>
      </c>
      <c r="G238" s="251">
        <f>IFERROR(__xludf.DUMMYFUNCTION("""COMPUTED_VALUE"""),9.0)</f>
        <v>9</v>
      </c>
      <c r="H238" s="251">
        <f>IFERROR(__xludf.DUMMYFUNCTION("""COMPUTED_VALUE"""),6.0)</f>
        <v>6</v>
      </c>
      <c r="I238" s="251">
        <f>IFERROR(__xludf.DUMMYFUNCTION("""COMPUTED_VALUE"""),6.0)</f>
        <v>6</v>
      </c>
      <c r="J238" s="251">
        <f>IFERROR(__xludf.DUMMYFUNCTION("""COMPUTED_VALUE"""),4.0)</f>
        <v>4</v>
      </c>
      <c r="K238" s="251" t="str">
        <f>IFERROR(__xludf.DUMMYFUNCTION("""COMPUTED_VALUE"""),"Small")</f>
        <v>Small</v>
      </c>
      <c r="L238" s="251">
        <f>IFERROR(__xludf.DUMMYFUNCTION("""COMPUTED_VALUE"""),2.0)</f>
        <v>2</v>
      </c>
      <c r="M238" s="251" t="str">
        <f>IFERROR(__xludf.DUMMYFUNCTION("""COMPUTED_VALUE"""),"Grasslands")</f>
        <v>Grasslands</v>
      </c>
      <c r="N238" s="251" t="str">
        <f>IFERROR(__xludf.DUMMYFUNCTION("""COMPUTED_VALUE"""),"Jumper")</f>
        <v>Jumper</v>
      </c>
      <c r="O238" s="251" t="str">
        <f>IFERROR(__xludf.DUMMYFUNCTION("""COMPUTED_VALUE"""),"Quick")</f>
        <v>Quick</v>
      </c>
      <c r="P238" s="251" t="str">
        <f>IFERROR(__xludf.DUMMYFUNCTION("""COMPUTED_VALUE"""),"--")</f>
        <v>--</v>
      </c>
      <c r="Q238" s="251" t="str">
        <f>IFERROR(__xludf.DUMMYFUNCTION("""COMPUTED_VALUE"""),"--")</f>
        <v>--</v>
      </c>
      <c r="R238" s="251" t="str">
        <f>IFERROR(__xludf.DUMMYFUNCTION("""COMPUTED_VALUE"""),"Underdog")</f>
        <v>Underdog</v>
      </c>
      <c r="S238" s="251" t="str">
        <f>IFERROR(__xludf.DUMMYFUNCTION("""COMPUTED_VALUE"""),"--")</f>
        <v>--</v>
      </c>
      <c r="T238" s="251" t="str">
        <f>IFERROR(__xludf.DUMMYFUNCTION("""COMPUTED_VALUE"""),"--")</f>
        <v>--</v>
      </c>
      <c r="U238" s="251" t="str">
        <f>IFERROR(__xludf.DUMMYFUNCTION("""COMPUTED_VALUE"""),"--")</f>
        <v>--</v>
      </c>
      <c r="V238" s="251" t="str">
        <f>IFERROR(__xludf.DUMMYFUNCTION("""COMPUTED_VALUE"""),"--")</f>
        <v>--</v>
      </c>
      <c r="W238" s="251" t="str">
        <f>IFERROR(__xludf.DUMMYFUNCTION("""COMPUTED_VALUE"""),"--")</f>
        <v>--</v>
      </c>
      <c r="X238" s="251" t="str">
        <f>IFERROR(__xludf.DUMMYFUNCTION("""COMPUTED_VALUE"""),"--")</f>
        <v>--</v>
      </c>
      <c r="Y238" s="251" t="str">
        <f>IFERROR(__xludf.DUMMYFUNCTION("""COMPUTED_VALUE"""),"--")</f>
        <v>--</v>
      </c>
      <c r="Z238" s="251" t="str">
        <f>IFERROR(__xludf.DUMMYFUNCTION("""COMPUTED_VALUE"""),"--")</f>
        <v>--</v>
      </c>
      <c r="AA238" s="251" t="str">
        <f>IFERROR(__xludf.DUMMYFUNCTION("""COMPUTED_VALUE"""),"--")</f>
        <v>--</v>
      </c>
      <c r="AB238" s="251" t="str">
        <f>IFERROR(__xludf.DUMMYFUNCTION("""COMPUTED_VALUE"""),"--")</f>
        <v>--</v>
      </c>
      <c r="AC238" s="251" t="str">
        <f>IFERROR(__xludf.DUMMYFUNCTION("""COMPUTED_VALUE"""),"--")</f>
        <v>--</v>
      </c>
      <c r="AD238" s="251">
        <f>IFERROR(__xludf.DUMMYFUNCTION("""COMPUTED_VALUE"""),2.0)</f>
        <v>2</v>
      </c>
      <c r="AE238" s="251" t="str">
        <f>IFERROR(__xludf.DUMMYFUNCTION("""COMPUTED_VALUE"""),"Herbivore")</f>
        <v>Herbivore</v>
      </c>
    </row>
    <row r="239">
      <c r="A239" s="251" t="str">
        <f>IFERROR(__xludf.DUMMYFUNCTION("""COMPUTED_VALUE"""),"Blaziken")</f>
        <v>Blaziken</v>
      </c>
      <c r="B239" s="251" t="str">
        <f>IFERROR(__xludf.DUMMYFUNCTION("""COMPUTED_VALUE"""),"Fire")</f>
        <v>Fire</v>
      </c>
      <c r="C239" s="251" t="str">
        <f>IFERROR(__xludf.DUMMYFUNCTION("""COMPUTED_VALUE"""),"Fighting")</f>
        <v>Fighting</v>
      </c>
      <c r="D239" s="251">
        <f>IFERROR(__xludf.DUMMYFUNCTION("""COMPUTED_VALUE"""),8.0)</f>
        <v>8</v>
      </c>
      <c r="E239" s="251">
        <f>IFERROR(__xludf.DUMMYFUNCTION("""COMPUTED_VALUE"""),12.0)</f>
        <v>12</v>
      </c>
      <c r="F239" s="251">
        <f>IFERROR(__xludf.DUMMYFUNCTION("""COMPUTED_VALUE"""),7.0)</f>
        <v>7</v>
      </c>
      <c r="G239" s="251">
        <f>IFERROR(__xludf.DUMMYFUNCTION("""COMPUTED_VALUE"""),11.0)</f>
        <v>11</v>
      </c>
      <c r="H239" s="251">
        <f>IFERROR(__xludf.DUMMYFUNCTION("""COMPUTED_VALUE"""),7.0)</f>
        <v>7</v>
      </c>
      <c r="I239" s="251">
        <f>IFERROR(__xludf.DUMMYFUNCTION("""COMPUTED_VALUE"""),8.0)</f>
        <v>8</v>
      </c>
      <c r="J239" s="251">
        <f>IFERROR(__xludf.DUMMYFUNCTION("""COMPUTED_VALUE"""),7.0)</f>
        <v>7</v>
      </c>
      <c r="K239" s="251" t="str">
        <f>IFERROR(__xludf.DUMMYFUNCTION("""COMPUTED_VALUE"""),"Medium")</f>
        <v>Medium</v>
      </c>
      <c r="L239" s="251">
        <f>IFERROR(__xludf.DUMMYFUNCTION("""COMPUTED_VALUE"""),4.0)</f>
        <v>4</v>
      </c>
      <c r="M239" s="251" t="str">
        <f>IFERROR(__xludf.DUMMYFUNCTION("""COMPUTED_VALUE"""),"Grasslands")</f>
        <v>Grasslands</v>
      </c>
      <c r="N239" s="251" t="str">
        <f>IFERROR(__xludf.DUMMYFUNCTION("""COMPUTED_VALUE"""),"Jumper")</f>
        <v>Jumper</v>
      </c>
      <c r="O239" s="251" t="str">
        <f>IFERROR(__xludf.DUMMYFUNCTION("""COMPUTED_VALUE"""),"Quick")</f>
        <v>Quick</v>
      </c>
      <c r="P239" s="251" t="str">
        <f>IFERROR(__xludf.DUMMYFUNCTION("""COMPUTED_VALUE"""),"--")</f>
        <v>--</v>
      </c>
      <c r="Q239" s="251" t="str">
        <f>IFERROR(__xludf.DUMMYFUNCTION("""COMPUTED_VALUE"""),"--")</f>
        <v>--</v>
      </c>
      <c r="R239" s="251" t="str">
        <f>IFERROR(__xludf.DUMMYFUNCTION("""COMPUTED_VALUE"""),"--")</f>
        <v>--</v>
      </c>
      <c r="S239" s="251" t="str">
        <f>IFERROR(__xludf.DUMMYFUNCTION("""COMPUTED_VALUE"""),"--")</f>
        <v>--</v>
      </c>
      <c r="T239" s="251" t="str">
        <f>IFERROR(__xludf.DUMMYFUNCTION("""COMPUTED_VALUE"""),"--")</f>
        <v>--</v>
      </c>
      <c r="U239" s="251" t="str">
        <f>IFERROR(__xludf.DUMMYFUNCTION("""COMPUTED_VALUE"""),"--")</f>
        <v>--</v>
      </c>
      <c r="V239" s="251" t="str">
        <f>IFERROR(__xludf.DUMMYFUNCTION("""COMPUTED_VALUE"""),"--")</f>
        <v>--</v>
      </c>
      <c r="W239" s="251" t="str">
        <f>IFERROR(__xludf.DUMMYFUNCTION("""COMPUTED_VALUE"""),"--")</f>
        <v>--</v>
      </c>
      <c r="X239" s="251" t="str">
        <f>IFERROR(__xludf.DUMMYFUNCTION("""COMPUTED_VALUE"""),"--")</f>
        <v>--</v>
      </c>
      <c r="Y239" s="251" t="str">
        <f>IFERROR(__xludf.DUMMYFUNCTION("""COMPUTED_VALUE"""),"--")</f>
        <v>--</v>
      </c>
      <c r="Z239" s="251" t="str">
        <f>IFERROR(__xludf.DUMMYFUNCTION("""COMPUTED_VALUE"""),"--")</f>
        <v>--</v>
      </c>
      <c r="AA239" s="251" t="str">
        <f>IFERROR(__xludf.DUMMYFUNCTION("""COMPUTED_VALUE"""),"--")</f>
        <v>--</v>
      </c>
      <c r="AB239" s="251" t="str">
        <f>IFERROR(__xludf.DUMMYFUNCTION("""COMPUTED_VALUE"""),"--")</f>
        <v>--</v>
      </c>
      <c r="AC239" s="251" t="str">
        <f>IFERROR(__xludf.DUMMYFUNCTION("""COMPUTED_VALUE"""),"--")</f>
        <v>--</v>
      </c>
      <c r="AD239" s="251">
        <f>IFERROR(__xludf.DUMMYFUNCTION("""COMPUTED_VALUE"""),3.0)</f>
        <v>3</v>
      </c>
      <c r="AE239" s="251" t="str">
        <f>IFERROR(__xludf.DUMMYFUNCTION("""COMPUTED_VALUE"""),"Omnivore")</f>
        <v>Omnivore</v>
      </c>
    </row>
    <row r="240">
      <c r="A240" s="251" t="str">
        <f>IFERROR(__xludf.DUMMYFUNCTION("""COMPUTED_VALUE"""),"Chimchar")</f>
        <v>Chimchar</v>
      </c>
      <c r="B240" s="251" t="str">
        <f>IFERROR(__xludf.DUMMYFUNCTION("""COMPUTED_VALUE"""),"Fire")</f>
        <v>Fire</v>
      </c>
      <c r="C240" s="251" t="str">
        <f>IFERROR(__xludf.DUMMYFUNCTION("""COMPUTED_VALUE"""),"None")</f>
        <v>None</v>
      </c>
      <c r="D240" s="251">
        <f>IFERROR(__xludf.DUMMYFUNCTION("""COMPUTED_VALUE"""),4.0)</f>
        <v>4</v>
      </c>
      <c r="E240" s="251">
        <f>IFERROR(__xludf.DUMMYFUNCTION("""COMPUTED_VALUE"""),6.0)</f>
        <v>6</v>
      </c>
      <c r="F240" s="251">
        <f>IFERROR(__xludf.DUMMYFUNCTION("""COMPUTED_VALUE"""),4.0)</f>
        <v>4</v>
      </c>
      <c r="G240" s="251">
        <f>IFERROR(__xludf.DUMMYFUNCTION("""COMPUTED_VALUE"""),6.0)</f>
        <v>6</v>
      </c>
      <c r="H240" s="251">
        <f>IFERROR(__xludf.DUMMYFUNCTION("""COMPUTED_VALUE"""),4.0)</f>
        <v>4</v>
      </c>
      <c r="I240" s="251">
        <f>IFERROR(__xludf.DUMMYFUNCTION("""COMPUTED_VALUE"""),6.0)</f>
        <v>6</v>
      </c>
      <c r="J240" s="251">
        <f>IFERROR(__xludf.DUMMYFUNCTION("""COMPUTED_VALUE"""),2.0)</f>
        <v>2</v>
      </c>
      <c r="K240" s="251" t="str">
        <f>IFERROR(__xludf.DUMMYFUNCTION("""COMPUTED_VALUE"""),"Small")</f>
        <v>Small</v>
      </c>
      <c r="L240" s="251">
        <f>IFERROR(__xludf.DUMMYFUNCTION("""COMPUTED_VALUE"""),1.0)</f>
        <v>1</v>
      </c>
      <c r="M240" s="251" t="str">
        <f>IFERROR(__xludf.DUMMYFUNCTION("""COMPUTED_VALUE"""),"Forest, Mountain")</f>
        <v>Forest, Mountain</v>
      </c>
      <c r="N240" s="251" t="str">
        <f>IFERROR(__xludf.DUMMYFUNCTION("""COMPUTED_VALUE"""),"Climber")</f>
        <v>Climber</v>
      </c>
      <c r="O240" s="251" t="str">
        <f>IFERROR(__xludf.DUMMYFUNCTION("""COMPUTED_VALUE"""),"Jumper")</f>
        <v>Jumper</v>
      </c>
      <c r="P240" s="251" t="str">
        <f>IFERROR(__xludf.DUMMYFUNCTION("""COMPUTED_VALUE"""),"--")</f>
        <v>--</v>
      </c>
      <c r="Q240" s="251" t="str">
        <f>IFERROR(__xludf.DUMMYFUNCTION("""COMPUTED_VALUE"""),"--")</f>
        <v>--</v>
      </c>
      <c r="R240" s="251" t="str">
        <f>IFERROR(__xludf.DUMMYFUNCTION("""COMPUTED_VALUE"""),"Underdog")</f>
        <v>Underdog</v>
      </c>
      <c r="S240" s="251" t="str">
        <f>IFERROR(__xludf.DUMMYFUNCTION("""COMPUTED_VALUE"""),"--")</f>
        <v>--</v>
      </c>
      <c r="T240" s="251" t="str">
        <f>IFERROR(__xludf.DUMMYFUNCTION("""COMPUTED_VALUE"""),"--")</f>
        <v>--</v>
      </c>
      <c r="U240" s="251" t="str">
        <f>IFERROR(__xludf.DUMMYFUNCTION("""COMPUTED_VALUE"""),"--")</f>
        <v>--</v>
      </c>
      <c r="V240" s="251" t="str">
        <f>IFERROR(__xludf.DUMMYFUNCTION("""COMPUTED_VALUE"""),"Glow")</f>
        <v>Glow</v>
      </c>
      <c r="W240" s="251" t="str">
        <f>IFERROR(__xludf.DUMMYFUNCTION("""COMPUTED_VALUE"""),"Heater")</f>
        <v>Heater</v>
      </c>
      <c r="X240" s="251" t="str">
        <f>IFERROR(__xludf.DUMMYFUNCTION("""COMPUTED_VALUE"""),"--")</f>
        <v>--</v>
      </c>
      <c r="Y240" s="251" t="str">
        <f>IFERROR(__xludf.DUMMYFUNCTION("""COMPUTED_VALUE"""),"--")</f>
        <v>--</v>
      </c>
      <c r="Z240" s="251" t="str">
        <f>IFERROR(__xludf.DUMMYFUNCTION("""COMPUTED_VALUE"""),"--")</f>
        <v>--</v>
      </c>
      <c r="AA240" s="251" t="str">
        <f>IFERROR(__xludf.DUMMYFUNCTION("""COMPUTED_VALUE"""),"--")</f>
        <v>--</v>
      </c>
      <c r="AB240" s="251" t="str">
        <f>IFERROR(__xludf.DUMMYFUNCTION("""COMPUTED_VALUE"""),"--")</f>
        <v>--</v>
      </c>
      <c r="AC240" s="251" t="str">
        <f>IFERROR(__xludf.DUMMYFUNCTION("""COMPUTED_VALUE"""),"--")</f>
        <v>--</v>
      </c>
      <c r="AD240" s="251">
        <f>IFERROR(__xludf.DUMMYFUNCTION("""COMPUTED_VALUE"""),1.0)</f>
        <v>1</v>
      </c>
      <c r="AE240" s="251" t="str">
        <f>IFERROR(__xludf.DUMMYFUNCTION("""COMPUTED_VALUE"""),"Omnivore")</f>
        <v>Omnivore</v>
      </c>
    </row>
    <row r="241">
      <c r="A241" s="251" t="str">
        <f>IFERROR(__xludf.DUMMYFUNCTION("""COMPUTED_VALUE"""),"Monferno")</f>
        <v>Monferno</v>
      </c>
      <c r="B241" s="251" t="str">
        <f>IFERROR(__xludf.DUMMYFUNCTION("""COMPUTED_VALUE"""),"Fire")</f>
        <v>Fire</v>
      </c>
      <c r="C241" s="251" t="str">
        <f>IFERROR(__xludf.DUMMYFUNCTION("""COMPUTED_VALUE"""),"Fighting")</f>
        <v>Fighting</v>
      </c>
      <c r="D241" s="251">
        <f>IFERROR(__xludf.DUMMYFUNCTION("""COMPUTED_VALUE"""),6.0)</f>
        <v>6</v>
      </c>
      <c r="E241" s="251">
        <f>IFERROR(__xludf.DUMMYFUNCTION("""COMPUTED_VALUE"""),8.0)</f>
        <v>8</v>
      </c>
      <c r="F241" s="251">
        <f>IFERROR(__xludf.DUMMYFUNCTION("""COMPUTED_VALUE"""),5.0)</f>
        <v>5</v>
      </c>
      <c r="G241" s="251">
        <f>IFERROR(__xludf.DUMMYFUNCTION("""COMPUTED_VALUE"""),8.0)</f>
        <v>8</v>
      </c>
      <c r="H241" s="251">
        <f>IFERROR(__xludf.DUMMYFUNCTION("""COMPUTED_VALUE"""),5.0)</f>
        <v>5</v>
      </c>
      <c r="I241" s="251">
        <f>IFERROR(__xludf.DUMMYFUNCTION("""COMPUTED_VALUE"""),8.0)</f>
        <v>8</v>
      </c>
      <c r="J241" s="251">
        <f>IFERROR(__xludf.DUMMYFUNCTION("""COMPUTED_VALUE"""),5.0)</f>
        <v>5</v>
      </c>
      <c r="K241" s="251" t="str">
        <f>IFERROR(__xludf.DUMMYFUNCTION("""COMPUTED_VALUE"""),"Small")</f>
        <v>Small</v>
      </c>
      <c r="L241" s="251">
        <f>IFERROR(__xludf.DUMMYFUNCTION("""COMPUTED_VALUE"""),2.0)</f>
        <v>2</v>
      </c>
      <c r="M241" s="251" t="str">
        <f>IFERROR(__xludf.DUMMYFUNCTION("""COMPUTED_VALUE"""),"Forest, Mountain")</f>
        <v>Forest, Mountain</v>
      </c>
      <c r="N241" s="251" t="str">
        <f>IFERROR(__xludf.DUMMYFUNCTION("""COMPUTED_VALUE"""),"Climber")</f>
        <v>Climber</v>
      </c>
      <c r="O241" s="251" t="str">
        <f>IFERROR(__xludf.DUMMYFUNCTION("""COMPUTED_VALUE"""),"Jumper")</f>
        <v>Jumper</v>
      </c>
      <c r="P241" s="251" t="str">
        <f>IFERROR(__xludf.DUMMYFUNCTION("""COMPUTED_VALUE"""),"--")</f>
        <v>--</v>
      </c>
      <c r="Q241" s="251" t="str">
        <f>IFERROR(__xludf.DUMMYFUNCTION("""COMPUTED_VALUE"""),"--")</f>
        <v>--</v>
      </c>
      <c r="R241" s="251" t="str">
        <f>IFERROR(__xludf.DUMMYFUNCTION("""COMPUTED_VALUE"""),"Underdog")</f>
        <v>Underdog</v>
      </c>
      <c r="S241" s="251" t="str">
        <f>IFERROR(__xludf.DUMMYFUNCTION("""COMPUTED_VALUE"""),"--")</f>
        <v>--</v>
      </c>
      <c r="T241" s="251" t="str">
        <f>IFERROR(__xludf.DUMMYFUNCTION("""COMPUTED_VALUE"""),"--")</f>
        <v>--</v>
      </c>
      <c r="U241" s="251" t="str">
        <f>IFERROR(__xludf.DUMMYFUNCTION("""COMPUTED_VALUE"""),"--")</f>
        <v>--</v>
      </c>
      <c r="V241" s="251" t="str">
        <f>IFERROR(__xludf.DUMMYFUNCTION("""COMPUTED_VALUE"""),"Glow")</f>
        <v>Glow</v>
      </c>
      <c r="W241" s="251" t="str">
        <f>IFERROR(__xludf.DUMMYFUNCTION("""COMPUTED_VALUE"""),"Heater")</f>
        <v>Heater</v>
      </c>
      <c r="X241" s="251" t="str">
        <f>IFERROR(__xludf.DUMMYFUNCTION("""COMPUTED_VALUE"""),"--")</f>
        <v>--</v>
      </c>
      <c r="Y241" s="251" t="str">
        <f>IFERROR(__xludf.DUMMYFUNCTION("""COMPUTED_VALUE"""),"--")</f>
        <v>--</v>
      </c>
      <c r="Z241" s="251" t="str">
        <f>IFERROR(__xludf.DUMMYFUNCTION("""COMPUTED_VALUE"""),"--")</f>
        <v>--</v>
      </c>
      <c r="AA241" s="251" t="str">
        <f>IFERROR(__xludf.DUMMYFUNCTION("""COMPUTED_VALUE"""),"--")</f>
        <v>--</v>
      </c>
      <c r="AB241" s="251" t="str">
        <f>IFERROR(__xludf.DUMMYFUNCTION("""COMPUTED_VALUE"""),"--")</f>
        <v>--</v>
      </c>
      <c r="AC241" s="251" t="str">
        <f>IFERROR(__xludf.DUMMYFUNCTION("""COMPUTED_VALUE"""),"--")</f>
        <v>--</v>
      </c>
      <c r="AD241" s="251">
        <f>IFERROR(__xludf.DUMMYFUNCTION("""COMPUTED_VALUE"""),2.0)</f>
        <v>2</v>
      </c>
      <c r="AE241" s="251" t="str">
        <f>IFERROR(__xludf.DUMMYFUNCTION("""COMPUTED_VALUE"""),"Omnivore")</f>
        <v>Omnivore</v>
      </c>
    </row>
    <row r="242">
      <c r="A242" s="251" t="str">
        <f>IFERROR(__xludf.DUMMYFUNCTION("""COMPUTED_VALUE"""),"Infernape")</f>
        <v>Infernape</v>
      </c>
      <c r="B242" s="251" t="str">
        <f>IFERROR(__xludf.DUMMYFUNCTION("""COMPUTED_VALUE"""),"Fire")</f>
        <v>Fire</v>
      </c>
      <c r="C242" s="251" t="str">
        <f>IFERROR(__xludf.DUMMYFUNCTION("""COMPUTED_VALUE"""),"Fighting")</f>
        <v>Fighting</v>
      </c>
      <c r="D242" s="251">
        <f>IFERROR(__xludf.DUMMYFUNCTION("""COMPUTED_VALUE"""),8.0)</f>
        <v>8</v>
      </c>
      <c r="E242" s="251">
        <f>IFERROR(__xludf.DUMMYFUNCTION("""COMPUTED_VALUE"""),10.0)</f>
        <v>10</v>
      </c>
      <c r="F242" s="251">
        <f>IFERROR(__xludf.DUMMYFUNCTION("""COMPUTED_VALUE"""),7.0)</f>
        <v>7</v>
      </c>
      <c r="G242" s="251">
        <f>IFERROR(__xludf.DUMMYFUNCTION("""COMPUTED_VALUE"""),10.0)</f>
        <v>10</v>
      </c>
      <c r="H242" s="251">
        <f>IFERROR(__xludf.DUMMYFUNCTION("""COMPUTED_VALUE"""),7.0)</f>
        <v>7</v>
      </c>
      <c r="I242" s="251">
        <f>IFERROR(__xludf.DUMMYFUNCTION("""COMPUTED_VALUE"""),10.0)</f>
        <v>10</v>
      </c>
      <c r="J242" s="251">
        <f>IFERROR(__xludf.DUMMYFUNCTION("""COMPUTED_VALUE"""),8.0)</f>
        <v>8</v>
      </c>
      <c r="K242" s="251" t="str">
        <f>IFERROR(__xludf.DUMMYFUNCTION("""COMPUTED_VALUE"""),"Medium")</f>
        <v>Medium</v>
      </c>
      <c r="L242" s="251">
        <f>IFERROR(__xludf.DUMMYFUNCTION("""COMPUTED_VALUE"""),4.0)</f>
        <v>4</v>
      </c>
      <c r="M242" s="251" t="str">
        <f>IFERROR(__xludf.DUMMYFUNCTION("""COMPUTED_VALUE"""),"Forest, Mountain")</f>
        <v>Forest, Mountain</v>
      </c>
      <c r="N242" s="251" t="str">
        <f>IFERROR(__xludf.DUMMYFUNCTION("""COMPUTED_VALUE"""),"Climber")</f>
        <v>Climber</v>
      </c>
      <c r="O242" s="251" t="str">
        <f>IFERROR(__xludf.DUMMYFUNCTION("""COMPUTED_VALUE"""),"Jumper")</f>
        <v>Jumper</v>
      </c>
      <c r="P242" s="251" t="str">
        <f>IFERROR(__xludf.DUMMYFUNCTION("""COMPUTED_VALUE"""),"--")</f>
        <v>--</v>
      </c>
      <c r="Q242" s="251" t="str">
        <f>IFERROR(__xludf.DUMMYFUNCTION("""COMPUTED_VALUE"""),"--")</f>
        <v>--</v>
      </c>
      <c r="R242" s="251" t="str">
        <f>IFERROR(__xludf.DUMMYFUNCTION("""COMPUTED_VALUE"""),"--")</f>
        <v>--</v>
      </c>
      <c r="S242" s="251" t="str">
        <f>IFERROR(__xludf.DUMMYFUNCTION("""COMPUTED_VALUE"""),"--")</f>
        <v>--</v>
      </c>
      <c r="T242" s="251" t="str">
        <f>IFERROR(__xludf.DUMMYFUNCTION("""COMPUTED_VALUE"""),"--")</f>
        <v>--</v>
      </c>
      <c r="U242" s="251" t="str">
        <f>IFERROR(__xludf.DUMMYFUNCTION("""COMPUTED_VALUE"""),"--")</f>
        <v>--</v>
      </c>
      <c r="V242" s="251" t="str">
        <f>IFERROR(__xludf.DUMMYFUNCTION("""COMPUTED_VALUE"""),"Glow")</f>
        <v>Glow</v>
      </c>
      <c r="W242" s="251" t="str">
        <f>IFERROR(__xludf.DUMMYFUNCTION("""COMPUTED_VALUE"""),"Heater")</f>
        <v>Heater</v>
      </c>
      <c r="X242" s="251" t="str">
        <f>IFERROR(__xludf.DUMMYFUNCTION("""COMPUTED_VALUE"""),"--")</f>
        <v>--</v>
      </c>
      <c r="Y242" s="251" t="str">
        <f>IFERROR(__xludf.DUMMYFUNCTION("""COMPUTED_VALUE"""),"--")</f>
        <v>--</v>
      </c>
      <c r="Z242" s="251" t="str">
        <f>IFERROR(__xludf.DUMMYFUNCTION("""COMPUTED_VALUE"""),"--")</f>
        <v>--</v>
      </c>
      <c r="AA242" s="251" t="str">
        <f>IFERROR(__xludf.DUMMYFUNCTION("""COMPUTED_VALUE"""),"--")</f>
        <v>--</v>
      </c>
      <c r="AB242" s="251" t="str">
        <f>IFERROR(__xludf.DUMMYFUNCTION("""COMPUTED_VALUE"""),"--")</f>
        <v>--</v>
      </c>
      <c r="AC242" s="251" t="str">
        <f>IFERROR(__xludf.DUMMYFUNCTION("""COMPUTED_VALUE"""),"--")</f>
        <v>--</v>
      </c>
      <c r="AD242" s="251">
        <f>IFERROR(__xludf.DUMMYFUNCTION("""COMPUTED_VALUE"""),3.0)</f>
        <v>3</v>
      </c>
      <c r="AE242" s="251" t="str">
        <f>IFERROR(__xludf.DUMMYFUNCTION("""COMPUTED_VALUE"""),"Omnivore")</f>
        <v>Omnivore</v>
      </c>
    </row>
    <row r="243">
      <c r="A243" s="251" t="str">
        <f>IFERROR(__xludf.DUMMYFUNCTION("""COMPUTED_VALUE"""),"Tepig")</f>
        <v>Tepig</v>
      </c>
      <c r="B243" s="251" t="str">
        <f>IFERROR(__xludf.DUMMYFUNCTION("""COMPUTED_VALUE"""),"Fire")</f>
        <v>Fire</v>
      </c>
      <c r="C243" s="251" t="str">
        <f>IFERROR(__xludf.DUMMYFUNCTION("""COMPUTED_VALUE"""),"None")</f>
        <v>None</v>
      </c>
      <c r="D243" s="251">
        <f>IFERROR(__xludf.DUMMYFUNCTION("""COMPUTED_VALUE"""),7.0)</f>
        <v>7</v>
      </c>
      <c r="E243" s="251">
        <f>IFERROR(__xludf.DUMMYFUNCTION("""COMPUTED_VALUE"""),6.0)</f>
        <v>6</v>
      </c>
      <c r="F243" s="251">
        <f>IFERROR(__xludf.DUMMYFUNCTION("""COMPUTED_VALUE"""),5.0)</f>
        <v>5</v>
      </c>
      <c r="G243" s="251">
        <f>IFERROR(__xludf.DUMMYFUNCTION("""COMPUTED_VALUE"""),5.0)</f>
        <v>5</v>
      </c>
      <c r="H243" s="251">
        <f>IFERROR(__xludf.DUMMYFUNCTION("""COMPUTED_VALUE"""),5.0)</f>
        <v>5</v>
      </c>
      <c r="I243" s="251">
        <f>IFERROR(__xludf.DUMMYFUNCTION("""COMPUTED_VALUE"""),5.0)</f>
        <v>5</v>
      </c>
      <c r="J243" s="251">
        <f>IFERROR(__xludf.DUMMYFUNCTION("""COMPUTED_VALUE"""),2.0)</f>
        <v>2</v>
      </c>
      <c r="K243" s="251" t="str">
        <f>IFERROR(__xludf.DUMMYFUNCTION("""COMPUTED_VALUE"""),"Small")</f>
        <v>Small</v>
      </c>
      <c r="L243" s="251">
        <f>IFERROR(__xludf.DUMMYFUNCTION("""COMPUTED_VALUE"""),1.0)</f>
        <v>1</v>
      </c>
      <c r="M243" s="251" t="str">
        <f>IFERROR(__xludf.DUMMYFUNCTION("""COMPUTED_VALUE"""),"Grasslands")</f>
        <v>Grasslands</v>
      </c>
      <c r="N243" s="251" t="str">
        <f>IFERROR(__xludf.DUMMYFUNCTION("""COMPUTED_VALUE"""),"--")</f>
        <v>--</v>
      </c>
      <c r="O243" s="251" t="str">
        <f>IFERROR(__xludf.DUMMYFUNCTION("""COMPUTED_VALUE"""),"--")</f>
        <v>--</v>
      </c>
      <c r="P243" s="251" t="str">
        <f>IFERROR(__xludf.DUMMYFUNCTION("""COMPUTED_VALUE"""),"--")</f>
        <v>--</v>
      </c>
      <c r="Q243" s="251" t="str">
        <f>IFERROR(__xludf.DUMMYFUNCTION("""COMPUTED_VALUE"""),"--")</f>
        <v>--</v>
      </c>
      <c r="R243" s="251" t="str">
        <f>IFERROR(__xludf.DUMMYFUNCTION("""COMPUTED_VALUE"""),"Underdog")</f>
        <v>Underdog</v>
      </c>
      <c r="S243" s="251" t="str">
        <f>IFERROR(__xludf.DUMMYFUNCTION("""COMPUTED_VALUE"""),"--")</f>
        <v>--</v>
      </c>
      <c r="T243" s="251" t="str">
        <f>IFERROR(__xludf.DUMMYFUNCTION("""COMPUTED_VALUE"""),"--")</f>
        <v>--</v>
      </c>
      <c r="U243" s="251" t="str">
        <f>IFERROR(__xludf.DUMMYFUNCTION("""COMPUTED_VALUE"""),"--")</f>
        <v>--</v>
      </c>
      <c r="V243" s="251" t="str">
        <f>IFERROR(__xludf.DUMMYFUNCTION("""COMPUTED_VALUE"""),"Heater")</f>
        <v>Heater</v>
      </c>
      <c r="W243" s="251" t="str">
        <f>IFERROR(__xludf.DUMMYFUNCTION("""COMPUTED_VALUE"""),"Tracker")</f>
        <v>Tracker</v>
      </c>
      <c r="X243" s="251" t="str">
        <f>IFERROR(__xludf.DUMMYFUNCTION("""COMPUTED_VALUE"""),"--")</f>
        <v>--</v>
      </c>
      <c r="Y243" s="251" t="str">
        <f>IFERROR(__xludf.DUMMYFUNCTION("""COMPUTED_VALUE"""),"--")</f>
        <v>--</v>
      </c>
      <c r="Z243" s="251" t="str">
        <f>IFERROR(__xludf.DUMMYFUNCTION("""COMPUTED_VALUE"""),"--")</f>
        <v>--</v>
      </c>
      <c r="AA243" s="251" t="str">
        <f>IFERROR(__xludf.DUMMYFUNCTION("""COMPUTED_VALUE"""),"--")</f>
        <v>--</v>
      </c>
      <c r="AB243" s="251" t="str">
        <f>IFERROR(__xludf.DUMMYFUNCTION("""COMPUTED_VALUE"""),"--")</f>
        <v>--</v>
      </c>
      <c r="AC243" s="251" t="str">
        <f>IFERROR(__xludf.DUMMYFUNCTION("""COMPUTED_VALUE"""),"--")</f>
        <v>--</v>
      </c>
      <c r="AD243" s="251">
        <f>IFERROR(__xludf.DUMMYFUNCTION("""COMPUTED_VALUE"""),1.0)</f>
        <v>1</v>
      </c>
      <c r="AE243" s="251" t="str">
        <f>IFERROR(__xludf.DUMMYFUNCTION("""COMPUTED_VALUE"""),"Herbivore")</f>
        <v>Herbivore</v>
      </c>
    </row>
    <row r="244">
      <c r="A244" s="251" t="str">
        <f>IFERROR(__xludf.DUMMYFUNCTION("""COMPUTED_VALUE"""),"Pignite")</f>
        <v>Pignite</v>
      </c>
      <c r="B244" s="251" t="str">
        <f>IFERROR(__xludf.DUMMYFUNCTION("""COMPUTED_VALUE"""),"Fire")</f>
        <v>Fire</v>
      </c>
      <c r="C244" s="251" t="str">
        <f>IFERROR(__xludf.DUMMYFUNCTION("""COMPUTED_VALUE"""),"Fighting")</f>
        <v>Fighting</v>
      </c>
      <c r="D244" s="251">
        <f>IFERROR(__xludf.DUMMYFUNCTION("""COMPUTED_VALUE"""),9.0)</f>
        <v>9</v>
      </c>
      <c r="E244" s="251">
        <f>IFERROR(__xludf.DUMMYFUNCTION("""COMPUTED_VALUE"""),9.0)</f>
        <v>9</v>
      </c>
      <c r="F244" s="251">
        <f>IFERROR(__xludf.DUMMYFUNCTION("""COMPUTED_VALUE"""),6.0)</f>
        <v>6</v>
      </c>
      <c r="G244" s="251">
        <f>IFERROR(__xludf.DUMMYFUNCTION("""COMPUTED_VALUE"""),7.0)</f>
        <v>7</v>
      </c>
      <c r="H244" s="251">
        <f>IFERROR(__xludf.DUMMYFUNCTION("""COMPUTED_VALUE"""),6.0)</f>
        <v>6</v>
      </c>
      <c r="I244" s="251">
        <f>IFERROR(__xludf.DUMMYFUNCTION("""COMPUTED_VALUE"""),6.0)</f>
        <v>6</v>
      </c>
      <c r="J244" s="251">
        <f>IFERROR(__xludf.DUMMYFUNCTION("""COMPUTED_VALUE"""),4.0)</f>
        <v>4</v>
      </c>
      <c r="K244" s="251" t="str">
        <f>IFERROR(__xludf.DUMMYFUNCTION("""COMPUTED_VALUE"""),"Medium")</f>
        <v>Medium</v>
      </c>
      <c r="L244" s="251">
        <f>IFERROR(__xludf.DUMMYFUNCTION("""COMPUTED_VALUE"""),4.0)</f>
        <v>4</v>
      </c>
      <c r="M244" s="251" t="str">
        <f>IFERROR(__xludf.DUMMYFUNCTION("""COMPUTED_VALUE"""),"Grasslands")</f>
        <v>Grasslands</v>
      </c>
      <c r="N244" s="251" t="str">
        <f>IFERROR(__xludf.DUMMYFUNCTION("""COMPUTED_VALUE"""),"--")</f>
        <v>--</v>
      </c>
      <c r="O244" s="251" t="str">
        <f>IFERROR(__xludf.DUMMYFUNCTION("""COMPUTED_VALUE"""),"--")</f>
        <v>--</v>
      </c>
      <c r="P244" s="251" t="str">
        <f>IFERROR(__xludf.DUMMYFUNCTION("""COMPUTED_VALUE"""),"--")</f>
        <v>--</v>
      </c>
      <c r="Q244" s="251" t="str">
        <f>IFERROR(__xludf.DUMMYFUNCTION("""COMPUTED_VALUE"""),"--")</f>
        <v>--</v>
      </c>
      <c r="R244" s="251" t="str">
        <f>IFERROR(__xludf.DUMMYFUNCTION("""COMPUTED_VALUE"""),"Underdog")</f>
        <v>Underdog</v>
      </c>
      <c r="S244" s="251" t="str">
        <f>IFERROR(__xludf.DUMMYFUNCTION("""COMPUTED_VALUE"""),"--")</f>
        <v>--</v>
      </c>
      <c r="T244" s="251" t="str">
        <f>IFERROR(__xludf.DUMMYFUNCTION("""COMPUTED_VALUE"""),"--")</f>
        <v>--</v>
      </c>
      <c r="U244" s="251" t="str">
        <f>IFERROR(__xludf.DUMMYFUNCTION("""COMPUTED_VALUE"""),"--")</f>
        <v>--</v>
      </c>
      <c r="V244" s="251" t="str">
        <f>IFERROR(__xludf.DUMMYFUNCTION("""COMPUTED_VALUE"""),"Heater")</f>
        <v>Heater</v>
      </c>
      <c r="W244" s="251" t="str">
        <f>IFERROR(__xludf.DUMMYFUNCTION("""COMPUTED_VALUE"""),"Tracker")</f>
        <v>Tracker</v>
      </c>
      <c r="X244" s="251" t="str">
        <f>IFERROR(__xludf.DUMMYFUNCTION("""COMPUTED_VALUE"""),"--")</f>
        <v>--</v>
      </c>
      <c r="Y244" s="251" t="str">
        <f>IFERROR(__xludf.DUMMYFUNCTION("""COMPUTED_VALUE"""),"--")</f>
        <v>--</v>
      </c>
      <c r="Z244" s="251" t="str">
        <f>IFERROR(__xludf.DUMMYFUNCTION("""COMPUTED_VALUE"""),"--")</f>
        <v>--</v>
      </c>
      <c r="AA244" s="251" t="str">
        <f>IFERROR(__xludf.DUMMYFUNCTION("""COMPUTED_VALUE"""),"--")</f>
        <v>--</v>
      </c>
      <c r="AB244" s="251" t="str">
        <f>IFERROR(__xludf.DUMMYFUNCTION("""COMPUTED_VALUE"""),"--")</f>
        <v>--</v>
      </c>
      <c r="AC244" s="251" t="str">
        <f>IFERROR(__xludf.DUMMYFUNCTION("""COMPUTED_VALUE"""),"--")</f>
        <v>--</v>
      </c>
      <c r="AD244" s="251">
        <f>IFERROR(__xludf.DUMMYFUNCTION("""COMPUTED_VALUE"""),2.0)</f>
        <v>2</v>
      </c>
      <c r="AE244" s="251" t="str">
        <f>IFERROR(__xludf.DUMMYFUNCTION("""COMPUTED_VALUE"""),"Herbivore")</f>
        <v>Herbivore</v>
      </c>
    </row>
    <row r="245">
      <c r="A245" s="251" t="str">
        <f>IFERROR(__xludf.DUMMYFUNCTION("""COMPUTED_VALUE"""),"Emboar")</f>
        <v>Emboar</v>
      </c>
      <c r="B245" s="251" t="str">
        <f>IFERROR(__xludf.DUMMYFUNCTION("""COMPUTED_VALUE"""),"Fire")</f>
        <v>Fire</v>
      </c>
      <c r="C245" s="251" t="str">
        <f>IFERROR(__xludf.DUMMYFUNCTION("""COMPUTED_VALUE"""),"Fighting")</f>
        <v>Fighting</v>
      </c>
      <c r="D245" s="251">
        <f>IFERROR(__xludf.DUMMYFUNCTION("""COMPUTED_VALUE"""),11.0)</f>
        <v>11</v>
      </c>
      <c r="E245" s="251">
        <f>IFERROR(__xludf.DUMMYFUNCTION("""COMPUTED_VALUE"""),12.0)</f>
        <v>12</v>
      </c>
      <c r="F245" s="251">
        <f>IFERROR(__xludf.DUMMYFUNCTION("""COMPUTED_VALUE"""),7.0)</f>
        <v>7</v>
      </c>
      <c r="G245" s="251">
        <f>IFERROR(__xludf.DUMMYFUNCTION("""COMPUTED_VALUE"""),10.0)</f>
        <v>10</v>
      </c>
      <c r="H245" s="251">
        <f>IFERROR(__xludf.DUMMYFUNCTION("""COMPUTED_VALUE"""),7.0)</f>
        <v>7</v>
      </c>
      <c r="I245" s="251">
        <f>IFERROR(__xludf.DUMMYFUNCTION("""COMPUTED_VALUE"""),7.0)</f>
        <v>7</v>
      </c>
      <c r="J245" s="251">
        <f>IFERROR(__xludf.DUMMYFUNCTION("""COMPUTED_VALUE"""),8.0)</f>
        <v>8</v>
      </c>
      <c r="K245" s="251" t="str">
        <f>IFERROR(__xludf.DUMMYFUNCTION("""COMPUTED_VALUE"""),"Medium")</f>
        <v>Medium</v>
      </c>
      <c r="L245" s="251">
        <f>IFERROR(__xludf.DUMMYFUNCTION("""COMPUTED_VALUE"""),5.0)</f>
        <v>5</v>
      </c>
      <c r="M245" s="251" t="str">
        <f>IFERROR(__xludf.DUMMYFUNCTION("""COMPUTED_VALUE"""),"Grasslands")</f>
        <v>Grasslands</v>
      </c>
      <c r="N245" s="251" t="str">
        <f>IFERROR(__xludf.DUMMYFUNCTION("""COMPUTED_VALUE"""),"--")</f>
        <v>--</v>
      </c>
      <c r="O245" s="251" t="str">
        <f>IFERROR(__xludf.DUMMYFUNCTION("""COMPUTED_VALUE"""),"--")</f>
        <v>--</v>
      </c>
      <c r="P245" s="251" t="str">
        <f>IFERROR(__xludf.DUMMYFUNCTION("""COMPUTED_VALUE"""),"--")</f>
        <v>--</v>
      </c>
      <c r="Q245" s="251" t="str">
        <f>IFERROR(__xludf.DUMMYFUNCTION("""COMPUTED_VALUE"""),"--")</f>
        <v>--</v>
      </c>
      <c r="R245" s="251" t="str">
        <f>IFERROR(__xludf.DUMMYFUNCTION("""COMPUTED_VALUE"""),"--")</f>
        <v>--</v>
      </c>
      <c r="S245" s="251" t="str">
        <f>IFERROR(__xludf.DUMMYFUNCTION("""COMPUTED_VALUE"""),"--")</f>
        <v>--</v>
      </c>
      <c r="T245" s="251" t="str">
        <f>IFERROR(__xludf.DUMMYFUNCTION("""COMPUTED_VALUE"""),"--")</f>
        <v>--</v>
      </c>
      <c r="U245" s="251" t="str">
        <f>IFERROR(__xludf.DUMMYFUNCTION("""COMPUTED_VALUE"""),"--")</f>
        <v>--</v>
      </c>
      <c r="V245" s="251" t="str">
        <f>IFERROR(__xludf.DUMMYFUNCTION("""COMPUTED_VALUE"""),"Heater")</f>
        <v>Heater</v>
      </c>
      <c r="W245" s="251" t="str">
        <f>IFERROR(__xludf.DUMMYFUNCTION("""COMPUTED_VALUE"""),"Tracker")</f>
        <v>Tracker</v>
      </c>
      <c r="X245" s="251" t="str">
        <f>IFERROR(__xludf.DUMMYFUNCTION("""COMPUTED_VALUE"""),"--")</f>
        <v>--</v>
      </c>
      <c r="Y245" s="251" t="str">
        <f>IFERROR(__xludf.DUMMYFUNCTION("""COMPUTED_VALUE"""),"--")</f>
        <v>--</v>
      </c>
      <c r="Z245" s="251" t="str">
        <f>IFERROR(__xludf.DUMMYFUNCTION("""COMPUTED_VALUE"""),"--")</f>
        <v>--</v>
      </c>
      <c r="AA245" s="251" t="str">
        <f>IFERROR(__xludf.DUMMYFUNCTION("""COMPUTED_VALUE"""),"--")</f>
        <v>--</v>
      </c>
      <c r="AB245" s="251" t="str">
        <f>IFERROR(__xludf.DUMMYFUNCTION("""COMPUTED_VALUE"""),"--")</f>
        <v>--</v>
      </c>
      <c r="AC245" s="251" t="str">
        <f>IFERROR(__xludf.DUMMYFUNCTION("""COMPUTED_VALUE"""),"--")</f>
        <v>--</v>
      </c>
      <c r="AD245" s="251">
        <f>IFERROR(__xludf.DUMMYFUNCTION("""COMPUTED_VALUE"""),3.0)</f>
        <v>3</v>
      </c>
      <c r="AE245" s="251" t="str">
        <f>IFERROR(__xludf.DUMMYFUNCTION("""COMPUTED_VALUE"""),"Omnivore")</f>
        <v>Omnivore</v>
      </c>
    </row>
    <row r="246">
      <c r="A246" s="251" t="str">
        <f>IFERROR(__xludf.DUMMYFUNCTION("""COMPUTED_VALUE"""),"Fennekin")</f>
        <v>Fennekin</v>
      </c>
      <c r="B246" s="251" t="str">
        <f>IFERROR(__xludf.DUMMYFUNCTION("""COMPUTED_VALUE"""),"Fire")</f>
        <v>Fire</v>
      </c>
      <c r="C246" s="251" t="str">
        <f>IFERROR(__xludf.DUMMYFUNCTION("""COMPUTED_VALUE"""),"None")</f>
        <v>None</v>
      </c>
      <c r="D246" s="251">
        <f>IFERROR(__xludf.DUMMYFUNCTION("""COMPUTED_VALUE"""),4.0)</f>
        <v>4</v>
      </c>
      <c r="E246" s="251">
        <f>IFERROR(__xludf.DUMMYFUNCTION("""COMPUTED_VALUE"""),5.0)</f>
        <v>5</v>
      </c>
      <c r="F246" s="251">
        <f>IFERROR(__xludf.DUMMYFUNCTION("""COMPUTED_VALUE"""),4.0)</f>
        <v>4</v>
      </c>
      <c r="G246" s="251">
        <f>IFERROR(__xludf.DUMMYFUNCTION("""COMPUTED_VALUE"""),6.0)</f>
        <v>6</v>
      </c>
      <c r="H246" s="251">
        <f>IFERROR(__xludf.DUMMYFUNCTION("""COMPUTED_VALUE"""),6.0)</f>
        <v>6</v>
      </c>
      <c r="I246" s="251">
        <f>IFERROR(__xludf.DUMMYFUNCTION("""COMPUTED_VALUE"""),6.0)</f>
        <v>6</v>
      </c>
      <c r="J246" s="251">
        <f>IFERROR(__xludf.DUMMYFUNCTION("""COMPUTED_VALUE"""),2.0)</f>
        <v>2</v>
      </c>
      <c r="K246" s="251" t="str">
        <f>IFERROR(__xludf.DUMMYFUNCTION("""COMPUTED_VALUE"""),"Small")</f>
        <v>Small</v>
      </c>
      <c r="L246" s="251">
        <f>IFERROR(__xludf.DUMMYFUNCTION("""COMPUTED_VALUE"""),1.0)</f>
        <v>1</v>
      </c>
      <c r="M246" s="251" t="str">
        <f>IFERROR(__xludf.DUMMYFUNCTION("""COMPUTED_VALUE"""),"Grasslands")</f>
        <v>Grasslands</v>
      </c>
      <c r="N246" s="251" t="str">
        <f>IFERROR(__xludf.DUMMYFUNCTION("""COMPUTED_VALUE"""),"--")</f>
        <v>--</v>
      </c>
      <c r="O246" s="251" t="str">
        <f>IFERROR(__xludf.DUMMYFUNCTION("""COMPUTED_VALUE"""),"--")</f>
        <v>--</v>
      </c>
      <c r="P246" s="251" t="str">
        <f>IFERROR(__xludf.DUMMYFUNCTION("""COMPUTED_VALUE"""),"--")</f>
        <v>--</v>
      </c>
      <c r="Q246" s="251" t="str">
        <f>IFERROR(__xludf.DUMMYFUNCTION("""COMPUTED_VALUE"""),"--")</f>
        <v>--</v>
      </c>
      <c r="R246" s="251" t="str">
        <f>IFERROR(__xludf.DUMMYFUNCTION("""COMPUTED_VALUE"""),"Underdog")</f>
        <v>Underdog</v>
      </c>
      <c r="S246" s="251" t="str">
        <f>IFERROR(__xludf.DUMMYFUNCTION("""COMPUTED_VALUE"""),"--")</f>
        <v>--</v>
      </c>
      <c r="T246" s="251" t="str">
        <f>IFERROR(__xludf.DUMMYFUNCTION("""COMPUTED_VALUE"""),"--")</f>
        <v>--</v>
      </c>
      <c r="U246" s="251" t="str">
        <f>IFERROR(__xludf.DUMMYFUNCTION("""COMPUTED_VALUE"""),"--")</f>
        <v>--</v>
      </c>
      <c r="V246" s="251" t="str">
        <f>IFERROR(__xludf.DUMMYFUNCTION("""COMPUTED_VALUE"""),"Tracker")</f>
        <v>Tracker</v>
      </c>
      <c r="W246" s="251" t="str">
        <f>IFERROR(__xludf.DUMMYFUNCTION("""COMPUTED_VALUE"""),"--")</f>
        <v>--</v>
      </c>
      <c r="X246" s="251" t="str">
        <f>IFERROR(__xludf.DUMMYFUNCTION("""COMPUTED_VALUE"""),"--")</f>
        <v>--</v>
      </c>
      <c r="Y246" s="251" t="str">
        <f>IFERROR(__xludf.DUMMYFUNCTION("""COMPUTED_VALUE"""),"--")</f>
        <v>--</v>
      </c>
      <c r="Z246" s="251" t="str">
        <f>IFERROR(__xludf.DUMMYFUNCTION("""COMPUTED_VALUE"""),"--")</f>
        <v>--</v>
      </c>
      <c r="AA246" s="251" t="str">
        <f>IFERROR(__xludf.DUMMYFUNCTION("""COMPUTED_VALUE"""),"--")</f>
        <v>--</v>
      </c>
      <c r="AB246" s="251" t="str">
        <f>IFERROR(__xludf.DUMMYFUNCTION("""COMPUTED_VALUE"""),"--")</f>
        <v>--</v>
      </c>
      <c r="AC246" s="251" t="str">
        <f>IFERROR(__xludf.DUMMYFUNCTION("""COMPUTED_VALUE"""),"--")</f>
        <v>--</v>
      </c>
      <c r="AD246" s="251">
        <f>IFERROR(__xludf.DUMMYFUNCTION("""COMPUTED_VALUE"""),1.0)</f>
        <v>1</v>
      </c>
      <c r="AE246" s="251" t="str">
        <f>IFERROR(__xludf.DUMMYFUNCTION("""COMPUTED_VALUE"""),"Herbivore")</f>
        <v>Herbivore</v>
      </c>
    </row>
    <row r="247">
      <c r="A247" s="251" t="str">
        <f>IFERROR(__xludf.DUMMYFUNCTION("""COMPUTED_VALUE"""),"Braixen")</f>
        <v>Braixen</v>
      </c>
      <c r="B247" s="251" t="str">
        <f>IFERROR(__xludf.DUMMYFUNCTION("""COMPUTED_VALUE"""),"Fire")</f>
        <v>Fire</v>
      </c>
      <c r="C247" s="251" t="str">
        <f>IFERROR(__xludf.DUMMYFUNCTION("""COMPUTED_VALUE"""),"None")</f>
        <v>None</v>
      </c>
      <c r="D247" s="251">
        <f>IFERROR(__xludf.DUMMYFUNCTION("""COMPUTED_VALUE"""),6.0)</f>
        <v>6</v>
      </c>
      <c r="E247" s="251">
        <f>IFERROR(__xludf.DUMMYFUNCTION("""COMPUTED_VALUE"""),6.0)</f>
        <v>6</v>
      </c>
      <c r="F247" s="251">
        <f>IFERROR(__xludf.DUMMYFUNCTION("""COMPUTED_VALUE"""),6.0)</f>
        <v>6</v>
      </c>
      <c r="G247" s="251">
        <f>IFERROR(__xludf.DUMMYFUNCTION("""COMPUTED_VALUE"""),9.0)</f>
        <v>9</v>
      </c>
      <c r="H247" s="251">
        <f>IFERROR(__xludf.DUMMYFUNCTION("""COMPUTED_VALUE"""),7.0)</f>
        <v>7</v>
      </c>
      <c r="I247" s="251">
        <f>IFERROR(__xludf.DUMMYFUNCTION("""COMPUTED_VALUE"""),7.0)</f>
        <v>7</v>
      </c>
      <c r="J247" s="251">
        <f>IFERROR(__xludf.DUMMYFUNCTION("""COMPUTED_VALUE"""),3.0)</f>
        <v>3</v>
      </c>
      <c r="K247" s="251" t="str">
        <f>IFERROR(__xludf.DUMMYFUNCTION("""COMPUTED_VALUE"""),"Medium")</f>
        <v>Medium</v>
      </c>
      <c r="L247" s="251">
        <f>IFERROR(__xludf.DUMMYFUNCTION("""COMPUTED_VALUE"""),2.0)</f>
        <v>2</v>
      </c>
      <c r="M247" s="251" t="str">
        <f>IFERROR(__xludf.DUMMYFUNCTION("""COMPUTED_VALUE"""),"Grasslands")</f>
        <v>Grasslands</v>
      </c>
      <c r="N247" s="251" t="str">
        <f>IFERROR(__xludf.DUMMYFUNCTION("""COMPUTED_VALUE"""),"--")</f>
        <v>--</v>
      </c>
      <c r="O247" s="251" t="str">
        <f>IFERROR(__xludf.DUMMYFUNCTION("""COMPUTED_VALUE"""),"--")</f>
        <v>--</v>
      </c>
      <c r="P247" s="251" t="str">
        <f>IFERROR(__xludf.DUMMYFUNCTION("""COMPUTED_VALUE"""),"--")</f>
        <v>--</v>
      </c>
      <c r="Q247" s="251" t="str">
        <f>IFERROR(__xludf.DUMMYFUNCTION("""COMPUTED_VALUE"""),"--")</f>
        <v>--</v>
      </c>
      <c r="R247" s="251" t="str">
        <f>IFERROR(__xludf.DUMMYFUNCTION("""COMPUTED_VALUE"""),"Underdog")</f>
        <v>Underdog</v>
      </c>
      <c r="S247" s="251" t="str">
        <f>IFERROR(__xludf.DUMMYFUNCTION("""COMPUTED_VALUE"""),"Wielder (Arcane)")</f>
        <v>Wielder (Arcane)</v>
      </c>
      <c r="T247" s="251" t="str">
        <f>IFERROR(__xludf.DUMMYFUNCTION("""COMPUTED_VALUE"""),"--")</f>
        <v>--</v>
      </c>
      <c r="U247" s="251" t="str">
        <f>IFERROR(__xludf.DUMMYFUNCTION("""COMPUTED_VALUE"""),"--")</f>
        <v>--</v>
      </c>
      <c r="V247" s="251" t="str">
        <f>IFERROR(__xludf.DUMMYFUNCTION("""COMPUTED_VALUE"""),"Tracker")</f>
        <v>Tracker</v>
      </c>
      <c r="W247" s="251" t="str">
        <f>IFERROR(__xludf.DUMMYFUNCTION("""COMPUTED_VALUE"""),"--")</f>
        <v>--</v>
      </c>
      <c r="X247" s="251" t="str">
        <f>IFERROR(__xludf.DUMMYFUNCTION("""COMPUTED_VALUE"""),"--")</f>
        <v>--</v>
      </c>
      <c r="Y247" s="251" t="str">
        <f>IFERROR(__xludf.DUMMYFUNCTION("""COMPUTED_VALUE"""),"--")</f>
        <v>--</v>
      </c>
      <c r="Z247" s="251" t="str">
        <f>IFERROR(__xludf.DUMMYFUNCTION("""COMPUTED_VALUE"""),"--")</f>
        <v>--</v>
      </c>
      <c r="AA247" s="251" t="str">
        <f>IFERROR(__xludf.DUMMYFUNCTION("""COMPUTED_VALUE"""),"--")</f>
        <v>--</v>
      </c>
      <c r="AB247" s="251" t="str">
        <f>IFERROR(__xludf.DUMMYFUNCTION("""COMPUTED_VALUE"""),"--")</f>
        <v>--</v>
      </c>
      <c r="AC247" s="251" t="str">
        <f>IFERROR(__xludf.DUMMYFUNCTION("""COMPUTED_VALUE"""),"--")</f>
        <v>--</v>
      </c>
      <c r="AD247" s="251">
        <f>IFERROR(__xludf.DUMMYFUNCTION("""COMPUTED_VALUE"""),2.0)</f>
        <v>2</v>
      </c>
      <c r="AE247" s="251" t="str">
        <f>IFERROR(__xludf.DUMMYFUNCTION("""COMPUTED_VALUE"""),"Herbivore")</f>
        <v>Herbivore</v>
      </c>
    </row>
    <row r="248">
      <c r="A248" s="251" t="str">
        <f>IFERROR(__xludf.DUMMYFUNCTION("""COMPUTED_VALUE"""),"Delphox")</f>
        <v>Delphox</v>
      </c>
      <c r="B248" s="251" t="str">
        <f>IFERROR(__xludf.DUMMYFUNCTION("""COMPUTED_VALUE"""),"Fire")</f>
        <v>Fire</v>
      </c>
      <c r="C248" s="251" t="str">
        <f>IFERROR(__xludf.DUMMYFUNCTION("""COMPUTED_VALUE"""),"Psychic")</f>
        <v>Psychic</v>
      </c>
      <c r="D248" s="251">
        <f>IFERROR(__xludf.DUMMYFUNCTION("""COMPUTED_VALUE"""),8.0)</f>
        <v>8</v>
      </c>
      <c r="E248" s="251">
        <f>IFERROR(__xludf.DUMMYFUNCTION("""COMPUTED_VALUE"""),7.0)</f>
        <v>7</v>
      </c>
      <c r="F248" s="251">
        <f>IFERROR(__xludf.DUMMYFUNCTION("""COMPUTED_VALUE"""),7.0)</f>
        <v>7</v>
      </c>
      <c r="G248" s="251">
        <f>IFERROR(__xludf.DUMMYFUNCTION("""COMPUTED_VALUE"""),11.0)</f>
        <v>11</v>
      </c>
      <c r="H248" s="251">
        <f>IFERROR(__xludf.DUMMYFUNCTION("""COMPUTED_VALUE"""),10.0)</f>
        <v>10</v>
      </c>
      <c r="I248" s="251">
        <f>IFERROR(__xludf.DUMMYFUNCTION("""COMPUTED_VALUE"""),10.0)</f>
        <v>10</v>
      </c>
      <c r="J248" s="251">
        <f>IFERROR(__xludf.DUMMYFUNCTION("""COMPUTED_VALUE"""),4.0)</f>
        <v>4</v>
      </c>
      <c r="K248" s="251" t="str">
        <f>IFERROR(__xludf.DUMMYFUNCTION("""COMPUTED_VALUE"""),"Medium")</f>
        <v>Medium</v>
      </c>
      <c r="L248" s="251">
        <f>IFERROR(__xludf.DUMMYFUNCTION("""COMPUTED_VALUE"""),3.0)</f>
        <v>3</v>
      </c>
      <c r="M248" s="251" t="str">
        <f>IFERROR(__xludf.DUMMYFUNCTION("""COMPUTED_VALUE"""),"Grasslands")</f>
        <v>Grasslands</v>
      </c>
      <c r="N248" s="251" t="str">
        <f>IFERROR(__xludf.DUMMYFUNCTION("""COMPUTED_VALUE"""),"--")</f>
        <v>--</v>
      </c>
      <c r="O248" s="251" t="str">
        <f>IFERROR(__xludf.DUMMYFUNCTION("""COMPUTED_VALUE"""),"--")</f>
        <v>--</v>
      </c>
      <c r="P248" s="251" t="str">
        <f>IFERROR(__xludf.DUMMYFUNCTION("""COMPUTED_VALUE"""),"--")</f>
        <v>--</v>
      </c>
      <c r="Q248" s="251" t="str">
        <f>IFERROR(__xludf.DUMMYFUNCTION("""COMPUTED_VALUE"""),"--")</f>
        <v>--</v>
      </c>
      <c r="R248" s="251" t="str">
        <f>IFERROR(__xludf.DUMMYFUNCTION("""COMPUTED_VALUE"""),"Telekinetic")</f>
        <v>Telekinetic</v>
      </c>
      <c r="S248" s="251" t="str">
        <f>IFERROR(__xludf.DUMMYFUNCTION("""COMPUTED_VALUE"""),"Wielder (Arcane)")</f>
        <v>Wielder (Arcane)</v>
      </c>
      <c r="T248" s="251" t="str">
        <f>IFERROR(__xludf.DUMMYFUNCTION("""COMPUTED_VALUE"""),"--")</f>
        <v>--</v>
      </c>
      <c r="U248" s="251" t="str">
        <f>IFERROR(__xludf.DUMMYFUNCTION("""COMPUTED_VALUE"""),"--")</f>
        <v>--</v>
      </c>
      <c r="V248" s="251" t="str">
        <f>IFERROR(__xludf.DUMMYFUNCTION("""COMPUTED_VALUE"""),"Premonition")</f>
        <v>Premonition</v>
      </c>
      <c r="W248" s="251" t="str">
        <f>IFERROR(__xludf.DUMMYFUNCTION("""COMPUTED_VALUE"""),"Tracker")</f>
        <v>Tracker</v>
      </c>
      <c r="X248" s="251" t="str">
        <f>IFERROR(__xludf.DUMMYFUNCTION("""COMPUTED_VALUE"""),"--")</f>
        <v>--</v>
      </c>
      <c r="Y248" s="251" t="str">
        <f>IFERROR(__xludf.DUMMYFUNCTION("""COMPUTED_VALUE"""),"--")</f>
        <v>--</v>
      </c>
      <c r="Z248" s="251" t="str">
        <f>IFERROR(__xludf.DUMMYFUNCTION("""COMPUTED_VALUE"""),"--")</f>
        <v>--</v>
      </c>
      <c r="AA248" s="251" t="str">
        <f>IFERROR(__xludf.DUMMYFUNCTION("""COMPUTED_VALUE"""),"--")</f>
        <v>--</v>
      </c>
      <c r="AB248" s="251" t="str">
        <f>IFERROR(__xludf.DUMMYFUNCTION("""COMPUTED_VALUE"""),"--")</f>
        <v>--</v>
      </c>
      <c r="AC248" s="251" t="str">
        <f>IFERROR(__xludf.DUMMYFUNCTION("""COMPUTED_VALUE"""),"--")</f>
        <v>--</v>
      </c>
      <c r="AD248" s="251">
        <f>IFERROR(__xludf.DUMMYFUNCTION("""COMPUTED_VALUE"""),3.0)</f>
        <v>3</v>
      </c>
      <c r="AE248" s="251" t="str">
        <f>IFERROR(__xludf.DUMMYFUNCTION("""COMPUTED_VALUE"""),"Herbivore")</f>
        <v>Herbivore</v>
      </c>
    </row>
    <row r="249">
      <c r="A249" s="251" t="str">
        <f>IFERROR(__xludf.DUMMYFUNCTION("""COMPUTED_VALUE"""),"Litten")</f>
        <v>Litten</v>
      </c>
      <c r="B249" s="251" t="str">
        <f>IFERROR(__xludf.DUMMYFUNCTION("""COMPUTED_VALUE"""),"Fire")</f>
        <v>Fire</v>
      </c>
      <c r="C249" s="251" t="str">
        <f>IFERROR(__xludf.DUMMYFUNCTION("""COMPUTED_VALUE"""),"None")</f>
        <v>None</v>
      </c>
      <c r="D249" s="251">
        <f>IFERROR(__xludf.DUMMYFUNCTION("""COMPUTED_VALUE"""),5.0)</f>
        <v>5</v>
      </c>
      <c r="E249" s="251">
        <f>IFERROR(__xludf.DUMMYFUNCTION("""COMPUTED_VALUE"""),7.0)</f>
        <v>7</v>
      </c>
      <c r="F249" s="251">
        <f>IFERROR(__xludf.DUMMYFUNCTION("""COMPUTED_VALUE"""),4.0)</f>
        <v>4</v>
      </c>
      <c r="G249" s="251">
        <f>IFERROR(__xludf.DUMMYFUNCTION("""COMPUTED_VALUE"""),6.0)</f>
        <v>6</v>
      </c>
      <c r="H249" s="251">
        <f>IFERROR(__xludf.DUMMYFUNCTION("""COMPUTED_VALUE"""),4.0)</f>
        <v>4</v>
      </c>
      <c r="I249" s="251">
        <f>IFERROR(__xludf.DUMMYFUNCTION("""COMPUTED_VALUE"""),7.0)</f>
        <v>7</v>
      </c>
      <c r="J249" s="251">
        <f>IFERROR(__xludf.DUMMYFUNCTION("""COMPUTED_VALUE"""),2.0)</f>
        <v>2</v>
      </c>
      <c r="K249" s="251" t="str">
        <f>IFERROR(__xludf.DUMMYFUNCTION("""COMPUTED_VALUE"""),"Small")</f>
        <v>Small</v>
      </c>
      <c r="L249" s="251">
        <f>IFERROR(__xludf.DUMMYFUNCTION("""COMPUTED_VALUE"""),1.0)</f>
        <v>1</v>
      </c>
      <c r="M249" s="251" t="str">
        <f>IFERROR(__xludf.DUMMYFUNCTION("""COMPUTED_VALUE"""),"Forest, Urban")</f>
        <v>Forest, Urban</v>
      </c>
      <c r="N249" s="251" t="str">
        <f>IFERROR(__xludf.DUMMYFUNCTION("""COMPUTED_VALUE"""),"Jumper")</f>
        <v>Jumper</v>
      </c>
      <c r="O249" s="251" t="str">
        <f>IFERROR(__xludf.DUMMYFUNCTION("""COMPUTED_VALUE"""),"--")</f>
        <v>--</v>
      </c>
      <c r="P249" s="251" t="str">
        <f>IFERROR(__xludf.DUMMYFUNCTION("""COMPUTED_VALUE"""),"--")</f>
        <v>--</v>
      </c>
      <c r="Q249" s="251" t="str">
        <f>IFERROR(__xludf.DUMMYFUNCTION("""COMPUTED_VALUE"""),"--")</f>
        <v>--</v>
      </c>
      <c r="R249" s="251" t="str">
        <f>IFERROR(__xludf.DUMMYFUNCTION("""COMPUTED_VALUE"""),"Underdog")</f>
        <v>Underdog</v>
      </c>
      <c r="S249" s="251" t="str">
        <f>IFERROR(__xludf.DUMMYFUNCTION("""COMPUTED_VALUE"""),"--")</f>
        <v>--</v>
      </c>
      <c r="T249" s="251" t="str">
        <f>IFERROR(__xludf.DUMMYFUNCTION("""COMPUTED_VALUE"""),"--")</f>
        <v>--</v>
      </c>
      <c r="U249" s="251" t="str">
        <f>IFERROR(__xludf.DUMMYFUNCTION("""COMPUTED_VALUE"""),"--")</f>
        <v>--</v>
      </c>
      <c r="V249" s="251" t="str">
        <f>IFERROR(__xludf.DUMMYFUNCTION("""COMPUTED_VALUE"""),"Tracker")</f>
        <v>Tracker</v>
      </c>
      <c r="W249" s="251" t="str">
        <f>IFERROR(__xludf.DUMMYFUNCTION("""COMPUTED_VALUE"""),"--")</f>
        <v>--</v>
      </c>
      <c r="X249" s="251" t="str">
        <f>IFERROR(__xludf.DUMMYFUNCTION("""COMPUTED_VALUE"""),"--")</f>
        <v>--</v>
      </c>
      <c r="Y249" s="251" t="str">
        <f>IFERROR(__xludf.DUMMYFUNCTION("""COMPUTED_VALUE"""),"--")</f>
        <v>--</v>
      </c>
      <c r="Z249" s="251" t="str">
        <f>IFERROR(__xludf.DUMMYFUNCTION("""COMPUTED_VALUE"""),"--")</f>
        <v>--</v>
      </c>
      <c r="AA249" s="251" t="str">
        <f>IFERROR(__xludf.DUMMYFUNCTION("""COMPUTED_VALUE"""),"--")</f>
        <v>--</v>
      </c>
      <c r="AB249" s="251" t="str">
        <f>IFERROR(__xludf.DUMMYFUNCTION("""COMPUTED_VALUE"""),"--")</f>
        <v>--</v>
      </c>
      <c r="AC249" s="251" t="str">
        <f>IFERROR(__xludf.DUMMYFUNCTION("""COMPUTED_VALUE"""),"--")</f>
        <v>--</v>
      </c>
      <c r="AD249" s="251">
        <f>IFERROR(__xludf.DUMMYFUNCTION("""COMPUTED_VALUE"""),1.0)</f>
        <v>1</v>
      </c>
      <c r="AE249" s="251" t="str">
        <f>IFERROR(__xludf.DUMMYFUNCTION("""COMPUTED_VALUE"""),"Carnivore")</f>
        <v>Carnivore</v>
      </c>
    </row>
    <row r="250">
      <c r="A250" s="251" t="str">
        <f>IFERROR(__xludf.DUMMYFUNCTION("""COMPUTED_VALUE"""),"Torracat")</f>
        <v>Torracat</v>
      </c>
      <c r="B250" s="251" t="str">
        <f>IFERROR(__xludf.DUMMYFUNCTION("""COMPUTED_VALUE"""),"Fire")</f>
        <v>Fire</v>
      </c>
      <c r="C250" s="251" t="str">
        <f>IFERROR(__xludf.DUMMYFUNCTION("""COMPUTED_VALUE"""),"None")</f>
        <v>None</v>
      </c>
      <c r="D250" s="251">
        <f>IFERROR(__xludf.DUMMYFUNCTION("""COMPUTED_VALUE"""),7.0)</f>
        <v>7</v>
      </c>
      <c r="E250" s="251">
        <f>IFERROR(__xludf.DUMMYFUNCTION("""COMPUTED_VALUE"""),9.0)</f>
        <v>9</v>
      </c>
      <c r="F250" s="251">
        <f>IFERROR(__xludf.DUMMYFUNCTION("""COMPUTED_VALUE"""),5.0)</f>
        <v>5</v>
      </c>
      <c r="G250" s="251">
        <f>IFERROR(__xludf.DUMMYFUNCTION("""COMPUTED_VALUE"""),8.0)</f>
        <v>8</v>
      </c>
      <c r="H250" s="251">
        <f>IFERROR(__xludf.DUMMYFUNCTION("""COMPUTED_VALUE"""),5.0)</f>
        <v>5</v>
      </c>
      <c r="I250" s="251">
        <f>IFERROR(__xludf.DUMMYFUNCTION("""COMPUTED_VALUE"""),9.0)</f>
        <v>9</v>
      </c>
      <c r="J250" s="251">
        <f>IFERROR(__xludf.DUMMYFUNCTION("""COMPUTED_VALUE"""),6.0)</f>
        <v>6</v>
      </c>
      <c r="K250" s="251" t="str">
        <f>IFERROR(__xludf.DUMMYFUNCTION("""COMPUTED_VALUE"""),"Small")</f>
        <v>Small</v>
      </c>
      <c r="L250" s="251">
        <f>IFERROR(__xludf.DUMMYFUNCTION("""COMPUTED_VALUE"""),3.0)</f>
        <v>3</v>
      </c>
      <c r="M250" s="251" t="str">
        <f>IFERROR(__xludf.DUMMYFUNCTION("""COMPUTED_VALUE"""),"Forest, Urban")</f>
        <v>Forest, Urban</v>
      </c>
      <c r="N250" s="251" t="str">
        <f>IFERROR(__xludf.DUMMYFUNCTION("""COMPUTED_VALUE"""),"Jumper")</f>
        <v>Jumper</v>
      </c>
      <c r="O250" s="251" t="str">
        <f>IFERROR(__xludf.DUMMYFUNCTION("""COMPUTED_VALUE"""),"--")</f>
        <v>--</v>
      </c>
      <c r="P250" s="251" t="str">
        <f>IFERROR(__xludf.DUMMYFUNCTION("""COMPUTED_VALUE"""),"--")</f>
        <v>--</v>
      </c>
      <c r="Q250" s="251" t="str">
        <f>IFERROR(__xludf.DUMMYFUNCTION("""COMPUTED_VALUE"""),"--")</f>
        <v>--</v>
      </c>
      <c r="R250" s="251" t="str">
        <f>IFERROR(__xludf.DUMMYFUNCTION("""COMPUTED_VALUE"""),"Underdog")</f>
        <v>Underdog</v>
      </c>
      <c r="S250" s="251" t="str">
        <f>IFERROR(__xludf.DUMMYFUNCTION("""COMPUTED_VALUE"""),"--")</f>
        <v>--</v>
      </c>
      <c r="T250" s="251" t="str">
        <f>IFERROR(__xludf.DUMMYFUNCTION("""COMPUTED_VALUE"""),"--")</f>
        <v>--</v>
      </c>
      <c r="U250" s="251" t="str">
        <f>IFERROR(__xludf.DUMMYFUNCTION("""COMPUTED_VALUE"""),"--")</f>
        <v>--</v>
      </c>
      <c r="V250" s="251" t="str">
        <f>IFERROR(__xludf.DUMMYFUNCTION("""COMPUTED_VALUE"""),"Tracker")</f>
        <v>Tracker</v>
      </c>
      <c r="W250" s="251" t="str">
        <f>IFERROR(__xludf.DUMMYFUNCTION("""COMPUTED_VALUE"""),"--")</f>
        <v>--</v>
      </c>
      <c r="X250" s="251" t="str">
        <f>IFERROR(__xludf.DUMMYFUNCTION("""COMPUTED_VALUE"""),"--")</f>
        <v>--</v>
      </c>
      <c r="Y250" s="251" t="str">
        <f>IFERROR(__xludf.DUMMYFUNCTION("""COMPUTED_VALUE"""),"--")</f>
        <v>--</v>
      </c>
      <c r="Z250" s="251" t="str">
        <f>IFERROR(__xludf.DUMMYFUNCTION("""COMPUTED_VALUE"""),"--")</f>
        <v>--</v>
      </c>
      <c r="AA250" s="251" t="str">
        <f>IFERROR(__xludf.DUMMYFUNCTION("""COMPUTED_VALUE"""),"--")</f>
        <v>--</v>
      </c>
      <c r="AB250" s="251" t="str">
        <f>IFERROR(__xludf.DUMMYFUNCTION("""COMPUTED_VALUE"""),"--")</f>
        <v>--</v>
      </c>
      <c r="AC250" s="251" t="str">
        <f>IFERROR(__xludf.DUMMYFUNCTION("""COMPUTED_VALUE"""),"--")</f>
        <v>--</v>
      </c>
      <c r="AD250" s="251">
        <f>IFERROR(__xludf.DUMMYFUNCTION("""COMPUTED_VALUE"""),2.0)</f>
        <v>2</v>
      </c>
      <c r="AE250" s="251" t="str">
        <f>IFERROR(__xludf.DUMMYFUNCTION("""COMPUTED_VALUE"""),"Carnivore")</f>
        <v>Carnivore</v>
      </c>
    </row>
    <row r="251">
      <c r="A251" s="251" t="str">
        <f>IFERROR(__xludf.DUMMYFUNCTION("""COMPUTED_VALUE"""),"Incineroar")</f>
        <v>Incineroar</v>
      </c>
      <c r="B251" s="251" t="str">
        <f>IFERROR(__xludf.DUMMYFUNCTION("""COMPUTED_VALUE"""),"Fire")</f>
        <v>Fire</v>
      </c>
      <c r="C251" s="251" t="str">
        <f>IFERROR(__xludf.DUMMYFUNCTION("""COMPUTED_VALUE"""),"Dark")</f>
        <v>Dark</v>
      </c>
      <c r="D251" s="251">
        <f>IFERROR(__xludf.DUMMYFUNCTION("""COMPUTED_VALUE"""),10.0)</f>
        <v>10</v>
      </c>
      <c r="E251" s="251">
        <f>IFERROR(__xludf.DUMMYFUNCTION("""COMPUTED_VALUE"""),12.0)</f>
        <v>12</v>
      </c>
      <c r="F251" s="251">
        <f>IFERROR(__xludf.DUMMYFUNCTION("""COMPUTED_VALUE"""),9.0)</f>
        <v>9</v>
      </c>
      <c r="G251" s="251">
        <f>IFERROR(__xludf.DUMMYFUNCTION("""COMPUTED_VALUE"""),8.0)</f>
        <v>8</v>
      </c>
      <c r="H251" s="251">
        <f>IFERROR(__xludf.DUMMYFUNCTION("""COMPUTED_VALUE"""),9.0)</f>
        <v>9</v>
      </c>
      <c r="I251" s="251">
        <f>IFERROR(__xludf.DUMMYFUNCTION("""COMPUTED_VALUE"""),6.0)</f>
        <v>6</v>
      </c>
      <c r="J251" s="251">
        <f>IFERROR(__xludf.DUMMYFUNCTION("""COMPUTED_VALUE"""),10.0)</f>
        <v>10</v>
      </c>
      <c r="K251" s="251" t="str">
        <f>IFERROR(__xludf.DUMMYFUNCTION("""COMPUTED_VALUE"""),"Medium")</f>
        <v>Medium</v>
      </c>
      <c r="L251" s="251">
        <f>IFERROR(__xludf.DUMMYFUNCTION("""COMPUTED_VALUE"""),4.0)</f>
        <v>4</v>
      </c>
      <c r="M251" s="251" t="str">
        <f>IFERROR(__xludf.DUMMYFUNCTION("""COMPUTED_VALUE"""),"Forest, Urban")</f>
        <v>Forest, Urban</v>
      </c>
      <c r="N251" s="251" t="str">
        <f>IFERROR(__xludf.DUMMYFUNCTION("""COMPUTED_VALUE"""),"Jumper")</f>
        <v>Jumper</v>
      </c>
      <c r="O251" s="251" t="str">
        <f>IFERROR(__xludf.DUMMYFUNCTION("""COMPUTED_VALUE"""),"--")</f>
        <v>--</v>
      </c>
      <c r="P251" s="251" t="str">
        <f>IFERROR(__xludf.DUMMYFUNCTION("""COMPUTED_VALUE"""),"--")</f>
        <v>--</v>
      </c>
      <c r="Q251" s="251" t="str">
        <f>IFERROR(__xludf.DUMMYFUNCTION("""COMPUTED_VALUE"""),"--")</f>
        <v>--</v>
      </c>
      <c r="R251" s="251" t="str">
        <f>IFERROR(__xludf.DUMMYFUNCTION("""COMPUTED_VALUE"""),"Darkvision")</f>
        <v>Darkvision</v>
      </c>
      <c r="S251" s="251" t="str">
        <f>IFERROR(__xludf.DUMMYFUNCTION("""COMPUTED_VALUE"""),"--")</f>
        <v>--</v>
      </c>
      <c r="T251" s="251" t="str">
        <f>IFERROR(__xludf.DUMMYFUNCTION("""COMPUTED_VALUE"""),"--")</f>
        <v>--</v>
      </c>
      <c r="U251" s="251" t="str">
        <f>IFERROR(__xludf.DUMMYFUNCTION("""COMPUTED_VALUE"""),"--")</f>
        <v>--</v>
      </c>
      <c r="V251" s="251" t="str">
        <f>IFERROR(__xludf.DUMMYFUNCTION("""COMPUTED_VALUE"""),"Tracker")</f>
        <v>Tracker</v>
      </c>
      <c r="W251" s="251" t="str">
        <f>IFERROR(__xludf.DUMMYFUNCTION("""COMPUTED_VALUE"""),"--")</f>
        <v>--</v>
      </c>
      <c r="X251" s="251" t="str">
        <f>IFERROR(__xludf.DUMMYFUNCTION("""COMPUTED_VALUE"""),"--")</f>
        <v>--</v>
      </c>
      <c r="Y251" s="251" t="str">
        <f>IFERROR(__xludf.DUMMYFUNCTION("""COMPUTED_VALUE"""),"--")</f>
        <v>--</v>
      </c>
      <c r="Z251" s="251" t="str">
        <f>IFERROR(__xludf.DUMMYFUNCTION("""COMPUTED_VALUE"""),"--")</f>
        <v>--</v>
      </c>
      <c r="AA251" s="251" t="str">
        <f>IFERROR(__xludf.DUMMYFUNCTION("""COMPUTED_VALUE"""),"--")</f>
        <v>--</v>
      </c>
      <c r="AB251" s="251" t="str">
        <f>IFERROR(__xludf.DUMMYFUNCTION("""COMPUTED_VALUE"""),"--")</f>
        <v>--</v>
      </c>
      <c r="AC251" s="251" t="str">
        <f>IFERROR(__xludf.DUMMYFUNCTION("""COMPUTED_VALUE"""),"--")</f>
        <v>--</v>
      </c>
      <c r="AD251" s="251">
        <f>IFERROR(__xludf.DUMMYFUNCTION("""COMPUTED_VALUE"""),3.0)</f>
        <v>3</v>
      </c>
      <c r="AE251" s="251" t="str">
        <f>IFERROR(__xludf.DUMMYFUNCTION("""COMPUTED_VALUE"""),"Carnivore")</f>
        <v>Carnivore</v>
      </c>
    </row>
    <row r="252">
      <c r="A252" s="251" t="str">
        <f>IFERROR(__xludf.DUMMYFUNCTION("""COMPUTED_VALUE"""),"Scorbunny")</f>
        <v>Scorbunny</v>
      </c>
      <c r="B252" s="251" t="str">
        <f>IFERROR(__xludf.DUMMYFUNCTION("""COMPUTED_VALUE"""),"Fire")</f>
        <v>Fire</v>
      </c>
      <c r="C252" s="251" t="str">
        <f>IFERROR(__xludf.DUMMYFUNCTION("""COMPUTED_VALUE"""),"None")</f>
        <v>None</v>
      </c>
      <c r="D252" s="251">
        <f>IFERROR(__xludf.DUMMYFUNCTION("""COMPUTED_VALUE"""),5.0)</f>
        <v>5</v>
      </c>
      <c r="E252" s="251">
        <f>IFERROR(__xludf.DUMMYFUNCTION("""COMPUTED_VALUE"""),7.0)</f>
        <v>7</v>
      </c>
      <c r="F252" s="251">
        <f>IFERROR(__xludf.DUMMYFUNCTION("""COMPUTED_VALUE"""),4.0)</f>
        <v>4</v>
      </c>
      <c r="G252" s="251">
        <f>IFERROR(__xludf.DUMMYFUNCTION("""COMPUTED_VALUE"""),6.0)</f>
        <v>6</v>
      </c>
      <c r="H252" s="251">
        <f>IFERROR(__xludf.DUMMYFUNCTION("""COMPUTED_VALUE"""),4.0)</f>
        <v>4</v>
      </c>
      <c r="I252" s="251">
        <f>IFERROR(__xludf.DUMMYFUNCTION("""COMPUTED_VALUE"""),7.0)</f>
        <v>7</v>
      </c>
      <c r="J252" s="251">
        <f>IFERROR(__xludf.DUMMYFUNCTION("""COMPUTED_VALUE"""),2.0)</f>
        <v>2</v>
      </c>
      <c r="K252" s="251" t="str">
        <f>IFERROR(__xludf.DUMMYFUNCTION("""COMPUTED_VALUE"""),"Small")</f>
        <v>Small</v>
      </c>
      <c r="L252" s="251">
        <f>IFERROR(__xludf.DUMMYFUNCTION("""COMPUTED_VALUE"""),1.0)</f>
        <v>1</v>
      </c>
      <c r="M252" s="251" t="str">
        <f>IFERROR(__xludf.DUMMYFUNCTION("""COMPUTED_VALUE"""),"Grasslands")</f>
        <v>Grasslands</v>
      </c>
      <c r="N252" s="251" t="str">
        <f>IFERROR(__xludf.DUMMYFUNCTION("""COMPUTED_VALUE"""),"Jumper")</f>
        <v>Jumper</v>
      </c>
      <c r="O252" s="251" t="str">
        <f>IFERROR(__xludf.DUMMYFUNCTION("""COMPUTED_VALUE"""),"Quick")</f>
        <v>Quick</v>
      </c>
      <c r="P252" s="251" t="str">
        <f>IFERROR(__xludf.DUMMYFUNCTION("""COMPUTED_VALUE"""),"--")</f>
        <v>--</v>
      </c>
      <c r="Q252" s="251" t="str">
        <f>IFERROR(__xludf.DUMMYFUNCTION("""COMPUTED_VALUE"""),"--")</f>
        <v>--</v>
      </c>
      <c r="R252" s="251" t="str">
        <f>IFERROR(__xludf.DUMMYFUNCTION("""COMPUTED_VALUE"""),"Underdog")</f>
        <v>Underdog</v>
      </c>
      <c r="S252" s="251" t="str">
        <f>IFERROR(__xludf.DUMMYFUNCTION("""COMPUTED_VALUE"""),"--")</f>
        <v>--</v>
      </c>
      <c r="T252" s="251" t="str">
        <f>IFERROR(__xludf.DUMMYFUNCTION("""COMPUTED_VALUE"""),"--")</f>
        <v>--</v>
      </c>
      <c r="U252" s="251" t="str">
        <f>IFERROR(__xludf.DUMMYFUNCTION("""COMPUTED_VALUE"""),"--")</f>
        <v>--</v>
      </c>
      <c r="V252" s="251" t="str">
        <f>IFERROR(__xludf.DUMMYFUNCTION("""COMPUTED_VALUE"""),"--")</f>
        <v>--</v>
      </c>
      <c r="W252" s="251" t="str">
        <f>IFERROR(__xludf.DUMMYFUNCTION("""COMPUTED_VALUE"""),"--")</f>
        <v>--</v>
      </c>
      <c r="X252" s="251" t="str">
        <f>IFERROR(__xludf.DUMMYFUNCTION("""COMPUTED_VALUE"""),"--")</f>
        <v>--</v>
      </c>
      <c r="Y252" s="251" t="str">
        <f>IFERROR(__xludf.DUMMYFUNCTION("""COMPUTED_VALUE"""),"--")</f>
        <v>--</v>
      </c>
      <c r="Z252" s="251" t="str">
        <f>IFERROR(__xludf.DUMMYFUNCTION("""COMPUTED_VALUE"""),"--")</f>
        <v>--</v>
      </c>
      <c r="AA252" s="251" t="str">
        <f>IFERROR(__xludf.DUMMYFUNCTION("""COMPUTED_VALUE"""),"--")</f>
        <v>--</v>
      </c>
      <c r="AB252" s="251" t="str">
        <f>IFERROR(__xludf.DUMMYFUNCTION("""COMPUTED_VALUE"""),"--")</f>
        <v>--</v>
      </c>
      <c r="AC252" s="251" t="str">
        <f>IFERROR(__xludf.DUMMYFUNCTION("""COMPUTED_VALUE"""),"--")</f>
        <v>--</v>
      </c>
      <c r="AD252" s="251">
        <f>IFERROR(__xludf.DUMMYFUNCTION("""COMPUTED_VALUE"""),1.0)</f>
        <v>1</v>
      </c>
      <c r="AE252" s="251" t="str">
        <f>IFERROR(__xludf.DUMMYFUNCTION("""COMPUTED_VALUE"""),"Herbivore")</f>
        <v>Herbivore</v>
      </c>
    </row>
    <row r="253">
      <c r="A253" s="251" t="str">
        <f>IFERROR(__xludf.DUMMYFUNCTION("""COMPUTED_VALUE"""),"Raboot")</f>
        <v>Raboot</v>
      </c>
      <c r="B253" s="251" t="str">
        <f>IFERROR(__xludf.DUMMYFUNCTION("""COMPUTED_VALUE"""),"Fire")</f>
        <v>Fire</v>
      </c>
      <c r="C253" s="251" t="str">
        <f>IFERROR(__xludf.DUMMYFUNCTION("""COMPUTED_VALUE"""),"None")</f>
        <v>None</v>
      </c>
      <c r="D253" s="251">
        <f>IFERROR(__xludf.DUMMYFUNCTION("""COMPUTED_VALUE"""),7.0)</f>
        <v>7</v>
      </c>
      <c r="E253" s="251">
        <f>IFERROR(__xludf.DUMMYFUNCTION("""COMPUTED_VALUE"""),9.0)</f>
        <v>9</v>
      </c>
      <c r="F253" s="251">
        <f>IFERROR(__xludf.DUMMYFUNCTION("""COMPUTED_VALUE"""),6.0)</f>
        <v>6</v>
      </c>
      <c r="G253" s="251">
        <f>IFERROR(__xludf.DUMMYFUNCTION("""COMPUTED_VALUE"""),6.0)</f>
        <v>6</v>
      </c>
      <c r="H253" s="251">
        <f>IFERROR(__xludf.DUMMYFUNCTION("""COMPUTED_VALUE"""),6.0)</f>
        <v>6</v>
      </c>
      <c r="I253" s="251">
        <f>IFERROR(__xludf.DUMMYFUNCTION("""COMPUTED_VALUE"""),9.0)</f>
        <v>9</v>
      </c>
      <c r="J253" s="251">
        <f>IFERROR(__xludf.DUMMYFUNCTION("""COMPUTED_VALUE"""),4.0)</f>
        <v>4</v>
      </c>
      <c r="K253" s="251" t="str">
        <f>IFERROR(__xludf.DUMMYFUNCTION("""COMPUTED_VALUE"""),"Small")</f>
        <v>Small</v>
      </c>
      <c r="L253" s="251">
        <f>IFERROR(__xludf.DUMMYFUNCTION("""COMPUTED_VALUE"""),1.0)</f>
        <v>1</v>
      </c>
      <c r="M253" s="251" t="str">
        <f>IFERROR(__xludf.DUMMYFUNCTION("""COMPUTED_VALUE"""),"Grasslands")</f>
        <v>Grasslands</v>
      </c>
      <c r="N253" s="251" t="str">
        <f>IFERROR(__xludf.DUMMYFUNCTION("""COMPUTED_VALUE"""),"Jumper")</f>
        <v>Jumper</v>
      </c>
      <c r="O253" s="251" t="str">
        <f>IFERROR(__xludf.DUMMYFUNCTION("""COMPUTED_VALUE"""),"Quick")</f>
        <v>Quick</v>
      </c>
      <c r="P253" s="251" t="str">
        <f>IFERROR(__xludf.DUMMYFUNCTION("""COMPUTED_VALUE"""),"--")</f>
        <v>--</v>
      </c>
      <c r="Q253" s="251" t="str">
        <f>IFERROR(__xludf.DUMMYFUNCTION("""COMPUTED_VALUE"""),"--")</f>
        <v>--</v>
      </c>
      <c r="R253" s="251" t="str">
        <f>IFERROR(__xludf.DUMMYFUNCTION("""COMPUTED_VALUE"""),"Underdog")</f>
        <v>Underdog</v>
      </c>
      <c r="S253" s="251" t="str">
        <f>IFERROR(__xludf.DUMMYFUNCTION("""COMPUTED_VALUE"""),"--")</f>
        <v>--</v>
      </c>
      <c r="T253" s="251" t="str">
        <f>IFERROR(__xludf.DUMMYFUNCTION("""COMPUTED_VALUE"""),"--")</f>
        <v>--</v>
      </c>
      <c r="U253" s="251" t="str">
        <f>IFERROR(__xludf.DUMMYFUNCTION("""COMPUTED_VALUE"""),"--")</f>
        <v>--</v>
      </c>
      <c r="V253" s="251" t="str">
        <f>IFERROR(__xludf.DUMMYFUNCTION("""COMPUTED_VALUE"""),"--")</f>
        <v>--</v>
      </c>
      <c r="W253" s="251" t="str">
        <f>IFERROR(__xludf.DUMMYFUNCTION("""COMPUTED_VALUE"""),"--")</f>
        <v>--</v>
      </c>
      <c r="X253" s="251" t="str">
        <f>IFERROR(__xludf.DUMMYFUNCTION("""COMPUTED_VALUE"""),"--")</f>
        <v>--</v>
      </c>
      <c r="Y253" s="251" t="str">
        <f>IFERROR(__xludf.DUMMYFUNCTION("""COMPUTED_VALUE"""),"--")</f>
        <v>--</v>
      </c>
      <c r="Z253" s="251" t="str">
        <f>IFERROR(__xludf.DUMMYFUNCTION("""COMPUTED_VALUE"""),"--")</f>
        <v>--</v>
      </c>
      <c r="AA253" s="251" t="str">
        <f>IFERROR(__xludf.DUMMYFUNCTION("""COMPUTED_VALUE"""),"--")</f>
        <v>--</v>
      </c>
      <c r="AB253" s="251" t="str">
        <f>IFERROR(__xludf.DUMMYFUNCTION("""COMPUTED_VALUE"""),"--")</f>
        <v>--</v>
      </c>
      <c r="AC253" s="251" t="str">
        <f>IFERROR(__xludf.DUMMYFUNCTION("""COMPUTED_VALUE"""),"--")</f>
        <v>--</v>
      </c>
      <c r="AD253" s="251">
        <f>IFERROR(__xludf.DUMMYFUNCTION("""COMPUTED_VALUE"""),2.0)</f>
        <v>2</v>
      </c>
      <c r="AE253" s="251" t="str">
        <f>IFERROR(__xludf.DUMMYFUNCTION("""COMPUTED_VALUE"""),"Herbivore")</f>
        <v>Herbivore</v>
      </c>
    </row>
    <row r="254">
      <c r="A254" s="251" t="str">
        <f>IFERROR(__xludf.DUMMYFUNCTION("""COMPUTED_VALUE"""),"Cinderace")</f>
        <v>Cinderace</v>
      </c>
      <c r="B254" s="251" t="str">
        <f>IFERROR(__xludf.DUMMYFUNCTION("""COMPUTED_VALUE"""),"Fire")</f>
        <v>Fire</v>
      </c>
      <c r="C254" s="251" t="str">
        <f>IFERROR(__xludf.DUMMYFUNCTION("""COMPUTED_VALUE"""),"None")</f>
        <v>None</v>
      </c>
      <c r="D254" s="251">
        <f>IFERROR(__xludf.DUMMYFUNCTION("""COMPUTED_VALUE"""),8.0)</f>
        <v>8</v>
      </c>
      <c r="E254" s="251">
        <f>IFERROR(__xludf.DUMMYFUNCTION("""COMPUTED_VALUE"""),12.0)</f>
        <v>12</v>
      </c>
      <c r="F254" s="251">
        <f>IFERROR(__xludf.DUMMYFUNCTION("""COMPUTED_VALUE"""),8.0)</f>
        <v>8</v>
      </c>
      <c r="G254" s="251">
        <f>IFERROR(__xludf.DUMMYFUNCTION("""COMPUTED_VALUE"""),7.0)</f>
        <v>7</v>
      </c>
      <c r="H254" s="251">
        <f>IFERROR(__xludf.DUMMYFUNCTION("""COMPUTED_VALUE"""),8.0)</f>
        <v>8</v>
      </c>
      <c r="I254" s="251">
        <f>IFERROR(__xludf.DUMMYFUNCTION("""COMPUTED_VALUE"""),12.0)</f>
        <v>12</v>
      </c>
      <c r="J254" s="251">
        <f>IFERROR(__xludf.DUMMYFUNCTION("""COMPUTED_VALUE"""),6.0)</f>
        <v>6</v>
      </c>
      <c r="K254" s="251" t="str">
        <f>IFERROR(__xludf.DUMMYFUNCTION("""COMPUTED_VALUE"""),"Medium")</f>
        <v>Medium</v>
      </c>
      <c r="L254" s="251">
        <f>IFERROR(__xludf.DUMMYFUNCTION("""COMPUTED_VALUE"""),3.0)</f>
        <v>3</v>
      </c>
      <c r="M254" s="251" t="str">
        <f>IFERROR(__xludf.DUMMYFUNCTION("""COMPUTED_VALUE"""),"Grasslands")</f>
        <v>Grasslands</v>
      </c>
      <c r="N254" s="251" t="str">
        <f>IFERROR(__xludf.DUMMYFUNCTION("""COMPUTED_VALUE"""),"Jumper")</f>
        <v>Jumper</v>
      </c>
      <c r="O254" s="251" t="str">
        <f>IFERROR(__xludf.DUMMYFUNCTION("""COMPUTED_VALUE"""),"Quick")</f>
        <v>Quick</v>
      </c>
      <c r="P254" s="251" t="str">
        <f>IFERROR(__xludf.DUMMYFUNCTION("""COMPUTED_VALUE"""),"--")</f>
        <v>--</v>
      </c>
      <c r="Q254" s="251" t="str">
        <f>IFERROR(__xludf.DUMMYFUNCTION("""COMPUTED_VALUE"""),"--")</f>
        <v>--</v>
      </c>
      <c r="R254" s="251" t="str">
        <f>IFERROR(__xludf.DUMMYFUNCTION("""COMPUTED_VALUE"""),"--")</f>
        <v>--</v>
      </c>
      <c r="S254" s="251" t="str">
        <f>IFERROR(__xludf.DUMMYFUNCTION("""COMPUTED_VALUE"""),"--")</f>
        <v>--</v>
      </c>
      <c r="T254" s="251" t="str">
        <f>IFERROR(__xludf.DUMMYFUNCTION("""COMPUTED_VALUE"""),"--")</f>
        <v>--</v>
      </c>
      <c r="U254" s="251" t="str">
        <f>IFERROR(__xludf.DUMMYFUNCTION("""COMPUTED_VALUE"""),"--")</f>
        <v>--</v>
      </c>
      <c r="V254" s="251" t="str">
        <f>IFERROR(__xludf.DUMMYFUNCTION("""COMPUTED_VALUE"""),"--")</f>
        <v>--</v>
      </c>
      <c r="W254" s="251" t="str">
        <f>IFERROR(__xludf.DUMMYFUNCTION("""COMPUTED_VALUE"""),"--")</f>
        <v>--</v>
      </c>
      <c r="X254" s="251" t="str">
        <f>IFERROR(__xludf.DUMMYFUNCTION("""COMPUTED_VALUE"""),"--")</f>
        <v>--</v>
      </c>
      <c r="Y254" s="251" t="str">
        <f>IFERROR(__xludf.DUMMYFUNCTION("""COMPUTED_VALUE"""),"--")</f>
        <v>--</v>
      </c>
      <c r="Z254" s="251" t="str">
        <f>IFERROR(__xludf.DUMMYFUNCTION("""COMPUTED_VALUE"""),"--")</f>
        <v>--</v>
      </c>
      <c r="AA254" s="251" t="str">
        <f>IFERROR(__xludf.DUMMYFUNCTION("""COMPUTED_VALUE"""),"--")</f>
        <v>--</v>
      </c>
      <c r="AB254" s="251" t="str">
        <f>IFERROR(__xludf.DUMMYFUNCTION("""COMPUTED_VALUE"""),"--")</f>
        <v>--</v>
      </c>
      <c r="AC254" s="251" t="str">
        <f>IFERROR(__xludf.DUMMYFUNCTION("""COMPUTED_VALUE"""),"--")</f>
        <v>--</v>
      </c>
      <c r="AD254" s="251">
        <f>IFERROR(__xludf.DUMMYFUNCTION("""COMPUTED_VALUE"""),3.0)</f>
        <v>3</v>
      </c>
      <c r="AE254" s="251" t="str">
        <f>IFERROR(__xludf.DUMMYFUNCTION("""COMPUTED_VALUE"""),"Herbivore")</f>
        <v>Herbivore</v>
      </c>
    </row>
    <row r="255">
      <c r="A255" s="251" t="str">
        <f>IFERROR(__xludf.DUMMYFUNCTION("""COMPUTED_VALUE"""),"Fuecoco")</f>
        <v>Fuecoco</v>
      </c>
      <c r="B255" s="251" t="str">
        <f>IFERROR(__xludf.DUMMYFUNCTION("""COMPUTED_VALUE"""),"Fire")</f>
        <v>Fire</v>
      </c>
      <c r="C255" s="251" t="str">
        <f>IFERROR(__xludf.DUMMYFUNCTION("""COMPUTED_VALUE"""),"None")</f>
        <v>None</v>
      </c>
      <c r="D255" s="251">
        <f>IFERROR(__xludf.DUMMYFUNCTION("""COMPUTED_VALUE"""),7.0)</f>
        <v>7</v>
      </c>
      <c r="E255" s="251">
        <f>IFERROR(__xludf.DUMMYFUNCTION("""COMPUTED_VALUE"""),5.0)</f>
        <v>5</v>
      </c>
      <c r="F255" s="251">
        <f>IFERROR(__xludf.DUMMYFUNCTION("""COMPUTED_VALUE"""),6.0)</f>
        <v>6</v>
      </c>
      <c r="G255" s="251">
        <f>IFERROR(__xludf.DUMMYFUNCTION("""COMPUTED_VALUE"""),6.0)</f>
        <v>6</v>
      </c>
      <c r="H255" s="251">
        <f>IFERROR(__xludf.DUMMYFUNCTION("""COMPUTED_VALUE"""),4.0)</f>
        <v>4</v>
      </c>
      <c r="I255" s="251">
        <f>IFERROR(__xludf.DUMMYFUNCTION("""COMPUTED_VALUE"""),4.0)</f>
        <v>4</v>
      </c>
      <c r="J255" s="251">
        <f>IFERROR(__xludf.DUMMYFUNCTION("""COMPUTED_VALUE"""),2.0)</f>
        <v>2</v>
      </c>
      <c r="K255" s="251" t="str">
        <f>IFERROR(__xludf.DUMMYFUNCTION("""COMPUTED_VALUE"""),"Small")</f>
        <v>Small</v>
      </c>
      <c r="L255" s="251">
        <f>IFERROR(__xludf.DUMMYFUNCTION("""COMPUTED_VALUE"""),1.0)</f>
        <v>1</v>
      </c>
      <c r="M255" s="251" t="str">
        <f>IFERROR(__xludf.DUMMYFUNCTION("""COMPUTED_VALUE"""),"Mountain")</f>
        <v>Mountain</v>
      </c>
      <c r="N255" s="251" t="str">
        <f>IFERROR(__xludf.DUMMYFUNCTION("""COMPUTED_VALUE"""),"Swimmer")</f>
        <v>Swimmer</v>
      </c>
      <c r="O255" s="251" t="str">
        <f>IFERROR(__xludf.DUMMYFUNCTION("""COMPUTED_VALUE"""),"--")</f>
        <v>--</v>
      </c>
      <c r="P255" s="251" t="str">
        <f>IFERROR(__xludf.DUMMYFUNCTION("""COMPUTED_VALUE"""),"--")</f>
        <v>--</v>
      </c>
      <c r="Q255" s="251" t="str">
        <f>IFERROR(__xludf.DUMMYFUNCTION("""COMPUTED_VALUE"""),"--")</f>
        <v>--</v>
      </c>
      <c r="R255" s="251" t="str">
        <f>IFERROR(__xludf.DUMMYFUNCTION("""COMPUTED_VALUE"""),"Underdog")</f>
        <v>Underdog</v>
      </c>
      <c r="S255" s="251" t="str">
        <f>IFERROR(__xludf.DUMMYFUNCTION("""COMPUTED_VALUE"""),"--")</f>
        <v>--</v>
      </c>
      <c r="T255" s="251" t="str">
        <f>IFERROR(__xludf.DUMMYFUNCTION("""COMPUTED_VALUE"""),"--")</f>
        <v>--</v>
      </c>
      <c r="U255" s="251" t="str">
        <f>IFERROR(__xludf.DUMMYFUNCTION("""COMPUTED_VALUE"""),"--")</f>
        <v>--</v>
      </c>
      <c r="V255" s="251" t="str">
        <f>IFERROR(__xludf.DUMMYFUNCTION("""COMPUTED_VALUE"""),"--")</f>
        <v>--</v>
      </c>
      <c r="W255" s="251" t="str">
        <f>IFERROR(__xludf.DUMMYFUNCTION("""COMPUTED_VALUE"""),"--")</f>
        <v>--</v>
      </c>
      <c r="X255" s="251" t="str">
        <f>IFERROR(__xludf.DUMMYFUNCTION("""COMPUTED_VALUE"""),"--")</f>
        <v>--</v>
      </c>
      <c r="Y255" s="251" t="str">
        <f>IFERROR(__xludf.DUMMYFUNCTION("""COMPUTED_VALUE"""),"--")</f>
        <v>--</v>
      </c>
      <c r="Z255" s="251" t="str">
        <f>IFERROR(__xludf.DUMMYFUNCTION("""COMPUTED_VALUE"""),"--")</f>
        <v>--</v>
      </c>
      <c r="AA255" s="251" t="str">
        <f>IFERROR(__xludf.DUMMYFUNCTION("""COMPUTED_VALUE"""),"--")</f>
        <v>--</v>
      </c>
      <c r="AB255" s="251" t="str">
        <f>IFERROR(__xludf.DUMMYFUNCTION("""COMPUTED_VALUE"""),"--")</f>
        <v>--</v>
      </c>
      <c r="AC255" s="251" t="str">
        <f>IFERROR(__xludf.DUMMYFUNCTION("""COMPUTED_VALUE"""),"--")</f>
        <v>--</v>
      </c>
      <c r="AD255" s="251">
        <f>IFERROR(__xludf.DUMMYFUNCTION("""COMPUTED_VALUE"""),1.0)</f>
        <v>1</v>
      </c>
      <c r="AE255" s="251" t="str">
        <f>IFERROR(__xludf.DUMMYFUNCTION("""COMPUTED_VALUE"""),"Omnivore")</f>
        <v>Omnivore</v>
      </c>
    </row>
    <row r="256">
      <c r="A256" s="251" t="str">
        <f>IFERROR(__xludf.DUMMYFUNCTION("""COMPUTED_VALUE"""),"Crocalor")</f>
        <v>Crocalor</v>
      </c>
      <c r="B256" s="251" t="str">
        <f>IFERROR(__xludf.DUMMYFUNCTION("""COMPUTED_VALUE"""),"Fire")</f>
        <v>Fire</v>
      </c>
      <c r="C256" s="251" t="str">
        <f>IFERROR(__xludf.DUMMYFUNCTION("""COMPUTED_VALUE"""),"None")</f>
        <v>None</v>
      </c>
      <c r="D256" s="251">
        <f>IFERROR(__xludf.DUMMYFUNCTION("""COMPUTED_VALUE"""),8.0)</f>
        <v>8</v>
      </c>
      <c r="E256" s="251">
        <f>IFERROR(__xludf.DUMMYFUNCTION("""COMPUTED_VALUE"""),6.0)</f>
        <v>6</v>
      </c>
      <c r="F256" s="251">
        <f>IFERROR(__xludf.DUMMYFUNCTION("""COMPUTED_VALUE"""),8.0)</f>
        <v>8</v>
      </c>
      <c r="G256" s="251">
        <f>IFERROR(__xludf.DUMMYFUNCTION("""COMPUTED_VALUE"""),9.0)</f>
        <v>9</v>
      </c>
      <c r="H256" s="251">
        <f>IFERROR(__xludf.DUMMYFUNCTION("""COMPUTED_VALUE"""),6.0)</f>
        <v>6</v>
      </c>
      <c r="I256" s="251">
        <f>IFERROR(__xludf.DUMMYFUNCTION("""COMPUTED_VALUE"""),5.0)</f>
        <v>5</v>
      </c>
      <c r="J256" s="251">
        <f>IFERROR(__xludf.DUMMYFUNCTION("""COMPUTED_VALUE"""),3.0)</f>
        <v>3</v>
      </c>
      <c r="K256" s="251" t="str">
        <f>IFERROR(__xludf.DUMMYFUNCTION("""COMPUTED_VALUE"""),"Medium")</f>
        <v>Medium</v>
      </c>
      <c r="L256" s="251">
        <f>IFERROR(__xludf.DUMMYFUNCTION("""COMPUTED_VALUE"""),3.0)</f>
        <v>3</v>
      </c>
      <c r="M256" s="251" t="str">
        <f>IFERROR(__xludf.DUMMYFUNCTION("""COMPUTED_VALUE"""),"Mountain")</f>
        <v>Mountain</v>
      </c>
      <c r="N256" s="251" t="str">
        <f>IFERROR(__xludf.DUMMYFUNCTION("""COMPUTED_VALUE"""),"Swimmer")</f>
        <v>Swimmer</v>
      </c>
      <c r="O256" s="251" t="str">
        <f>IFERROR(__xludf.DUMMYFUNCTION("""COMPUTED_VALUE"""),"--")</f>
        <v>--</v>
      </c>
      <c r="P256" s="251" t="str">
        <f>IFERROR(__xludf.DUMMYFUNCTION("""COMPUTED_VALUE"""),"--")</f>
        <v>--</v>
      </c>
      <c r="Q256" s="251" t="str">
        <f>IFERROR(__xludf.DUMMYFUNCTION("""COMPUTED_VALUE"""),"--")</f>
        <v>--</v>
      </c>
      <c r="R256" s="251" t="str">
        <f>IFERROR(__xludf.DUMMYFUNCTION("""COMPUTED_VALUE"""),"Underdog")</f>
        <v>Underdog</v>
      </c>
      <c r="S256" s="251" t="str">
        <f>IFERROR(__xludf.DUMMYFUNCTION("""COMPUTED_VALUE"""),"--")</f>
        <v>--</v>
      </c>
      <c r="T256" s="251" t="str">
        <f>IFERROR(__xludf.DUMMYFUNCTION("""COMPUTED_VALUE"""),"--")</f>
        <v>--</v>
      </c>
      <c r="U256" s="251" t="str">
        <f>IFERROR(__xludf.DUMMYFUNCTION("""COMPUTED_VALUE"""),"--")</f>
        <v>--</v>
      </c>
      <c r="V256" s="251" t="str">
        <f>IFERROR(__xludf.DUMMYFUNCTION("""COMPUTED_VALUE"""),"Glow")</f>
        <v>Glow</v>
      </c>
      <c r="W256" s="251" t="str">
        <f>IFERROR(__xludf.DUMMYFUNCTION("""COMPUTED_VALUE"""),"--")</f>
        <v>--</v>
      </c>
      <c r="X256" s="251" t="str">
        <f>IFERROR(__xludf.DUMMYFUNCTION("""COMPUTED_VALUE"""),"--")</f>
        <v>--</v>
      </c>
      <c r="Y256" s="251" t="str">
        <f>IFERROR(__xludf.DUMMYFUNCTION("""COMPUTED_VALUE"""),"--")</f>
        <v>--</v>
      </c>
      <c r="Z256" s="251" t="str">
        <f>IFERROR(__xludf.DUMMYFUNCTION("""COMPUTED_VALUE"""),"--")</f>
        <v>--</v>
      </c>
      <c r="AA256" s="251" t="str">
        <f>IFERROR(__xludf.DUMMYFUNCTION("""COMPUTED_VALUE"""),"--")</f>
        <v>--</v>
      </c>
      <c r="AB256" s="251" t="str">
        <f>IFERROR(__xludf.DUMMYFUNCTION("""COMPUTED_VALUE"""),"--")</f>
        <v>--</v>
      </c>
      <c r="AC256" s="251" t="str">
        <f>IFERROR(__xludf.DUMMYFUNCTION("""COMPUTED_VALUE"""),"--")</f>
        <v>--</v>
      </c>
      <c r="AD256" s="251">
        <f>IFERROR(__xludf.DUMMYFUNCTION("""COMPUTED_VALUE"""),2.0)</f>
        <v>2</v>
      </c>
      <c r="AE256" s="251" t="str">
        <f>IFERROR(__xludf.DUMMYFUNCTION("""COMPUTED_VALUE"""),"Carnivore")</f>
        <v>Carnivore</v>
      </c>
    </row>
    <row r="257">
      <c r="A257" s="251" t="str">
        <f>IFERROR(__xludf.DUMMYFUNCTION("""COMPUTED_VALUE"""),"Skeledirge")</f>
        <v>Skeledirge</v>
      </c>
      <c r="B257" s="251" t="str">
        <f>IFERROR(__xludf.DUMMYFUNCTION("""COMPUTED_VALUE"""),"Fire")</f>
        <v>Fire</v>
      </c>
      <c r="C257" s="251" t="str">
        <f>IFERROR(__xludf.DUMMYFUNCTION("""COMPUTED_VALUE"""),"Ghost")</f>
        <v>Ghost</v>
      </c>
      <c r="D257" s="251">
        <f>IFERROR(__xludf.DUMMYFUNCTION("""COMPUTED_VALUE"""),10.0)</f>
        <v>10</v>
      </c>
      <c r="E257" s="251">
        <f>IFERROR(__xludf.DUMMYFUNCTION("""COMPUTED_VALUE"""),8.0)</f>
        <v>8</v>
      </c>
      <c r="F257" s="251">
        <f>IFERROR(__xludf.DUMMYFUNCTION("""COMPUTED_VALUE"""),10.0)</f>
        <v>10</v>
      </c>
      <c r="G257" s="251">
        <f>IFERROR(__xludf.DUMMYFUNCTION("""COMPUTED_VALUE"""),11.0)</f>
        <v>11</v>
      </c>
      <c r="H257" s="251">
        <f>IFERROR(__xludf.DUMMYFUNCTION("""COMPUTED_VALUE"""),8.0)</f>
        <v>8</v>
      </c>
      <c r="I257" s="251">
        <f>IFERROR(__xludf.DUMMYFUNCTION("""COMPUTED_VALUE"""),7.0)</f>
        <v>7</v>
      </c>
      <c r="J257" s="251">
        <f>IFERROR(__xludf.DUMMYFUNCTION("""COMPUTED_VALUE"""),8.0)</f>
        <v>8</v>
      </c>
      <c r="K257" s="251" t="str">
        <f>IFERROR(__xludf.DUMMYFUNCTION("""COMPUTED_VALUE"""),"Medium")</f>
        <v>Medium</v>
      </c>
      <c r="L257" s="251">
        <f>IFERROR(__xludf.DUMMYFUNCTION("""COMPUTED_VALUE"""),6.0)</f>
        <v>6</v>
      </c>
      <c r="M257" s="251" t="str">
        <f>IFERROR(__xludf.DUMMYFUNCTION("""COMPUTED_VALUE"""),"Mountain")</f>
        <v>Mountain</v>
      </c>
      <c r="N257" s="251" t="str">
        <f>IFERROR(__xludf.DUMMYFUNCTION("""COMPUTED_VALUE"""),"Swimmer")</f>
        <v>Swimmer</v>
      </c>
      <c r="O257" s="251" t="str">
        <f>IFERROR(__xludf.DUMMYFUNCTION("""COMPUTED_VALUE"""),"--")</f>
        <v>--</v>
      </c>
      <c r="P257" s="251" t="str">
        <f>IFERROR(__xludf.DUMMYFUNCTION("""COMPUTED_VALUE"""),"--")</f>
        <v>--</v>
      </c>
      <c r="Q257" s="251" t="str">
        <f>IFERROR(__xludf.DUMMYFUNCTION("""COMPUTED_VALUE"""),"--")</f>
        <v>--</v>
      </c>
      <c r="R257" s="251" t="str">
        <f>IFERROR(__xludf.DUMMYFUNCTION("""COMPUTED_VALUE"""),"Mountable")</f>
        <v>Mountable</v>
      </c>
      <c r="S257" s="251" t="str">
        <f>IFERROR(__xludf.DUMMYFUNCTION("""COMPUTED_VALUE"""),"--")</f>
        <v>--</v>
      </c>
      <c r="T257" s="251" t="str">
        <f>IFERROR(__xludf.DUMMYFUNCTION("""COMPUTED_VALUE"""),"--")</f>
        <v>--</v>
      </c>
      <c r="U257" s="251" t="str">
        <f>IFERROR(__xludf.DUMMYFUNCTION("""COMPUTED_VALUE"""),"--")</f>
        <v>--</v>
      </c>
      <c r="V257" s="251" t="str">
        <f>IFERROR(__xludf.DUMMYFUNCTION("""COMPUTED_VALUE"""),"Glow")</f>
        <v>Glow</v>
      </c>
      <c r="W257" s="251" t="str">
        <f>IFERROR(__xludf.DUMMYFUNCTION("""COMPUTED_VALUE"""),"--")</f>
        <v>--</v>
      </c>
      <c r="X257" s="251" t="str">
        <f>IFERROR(__xludf.DUMMYFUNCTION("""COMPUTED_VALUE"""),"--")</f>
        <v>--</v>
      </c>
      <c r="Y257" s="251" t="str">
        <f>IFERROR(__xludf.DUMMYFUNCTION("""COMPUTED_VALUE"""),"--")</f>
        <v>--</v>
      </c>
      <c r="Z257" s="251" t="str">
        <f>IFERROR(__xludf.DUMMYFUNCTION("""COMPUTED_VALUE"""),"--")</f>
        <v>--</v>
      </c>
      <c r="AA257" s="251" t="str">
        <f>IFERROR(__xludf.DUMMYFUNCTION("""COMPUTED_VALUE"""),"--")</f>
        <v>--</v>
      </c>
      <c r="AB257" s="251" t="str">
        <f>IFERROR(__xludf.DUMMYFUNCTION("""COMPUTED_VALUE"""),"--")</f>
        <v>--</v>
      </c>
      <c r="AC257" s="251" t="str">
        <f>IFERROR(__xludf.DUMMYFUNCTION("""COMPUTED_VALUE"""),"--")</f>
        <v>--</v>
      </c>
      <c r="AD257" s="251">
        <f>IFERROR(__xludf.DUMMYFUNCTION("""COMPUTED_VALUE"""),3.0)</f>
        <v>3</v>
      </c>
      <c r="AE257" s="251" t="str">
        <f>IFERROR(__xludf.DUMMYFUNCTION("""COMPUTED_VALUE"""),"Carnivore")</f>
        <v>Carnivore</v>
      </c>
    </row>
    <row r="258">
      <c r="A258" s="251" t="str">
        <f>IFERROR(__xludf.DUMMYFUNCTION("""COMPUTED_VALUE"""),"Squirtle")</f>
        <v>Squirtle</v>
      </c>
      <c r="B258" s="251" t="str">
        <f>IFERROR(__xludf.DUMMYFUNCTION("""COMPUTED_VALUE"""),"Water")</f>
        <v>Water</v>
      </c>
      <c r="C258" s="251" t="str">
        <f>IFERROR(__xludf.DUMMYFUNCTION("""COMPUTED_VALUE"""),"None")</f>
        <v>None</v>
      </c>
      <c r="D258" s="251">
        <f>IFERROR(__xludf.DUMMYFUNCTION("""COMPUTED_VALUE"""),4.0)</f>
        <v>4</v>
      </c>
      <c r="E258" s="251">
        <f>IFERROR(__xludf.DUMMYFUNCTION("""COMPUTED_VALUE"""),5.0)</f>
        <v>5</v>
      </c>
      <c r="F258" s="251">
        <f>IFERROR(__xludf.DUMMYFUNCTION("""COMPUTED_VALUE"""),7.0)</f>
        <v>7</v>
      </c>
      <c r="G258" s="251">
        <f>IFERROR(__xludf.DUMMYFUNCTION("""COMPUTED_VALUE"""),5.0)</f>
        <v>5</v>
      </c>
      <c r="H258" s="251">
        <f>IFERROR(__xludf.DUMMYFUNCTION("""COMPUTED_VALUE"""),6.0)</f>
        <v>6</v>
      </c>
      <c r="I258" s="251">
        <f>IFERROR(__xludf.DUMMYFUNCTION("""COMPUTED_VALUE"""),4.0)</f>
        <v>4</v>
      </c>
      <c r="J258" s="251">
        <f>IFERROR(__xludf.DUMMYFUNCTION("""COMPUTED_VALUE"""),2.0)</f>
        <v>2</v>
      </c>
      <c r="K258" s="251" t="str">
        <f>IFERROR(__xludf.DUMMYFUNCTION("""COMPUTED_VALUE"""),"Small")</f>
        <v>Small</v>
      </c>
      <c r="L258" s="251">
        <f>IFERROR(__xludf.DUMMYFUNCTION("""COMPUTED_VALUE"""),1.0)</f>
        <v>1</v>
      </c>
      <c r="M258" s="251" t="str">
        <f>IFERROR(__xludf.DUMMYFUNCTION("""COMPUTED_VALUE"""),"Wetlands")</f>
        <v>Wetlands</v>
      </c>
      <c r="N258" s="251" t="str">
        <f>IFERROR(__xludf.DUMMYFUNCTION("""COMPUTED_VALUE"""),"Swimmer")</f>
        <v>Swimmer</v>
      </c>
      <c r="O258" s="251" t="str">
        <f>IFERROR(__xludf.DUMMYFUNCTION("""COMPUTED_VALUE"""),"--")</f>
        <v>--</v>
      </c>
      <c r="P258" s="251" t="str">
        <f>IFERROR(__xludf.DUMMYFUNCTION("""COMPUTED_VALUE"""),"--")</f>
        <v>--</v>
      </c>
      <c r="Q258" s="251" t="str">
        <f>IFERROR(__xludf.DUMMYFUNCTION("""COMPUTED_VALUE"""),"--")</f>
        <v>--</v>
      </c>
      <c r="R258" s="251" t="str">
        <f>IFERROR(__xludf.DUMMYFUNCTION("""COMPUTED_VALUE"""),"Underdog")</f>
        <v>Underdog</v>
      </c>
      <c r="S258" s="251" t="str">
        <f>IFERROR(__xludf.DUMMYFUNCTION("""COMPUTED_VALUE"""),"--")</f>
        <v>--</v>
      </c>
      <c r="T258" s="251" t="str">
        <f>IFERROR(__xludf.DUMMYFUNCTION("""COMPUTED_VALUE"""),"--")</f>
        <v>--</v>
      </c>
      <c r="U258" s="251" t="str">
        <f>IFERROR(__xludf.DUMMYFUNCTION("""COMPUTED_VALUE"""),"--")</f>
        <v>--</v>
      </c>
      <c r="V258" s="251" t="str">
        <f>IFERROR(__xludf.DUMMYFUNCTION("""COMPUTED_VALUE"""),"--")</f>
        <v>--</v>
      </c>
      <c r="W258" s="251" t="str">
        <f>IFERROR(__xludf.DUMMYFUNCTION("""COMPUTED_VALUE"""),"--")</f>
        <v>--</v>
      </c>
      <c r="X258" s="251" t="str">
        <f>IFERROR(__xludf.DUMMYFUNCTION("""COMPUTED_VALUE"""),"--")</f>
        <v>--</v>
      </c>
      <c r="Y258" s="251" t="str">
        <f>IFERROR(__xludf.DUMMYFUNCTION("""COMPUTED_VALUE"""),"--")</f>
        <v>--</v>
      </c>
      <c r="Z258" s="251" t="str">
        <f>IFERROR(__xludf.DUMMYFUNCTION("""COMPUTED_VALUE"""),"--")</f>
        <v>--</v>
      </c>
      <c r="AA258" s="251" t="str">
        <f>IFERROR(__xludf.DUMMYFUNCTION("""COMPUTED_VALUE"""),"--")</f>
        <v>--</v>
      </c>
      <c r="AB258" s="251" t="str">
        <f>IFERROR(__xludf.DUMMYFUNCTION("""COMPUTED_VALUE"""),"--")</f>
        <v>--</v>
      </c>
      <c r="AC258" s="251" t="str">
        <f>IFERROR(__xludf.DUMMYFUNCTION("""COMPUTED_VALUE"""),"--")</f>
        <v>--</v>
      </c>
      <c r="AD258" s="251">
        <f>IFERROR(__xludf.DUMMYFUNCTION("""COMPUTED_VALUE"""),1.0)</f>
        <v>1</v>
      </c>
      <c r="AE258" s="251" t="str">
        <f>IFERROR(__xludf.DUMMYFUNCTION("""COMPUTED_VALUE"""),"Herbivore")</f>
        <v>Herbivore</v>
      </c>
    </row>
    <row r="259">
      <c r="A259" s="251" t="str">
        <f>IFERROR(__xludf.DUMMYFUNCTION("""COMPUTED_VALUE"""),"Wartortle")</f>
        <v>Wartortle</v>
      </c>
      <c r="B259" s="251" t="str">
        <f>IFERROR(__xludf.DUMMYFUNCTION("""COMPUTED_VALUE"""),"Water")</f>
        <v>Water</v>
      </c>
      <c r="C259" s="251" t="str">
        <f>IFERROR(__xludf.DUMMYFUNCTION("""COMPUTED_VALUE"""),"None")</f>
        <v>None</v>
      </c>
      <c r="D259" s="251">
        <f>IFERROR(__xludf.DUMMYFUNCTION("""COMPUTED_VALUE"""),6.0)</f>
        <v>6</v>
      </c>
      <c r="E259" s="251">
        <f>IFERROR(__xludf.DUMMYFUNCTION("""COMPUTED_VALUE"""),6.0)</f>
        <v>6</v>
      </c>
      <c r="F259" s="251">
        <f>IFERROR(__xludf.DUMMYFUNCTION("""COMPUTED_VALUE"""),8.0)</f>
        <v>8</v>
      </c>
      <c r="G259" s="251">
        <f>IFERROR(__xludf.DUMMYFUNCTION("""COMPUTED_VALUE"""),7.0)</f>
        <v>7</v>
      </c>
      <c r="H259" s="251">
        <f>IFERROR(__xludf.DUMMYFUNCTION("""COMPUTED_VALUE"""),8.0)</f>
        <v>8</v>
      </c>
      <c r="I259" s="251">
        <f>IFERROR(__xludf.DUMMYFUNCTION("""COMPUTED_VALUE"""),6.0)</f>
        <v>6</v>
      </c>
      <c r="J259" s="251">
        <f>IFERROR(__xludf.DUMMYFUNCTION("""COMPUTED_VALUE"""),4.0)</f>
        <v>4</v>
      </c>
      <c r="K259" s="251" t="str">
        <f>IFERROR(__xludf.DUMMYFUNCTION("""COMPUTED_VALUE"""),"Medium")</f>
        <v>Medium</v>
      </c>
      <c r="L259" s="251">
        <f>IFERROR(__xludf.DUMMYFUNCTION("""COMPUTED_VALUE"""),2.0)</f>
        <v>2</v>
      </c>
      <c r="M259" s="251" t="str">
        <f>IFERROR(__xludf.DUMMYFUNCTION("""COMPUTED_VALUE"""),"Wetlands")</f>
        <v>Wetlands</v>
      </c>
      <c r="N259" s="251" t="str">
        <f>IFERROR(__xludf.DUMMYFUNCTION("""COMPUTED_VALUE"""),"Swimmer")</f>
        <v>Swimmer</v>
      </c>
      <c r="O259" s="251" t="str">
        <f>IFERROR(__xludf.DUMMYFUNCTION("""COMPUTED_VALUE"""),"--")</f>
        <v>--</v>
      </c>
      <c r="P259" s="251" t="str">
        <f>IFERROR(__xludf.DUMMYFUNCTION("""COMPUTED_VALUE"""),"--")</f>
        <v>--</v>
      </c>
      <c r="Q259" s="251" t="str">
        <f>IFERROR(__xludf.DUMMYFUNCTION("""COMPUTED_VALUE"""),"--")</f>
        <v>--</v>
      </c>
      <c r="R259" s="251" t="str">
        <f>IFERROR(__xludf.DUMMYFUNCTION("""COMPUTED_VALUE"""),"Underdog")</f>
        <v>Underdog</v>
      </c>
      <c r="S259" s="251" t="str">
        <f>IFERROR(__xludf.DUMMYFUNCTION("""COMPUTED_VALUE"""),"--")</f>
        <v>--</v>
      </c>
      <c r="T259" s="251" t="str">
        <f>IFERROR(__xludf.DUMMYFUNCTION("""COMPUTED_VALUE"""),"--")</f>
        <v>--</v>
      </c>
      <c r="U259" s="251" t="str">
        <f>IFERROR(__xludf.DUMMYFUNCTION("""COMPUTED_VALUE"""),"--")</f>
        <v>--</v>
      </c>
      <c r="V259" s="251" t="str">
        <f>IFERROR(__xludf.DUMMYFUNCTION("""COMPUTED_VALUE"""),"--")</f>
        <v>--</v>
      </c>
      <c r="W259" s="251" t="str">
        <f>IFERROR(__xludf.DUMMYFUNCTION("""COMPUTED_VALUE"""),"--")</f>
        <v>--</v>
      </c>
      <c r="X259" s="251" t="str">
        <f>IFERROR(__xludf.DUMMYFUNCTION("""COMPUTED_VALUE"""),"--")</f>
        <v>--</v>
      </c>
      <c r="Y259" s="251" t="str">
        <f>IFERROR(__xludf.DUMMYFUNCTION("""COMPUTED_VALUE"""),"--")</f>
        <v>--</v>
      </c>
      <c r="Z259" s="251" t="str">
        <f>IFERROR(__xludf.DUMMYFUNCTION("""COMPUTED_VALUE"""),"--")</f>
        <v>--</v>
      </c>
      <c r="AA259" s="251" t="str">
        <f>IFERROR(__xludf.DUMMYFUNCTION("""COMPUTED_VALUE"""),"--")</f>
        <v>--</v>
      </c>
      <c r="AB259" s="251" t="str">
        <f>IFERROR(__xludf.DUMMYFUNCTION("""COMPUTED_VALUE"""),"--")</f>
        <v>--</v>
      </c>
      <c r="AC259" s="251" t="str">
        <f>IFERROR(__xludf.DUMMYFUNCTION("""COMPUTED_VALUE"""),"--")</f>
        <v>--</v>
      </c>
      <c r="AD259" s="251">
        <f>IFERROR(__xludf.DUMMYFUNCTION("""COMPUTED_VALUE"""),2.0)</f>
        <v>2</v>
      </c>
      <c r="AE259" s="251" t="str">
        <f>IFERROR(__xludf.DUMMYFUNCTION("""COMPUTED_VALUE"""),"Herbivore")</f>
        <v>Herbivore</v>
      </c>
    </row>
    <row r="260">
      <c r="A260" s="251" t="str">
        <f>IFERROR(__xludf.DUMMYFUNCTION("""COMPUTED_VALUE"""),"Blastoise")</f>
        <v>Blastoise</v>
      </c>
      <c r="B260" s="251" t="str">
        <f>IFERROR(__xludf.DUMMYFUNCTION("""COMPUTED_VALUE"""),"Water")</f>
        <v>Water</v>
      </c>
      <c r="C260" s="251" t="str">
        <f>IFERROR(__xludf.DUMMYFUNCTION("""COMPUTED_VALUE"""),"None")</f>
        <v>None</v>
      </c>
      <c r="D260" s="251">
        <f>IFERROR(__xludf.DUMMYFUNCTION("""COMPUTED_VALUE"""),8.0)</f>
        <v>8</v>
      </c>
      <c r="E260" s="251">
        <f>IFERROR(__xludf.DUMMYFUNCTION("""COMPUTED_VALUE"""),8.0)</f>
        <v>8</v>
      </c>
      <c r="F260" s="251">
        <f>IFERROR(__xludf.DUMMYFUNCTION("""COMPUTED_VALUE"""),10.0)</f>
        <v>10</v>
      </c>
      <c r="G260" s="251">
        <f>IFERROR(__xludf.DUMMYFUNCTION("""COMPUTED_VALUE"""),9.0)</f>
        <v>9</v>
      </c>
      <c r="H260" s="251">
        <f>IFERROR(__xludf.DUMMYFUNCTION("""COMPUTED_VALUE"""),11.0)</f>
        <v>11</v>
      </c>
      <c r="I260" s="251">
        <f>IFERROR(__xludf.DUMMYFUNCTION("""COMPUTED_VALUE"""),8.0)</f>
        <v>8</v>
      </c>
      <c r="J260" s="251">
        <f>IFERROR(__xludf.DUMMYFUNCTION("""COMPUTED_VALUE"""),9.0)</f>
        <v>9</v>
      </c>
      <c r="K260" s="251" t="str">
        <f>IFERROR(__xludf.DUMMYFUNCTION("""COMPUTED_VALUE"""),"Medium")</f>
        <v>Medium</v>
      </c>
      <c r="L260" s="251">
        <f>IFERROR(__xludf.DUMMYFUNCTION("""COMPUTED_VALUE"""),4.0)</f>
        <v>4</v>
      </c>
      <c r="M260" s="251" t="str">
        <f>IFERROR(__xludf.DUMMYFUNCTION("""COMPUTED_VALUE"""),"Wetlands")</f>
        <v>Wetlands</v>
      </c>
      <c r="N260" s="251" t="str">
        <f>IFERROR(__xludf.DUMMYFUNCTION("""COMPUTED_VALUE"""),"Swimmer")</f>
        <v>Swimmer</v>
      </c>
      <c r="O260" s="251" t="str">
        <f>IFERROR(__xludf.DUMMYFUNCTION("""COMPUTED_VALUE"""),"--")</f>
        <v>--</v>
      </c>
      <c r="P260" s="251" t="str">
        <f>IFERROR(__xludf.DUMMYFUNCTION("""COMPUTED_VALUE"""),"--")</f>
        <v>--</v>
      </c>
      <c r="Q260" s="251" t="str">
        <f>IFERROR(__xludf.DUMMYFUNCTION("""COMPUTED_VALUE"""),"--")</f>
        <v>--</v>
      </c>
      <c r="R260" s="251" t="str">
        <f>IFERROR(__xludf.DUMMYFUNCTION("""COMPUTED_VALUE"""),"Mountable")</f>
        <v>Mountable</v>
      </c>
      <c r="S260" s="251" t="str">
        <f>IFERROR(__xludf.DUMMYFUNCTION("""COMPUTED_VALUE"""),"--")</f>
        <v>--</v>
      </c>
      <c r="T260" s="251" t="str">
        <f>IFERROR(__xludf.DUMMYFUNCTION("""COMPUTED_VALUE"""),"--")</f>
        <v>--</v>
      </c>
      <c r="U260" s="251" t="str">
        <f>IFERROR(__xludf.DUMMYFUNCTION("""COMPUTED_VALUE"""),"--")</f>
        <v>--</v>
      </c>
      <c r="V260" s="251" t="str">
        <f>IFERROR(__xludf.DUMMYFUNCTION("""COMPUTED_VALUE"""),"--")</f>
        <v>--</v>
      </c>
      <c r="W260" s="251" t="str">
        <f>IFERROR(__xludf.DUMMYFUNCTION("""COMPUTED_VALUE"""),"--")</f>
        <v>--</v>
      </c>
      <c r="X260" s="251" t="str">
        <f>IFERROR(__xludf.DUMMYFUNCTION("""COMPUTED_VALUE"""),"--")</f>
        <v>--</v>
      </c>
      <c r="Y260" s="251" t="str">
        <f>IFERROR(__xludf.DUMMYFUNCTION("""COMPUTED_VALUE"""),"--")</f>
        <v>--</v>
      </c>
      <c r="Z260" s="251" t="str">
        <f>IFERROR(__xludf.DUMMYFUNCTION("""COMPUTED_VALUE"""),"--")</f>
        <v>--</v>
      </c>
      <c r="AA260" s="251" t="str">
        <f>IFERROR(__xludf.DUMMYFUNCTION("""COMPUTED_VALUE"""),"--")</f>
        <v>--</v>
      </c>
      <c r="AB260" s="251" t="str">
        <f>IFERROR(__xludf.DUMMYFUNCTION("""COMPUTED_VALUE"""),"--")</f>
        <v>--</v>
      </c>
      <c r="AC260" s="251" t="str">
        <f>IFERROR(__xludf.DUMMYFUNCTION("""COMPUTED_VALUE"""),"--")</f>
        <v>--</v>
      </c>
      <c r="AD260" s="251">
        <f>IFERROR(__xludf.DUMMYFUNCTION("""COMPUTED_VALUE"""),3.0)</f>
        <v>3</v>
      </c>
      <c r="AE260" s="251" t="str">
        <f>IFERROR(__xludf.DUMMYFUNCTION("""COMPUTED_VALUE"""),"Herbivore")</f>
        <v>Herbivore</v>
      </c>
    </row>
    <row r="261">
      <c r="A261" s="251" t="str">
        <f>IFERROR(__xludf.DUMMYFUNCTION("""COMPUTED_VALUE"""),"Totodile")</f>
        <v>Totodile</v>
      </c>
      <c r="B261" s="251" t="str">
        <f>IFERROR(__xludf.DUMMYFUNCTION("""COMPUTED_VALUE"""),"Water")</f>
        <v>Water</v>
      </c>
      <c r="C261" s="251" t="str">
        <f>IFERROR(__xludf.DUMMYFUNCTION("""COMPUTED_VALUE"""),"None")</f>
        <v>None</v>
      </c>
      <c r="D261" s="251">
        <f>IFERROR(__xludf.DUMMYFUNCTION("""COMPUTED_VALUE"""),5.0)</f>
        <v>5</v>
      </c>
      <c r="E261" s="251">
        <f>IFERROR(__xludf.DUMMYFUNCTION("""COMPUTED_VALUE"""),7.0)</f>
        <v>7</v>
      </c>
      <c r="F261" s="251">
        <f>IFERROR(__xludf.DUMMYFUNCTION("""COMPUTED_VALUE"""),6.0)</f>
        <v>6</v>
      </c>
      <c r="G261" s="251">
        <f>IFERROR(__xludf.DUMMYFUNCTION("""COMPUTED_VALUE"""),4.0)</f>
        <v>4</v>
      </c>
      <c r="H261" s="251">
        <f>IFERROR(__xludf.DUMMYFUNCTION("""COMPUTED_VALUE"""),5.0)</f>
        <v>5</v>
      </c>
      <c r="I261" s="251">
        <f>IFERROR(__xludf.DUMMYFUNCTION("""COMPUTED_VALUE"""),4.0)</f>
        <v>4</v>
      </c>
      <c r="J261" s="251">
        <f>IFERROR(__xludf.DUMMYFUNCTION("""COMPUTED_VALUE"""),2.0)</f>
        <v>2</v>
      </c>
      <c r="K261" s="251" t="str">
        <f>IFERROR(__xludf.DUMMYFUNCTION("""COMPUTED_VALUE"""),"Small")</f>
        <v>Small</v>
      </c>
      <c r="L261" s="251">
        <f>IFERROR(__xludf.DUMMYFUNCTION("""COMPUTED_VALUE"""),1.0)</f>
        <v>1</v>
      </c>
      <c r="M261" s="251" t="str">
        <f>IFERROR(__xludf.DUMMYFUNCTION("""COMPUTED_VALUE"""),"Wetlands")</f>
        <v>Wetlands</v>
      </c>
      <c r="N261" s="251" t="str">
        <f>IFERROR(__xludf.DUMMYFUNCTION("""COMPUTED_VALUE"""),"Swimmer")</f>
        <v>Swimmer</v>
      </c>
      <c r="O261" s="251" t="str">
        <f>IFERROR(__xludf.DUMMYFUNCTION("""COMPUTED_VALUE"""),"--")</f>
        <v>--</v>
      </c>
      <c r="P261" s="251" t="str">
        <f>IFERROR(__xludf.DUMMYFUNCTION("""COMPUTED_VALUE"""),"--")</f>
        <v>--</v>
      </c>
      <c r="Q261" s="251" t="str">
        <f>IFERROR(__xludf.DUMMYFUNCTION("""COMPUTED_VALUE"""),"--")</f>
        <v>--</v>
      </c>
      <c r="R261" s="251" t="str">
        <f>IFERROR(__xludf.DUMMYFUNCTION("""COMPUTED_VALUE"""),"Underdog")</f>
        <v>Underdog</v>
      </c>
      <c r="S261" s="251" t="str">
        <f>IFERROR(__xludf.DUMMYFUNCTION("""COMPUTED_VALUE"""),"--")</f>
        <v>--</v>
      </c>
      <c r="T261" s="251" t="str">
        <f>IFERROR(__xludf.DUMMYFUNCTION("""COMPUTED_VALUE"""),"--")</f>
        <v>--</v>
      </c>
      <c r="U261" s="251" t="str">
        <f>IFERROR(__xludf.DUMMYFUNCTION("""COMPUTED_VALUE"""),"--")</f>
        <v>--</v>
      </c>
      <c r="V261" s="251" t="str">
        <f>IFERROR(__xludf.DUMMYFUNCTION("""COMPUTED_VALUE"""),"--")</f>
        <v>--</v>
      </c>
      <c r="W261" s="251" t="str">
        <f>IFERROR(__xludf.DUMMYFUNCTION("""COMPUTED_VALUE"""),"--")</f>
        <v>--</v>
      </c>
      <c r="X261" s="251" t="str">
        <f>IFERROR(__xludf.DUMMYFUNCTION("""COMPUTED_VALUE"""),"--")</f>
        <v>--</v>
      </c>
      <c r="Y261" s="251" t="str">
        <f>IFERROR(__xludf.DUMMYFUNCTION("""COMPUTED_VALUE"""),"--")</f>
        <v>--</v>
      </c>
      <c r="Z261" s="251" t="str">
        <f>IFERROR(__xludf.DUMMYFUNCTION("""COMPUTED_VALUE"""),"--")</f>
        <v>--</v>
      </c>
      <c r="AA261" s="251" t="str">
        <f>IFERROR(__xludf.DUMMYFUNCTION("""COMPUTED_VALUE"""),"--")</f>
        <v>--</v>
      </c>
      <c r="AB261" s="251" t="str">
        <f>IFERROR(__xludf.DUMMYFUNCTION("""COMPUTED_VALUE"""),"--")</f>
        <v>--</v>
      </c>
      <c r="AC261" s="251" t="str">
        <f>IFERROR(__xludf.DUMMYFUNCTION("""COMPUTED_VALUE"""),"--")</f>
        <v>--</v>
      </c>
      <c r="AD261" s="251">
        <f>IFERROR(__xludf.DUMMYFUNCTION("""COMPUTED_VALUE"""),1.0)</f>
        <v>1</v>
      </c>
      <c r="AE261" s="251" t="str">
        <f>IFERROR(__xludf.DUMMYFUNCTION("""COMPUTED_VALUE"""),"Carnivore")</f>
        <v>Carnivore</v>
      </c>
    </row>
    <row r="262">
      <c r="A262" s="251" t="str">
        <f>IFERROR(__xludf.DUMMYFUNCTION("""COMPUTED_VALUE"""),"Croconaw")</f>
        <v>Croconaw</v>
      </c>
      <c r="B262" s="251" t="str">
        <f>IFERROR(__xludf.DUMMYFUNCTION("""COMPUTED_VALUE"""),"Water")</f>
        <v>Water</v>
      </c>
      <c r="C262" s="251" t="str">
        <f>IFERROR(__xludf.DUMMYFUNCTION("""COMPUTED_VALUE"""),"None")</f>
        <v>None</v>
      </c>
      <c r="D262" s="251">
        <f>IFERROR(__xludf.DUMMYFUNCTION("""COMPUTED_VALUE"""),7.0)</f>
        <v>7</v>
      </c>
      <c r="E262" s="251">
        <f>IFERROR(__xludf.DUMMYFUNCTION("""COMPUTED_VALUE"""),8.0)</f>
        <v>8</v>
      </c>
      <c r="F262" s="251">
        <f>IFERROR(__xludf.DUMMYFUNCTION("""COMPUTED_VALUE"""),8.0)</f>
        <v>8</v>
      </c>
      <c r="G262" s="251">
        <f>IFERROR(__xludf.DUMMYFUNCTION("""COMPUTED_VALUE"""),6.0)</f>
        <v>6</v>
      </c>
      <c r="H262" s="251">
        <f>IFERROR(__xludf.DUMMYFUNCTION("""COMPUTED_VALUE"""),6.0)</f>
        <v>6</v>
      </c>
      <c r="I262" s="251">
        <f>IFERROR(__xludf.DUMMYFUNCTION("""COMPUTED_VALUE"""),6.0)</f>
        <v>6</v>
      </c>
      <c r="J262" s="251">
        <f>IFERROR(__xludf.DUMMYFUNCTION("""COMPUTED_VALUE"""),5.0)</f>
        <v>5</v>
      </c>
      <c r="K262" s="251" t="str">
        <f>IFERROR(__xludf.DUMMYFUNCTION("""COMPUTED_VALUE"""),"Medium")</f>
        <v>Medium</v>
      </c>
      <c r="L262" s="251">
        <f>IFERROR(__xludf.DUMMYFUNCTION("""COMPUTED_VALUE"""),2.0)</f>
        <v>2</v>
      </c>
      <c r="M262" s="251" t="str">
        <f>IFERROR(__xludf.DUMMYFUNCTION("""COMPUTED_VALUE"""),"Wetlands")</f>
        <v>Wetlands</v>
      </c>
      <c r="N262" s="251" t="str">
        <f>IFERROR(__xludf.DUMMYFUNCTION("""COMPUTED_VALUE"""),"Swimmer")</f>
        <v>Swimmer</v>
      </c>
      <c r="O262" s="251" t="str">
        <f>IFERROR(__xludf.DUMMYFUNCTION("""COMPUTED_VALUE"""),"--")</f>
        <v>--</v>
      </c>
      <c r="P262" s="251" t="str">
        <f>IFERROR(__xludf.DUMMYFUNCTION("""COMPUTED_VALUE"""),"--")</f>
        <v>--</v>
      </c>
      <c r="Q262" s="251" t="str">
        <f>IFERROR(__xludf.DUMMYFUNCTION("""COMPUTED_VALUE"""),"--")</f>
        <v>--</v>
      </c>
      <c r="R262" s="251" t="str">
        <f>IFERROR(__xludf.DUMMYFUNCTION("""COMPUTED_VALUE"""),"Underdog")</f>
        <v>Underdog</v>
      </c>
      <c r="S262" s="251" t="str">
        <f>IFERROR(__xludf.DUMMYFUNCTION("""COMPUTED_VALUE"""),"--")</f>
        <v>--</v>
      </c>
      <c r="T262" s="251" t="str">
        <f>IFERROR(__xludf.DUMMYFUNCTION("""COMPUTED_VALUE"""),"--")</f>
        <v>--</v>
      </c>
      <c r="U262" s="251" t="str">
        <f>IFERROR(__xludf.DUMMYFUNCTION("""COMPUTED_VALUE"""),"--")</f>
        <v>--</v>
      </c>
      <c r="V262" s="251" t="str">
        <f>IFERROR(__xludf.DUMMYFUNCTION("""COMPUTED_VALUE"""),"--")</f>
        <v>--</v>
      </c>
      <c r="W262" s="251" t="str">
        <f>IFERROR(__xludf.DUMMYFUNCTION("""COMPUTED_VALUE"""),"--")</f>
        <v>--</v>
      </c>
      <c r="X262" s="251" t="str">
        <f>IFERROR(__xludf.DUMMYFUNCTION("""COMPUTED_VALUE"""),"--")</f>
        <v>--</v>
      </c>
      <c r="Y262" s="251" t="str">
        <f>IFERROR(__xludf.DUMMYFUNCTION("""COMPUTED_VALUE"""),"--")</f>
        <v>--</v>
      </c>
      <c r="Z262" s="251" t="str">
        <f>IFERROR(__xludf.DUMMYFUNCTION("""COMPUTED_VALUE"""),"--")</f>
        <v>--</v>
      </c>
      <c r="AA262" s="251" t="str">
        <f>IFERROR(__xludf.DUMMYFUNCTION("""COMPUTED_VALUE"""),"--")</f>
        <v>--</v>
      </c>
      <c r="AB262" s="251" t="str">
        <f>IFERROR(__xludf.DUMMYFUNCTION("""COMPUTED_VALUE"""),"--")</f>
        <v>--</v>
      </c>
      <c r="AC262" s="251" t="str">
        <f>IFERROR(__xludf.DUMMYFUNCTION("""COMPUTED_VALUE"""),"--")</f>
        <v>--</v>
      </c>
      <c r="AD262" s="251">
        <f>IFERROR(__xludf.DUMMYFUNCTION("""COMPUTED_VALUE"""),2.0)</f>
        <v>2</v>
      </c>
      <c r="AE262" s="251" t="str">
        <f>IFERROR(__xludf.DUMMYFUNCTION("""COMPUTED_VALUE"""),"Carnivore")</f>
        <v>Carnivore</v>
      </c>
    </row>
    <row r="263">
      <c r="A263" s="251" t="str">
        <f>IFERROR(__xludf.DUMMYFUNCTION("""COMPUTED_VALUE"""),"Feraligatr")</f>
        <v>Feraligatr</v>
      </c>
      <c r="B263" s="251" t="str">
        <f>IFERROR(__xludf.DUMMYFUNCTION("""COMPUTED_VALUE"""),"Water")</f>
        <v>Water</v>
      </c>
      <c r="C263" s="251" t="str">
        <f>IFERROR(__xludf.DUMMYFUNCTION("""COMPUTED_VALUE"""),"None")</f>
        <v>None</v>
      </c>
      <c r="D263" s="251">
        <f>IFERROR(__xludf.DUMMYFUNCTION("""COMPUTED_VALUE"""),9.0)</f>
        <v>9</v>
      </c>
      <c r="E263" s="251">
        <f>IFERROR(__xludf.DUMMYFUNCTION("""COMPUTED_VALUE"""),11.0)</f>
        <v>11</v>
      </c>
      <c r="F263" s="251">
        <f>IFERROR(__xludf.DUMMYFUNCTION("""COMPUTED_VALUE"""),10.0)</f>
        <v>10</v>
      </c>
      <c r="G263" s="251">
        <f>IFERROR(__xludf.DUMMYFUNCTION("""COMPUTED_VALUE"""),8.0)</f>
        <v>8</v>
      </c>
      <c r="H263" s="251">
        <f>IFERROR(__xludf.DUMMYFUNCTION("""COMPUTED_VALUE"""),8.0)</f>
        <v>8</v>
      </c>
      <c r="I263" s="251">
        <f>IFERROR(__xludf.DUMMYFUNCTION("""COMPUTED_VALUE"""),8.0)</f>
        <v>8</v>
      </c>
      <c r="J263" s="251">
        <f>IFERROR(__xludf.DUMMYFUNCTION("""COMPUTED_VALUE"""),8.0)</f>
        <v>8</v>
      </c>
      <c r="K263" s="251" t="str">
        <f>IFERROR(__xludf.DUMMYFUNCTION("""COMPUTED_VALUE"""),"Large")</f>
        <v>Large</v>
      </c>
      <c r="L263" s="251">
        <f>IFERROR(__xludf.DUMMYFUNCTION("""COMPUTED_VALUE"""),4.0)</f>
        <v>4</v>
      </c>
      <c r="M263" s="251" t="str">
        <f>IFERROR(__xludf.DUMMYFUNCTION("""COMPUTED_VALUE"""),"Wetlands")</f>
        <v>Wetlands</v>
      </c>
      <c r="N263" s="251" t="str">
        <f>IFERROR(__xludf.DUMMYFUNCTION("""COMPUTED_VALUE"""),"Quick")</f>
        <v>Quick</v>
      </c>
      <c r="O263" s="251" t="str">
        <f>IFERROR(__xludf.DUMMYFUNCTION("""COMPUTED_VALUE"""),"Swimmer")</f>
        <v>Swimmer</v>
      </c>
      <c r="P263" s="251" t="str">
        <f>IFERROR(__xludf.DUMMYFUNCTION("""COMPUTED_VALUE"""),"--")</f>
        <v>--</v>
      </c>
      <c r="Q263" s="251" t="str">
        <f>IFERROR(__xludf.DUMMYFUNCTION("""COMPUTED_VALUE"""),"--")</f>
        <v>--</v>
      </c>
      <c r="R263" s="251" t="str">
        <f>IFERROR(__xludf.DUMMYFUNCTION("""COMPUTED_VALUE"""),"--")</f>
        <v>--</v>
      </c>
      <c r="S263" s="251" t="str">
        <f>IFERROR(__xludf.DUMMYFUNCTION("""COMPUTED_VALUE"""),"--")</f>
        <v>--</v>
      </c>
      <c r="T263" s="251" t="str">
        <f>IFERROR(__xludf.DUMMYFUNCTION("""COMPUTED_VALUE"""),"--")</f>
        <v>--</v>
      </c>
      <c r="U263" s="251" t="str">
        <f>IFERROR(__xludf.DUMMYFUNCTION("""COMPUTED_VALUE"""),"--")</f>
        <v>--</v>
      </c>
      <c r="V263" s="251" t="str">
        <f>IFERROR(__xludf.DUMMYFUNCTION("""COMPUTED_VALUE"""),"--")</f>
        <v>--</v>
      </c>
      <c r="W263" s="251" t="str">
        <f>IFERROR(__xludf.DUMMYFUNCTION("""COMPUTED_VALUE"""),"--")</f>
        <v>--</v>
      </c>
      <c r="X263" s="251" t="str">
        <f>IFERROR(__xludf.DUMMYFUNCTION("""COMPUTED_VALUE"""),"--")</f>
        <v>--</v>
      </c>
      <c r="Y263" s="251" t="str">
        <f>IFERROR(__xludf.DUMMYFUNCTION("""COMPUTED_VALUE"""),"--")</f>
        <v>--</v>
      </c>
      <c r="Z263" s="251" t="str">
        <f>IFERROR(__xludf.DUMMYFUNCTION("""COMPUTED_VALUE"""),"--")</f>
        <v>--</v>
      </c>
      <c r="AA263" s="251" t="str">
        <f>IFERROR(__xludf.DUMMYFUNCTION("""COMPUTED_VALUE"""),"--")</f>
        <v>--</v>
      </c>
      <c r="AB263" s="251" t="str">
        <f>IFERROR(__xludf.DUMMYFUNCTION("""COMPUTED_VALUE"""),"--")</f>
        <v>--</v>
      </c>
      <c r="AC263" s="251" t="str">
        <f>IFERROR(__xludf.DUMMYFUNCTION("""COMPUTED_VALUE"""),"--")</f>
        <v>--</v>
      </c>
      <c r="AD263" s="251">
        <f>IFERROR(__xludf.DUMMYFUNCTION("""COMPUTED_VALUE"""),3.0)</f>
        <v>3</v>
      </c>
      <c r="AE263" s="251" t="str">
        <f>IFERROR(__xludf.DUMMYFUNCTION("""COMPUTED_VALUE"""),"Carnivore")</f>
        <v>Carnivore</v>
      </c>
    </row>
    <row r="264">
      <c r="A264" s="251" t="str">
        <f>IFERROR(__xludf.DUMMYFUNCTION("""COMPUTED_VALUE"""),"Mudkip")</f>
        <v>Mudkip</v>
      </c>
      <c r="B264" s="251" t="str">
        <f>IFERROR(__xludf.DUMMYFUNCTION("""COMPUTED_VALUE"""),"Water")</f>
        <v>Water</v>
      </c>
      <c r="C264" s="251" t="str">
        <f>IFERROR(__xludf.DUMMYFUNCTION("""COMPUTED_VALUE"""),"None")</f>
        <v>None</v>
      </c>
      <c r="D264" s="251">
        <f>IFERROR(__xludf.DUMMYFUNCTION("""COMPUTED_VALUE"""),5.0)</f>
        <v>5</v>
      </c>
      <c r="E264" s="251">
        <f>IFERROR(__xludf.DUMMYFUNCTION("""COMPUTED_VALUE"""),7.0)</f>
        <v>7</v>
      </c>
      <c r="F264" s="251">
        <f>IFERROR(__xludf.DUMMYFUNCTION("""COMPUTED_VALUE"""),5.0)</f>
        <v>5</v>
      </c>
      <c r="G264" s="251">
        <f>IFERROR(__xludf.DUMMYFUNCTION("""COMPUTED_VALUE"""),5.0)</f>
        <v>5</v>
      </c>
      <c r="H264" s="251">
        <f>IFERROR(__xludf.DUMMYFUNCTION("""COMPUTED_VALUE"""),5.0)</f>
        <v>5</v>
      </c>
      <c r="I264" s="251">
        <f>IFERROR(__xludf.DUMMYFUNCTION("""COMPUTED_VALUE"""),4.0)</f>
        <v>4</v>
      </c>
      <c r="J264" s="251">
        <f>IFERROR(__xludf.DUMMYFUNCTION("""COMPUTED_VALUE"""),2.0)</f>
        <v>2</v>
      </c>
      <c r="K264" s="251" t="str">
        <f>IFERROR(__xludf.DUMMYFUNCTION("""COMPUTED_VALUE"""),"Small")</f>
        <v>Small</v>
      </c>
      <c r="L264" s="251">
        <f>IFERROR(__xludf.DUMMYFUNCTION("""COMPUTED_VALUE"""),1.0)</f>
        <v>1</v>
      </c>
      <c r="M264" s="251" t="str">
        <f>IFERROR(__xludf.DUMMYFUNCTION("""COMPUTED_VALUE"""),"Wetlands")</f>
        <v>Wetlands</v>
      </c>
      <c r="N264" s="251" t="str">
        <f>IFERROR(__xludf.DUMMYFUNCTION("""COMPUTED_VALUE"""),"Swimmer")</f>
        <v>Swimmer</v>
      </c>
      <c r="O264" s="251" t="str">
        <f>IFERROR(__xludf.DUMMYFUNCTION("""COMPUTED_VALUE"""),"--")</f>
        <v>--</v>
      </c>
      <c r="P264" s="251" t="str">
        <f>IFERROR(__xludf.DUMMYFUNCTION("""COMPUTED_VALUE"""),"--")</f>
        <v>--</v>
      </c>
      <c r="Q264" s="251" t="str">
        <f>IFERROR(__xludf.DUMMYFUNCTION("""COMPUTED_VALUE"""),"--")</f>
        <v>--</v>
      </c>
      <c r="R264" s="251" t="str">
        <f>IFERROR(__xludf.DUMMYFUNCTION("""COMPUTED_VALUE"""),"Underdog")</f>
        <v>Underdog</v>
      </c>
      <c r="S264" s="251" t="str">
        <f>IFERROR(__xludf.DUMMYFUNCTION("""COMPUTED_VALUE"""),"--")</f>
        <v>--</v>
      </c>
      <c r="T264" s="251" t="str">
        <f>IFERROR(__xludf.DUMMYFUNCTION("""COMPUTED_VALUE"""),"--")</f>
        <v>--</v>
      </c>
      <c r="U264" s="251" t="str">
        <f>IFERROR(__xludf.DUMMYFUNCTION("""COMPUTED_VALUE"""),"--")</f>
        <v>--</v>
      </c>
      <c r="V264" s="251" t="str">
        <f>IFERROR(__xludf.DUMMYFUNCTION("""COMPUTED_VALUE"""),"Gilled")</f>
        <v>Gilled</v>
      </c>
      <c r="W264" s="251" t="str">
        <f>IFERROR(__xludf.DUMMYFUNCTION("""COMPUTED_VALUE"""),"--")</f>
        <v>--</v>
      </c>
      <c r="X264" s="251" t="str">
        <f>IFERROR(__xludf.DUMMYFUNCTION("""COMPUTED_VALUE"""),"--")</f>
        <v>--</v>
      </c>
      <c r="Y264" s="251" t="str">
        <f>IFERROR(__xludf.DUMMYFUNCTION("""COMPUTED_VALUE"""),"--")</f>
        <v>--</v>
      </c>
      <c r="Z264" s="251" t="str">
        <f>IFERROR(__xludf.DUMMYFUNCTION("""COMPUTED_VALUE"""),"--")</f>
        <v>--</v>
      </c>
      <c r="AA264" s="251" t="str">
        <f>IFERROR(__xludf.DUMMYFUNCTION("""COMPUTED_VALUE"""),"--")</f>
        <v>--</v>
      </c>
      <c r="AB264" s="251" t="str">
        <f>IFERROR(__xludf.DUMMYFUNCTION("""COMPUTED_VALUE"""),"--")</f>
        <v>--</v>
      </c>
      <c r="AC264" s="251" t="str">
        <f>IFERROR(__xludf.DUMMYFUNCTION("""COMPUTED_VALUE"""),"--")</f>
        <v>--</v>
      </c>
      <c r="AD264" s="251">
        <f>IFERROR(__xludf.DUMMYFUNCTION("""COMPUTED_VALUE"""),1.0)</f>
        <v>1</v>
      </c>
      <c r="AE264" s="251" t="str">
        <f>IFERROR(__xludf.DUMMYFUNCTION("""COMPUTED_VALUE"""),"Herbivore")</f>
        <v>Herbivore</v>
      </c>
    </row>
    <row r="265">
      <c r="A265" s="251" t="str">
        <f>IFERROR(__xludf.DUMMYFUNCTION("""COMPUTED_VALUE"""),"Marshtomp")</f>
        <v>Marshtomp</v>
      </c>
      <c r="B265" s="251" t="str">
        <f>IFERROR(__xludf.DUMMYFUNCTION("""COMPUTED_VALUE"""),"Water")</f>
        <v>Water</v>
      </c>
      <c r="C265" s="251" t="str">
        <f>IFERROR(__xludf.DUMMYFUNCTION("""COMPUTED_VALUE"""),"Ground")</f>
        <v>Ground</v>
      </c>
      <c r="D265" s="251">
        <f>IFERROR(__xludf.DUMMYFUNCTION("""COMPUTED_VALUE"""),7.0)</f>
        <v>7</v>
      </c>
      <c r="E265" s="251">
        <f>IFERROR(__xludf.DUMMYFUNCTION("""COMPUTED_VALUE"""),9.0)</f>
        <v>9</v>
      </c>
      <c r="F265" s="251">
        <f>IFERROR(__xludf.DUMMYFUNCTION("""COMPUTED_VALUE"""),7.0)</f>
        <v>7</v>
      </c>
      <c r="G265" s="251">
        <f>IFERROR(__xludf.DUMMYFUNCTION("""COMPUTED_VALUE"""),6.0)</f>
        <v>6</v>
      </c>
      <c r="H265" s="251">
        <f>IFERROR(__xludf.DUMMYFUNCTION("""COMPUTED_VALUE"""),7.0)</f>
        <v>7</v>
      </c>
      <c r="I265" s="251">
        <f>IFERROR(__xludf.DUMMYFUNCTION("""COMPUTED_VALUE"""),5.0)</f>
        <v>5</v>
      </c>
      <c r="J265" s="251">
        <f>IFERROR(__xludf.DUMMYFUNCTION("""COMPUTED_VALUE"""),4.0)</f>
        <v>4</v>
      </c>
      <c r="K265" s="251" t="str">
        <f>IFERROR(__xludf.DUMMYFUNCTION("""COMPUTED_VALUE"""),"Small")</f>
        <v>Small</v>
      </c>
      <c r="L265" s="251">
        <f>IFERROR(__xludf.DUMMYFUNCTION("""COMPUTED_VALUE"""),3.0)</f>
        <v>3</v>
      </c>
      <c r="M265" s="251" t="str">
        <f>IFERROR(__xludf.DUMMYFUNCTION("""COMPUTED_VALUE"""),"Wetlands")</f>
        <v>Wetlands</v>
      </c>
      <c r="N265" s="251" t="str">
        <f>IFERROR(__xludf.DUMMYFUNCTION("""COMPUTED_VALUE"""),"Swimmer")</f>
        <v>Swimmer</v>
      </c>
      <c r="O265" s="251" t="str">
        <f>IFERROR(__xludf.DUMMYFUNCTION("""COMPUTED_VALUE"""),"--")</f>
        <v>--</v>
      </c>
      <c r="P265" s="251" t="str">
        <f>IFERROR(__xludf.DUMMYFUNCTION("""COMPUTED_VALUE"""),"--")</f>
        <v>--</v>
      </c>
      <c r="Q265" s="251" t="str">
        <f>IFERROR(__xludf.DUMMYFUNCTION("""COMPUTED_VALUE"""),"--")</f>
        <v>--</v>
      </c>
      <c r="R265" s="251" t="str">
        <f>IFERROR(__xludf.DUMMYFUNCTION("""COMPUTED_VALUE"""),"Underdog")</f>
        <v>Underdog</v>
      </c>
      <c r="S265" s="251" t="str">
        <f>IFERROR(__xludf.DUMMYFUNCTION("""COMPUTED_VALUE"""),"--")</f>
        <v>--</v>
      </c>
      <c r="T265" s="251" t="str">
        <f>IFERROR(__xludf.DUMMYFUNCTION("""COMPUTED_VALUE"""),"--")</f>
        <v>--</v>
      </c>
      <c r="U265" s="251" t="str">
        <f>IFERROR(__xludf.DUMMYFUNCTION("""COMPUTED_VALUE"""),"--")</f>
        <v>--</v>
      </c>
      <c r="V265" s="251" t="str">
        <f>IFERROR(__xludf.DUMMYFUNCTION("""COMPUTED_VALUE"""),"Gilled")</f>
        <v>Gilled</v>
      </c>
      <c r="W265" s="251" t="str">
        <f>IFERROR(__xludf.DUMMYFUNCTION("""COMPUTED_VALUE"""),"--")</f>
        <v>--</v>
      </c>
      <c r="X265" s="251" t="str">
        <f>IFERROR(__xludf.DUMMYFUNCTION("""COMPUTED_VALUE"""),"--")</f>
        <v>--</v>
      </c>
      <c r="Y265" s="251" t="str">
        <f>IFERROR(__xludf.DUMMYFUNCTION("""COMPUTED_VALUE"""),"--")</f>
        <v>--</v>
      </c>
      <c r="Z265" s="251" t="str">
        <f>IFERROR(__xludf.DUMMYFUNCTION("""COMPUTED_VALUE"""),"--")</f>
        <v>--</v>
      </c>
      <c r="AA265" s="251" t="str">
        <f>IFERROR(__xludf.DUMMYFUNCTION("""COMPUTED_VALUE"""),"--")</f>
        <v>--</v>
      </c>
      <c r="AB265" s="251" t="str">
        <f>IFERROR(__xludf.DUMMYFUNCTION("""COMPUTED_VALUE"""),"--")</f>
        <v>--</v>
      </c>
      <c r="AC265" s="251" t="str">
        <f>IFERROR(__xludf.DUMMYFUNCTION("""COMPUTED_VALUE"""),"--")</f>
        <v>--</v>
      </c>
      <c r="AD265" s="251">
        <f>IFERROR(__xludf.DUMMYFUNCTION("""COMPUTED_VALUE"""),2.0)</f>
        <v>2</v>
      </c>
      <c r="AE265" s="251" t="str">
        <f>IFERROR(__xludf.DUMMYFUNCTION("""COMPUTED_VALUE"""),"Herbivore")</f>
        <v>Herbivore</v>
      </c>
    </row>
    <row r="266">
      <c r="A266" s="251" t="str">
        <f>IFERROR(__xludf.DUMMYFUNCTION("""COMPUTED_VALUE"""),"Swampert")</f>
        <v>Swampert</v>
      </c>
      <c r="B266" s="251" t="str">
        <f>IFERROR(__xludf.DUMMYFUNCTION("""COMPUTED_VALUE"""),"Water")</f>
        <v>Water</v>
      </c>
      <c r="C266" s="251" t="str">
        <f>IFERROR(__xludf.DUMMYFUNCTION("""COMPUTED_VALUE"""),"Ground")</f>
        <v>Ground</v>
      </c>
      <c r="D266" s="251">
        <f>IFERROR(__xludf.DUMMYFUNCTION("""COMPUTED_VALUE"""),10.0)</f>
        <v>10</v>
      </c>
      <c r="E266" s="251">
        <f>IFERROR(__xludf.DUMMYFUNCTION("""COMPUTED_VALUE"""),11.0)</f>
        <v>11</v>
      </c>
      <c r="F266" s="251">
        <f>IFERROR(__xludf.DUMMYFUNCTION("""COMPUTED_VALUE"""),9.0)</f>
        <v>9</v>
      </c>
      <c r="G266" s="251">
        <f>IFERROR(__xludf.DUMMYFUNCTION("""COMPUTED_VALUE"""),9.0)</f>
        <v>9</v>
      </c>
      <c r="H266" s="251">
        <f>IFERROR(__xludf.DUMMYFUNCTION("""COMPUTED_VALUE"""),9.0)</f>
        <v>9</v>
      </c>
      <c r="I266" s="251">
        <f>IFERROR(__xludf.DUMMYFUNCTION("""COMPUTED_VALUE"""),6.0)</f>
        <v>6</v>
      </c>
      <c r="J266" s="251">
        <f>IFERROR(__xludf.DUMMYFUNCTION("""COMPUTED_VALUE"""),7.0)</f>
        <v>7</v>
      </c>
      <c r="K266" s="251" t="str">
        <f>IFERROR(__xludf.DUMMYFUNCTION("""COMPUTED_VALUE"""),"Medium")</f>
        <v>Medium</v>
      </c>
      <c r="L266" s="251">
        <f>IFERROR(__xludf.DUMMYFUNCTION("""COMPUTED_VALUE"""),4.0)</f>
        <v>4</v>
      </c>
      <c r="M266" s="251" t="str">
        <f>IFERROR(__xludf.DUMMYFUNCTION("""COMPUTED_VALUE"""),"Wetlands")</f>
        <v>Wetlands</v>
      </c>
      <c r="N266" s="251" t="str">
        <f>IFERROR(__xludf.DUMMYFUNCTION("""COMPUTED_VALUE"""),"Swimmer")</f>
        <v>Swimmer</v>
      </c>
      <c r="O266" s="251" t="str">
        <f>IFERROR(__xludf.DUMMYFUNCTION("""COMPUTED_VALUE"""),"--")</f>
        <v>--</v>
      </c>
      <c r="P266" s="251" t="str">
        <f>IFERROR(__xludf.DUMMYFUNCTION("""COMPUTED_VALUE"""),"--")</f>
        <v>--</v>
      </c>
      <c r="Q266" s="251" t="str">
        <f>IFERROR(__xludf.DUMMYFUNCTION("""COMPUTED_VALUE"""),"--")</f>
        <v>--</v>
      </c>
      <c r="R266" s="251" t="str">
        <f>IFERROR(__xludf.DUMMYFUNCTION("""COMPUTED_VALUE"""),"--")</f>
        <v>--</v>
      </c>
      <c r="S266" s="251" t="str">
        <f>IFERROR(__xludf.DUMMYFUNCTION("""COMPUTED_VALUE"""),"--")</f>
        <v>--</v>
      </c>
      <c r="T266" s="251" t="str">
        <f>IFERROR(__xludf.DUMMYFUNCTION("""COMPUTED_VALUE"""),"--")</f>
        <v>--</v>
      </c>
      <c r="U266" s="251" t="str">
        <f>IFERROR(__xludf.DUMMYFUNCTION("""COMPUTED_VALUE"""),"--")</f>
        <v>--</v>
      </c>
      <c r="V266" s="251" t="str">
        <f>IFERROR(__xludf.DUMMYFUNCTION("""COMPUTED_VALUE"""),"Gilled")</f>
        <v>Gilled</v>
      </c>
      <c r="W266" s="251" t="str">
        <f>IFERROR(__xludf.DUMMYFUNCTION("""COMPUTED_VALUE"""),"--")</f>
        <v>--</v>
      </c>
      <c r="X266" s="251" t="str">
        <f>IFERROR(__xludf.DUMMYFUNCTION("""COMPUTED_VALUE"""),"--")</f>
        <v>--</v>
      </c>
      <c r="Y266" s="251" t="str">
        <f>IFERROR(__xludf.DUMMYFUNCTION("""COMPUTED_VALUE"""),"--")</f>
        <v>--</v>
      </c>
      <c r="Z266" s="251" t="str">
        <f>IFERROR(__xludf.DUMMYFUNCTION("""COMPUTED_VALUE"""),"--")</f>
        <v>--</v>
      </c>
      <c r="AA266" s="251" t="str">
        <f>IFERROR(__xludf.DUMMYFUNCTION("""COMPUTED_VALUE"""),"--")</f>
        <v>--</v>
      </c>
      <c r="AB266" s="251" t="str">
        <f>IFERROR(__xludf.DUMMYFUNCTION("""COMPUTED_VALUE"""),"--")</f>
        <v>--</v>
      </c>
      <c r="AC266" s="251" t="str">
        <f>IFERROR(__xludf.DUMMYFUNCTION("""COMPUTED_VALUE"""),"--")</f>
        <v>--</v>
      </c>
      <c r="AD266" s="251">
        <f>IFERROR(__xludf.DUMMYFUNCTION("""COMPUTED_VALUE"""),3.0)</f>
        <v>3</v>
      </c>
      <c r="AE266" s="251" t="str">
        <f>IFERROR(__xludf.DUMMYFUNCTION("""COMPUTED_VALUE"""),"Herbivore")</f>
        <v>Herbivore</v>
      </c>
    </row>
    <row r="267">
      <c r="A267" s="251" t="str">
        <f>IFERROR(__xludf.DUMMYFUNCTION("""COMPUTED_VALUE"""),"Piplup")</f>
        <v>Piplup</v>
      </c>
      <c r="B267" s="251" t="str">
        <f>IFERROR(__xludf.DUMMYFUNCTION("""COMPUTED_VALUE"""),"Water")</f>
        <v>Water</v>
      </c>
      <c r="C267" s="251" t="str">
        <f>IFERROR(__xludf.DUMMYFUNCTION("""COMPUTED_VALUE"""),"None")</f>
        <v>None</v>
      </c>
      <c r="D267" s="251">
        <f>IFERROR(__xludf.DUMMYFUNCTION("""COMPUTED_VALUE"""),5.0)</f>
        <v>5</v>
      </c>
      <c r="E267" s="251">
        <f>IFERROR(__xludf.DUMMYFUNCTION("""COMPUTED_VALUE"""),5.0)</f>
        <v>5</v>
      </c>
      <c r="F267" s="251">
        <f>IFERROR(__xludf.DUMMYFUNCTION("""COMPUTED_VALUE"""),5.0)</f>
        <v>5</v>
      </c>
      <c r="G267" s="251">
        <f>IFERROR(__xludf.DUMMYFUNCTION("""COMPUTED_VALUE"""),6.0)</f>
        <v>6</v>
      </c>
      <c r="H267" s="251">
        <f>IFERROR(__xludf.DUMMYFUNCTION("""COMPUTED_VALUE"""),6.0)</f>
        <v>6</v>
      </c>
      <c r="I267" s="251">
        <f>IFERROR(__xludf.DUMMYFUNCTION("""COMPUTED_VALUE"""),4.0)</f>
        <v>4</v>
      </c>
      <c r="J267" s="251">
        <f>IFERROR(__xludf.DUMMYFUNCTION("""COMPUTED_VALUE"""),2.0)</f>
        <v>2</v>
      </c>
      <c r="K267" s="251" t="str">
        <f>IFERROR(__xludf.DUMMYFUNCTION("""COMPUTED_VALUE"""),"Small")</f>
        <v>Small</v>
      </c>
      <c r="L267" s="251">
        <f>IFERROR(__xludf.DUMMYFUNCTION("""COMPUTED_VALUE"""),1.0)</f>
        <v>1</v>
      </c>
      <c r="M267" s="251" t="str">
        <f>IFERROR(__xludf.DUMMYFUNCTION("""COMPUTED_VALUE"""),"Ocean, Tundra")</f>
        <v>Ocean, Tundra</v>
      </c>
      <c r="N267" s="251" t="str">
        <f>IFERROR(__xludf.DUMMYFUNCTION("""COMPUTED_VALUE"""),"Swimmer")</f>
        <v>Swimmer</v>
      </c>
      <c r="O267" s="251" t="str">
        <f>IFERROR(__xludf.DUMMYFUNCTION("""COMPUTED_VALUE"""),"--")</f>
        <v>--</v>
      </c>
      <c r="P267" s="251" t="str">
        <f>IFERROR(__xludf.DUMMYFUNCTION("""COMPUTED_VALUE"""),"--")</f>
        <v>--</v>
      </c>
      <c r="Q267" s="251" t="str">
        <f>IFERROR(__xludf.DUMMYFUNCTION("""COMPUTED_VALUE"""),"--")</f>
        <v>--</v>
      </c>
      <c r="R267" s="251" t="str">
        <f>IFERROR(__xludf.DUMMYFUNCTION("""COMPUTED_VALUE"""),"Underdog")</f>
        <v>Underdog</v>
      </c>
      <c r="S267" s="251" t="str">
        <f>IFERROR(__xludf.DUMMYFUNCTION("""COMPUTED_VALUE"""),"--")</f>
        <v>--</v>
      </c>
      <c r="T267" s="251" t="str">
        <f>IFERROR(__xludf.DUMMYFUNCTION("""COMPUTED_VALUE"""),"--")</f>
        <v>--</v>
      </c>
      <c r="U267" s="251" t="str">
        <f>IFERROR(__xludf.DUMMYFUNCTION("""COMPUTED_VALUE"""),"--")</f>
        <v>--</v>
      </c>
      <c r="V267" s="251" t="str">
        <f>IFERROR(__xludf.DUMMYFUNCTION("""COMPUTED_VALUE"""),"--")</f>
        <v>--</v>
      </c>
      <c r="W267" s="251" t="str">
        <f>IFERROR(__xludf.DUMMYFUNCTION("""COMPUTED_VALUE"""),"--")</f>
        <v>--</v>
      </c>
      <c r="X267" s="251" t="str">
        <f>IFERROR(__xludf.DUMMYFUNCTION("""COMPUTED_VALUE"""),"--")</f>
        <v>--</v>
      </c>
      <c r="Y267" s="251" t="str">
        <f>IFERROR(__xludf.DUMMYFUNCTION("""COMPUTED_VALUE"""),"--")</f>
        <v>--</v>
      </c>
      <c r="Z267" s="251" t="str">
        <f>IFERROR(__xludf.DUMMYFUNCTION("""COMPUTED_VALUE"""),"--")</f>
        <v>--</v>
      </c>
      <c r="AA267" s="251" t="str">
        <f>IFERROR(__xludf.DUMMYFUNCTION("""COMPUTED_VALUE"""),"--")</f>
        <v>--</v>
      </c>
      <c r="AB267" s="251" t="str">
        <f>IFERROR(__xludf.DUMMYFUNCTION("""COMPUTED_VALUE"""),"--")</f>
        <v>--</v>
      </c>
      <c r="AC267" s="251" t="str">
        <f>IFERROR(__xludf.DUMMYFUNCTION("""COMPUTED_VALUE"""),"--")</f>
        <v>--</v>
      </c>
      <c r="AD267" s="251">
        <f>IFERROR(__xludf.DUMMYFUNCTION("""COMPUTED_VALUE"""),1.0)</f>
        <v>1</v>
      </c>
      <c r="AE267" s="251" t="str">
        <f>IFERROR(__xludf.DUMMYFUNCTION("""COMPUTED_VALUE"""),"Herbivore")</f>
        <v>Herbivore</v>
      </c>
    </row>
    <row r="268">
      <c r="A268" s="251" t="str">
        <f>IFERROR(__xludf.DUMMYFUNCTION("""COMPUTED_VALUE"""),"Prinplup")</f>
        <v>Prinplup</v>
      </c>
      <c r="B268" s="251" t="str">
        <f>IFERROR(__xludf.DUMMYFUNCTION("""COMPUTED_VALUE"""),"Water")</f>
        <v>Water</v>
      </c>
      <c r="C268" s="251" t="str">
        <f>IFERROR(__xludf.DUMMYFUNCTION("""COMPUTED_VALUE"""),"None")</f>
        <v>None</v>
      </c>
      <c r="D268" s="251">
        <f>IFERROR(__xludf.DUMMYFUNCTION("""COMPUTED_VALUE"""),6.0)</f>
        <v>6</v>
      </c>
      <c r="E268" s="251">
        <f>IFERROR(__xludf.DUMMYFUNCTION("""COMPUTED_VALUE"""),7.0)</f>
        <v>7</v>
      </c>
      <c r="F268" s="251">
        <f>IFERROR(__xludf.DUMMYFUNCTION("""COMPUTED_VALUE"""),7.0)</f>
        <v>7</v>
      </c>
      <c r="G268" s="251">
        <f>IFERROR(__xludf.DUMMYFUNCTION("""COMPUTED_VALUE"""),8.0)</f>
        <v>8</v>
      </c>
      <c r="H268" s="251">
        <f>IFERROR(__xludf.DUMMYFUNCTION("""COMPUTED_VALUE"""),8.0)</f>
        <v>8</v>
      </c>
      <c r="I268" s="251">
        <f>IFERROR(__xludf.DUMMYFUNCTION("""COMPUTED_VALUE"""),5.0)</f>
        <v>5</v>
      </c>
      <c r="J268" s="251">
        <f>IFERROR(__xludf.DUMMYFUNCTION("""COMPUTED_VALUE"""),3.0)</f>
        <v>3</v>
      </c>
      <c r="K268" s="251" t="str">
        <f>IFERROR(__xludf.DUMMYFUNCTION("""COMPUTED_VALUE"""),"Small")</f>
        <v>Small</v>
      </c>
      <c r="L268" s="251">
        <f>IFERROR(__xludf.DUMMYFUNCTION("""COMPUTED_VALUE"""),2.0)</f>
        <v>2</v>
      </c>
      <c r="M268" s="251" t="str">
        <f>IFERROR(__xludf.DUMMYFUNCTION("""COMPUTED_VALUE"""),"Ocean, Tundra")</f>
        <v>Ocean, Tundra</v>
      </c>
      <c r="N268" s="251" t="str">
        <f>IFERROR(__xludf.DUMMYFUNCTION("""COMPUTED_VALUE"""),"Swimmer")</f>
        <v>Swimmer</v>
      </c>
      <c r="O268" s="251" t="str">
        <f>IFERROR(__xludf.DUMMYFUNCTION("""COMPUTED_VALUE"""),"--")</f>
        <v>--</v>
      </c>
      <c r="P268" s="251" t="str">
        <f>IFERROR(__xludf.DUMMYFUNCTION("""COMPUTED_VALUE"""),"--")</f>
        <v>--</v>
      </c>
      <c r="Q268" s="251" t="str">
        <f>IFERROR(__xludf.DUMMYFUNCTION("""COMPUTED_VALUE"""),"--")</f>
        <v>--</v>
      </c>
      <c r="R268" s="251" t="str">
        <f>IFERROR(__xludf.DUMMYFUNCTION("""COMPUTED_VALUE"""),"Underdog")</f>
        <v>Underdog</v>
      </c>
      <c r="S268" s="251" t="str">
        <f>IFERROR(__xludf.DUMMYFUNCTION("""COMPUTED_VALUE"""),"--")</f>
        <v>--</v>
      </c>
      <c r="T268" s="251" t="str">
        <f>IFERROR(__xludf.DUMMYFUNCTION("""COMPUTED_VALUE"""),"--")</f>
        <v>--</v>
      </c>
      <c r="U268" s="251" t="str">
        <f>IFERROR(__xludf.DUMMYFUNCTION("""COMPUTED_VALUE"""),"--")</f>
        <v>--</v>
      </c>
      <c r="V268" s="251" t="str">
        <f>IFERROR(__xludf.DUMMYFUNCTION("""COMPUTED_VALUE"""),"--")</f>
        <v>--</v>
      </c>
      <c r="W268" s="251" t="str">
        <f>IFERROR(__xludf.DUMMYFUNCTION("""COMPUTED_VALUE"""),"--")</f>
        <v>--</v>
      </c>
      <c r="X268" s="251" t="str">
        <f>IFERROR(__xludf.DUMMYFUNCTION("""COMPUTED_VALUE"""),"--")</f>
        <v>--</v>
      </c>
      <c r="Y268" s="251" t="str">
        <f>IFERROR(__xludf.DUMMYFUNCTION("""COMPUTED_VALUE"""),"--")</f>
        <v>--</v>
      </c>
      <c r="Z268" s="251" t="str">
        <f>IFERROR(__xludf.DUMMYFUNCTION("""COMPUTED_VALUE"""),"--")</f>
        <v>--</v>
      </c>
      <c r="AA268" s="251" t="str">
        <f>IFERROR(__xludf.DUMMYFUNCTION("""COMPUTED_VALUE"""),"--")</f>
        <v>--</v>
      </c>
      <c r="AB268" s="251" t="str">
        <f>IFERROR(__xludf.DUMMYFUNCTION("""COMPUTED_VALUE"""),"--")</f>
        <v>--</v>
      </c>
      <c r="AC268" s="251" t="str">
        <f>IFERROR(__xludf.DUMMYFUNCTION("""COMPUTED_VALUE"""),"--")</f>
        <v>--</v>
      </c>
      <c r="AD268" s="251">
        <f>IFERROR(__xludf.DUMMYFUNCTION("""COMPUTED_VALUE"""),2.0)</f>
        <v>2</v>
      </c>
      <c r="AE268" s="251" t="str">
        <f>IFERROR(__xludf.DUMMYFUNCTION("""COMPUTED_VALUE"""),"Herbivore")</f>
        <v>Herbivore</v>
      </c>
    </row>
    <row r="269">
      <c r="A269" s="251" t="str">
        <f>IFERROR(__xludf.DUMMYFUNCTION("""COMPUTED_VALUE"""),"Empoleon")</f>
        <v>Empoleon</v>
      </c>
      <c r="B269" s="251" t="str">
        <f>IFERROR(__xludf.DUMMYFUNCTION("""COMPUTED_VALUE"""),"Water")</f>
        <v>Water</v>
      </c>
      <c r="C269" s="251" t="str">
        <f>IFERROR(__xludf.DUMMYFUNCTION("""COMPUTED_VALUE"""),"Steel")</f>
        <v>Steel</v>
      </c>
      <c r="D269" s="251">
        <f>IFERROR(__xludf.DUMMYFUNCTION("""COMPUTED_VALUE"""),8.0)</f>
        <v>8</v>
      </c>
      <c r="E269" s="251">
        <f>IFERROR(__xludf.DUMMYFUNCTION("""COMPUTED_VALUE"""),9.0)</f>
        <v>9</v>
      </c>
      <c r="F269" s="251">
        <f>IFERROR(__xludf.DUMMYFUNCTION("""COMPUTED_VALUE"""),9.0)</f>
        <v>9</v>
      </c>
      <c r="G269" s="251">
        <f>IFERROR(__xludf.DUMMYFUNCTION("""COMPUTED_VALUE"""),11.0)</f>
        <v>11</v>
      </c>
      <c r="H269" s="251">
        <f>IFERROR(__xludf.DUMMYFUNCTION("""COMPUTED_VALUE"""),10.0)</f>
        <v>10</v>
      </c>
      <c r="I269" s="251">
        <f>IFERROR(__xludf.DUMMYFUNCTION("""COMPUTED_VALUE"""),6.0)</f>
        <v>6</v>
      </c>
      <c r="J269" s="251">
        <f>IFERROR(__xludf.DUMMYFUNCTION("""COMPUTED_VALUE"""),7.0)</f>
        <v>7</v>
      </c>
      <c r="K269" s="251" t="str">
        <f>IFERROR(__xludf.DUMMYFUNCTION("""COMPUTED_VALUE"""),"Medium")</f>
        <v>Medium</v>
      </c>
      <c r="L269" s="251">
        <f>IFERROR(__xludf.DUMMYFUNCTION("""COMPUTED_VALUE"""),4.0)</f>
        <v>4</v>
      </c>
      <c r="M269" s="251" t="str">
        <f>IFERROR(__xludf.DUMMYFUNCTION("""COMPUTED_VALUE"""),"Ocean, Tundra")</f>
        <v>Ocean, Tundra</v>
      </c>
      <c r="N269" s="251" t="str">
        <f>IFERROR(__xludf.DUMMYFUNCTION("""COMPUTED_VALUE"""),"Quick")</f>
        <v>Quick</v>
      </c>
      <c r="O269" s="251" t="str">
        <f>IFERROR(__xludf.DUMMYFUNCTION("""COMPUTED_VALUE"""),"Swimmer")</f>
        <v>Swimmer</v>
      </c>
      <c r="P269" s="251" t="str">
        <f>IFERROR(__xludf.DUMMYFUNCTION("""COMPUTED_VALUE"""),"--")</f>
        <v>--</v>
      </c>
      <c r="Q269" s="251" t="str">
        <f>IFERROR(__xludf.DUMMYFUNCTION("""COMPUTED_VALUE"""),"--")</f>
        <v>--</v>
      </c>
      <c r="R269" s="251" t="str">
        <f>IFERROR(__xludf.DUMMYFUNCTION("""COMPUTED_VALUE"""),"--")</f>
        <v>--</v>
      </c>
      <c r="S269" s="251" t="str">
        <f>IFERROR(__xludf.DUMMYFUNCTION("""COMPUTED_VALUE"""),"--")</f>
        <v>--</v>
      </c>
      <c r="T269" s="251" t="str">
        <f>IFERROR(__xludf.DUMMYFUNCTION("""COMPUTED_VALUE"""),"--")</f>
        <v>--</v>
      </c>
      <c r="U269" s="251" t="str">
        <f>IFERROR(__xludf.DUMMYFUNCTION("""COMPUTED_VALUE"""),"--")</f>
        <v>--</v>
      </c>
      <c r="V269" s="251" t="str">
        <f>IFERROR(__xludf.DUMMYFUNCTION("""COMPUTED_VALUE"""),"--")</f>
        <v>--</v>
      </c>
      <c r="W269" s="251" t="str">
        <f>IFERROR(__xludf.DUMMYFUNCTION("""COMPUTED_VALUE"""),"--")</f>
        <v>--</v>
      </c>
      <c r="X269" s="251" t="str">
        <f>IFERROR(__xludf.DUMMYFUNCTION("""COMPUTED_VALUE"""),"--")</f>
        <v>--</v>
      </c>
      <c r="Y269" s="251" t="str">
        <f>IFERROR(__xludf.DUMMYFUNCTION("""COMPUTED_VALUE"""),"--")</f>
        <v>--</v>
      </c>
      <c r="Z269" s="251" t="str">
        <f>IFERROR(__xludf.DUMMYFUNCTION("""COMPUTED_VALUE"""),"--")</f>
        <v>--</v>
      </c>
      <c r="AA269" s="251" t="str">
        <f>IFERROR(__xludf.DUMMYFUNCTION("""COMPUTED_VALUE"""),"--")</f>
        <v>--</v>
      </c>
      <c r="AB269" s="251" t="str">
        <f>IFERROR(__xludf.DUMMYFUNCTION("""COMPUTED_VALUE"""),"--")</f>
        <v>--</v>
      </c>
      <c r="AC269" s="251" t="str">
        <f>IFERROR(__xludf.DUMMYFUNCTION("""COMPUTED_VALUE"""),"--")</f>
        <v>--</v>
      </c>
      <c r="AD269" s="251">
        <f>IFERROR(__xludf.DUMMYFUNCTION("""COMPUTED_VALUE"""),3.0)</f>
        <v>3</v>
      </c>
      <c r="AE269" s="251" t="str">
        <f>IFERROR(__xludf.DUMMYFUNCTION("""COMPUTED_VALUE"""),"Omnivore")</f>
        <v>Omnivore</v>
      </c>
    </row>
    <row r="270">
      <c r="A270" s="251" t="str">
        <f>IFERROR(__xludf.DUMMYFUNCTION("""COMPUTED_VALUE"""),"Oshawott")</f>
        <v>Oshawott</v>
      </c>
      <c r="B270" s="251" t="str">
        <f>IFERROR(__xludf.DUMMYFUNCTION("""COMPUTED_VALUE"""),"Water")</f>
        <v>Water</v>
      </c>
      <c r="C270" s="251" t="str">
        <f>IFERROR(__xludf.DUMMYFUNCTION("""COMPUTED_VALUE"""),"None")</f>
        <v>None</v>
      </c>
      <c r="D270" s="251">
        <f>IFERROR(__xludf.DUMMYFUNCTION("""COMPUTED_VALUE"""),6.0)</f>
        <v>6</v>
      </c>
      <c r="E270" s="251">
        <f>IFERROR(__xludf.DUMMYFUNCTION("""COMPUTED_VALUE"""),6.0)</f>
        <v>6</v>
      </c>
      <c r="F270" s="251">
        <f>IFERROR(__xludf.DUMMYFUNCTION("""COMPUTED_VALUE"""),5.0)</f>
        <v>5</v>
      </c>
      <c r="G270" s="251">
        <f>IFERROR(__xludf.DUMMYFUNCTION("""COMPUTED_VALUE"""),6.0)</f>
        <v>6</v>
      </c>
      <c r="H270" s="251">
        <f>IFERROR(__xludf.DUMMYFUNCTION("""COMPUTED_VALUE"""),5.0)</f>
        <v>5</v>
      </c>
      <c r="I270" s="251">
        <f>IFERROR(__xludf.DUMMYFUNCTION("""COMPUTED_VALUE"""),5.0)</f>
        <v>5</v>
      </c>
      <c r="J270" s="251">
        <f>IFERROR(__xludf.DUMMYFUNCTION("""COMPUTED_VALUE"""),2.0)</f>
        <v>2</v>
      </c>
      <c r="K270" s="251" t="str">
        <f>IFERROR(__xludf.DUMMYFUNCTION("""COMPUTED_VALUE"""),"Small")</f>
        <v>Small</v>
      </c>
      <c r="L270" s="251">
        <f>IFERROR(__xludf.DUMMYFUNCTION("""COMPUTED_VALUE"""),1.0)</f>
        <v>1</v>
      </c>
      <c r="M270" s="251" t="str">
        <f>IFERROR(__xludf.DUMMYFUNCTION("""COMPUTED_VALUE"""),"Ocean")</f>
        <v>Ocean</v>
      </c>
      <c r="N270" s="251" t="str">
        <f>IFERROR(__xludf.DUMMYFUNCTION("""COMPUTED_VALUE"""),"Swimmer")</f>
        <v>Swimmer</v>
      </c>
      <c r="O270" s="251" t="str">
        <f>IFERROR(__xludf.DUMMYFUNCTION("""COMPUTED_VALUE"""),"--")</f>
        <v>--</v>
      </c>
      <c r="P270" s="251" t="str">
        <f>IFERROR(__xludf.DUMMYFUNCTION("""COMPUTED_VALUE"""),"--")</f>
        <v>--</v>
      </c>
      <c r="Q270" s="251" t="str">
        <f>IFERROR(__xludf.DUMMYFUNCTION("""COMPUTED_VALUE"""),"--")</f>
        <v>--</v>
      </c>
      <c r="R270" s="251" t="str">
        <f>IFERROR(__xludf.DUMMYFUNCTION("""COMPUTED_VALUE"""),"Underdog")</f>
        <v>Underdog</v>
      </c>
      <c r="S270" s="251" t="str">
        <f>IFERROR(__xludf.DUMMYFUNCTION("""COMPUTED_VALUE"""),"Wielder (Martial, Melee)")</f>
        <v>Wielder (Martial, Melee)</v>
      </c>
      <c r="T270" s="251" t="str">
        <f>IFERROR(__xludf.DUMMYFUNCTION("""COMPUTED_VALUE"""),"--")</f>
        <v>--</v>
      </c>
      <c r="U270" s="251" t="str">
        <f>IFERROR(__xludf.DUMMYFUNCTION("""COMPUTED_VALUE"""),"--")</f>
        <v>--</v>
      </c>
      <c r="V270" s="251" t="str">
        <f>IFERROR(__xludf.DUMMYFUNCTION("""COMPUTED_VALUE"""),"--")</f>
        <v>--</v>
      </c>
      <c r="W270" s="251" t="str">
        <f>IFERROR(__xludf.DUMMYFUNCTION("""COMPUTED_VALUE"""),"--")</f>
        <v>--</v>
      </c>
      <c r="X270" s="251" t="str">
        <f>IFERROR(__xludf.DUMMYFUNCTION("""COMPUTED_VALUE"""),"--")</f>
        <v>--</v>
      </c>
      <c r="Y270" s="251" t="str">
        <f>IFERROR(__xludf.DUMMYFUNCTION("""COMPUTED_VALUE"""),"--")</f>
        <v>--</v>
      </c>
      <c r="Z270" s="251" t="str">
        <f>IFERROR(__xludf.DUMMYFUNCTION("""COMPUTED_VALUE"""),"--")</f>
        <v>--</v>
      </c>
      <c r="AA270" s="251" t="str">
        <f>IFERROR(__xludf.DUMMYFUNCTION("""COMPUTED_VALUE"""),"--")</f>
        <v>--</v>
      </c>
      <c r="AB270" s="251" t="str">
        <f>IFERROR(__xludf.DUMMYFUNCTION("""COMPUTED_VALUE"""),"--")</f>
        <v>--</v>
      </c>
      <c r="AC270" s="251" t="str">
        <f>IFERROR(__xludf.DUMMYFUNCTION("""COMPUTED_VALUE"""),"--")</f>
        <v>--</v>
      </c>
      <c r="AD270" s="251">
        <f>IFERROR(__xludf.DUMMYFUNCTION("""COMPUTED_VALUE"""),1.0)</f>
        <v>1</v>
      </c>
      <c r="AE270" s="251" t="str">
        <f>IFERROR(__xludf.DUMMYFUNCTION("""COMPUTED_VALUE"""),"Herbivore")</f>
        <v>Herbivore</v>
      </c>
    </row>
    <row r="271">
      <c r="A271" s="251" t="str">
        <f>IFERROR(__xludf.DUMMYFUNCTION("""COMPUTED_VALUE"""),"Dewott")</f>
        <v>Dewott</v>
      </c>
      <c r="B271" s="251" t="str">
        <f>IFERROR(__xludf.DUMMYFUNCTION("""COMPUTED_VALUE"""),"Water")</f>
        <v>Water</v>
      </c>
      <c r="C271" s="251" t="str">
        <f>IFERROR(__xludf.DUMMYFUNCTION("""COMPUTED_VALUE"""),"None")</f>
        <v>None</v>
      </c>
      <c r="D271" s="251">
        <f>IFERROR(__xludf.DUMMYFUNCTION("""COMPUTED_VALUE"""),8.0)</f>
        <v>8</v>
      </c>
      <c r="E271" s="251">
        <f>IFERROR(__xludf.DUMMYFUNCTION("""COMPUTED_VALUE"""),8.0)</f>
        <v>8</v>
      </c>
      <c r="F271" s="251">
        <f>IFERROR(__xludf.DUMMYFUNCTION("""COMPUTED_VALUE"""),6.0)</f>
        <v>6</v>
      </c>
      <c r="G271" s="251">
        <f>IFERROR(__xludf.DUMMYFUNCTION("""COMPUTED_VALUE"""),8.0)</f>
        <v>8</v>
      </c>
      <c r="H271" s="251">
        <f>IFERROR(__xludf.DUMMYFUNCTION("""COMPUTED_VALUE"""),6.0)</f>
        <v>6</v>
      </c>
      <c r="I271" s="251">
        <f>IFERROR(__xludf.DUMMYFUNCTION("""COMPUTED_VALUE"""),6.0)</f>
        <v>6</v>
      </c>
      <c r="J271" s="251">
        <f>IFERROR(__xludf.DUMMYFUNCTION("""COMPUTED_VALUE"""),3.0)</f>
        <v>3</v>
      </c>
      <c r="K271" s="251" t="str">
        <f>IFERROR(__xludf.DUMMYFUNCTION("""COMPUTED_VALUE"""),"Small")</f>
        <v>Small</v>
      </c>
      <c r="L271" s="251">
        <f>IFERROR(__xludf.DUMMYFUNCTION("""COMPUTED_VALUE"""),2.0)</f>
        <v>2</v>
      </c>
      <c r="M271" s="251" t="str">
        <f>IFERROR(__xludf.DUMMYFUNCTION("""COMPUTED_VALUE"""),"Ocean")</f>
        <v>Ocean</v>
      </c>
      <c r="N271" s="251" t="str">
        <f>IFERROR(__xludf.DUMMYFUNCTION("""COMPUTED_VALUE"""),"Swimmer")</f>
        <v>Swimmer</v>
      </c>
      <c r="O271" s="251" t="str">
        <f>IFERROR(__xludf.DUMMYFUNCTION("""COMPUTED_VALUE"""),"--")</f>
        <v>--</v>
      </c>
      <c r="P271" s="251" t="str">
        <f>IFERROR(__xludf.DUMMYFUNCTION("""COMPUTED_VALUE"""),"--")</f>
        <v>--</v>
      </c>
      <c r="Q271" s="251" t="str">
        <f>IFERROR(__xludf.DUMMYFUNCTION("""COMPUTED_VALUE"""),"--")</f>
        <v>--</v>
      </c>
      <c r="R271" s="251" t="str">
        <f>IFERROR(__xludf.DUMMYFUNCTION("""COMPUTED_VALUE"""),"Underdog")</f>
        <v>Underdog</v>
      </c>
      <c r="S271" s="251" t="str">
        <f>IFERROR(__xludf.DUMMYFUNCTION("""COMPUTED_VALUE"""),"Wielder (Martial, Melee)")</f>
        <v>Wielder (Martial, Melee)</v>
      </c>
      <c r="T271" s="251" t="str">
        <f>IFERROR(__xludf.DUMMYFUNCTION("""COMPUTED_VALUE"""),"--")</f>
        <v>--</v>
      </c>
      <c r="U271" s="251" t="str">
        <f>IFERROR(__xludf.DUMMYFUNCTION("""COMPUTED_VALUE"""),"--")</f>
        <v>--</v>
      </c>
      <c r="V271" s="251" t="str">
        <f>IFERROR(__xludf.DUMMYFUNCTION("""COMPUTED_VALUE"""),"--")</f>
        <v>--</v>
      </c>
      <c r="W271" s="251" t="str">
        <f>IFERROR(__xludf.DUMMYFUNCTION("""COMPUTED_VALUE"""),"--")</f>
        <v>--</v>
      </c>
      <c r="X271" s="251" t="str">
        <f>IFERROR(__xludf.DUMMYFUNCTION("""COMPUTED_VALUE"""),"--")</f>
        <v>--</v>
      </c>
      <c r="Y271" s="251" t="str">
        <f>IFERROR(__xludf.DUMMYFUNCTION("""COMPUTED_VALUE"""),"--")</f>
        <v>--</v>
      </c>
      <c r="Z271" s="251" t="str">
        <f>IFERROR(__xludf.DUMMYFUNCTION("""COMPUTED_VALUE"""),"--")</f>
        <v>--</v>
      </c>
      <c r="AA271" s="251" t="str">
        <f>IFERROR(__xludf.DUMMYFUNCTION("""COMPUTED_VALUE"""),"--")</f>
        <v>--</v>
      </c>
      <c r="AB271" s="251" t="str">
        <f>IFERROR(__xludf.DUMMYFUNCTION("""COMPUTED_VALUE"""),"--")</f>
        <v>--</v>
      </c>
      <c r="AC271" s="251" t="str">
        <f>IFERROR(__xludf.DUMMYFUNCTION("""COMPUTED_VALUE"""),"--")</f>
        <v>--</v>
      </c>
      <c r="AD271" s="251">
        <f>IFERROR(__xludf.DUMMYFUNCTION("""COMPUTED_VALUE"""),2.0)</f>
        <v>2</v>
      </c>
      <c r="AE271" s="251" t="str">
        <f>IFERROR(__xludf.DUMMYFUNCTION("""COMPUTED_VALUE"""),"Herbivore")</f>
        <v>Herbivore</v>
      </c>
    </row>
    <row r="272">
      <c r="A272" s="251" t="str">
        <f>IFERROR(__xludf.DUMMYFUNCTION("""COMPUTED_VALUE"""),"Samurott")</f>
        <v>Samurott</v>
      </c>
      <c r="B272" s="251" t="str">
        <f>IFERROR(__xludf.DUMMYFUNCTION("""COMPUTED_VALUE"""),"Water")</f>
        <v>Water</v>
      </c>
      <c r="C272" s="251" t="str">
        <f>IFERROR(__xludf.DUMMYFUNCTION("""COMPUTED_VALUE"""),"None")</f>
        <v>None</v>
      </c>
      <c r="D272" s="251">
        <f>IFERROR(__xludf.DUMMYFUNCTION("""COMPUTED_VALUE"""),10.0)</f>
        <v>10</v>
      </c>
      <c r="E272" s="251">
        <f>IFERROR(__xludf.DUMMYFUNCTION("""COMPUTED_VALUE"""),10.0)</f>
        <v>10</v>
      </c>
      <c r="F272" s="251">
        <f>IFERROR(__xludf.DUMMYFUNCTION("""COMPUTED_VALUE"""),9.0)</f>
        <v>9</v>
      </c>
      <c r="G272" s="251">
        <f>IFERROR(__xludf.DUMMYFUNCTION("""COMPUTED_VALUE"""),11.0)</f>
        <v>11</v>
      </c>
      <c r="H272" s="251">
        <f>IFERROR(__xludf.DUMMYFUNCTION("""COMPUTED_VALUE"""),7.0)</f>
        <v>7</v>
      </c>
      <c r="I272" s="251">
        <f>IFERROR(__xludf.DUMMYFUNCTION("""COMPUTED_VALUE"""),7.0)</f>
        <v>7</v>
      </c>
      <c r="J272" s="251">
        <f>IFERROR(__xludf.DUMMYFUNCTION("""COMPUTED_VALUE"""),7.0)</f>
        <v>7</v>
      </c>
      <c r="K272" s="251" t="str">
        <f>IFERROR(__xludf.DUMMYFUNCTION("""COMPUTED_VALUE"""),"Medium")</f>
        <v>Medium</v>
      </c>
      <c r="L272" s="251">
        <f>IFERROR(__xludf.DUMMYFUNCTION("""COMPUTED_VALUE"""),4.0)</f>
        <v>4</v>
      </c>
      <c r="M272" s="251" t="str">
        <f>IFERROR(__xludf.DUMMYFUNCTION("""COMPUTED_VALUE"""),"Ocean")</f>
        <v>Ocean</v>
      </c>
      <c r="N272" s="251" t="str">
        <f>IFERROR(__xludf.DUMMYFUNCTION("""COMPUTED_VALUE"""),"Swimmer")</f>
        <v>Swimmer</v>
      </c>
      <c r="O272" s="251" t="str">
        <f>IFERROR(__xludf.DUMMYFUNCTION("""COMPUTED_VALUE"""),"--")</f>
        <v>--</v>
      </c>
      <c r="P272" s="251" t="str">
        <f>IFERROR(__xludf.DUMMYFUNCTION("""COMPUTED_VALUE"""),"--")</f>
        <v>--</v>
      </c>
      <c r="Q272" s="251" t="str">
        <f>IFERROR(__xludf.DUMMYFUNCTION("""COMPUTED_VALUE"""),"--")</f>
        <v>--</v>
      </c>
      <c r="R272" s="251" t="str">
        <f>IFERROR(__xludf.DUMMYFUNCTION("""COMPUTED_VALUE"""),"Wielder (Martial, Melee)")</f>
        <v>Wielder (Martial, Melee)</v>
      </c>
      <c r="S272" s="251" t="str">
        <f>IFERROR(__xludf.DUMMYFUNCTION("""COMPUTED_VALUE"""),"--")</f>
        <v>--</v>
      </c>
      <c r="T272" s="251" t="str">
        <f>IFERROR(__xludf.DUMMYFUNCTION("""COMPUTED_VALUE"""),"--")</f>
        <v>--</v>
      </c>
      <c r="U272" s="251" t="str">
        <f>IFERROR(__xludf.DUMMYFUNCTION("""COMPUTED_VALUE"""),"--")</f>
        <v>--</v>
      </c>
      <c r="V272" s="251" t="str">
        <f>IFERROR(__xludf.DUMMYFUNCTION("""COMPUTED_VALUE"""),"--")</f>
        <v>--</v>
      </c>
      <c r="W272" s="251" t="str">
        <f>IFERROR(__xludf.DUMMYFUNCTION("""COMPUTED_VALUE"""),"--")</f>
        <v>--</v>
      </c>
      <c r="X272" s="251" t="str">
        <f>IFERROR(__xludf.DUMMYFUNCTION("""COMPUTED_VALUE"""),"--")</f>
        <v>--</v>
      </c>
      <c r="Y272" s="251" t="str">
        <f>IFERROR(__xludf.DUMMYFUNCTION("""COMPUTED_VALUE"""),"--")</f>
        <v>--</v>
      </c>
      <c r="Z272" s="251" t="str">
        <f>IFERROR(__xludf.DUMMYFUNCTION("""COMPUTED_VALUE"""),"--")</f>
        <v>--</v>
      </c>
      <c r="AA272" s="251" t="str">
        <f>IFERROR(__xludf.DUMMYFUNCTION("""COMPUTED_VALUE"""),"--")</f>
        <v>--</v>
      </c>
      <c r="AB272" s="251" t="str">
        <f>IFERROR(__xludf.DUMMYFUNCTION("""COMPUTED_VALUE"""),"--")</f>
        <v>--</v>
      </c>
      <c r="AC272" s="251" t="str">
        <f>IFERROR(__xludf.DUMMYFUNCTION("""COMPUTED_VALUE"""),"--")</f>
        <v>--</v>
      </c>
      <c r="AD272" s="251">
        <f>IFERROR(__xludf.DUMMYFUNCTION("""COMPUTED_VALUE"""),3.0)</f>
        <v>3</v>
      </c>
      <c r="AE272" s="251" t="str">
        <f>IFERROR(__xludf.DUMMYFUNCTION("""COMPUTED_VALUE"""),"Herbivore")</f>
        <v>Herbivore</v>
      </c>
    </row>
    <row r="273">
      <c r="A273" s="251" t="str">
        <f>IFERROR(__xludf.DUMMYFUNCTION("""COMPUTED_VALUE"""),"Hisuian Samurott")</f>
        <v>Hisuian Samurott</v>
      </c>
      <c r="B273" s="251" t="str">
        <f>IFERROR(__xludf.DUMMYFUNCTION("""COMPUTED_VALUE"""),"Water")</f>
        <v>Water</v>
      </c>
      <c r="C273" s="251" t="str">
        <f>IFERROR(__xludf.DUMMYFUNCTION("""COMPUTED_VALUE"""),"Dark")</f>
        <v>Dark</v>
      </c>
      <c r="D273" s="251">
        <f>IFERROR(__xludf.DUMMYFUNCTION("""COMPUTED_VALUE"""),10.0)</f>
        <v>10</v>
      </c>
      <c r="E273" s="251">
        <f>IFERROR(__xludf.DUMMYFUNCTION("""COMPUTED_VALUE"""),11.0)</f>
        <v>11</v>
      </c>
      <c r="F273" s="251">
        <f>IFERROR(__xludf.DUMMYFUNCTION("""COMPUTED_VALUE"""),8.0)</f>
        <v>8</v>
      </c>
      <c r="G273" s="251">
        <f>IFERROR(__xludf.DUMMYFUNCTION("""COMPUTED_VALUE"""),10.0)</f>
        <v>10</v>
      </c>
      <c r="H273" s="251">
        <f>IFERROR(__xludf.DUMMYFUNCTION("""COMPUTED_VALUE"""),7.0)</f>
        <v>7</v>
      </c>
      <c r="I273" s="251">
        <f>IFERROR(__xludf.DUMMYFUNCTION("""COMPUTED_VALUE"""),8.0)</f>
        <v>8</v>
      </c>
      <c r="J273" s="251">
        <f>IFERROR(__xludf.DUMMYFUNCTION("""COMPUTED_VALUE"""),7.0)</f>
        <v>7</v>
      </c>
      <c r="K273" s="251" t="str">
        <f>IFERROR(__xludf.DUMMYFUNCTION("""COMPUTED_VALUE"""),"Medium")</f>
        <v>Medium</v>
      </c>
      <c r="L273" s="251">
        <f>IFERROR(__xludf.DUMMYFUNCTION("""COMPUTED_VALUE"""),4.0)</f>
        <v>4</v>
      </c>
      <c r="M273" s="251" t="str">
        <f>IFERROR(__xludf.DUMMYFUNCTION("""COMPUTED_VALUE"""),"Ocean")</f>
        <v>Ocean</v>
      </c>
      <c r="N273" s="251" t="str">
        <f>IFERROR(__xludf.DUMMYFUNCTION("""COMPUTED_VALUE"""),"Swimmer")</f>
        <v>Swimmer</v>
      </c>
      <c r="O273" s="251" t="str">
        <f>IFERROR(__xludf.DUMMYFUNCTION("""COMPUTED_VALUE"""),"--")</f>
        <v>--</v>
      </c>
      <c r="P273" s="251" t="str">
        <f>IFERROR(__xludf.DUMMYFUNCTION("""COMPUTED_VALUE"""),"--")</f>
        <v>--</v>
      </c>
      <c r="Q273" s="251" t="str">
        <f>IFERROR(__xludf.DUMMYFUNCTION("""COMPUTED_VALUE"""),"--")</f>
        <v>--</v>
      </c>
      <c r="R273" s="251" t="str">
        <f>IFERROR(__xludf.DUMMYFUNCTION("""COMPUTED_VALUE"""),"Wielder (Martial, Melee)")</f>
        <v>Wielder (Martial, Melee)</v>
      </c>
      <c r="S273" s="251" t="str">
        <f>IFERROR(__xludf.DUMMYFUNCTION("""COMPUTED_VALUE"""),"--")</f>
        <v>--</v>
      </c>
      <c r="T273" s="251" t="str">
        <f>IFERROR(__xludf.DUMMYFUNCTION("""COMPUTED_VALUE"""),"--")</f>
        <v>--</v>
      </c>
      <c r="U273" s="251" t="str">
        <f>IFERROR(__xludf.DUMMYFUNCTION("""COMPUTED_VALUE"""),"--")</f>
        <v>--</v>
      </c>
      <c r="V273" s="251" t="str">
        <f>IFERROR(__xludf.DUMMYFUNCTION("""COMPUTED_VALUE"""),"--")</f>
        <v>--</v>
      </c>
      <c r="W273" s="251" t="str">
        <f>IFERROR(__xludf.DUMMYFUNCTION("""COMPUTED_VALUE"""),"--")</f>
        <v>--</v>
      </c>
      <c r="X273" s="251" t="str">
        <f>IFERROR(__xludf.DUMMYFUNCTION("""COMPUTED_VALUE"""),"--")</f>
        <v>--</v>
      </c>
      <c r="Y273" s="251" t="str">
        <f>IFERROR(__xludf.DUMMYFUNCTION("""COMPUTED_VALUE"""),"--")</f>
        <v>--</v>
      </c>
      <c r="Z273" s="251" t="str">
        <f>IFERROR(__xludf.DUMMYFUNCTION("""COMPUTED_VALUE"""),"--")</f>
        <v>--</v>
      </c>
      <c r="AA273" s="251" t="str">
        <f>IFERROR(__xludf.DUMMYFUNCTION("""COMPUTED_VALUE"""),"--")</f>
        <v>--</v>
      </c>
      <c r="AB273" s="251" t="str">
        <f>IFERROR(__xludf.DUMMYFUNCTION("""COMPUTED_VALUE"""),"--")</f>
        <v>--</v>
      </c>
      <c r="AC273" s="251" t="str">
        <f>IFERROR(__xludf.DUMMYFUNCTION("""COMPUTED_VALUE"""),"--")</f>
        <v>--</v>
      </c>
      <c r="AD273" s="251">
        <f>IFERROR(__xludf.DUMMYFUNCTION("""COMPUTED_VALUE"""),3.0)</f>
        <v>3</v>
      </c>
      <c r="AE273" s="251" t="str">
        <f>IFERROR(__xludf.DUMMYFUNCTION("""COMPUTED_VALUE"""),"Herbivore")</f>
        <v>Herbivore</v>
      </c>
    </row>
    <row r="274">
      <c r="A274" s="251" t="str">
        <f>IFERROR(__xludf.DUMMYFUNCTION("""COMPUTED_VALUE"""),"Froakie")</f>
        <v>Froakie</v>
      </c>
      <c r="B274" s="251" t="str">
        <f>IFERROR(__xludf.DUMMYFUNCTION("""COMPUTED_VALUE"""),"Water")</f>
        <v>Water</v>
      </c>
      <c r="C274" s="251" t="str">
        <f>IFERROR(__xludf.DUMMYFUNCTION("""COMPUTED_VALUE"""),"None")</f>
        <v>None</v>
      </c>
      <c r="D274" s="251">
        <f>IFERROR(__xludf.DUMMYFUNCTION("""COMPUTED_VALUE"""),4.0)</f>
        <v>4</v>
      </c>
      <c r="E274" s="251">
        <f>IFERROR(__xludf.DUMMYFUNCTION("""COMPUTED_VALUE"""),6.0)</f>
        <v>6</v>
      </c>
      <c r="F274" s="251">
        <f>IFERROR(__xludf.DUMMYFUNCTION("""COMPUTED_VALUE"""),4.0)</f>
        <v>4</v>
      </c>
      <c r="G274" s="251">
        <f>IFERROR(__xludf.DUMMYFUNCTION("""COMPUTED_VALUE"""),6.0)</f>
        <v>6</v>
      </c>
      <c r="H274" s="251">
        <f>IFERROR(__xludf.DUMMYFUNCTION("""COMPUTED_VALUE"""),4.0)</f>
        <v>4</v>
      </c>
      <c r="I274" s="251">
        <f>IFERROR(__xludf.DUMMYFUNCTION("""COMPUTED_VALUE"""),7.0)</f>
        <v>7</v>
      </c>
      <c r="J274" s="251">
        <f>IFERROR(__xludf.DUMMYFUNCTION("""COMPUTED_VALUE"""),2.0)</f>
        <v>2</v>
      </c>
      <c r="K274" s="251" t="str">
        <f>IFERROR(__xludf.DUMMYFUNCTION("""COMPUTED_VALUE"""),"Small")</f>
        <v>Small</v>
      </c>
      <c r="L274" s="251">
        <f>IFERROR(__xludf.DUMMYFUNCTION("""COMPUTED_VALUE"""),1.0)</f>
        <v>1</v>
      </c>
      <c r="M274" s="251" t="str">
        <f>IFERROR(__xludf.DUMMYFUNCTION("""COMPUTED_VALUE"""),"Wetlands")</f>
        <v>Wetlands</v>
      </c>
      <c r="N274" s="251" t="str">
        <f>IFERROR(__xludf.DUMMYFUNCTION("""COMPUTED_VALUE"""),"Climber")</f>
        <v>Climber</v>
      </c>
      <c r="O274" s="251" t="str">
        <f>IFERROR(__xludf.DUMMYFUNCTION("""COMPUTED_VALUE"""),"Jumper")</f>
        <v>Jumper</v>
      </c>
      <c r="P274" s="251" t="str">
        <f>IFERROR(__xludf.DUMMYFUNCTION("""COMPUTED_VALUE"""),"Swimmer")</f>
        <v>Swimmer</v>
      </c>
      <c r="Q274" s="251" t="str">
        <f>IFERROR(__xludf.DUMMYFUNCTION("""COMPUTED_VALUE"""),"--")</f>
        <v>--</v>
      </c>
      <c r="R274" s="251" t="str">
        <f>IFERROR(__xludf.DUMMYFUNCTION("""COMPUTED_VALUE"""),"Underdog")</f>
        <v>Underdog</v>
      </c>
      <c r="S274" s="251" t="str">
        <f>IFERROR(__xludf.DUMMYFUNCTION("""COMPUTED_VALUE"""),"--")</f>
        <v>--</v>
      </c>
      <c r="T274" s="251" t="str">
        <f>IFERROR(__xludf.DUMMYFUNCTION("""COMPUTED_VALUE"""),"--")</f>
        <v>--</v>
      </c>
      <c r="U274" s="251" t="str">
        <f>IFERROR(__xludf.DUMMYFUNCTION("""COMPUTED_VALUE"""),"--")</f>
        <v>--</v>
      </c>
      <c r="V274" s="251" t="str">
        <f>IFERROR(__xludf.DUMMYFUNCTION("""COMPUTED_VALUE"""),"Gilled")</f>
        <v>Gilled</v>
      </c>
      <c r="W274" s="251" t="str">
        <f>IFERROR(__xludf.DUMMYFUNCTION("""COMPUTED_VALUE"""),"--")</f>
        <v>--</v>
      </c>
      <c r="X274" s="251" t="str">
        <f>IFERROR(__xludf.DUMMYFUNCTION("""COMPUTED_VALUE"""),"--")</f>
        <v>--</v>
      </c>
      <c r="Y274" s="251" t="str">
        <f>IFERROR(__xludf.DUMMYFUNCTION("""COMPUTED_VALUE"""),"--")</f>
        <v>--</v>
      </c>
      <c r="Z274" s="251" t="str">
        <f>IFERROR(__xludf.DUMMYFUNCTION("""COMPUTED_VALUE"""),"--")</f>
        <v>--</v>
      </c>
      <c r="AA274" s="251" t="str">
        <f>IFERROR(__xludf.DUMMYFUNCTION("""COMPUTED_VALUE"""),"--")</f>
        <v>--</v>
      </c>
      <c r="AB274" s="251" t="str">
        <f>IFERROR(__xludf.DUMMYFUNCTION("""COMPUTED_VALUE"""),"--")</f>
        <v>--</v>
      </c>
      <c r="AC274" s="251" t="str">
        <f>IFERROR(__xludf.DUMMYFUNCTION("""COMPUTED_VALUE"""),"--")</f>
        <v>--</v>
      </c>
      <c r="AD274" s="251">
        <f>IFERROR(__xludf.DUMMYFUNCTION("""COMPUTED_VALUE"""),1.0)</f>
        <v>1</v>
      </c>
      <c r="AE274" s="251" t="str">
        <f>IFERROR(__xludf.DUMMYFUNCTION("""COMPUTED_VALUE"""),"Herbivore")</f>
        <v>Herbivore</v>
      </c>
    </row>
    <row r="275">
      <c r="A275" s="251" t="str">
        <f>IFERROR(__xludf.DUMMYFUNCTION("""COMPUTED_VALUE"""),"Frogadier")</f>
        <v>Frogadier</v>
      </c>
      <c r="B275" s="251" t="str">
        <f>IFERROR(__xludf.DUMMYFUNCTION("""COMPUTED_VALUE"""),"Water")</f>
        <v>Water</v>
      </c>
      <c r="C275" s="251" t="str">
        <f>IFERROR(__xludf.DUMMYFUNCTION("""COMPUTED_VALUE"""),"None")</f>
        <v>None</v>
      </c>
      <c r="D275" s="251">
        <f>IFERROR(__xludf.DUMMYFUNCTION("""COMPUTED_VALUE"""),5.0)</f>
        <v>5</v>
      </c>
      <c r="E275" s="251">
        <f>IFERROR(__xludf.DUMMYFUNCTION("""COMPUTED_VALUE"""),6.0)</f>
        <v>6</v>
      </c>
      <c r="F275" s="251">
        <f>IFERROR(__xludf.DUMMYFUNCTION("""COMPUTED_VALUE"""),5.0)</f>
        <v>5</v>
      </c>
      <c r="G275" s="251">
        <f>IFERROR(__xludf.DUMMYFUNCTION("""COMPUTED_VALUE"""),8.0)</f>
        <v>8</v>
      </c>
      <c r="H275" s="251">
        <f>IFERROR(__xludf.DUMMYFUNCTION("""COMPUTED_VALUE"""),6.0)</f>
        <v>6</v>
      </c>
      <c r="I275" s="251">
        <f>IFERROR(__xludf.DUMMYFUNCTION("""COMPUTED_VALUE"""),10.0)</f>
        <v>10</v>
      </c>
      <c r="J275" s="251">
        <f>IFERROR(__xludf.DUMMYFUNCTION("""COMPUTED_VALUE"""),2.0)</f>
        <v>2</v>
      </c>
      <c r="K275" s="251" t="str">
        <f>IFERROR(__xludf.DUMMYFUNCTION("""COMPUTED_VALUE"""),"Small")</f>
        <v>Small</v>
      </c>
      <c r="L275" s="251">
        <f>IFERROR(__xludf.DUMMYFUNCTION("""COMPUTED_VALUE"""),1.0)</f>
        <v>1</v>
      </c>
      <c r="M275" s="251" t="str">
        <f>IFERROR(__xludf.DUMMYFUNCTION("""COMPUTED_VALUE"""),"Wetlands")</f>
        <v>Wetlands</v>
      </c>
      <c r="N275" s="251" t="str">
        <f>IFERROR(__xludf.DUMMYFUNCTION("""COMPUTED_VALUE"""),"Climber")</f>
        <v>Climber</v>
      </c>
      <c r="O275" s="251" t="str">
        <f>IFERROR(__xludf.DUMMYFUNCTION("""COMPUTED_VALUE"""),"Jumper")</f>
        <v>Jumper</v>
      </c>
      <c r="P275" s="251" t="str">
        <f>IFERROR(__xludf.DUMMYFUNCTION("""COMPUTED_VALUE"""),"Swimmer")</f>
        <v>Swimmer</v>
      </c>
      <c r="Q275" s="251" t="str">
        <f>IFERROR(__xludf.DUMMYFUNCTION("""COMPUTED_VALUE"""),"--")</f>
        <v>--</v>
      </c>
      <c r="R275" s="251" t="str">
        <f>IFERROR(__xludf.DUMMYFUNCTION("""COMPUTED_VALUE"""),"Underdog")</f>
        <v>Underdog</v>
      </c>
      <c r="S275" s="251" t="str">
        <f>IFERROR(__xludf.DUMMYFUNCTION("""COMPUTED_VALUE"""),"--")</f>
        <v>--</v>
      </c>
      <c r="T275" s="251" t="str">
        <f>IFERROR(__xludf.DUMMYFUNCTION("""COMPUTED_VALUE"""),"--")</f>
        <v>--</v>
      </c>
      <c r="U275" s="251" t="str">
        <f>IFERROR(__xludf.DUMMYFUNCTION("""COMPUTED_VALUE"""),"--")</f>
        <v>--</v>
      </c>
      <c r="V275" s="251" t="str">
        <f>IFERROR(__xludf.DUMMYFUNCTION("""COMPUTED_VALUE"""),"Gilled")</f>
        <v>Gilled</v>
      </c>
      <c r="W275" s="251" t="str">
        <f>IFERROR(__xludf.DUMMYFUNCTION("""COMPUTED_VALUE"""),"--")</f>
        <v>--</v>
      </c>
      <c r="X275" s="251" t="str">
        <f>IFERROR(__xludf.DUMMYFUNCTION("""COMPUTED_VALUE"""),"--")</f>
        <v>--</v>
      </c>
      <c r="Y275" s="251" t="str">
        <f>IFERROR(__xludf.DUMMYFUNCTION("""COMPUTED_VALUE"""),"--")</f>
        <v>--</v>
      </c>
      <c r="Z275" s="251" t="str">
        <f>IFERROR(__xludf.DUMMYFUNCTION("""COMPUTED_VALUE"""),"--")</f>
        <v>--</v>
      </c>
      <c r="AA275" s="251" t="str">
        <f>IFERROR(__xludf.DUMMYFUNCTION("""COMPUTED_VALUE"""),"--")</f>
        <v>--</v>
      </c>
      <c r="AB275" s="251" t="str">
        <f>IFERROR(__xludf.DUMMYFUNCTION("""COMPUTED_VALUE"""),"--")</f>
        <v>--</v>
      </c>
      <c r="AC275" s="251" t="str">
        <f>IFERROR(__xludf.DUMMYFUNCTION("""COMPUTED_VALUE"""),"--")</f>
        <v>--</v>
      </c>
      <c r="AD275" s="251">
        <f>IFERROR(__xludf.DUMMYFUNCTION("""COMPUTED_VALUE"""),2.0)</f>
        <v>2</v>
      </c>
      <c r="AE275" s="251" t="str">
        <f>IFERROR(__xludf.DUMMYFUNCTION("""COMPUTED_VALUE"""),"Herbivore")</f>
        <v>Herbivore</v>
      </c>
    </row>
    <row r="276">
      <c r="A276" s="251" t="str">
        <f>IFERROR(__xludf.DUMMYFUNCTION("""COMPUTED_VALUE"""),"Greninja")</f>
        <v>Greninja</v>
      </c>
      <c r="B276" s="251" t="str">
        <f>IFERROR(__xludf.DUMMYFUNCTION("""COMPUTED_VALUE"""),"Water")</f>
        <v>Water</v>
      </c>
      <c r="C276" s="251" t="str">
        <f>IFERROR(__xludf.DUMMYFUNCTION("""COMPUTED_VALUE"""),"Dark")</f>
        <v>Dark</v>
      </c>
      <c r="D276" s="251">
        <f>IFERROR(__xludf.DUMMYFUNCTION("""COMPUTED_VALUE"""),7.0)</f>
        <v>7</v>
      </c>
      <c r="E276" s="251">
        <f>IFERROR(__xludf.DUMMYFUNCTION("""COMPUTED_VALUE"""),10.0)</f>
        <v>10</v>
      </c>
      <c r="F276" s="251">
        <f>IFERROR(__xludf.DUMMYFUNCTION("""COMPUTED_VALUE"""),7.0)</f>
        <v>7</v>
      </c>
      <c r="G276" s="251">
        <f>IFERROR(__xludf.DUMMYFUNCTION("""COMPUTED_VALUE"""),10.0)</f>
        <v>10</v>
      </c>
      <c r="H276" s="251">
        <f>IFERROR(__xludf.DUMMYFUNCTION("""COMPUTED_VALUE"""),7.0)</f>
        <v>7</v>
      </c>
      <c r="I276" s="251">
        <f>IFERROR(__xludf.DUMMYFUNCTION("""COMPUTED_VALUE"""),12.0)</f>
        <v>12</v>
      </c>
      <c r="J276" s="251">
        <f>IFERROR(__xludf.DUMMYFUNCTION("""COMPUTED_VALUE"""),3.0)</f>
        <v>3</v>
      </c>
      <c r="K276" s="251" t="str">
        <f>IFERROR(__xludf.DUMMYFUNCTION("""COMPUTED_VALUE"""),"Medium")</f>
        <v>Medium</v>
      </c>
      <c r="L276" s="251">
        <f>IFERROR(__xludf.DUMMYFUNCTION("""COMPUTED_VALUE"""),3.0)</f>
        <v>3</v>
      </c>
      <c r="M276" s="251" t="str">
        <f>IFERROR(__xludf.DUMMYFUNCTION("""COMPUTED_VALUE"""),"Wetlands")</f>
        <v>Wetlands</v>
      </c>
      <c r="N276" s="251" t="str">
        <f>IFERROR(__xludf.DUMMYFUNCTION("""COMPUTED_VALUE"""),"Climber")</f>
        <v>Climber</v>
      </c>
      <c r="O276" s="251" t="str">
        <f>IFERROR(__xludf.DUMMYFUNCTION("""COMPUTED_VALUE"""),"Jumper")</f>
        <v>Jumper</v>
      </c>
      <c r="P276" s="251" t="str">
        <f>IFERROR(__xludf.DUMMYFUNCTION("""COMPUTED_VALUE"""),"Swimmer")</f>
        <v>Swimmer</v>
      </c>
      <c r="Q276" s="251" t="str">
        <f>IFERROR(__xludf.DUMMYFUNCTION("""COMPUTED_VALUE"""),"--")</f>
        <v>--</v>
      </c>
      <c r="R276" s="251" t="str">
        <f>IFERROR(__xludf.DUMMYFUNCTION("""COMPUTED_VALUE"""),"Wielder (Martial)")</f>
        <v>Wielder (Martial)</v>
      </c>
      <c r="S276" s="251" t="str">
        <f>IFERROR(__xludf.DUMMYFUNCTION("""COMPUTED_VALUE"""),"--")</f>
        <v>--</v>
      </c>
      <c r="T276" s="251" t="str">
        <f>IFERROR(__xludf.DUMMYFUNCTION("""COMPUTED_VALUE"""),"--")</f>
        <v>--</v>
      </c>
      <c r="U276" s="251" t="str">
        <f>IFERROR(__xludf.DUMMYFUNCTION("""COMPUTED_VALUE"""),"--")</f>
        <v>--</v>
      </c>
      <c r="V276" s="251" t="str">
        <f>IFERROR(__xludf.DUMMYFUNCTION("""COMPUTED_VALUE"""),"Dead Silent")</f>
        <v>Dead Silent</v>
      </c>
      <c r="W276" s="251" t="str">
        <f>IFERROR(__xludf.DUMMYFUNCTION("""COMPUTED_VALUE"""),"Gilled")</f>
        <v>Gilled</v>
      </c>
      <c r="X276" s="251" t="str">
        <f>IFERROR(__xludf.DUMMYFUNCTION("""COMPUTED_VALUE"""),"--")</f>
        <v>--</v>
      </c>
      <c r="Y276" s="251" t="str">
        <f>IFERROR(__xludf.DUMMYFUNCTION("""COMPUTED_VALUE"""),"--")</f>
        <v>--</v>
      </c>
      <c r="Z276" s="251" t="str">
        <f>IFERROR(__xludf.DUMMYFUNCTION("""COMPUTED_VALUE"""),"--")</f>
        <v>--</v>
      </c>
      <c r="AA276" s="251" t="str">
        <f>IFERROR(__xludf.DUMMYFUNCTION("""COMPUTED_VALUE"""),"--")</f>
        <v>--</v>
      </c>
      <c r="AB276" s="251" t="str">
        <f>IFERROR(__xludf.DUMMYFUNCTION("""COMPUTED_VALUE"""),"--")</f>
        <v>--</v>
      </c>
      <c r="AC276" s="251" t="str">
        <f>IFERROR(__xludf.DUMMYFUNCTION("""COMPUTED_VALUE"""),"--")</f>
        <v>--</v>
      </c>
      <c r="AD276" s="251">
        <f>IFERROR(__xludf.DUMMYFUNCTION("""COMPUTED_VALUE"""),3.0)</f>
        <v>3</v>
      </c>
      <c r="AE276" s="251" t="str">
        <f>IFERROR(__xludf.DUMMYFUNCTION("""COMPUTED_VALUE"""),"Herbivore")</f>
        <v>Herbivore</v>
      </c>
    </row>
    <row r="277">
      <c r="A277" s="251" t="str">
        <f>IFERROR(__xludf.DUMMYFUNCTION("""COMPUTED_VALUE"""),"Popplio")</f>
        <v>Popplio</v>
      </c>
      <c r="B277" s="251" t="str">
        <f>IFERROR(__xludf.DUMMYFUNCTION("""COMPUTED_VALUE"""),"Water")</f>
        <v>Water</v>
      </c>
      <c r="C277" s="251" t="str">
        <f>IFERROR(__xludf.DUMMYFUNCTION("""COMPUTED_VALUE"""),"None")</f>
        <v>None</v>
      </c>
      <c r="D277" s="251">
        <f>IFERROR(__xludf.DUMMYFUNCTION("""COMPUTED_VALUE"""),5.0)</f>
        <v>5</v>
      </c>
      <c r="E277" s="251">
        <f>IFERROR(__xludf.DUMMYFUNCTION("""COMPUTED_VALUE"""),5.0)</f>
        <v>5</v>
      </c>
      <c r="F277" s="251">
        <f>IFERROR(__xludf.DUMMYFUNCTION("""COMPUTED_VALUE"""),5.0)</f>
        <v>5</v>
      </c>
      <c r="G277" s="251">
        <f>IFERROR(__xludf.DUMMYFUNCTION("""COMPUTED_VALUE"""),7.0)</f>
        <v>7</v>
      </c>
      <c r="H277" s="251">
        <f>IFERROR(__xludf.DUMMYFUNCTION("""COMPUTED_VALUE"""),6.0)</f>
        <v>6</v>
      </c>
      <c r="I277" s="251">
        <f>IFERROR(__xludf.DUMMYFUNCTION("""COMPUTED_VALUE"""),4.0)</f>
        <v>4</v>
      </c>
      <c r="J277" s="251">
        <f>IFERROR(__xludf.DUMMYFUNCTION("""COMPUTED_VALUE"""),1.0)</f>
        <v>1</v>
      </c>
      <c r="K277" s="251" t="str">
        <f>IFERROR(__xludf.DUMMYFUNCTION("""COMPUTED_VALUE"""),"Small")</f>
        <v>Small</v>
      </c>
      <c r="L277" s="251">
        <f>IFERROR(__xludf.DUMMYFUNCTION("""COMPUTED_VALUE"""),1.0)</f>
        <v>1</v>
      </c>
      <c r="M277" s="251" t="str">
        <f>IFERROR(__xludf.DUMMYFUNCTION("""COMPUTED_VALUE"""),"Ocean")</f>
        <v>Ocean</v>
      </c>
      <c r="N277" s="251" t="str">
        <f>IFERROR(__xludf.DUMMYFUNCTION("""COMPUTED_VALUE"""),"Swimmer")</f>
        <v>Swimmer</v>
      </c>
      <c r="O277" s="251" t="str">
        <f>IFERROR(__xludf.DUMMYFUNCTION("""COMPUTED_VALUE"""),"--")</f>
        <v>--</v>
      </c>
      <c r="P277" s="251" t="str">
        <f>IFERROR(__xludf.DUMMYFUNCTION("""COMPUTED_VALUE"""),"--")</f>
        <v>--</v>
      </c>
      <c r="Q277" s="251" t="str">
        <f>IFERROR(__xludf.DUMMYFUNCTION("""COMPUTED_VALUE"""),"--")</f>
        <v>--</v>
      </c>
      <c r="R277" s="251" t="str">
        <f>IFERROR(__xludf.DUMMYFUNCTION("""COMPUTED_VALUE"""),"Underdog")</f>
        <v>Underdog</v>
      </c>
      <c r="S277" s="251" t="str">
        <f>IFERROR(__xludf.DUMMYFUNCTION("""COMPUTED_VALUE"""),"--")</f>
        <v>--</v>
      </c>
      <c r="T277" s="251" t="str">
        <f>IFERROR(__xludf.DUMMYFUNCTION("""COMPUTED_VALUE"""),"--")</f>
        <v>--</v>
      </c>
      <c r="U277" s="251" t="str">
        <f>IFERROR(__xludf.DUMMYFUNCTION("""COMPUTED_VALUE"""),"--")</f>
        <v>--</v>
      </c>
      <c r="V277" s="251" t="str">
        <f>IFERROR(__xludf.DUMMYFUNCTION("""COMPUTED_VALUE"""),"--")</f>
        <v>--</v>
      </c>
      <c r="W277" s="251" t="str">
        <f>IFERROR(__xludf.DUMMYFUNCTION("""COMPUTED_VALUE"""),"--")</f>
        <v>--</v>
      </c>
      <c r="X277" s="251" t="str">
        <f>IFERROR(__xludf.DUMMYFUNCTION("""COMPUTED_VALUE"""),"--")</f>
        <v>--</v>
      </c>
      <c r="Y277" s="251" t="str">
        <f>IFERROR(__xludf.DUMMYFUNCTION("""COMPUTED_VALUE"""),"--")</f>
        <v>--</v>
      </c>
      <c r="Z277" s="251" t="str">
        <f>IFERROR(__xludf.DUMMYFUNCTION("""COMPUTED_VALUE"""),"--")</f>
        <v>--</v>
      </c>
      <c r="AA277" s="251" t="str">
        <f>IFERROR(__xludf.DUMMYFUNCTION("""COMPUTED_VALUE"""),"--")</f>
        <v>--</v>
      </c>
      <c r="AB277" s="251" t="str">
        <f>IFERROR(__xludf.DUMMYFUNCTION("""COMPUTED_VALUE"""),"--")</f>
        <v>--</v>
      </c>
      <c r="AC277" s="251" t="str">
        <f>IFERROR(__xludf.DUMMYFUNCTION("""COMPUTED_VALUE"""),"--")</f>
        <v>--</v>
      </c>
      <c r="AD277" s="251">
        <f>IFERROR(__xludf.DUMMYFUNCTION("""COMPUTED_VALUE"""),1.0)</f>
        <v>1</v>
      </c>
      <c r="AE277" s="251" t="str">
        <f>IFERROR(__xludf.DUMMYFUNCTION("""COMPUTED_VALUE"""),"Herbivore")</f>
        <v>Herbivore</v>
      </c>
    </row>
    <row r="278">
      <c r="A278" s="251" t="str">
        <f>IFERROR(__xludf.DUMMYFUNCTION("""COMPUTED_VALUE"""),"Brionne")</f>
        <v>Brionne</v>
      </c>
      <c r="B278" s="251" t="str">
        <f>IFERROR(__xludf.DUMMYFUNCTION("""COMPUTED_VALUE"""),"Water")</f>
        <v>Water</v>
      </c>
      <c r="C278" s="251" t="str">
        <f>IFERROR(__xludf.DUMMYFUNCTION("""COMPUTED_VALUE"""),"None")</f>
        <v>None</v>
      </c>
      <c r="D278" s="251">
        <f>IFERROR(__xludf.DUMMYFUNCTION("""COMPUTED_VALUE"""),6.0)</f>
        <v>6</v>
      </c>
      <c r="E278" s="251">
        <f>IFERROR(__xludf.DUMMYFUNCTION("""COMPUTED_VALUE"""),7.0)</f>
        <v>7</v>
      </c>
      <c r="F278" s="251">
        <f>IFERROR(__xludf.DUMMYFUNCTION("""COMPUTED_VALUE"""),7.0)</f>
        <v>7</v>
      </c>
      <c r="G278" s="251">
        <f>IFERROR(__xludf.DUMMYFUNCTION("""COMPUTED_VALUE"""),9.0)</f>
        <v>9</v>
      </c>
      <c r="H278" s="251">
        <f>IFERROR(__xludf.DUMMYFUNCTION("""COMPUTED_VALUE"""),8.0)</f>
        <v>8</v>
      </c>
      <c r="I278" s="251">
        <f>IFERROR(__xludf.DUMMYFUNCTION("""COMPUTED_VALUE"""),5.0)</f>
        <v>5</v>
      </c>
      <c r="J278" s="251">
        <f>IFERROR(__xludf.DUMMYFUNCTION("""COMPUTED_VALUE"""),3.0)</f>
        <v>3</v>
      </c>
      <c r="K278" s="251" t="str">
        <f>IFERROR(__xludf.DUMMYFUNCTION("""COMPUTED_VALUE"""),"Small")</f>
        <v>Small</v>
      </c>
      <c r="L278" s="251">
        <f>IFERROR(__xludf.DUMMYFUNCTION("""COMPUTED_VALUE"""),2.0)</f>
        <v>2</v>
      </c>
      <c r="M278" s="251" t="str">
        <f>IFERROR(__xludf.DUMMYFUNCTION("""COMPUTED_VALUE"""),"Ocean")</f>
        <v>Ocean</v>
      </c>
      <c r="N278" s="251" t="str">
        <f>IFERROR(__xludf.DUMMYFUNCTION("""COMPUTED_VALUE"""),"Swimmer")</f>
        <v>Swimmer</v>
      </c>
      <c r="O278" s="251" t="str">
        <f>IFERROR(__xludf.DUMMYFUNCTION("""COMPUTED_VALUE"""),"--")</f>
        <v>--</v>
      </c>
      <c r="P278" s="251" t="str">
        <f>IFERROR(__xludf.DUMMYFUNCTION("""COMPUTED_VALUE"""),"--")</f>
        <v>--</v>
      </c>
      <c r="Q278" s="251" t="str">
        <f>IFERROR(__xludf.DUMMYFUNCTION("""COMPUTED_VALUE"""),"--")</f>
        <v>--</v>
      </c>
      <c r="R278" s="251" t="str">
        <f>IFERROR(__xludf.DUMMYFUNCTION("""COMPUTED_VALUE"""),"Underdog")</f>
        <v>Underdog</v>
      </c>
      <c r="S278" s="251" t="str">
        <f>IFERROR(__xludf.DUMMYFUNCTION("""COMPUTED_VALUE"""),"--")</f>
        <v>--</v>
      </c>
      <c r="T278" s="251" t="str">
        <f>IFERROR(__xludf.DUMMYFUNCTION("""COMPUTED_VALUE"""),"--")</f>
        <v>--</v>
      </c>
      <c r="U278" s="251" t="str">
        <f>IFERROR(__xludf.DUMMYFUNCTION("""COMPUTED_VALUE"""),"--")</f>
        <v>--</v>
      </c>
      <c r="V278" s="251" t="str">
        <f>IFERROR(__xludf.DUMMYFUNCTION("""COMPUTED_VALUE"""),"--")</f>
        <v>--</v>
      </c>
      <c r="W278" s="251" t="str">
        <f>IFERROR(__xludf.DUMMYFUNCTION("""COMPUTED_VALUE"""),"--")</f>
        <v>--</v>
      </c>
      <c r="X278" s="251" t="str">
        <f>IFERROR(__xludf.DUMMYFUNCTION("""COMPUTED_VALUE"""),"--")</f>
        <v>--</v>
      </c>
      <c r="Y278" s="251" t="str">
        <f>IFERROR(__xludf.DUMMYFUNCTION("""COMPUTED_VALUE"""),"--")</f>
        <v>--</v>
      </c>
      <c r="Z278" s="251" t="str">
        <f>IFERROR(__xludf.DUMMYFUNCTION("""COMPUTED_VALUE"""),"--")</f>
        <v>--</v>
      </c>
      <c r="AA278" s="251" t="str">
        <f>IFERROR(__xludf.DUMMYFUNCTION("""COMPUTED_VALUE"""),"--")</f>
        <v>--</v>
      </c>
      <c r="AB278" s="251" t="str">
        <f>IFERROR(__xludf.DUMMYFUNCTION("""COMPUTED_VALUE"""),"--")</f>
        <v>--</v>
      </c>
      <c r="AC278" s="251" t="str">
        <f>IFERROR(__xludf.DUMMYFUNCTION("""COMPUTED_VALUE"""),"--")</f>
        <v>--</v>
      </c>
      <c r="AD278" s="251">
        <f>IFERROR(__xludf.DUMMYFUNCTION("""COMPUTED_VALUE"""),2.0)</f>
        <v>2</v>
      </c>
      <c r="AE278" s="251" t="str">
        <f>IFERROR(__xludf.DUMMYFUNCTION("""COMPUTED_VALUE"""),"Herbivore")</f>
        <v>Herbivore</v>
      </c>
    </row>
    <row r="279">
      <c r="A279" s="251" t="str">
        <f>IFERROR(__xludf.DUMMYFUNCTION("""COMPUTED_VALUE"""),"Primarina")</f>
        <v>Primarina</v>
      </c>
      <c r="B279" s="251" t="str">
        <f>IFERROR(__xludf.DUMMYFUNCTION("""COMPUTED_VALUE"""),"Water")</f>
        <v>Water</v>
      </c>
      <c r="C279" s="251" t="str">
        <f>IFERROR(__xludf.DUMMYFUNCTION("""COMPUTED_VALUE"""),"Fairy")</f>
        <v>Fairy</v>
      </c>
      <c r="D279" s="251">
        <f>IFERROR(__xludf.DUMMYFUNCTION("""COMPUTED_VALUE"""),8.0)</f>
        <v>8</v>
      </c>
      <c r="E279" s="251">
        <f>IFERROR(__xludf.DUMMYFUNCTION("""COMPUTED_VALUE"""),7.0)</f>
        <v>7</v>
      </c>
      <c r="F279" s="251">
        <f>IFERROR(__xludf.DUMMYFUNCTION("""COMPUTED_VALUE"""),7.0)</f>
        <v>7</v>
      </c>
      <c r="G279" s="251">
        <f>IFERROR(__xludf.DUMMYFUNCTION("""COMPUTED_VALUE"""),13.0)</f>
        <v>13</v>
      </c>
      <c r="H279" s="251">
        <f>IFERROR(__xludf.DUMMYFUNCTION("""COMPUTED_VALUE"""),12.0)</f>
        <v>12</v>
      </c>
      <c r="I279" s="251">
        <f>IFERROR(__xludf.DUMMYFUNCTION("""COMPUTED_VALUE"""),6.0)</f>
        <v>6</v>
      </c>
      <c r="J279" s="251">
        <f>IFERROR(__xludf.DUMMYFUNCTION("""COMPUTED_VALUE"""),5.0)</f>
        <v>5</v>
      </c>
      <c r="K279" s="251" t="str">
        <f>IFERROR(__xludf.DUMMYFUNCTION("""COMPUTED_VALUE"""),"Medium")</f>
        <v>Medium</v>
      </c>
      <c r="L279" s="251">
        <f>IFERROR(__xludf.DUMMYFUNCTION("""COMPUTED_VALUE"""),3.0)</f>
        <v>3</v>
      </c>
      <c r="M279" s="251" t="str">
        <f>IFERROR(__xludf.DUMMYFUNCTION("""COMPUTED_VALUE"""),"Ocean")</f>
        <v>Ocean</v>
      </c>
      <c r="N279" s="251" t="str">
        <f>IFERROR(__xludf.DUMMYFUNCTION("""COMPUTED_VALUE"""),"Swimmer")</f>
        <v>Swimmer</v>
      </c>
      <c r="O279" s="251" t="str">
        <f>IFERROR(__xludf.DUMMYFUNCTION("""COMPUTED_VALUE"""),"--")</f>
        <v>--</v>
      </c>
      <c r="P279" s="251" t="str">
        <f>IFERROR(__xludf.DUMMYFUNCTION("""COMPUTED_VALUE"""),"--")</f>
        <v>--</v>
      </c>
      <c r="Q279" s="251" t="str">
        <f>IFERROR(__xludf.DUMMYFUNCTION("""COMPUTED_VALUE"""),"--")</f>
        <v>--</v>
      </c>
      <c r="R279" s="251" t="str">
        <f>IFERROR(__xludf.DUMMYFUNCTION("""COMPUTED_VALUE"""),"--")</f>
        <v>--</v>
      </c>
      <c r="S279" s="251" t="str">
        <f>IFERROR(__xludf.DUMMYFUNCTION("""COMPUTED_VALUE"""),"--")</f>
        <v>--</v>
      </c>
      <c r="T279" s="251" t="str">
        <f>IFERROR(__xludf.DUMMYFUNCTION("""COMPUTED_VALUE"""),"--")</f>
        <v>--</v>
      </c>
      <c r="U279" s="251" t="str">
        <f>IFERROR(__xludf.DUMMYFUNCTION("""COMPUTED_VALUE"""),"--")</f>
        <v>--</v>
      </c>
      <c r="V279" s="251" t="str">
        <f>IFERROR(__xludf.DUMMYFUNCTION("""COMPUTED_VALUE"""),"Alluring")</f>
        <v>Alluring</v>
      </c>
      <c r="W279" s="251" t="str">
        <f>IFERROR(__xludf.DUMMYFUNCTION("""COMPUTED_VALUE"""),"--")</f>
        <v>--</v>
      </c>
      <c r="X279" s="251" t="str">
        <f>IFERROR(__xludf.DUMMYFUNCTION("""COMPUTED_VALUE"""),"--")</f>
        <v>--</v>
      </c>
      <c r="Y279" s="251" t="str">
        <f>IFERROR(__xludf.DUMMYFUNCTION("""COMPUTED_VALUE"""),"--")</f>
        <v>--</v>
      </c>
      <c r="Z279" s="251" t="str">
        <f>IFERROR(__xludf.DUMMYFUNCTION("""COMPUTED_VALUE"""),"--")</f>
        <v>--</v>
      </c>
      <c r="AA279" s="251" t="str">
        <f>IFERROR(__xludf.DUMMYFUNCTION("""COMPUTED_VALUE"""),"--")</f>
        <v>--</v>
      </c>
      <c r="AB279" s="251" t="str">
        <f>IFERROR(__xludf.DUMMYFUNCTION("""COMPUTED_VALUE"""),"--")</f>
        <v>--</v>
      </c>
      <c r="AC279" s="251" t="str">
        <f>IFERROR(__xludf.DUMMYFUNCTION("""COMPUTED_VALUE"""),"--")</f>
        <v>--</v>
      </c>
      <c r="AD279" s="251">
        <f>IFERROR(__xludf.DUMMYFUNCTION("""COMPUTED_VALUE"""),3.0)</f>
        <v>3</v>
      </c>
      <c r="AE279" s="251" t="str">
        <f>IFERROR(__xludf.DUMMYFUNCTION("""COMPUTED_VALUE"""),"Herbivore")</f>
        <v>Herbivore</v>
      </c>
    </row>
    <row r="280">
      <c r="A280" s="251" t="str">
        <f>IFERROR(__xludf.DUMMYFUNCTION("""COMPUTED_VALUE"""),"Sobble")</f>
        <v>Sobble</v>
      </c>
      <c r="B280" s="251" t="str">
        <f>IFERROR(__xludf.DUMMYFUNCTION("""COMPUTED_VALUE"""),"Water")</f>
        <v>Water</v>
      </c>
      <c r="C280" s="251" t="str">
        <f>IFERROR(__xludf.DUMMYFUNCTION("""COMPUTED_VALUE"""),"None")</f>
        <v>None</v>
      </c>
      <c r="D280" s="251">
        <f>IFERROR(__xludf.DUMMYFUNCTION("""COMPUTED_VALUE"""),5.0)</f>
        <v>5</v>
      </c>
      <c r="E280" s="251">
        <f>IFERROR(__xludf.DUMMYFUNCTION("""COMPUTED_VALUE"""),4.0)</f>
        <v>4</v>
      </c>
      <c r="F280" s="251">
        <f>IFERROR(__xludf.DUMMYFUNCTION("""COMPUTED_VALUE"""),4.0)</f>
        <v>4</v>
      </c>
      <c r="G280" s="251">
        <f>IFERROR(__xludf.DUMMYFUNCTION("""COMPUTED_VALUE"""),7.0)</f>
        <v>7</v>
      </c>
      <c r="H280" s="251">
        <f>IFERROR(__xludf.DUMMYFUNCTION("""COMPUTED_VALUE"""),4.0)</f>
        <v>4</v>
      </c>
      <c r="I280" s="251">
        <f>IFERROR(__xludf.DUMMYFUNCTION("""COMPUTED_VALUE"""),7.0)</f>
        <v>7</v>
      </c>
      <c r="J280" s="251">
        <f>IFERROR(__xludf.DUMMYFUNCTION("""COMPUTED_VALUE"""),2.0)</f>
        <v>2</v>
      </c>
      <c r="K280" s="251" t="str">
        <f>IFERROR(__xludf.DUMMYFUNCTION("""COMPUTED_VALUE"""),"Small")</f>
        <v>Small</v>
      </c>
      <c r="L280" s="251">
        <f>IFERROR(__xludf.DUMMYFUNCTION("""COMPUTED_VALUE"""),1.0)</f>
        <v>1</v>
      </c>
      <c r="M280" s="251" t="str">
        <f>IFERROR(__xludf.DUMMYFUNCTION("""COMPUTED_VALUE"""),"Wetlands")</f>
        <v>Wetlands</v>
      </c>
      <c r="N280" s="251" t="str">
        <f>IFERROR(__xludf.DUMMYFUNCTION("""COMPUTED_VALUE"""),"Climber")</f>
        <v>Climber</v>
      </c>
      <c r="O280" s="251" t="str">
        <f>IFERROR(__xludf.DUMMYFUNCTION("""COMPUTED_VALUE"""),"Jumper")</f>
        <v>Jumper</v>
      </c>
      <c r="P280" s="251" t="str">
        <f>IFERROR(__xludf.DUMMYFUNCTION("""COMPUTED_VALUE"""),"Swimmer")</f>
        <v>Swimmer</v>
      </c>
      <c r="Q280" s="251" t="str">
        <f>IFERROR(__xludf.DUMMYFUNCTION("""COMPUTED_VALUE"""),"--")</f>
        <v>--</v>
      </c>
      <c r="R280" s="251" t="str">
        <f>IFERROR(__xludf.DUMMYFUNCTION("""COMPUTED_VALUE"""),"Blender")</f>
        <v>Blender</v>
      </c>
      <c r="S280" s="251" t="str">
        <f>IFERROR(__xludf.DUMMYFUNCTION("""COMPUTED_VALUE"""),"Underdog")</f>
        <v>Underdog</v>
      </c>
      <c r="T280" s="251" t="str">
        <f>IFERROR(__xludf.DUMMYFUNCTION("""COMPUTED_VALUE"""),"--")</f>
        <v>--</v>
      </c>
      <c r="U280" s="251" t="str">
        <f>IFERROR(__xludf.DUMMYFUNCTION("""COMPUTED_VALUE"""),"--")</f>
        <v>--</v>
      </c>
      <c r="V280" s="251" t="str">
        <f>IFERROR(__xludf.DUMMYFUNCTION("""COMPUTED_VALUE"""),"Gilled")</f>
        <v>Gilled</v>
      </c>
      <c r="W280" s="251" t="str">
        <f>IFERROR(__xludf.DUMMYFUNCTION("""COMPUTED_VALUE"""),"--")</f>
        <v>--</v>
      </c>
      <c r="X280" s="251" t="str">
        <f>IFERROR(__xludf.DUMMYFUNCTION("""COMPUTED_VALUE"""),"--")</f>
        <v>--</v>
      </c>
      <c r="Y280" s="251" t="str">
        <f>IFERROR(__xludf.DUMMYFUNCTION("""COMPUTED_VALUE"""),"--")</f>
        <v>--</v>
      </c>
      <c r="Z280" s="251" t="str">
        <f>IFERROR(__xludf.DUMMYFUNCTION("""COMPUTED_VALUE"""),"--")</f>
        <v>--</v>
      </c>
      <c r="AA280" s="251" t="str">
        <f>IFERROR(__xludf.DUMMYFUNCTION("""COMPUTED_VALUE"""),"--")</f>
        <v>--</v>
      </c>
      <c r="AB280" s="251" t="str">
        <f>IFERROR(__xludf.DUMMYFUNCTION("""COMPUTED_VALUE"""),"--")</f>
        <v>--</v>
      </c>
      <c r="AC280" s="251" t="str">
        <f>IFERROR(__xludf.DUMMYFUNCTION("""COMPUTED_VALUE"""),"--")</f>
        <v>--</v>
      </c>
      <c r="AD280" s="251">
        <f>IFERROR(__xludf.DUMMYFUNCTION("""COMPUTED_VALUE"""),1.0)</f>
        <v>1</v>
      </c>
      <c r="AE280" s="251" t="str">
        <f>IFERROR(__xludf.DUMMYFUNCTION("""COMPUTED_VALUE"""),"Omnivore")</f>
        <v>Omnivore</v>
      </c>
    </row>
    <row r="281">
      <c r="A281" s="251" t="str">
        <f>IFERROR(__xludf.DUMMYFUNCTION("""COMPUTED_VALUE"""),"Drizzile")</f>
        <v>Drizzile</v>
      </c>
      <c r="B281" s="251" t="str">
        <f>IFERROR(__xludf.DUMMYFUNCTION("""COMPUTED_VALUE"""),"Water")</f>
        <v>Water</v>
      </c>
      <c r="C281" s="251" t="str">
        <f>IFERROR(__xludf.DUMMYFUNCTION("""COMPUTED_VALUE"""),"None")</f>
        <v>None</v>
      </c>
      <c r="D281" s="251">
        <f>IFERROR(__xludf.DUMMYFUNCTION("""COMPUTED_VALUE"""),7.0)</f>
        <v>7</v>
      </c>
      <c r="E281" s="251">
        <f>IFERROR(__xludf.DUMMYFUNCTION("""COMPUTED_VALUE"""),6.0)</f>
        <v>6</v>
      </c>
      <c r="F281" s="251">
        <f>IFERROR(__xludf.DUMMYFUNCTION("""COMPUTED_VALUE"""),6.0)</f>
        <v>6</v>
      </c>
      <c r="G281" s="251">
        <f>IFERROR(__xludf.DUMMYFUNCTION("""COMPUTED_VALUE"""),10.0)</f>
        <v>10</v>
      </c>
      <c r="H281" s="251">
        <f>IFERROR(__xludf.DUMMYFUNCTION("""COMPUTED_VALUE"""),6.0)</f>
        <v>6</v>
      </c>
      <c r="I281" s="251">
        <f>IFERROR(__xludf.DUMMYFUNCTION("""COMPUTED_VALUE"""),9.0)</f>
        <v>9</v>
      </c>
      <c r="J281" s="251">
        <f>IFERROR(__xludf.DUMMYFUNCTION("""COMPUTED_VALUE"""),4.0)</f>
        <v>4</v>
      </c>
      <c r="K281" s="251" t="str">
        <f>IFERROR(__xludf.DUMMYFUNCTION("""COMPUTED_VALUE"""),"Small")</f>
        <v>Small</v>
      </c>
      <c r="L281" s="251">
        <f>IFERROR(__xludf.DUMMYFUNCTION("""COMPUTED_VALUE"""),2.0)</f>
        <v>2</v>
      </c>
      <c r="M281" s="251" t="str">
        <f>IFERROR(__xludf.DUMMYFUNCTION("""COMPUTED_VALUE"""),"Wetlands")</f>
        <v>Wetlands</v>
      </c>
      <c r="N281" s="251" t="str">
        <f>IFERROR(__xludf.DUMMYFUNCTION("""COMPUTED_VALUE"""),"Climber")</f>
        <v>Climber</v>
      </c>
      <c r="O281" s="251" t="str">
        <f>IFERROR(__xludf.DUMMYFUNCTION("""COMPUTED_VALUE"""),"Jumper")</f>
        <v>Jumper</v>
      </c>
      <c r="P281" s="251" t="str">
        <f>IFERROR(__xludf.DUMMYFUNCTION("""COMPUTED_VALUE"""),"Swimmer")</f>
        <v>Swimmer</v>
      </c>
      <c r="Q281" s="251" t="str">
        <f>IFERROR(__xludf.DUMMYFUNCTION("""COMPUTED_VALUE"""),"--")</f>
        <v>--</v>
      </c>
      <c r="R281" s="251" t="str">
        <f>IFERROR(__xludf.DUMMYFUNCTION("""COMPUTED_VALUE"""),"Blender")</f>
        <v>Blender</v>
      </c>
      <c r="S281" s="251" t="str">
        <f>IFERROR(__xludf.DUMMYFUNCTION("""COMPUTED_VALUE"""),"Underdog")</f>
        <v>Underdog</v>
      </c>
      <c r="T281" s="251" t="str">
        <f>IFERROR(__xludf.DUMMYFUNCTION("""COMPUTED_VALUE"""),"--")</f>
        <v>--</v>
      </c>
      <c r="U281" s="251" t="str">
        <f>IFERROR(__xludf.DUMMYFUNCTION("""COMPUTED_VALUE"""),"--")</f>
        <v>--</v>
      </c>
      <c r="V281" s="251" t="str">
        <f>IFERROR(__xludf.DUMMYFUNCTION("""COMPUTED_VALUE"""),"Gilled")</f>
        <v>Gilled</v>
      </c>
      <c r="W281" s="251" t="str">
        <f>IFERROR(__xludf.DUMMYFUNCTION("""COMPUTED_VALUE"""),"--")</f>
        <v>--</v>
      </c>
      <c r="X281" s="251" t="str">
        <f>IFERROR(__xludf.DUMMYFUNCTION("""COMPUTED_VALUE"""),"--")</f>
        <v>--</v>
      </c>
      <c r="Y281" s="251" t="str">
        <f>IFERROR(__xludf.DUMMYFUNCTION("""COMPUTED_VALUE"""),"--")</f>
        <v>--</v>
      </c>
      <c r="Z281" s="251" t="str">
        <f>IFERROR(__xludf.DUMMYFUNCTION("""COMPUTED_VALUE"""),"--")</f>
        <v>--</v>
      </c>
      <c r="AA281" s="251" t="str">
        <f>IFERROR(__xludf.DUMMYFUNCTION("""COMPUTED_VALUE"""),"--")</f>
        <v>--</v>
      </c>
      <c r="AB281" s="251" t="str">
        <f>IFERROR(__xludf.DUMMYFUNCTION("""COMPUTED_VALUE"""),"--")</f>
        <v>--</v>
      </c>
      <c r="AC281" s="251" t="str">
        <f>IFERROR(__xludf.DUMMYFUNCTION("""COMPUTED_VALUE"""),"--")</f>
        <v>--</v>
      </c>
      <c r="AD281" s="251">
        <f>IFERROR(__xludf.DUMMYFUNCTION("""COMPUTED_VALUE"""),2.0)</f>
        <v>2</v>
      </c>
      <c r="AE281" s="251" t="str">
        <f>IFERROR(__xludf.DUMMYFUNCTION("""COMPUTED_VALUE"""),"Omnivore")</f>
        <v>Omnivore</v>
      </c>
    </row>
    <row r="282">
      <c r="A282" s="251" t="str">
        <f>IFERROR(__xludf.DUMMYFUNCTION("""COMPUTED_VALUE"""),"Inteleon")</f>
        <v>Inteleon</v>
      </c>
      <c r="B282" s="251" t="str">
        <f>IFERROR(__xludf.DUMMYFUNCTION("""COMPUTED_VALUE"""),"Water")</f>
        <v>Water</v>
      </c>
      <c r="C282" s="251" t="str">
        <f>IFERROR(__xludf.DUMMYFUNCTION("""COMPUTED_VALUE"""),"None")</f>
        <v>None</v>
      </c>
      <c r="D282" s="251">
        <f>IFERROR(__xludf.DUMMYFUNCTION("""COMPUTED_VALUE"""),7.0)</f>
        <v>7</v>
      </c>
      <c r="E282" s="251">
        <f>IFERROR(__xludf.DUMMYFUNCTION("""COMPUTED_VALUE"""),9.0)</f>
        <v>9</v>
      </c>
      <c r="F282" s="251">
        <f>IFERROR(__xludf.DUMMYFUNCTION("""COMPUTED_VALUE"""),7.0)</f>
        <v>7</v>
      </c>
      <c r="G282" s="251">
        <f>IFERROR(__xludf.DUMMYFUNCTION("""COMPUTED_VALUE"""),13.0)</f>
        <v>13</v>
      </c>
      <c r="H282" s="251">
        <f>IFERROR(__xludf.DUMMYFUNCTION("""COMPUTED_VALUE"""),7.0)</f>
        <v>7</v>
      </c>
      <c r="I282" s="251">
        <f>IFERROR(__xludf.DUMMYFUNCTION("""COMPUTED_VALUE"""),12.0)</f>
        <v>12</v>
      </c>
      <c r="J282" s="251">
        <f>IFERROR(__xludf.DUMMYFUNCTION("""COMPUTED_VALUE"""),5.0)</f>
        <v>5</v>
      </c>
      <c r="K282" s="251" t="str">
        <f>IFERROR(__xludf.DUMMYFUNCTION("""COMPUTED_VALUE"""),"Medium")</f>
        <v>Medium</v>
      </c>
      <c r="L282" s="251">
        <f>IFERROR(__xludf.DUMMYFUNCTION("""COMPUTED_VALUE"""),3.0)</f>
        <v>3</v>
      </c>
      <c r="M282" s="251" t="str">
        <f>IFERROR(__xludf.DUMMYFUNCTION("""COMPUTED_VALUE"""),"Wetlands")</f>
        <v>Wetlands</v>
      </c>
      <c r="N282" s="251" t="str">
        <f>IFERROR(__xludf.DUMMYFUNCTION("""COMPUTED_VALUE"""),"Climber")</f>
        <v>Climber</v>
      </c>
      <c r="O282" s="251" t="str">
        <f>IFERROR(__xludf.DUMMYFUNCTION("""COMPUTED_VALUE"""),"Glider")</f>
        <v>Glider</v>
      </c>
      <c r="P282" s="251" t="str">
        <f>IFERROR(__xludf.DUMMYFUNCTION("""COMPUTED_VALUE"""),"Jumper")</f>
        <v>Jumper</v>
      </c>
      <c r="Q282" s="251" t="str">
        <f>IFERROR(__xludf.DUMMYFUNCTION("""COMPUTED_VALUE"""),"Swimmer")</f>
        <v>Swimmer</v>
      </c>
      <c r="R282" s="251" t="str">
        <f>IFERROR(__xludf.DUMMYFUNCTION("""COMPUTED_VALUE"""),"Blender")</f>
        <v>Blender</v>
      </c>
      <c r="S282" s="251" t="str">
        <f>IFERROR(__xludf.DUMMYFUNCTION("""COMPUTED_VALUE"""),"--")</f>
        <v>--</v>
      </c>
      <c r="T282" s="251" t="str">
        <f>IFERROR(__xludf.DUMMYFUNCTION("""COMPUTED_VALUE"""),"--")</f>
        <v>--</v>
      </c>
      <c r="U282" s="251" t="str">
        <f>IFERROR(__xludf.DUMMYFUNCTION("""COMPUTED_VALUE"""),"--")</f>
        <v>--</v>
      </c>
      <c r="V282" s="251" t="str">
        <f>IFERROR(__xludf.DUMMYFUNCTION("""COMPUTED_VALUE"""),"Gilled")</f>
        <v>Gilled</v>
      </c>
      <c r="W282" s="251" t="str">
        <f>IFERROR(__xludf.DUMMYFUNCTION("""COMPUTED_VALUE"""),"Thermal Vision")</f>
        <v>Thermal Vision</v>
      </c>
      <c r="X282" s="251" t="str">
        <f>IFERROR(__xludf.DUMMYFUNCTION("""COMPUTED_VALUE"""),"--")</f>
        <v>--</v>
      </c>
      <c r="Y282" s="251" t="str">
        <f>IFERROR(__xludf.DUMMYFUNCTION("""COMPUTED_VALUE"""),"--")</f>
        <v>--</v>
      </c>
      <c r="Z282" s="251" t="str">
        <f>IFERROR(__xludf.DUMMYFUNCTION("""COMPUTED_VALUE"""),"--")</f>
        <v>--</v>
      </c>
      <c r="AA282" s="251" t="str">
        <f>IFERROR(__xludf.DUMMYFUNCTION("""COMPUTED_VALUE"""),"--")</f>
        <v>--</v>
      </c>
      <c r="AB282" s="251" t="str">
        <f>IFERROR(__xludf.DUMMYFUNCTION("""COMPUTED_VALUE"""),"--")</f>
        <v>--</v>
      </c>
      <c r="AC282" s="251" t="str">
        <f>IFERROR(__xludf.DUMMYFUNCTION("""COMPUTED_VALUE"""),"--")</f>
        <v>--</v>
      </c>
      <c r="AD282" s="251">
        <f>IFERROR(__xludf.DUMMYFUNCTION("""COMPUTED_VALUE"""),3.0)</f>
        <v>3</v>
      </c>
      <c r="AE282" s="251" t="str">
        <f>IFERROR(__xludf.DUMMYFUNCTION("""COMPUTED_VALUE"""),"Omnivore")</f>
        <v>Omnivore</v>
      </c>
    </row>
    <row r="283">
      <c r="A283" s="251" t="str">
        <f>IFERROR(__xludf.DUMMYFUNCTION("""COMPUTED_VALUE"""),"Quaxly")</f>
        <v>Quaxly</v>
      </c>
      <c r="B283" s="251" t="str">
        <f>IFERROR(__xludf.DUMMYFUNCTION("""COMPUTED_VALUE"""),"Water")</f>
        <v>Water</v>
      </c>
      <c r="C283" s="251" t="str">
        <f>IFERROR(__xludf.DUMMYFUNCTION("""COMPUTED_VALUE"""),"None")</f>
        <v>None</v>
      </c>
      <c r="D283" s="251">
        <f>IFERROR(__xludf.DUMMYFUNCTION("""COMPUTED_VALUE"""),6.0)</f>
        <v>6</v>
      </c>
      <c r="E283" s="251">
        <f>IFERROR(__xludf.DUMMYFUNCTION("""COMPUTED_VALUE"""),7.0)</f>
        <v>7</v>
      </c>
      <c r="F283" s="251">
        <f>IFERROR(__xludf.DUMMYFUNCTION("""COMPUTED_VALUE"""),5.0)</f>
        <v>5</v>
      </c>
      <c r="G283" s="251">
        <f>IFERROR(__xludf.DUMMYFUNCTION("""COMPUTED_VALUE"""),5.0)</f>
        <v>5</v>
      </c>
      <c r="H283" s="251">
        <f>IFERROR(__xludf.DUMMYFUNCTION("""COMPUTED_VALUE"""),5.0)</f>
        <v>5</v>
      </c>
      <c r="I283" s="251">
        <f>IFERROR(__xludf.DUMMYFUNCTION("""COMPUTED_VALUE"""),5.0)</f>
        <v>5</v>
      </c>
      <c r="J283" s="251">
        <f>IFERROR(__xludf.DUMMYFUNCTION("""COMPUTED_VALUE"""),1.0)</f>
        <v>1</v>
      </c>
      <c r="K283" s="251" t="str">
        <f>IFERROR(__xludf.DUMMYFUNCTION("""COMPUTED_VALUE"""),"Small")</f>
        <v>Small</v>
      </c>
      <c r="L283" s="251">
        <f>IFERROR(__xludf.DUMMYFUNCTION("""COMPUTED_VALUE"""),1.0)</f>
        <v>1</v>
      </c>
      <c r="M283" s="251" t="str">
        <f>IFERROR(__xludf.DUMMYFUNCTION("""COMPUTED_VALUE"""),"Wetlands")</f>
        <v>Wetlands</v>
      </c>
      <c r="N283" s="251" t="str">
        <f>IFERROR(__xludf.DUMMYFUNCTION("""COMPUTED_VALUE"""),"Swimmer")</f>
        <v>Swimmer</v>
      </c>
      <c r="O283" s="251" t="str">
        <f>IFERROR(__xludf.DUMMYFUNCTION("""COMPUTED_VALUE"""),"--")</f>
        <v>--</v>
      </c>
      <c r="P283" s="251" t="str">
        <f>IFERROR(__xludf.DUMMYFUNCTION("""COMPUTED_VALUE"""),"--")</f>
        <v>--</v>
      </c>
      <c r="Q283" s="251" t="str">
        <f>IFERROR(__xludf.DUMMYFUNCTION("""COMPUTED_VALUE"""),"--")</f>
        <v>--</v>
      </c>
      <c r="R283" s="251" t="str">
        <f>IFERROR(__xludf.DUMMYFUNCTION("""COMPUTED_VALUE"""),"Underdog")</f>
        <v>Underdog</v>
      </c>
      <c r="S283" s="251" t="str">
        <f>IFERROR(__xludf.DUMMYFUNCTION("""COMPUTED_VALUE"""),"--")</f>
        <v>--</v>
      </c>
      <c r="T283" s="251" t="str">
        <f>IFERROR(__xludf.DUMMYFUNCTION("""COMPUTED_VALUE"""),"--")</f>
        <v>--</v>
      </c>
      <c r="U283" s="251" t="str">
        <f>IFERROR(__xludf.DUMMYFUNCTION("""COMPUTED_VALUE"""),"--")</f>
        <v>--</v>
      </c>
      <c r="V283" s="251" t="str">
        <f>IFERROR(__xludf.DUMMYFUNCTION("""COMPUTED_VALUE"""),"Fountain")</f>
        <v>Fountain</v>
      </c>
      <c r="W283" s="251" t="str">
        <f>IFERROR(__xludf.DUMMYFUNCTION("""COMPUTED_VALUE"""),"Guster")</f>
        <v>Guster</v>
      </c>
      <c r="X283" s="251" t="str">
        <f>IFERROR(__xludf.DUMMYFUNCTION("""COMPUTED_VALUE"""),"--")</f>
        <v>--</v>
      </c>
      <c r="Y283" s="251" t="str">
        <f>IFERROR(__xludf.DUMMYFUNCTION("""COMPUTED_VALUE"""),"--")</f>
        <v>--</v>
      </c>
      <c r="Z283" s="251" t="str">
        <f>IFERROR(__xludf.DUMMYFUNCTION("""COMPUTED_VALUE"""),"--")</f>
        <v>--</v>
      </c>
      <c r="AA283" s="251" t="str">
        <f>IFERROR(__xludf.DUMMYFUNCTION("""COMPUTED_VALUE"""),"--")</f>
        <v>--</v>
      </c>
      <c r="AB283" s="251" t="str">
        <f>IFERROR(__xludf.DUMMYFUNCTION("""COMPUTED_VALUE"""),"--")</f>
        <v>--</v>
      </c>
      <c r="AC283" s="251" t="str">
        <f>IFERROR(__xludf.DUMMYFUNCTION("""COMPUTED_VALUE"""),"--")</f>
        <v>--</v>
      </c>
      <c r="AD283" s="251">
        <f>IFERROR(__xludf.DUMMYFUNCTION("""COMPUTED_VALUE"""),1.0)</f>
        <v>1</v>
      </c>
      <c r="AE283" s="251" t="str">
        <f>IFERROR(__xludf.DUMMYFUNCTION("""COMPUTED_VALUE"""),"Carnivore")</f>
        <v>Carnivore</v>
      </c>
    </row>
    <row r="284">
      <c r="A284" s="251" t="str">
        <f>IFERROR(__xludf.DUMMYFUNCTION("""COMPUTED_VALUE"""),"Quaxwell")</f>
        <v>Quaxwell</v>
      </c>
      <c r="B284" s="251" t="str">
        <f>IFERROR(__xludf.DUMMYFUNCTION("""COMPUTED_VALUE"""),"Water")</f>
        <v>Water</v>
      </c>
      <c r="C284" s="251" t="str">
        <f>IFERROR(__xludf.DUMMYFUNCTION("""COMPUTED_VALUE"""),"None")</f>
        <v>None</v>
      </c>
      <c r="D284" s="251">
        <f>IFERROR(__xludf.DUMMYFUNCTION("""COMPUTED_VALUE"""),7.0)</f>
        <v>7</v>
      </c>
      <c r="E284" s="251">
        <f>IFERROR(__xludf.DUMMYFUNCTION("""COMPUTED_VALUE"""),9.0)</f>
        <v>9</v>
      </c>
      <c r="F284" s="251">
        <f>IFERROR(__xludf.DUMMYFUNCTION("""COMPUTED_VALUE"""),7.0)</f>
        <v>7</v>
      </c>
      <c r="G284" s="251">
        <f>IFERROR(__xludf.DUMMYFUNCTION("""COMPUTED_VALUE"""),7.0)</f>
        <v>7</v>
      </c>
      <c r="H284" s="251">
        <f>IFERROR(__xludf.DUMMYFUNCTION("""COMPUTED_VALUE"""),6.0)</f>
        <v>6</v>
      </c>
      <c r="I284" s="251">
        <f>IFERROR(__xludf.DUMMYFUNCTION("""COMPUTED_VALUE"""),7.0)</f>
        <v>7</v>
      </c>
      <c r="J284" s="251">
        <f>IFERROR(__xludf.DUMMYFUNCTION("""COMPUTED_VALUE"""),2.0)</f>
        <v>2</v>
      </c>
      <c r="K284" s="251" t="str">
        <f>IFERROR(__xludf.DUMMYFUNCTION("""COMPUTED_VALUE"""),"Medium")</f>
        <v>Medium</v>
      </c>
      <c r="L284" s="251">
        <f>IFERROR(__xludf.DUMMYFUNCTION("""COMPUTED_VALUE"""),2.0)</f>
        <v>2</v>
      </c>
      <c r="M284" s="251" t="str">
        <f>IFERROR(__xludf.DUMMYFUNCTION("""COMPUTED_VALUE"""),"Wetlands")</f>
        <v>Wetlands</v>
      </c>
      <c r="N284" s="251" t="str">
        <f>IFERROR(__xludf.DUMMYFUNCTION("""COMPUTED_VALUE"""),"Swimmer")</f>
        <v>Swimmer</v>
      </c>
      <c r="O284" s="251" t="str">
        <f>IFERROR(__xludf.DUMMYFUNCTION("""COMPUTED_VALUE"""),"--")</f>
        <v>--</v>
      </c>
      <c r="P284" s="251" t="str">
        <f>IFERROR(__xludf.DUMMYFUNCTION("""COMPUTED_VALUE"""),"--")</f>
        <v>--</v>
      </c>
      <c r="Q284" s="251" t="str">
        <f>IFERROR(__xludf.DUMMYFUNCTION("""COMPUTED_VALUE"""),"--")</f>
        <v>--</v>
      </c>
      <c r="R284" s="251" t="str">
        <f>IFERROR(__xludf.DUMMYFUNCTION("""COMPUTED_VALUE"""),"Underdog")</f>
        <v>Underdog</v>
      </c>
      <c r="S284" s="251" t="str">
        <f>IFERROR(__xludf.DUMMYFUNCTION("""COMPUTED_VALUE"""),"--")</f>
        <v>--</v>
      </c>
      <c r="T284" s="251" t="str">
        <f>IFERROR(__xludf.DUMMYFUNCTION("""COMPUTED_VALUE"""),"--")</f>
        <v>--</v>
      </c>
      <c r="U284" s="251" t="str">
        <f>IFERROR(__xludf.DUMMYFUNCTION("""COMPUTED_VALUE"""),"--")</f>
        <v>--</v>
      </c>
      <c r="V284" s="251" t="str">
        <f>IFERROR(__xludf.DUMMYFUNCTION("""COMPUTED_VALUE"""),"Fountain")</f>
        <v>Fountain</v>
      </c>
      <c r="W284" s="251" t="str">
        <f>IFERROR(__xludf.DUMMYFUNCTION("""COMPUTED_VALUE"""),"Guster")</f>
        <v>Guster</v>
      </c>
      <c r="X284" s="251" t="str">
        <f>IFERROR(__xludf.DUMMYFUNCTION("""COMPUTED_VALUE"""),"--")</f>
        <v>--</v>
      </c>
      <c r="Y284" s="251" t="str">
        <f>IFERROR(__xludf.DUMMYFUNCTION("""COMPUTED_VALUE"""),"--")</f>
        <v>--</v>
      </c>
      <c r="Z284" s="251" t="str">
        <f>IFERROR(__xludf.DUMMYFUNCTION("""COMPUTED_VALUE"""),"--")</f>
        <v>--</v>
      </c>
      <c r="AA284" s="251" t="str">
        <f>IFERROR(__xludf.DUMMYFUNCTION("""COMPUTED_VALUE"""),"--")</f>
        <v>--</v>
      </c>
      <c r="AB284" s="251" t="str">
        <f>IFERROR(__xludf.DUMMYFUNCTION("""COMPUTED_VALUE"""),"--")</f>
        <v>--</v>
      </c>
      <c r="AC284" s="251" t="str">
        <f>IFERROR(__xludf.DUMMYFUNCTION("""COMPUTED_VALUE"""),"--")</f>
        <v>--</v>
      </c>
      <c r="AD284" s="251">
        <f>IFERROR(__xludf.DUMMYFUNCTION("""COMPUTED_VALUE"""),2.0)</f>
        <v>2</v>
      </c>
      <c r="AE284" s="251" t="str">
        <f>IFERROR(__xludf.DUMMYFUNCTION("""COMPUTED_VALUE"""),"Omnivore")</f>
        <v>Omnivore</v>
      </c>
    </row>
    <row r="285">
      <c r="A285" s="251" t="str">
        <f>IFERROR(__xludf.DUMMYFUNCTION("""COMPUTED_VALUE"""),"Quaquaval")</f>
        <v>Quaquaval</v>
      </c>
      <c r="B285" s="251" t="str">
        <f>IFERROR(__xludf.DUMMYFUNCTION("""COMPUTED_VALUE"""),"Water")</f>
        <v>Water</v>
      </c>
      <c r="C285" s="251" t="str">
        <f>IFERROR(__xludf.DUMMYFUNCTION("""COMPUTED_VALUE"""),"Fighting")</f>
        <v>Fighting</v>
      </c>
      <c r="D285" s="251">
        <f>IFERROR(__xludf.DUMMYFUNCTION("""COMPUTED_VALUE"""),9.0)</f>
        <v>9</v>
      </c>
      <c r="E285" s="251">
        <f>IFERROR(__xludf.DUMMYFUNCTION("""COMPUTED_VALUE"""),12.0)</f>
        <v>12</v>
      </c>
      <c r="F285" s="251">
        <f>IFERROR(__xludf.DUMMYFUNCTION("""COMPUTED_VALUE"""),8.0)</f>
        <v>8</v>
      </c>
      <c r="G285" s="251">
        <f>IFERROR(__xludf.DUMMYFUNCTION("""COMPUTED_VALUE"""),9.0)</f>
        <v>9</v>
      </c>
      <c r="H285" s="251">
        <f>IFERROR(__xludf.DUMMYFUNCTION("""COMPUTED_VALUE"""),8.0)</f>
        <v>8</v>
      </c>
      <c r="I285" s="251">
        <f>IFERROR(__xludf.DUMMYFUNCTION("""COMPUTED_VALUE"""),9.0)</f>
        <v>9</v>
      </c>
      <c r="J285" s="251">
        <f>IFERROR(__xludf.DUMMYFUNCTION("""COMPUTED_VALUE"""),4.0)</f>
        <v>4</v>
      </c>
      <c r="K285" s="251" t="str">
        <f>IFERROR(__xludf.DUMMYFUNCTION("""COMPUTED_VALUE"""),"Medium")</f>
        <v>Medium</v>
      </c>
      <c r="L285" s="251">
        <f>IFERROR(__xludf.DUMMYFUNCTION("""COMPUTED_VALUE"""),4.0)</f>
        <v>4</v>
      </c>
      <c r="M285" s="251" t="str">
        <f>IFERROR(__xludf.DUMMYFUNCTION("""COMPUTED_VALUE"""),"Wetlands")</f>
        <v>Wetlands</v>
      </c>
      <c r="N285" s="251" t="str">
        <f>IFERROR(__xludf.DUMMYFUNCTION("""COMPUTED_VALUE"""),"Swimmer")</f>
        <v>Swimmer</v>
      </c>
      <c r="O285" s="251" t="str">
        <f>IFERROR(__xludf.DUMMYFUNCTION("""COMPUTED_VALUE"""),"--")</f>
        <v>--</v>
      </c>
      <c r="P285" s="251" t="str">
        <f>IFERROR(__xludf.DUMMYFUNCTION("""COMPUTED_VALUE"""),"--")</f>
        <v>--</v>
      </c>
      <c r="Q285" s="251" t="str">
        <f>IFERROR(__xludf.DUMMYFUNCTION("""COMPUTED_VALUE"""),"--")</f>
        <v>--</v>
      </c>
      <c r="R285" s="251" t="str">
        <f>IFERROR(__xludf.DUMMYFUNCTION("""COMPUTED_VALUE"""),"--")</f>
        <v>--</v>
      </c>
      <c r="S285" s="251" t="str">
        <f>IFERROR(__xludf.DUMMYFUNCTION("""COMPUTED_VALUE"""),"--")</f>
        <v>--</v>
      </c>
      <c r="T285" s="251" t="str">
        <f>IFERROR(__xludf.DUMMYFUNCTION("""COMPUTED_VALUE"""),"--")</f>
        <v>--</v>
      </c>
      <c r="U285" s="251" t="str">
        <f>IFERROR(__xludf.DUMMYFUNCTION("""COMPUTED_VALUE"""),"--")</f>
        <v>--</v>
      </c>
      <c r="V285" s="251" t="str">
        <f>IFERROR(__xludf.DUMMYFUNCTION("""COMPUTED_VALUE"""),"--")</f>
        <v>--</v>
      </c>
      <c r="W285" s="251" t="str">
        <f>IFERROR(__xludf.DUMMYFUNCTION("""COMPUTED_VALUE"""),"--")</f>
        <v>--</v>
      </c>
      <c r="X285" s="251" t="str">
        <f>IFERROR(__xludf.DUMMYFUNCTION("""COMPUTED_VALUE"""),"--")</f>
        <v>--</v>
      </c>
      <c r="Y285" s="251" t="str">
        <f>IFERROR(__xludf.DUMMYFUNCTION("""COMPUTED_VALUE"""),"--")</f>
        <v>--</v>
      </c>
      <c r="Z285" s="251" t="str">
        <f>IFERROR(__xludf.DUMMYFUNCTION("""COMPUTED_VALUE"""),"--")</f>
        <v>--</v>
      </c>
      <c r="AA285" s="251" t="str">
        <f>IFERROR(__xludf.DUMMYFUNCTION("""COMPUTED_VALUE"""),"--")</f>
        <v>--</v>
      </c>
      <c r="AB285" s="251" t="str">
        <f>IFERROR(__xludf.DUMMYFUNCTION("""COMPUTED_VALUE"""),"--")</f>
        <v>--</v>
      </c>
      <c r="AC285" s="251" t="str">
        <f>IFERROR(__xludf.DUMMYFUNCTION("""COMPUTED_VALUE"""),"--")</f>
        <v>--</v>
      </c>
      <c r="AD285" s="251">
        <f>IFERROR(__xludf.DUMMYFUNCTION("""COMPUTED_VALUE"""),3.0)</f>
        <v>3</v>
      </c>
      <c r="AE285" s="251" t="str">
        <f>IFERROR(__xludf.DUMMYFUNCTION("""COMPUTED_VALUE"""),"Omnivore")</f>
        <v>Omnivore</v>
      </c>
    </row>
    <row r="286">
      <c r="A286" s="251" t="str">
        <f>IFERROR(__xludf.DUMMYFUNCTION("""COMPUTED_VALUE"""),"Caterpie")</f>
        <v>Caterpie</v>
      </c>
      <c r="B286" s="251" t="str">
        <f>IFERROR(__xludf.DUMMYFUNCTION("""COMPUTED_VALUE"""),"Bug")</f>
        <v>Bug</v>
      </c>
      <c r="C286" s="251" t="str">
        <f>IFERROR(__xludf.DUMMYFUNCTION("""COMPUTED_VALUE"""),"None")</f>
        <v>None</v>
      </c>
      <c r="D286" s="251">
        <f>IFERROR(__xludf.DUMMYFUNCTION("""COMPUTED_VALUE"""),5.0)</f>
        <v>5</v>
      </c>
      <c r="E286" s="251">
        <f>IFERROR(__xludf.DUMMYFUNCTION("""COMPUTED_VALUE"""),3.0)</f>
        <v>3</v>
      </c>
      <c r="F286" s="251">
        <f>IFERROR(__xludf.DUMMYFUNCTION("""COMPUTED_VALUE"""),4.0)</f>
        <v>4</v>
      </c>
      <c r="G286" s="251">
        <f>IFERROR(__xludf.DUMMYFUNCTION("""COMPUTED_VALUE"""),2.0)</f>
        <v>2</v>
      </c>
      <c r="H286" s="251">
        <f>IFERROR(__xludf.DUMMYFUNCTION("""COMPUTED_VALUE"""),2.0)</f>
        <v>2</v>
      </c>
      <c r="I286" s="251">
        <f>IFERROR(__xludf.DUMMYFUNCTION("""COMPUTED_VALUE"""),5.0)</f>
        <v>5</v>
      </c>
      <c r="J286" s="251">
        <f>IFERROR(__xludf.DUMMYFUNCTION("""COMPUTED_VALUE"""),1.0)</f>
        <v>1</v>
      </c>
      <c r="K286" s="251" t="str">
        <f>IFERROR(__xludf.DUMMYFUNCTION("""COMPUTED_VALUE"""),"Small")</f>
        <v>Small</v>
      </c>
      <c r="L286" s="251">
        <f>IFERROR(__xludf.DUMMYFUNCTION("""COMPUTED_VALUE"""),1.0)</f>
        <v>1</v>
      </c>
      <c r="M286" s="251" t="str">
        <f>IFERROR(__xludf.DUMMYFUNCTION("""COMPUTED_VALUE"""),"Forest, Grasslands")</f>
        <v>Forest, Grasslands</v>
      </c>
      <c r="N286" s="251" t="str">
        <f>IFERROR(__xludf.DUMMYFUNCTION("""COMPUTED_VALUE"""),"Climber")</f>
        <v>Climber</v>
      </c>
      <c r="O286" s="251" t="str">
        <f>IFERROR(__xludf.DUMMYFUNCTION("""COMPUTED_VALUE"""),"Slow")</f>
        <v>Slow</v>
      </c>
      <c r="P286" s="251" t="str">
        <f>IFERROR(__xludf.DUMMYFUNCTION("""COMPUTED_VALUE"""),"--")</f>
        <v>--</v>
      </c>
      <c r="Q286" s="251" t="str">
        <f>IFERROR(__xludf.DUMMYFUNCTION("""COMPUTED_VALUE"""),"--")</f>
        <v>--</v>
      </c>
      <c r="R286" s="251" t="str">
        <f>IFERROR(__xludf.DUMMYFUNCTION("""COMPUTED_VALUE"""),"Threaded")</f>
        <v>Threaded</v>
      </c>
      <c r="S286" s="251" t="str">
        <f>IFERROR(__xludf.DUMMYFUNCTION("""COMPUTED_VALUE"""),"Underdog")</f>
        <v>Underdog</v>
      </c>
      <c r="T286" s="251" t="str">
        <f>IFERROR(__xludf.DUMMYFUNCTION("""COMPUTED_VALUE"""),"--")</f>
        <v>--</v>
      </c>
      <c r="U286" s="251" t="str">
        <f>IFERROR(__xludf.DUMMYFUNCTION("""COMPUTED_VALUE"""),"--")</f>
        <v>--</v>
      </c>
      <c r="V286" s="251" t="str">
        <f>IFERROR(__xludf.DUMMYFUNCTION("""COMPUTED_VALUE"""),"--")</f>
        <v>--</v>
      </c>
      <c r="W286" s="251" t="str">
        <f>IFERROR(__xludf.DUMMYFUNCTION("""COMPUTED_VALUE"""),"--")</f>
        <v>--</v>
      </c>
      <c r="X286" s="251" t="str">
        <f>IFERROR(__xludf.DUMMYFUNCTION("""COMPUTED_VALUE"""),"--")</f>
        <v>--</v>
      </c>
      <c r="Y286" s="251" t="str">
        <f>IFERROR(__xludf.DUMMYFUNCTION("""COMPUTED_VALUE"""),"--")</f>
        <v>--</v>
      </c>
      <c r="Z286" s="251" t="str">
        <f>IFERROR(__xludf.DUMMYFUNCTION("""COMPUTED_VALUE"""),"--")</f>
        <v>--</v>
      </c>
      <c r="AA286" s="251" t="str">
        <f>IFERROR(__xludf.DUMMYFUNCTION("""COMPUTED_VALUE"""),"--")</f>
        <v>--</v>
      </c>
      <c r="AB286" s="251" t="str">
        <f>IFERROR(__xludf.DUMMYFUNCTION("""COMPUTED_VALUE"""),"--")</f>
        <v>--</v>
      </c>
      <c r="AC286" s="251" t="str">
        <f>IFERROR(__xludf.DUMMYFUNCTION("""COMPUTED_VALUE"""),"--")</f>
        <v>--</v>
      </c>
      <c r="AD286" s="251">
        <f>IFERROR(__xludf.DUMMYFUNCTION("""COMPUTED_VALUE"""),1.0)</f>
        <v>1</v>
      </c>
      <c r="AE286" s="251" t="str">
        <f>IFERROR(__xludf.DUMMYFUNCTION("""COMPUTED_VALUE"""),"Herbivore")</f>
        <v>Herbivore</v>
      </c>
    </row>
    <row r="287">
      <c r="A287" s="251" t="str">
        <f>IFERROR(__xludf.DUMMYFUNCTION("""COMPUTED_VALUE"""),"Metapod")</f>
        <v>Metapod</v>
      </c>
      <c r="B287" s="251" t="str">
        <f>IFERROR(__xludf.DUMMYFUNCTION("""COMPUTED_VALUE"""),"Bug")</f>
        <v>Bug</v>
      </c>
      <c r="C287" s="251" t="str">
        <f>IFERROR(__xludf.DUMMYFUNCTION("""COMPUTED_VALUE"""),"None")</f>
        <v>None</v>
      </c>
      <c r="D287" s="251">
        <f>IFERROR(__xludf.DUMMYFUNCTION("""COMPUTED_VALUE"""),5.0)</f>
        <v>5</v>
      </c>
      <c r="E287" s="251">
        <f>IFERROR(__xludf.DUMMYFUNCTION("""COMPUTED_VALUE"""),2.0)</f>
        <v>2</v>
      </c>
      <c r="F287" s="251">
        <f>IFERROR(__xludf.DUMMYFUNCTION("""COMPUTED_VALUE"""),6.0)</f>
        <v>6</v>
      </c>
      <c r="G287" s="251">
        <f>IFERROR(__xludf.DUMMYFUNCTION("""COMPUTED_VALUE"""),3.0)</f>
        <v>3</v>
      </c>
      <c r="H287" s="251">
        <f>IFERROR(__xludf.DUMMYFUNCTION("""COMPUTED_VALUE"""),3.0)</f>
        <v>3</v>
      </c>
      <c r="I287" s="251">
        <f>IFERROR(__xludf.DUMMYFUNCTION("""COMPUTED_VALUE"""),3.0)</f>
        <v>3</v>
      </c>
      <c r="J287" s="251">
        <f>IFERROR(__xludf.DUMMYFUNCTION("""COMPUTED_VALUE"""),1.0)</f>
        <v>1</v>
      </c>
      <c r="K287" s="251" t="str">
        <f>IFERROR(__xludf.DUMMYFUNCTION("""COMPUTED_VALUE"""),"Small")</f>
        <v>Small</v>
      </c>
      <c r="L287" s="251">
        <f>IFERROR(__xludf.DUMMYFUNCTION("""COMPUTED_VALUE"""),1.0)</f>
        <v>1</v>
      </c>
      <c r="M287" s="251" t="str">
        <f>IFERROR(__xludf.DUMMYFUNCTION("""COMPUTED_VALUE"""),"Forest, Grasslands")</f>
        <v>Forest, Grasslands</v>
      </c>
      <c r="N287" s="251" t="str">
        <f>IFERROR(__xludf.DUMMYFUNCTION("""COMPUTED_VALUE"""),"Slow")</f>
        <v>Slow</v>
      </c>
      <c r="O287" s="251" t="str">
        <f>IFERROR(__xludf.DUMMYFUNCTION("""COMPUTED_VALUE"""),"--")</f>
        <v>--</v>
      </c>
      <c r="P287" s="251" t="str">
        <f>IFERROR(__xludf.DUMMYFUNCTION("""COMPUTED_VALUE"""),"--")</f>
        <v>--</v>
      </c>
      <c r="Q287" s="251" t="str">
        <f>IFERROR(__xludf.DUMMYFUNCTION("""COMPUTED_VALUE"""),"--")</f>
        <v>--</v>
      </c>
      <c r="R287" s="251" t="str">
        <f>IFERROR(__xludf.DUMMYFUNCTION("""COMPUTED_VALUE"""),"Threaded")</f>
        <v>Threaded</v>
      </c>
      <c r="S287" s="251" t="str">
        <f>IFERROR(__xludf.DUMMYFUNCTION("""COMPUTED_VALUE"""),"Underdog")</f>
        <v>Underdog</v>
      </c>
      <c r="T287" s="251" t="str">
        <f>IFERROR(__xludf.DUMMYFUNCTION("""COMPUTED_VALUE"""),"--")</f>
        <v>--</v>
      </c>
      <c r="U287" s="251" t="str">
        <f>IFERROR(__xludf.DUMMYFUNCTION("""COMPUTED_VALUE"""),"--")</f>
        <v>--</v>
      </c>
      <c r="V287" s="251" t="str">
        <f>IFERROR(__xludf.DUMMYFUNCTION("""COMPUTED_VALUE"""),"--")</f>
        <v>--</v>
      </c>
      <c r="W287" s="251" t="str">
        <f>IFERROR(__xludf.DUMMYFUNCTION("""COMPUTED_VALUE"""),"--")</f>
        <v>--</v>
      </c>
      <c r="X287" s="251" t="str">
        <f>IFERROR(__xludf.DUMMYFUNCTION("""COMPUTED_VALUE"""),"--")</f>
        <v>--</v>
      </c>
      <c r="Y287" s="251" t="str">
        <f>IFERROR(__xludf.DUMMYFUNCTION("""COMPUTED_VALUE"""),"--")</f>
        <v>--</v>
      </c>
      <c r="Z287" s="251" t="str">
        <f>IFERROR(__xludf.DUMMYFUNCTION("""COMPUTED_VALUE"""),"--")</f>
        <v>--</v>
      </c>
      <c r="AA287" s="251" t="str">
        <f>IFERROR(__xludf.DUMMYFUNCTION("""COMPUTED_VALUE"""),"--")</f>
        <v>--</v>
      </c>
      <c r="AB287" s="251" t="str">
        <f>IFERROR(__xludf.DUMMYFUNCTION("""COMPUTED_VALUE"""),"--")</f>
        <v>--</v>
      </c>
      <c r="AC287" s="251" t="str">
        <f>IFERROR(__xludf.DUMMYFUNCTION("""COMPUTED_VALUE"""),"--")</f>
        <v>--</v>
      </c>
      <c r="AD287" s="251">
        <f>IFERROR(__xludf.DUMMYFUNCTION("""COMPUTED_VALUE"""),2.0)</f>
        <v>2</v>
      </c>
      <c r="AE287" s="251" t="str">
        <f>IFERROR(__xludf.DUMMYFUNCTION("""COMPUTED_VALUE"""),"Nullivore")</f>
        <v>Nullivore</v>
      </c>
    </row>
    <row r="288">
      <c r="A288" s="251" t="str">
        <f>IFERROR(__xludf.DUMMYFUNCTION("""COMPUTED_VALUE"""),"Butterfree")</f>
        <v>Butterfree</v>
      </c>
      <c r="B288" s="251" t="str">
        <f>IFERROR(__xludf.DUMMYFUNCTION("""COMPUTED_VALUE"""),"Bug")</f>
        <v>Bug</v>
      </c>
      <c r="C288" s="251" t="str">
        <f>IFERROR(__xludf.DUMMYFUNCTION("""COMPUTED_VALUE"""),"Flying")</f>
        <v>Flying</v>
      </c>
      <c r="D288" s="251">
        <f>IFERROR(__xludf.DUMMYFUNCTION("""COMPUTED_VALUE"""),6.0)</f>
        <v>6</v>
      </c>
      <c r="E288" s="251">
        <f>IFERROR(__xludf.DUMMYFUNCTION("""COMPUTED_VALUE"""),5.0)</f>
        <v>5</v>
      </c>
      <c r="F288" s="251">
        <f>IFERROR(__xludf.DUMMYFUNCTION("""COMPUTED_VALUE"""),5.0)</f>
        <v>5</v>
      </c>
      <c r="G288" s="251">
        <f>IFERROR(__xludf.DUMMYFUNCTION("""COMPUTED_VALUE"""),9.0)</f>
        <v>9</v>
      </c>
      <c r="H288" s="251">
        <f>IFERROR(__xludf.DUMMYFUNCTION("""COMPUTED_VALUE"""),8.0)</f>
        <v>8</v>
      </c>
      <c r="I288" s="251">
        <f>IFERROR(__xludf.DUMMYFUNCTION("""COMPUTED_VALUE"""),7.0)</f>
        <v>7</v>
      </c>
      <c r="J288" s="251">
        <f>IFERROR(__xludf.DUMMYFUNCTION("""COMPUTED_VALUE"""),2.0)</f>
        <v>2</v>
      </c>
      <c r="K288" s="251" t="str">
        <f>IFERROR(__xludf.DUMMYFUNCTION("""COMPUTED_VALUE"""),"Medium")</f>
        <v>Medium</v>
      </c>
      <c r="L288" s="251">
        <f>IFERROR(__xludf.DUMMYFUNCTION("""COMPUTED_VALUE"""),3.0)</f>
        <v>3</v>
      </c>
      <c r="M288" s="251" t="str">
        <f>IFERROR(__xludf.DUMMYFUNCTION("""COMPUTED_VALUE"""),"Forest, Grasslands")</f>
        <v>Forest, Grasslands</v>
      </c>
      <c r="N288" s="251" t="str">
        <f>IFERROR(__xludf.DUMMYFUNCTION("""COMPUTED_VALUE"""),"Flier")</f>
        <v>Flier</v>
      </c>
      <c r="O288" s="251" t="str">
        <f>IFERROR(__xludf.DUMMYFUNCTION("""COMPUTED_VALUE"""),"--")</f>
        <v>--</v>
      </c>
      <c r="P288" s="251" t="str">
        <f>IFERROR(__xludf.DUMMYFUNCTION("""COMPUTED_VALUE"""),"--")</f>
        <v>--</v>
      </c>
      <c r="Q288" s="251" t="str">
        <f>IFERROR(__xludf.DUMMYFUNCTION("""COMPUTED_VALUE"""),"--")</f>
        <v>--</v>
      </c>
      <c r="R288" s="251" t="str">
        <f>IFERROR(__xludf.DUMMYFUNCTION("""COMPUTED_VALUE"""),"Threaded")</f>
        <v>Threaded</v>
      </c>
      <c r="S288" s="251" t="str">
        <f>IFERROR(__xludf.DUMMYFUNCTION("""COMPUTED_VALUE"""),"Underdog")</f>
        <v>Underdog</v>
      </c>
      <c r="T288" s="251" t="str">
        <f>IFERROR(__xludf.DUMMYFUNCTION("""COMPUTED_VALUE"""),"--")</f>
        <v>--</v>
      </c>
      <c r="U288" s="251" t="str">
        <f>IFERROR(__xludf.DUMMYFUNCTION("""COMPUTED_VALUE"""),"--")</f>
        <v>--</v>
      </c>
      <c r="V288" s="251" t="str">
        <f>IFERROR(__xludf.DUMMYFUNCTION("""COMPUTED_VALUE"""),"--")</f>
        <v>--</v>
      </c>
      <c r="W288" s="251" t="str">
        <f>IFERROR(__xludf.DUMMYFUNCTION("""COMPUTED_VALUE"""),"--")</f>
        <v>--</v>
      </c>
      <c r="X288" s="251" t="str">
        <f>IFERROR(__xludf.DUMMYFUNCTION("""COMPUTED_VALUE"""),"--")</f>
        <v>--</v>
      </c>
      <c r="Y288" s="251" t="str">
        <f>IFERROR(__xludf.DUMMYFUNCTION("""COMPUTED_VALUE"""),"--")</f>
        <v>--</v>
      </c>
      <c r="Z288" s="251" t="str">
        <f>IFERROR(__xludf.DUMMYFUNCTION("""COMPUTED_VALUE"""),"--")</f>
        <v>--</v>
      </c>
      <c r="AA288" s="251" t="str">
        <f>IFERROR(__xludf.DUMMYFUNCTION("""COMPUTED_VALUE"""),"--")</f>
        <v>--</v>
      </c>
      <c r="AB288" s="251" t="str">
        <f>IFERROR(__xludf.DUMMYFUNCTION("""COMPUTED_VALUE"""),"--")</f>
        <v>--</v>
      </c>
      <c r="AC288" s="251" t="str">
        <f>IFERROR(__xludf.DUMMYFUNCTION("""COMPUTED_VALUE"""),"--")</f>
        <v>--</v>
      </c>
      <c r="AD288" s="251">
        <f>IFERROR(__xludf.DUMMYFUNCTION("""COMPUTED_VALUE"""),3.0)</f>
        <v>3</v>
      </c>
      <c r="AE288" s="251" t="str">
        <f>IFERROR(__xludf.DUMMYFUNCTION("""COMPUTED_VALUE"""),"Herbivore")</f>
        <v>Herbivore</v>
      </c>
    </row>
    <row r="289">
      <c r="A289" s="251" t="str">
        <f>IFERROR(__xludf.DUMMYFUNCTION("""COMPUTED_VALUE"""),"Weedle")</f>
        <v>Weedle</v>
      </c>
      <c r="B289" s="251" t="str">
        <f>IFERROR(__xludf.DUMMYFUNCTION("""COMPUTED_VALUE"""),"Bug")</f>
        <v>Bug</v>
      </c>
      <c r="C289" s="251" t="str">
        <f>IFERROR(__xludf.DUMMYFUNCTION("""COMPUTED_VALUE"""),"Poison")</f>
        <v>Poison</v>
      </c>
      <c r="D289" s="251">
        <f>IFERROR(__xludf.DUMMYFUNCTION("""COMPUTED_VALUE"""),4.0)</f>
        <v>4</v>
      </c>
      <c r="E289" s="251">
        <f>IFERROR(__xludf.DUMMYFUNCTION("""COMPUTED_VALUE"""),4.0)</f>
        <v>4</v>
      </c>
      <c r="F289" s="251">
        <f>IFERROR(__xludf.DUMMYFUNCTION("""COMPUTED_VALUE"""),3.0)</f>
        <v>3</v>
      </c>
      <c r="G289" s="251">
        <f>IFERROR(__xludf.DUMMYFUNCTION("""COMPUTED_VALUE"""),2.0)</f>
        <v>2</v>
      </c>
      <c r="H289" s="251">
        <f>IFERROR(__xludf.DUMMYFUNCTION("""COMPUTED_VALUE"""),2.0)</f>
        <v>2</v>
      </c>
      <c r="I289" s="251">
        <f>IFERROR(__xludf.DUMMYFUNCTION("""COMPUTED_VALUE"""),5.0)</f>
        <v>5</v>
      </c>
      <c r="J289" s="251">
        <f>IFERROR(__xludf.DUMMYFUNCTION("""COMPUTED_VALUE"""),1.0)</f>
        <v>1</v>
      </c>
      <c r="K289" s="251" t="str">
        <f>IFERROR(__xludf.DUMMYFUNCTION("""COMPUTED_VALUE"""),"Small")</f>
        <v>Small</v>
      </c>
      <c r="L289" s="251">
        <f>IFERROR(__xludf.DUMMYFUNCTION("""COMPUTED_VALUE"""),1.0)</f>
        <v>1</v>
      </c>
      <c r="M289" s="251" t="str">
        <f>IFERROR(__xludf.DUMMYFUNCTION("""COMPUTED_VALUE"""),"Forest, Grasslands")</f>
        <v>Forest, Grasslands</v>
      </c>
      <c r="N289" s="251" t="str">
        <f>IFERROR(__xludf.DUMMYFUNCTION("""COMPUTED_VALUE"""),"Climber")</f>
        <v>Climber</v>
      </c>
      <c r="O289" s="251" t="str">
        <f>IFERROR(__xludf.DUMMYFUNCTION("""COMPUTED_VALUE"""),"Slow")</f>
        <v>Slow</v>
      </c>
      <c r="P289" s="251" t="str">
        <f>IFERROR(__xludf.DUMMYFUNCTION("""COMPUTED_VALUE"""),"--")</f>
        <v>--</v>
      </c>
      <c r="Q289" s="251" t="str">
        <f>IFERROR(__xludf.DUMMYFUNCTION("""COMPUTED_VALUE"""),"--")</f>
        <v>--</v>
      </c>
      <c r="R289" s="251" t="str">
        <f>IFERROR(__xludf.DUMMYFUNCTION("""COMPUTED_VALUE"""),"Threaded")</f>
        <v>Threaded</v>
      </c>
      <c r="S289" s="251" t="str">
        <f>IFERROR(__xludf.DUMMYFUNCTION("""COMPUTED_VALUE"""),"Underdog")</f>
        <v>Underdog</v>
      </c>
      <c r="T289" s="251" t="str">
        <f>IFERROR(__xludf.DUMMYFUNCTION("""COMPUTED_VALUE"""),"--")</f>
        <v>--</v>
      </c>
      <c r="U289" s="251" t="str">
        <f>IFERROR(__xludf.DUMMYFUNCTION("""COMPUTED_VALUE"""),"--")</f>
        <v>--</v>
      </c>
      <c r="V289" s="251" t="str">
        <f>IFERROR(__xludf.DUMMYFUNCTION("""COMPUTED_VALUE"""),"--")</f>
        <v>--</v>
      </c>
      <c r="W289" s="251" t="str">
        <f>IFERROR(__xludf.DUMMYFUNCTION("""COMPUTED_VALUE"""),"--")</f>
        <v>--</v>
      </c>
      <c r="X289" s="251" t="str">
        <f>IFERROR(__xludf.DUMMYFUNCTION("""COMPUTED_VALUE"""),"--")</f>
        <v>--</v>
      </c>
      <c r="Y289" s="251" t="str">
        <f>IFERROR(__xludf.DUMMYFUNCTION("""COMPUTED_VALUE"""),"--")</f>
        <v>--</v>
      </c>
      <c r="Z289" s="251" t="str">
        <f>IFERROR(__xludf.DUMMYFUNCTION("""COMPUTED_VALUE"""),"--")</f>
        <v>--</v>
      </c>
      <c r="AA289" s="251" t="str">
        <f>IFERROR(__xludf.DUMMYFUNCTION("""COMPUTED_VALUE"""),"--")</f>
        <v>--</v>
      </c>
      <c r="AB289" s="251" t="str">
        <f>IFERROR(__xludf.DUMMYFUNCTION("""COMPUTED_VALUE"""),"--")</f>
        <v>--</v>
      </c>
      <c r="AC289" s="251" t="str">
        <f>IFERROR(__xludf.DUMMYFUNCTION("""COMPUTED_VALUE"""),"--")</f>
        <v>--</v>
      </c>
      <c r="AD289" s="251">
        <f>IFERROR(__xludf.DUMMYFUNCTION("""COMPUTED_VALUE"""),1.0)</f>
        <v>1</v>
      </c>
      <c r="AE289" s="251" t="str">
        <f>IFERROR(__xludf.DUMMYFUNCTION("""COMPUTED_VALUE"""),"Herbivore")</f>
        <v>Herbivore</v>
      </c>
    </row>
    <row r="290">
      <c r="A290" s="251" t="str">
        <f>IFERROR(__xludf.DUMMYFUNCTION("""COMPUTED_VALUE"""),"Kakuna")</f>
        <v>Kakuna</v>
      </c>
      <c r="B290" s="251" t="str">
        <f>IFERROR(__xludf.DUMMYFUNCTION("""COMPUTED_VALUE"""),"Bug")</f>
        <v>Bug</v>
      </c>
      <c r="C290" s="251" t="str">
        <f>IFERROR(__xludf.DUMMYFUNCTION("""COMPUTED_VALUE"""),"Poison")</f>
        <v>Poison</v>
      </c>
      <c r="D290" s="251">
        <f>IFERROR(__xludf.DUMMYFUNCTION("""COMPUTED_VALUE"""),5.0)</f>
        <v>5</v>
      </c>
      <c r="E290" s="251">
        <f>IFERROR(__xludf.DUMMYFUNCTION("""COMPUTED_VALUE"""),3.0)</f>
        <v>3</v>
      </c>
      <c r="F290" s="251">
        <f>IFERROR(__xludf.DUMMYFUNCTION("""COMPUTED_VALUE"""),5.0)</f>
        <v>5</v>
      </c>
      <c r="G290" s="251">
        <f>IFERROR(__xludf.DUMMYFUNCTION("""COMPUTED_VALUE"""),3.0)</f>
        <v>3</v>
      </c>
      <c r="H290" s="251">
        <f>IFERROR(__xludf.DUMMYFUNCTION("""COMPUTED_VALUE"""),3.0)</f>
        <v>3</v>
      </c>
      <c r="I290" s="251">
        <f>IFERROR(__xludf.DUMMYFUNCTION("""COMPUTED_VALUE"""),4.0)</f>
        <v>4</v>
      </c>
      <c r="J290" s="251">
        <f>IFERROR(__xludf.DUMMYFUNCTION("""COMPUTED_VALUE"""),1.0)</f>
        <v>1</v>
      </c>
      <c r="K290" s="251" t="str">
        <f>IFERROR(__xludf.DUMMYFUNCTION("""COMPUTED_VALUE"""),"Small")</f>
        <v>Small</v>
      </c>
      <c r="L290" s="251">
        <f>IFERROR(__xludf.DUMMYFUNCTION("""COMPUTED_VALUE"""),1.0)</f>
        <v>1</v>
      </c>
      <c r="M290" s="251" t="str">
        <f>IFERROR(__xludf.DUMMYFUNCTION("""COMPUTED_VALUE"""),"Forest, Grasslands")</f>
        <v>Forest, Grasslands</v>
      </c>
      <c r="N290" s="251" t="str">
        <f>IFERROR(__xludf.DUMMYFUNCTION("""COMPUTED_VALUE"""),"Slow")</f>
        <v>Slow</v>
      </c>
      <c r="O290" s="251" t="str">
        <f>IFERROR(__xludf.DUMMYFUNCTION("""COMPUTED_VALUE"""),"--")</f>
        <v>--</v>
      </c>
      <c r="P290" s="251" t="str">
        <f>IFERROR(__xludf.DUMMYFUNCTION("""COMPUTED_VALUE"""),"--")</f>
        <v>--</v>
      </c>
      <c r="Q290" s="251" t="str">
        <f>IFERROR(__xludf.DUMMYFUNCTION("""COMPUTED_VALUE"""),"--")</f>
        <v>--</v>
      </c>
      <c r="R290" s="251" t="str">
        <f>IFERROR(__xludf.DUMMYFUNCTION("""COMPUTED_VALUE"""),"Threaded")</f>
        <v>Threaded</v>
      </c>
      <c r="S290" s="251" t="str">
        <f>IFERROR(__xludf.DUMMYFUNCTION("""COMPUTED_VALUE"""),"Underdog")</f>
        <v>Underdog</v>
      </c>
      <c r="T290" s="251" t="str">
        <f>IFERROR(__xludf.DUMMYFUNCTION("""COMPUTED_VALUE"""),"--")</f>
        <v>--</v>
      </c>
      <c r="U290" s="251" t="str">
        <f>IFERROR(__xludf.DUMMYFUNCTION("""COMPUTED_VALUE"""),"--")</f>
        <v>--</v>
      </c>
      <c r="V290" s="251" t="str">
        <f>IFERROR(__xludf.DUMMYFUNCTION("""COMPUTED_VALUE"""),"--")</f>
        <v>--</v>
      </c>
      <c r="W290" s="251" t="str">
        <f>IFERROR(__xludf.DUMMYFUNCTION("""COMPUTED_VALUE"""),"--")</f>
        <v>--</v>
      </c>
      <c r="X290" s="251" t="str">
        <f>IFERROR(__xludf.DUMMYFUNCTION("""COMPUTED_VALUE"""),"--")</f>
        <v>--</v>
      </c>
      <c r="Y290" s="251" t="str">
        <f>IFERROR(__xludf.DUMMYFUNCTION("""COMPUTED_VALUE"""),"--")</f>
        <v>--</v>
      </c>
      <c r="Z290" s="251" t="str">
        <f>IFERROR(__xludf.DUMMYFUNCTION("""COMPUTED_VALUE"""),"--")</f>
        <v>--</v>
      </c>
      <c r="AA290" s="251" t="str">
        <f>IFERROR(__xludf.DUMMYFUNCTION("""COMPUTED_VALUE"""),"--")</f>
        <v>--</v>
      </c>
      <c r="AB290" s="251" t="str">
        <f>IFERROR(__xludf.DUMMYFUNCTION("""COMPUTED_VALUE"""),"--")</f>
        <v>--</v>
      </c>
      <c r="AC290" s="251" t="str">
        <f>IFERROR(__xludf.DUMMYFUNCTION("""COMPUTED_VALUE"""),"--")</f>
        <v>--</v>
      </c>
      <c r="AD290" s="251">
        <f>IFERROR(__xludf.DUMMYFUNCTION("""COMPUTED_VALUE"""),2.0)</f>
        <v>2</v>
      </c>
      <c r="AE290" s="251" t="str">
        <f>IFERROR(__xludf.DUMMYFUNCTION("""COMPUTED_VALUE"""),"Nullivore")</f>
        <v>Nullivore</v>
      </c>
    </row>
    <row r="291">
      <c r="A291" s="251" t="str">
        <f>IFERROR(__xludf.DUMMYFUNCTION("""COMPUTED_VALUE"""),"Beedrill")</f>
        <v>Beedrill</v>
      </c>
      <c r="B291" s="251" t="str">
        <f>IFERROR(__xludf.DUMMYFUNCTION("""COMPUTED_VALUE"""),"Bug")</f>
        <v>Bug</v>
      </c>
      <c r="C291" s="251" t="str">
        <f>IFERROR(__xludf.DUMMYFUNCTION("""COMPUTED_VALUE"""),"Poison")</f>
        <v>Poison</v>
      </c>
      <c r="D291" s="251">
        <f>IFERROR(__xludf.DUMMYFUNCTION("""COMPUTED_VALUE"""),7.0)</f>
        <v>7</v>
      </c>
      <c r="E291" s="251">
        <f>IFERROR(__xludf.DUMMYFUNCTION("""COMPUTED_VALUE"""),9.0)</f>
        <v>9</v>
      </c>
      <c r="F291" s="251">
        <f>IFERROR(__xludf.DUMMYFUNCTION("""COMPUTED_VALUE"""),4.0)</f>
        <v>4</v>
      </c>
      <c r="G291" s="251">
        <f>IFERROR(__xludf.DUMMYFUNCTION("""COMPUTED_VALUE"""),5.0)</f>
        <v>5</v>
      </c>
      <c r="H291" s="251">
        <f>IFERROR(__xludf.DUMMYFUNCTION("""COMPUTED_VALUE"""),8.0)</f>
        <v>8</v>
      </c>
      <c r="I291" s="251">
        <f>IFERROR(__xludf.DUMMYFUNCTION("""COMPUTED_VALUE"""),8.0)</f>
        <v>8</v>
      </c>
      <c r="J291" s="251">
        <f>IFERROR(__xludf.DUMMYFUNCTION("""COMPUTED_VALUE"""),4.0)</f>
        <v>4</v>
      </c>
      <c r="K291" s="251" t="str">
        <f>IFERROR(__xludf.DUMMYFUNCTION("""COMPUTED_VALUE"""),"Medium")</f>
        <v>Medium</v>
      </c>
      <c r="L291" s="251">
        <f>IFERROR(__xludf.DUMMYFUNCTION("""COMPUTED_VALUE"""),3.0)</f>
        <v>3</v>
      </c>
      <c r="M291" s="251" t="str">
        <f>IFERROR(__xludf.DUMMYFUNCTION("""COMPUTED_VALUE"""),"Forest, Grasslands")</f>
        <v>Forest, Grasslands</v>
      </c>
      <c r="N291" s="251" t="str">
        <f>IFERROR(__xludf.DUMMYFUNCTION("""COMPUTED_VALUE"""),"Flier")</f>
        <v>Flier</v>
      </c>
      <c r="O291" s="251" t="str">
        <f>IFERROR(__xludf.DUMMYFUNCTION("""COMPUTED_VALUE"""),"Quick")</f>
        <v>Quick</v>
      </c>
      <c r="P291" s="251" t="str">
        <f>IFERROR(__xludf.DUMMYFUNCTION("""COMPUTED_VALUE"""),"--")</f>
        <v>--</v>
      </c>
      <c r="Q291" s="251" t="str">
        <f>IFERROR(__xludf.DUMMYFUNCTION("""COMPUTED_VALUE"""),"--")</f>
        <v>--</v>
      </c>
      <c r="R291" s="251" t="str">
        <f>IFERROR(__xludf.DUMMYFUNCTION("""COMPUTED_VALUE"""),"Threaded")</f>
        <v>Threaded</v>
      </c>
      <c r="S291" s="251" t="str">
        <f>IFERROR(__xludf.DUMMYFUNCTION("""COMPUTED_VALUE"""),"Underdog")</f>
        <v>Underdog</v>
      </c>
      <c r="T291" s="251" t="str">
        <f>IFERROR(__xludf.DUMMYFUNCTION("""COMPUTED_VALUE"""),"--")</f>
        <v>--</v>
      </c>
      <c r="U291" s="251" t="str">
        <f>IFERROR(__xludf.DUMMYFUNCTION("""COMPUTED_VALUE"""),"--")</f>
        <v>--</v>
      </c>
      <c r="V291" s="251" t="str">
        <f>IFERROR(__xludf.DUMMYFUNCTION("""COMPUTED_VALUE"""),"--")</f>
        <v>--</v>
      </c>
      <c r="W291" s="251" t="str">
        <f>IFERROR(__xludf.DUMMYFUNCTION("""COMPUTED_VALUE"""),"--")</f>
        <v>--</v>
      </c>
      <c r="X291" s="251" t="str">
        <f>IFERROR(__xludf.DUMMYFUNCTION("""COMPUTED_VALUE"""),"--")</f>
        <v>--</v>
      </c>
      <c r="Y291" s="251" t="str">
        <f>IFERROR(__xludf.DUMMYFUNCTION("""COMPUTED_VALUE"""),"--")</f>
        <v>--</v>
      </c>
      <c r="Z291" s="251" t="str">
        <f>IFERROR(__xludf.DUMMYFUNCTION("""COMPUTED_VALUE"""),"--")</f>
        <v>--</v>
      </c>
      <c r="AA291" s="251" t="str">
        <f>IFERROR(__xludf.DUMMYFUNCTION("""COMPUTED_VALUE"""),"--")</f>
        <v>--</v>
      </c>
      <c r="AB291" s="251" t="str">
        <f>IFERROR(__xludf.DUMMYFUNCTION("""COMPUTED_VALUE"""),"--")</f>
        <v>--</v>
      </c>
      <c r="AC291" s="251" t="str">
        <f>IFERROR(__xludf.DUMMYFUNCTION("""COMPUTED_VALUE"""),"--")</f>
        <v>--</v>
      </c>
      <c r="AD291" s="251">
        <f>IFERROR(__xludf.DUMMYFUNCTION("""COMPUTED_VALUE"""),3.0)</f>
        <v>3</v>
      </c>
      <c r="AE291" s="251" t="str">
        <f>IFERROR(__xludf.DUMMYFUNCTION("""COMPUTED_VALUE"""),"Herbivore")</f>
        <v>Herbivore</v>
      </c>
    </row>
    <row r="292">
      <c r="A292" s="251" t="str">
        <f>IFERROR(__xludf.DUMMYFUNCTION("""COMPUTED_VALUE"""),"Wurmple")</f>
        <v>Wurmple</v>
      </c>
      <c r="B292" s="251" t="str">
        <f>IFERROR(__xludf.DUMMYFUNCTION("""COMPUTED_VALUE"""),"Bug")</f>
        <v>Bug</v>
      </c>
      <c r="C292" s="251" t="str">
        <f>IFERROR(__xludf.DUMMYFUNCTION("""COMPUTED_VALUE"""),"None")</f>
        <v>None</v>
      </c>
      <c r="D292" s="251">
        <f>IFERROR(__xludf.DUMMYFUNCTION("""COMPUTED_VALUE"""),5.0)</f>
        <v>5</v>
      </c>
      <c r="E292" s="251">
        <f>IFERROR(__xludf.DUMMYFUNCTION("""COMPUTED_VALUE"""),5.0)</f>
        <v>5</v>
      </c>
      <c r="F292" s="251">
        <f>IFERROR(__xludf.DUMMYFUNCTION("""COMPUTED_VALUE"""),4.0)</f>
        <v>4</v>
      </c>
      <c r="G292" s="251">
        <f>IFERROR(__xludf.DUMMYFUNCTION("""COMPUTED_VALUE"""),2.0)</f>
        <v>2</v>
      </c>
      <c r="H292" s="251">
        <f>IFERROR(__xludf.DUMMYFUNCTION("""COMPUTED_VALUE"""),3.0)</f>
        <v>3</v>
      </c>
      <c r="I292" s="251">
        <f>IFERROR(__xludf.DUMMYFUNCTION("""COMPUTED_VALUE"""),2.0)</f>
        <v>2</v>
      </c>
      <c r="J292" s="251">
        <f>IFERROR(__xludf.DUMMYFUNCTION("""COMPUTED_VALUE"""),1.0)</f>
        <v>1</v>
      </c>
      <c r="K292" s="251" t="str">
        <f>IFERROR(__xludf.DUMMYFUNCTION("""COMPUTED_VALUE"""),"Small")</f>
        <v>Small</v>
      </c>
      <c r="L292" s="251">
        <f>IFERROR(__xludf.DUMMYFUNCTION("""COMPUTED_VALUE"""),1.0)</f>
        <v>1</v>
      </c>
      <c r="M292" s="251" t="str">
        <f>IFERROR(__xludf.DUMMYFUNCTION("""COMPUTED_VALUE"""),"Forest, Grasslands")</f>
        <v>Forest, Grasslands</v>
      </c>
      <c r="N292" s="251" t="str">
        <f>IFERROR(__xludf.DUMMYFUNCTION("""COMPUTED_VALUE"""),"Climber")</f>
        <v>Climber</v>
      </c>
      <c r="O292" s="251" t="str">
        <f>IFERROR(__xludf.DUMMYFUNCTION("""COMPUTED_VALUE"""),"Slow")</f>
        <v>Slow</v>
      </c>
      <c r="P292" s="251" t="str">
        <f>IFERROR(__xludf.DUMMYFUNCTION("""COMPUTED_VALUE"""),"--")</f>
        <v>--</v>
      </c>
      <c r="Q292" s="251" t="str">
        <f>IFERROR(__xludf.DUMMYFUNCTION("""COMPUTED_VALUE"""),"--")</f>
        <v>--</v>
      </c>
      <c r="R292" s="251" t="str">
        <f>IFERROR(__xludf.DUMMYFUNCTION("""COMPUTED_VALUE"""),"Threaded")</f>
        <v>Threaded</v>
      </c>
      <c r="S292" s="251" t="str">
        <f>IFERROR(__xludf.DUMMYFUNCTION("""COMPUTED_VALUE"""),"Underdog")</f>
        <v>Underdog</v>
      </c>
      <c r="T292" s="251" t="str">
        <f>IFERROR(__xludf.DUMMYFUNCTION("""COMPUTED_VALUE"""),"--")</f>
        <v>--</v>
      </c>
      <c r="U292" s="251" t="str">
        <f>IFERROR(__xludf.DUMMYFUNCTION("""COMPUTED_VALUE"""),"--")</f>
        <v>--</v>
      </c>
      <c r="V292" s="251" t="str">
        <f>IFERROR(__xludf.DUMMYFUNCTION("""COMPUTED_VALUE"""),"--")</f>
        <v>--</v>
      </c>
      <c r="W292" s="251" t="str">
        <f>IFERROR(__xludf.DUMMYFUNCTION("""COMPUTED_VALUE"""),"--")</f>
        <v>--</v>
      </c>
      <c r="X292" s="251" t="str">
        <f>IFERROR(__xludf.DUMMYFUNCTION("""COMPUTED_VALUE"""),"--")</f>
        <v>--</v>
      </c>
      <c r="Y292" s="251" t="str">
        <f>IFERROR(__xludf.DUMMYFUNCTION("""COMPUTED_VALUE"""),"--")</f>
        <v>--</v>
      </c>
      <c r="Z292" s="251" t="str">
        <f>IFERROR(__xludf.DUMMYFUNCTION("""COMPUTED_VALUE"""),"--")</f>
        <v>--</v>
      </c>
      <c r="AA292" s="251" t="str">
        <f>IFERROR(__xludf.DUMMYFUNCTION("""COMPUTED_VALUE"""),"--")</f>
        <v>--</v>
      </c>
      <c r="AB292" s="251" t="str">
        <f>IFERROR(__xludf.DUMMYFUNCTION("""COMPUTED_VALUE"""),"--")</f>
        <v>--</v>
      </c>
      <c r="AC292" s="251" t="str">
        <f>IFERROR(__xludf.DUMMYFUNCTION("""COMPUTED_VALUE"""),"--")</f>
        <v>--</v>
      </c>
      <c r="AD292" s="251">
        <f>IFERROR(__xludf.DUMMYFUNCTION("""COMPUTED_VALUE"""),1.0)</f>
        <v>1</v>
      </c>
      <c r="AE292" s="251" t="str">
        <f>IFERROR(__xludf.DUMMYFUNCTION("""COMPUTED_VALUE"""),"Herbivore")</f>
        <v>Herbivore</v>
      </c>
    </row>
    <row r="293">
      <c r="A293" s="251" t="str">
        <f>IFERROR(__xludf.DUMMYFUNCTION("""COMPUTED_VALUE"""),"Silcoon")</f>
        <v>Silcoon</v>
      </c>
      <c r="B293" s="251" t="str">
        <f>IFERROR(__xludf.DUMMYFUNCTION("""COMPUTED_VALUE"""),"Bug")</f>
        <v>Bug</v>
      </c>
      <c r="C293" s="251" t="str">
        <f>IFERROR(__xludf.DUMMYFUNCTION("""COMPUTED_VALUE"""),"None")</f>
        <v>None</v>
      </c>
      <c r="D293" s="251">
        <f>IFERROR(__xludf.DUMMYFUNCTION("""COMPUTED_VALUE"""),5.0)</f>
        <v>5</v>
      </c>
      <c r="E293" s="251">
        <f>IFERROR(__xludf.DUMMYFUNCTION("""COMPUTED_VALUE"""),4.0)</f>
        <v>4</v>
      </c>
      <c r="F293" s="251">
        <f>IFERROR(__xludf.DUMMYFUNCTION("""COMPUTED_VALUE"""),6.0)</f>
        <v>6</v>
      </c>
      <c r="G293" s="251">
        <f>IFERROR(__xludf.DUMMYFUNCTION("""COMPUTED_VALUE"""),3.0)</f>
        <v>3</v>
      </c>
      <c r="H293" s="251">
        <f>IFERROR(__xludf.DUMMYFUNCTION("""COMPUTED_VALUE"""),3.0)</f>
        <v>3</v>
      </c>
      <c r="I293" s="251">
        <f>IFERROR(__xludf.DUMMYFUNCTION("""COMPUTED_VALUE"""),2.0)</f>
        <v>2</v>
      </c>
      <c r="J293" s="251">
        <f>IFERROR(__xludf.DUMMYFUNCTION("""COMPUTED_VALUE"""),1.0)</f>
        <v>1</v>
      </c>
      <c r="K293" s="251" t="str">
        <f>IFERROR(__xludf.DUMMYFUNCTION("""COMPUTED_VALUE"""),"Small")</f>
        <v>Small</v>
      </c>
      <c r="L293" s="251">
        <f>IFERROR(__xludf.DUMMYFUNCTION("""COMPUTED_VALUE"""),1.0)</f>
        <v>1</v>
      </c>
      <c r="M293" s="251" t="str">
        <f>IFERROR(__xludf.DUMMYFUNCTION("""COMPUTED_VALUE"""),"Forest, Grasslands")</f>
        <v>Forest, Grasslands</v>
      </c>
      <c r="N293" s="251" t="str">
        <f>IFERROR(__xludf.DUMMYFUNCTION("""COMPUTED_VALUE"""),"Slow")</f>
        <v>Slow</v>
      </c>
      <c r="O293" s="251" t="str">
        <f>IFERROR(__xludf.DUMMYFUNCTION("""COMPUTED_VALUE"""),"--")</f>
        <v>--</v>
      </c>
      <c r="P293" s="251" t="str">
        <f>IFERROR(__xludf.DUMMYFUNCTION("""COMPUTED_VALUE"""),"--")</f>
        <v>--</v>
      </c>
      <c r="Q293" s="251" t="str">
        <f>IFERROR(__xludf.DUMMYFUNCTION("""COMPUTED_VALUE"""),"--")</f>
        <v>--</v>
      </c>
      <c r="R293" s="251" t="str">
        <f>IFERROR(__xludf.DUMMYFUNCTION("""COMPUTED_VALUE"""),"Threaded")</f>
        <v>Threaded</v>
      </c>
      <c r="S293" s="251" t="str">
        <f>IFERROR(__xludf.DUMMYFUNCTION("""COMPUTED_VALUE"""),"Underdog")</f>
        <v>Underdog</v>
      </c>
      <c r="T293" s="251" t="str">
        <f>IFERROR(__xludf.DUMMYFUNCTION("""COMPUTED_VALUE"""),"--")</f>
        <v>--</v>
      </c>
      <c r="U293" s="251" t="str">
        <f>IFERROR(__xludf.DUMMYFUNCTION("""COMPUTED_VALUE"""),"--")</f>
        <v>--</v>
      </c>
      <c r="V293" s="251" t="str">
        <f>IFERROR(__xludf.DUMMYFUNCTION("""COMPUTED_VALUE"""),"--")</f>
        <v>--</v>
      </c>
      <c r="W293" s="251" t="str">
        <f>IFERROR(__xludf.DUMMYFUNCTION("""COMPUTED_VALUE"""),"--")</f>
        <v>--</v>
      </c>
      <c r="X293" s="251" t="str">
        <f>IFERROR(__xludf.DUMMYFUNCTION("""COMPUTED_VALUE"""),"--")</f>
        <v>--</v>
      </c>
      <c r="Y293" s="251" t="str">
        <f>IFERROR(__xludf.DUMMYFUNCTION("""COMPUTED_VALUE"""),"--")</f>
        <v>--</v>
      </c>
      <c r="Z293" s="251" t="str">
        <f>IFERROR(__xludf.DUMMYFUNCTION("""COMPUTED_VALUE"""),"--")</f>
        <v>--</v>
      </c>
      <c r="AA293" s="251" t="str">
        <f>IFERROR(__xludf.DUMMYFUNCTION("""COMPUTED_VALUE"""),"--")</f>
        <v>--</v>
      </c>
      <c r="AB293" s="251" t="str">
        <f>IFERROR(__xludf.DUMMYFUNCTION("""COMPUTED_VALUE"""),"--")</f>
        <v>--</v>
      </c>
      <c r="AC293" s="251" t="str">
        <f>IFERROR(__xludf.DUMMYFUNCTION("""COMPUTED_VALUE"""),"--")</f>
        <v>--</v>
      </c>
      <c r="AD293" s="251">
        <f>IFERROR(__xludf.DUMMYFUNCTION("""COMPUTED_VALUE"""),2.0)</f>
        <v>2</v>
      </c>
      <c r="AE293" s="251" t="str">
        <f>IFERROR(__xludf.DUMMYFUNCTION("""COMPUTED_VALUE"""),"Nullivore")</f>
        <v>Nullivore</v>
      </c>
    </row>
    <row r="294">
      <c r="A294" s="251" t="str">
        <f>IFERROR(__xludf.DUMMYFUNCTION("""COMPUTED_VALUE"""),"Beautifly")</f>
        <v>Beautifly</v>
      </c>
      <c r="B294" s="251" t="str">
        <f>IFERROR(__xludf.DUMMYFUNCTION("""COMPUTED_VALUE"""),"Bug")</f>
        <v>Bug</v>
      </c>
      <c r="C294" s="251" t="str">
        <f>IFERROR(__xludf.DUMMYFUNCTION("""COMPUTED_VALUE"""),"Flying")</f>
        <v>Flying</v>
      </c>
      <c r="D294" s="251">
        <f>IFERROR(__xludf.DUMMYFUNCTION("""COMPUTED_VALUE"""),6.0)</f>
        <v>6</v>
      </c>
      <c r="E294" s="251">
        <f>IFERROR(__xludf.DUMMYFUNCTION("""COMPUTED_VALUE"""),7.0)</f>
        <v>7</v>
      </c>
      <c r="F294" s="251">
        <f>IFERROR(__xludf.DUMMYFUNCTION("""COMPUTED_VALUE"""),5.0)</f>
        <v>5</v>
      </c>
      <c r="G294" s="251">
        <f>IFERROR(__xludf.DUMMYFUNCTION("""COMPUTED_VALUE"""),10.0)</f>
        <v>10</v>
      </c>
      <c r="H294" s="251">
        <f>IFERROR(__xludf.DUMMYFUNCTION("""COMPUTED_VALUE"""),5.0)</f>
        <v>5</v>
      </c>
      <c r="I294" s="251">
        <f>IFERROR(__xludf.DUMMYFUNCTION("""COMPUTED_VALUE"""),7.0)</f>
        <v>7</v>
      </c>
      <c r="J294" s="251">
        <f>IFERROR(__xludf.DUMMYFUNCTION("""COMPUTED_VALUE"""),3.0)</f>
        <v>3</v>
      </c>
      <c r="K294" s="251" t="str">
        <f>IFERROR(__xludf.DUMMYFUNCTION("""COMPUTED_VALUE"""),"Medium")</f>
        <v>Medium</v>
      </c>
      <c r="L294" s="251">
        <f>IFERROR(__xludf.DUMMYFUNCTION("""COMPUTED_VALUE"""),3.0)</f>
        <v>3</v>
      </c>
      <c r="M294" s="251" t="str">
        <f>IFERROR(__xludf.DUMMYFUNCTION("""COMPUTED_VALUE"""),"Forest, Grasslands")</f>
        <v>Forest, Grasslands</v>
      </c>
      <c r="N294" s="251" t="str">
        <f>IFERROR(__xludf.DUMMYFUNCTION("""COMPUTED_VALUE"""),"Flier")</f>
        <v>Flier</v>
      </c>
      <c r="O294" s="251" t="str">
        <f>IFERROR(__xludf.DUMMYFUNCTION("""COMPUTED_VALUE"""),"--")</f>
        <v>--</v>
      </c>
      <c r="P294" s="251" t="str">
        <f>IFERROR(__xludf.DUMMYFUNCTION("""COMPUTED_VALUE"""),"--")</f>
        <v>--</v>
      </c>
      <c r="Q294" s="251" t="str">
        <f>IFERROR(__xludf.DUMMYFUNCTION("""COMPUTED_VALUE"""),"--")</f>
        <v>--</v>
      </c>
      <c r="R294" s="251" t="str">
        <f>IFERROR(__xludf.DUMMYFUNCTION("""COMPUTED_VALUE"""),"Threaded")</f>
        <v>Threaded</v>
      </c>
      <c r="S294" s="251" t="str">
        <f>IFERROR(__xludf.DUMMYFUNCTION("""COMPUTED_VALUE"""),"Underdog")</f>
        <v>Underdog</v>
      </c>
      <c r="T294" s="251" t="str">
        <f>IFERROR(__xludf.DUMMYFUNCTION("""COMPUTED_VALUE"""),"--")</f>
        <v>--</v>
      </c>
      <c r="U294" s="251" t="str">
        <f>IFERROR(__xludf.DUMMYFUNCTION("""COMPUTED_VALUE"""),"--")</f>
        <v>--</v>
      </c>
      <c r="V294" s="251" t="str">
        <f>IFERROR(__xludf.DUMMYFUNCTION("""COMPUTED_VALUE"""),"--")</f>
        <v>--</v>
      </c>
      <c r="W294" s="251" t="str">
        <f>IFERROR(__xludf.DUMMYFUNCTION("""COMPUTED_VALUE"""),"--")</f>
        <v>--</v>
      </c>
      <c r="X294" s="251" t="str">
        <f>IFERROR(__xludf.DUMMYFUNCTION("""COMPUTED_VALUE"""),"--")</f>
        <v>--</v>
      </c>
      <c r="Y294" s="251" t="str">
        <f>IFERROR(__xludf.DUMMYFUNCTION("""COMPUTED_VALUE"""),"--")</f>
        <v>--</v>
      </c>
      <c r="Z294" s="251" t="str">
        <f>IFERROR(__xludf.DUMMYFUNCTION("""COMPUTED_VALUE"""),"--")</f>
        <v>--</v>
      </c>
      <c r="AA294" s="251" t="str">
        <f>IFERROR(__xludf.DUMMYFUNCTION("""COMPUTED_VALUE"""),"--")</f>
        <v>--</v>
      </c>
      <c r="AB294" s="251" t="str">
        <f>IFERROR(__xludf.DUMMYFUNCTION("""COMPUTED_VALUE"""),"--")</f>
        <v>--</v>
      </c>
      <c r="AC294" s="251" t="str">
        <f>IFERROR(__xludf.DUMMYFUNCTION("""COMPUTED_VALUE"""),"--")</f>
        <v>--</v>
      </c>
      <c r="AD294" s="251">
        <f>IFERROR(__xludf.DUMMYFUNCTION("""COMPUTED_VALUE"""),3.0)</f>
        <v>3</v>
      </c>
      <c r="AE294" s="251" t="str">
        <f>IFERROR(__xludf.DUMMYFUNCTION("""COMPUTED_VALUE"""),"Herbivore")</f>
        <v>Herbivore</v>
      </c>
    </row>
    <row r="295">
      <c r="A295" s="251" t="str">
        <f>IFERROR(__xludf.DUMMYFUNCTION("""COMPUTED_VALUE"""),"Cascoon")</f>
        <v>Cascoon</v>
      </c>
      <c r="B295" s="251" t="str">
        <f>IFERROR(__xludf.DUMMYFUNCTION("""COMPUTED_VALUE"""),"Bug")</f>
        <v>Bug</v>
      </c>
      <c r="C295" s="251" t="str">
        <f>IFERROR(__xludf.DUMMYFUNCTION("""COMPUTED_VALUE"""),"None")</f>
        <v>None</v>
      </c>
      <c r="D295" s="251">
        <f>IFERROR(__xludf.DUMMYFUNCTION("""COMPUTED_VALUE"""),5.0)</f>
        <v>5</v>
      </c>
      <c r="E295" s="251">
        <f>IFERROR(__xludf.DUMMYFUNCTION("""COMPUTED_VALUE"""),4.0)</f>
        <v>4</v>
      </c>
      <c r="F295" s="251">
        <f>IFERROR(__xludf.DUMMYFUNCTION("""COMPUTED_VALUE"""),6.0)</f>
        <v>6</v>
      </c>
      <c r="G295" s="251">
        <f>IFERROR(__xludf.DUMMYFUNCTION("""COMPUTED_VALUE"""),3.0)</f>
        <v>3</v>
      </c>
      <c r="H295" s="251">
        <f>IFERROR(__xludf.DUMMYFUNCTION("""COMPUTED_VALUE"""),3.0)</f>
        <v>3</v>
      </c>
      <c r="I295" s="251">
        <f>IFERROR(__xludf.DUMMYFUNCTION("""COMPUTED_VALUE"""),2.0)</f>
        <v>2</v>
      </c>
      <c r="J295" s="251">
        <f>IFERROR(__xludf.DUMMYFUNCTION("""COMPUTED_VALUE"""),1.0)</f>
        <v>1</v>
      </c>
      <c r="K295" s="251" t="str">
        <f>IFERROR(__xludf.DUMMYFUNCTION("""COMPUTED_VALUE"""),"Small")</f>
        <v>Small</v>
      </c>
      <c r="L295" s="251">
        <f>IFERROR(__xludf.DUMMYFUNCTION("""COMPUTED_VALUE"""),1.0)</f>
        <v>1</v>
      </c>
      <c r="M295" s="251" t="str">
        <f>IFERROR(__xludf.DUMMYFUNCTION("""COMPUTED_VALUE"""),"Forest, Grasslands")</f>
        <v>Forest, Grasslands</v>
      </c>
      <c r="N295" s="251" t="str">
        <f>IFERROR(__xludf.DUMMYFUNCTION("""COMPUTED_VALUE"""),"Slow")</f>
        <v>Slow</v>
      </c>
      <c r="O295" s="251" t="str">
        <f>IFERROR(__xludf.DUMMYFUNCTION("""COMPUTED_VALUE"""),"--")</f>
        <v>--</v>
      </c>
      <c r="P295" s="251" t="str">
        <f>IFERROR(__xludf.DUMMYFUNCTION("""COMPUTED_VALUE"""),"--")</f>
        <v>--</v>
      </c>
      <c r="Q295" s="251" t="str">
        <f>IFERROR(__xludf.DUMMYFUNCTION("""COMPUTED_VALUE"""),"--")</f>
        <v>--</v>
      </c>
      <c r="R295" s="251" t="str">
        <f>IFERROR(__xludf.DUMMYFUNCTION("""COMPUTED_VALUE"""),"Threaded")</f>
        <v>Threaded</v>
      </c>
      <c r="S295" s="251" t="str">
        <f>IFERROR(__xludf.DUMMYFUNCTION("""COMPUTED_VALUE"""),"Underdog")</f>
        <v>Underdog</v>
      </c>
      <c r="T295" s="251" t="str">
        <f>IFERROR(__xludf.DUMMYFUNCTION("""COMPUTED_VALUE"""),"--")</f>
        <v>--</v>
      </c>
      <c r="U295" s="251" t="str">
        <f>IFERROR(__xludf.DUMMYFUNCTION("""COMPUTED_VALUE"""),"--")</f>
        <v>--</v>
      </c>
      <c r="V295" s="251" t="str">
        <f>IFERROR(__xludf.DUMMYFUNCTION("""COMPUTED_VALUE"""),"--")</f>
        <v>--</v>
      </c>
      <c r="W295" s="251" t="str">
        <f>IFERROR(__xludf.DUMMYFUNCTION("""COMPUTED_VALUE"""),"--")</f>
        <v>--</v>
      </c>
      <c r="X295" s="251" t="str">
        <f>IFERROR(__xludf.DUMMYFUNCTION("""COMPUTED_VALUE"""),"--")</f>
        <v>--</v>
      </c>
      <c r="Y295" s="251" t="str">
        <f>IFERROR(__xludf.DUMMYFUNCTION("""COMPUTED_VALUE"""),"--")</f>
        <v>--</v>
      </c>
      <c r="Z295" s="251" t="str">
        <f>IFERROR(__xludf.DUMMYFUNCTION("""COMPUTED_VALUE"""),"--")</f>
        <v>--</v>
      </c>
      <c r="AA295" s="251" t="str">
        <f>IFERROR(__xludf.DUMMYFUNCTION("""COMPUTED_VALUE"""),"--")</f>
        <v>--</v>
      </c>
      <c r="AB295" s="251" t="str">
        <f>IFERROR(__xludf.DUMMYFUNCTION("""COMPUTED_VALUE"""),"--")</f>
        <v>--</v>
      </c>
      <c r="AC295" s="251" t="str">
        <f>IFERROR(__xludf.DUMMYFUNCTION("""COMPUTED_VALUE"""),"--")</f>
        <v>--</v>
      </c>
      <c r="AD295" s="251">
        <f>IFERROR(__xludf.DUMMYFUNCTION("""COMPUTED_VALUE"""),2.0)</f>
        <v>2</v>
      </c>
      <c r="AE295" s="251" t="str">
        <f>IFERROR(__xludf.DUMMYFUNCTION("""COMPUTED_VALUE"""),"Nullivore")</f>
        <v>Nullivore</v>
      </c>
    </row>
    <row r="296">
      <c r="A296" s="251" t="str">
        <f>IFERROR(__xludf.DUMMYFUNCTION("""COMPUTED_VALUE"""),"Dustox")</f>
        <v>Dustox</v>
      </c>
      <c r="B296" s="251" t="str">
        <f>IFERROR(__xludf.DUMMYFUNCTION("""COMPUTED_VALUE"""),"Bug")</f>
        <v>Bug</v>
      </c>
      <c r="C296" s="251" t="str">
        <f>IFERROR(__xludf.DUMMYFUNCTION("""COMPUTED_VALUE"""),"Poison")</f>
        <v>Poison</v>
      </c>
      <c r="D296" s="251">
        <f>IFERROR(__xludf.DUMMYFUNCTION("""COMPUTED_VALUE"""),6.0)</f>
        <v>6</v>
      </c>
      <c r="E296" s="251">
        <f>IFERROR(__xludf.DUMMYFUNCTION("""COMPUTED_VALUE"""),5.0)</f>
        <v>5</v>
      </c>
      <c r="F296" s="251">
        <f>IFERROR(__xludf.DUMMYFUNCTION("""COMPUTED_VALUE"""),7.0)</f>
        <v>7</v>
      </c>
      <c r="G296" s="251">
        <f>IFERROR(__xludf.DUMMYFUNCTION("""COMPUTED_VALUE"""),5.0)</f>
        <v>5</v>
      </c>
      <c r="H296" s="251">
        <f>IFERROR(__xludf.DUMMYFUNCTION("""COMPUTED_VALUE"""),9.0)</f>
        <v>9</v>
      </c>
      <c r="I296" s="251">
        <f>IFERROR(__xludf.DUMMYFUNCTION("""COMPUTED_VALUE"""),7.0)</f>
        <v>7</v>
      </c>
      <c r="J296" s="251">
        <f>IFERROR(__xludf.DUMMYFUNCTION("""COMPUTED_VALUE"""),2.0)</f>
        <v>2</v>
      </c>
      <c r="K296" s="251" t="str">
        <f>IFERROR(__xludf.DUMMYFUNCTION("""COMPUTED_VALUE"""),"Medium")</f>
        <v>Medium</v>
      </c>
      <c r="L296" s="251">
        <f>IFERROR(__xludf.DUMMYFUNCTION("""COMPUTED_VALUE"""),3.0)</f>
        <v>3</v>
      </c>
      <c r="M296" s="251" t="str">
        <f>IFERROR(__xludf.DUMMYFUNCTION("""COMPUTED_VALUE"""),"Forest, Grasslands")</f>
        <v>Forest, Grasslands</v>
      </c>
      <c r="N296" s="251" t="str">
        <f>IFERROR(__xludf.DUMMYFUNCTION("""COMPUTED_VALUE"""),"Flier")</f>
        <v>Flier</v>
      </c>
      <c r="O296" s="251" t="str">
        <f>IFERROR(__xludf.DUMMYFUNCTION("""COMPUTED_VALUE"""),"--")</f>
        <v>--</v>
      </c>
      <c r="P296" s="251" t="str">
        <f>IFERROR(__xludf.DUMMYFUNCTION("""COMPUTED_VALUE"""),"--")</f>
        <v>--</v>
      </c>
      <c r="Q296" s="251" t="str">
        <f>IFERROR(__xludf.DUMMYFUNCTION("""COMPUTED_VALUE"""),"--")</f>
        <v>--</v>
      </c>
      <c r="R296" s="251" t="str">
        <f>IFERROR(__xludf.DUMMYFUNCTION("""COMPUTED_VALUE"""),"Threaded")</f>
        <v>Threaded</v>
      </c>
      <c r="S296" s="251" t="str">
        <f>IFERROR(__xludf.DUMMYFUNCTION("""COMPUTED_VALUE"""),"Underdog")</f>
        <v>Underdog</v>
      </c>
      <c r="T296" s="251" t="str">
        <f>IFERROR(__xludf.DUMMYFUNCTION("""COMPUTED_VALUE"""),"--")</f>
        <v>--</v>
      </c>
      <c r="U296" s="251" t="str">
        <f>IFERROR(__xludf.DUMMYFUNCTION("""COMPUTED_VALUE"""),"--")</f>
        <v>--</v>
      </c>
      <c r="V296" s="251" t="str">
        <f>IFERROR(__xludf.DUMMYFUNCTION("""COMPUTED_VALUE"""),"--")</f>
        <v>--</v>
      </c>
      <c r="W296" s="251" t="str">
        <f>IFERROR(__xludf.DUMMYFUNCTION("""COMPUTED_VALUE"""),"--")</f>
        <v>--</v>
      </c>
      <c r="X296" s="251" t="str">
        <f>IFERROR(__xludf.DUMMYFUNCTION("""COMPUTED_VALUE"""),"--")</f>
        <v>--</v>
      </c>
      <c r="Y296" s="251" t="str">
        <f>IFERROR(__xludf.DUMMYFUNCTION("""COMPUTED_VALUE"""),"--")</f>
        <v>--</v>
      </c>
      <c r="Z296" s="251" t="str">
        <f>IFERROR(__xludf.DUMMYFUNCTION("""COMPUTED_VALUE"""),"--")</f>
        <v>--</v>
      </c>
      <c r="AA296" s="251" t="str">
        <f>IFERROR(__xludf.DUMMYFUNCTION("""COMPUTED_VALUE"""),"--")</f>
        <v>--</v>
      </c>
      <c r="AB296" s="251" t="str">
        <f>IFERROR(__xludf.DUMMYFUNCTION("""COMPUTED_VALUE"""),"--")</f>
        <v>--</v>
      </c>
      <c r="AC296" s="251" t="str">
        <f>IFERROR(__xludf.DUMMYFUNCTION("""COMPUTED_VALUE"""),"--")</f>
        <v>--</v>
      </c>
      <c r="AD296" s="251">
        <f>IFERROR(__xludf.DUMMYFUNCTION("""COMPUTED_VALUE"""),3.0)</f>
        <v>3</v>
      </c>
      <c r="AE296" s="251" t="str">
        <f>IFERROR(__xludf.DUMMYFUNCTION("""COMPUTED_VALUE"""),"Herbivore")</f>
        <v>Herbivore</v>
      </c>
    </row>
    <row r="297">
      <c r="A297" s="251" t="str">
        <f>IFERROR(__xludf.DUMMYFUNCTION("""COMPUTED_VALUE"""),"Sewaddle")</f>
        <v>Sewaddle</v>
      </c>
      <c r="B297" s="251" t="str">
        <f>IFERROR(__xludf.DUMMYFUNCTION("""COMPUTED_VALUE"""),"Bug")</f>
        <v>Bug</v>
      </c>
      <c r="C297" s="251" t="str">
        <f>IFERROR(__xludf.DUMMYFUNCTION("""COMPUTED_VALUE"""),"Grass")</f>
        <v>Grass</v>
      </c>
      <c r="D297" s="251">
        <f>IFERROR(__xludf.DUMMYFUNCTION("""COMPUTED_VALUE"""),5.0)</f>
        <v>5</v>
      </c>
      <c r="E297" s="251">
        <f>IFERROR(__xludf.DUMMYFUNCTION("""COMPUTED_VALUE"""),5.0)</f>
        <v>5</v>
      </c>
      <c r="F297" s="251">
        <f>IFERROR(__xludf.DUMMYFUNCTION("""COMPUTED_VALUE"""),7.0)</f>
        <v>7</v>
      </c>
      <c r="G297" s="251">
        <f>IFERROR(__xludf.DUMMYFUNCTION("""COMPUTED_VALUE"""),4.0)</f>
        <v>4</v>
      </c>
      <c r="H297" s="251">
        <f>IFERROR(__xludf.DUMMYFUNCTION("""COMPUTED_VALUE"""),6.0)</f>
        <v>6</v>
      </c>
      <c r="I297" s="251">
        <f>IFERROR(__xludf.DUMMYFUNCTION("""COMPUTED_VALUE"""),4.0)</f>
        <v>4</v>
      </c>
      <c r="J297" s="251">
        <f>IFERROR(__xludf.DUMMYFUNCTION("""COMPUTED_VALUE"""),1.0)</f>
        <v>1</v>
      </c>
      <c r="K297" s="251" t="str">
        <f>IFERROR(__xludf.DUMMYFUNCTION("""COMPUTED_VALUE"""),"Small")</f>
        <v>Small</v>
      </c>
      <c r="L297" s="251">
        <f>IFERROR(__xludf.DUMMYFUNCTION("""COMPUTED_VALUE"""),1.0)</f>
        <v>1</v>
      </c>
      <c r="M297" s="251" t="str">
        <f>IFERROR(__xludf.DUMMYFUNCTION("""COMPUTED_VALUE"""),"Forest, Grasslands")</f>
        <v>Forest, Grasslands</v>
      </c>
      <c r="N297" s="251" t="str">
        <f>IFERROR(__xludf.DUMMYFUNCTION("""COMPUTED_VALUE"""),"Climber")</f>
        <v>Climber</v>
      </c>
      <c r="O297" s="251" t="str">
        <f>IFERROR(__xludf.DUMMYFUNCTION("""COMPUTED_VALUE"""),"Slow")</f>
        <v>Slow</v>
      </c>
      <c r="P297" s="251" t="str">
        <f>IFERROR(__xludf.DUMMYFUNCTION("""COMPUTED_VALUE"""),"--")</f>
        <v>--</v>
      </c>
      <c r="Q297" s="251" t="str">
        <f>IFERROR(__xludf.DUMMYFUNCTION("""COMPUTED_VALUE"""),"--")</f>
        <v>--</v>
      </c>
      <c r="R297" s="251" t="str">
        <f>IFERROR(__xludf.DUMMYFUNCTION("""COMPUTED_VALUE"""),"Threaded")</f>
        <v>Threaded</v>
      </c>
      <c r="S297" s="251" t="str">
        <f>IFERROR(__xludf.DUMMYFUNCTION("""COMPUTED_VALUE"""),"Underdog")</f>
        <v>Underdog</v>
      </c>
      <c r="T297" s="251" t="str">
        <f>IFERROR(__xludf.DUMMYFUNCTION("""COMPUTED_VALUE"""),"--")</f>
        <v>--</v>
      </c>
      <c r="U297" s="251" t="str">
        <f>IFERROR(__xludf.DUMMYFUNCTION("""COMPUTED_VALUE"""),"--")</f>
        <v>--</v>
      </c>
      <c r="V297" s="251" t="str">
        <f>IFERROR(__xludf.DUMMYFUNCTION("""COMPUTED_VALUE"""),"--")</f>
        <v>--</v>
      </c>
      <c r="W297" s="251" t="str">
        <f>IFERROR(__xludf.DUMMYFUNCTION("""COMPUTED_VALUE"""),"--")</f>
        <v>--</v>
      </c>
      <c r="X297" s="251" t="str">
        <f>IFERROR(__xludf.DUMMYFUNCTION("""COMPUTED_VALUE"""),"--")</f>
        <v>--</v>
      </c>
      <c r="Y297" s="251" t="str">
        <f>IFERROR(__xludf.DUMMYFUNCTION("""COMPUTED_VALUE"""),"--")</f>
        <v>--</v>
      </c>
      <c r="Z297" s="251" t="str">
        <f>IFERROR(__xludf.DUMMYFUNCTION("""COMPUTED_VALUE"""),"--")</f>
        <v>--</v>
      </c>
      <c r="AA297" s="251" t="str">
        <f>IFERROR(__xludf.DUMMYFUNCTION("""COMPUTED_VALUE"""),"--")</f>
        <v>--</v>
      </c>
      <c r="AB297" s="251" t="str">
        <f>IFERROR(__xludf.DUMMYFUNCTION("""COMPUTED_VALUE"""),"--")</f>
        <v>--</v>
      </c>
      <c r="AC297" s="251" t="str">
        <f>IFERROR(__xludf.DUMMYFUNCTION("""COMPUTED_VALUE"""),"--")</f>
        <v>--</v>
      </c>
      <c r="AD297" s="251">
        <f>IFERROR(__xludf.DUMMYFUNCTION("""COMPUTED_VALUE"""),1.0)</f>
        <v>1</v>
      </c>
      <c r="AE297" s="251" t="str">
        <f>IFERROR(__xludf.DUMMYFUNCTION("""COMPUTED_VALUE"""),"Herbivore")</f>
        <v>Herbivore</v>
      </c>
    </row>
    <row r="298">
      <c r="A298" s="251" t="str">
        <f>IFERROR(__xludf.DUMMYFUNCTION("""COMPUTED_VALUE"""),"Swadloon")</f>
        <v>Swadloon</v>
      </c>
      <c r="B298" s="251" t="str">
        <f>IFERROR(__xludf.DUMMYFUNCTION("""COMPUTED_VALUE"""),"Bug")</f>
        <v>Bug</v>
      </c>
      <c r="C298" s="251" t="str">
        <f>IFERROR(__xludf.DUMMYFUNCTION("""COMPUTED_VALUE"""),"Grass")</f>
        <v>Grass</v>
      </c>
      <c r="D298" s="251">
        <f>IFERROR(__xludf.DUMMYFUNCTION("""COMPUTED_VALUE"""),6.0)</f>
        <v>6</v>
      </c>
      <c r="E298" s="251">
        <f>IFERROR(__xludf.DUMMYFUNCTION("""COMPUTED_VALUE"""),6.0)</f>
        <v>6</v>
      </c>
      <c r="F298" s="251">
        <f>IFERROR(__xludf.DUMMYFUNCTION("""COMPUTED_VALUE"""),9.0)</f>
        <v>9</v>
      </c>
      <c r="G298" s="251">
        <f>IFERROR(__xludf.DUMMYFUNCTION("""COMPUTED_VALUE"""),5.0)</f>
        <v>5</v>
      </c>
      <c r="H298" s="251">
        <f>IFERROR(__xludf.DUMMYFUNCTION("""COMPUTED_VALUE"""),8.0)</f>
        <v>8</v>
      </c>
      <c r="I298" s="251">
        <f>IFERROR(__xludf.DUMMYFUNCTION("""COMPUTED_VALUE"""),4.0)</f>
        <v>4</v>
      </c>
      <c r="J298" s="251">
        <f>IFERROR(__xludf.DUMMYFUNCTION("""COMPUTED_VALUE"""),2.0)</f>
        <v>2</v>
      </c>
      <c r="K298" s="251" t="str">
        <f>IFERROR(__xludf.DUMMYFUNCTION("""COMPUTED_VALUE"""),"Small")</f>
        <v>Small</v>
      </c>
      <c r="L298" s="251">
        <f>IFERROR(__xludf.DUMMYFUNCTION("""COMPUTED_VALUE"""),1.0)</f>
        <v>1</v>
      </c>
      <c r="M298" s="251" t="str">
        <f>IFERROR(__xludf.DUMMYFUNCTION("""COMPUTED_VALUE"""),"Forest, Grasslands")</f>
        <v>Forest, Grasslands</v>
      </c>
      <c r="N298" s="251" t="str">
        <f>IFERROR(__xludf.DUMMYFUNCTION("""COMPUTED_VALUE"""),"Slow")</f>
        <v>Slow</v>
      </c>
      <c r="O298" s="251" t="str">
        <f>IFERROR(__xludf.DUMMYFUNCTION("""COMPUTED_VALUE"""),"--")</f>
        <v>--</v>
      </c>
      <c r="P298" s="251" t="str">
        <f>IFERROR(__xludf.DUMMYFUNCTION("""COMPUTED_VALUE"""),"--")</f>
        <v>--</v>
      </c>
      <c r="Q298" s="251" t="str">
        <f>IFERROR(__xludf.DUMMYFUNCTION("""COMPUTED_VALUE"""),"--")</f>
        <v>--</v>
      </c>
      <c r="R298" s="251" t="str">
        <f>IFERROR(__xludf.DUMMYFUNCTION("""COMPUTED_VALUE"""),"Threaded")</f>
        <v>Threaded</v>
      </c>
      <c r="S298" s="251" t="str">
        <f>IFERROR(__xludf.DUMMYFUNCTION("""COMPUTED_VALUE"""),"Underdog")</f>
        <v>Underdog</v>
      </c>
      <c r="T298" s="251" t="str">
        <f>IFERROR(__xludf.DUMMYFUNCTION("""COMPUTED_VALUE"""),"--")</f>
        <v>--</v>
      </c>
      <c r="U298" s="251" t="str">
        <f>IFERROR(__xludf.DUMMYFUNCTION("""COMPUTED_VALUE"""),"--")</f>
        <v>--</v>
      </c>
      <c r="V298" s="251" t="str">
        <f>IFERROR(__xludf.DUMMYFUNCTION("""COMPUTED_VALUE"""),"--")</f>
        <v>--</v>
      </c>
      <c r="W298" s="251" t="str">
        <f>IFERROR(__xludf.DUMMYFUNCTION("""COMPUTED_VALUE"""),"--")</f>
        <v>--</v>
      </c>
      <c r="X298" s="251" t="str">
        <f>IFERROR(__xludf.DUMMYFUNCTION("""COMPUTED_VALUE"""),"--")</f>
        <v>--</v>
      </c>
      <c r="Y298" s="251" t="str">
        <f>IFERROR(__xludf.DUMMYFUNCTION("""COMPUTED_VALUE"""),"--")</f>
        <v>--</v>
      </c>
      <c r="Z298" s="251" t="str">
        <f>IFERROR(__xludf.DUMMYFUNCTION("""COMPUTED_VALUE"""),"--")</f>
        <v>--</v>
      </c>
      <c r="AA298" s="251" t="str">
        <f>IFERROR(__xludf.DUMMYFUNCTION("""COMPUTED_VALUE"""),"--")</f>
        <v>--</v>
      </c>
      <c r="AB298" s="251" t="str">
        <f>IFERROR(__xludf.DUMMYFUNCTION("""COMPUTED_VALUE"""),"--")</f>
        <v>--</v>
      </c>
      <c r="AC298" s="251" t="str">
        <f>IFERROR(__xludf.DUMMYFUNCTION("""COMPUTED_VALUE"""),"--")</f>
        <v>--</v>
      </c>
      <c r="AD298" s="251">
        <f>IFERROR(__xludf.DUMMYFUNCTION("""COMPUTED_VALUE"""),2.0)</f>
        <v>2</v>
      </c>
      <c r="AE298" s="251" t="str">
        <f>IFERROR(__xludf.DUMMYFUNCTION("""COMPUTED_VALUE"""),"Herbivore")</f>
        <v>Herbivore</v>
      </c>
    </row>
    <row r="299">
      <c r="A299" s="251" t="str">
        <f>IFERROR(__xludf.DUMMYFUNCTION("""COMPUTED_VALUE"""),"Leavanny")</f>
        <v>Leavanny</v>
      </c>
      <c r="B299" s="251" t="str">
        <f>IFERROR(__xludf.DUMMYFUNCTION("""COMPUTED_VALUE"""),"Bug")</f>
        <v>Bug</v>
      </c>
      <c r="C299" s="251" t="str">
        <f>IFERROR(__xludf.DUMMYFUNCTION("""COMPUTED_VALUE"""),"Grass")</f>
        <v>Grass</v>
      </c>
      <c r="D299" s="251">
        <f>IFERROR(__xludf.DUMMYFUNCTION("""COMPUTED_VALUE"""),8.0)</f>
        <v>8</v>
      </c>
      <c r="E299" s="251">
        <f>IFERROR(__xludf.DUMMYFUNCTION("""COMPUTED_VALUE"""),11.0)</f>
        <v>11</v>
      </c>
      <c r="F299" s="251">
        <f>IFERROR(__xludf.DUMMYFUNCTION("""COMPUTED_VALUE"""),8.0)</f>
        <v>8</v>
      </c>
      <c r="G299" s="251">
        <f>IFERROR(__xludf.DUMMYFUNCTION("""COMPUTED_VALUE"""),7.0)</f>
        <v>7</v>
      </c>
      <c r="H299" s="251">
        <f>IFERROR(__xludf.DUMMYFUNCTION("""COMPUTED_VALUE"""),8.0)</f>
        <v>8</v>
      </c>
      <c r="I299" s="251">
        <f>IFERROR(__xludf.DUMMYFUNCTION("""COMPUTED_VALUE"""),9.0)</f>
        <v>9</v>
      </c>
      <c r="J299" s="251">
        <f>IFERROR(__xludf.DUMMYFUNCTION("""COMPUTED_VALUE"""),3.0)</f>
        <v>3</v>
      </c>
      <c r="K299" s="251" t="str">
        <f>IFERROR(__xludf.DUMMYFUNCTION("""COMPUTED_VALUE"""),"Medium")</f>
        <v>Medium</v>
      </c>
      <c r="L299" s="251">
        <f>IFERROR(__xludf.DUMMYFUNCTION("""COMPUTED_VALUE"""),2.0)</f>
        <v>2</v>
      </c>
      <c r="M299" s="251" t="str">
        <f>IFERROR(__xludf.DUMMYFUNCTION("""COMPUTED_VALUE"""),"Forest, Grasslands")</f>
        <v>Forest, Grasslands</v>
      </c>
      <c r="N299" s="251" t="str">
        <f>IFERROR(__xludf.DUMMYFUNCTION("""COMPUTED_VALUE"""),"--")</f>
        <v>--</v>
      </c>
      <c r="O299" s="251" t="str">
        <f>IFERROR(__xludf.DUMMYFUNCTION("""COMPUTED_VALUE"""),"--")</f>
        <v>--</v>
      </c>
      <c r="P299" s="251" t="str">
        <f>IFERROR(__xludf.DUMMYFUNCTION("""COMPUTED_VALUE"""),"--")</f>
        <v>--</v>
      </c>
      <c r="Q299" s="251" t="str">
        <f>IFERROR(__xludf.DUMMYFUNCTION("""COMPUTED_VALUE"""),"--")</f>
        <v>--</v>
      </c>
      <c r="R299" s="251" t="str">
        <f>IFERROR(__xludf.DUMMYFUNCTION("""COMPUTED_VALUE"""),"Threaded")</f>
        <v>Threaded</v>
      </c>
      <c r="S299" s="251" t="str">
        <f>IFERROR(__xludf.DUMMYFUNCTION("""COMPUTED_VALUE"""),"--")</f>
        <v>--</v>
      </c>
      <c r="T299" s="251" t="str">
        <f>IFERROR(__xludf.DUMMYFUNCTION("""COMPUTED_VALUE"""),"--")</f>
        <v>--</v>
      </c>
      <c r="U299" s="251" t="str">
        <f>IFERROR(__xludf.DUMMYFUNCTION("""COMPUTED_VALUE"""),"--")</f>
        <v>--</v>
      </c>
      <c r="V299" s="251" t="str">
        <f>IFERROR(__xludf.DUMMYFUNCTION("""COMPUTED_VALUE"""),"--")</f>
        <v>--</v>
      </c>
      <c r="W299" s="251" t="str">
        <f>IFERROR(__xludf.DUMMYFUNCTION("""COMPUTED_VALUE"""),"--")</f>
        <v>--</v>
      </c>
      <c r="X299" s="251" t="str">
        <f>IFERROR(__xludf.DUMMYFUNCTION("""COMPUTED_VALUE"""),"--")</f>
        <v>--</v>
      </c>
      <c r="Y299" s="251" t="str">
        <f>IFERROR(__xludf.DUMMYFUNCTION("""COMPUTED_VALUE"""),"--")</f>
        <v>--</v>
      </c>
      <c r="Z299" s="251" t="str">
        <f>IFERROR(__xludf.DUMMYFUNCTION("""COMPUTED_VALUE"""),"--")</f>
        <v>--</v>
      </c>
      <c r="AA299" s="251" t="str">
        <f>IFERROR(__xludf.DUMMYFUNCTION("""COMPUTED_VALUE"""),"--")</f>
        <v>--</v>
      </c>
      <c r="AB299" s="251" t="str">
        <f>IFERROR(__xludf.DUMMYFUNCTION("""COMPUTED_VALUE"""),"--")</f>
        <v>--</v>
      </c>
      <c r="AC299" s="251" t="str">
        <f>IFERROR(__xludf.DUMMYFUNCTION("""COMPUTED_VALUE"""),"--")</f>
        <v>--</v>
      </c>
      <c r="AD299" s="251">
        <f>IFERROR(__xludf.DUMMYFUNCTION("""COMPUTED_VALUE"""),3.0)</f>
        <v>3</v>
      </c>
      <c r="AE299" s="251" t="str">
        <f>IFERROR(__xludf.DUMMYFUNCTION("""COMPUTED_VALUE"""),"Herbivore")</f>
        <v>Herbivore</v>
      </c>
    </row>
    <row r="300">
      <c r="A300" s="251" t="str">
        <f>IFERROR(__xludf.DUMMYFUNCTION("""COMPUTED_VALUE"""),"Venipede")</f>
        <v>Venipede</v>
      </c>
      <c r="B300" s="251" t="str">
        <f>IFERROR(__xludf.DUMMYFUNCTION("""COMPUTED_VALUE"""),"Bug")</f>
        <v>Bug</v>
      </c>
      <c r="C300" s="251" t="str">
        <f>IFERROR(__xludf.DUMMYFUNCTION("""COMPUTED_VALUE"""),"Poison")</f>
        <v>Poison</v>
      </c>
      <c r="D300" s="251">
        <f>IFERROR(__xludf.DUMMYFUNCTION("""COMPUTED_VALUE"""),4.0)</f>
        <v>4</v>
      </c>
      <c r="E300" s="251">
        <f>IFERROR(__xludf.DUMMYFUNCTION("""COMPUTED_VALUE"""),5.0)</f>
        <v>5</v>
      </c>
      <c r="F300" s="251">
        <f>IFERROR(__xludf.DUMMYFUNCTION("""COMPUTED_VALUE"""),8.0)</f>
        <v>8</v>
      </c>
      <c r="G300" s="251">
        <f>IFERROR(__xludf.DUMMYFUNCTION("""COMPUTED_VALUE"""),3.0)</f>
        <v>3</v>
      </c>
      <c r="H300" s="251">
        <f>IFERROR(__xludf.DUMMYFUNCTION("""COMPUTED_VALUE"""),4.0)</f>
        <v>4</v>
      </c>
      <c r="I300" s="251">
        <f>IFERROR(__xludf.DUMMYFUNCTION("""COMPUTED_VALUE"""),6.0)</f>
        <v>6</v>
      </c>
      <c r="J300" s="251">
        <f>IFERROR(__xludf.DUMMYFUNCTION("""COMPUTED_VALUE"""),1.0)</f>
        <v>1</v>
      </c>
      <c r="K300" s="251" t="str">
        <f>IFERROR(__xludf.DUMMYFUNCTION("""COMPUTED_VALUE"""),"Small")</f>
        <v>Small</v>
      </c>
      <c r="L300" s="251">
        <f>IFERROR(__xludf.DUMMYFUNCTION("""COMPUTED_VALUE"""),1.0)</f>
        <v>1</v>
      </c>
      <c r="M300" s="251" t="str">
        <f>IFERROR(__xludf.DUMMYFUNCTION("""COMPUTED_VALUE"""),"Forest, Grasslands")</f>
        <v>Forest, Grasslands</v>
      </c>
      <c r="N300" s="251" t="str">
        <f>IFERROR(__xludf.DUMMYFUNCTION("""COMPUTED_VALUE"""),"Climber")</f>
        <v>Climber</v>
      </c>
      <c r="O300" s="251" t="str">
        <f>IFERROR(__xludf.DUMMYFUNCTION("""COMPUTED_VALUE"""),"--")</f>
        <v>--</v>
      </c>
      <c r="P300" s="251" t="str">
        <f>IFERROR(__xludf.DUMMYFUNCTION("""COMPUTED_VALUE"""),"--")</f>
        <v>--</v>
      </c>
      <c r="Q300" s="251" t="str">
        <f>IFERROR(__xludf.DUMMYFUNCTION("""COMPUTED_VALUE"""),"--")</f>
        <v>--</v>
      </c>
      <c r="R300" s="251" t="str">
        <f>IFERROR(__xludf.DUMMYFUNCTION("""COMPUTED_VALUE"""),"Underdog")</f>
        <v>Underdog</v>
      </c>
      <c r="S300" s="251" t="str">
        <f>IFERROR(__xludf.DUMMYFUNCTION("""COMPUTED_VALUE"""),"--")</f>
        <v>--</v>
      </c>
      <c r="T300" s="251" t="str">
        <f>IFERROR(__xludf.DUMMYFUNCTION("""COMPUTED_VALUE"""),"--")</f>
        <v>--</v>
      </c>
      <c r="U300" s="251" t="str">
        <f>IFERROR(__xludf.DUMMYFUNCTION("""COMPUTED_VALUE"""),"--")</f>
        <v>--</v>
      </c>
      <c r="V300" s="251" t="str">
        <f>IFERROR(__xludf.DUMMYFUNCTION("""COMPUTED_VALUE"""),"--")</f>
        <v>--</v>
      </c>
      <c r="W300" s="251" t="str">
        <f>IFERROR(__xludf.DUMMYFUNCTION("""COMPUTED_VALUE"""),"--")</f>
        <v>--</v>
      </c>
      <c r="X300" s="251" t="str">
        <f>IFERROR(__xludf.DUMMYFUNCTION("""COMPUTED_VALUE"""),"--")</f>
        <v>--</v>
      </c>
      <c r="Y300" s="251" t="str">
        <f>IFERROR(__xludf.DUMMYFUNCTION("""COMPUTED_VALUE"""),"--")</f>
        <v>--</v>
      </c>
      <c r="Z300" s="251" t="str">
        <f>IFERROR(__xludf.DUMMYFUNCTION("""COMPUTED_VALUE"""),"--")</f>
        <v>--</v>
      </c>
      <c r="AA300" s="251" t="str">
        <f>IFERROR(__xludf.DUMMYFUNCTION("""COMPUTED_VALUE"""),"--")</f>
        <v>--</v>
      </c>
      <c r="AB300" s="251" t="str">
        <f>IFERROR(__xludf.DUMMYFUNCTION("""COMPUTED_VALUE"""),"--")</f>
        <v>--</v>
      </c>
      <c r="AC300" s="251" t="str">
        <f>IFERROR(__xludf.DUMMYFUNCTION("""COMPUTED_VALUE"""),"--")</f>
        <v>--</v>
      </c>
      <c r="AD300" s="251">
        <f>IFERROR(__xludf.DUMMYFUNCTION("""COMPUTED_VALUE"""),1.0)</f>
        <v>1</v>
      </c>
      <c r="AE300" s="251" t="str">
        <f>IFERROR(__xludf.DUMMYFUNCTION("""COMPUTED_VALUE"""),"Herbivore")</f>
        <v>Herbivore</v>
      </c>
    </row>
    <row r="301">
      <c r="A301" s="251" t="str">
        <f>IFERROR(__xludf.DUMMYFUNCTION("""COMPUTED_VALUE"""),"Whirlipede")</f>
        <v>Whirlipede</v>
      </c>
      <c r="B301" s="251" t="str">
        <f>IFERROR(__xludf.DUMMYFUNCTION("""COMPUTED_VALUE"""),"Bug")</f>
        <v>Bug</v>
      </c>
      <c r="C301" s="251" t="str">
        <f>IFERROR(__xludf.DUMMYFUNCTION("""COMPUTED_VALUE"""),"Poison")</f>
        <v>Poison</v>
      </c>
      <c r="D301" s="251">
        <f>IFERROR(__xludf.DUMMYFUNCTION("""COMPUTED_VALUE"""),4.0)</f>
        <v>4</v>
      </c>
      <c r="E301" s="251">
        <f>IFERROR(__xludf.DUMMYFUNCTION("""COMPUTED_VALUE"""),6.0)</f>
        <v>6</v>
      </c>
      <c r="F301" s="251">
        <f>IFERROR(__xludf.DUMMYFUNCTION("""COMPUTED_VALUE"""),10.0)</f>
        <v>10</v>
      </c>
      <c r="G301" s="251">
        <f>IFERROR(__xludf.DUMMYFUNCTION("""COMPUTED_VALUE"""),4.0)</f>
        <v>4</v>
      </c>
      <c r="H301" s="251">
        <f>IFERROR(__xludf.DUMMYFUNCTION("""COMPUTED_VALUE"""),8.0)</f>
        <v>8</v>
      </c>
      <c r="I301" s="251">
        <f>IFERROR(__xludf.DUMMYFUNCTION("""COMPUTED_VALUE"""),5.0)</f>
        <v>5</v>
      </c>
      <c r="J301" s="251">
        <f>IFERROR(__xludf.DUMMYFUNCTION("""COMPUTED_VALUE"""),3.0)</f>
        <v>3</v>
      </c>
      <c r="K301" s="251" t="str">
        <f>IFERROR(__xludf.DUMMYFUNCTION("""COMPUTED_VALUE"""),"Medium")</f>
        <v>Medium</v>
      </c>
      <c r="L301" s="251">
        <f>IFERROR(__xludf.DUMMYFUNCTION("""COMPUTED_VALUE"""),4.0)</f>
        <v>4</v>
      </c>
      <c r="M301" s="251" t="str">
        <f>IFERROR(__xludf.DUMMYFUNCTION("""COMPUTED_VALUE"""),"Forest, Grasslands")</f>
        <v>Forest, Grasslands</v>
      </c>
      <c r="N301" s="251" t="str">
        <f>IFERROR(__xludf.DUMMYFUNCTION("""COMPUTED_VALUE"""),"--")</f>
        <v>--</v>
      </c>
      <c r="O301" s="251" t="str">
        <f>IFERROR(__xludf.DUMMYFUNCTION("""COMPUTED_VALUE"""),"--")</f>
        <v>--</v>
      </c>
      <c r="P301" s="251" t="str">
        <f>IFERROR(__xludf.DUMMYFUNCTION("""COMPUTED_VALUE"""),"--")</f>
        <v>--</v>
      </c>
      <c r="Q301" s="251" t="str">
        <f>IFERROR(__xludf.DUMMYFUNCTION("""COMPUTED_VALUE"""),"--")</f>
        <v>--</v>
      </c>
      <c r="R301" s="251" t="str">
        <f>IFERROR(__xludf.DUMMYFUNCTION("""COMPUTED_VALUE"""),"Underdog")</f>
        <v>Underdog</v>
      </c>
      <c r="S301" s="251" t="str">
        <f>IFERROR(__xludf.DUMMYFUNCTION("""COMPUTED_VALUE"""),"--")</f>
        <v>--</v>
      </c>
      <c r="T301" s="251" t="str">
        <f>IFERROR(__xludf.DUMMYFUNCTION("""COMPUTED_VALUE"""),"--")</f>
        <v>--</v>
      </c>
      <c r="U301" s="251" t="str">
        <f>IFERROR(__xludf.DUMMYFUNCTION("""COMPUTED_VALUE"""),"--")</f>
        <v>--</v>
      </c>
      <c r="V301" s="251" t="str">
        <f>IFERROR(__xludf.DUMMYFUNCTION("""COMPUTED_VALUE"""),"--")</f>
        <v>--</v>
      </c>
      <c r="W301" s="251" t="str">
        <f>IFERROR(__xludf.DUMMYFUNCTION("""COMPUTED_VALUE"""),"--")</f>
        <v>--</v>
      </c>
      <c r="X301" s="251" t="str">
        <f>IFERROR(__xludf.DUMMYFUNCTION("""COMPUTED_VALUE"""),"--")</f>
        <v>--</v>
      </c>
      <c r="Y301" s="251" t="str">
        <f>IFERROR(__xludf.DUMMYFUNCTION("""COMPUTED_VALUE"""),"--")</f>
        <v>--</v>
      </c>
      <c r="Z301" s="251" t="str">
        <f>IFERROR(__xludf.DUMMYFUNCTION("""COMPUTED_VALUE"""),"--")</f>
        <v>--</v>
      </c>
      <c r="AA301" s="251" t="str">
        <f>IFERROR(__xludf.DUMMYFUNCTION("""COMPUTED_VALUE"""),"--")</f>
        <v>--</v>
      </c>
      <c r="AB301" s="251" t="str">
        <f>IFERROR(__xludf.DUMMYFUNCTION("""COMPUTED_VALUE"""),"--")</f>
        <v>--</v>
      </c>
      <c r="AC301" s="251" t="str">
        <f>IFERROR(__xludf.DUMMYFUNCTION("""COMPUTED_VALUE"""),"--")</f>
        <v>--</v>
      </c>
      <c r="AD301" s="251">
        <f>IFERROR(__xludf.DUMMYFUNCTION("""COMPUTED_VALUE"""),2.0)</f>
        <v>2</v>
      </c>
      <c r="AE301" s="251" t="str">
        <f>IFERROR(__xludf.DUMMYFUNCTION("""COMPUTED_VALUE"""),"Herbivore")</f>
        <v>Herbivore</v>
      </c>
    </row>
    <row r="302">
      <c r="A302" s="251" t="str">
        <f>IFERROR(__xludf.DUMMYFUNCTION("""COMPUTED_VALUE"""),"Scolipede")</f>
        <v>Scolipede</v>
      </c>
      <c r="B302" s="251" t="str">
        <f>IFERROR(__xludf.DUMMYFUNCTION("""COMPUTED_VALUE"""),"Bug")</f>
        <v>Bug</v>
      </c>
      <c r="C302" s="251" t="str">
        <f>IFERROR(__xludf.DUMMYFUNCTION("""COMPUTED_VALUE"""),"Poison")</f>
        <v>Poison</v>
      </c>
      <c r="D302" s="251">
        <f>IFERROR(__xludf.DUMMYFUNCTION("""COMPUTED_VALUE"""),7.0)</f>
        <v>7</v>
      </c>
      <c r="E302" s="251">
        <f>IFERROR(__xludf.DUMMYFUNCTION("""COMPUTED_VALUE"""),10.0)</f>
        <v>10</v>
      </c>
      <c r="F302" s="251">
        <f>IFERROR(__xludf.DUMMYFUNCTION("""COMPUTED_VALUE"""),10.0)</f>
        <v>10</v>
      </c>
      <c r="G302" s="251">
        <f>IFERROR(__xludf.DUMMYFUNCTION("""COMPUTED_VALUE"""),6.0)</f>
        <v>6</v>
      </c>
      <c r="H302" s="251">
        <f>IFERROR(__xludf.DUMMYFUNCTION("""COMPUTED_VALUE"""),7.0)</f>
        <v>7</v>
      </c>
      <c r="I302" s="251">
        <f>IFERROR(__xludf.DUMMYFUNCTION("""COMPUTED_VALUE"""),11.0)</f>
        <v>11</v>
      </c>
      <c r="J302" s="251">
        <f>IFERROR(__xludf.DUMMYFUNCTION("""COMPUTED_VALUE"""),6.0)</f>
        <v>6</v>
      </c>
      <c r="K302" s="251" t="str">
        <f>IFERROR(__xludf.DUMMYFUNCTION("""COMPUTED_VALUE"""),"Large")</f>
        <v>Large</v>
      </c>
      <c r="L302" s="251">
        <f>IFERROR(__xludf.DUMMYFUNCTION("""COMPUTED_VALUE"""),6.0)</f>
        <v>6</v>
      </c>
      <c r="M302" s="251" t="str">
        <f>IFERROR(__xludf.DUMMYFUNCTION("""COMPUTED_VALUE"""),"Forest, Grasslands")</f>
        <v>Forest, Grasslands</v>
      </c>
      <c r="N302" s="251" t="str">
        <f>IFERROR(__xludf.DUMMYFUNCTION("""COMPUTED_VALUE"""),"Climber")</f>
        <v>Climber</v>
      </c>
      <c r="O302" s="251" t="str">
        <f>IFERROR(__xludf.DUMMYFUNCTION("""COMPUTED_VALUE"""),"--")</f>
        <v>--</v>
      </c>
      <c r="P302" s="251" t="str">
        <f>IFERROR(__xludf.DUMMYFUNCTION("""COMPUTED_VALUE"""),"--")</f>
        <v>--</v>
      </c>
      <c r="Q302" s="251" t="str">
        <f>IFERROR(__xludf.DUMMYFUNCTION("""COMPUTED_VALUE"""),"--")</f>
        <v>--</v>
      </c>
      <c r="R302" s="251" t="str">
        <f>IFERROR(__xludf.DUMMYFUNCTION("""COMPUTED_VALUE"""),"Mountable")</f>
        <v>Mountable</v>
      </c>
      <c r="S302" s="251" t="str">
        <f>IFERROR(__xludf.DUMMYFUNCTION("""COMPUTED_VALUE"""),"--")</f>
        <v>--</v>
      </c>
      <c r="T302" s="251" t="str">
        <f>IFERROR(__xludf.DUMMYFUNCTION("""COMPUTED_VALUE"""),"--")</f>
        <v>--</v>
      </c>
      <c r="U302" s="251" t="str">
        <f>IFERROR(__xludf.DUMMYFUNCTION("""COMPUTED_VALUE"""),"--")</f>
        <v>--</v>
      </c>
      <c r="V302" s="251" t="str">
        <f>IFERROR(__xludf.DUMMYFUNCTION("""COMPUTED_VALUE"""),"--")</f>
        <v>--</v>
      </c>
      <c r="W302" s="251" t="str">
        <f>IFERROR(__xludf.DUMMYFUNCTION("""COMPUTED_VALUE"""),"--")</f>
        <v>--</v>
      </c>
      <c r="X302" s="251" t="str">
        <f>IFERROR(__xludf.DUMMYFUNCTION("""COMPUTED_VALUE"""),"--")</f>
        <v>--</v>
      </c>
      <c r="Y302" s="251" t="str">
        <f>IFERROR(__xludf.DUMMYFUNCTION("""COMPUTED_VALUE"""),"--")</f>
        <v>--</v>
      </c>
      <c r="Z302" s="251" t="str">
        <f>IFERROR(__xludf.DUMMYFUNCTION("""COMPUTED_VALUE"""),"--")</f>
        <v>--</v>
      </c>
      <c r="AA302" s="251" t="str">
        <f>IFERROR(__xludf.DUMMYFUNCTION("""COMPUTED_VALUE"""),"--")</f>
        <v>--</v>
      </c>
      <c r="AB302" s="251" t="str">
        <f>IFERROR(__xludf.DUMMYFUNCTION("""COMPUTED_VALUE"""),"--")</f>
        <v>--</v>
      </c>
      <c r="AC302" s="251" t="str">
        <f>IFERROR(__xludf.DUMMYFUNCTION("""COMPUTED_VALUE"""),"--")</f>
        <v>--</v>
      </c>
      <c r="AD302" s="251">
        <f>IFERROR(__xludf.DUMMYFUNCTION("""COMPUTED_VALUE"""),3.0)</f>
        <v>3</v>
      </c>
      <c r="AE302" s="251" t="str">
        <f>IFERROR(__xludf.DUMMYFUNCTION("""COMPUTED_VALUE"""),"Herbivore")</f>
        <v>Herbivore</v>
      </c>
    </row>
    <row r="303">
      <c r="A303" s="251" t="str">
        <f>IFERROR(__xludf.DUMMYFUNCTION("""COMPUTED_VALUE"""),"Scatterbug")</f>
        <v>Scatterbug</v>
      </c>
      <c r="B303" s="251" t="str">
        <f>IFERROR(__xludf.DUMMYFUNCTION("""COMPUTED_VALUE"""),"Bug")</f>
        <v>Bug</v>
      </c>
      <c r="C303" s="251" t="str">
        <f>IFERROR(__xludf.DUMMYFUNCTION("""COMPUTED_VALUE"""),"None")</f>
        <v>None</v>
      </c>
      <c r="D303" s="251">
        <f>IFERROR(__xludf.DUMMYFUNCTION("""COMPUTED_VALUE"""),4.0)</f>
        <v>4</v>
      </c>
      <c r="E303" s="251">
        <f>IFERROR(__xludf.DUMMYFUNCTION("""COMPUTED_VALUE"""),4.0)</f>
        <v>4</v>
      </c>
      <c r="F303" s="251">
        <f>IFERROR(__xludf.DUMMYFUNCTION("""COMPUTED_VALUE"""),4.0)</f>
        <v>4</v>
      </c>
      <c r="G303" s="251">
        <f>IFERROR(__xludf.DUMMYFUNCTION("""COMPUTED_VALUE"""),3.0)</f>
        <v>3</v>
      </c>
      <c r="H303" s="251">
        <f>IFERROR(__xludf.DUMMYFUNCTION("""COMPUTED_VALUE"""),3.0)</f>
        <v>3</v>
      </c>
      <c r="I303" s="251">
        <f>IFERROR(__xludf.DUMMYFUNCTION("""COMPUTED_VALUE"""),4.0)</f>
        <v>4</v>
      </c>
      <c r="J303" s="251">
        <f>IFERROR(__xludf.DUMMYFUNCTION("""COMPUTED_VALUE"""),1.0)</f>
        <v>1</v>
      </c>
      <c r="K303" s="251" t="str">
        <f>IFERROR(__xludf.DUMMYFUNCTION("""COMPUTED_VALUE"""),"Small")</f>
        <v>Small</v>
      </c>
      <c r="L303" s="251">
        <f>IFERROR(__xludf.DUMMYFUNCTION("""COMPUTED_VALUE"""),1.0)</f>
        <v>1</v>
      </c>
      <c r="M303" s="251" t="str">
        <f>IFERROR(__xludf.DUMMYFUNCTION("""COMPUTED_VALUE"""),"Forest, Grasslands")</f>
        <v>Forest, Grasslands</v>
      </c>
      <c r="N303" s="251" t="str">
        <f>IFERROR(__xludf.DUMMYFUNCTION("""COMPUTED_VALUE"""),"Climber")</f>
        <v>Climber</v>
      </c>
      <c r="O303" s="251" t="str">
        <f>IFERROR(__xludf.DUMMYFUNCTION("""COMPUTED_VALUE"""),"Slow")</f>
        <v>Slow</v>
      </c>
      <c r="P303" s="251" t="str">
        <f>IFERROR(__xludf.DUMMYFUNCTION("""COMPUTED_VALUE"""),"--")</f>
        <v>--</v>
      </c>
      <c r="Q303" s="251" t="str">
        <f>IFERROR(__xludf.DUMMYFUNCTION("""COMPUTED_VALUE"""),"--")</f>
        <v>--</v>
      </c>
      <c r="R303" s="251" t="str">
        <f>IFERROR(__xludf.DUMMYFUNCTION("""COMPUTED_VALUE"""),"Threaded")</f>
        <v>Threaded</v>
      </c>
      <c r="S303" s="251" t="str">
        <f>IFERROR(__xludf.DUMMYFUNCTION("""COMPUTED_VALUE"""),"Underdog")</f>
        <v>Underdog</v>
      </c>
      <c r="T303" s="251" t="str">
        <f>IFERROR(__xludf.DUMMYFUNCTION("""COMPUTED_VALUE"""),"--")</f>
        <v>--</v>
      </c>
      <c r="U303" s="251" t="str">
        <f>IFERROR(__xludf.DUMMYFUNCTION("""COMPUTED_VALUE"""),"--")</f>
        <v>--</v>
      </c>
      <c r="V303" s="251" t="str">
        <f>IFERROR(__xludf.DUMMYFUNCTION("""COMPUTED_VALUE"""),"--")</f>
        <v>--</v>
      </c>
      <c r="W303" s="251" t="str">
        <f>IFERROR(__xludf.DUMMYFUNCTION("""COMPUTED_VALUE"""),"--")</f>
        <v>--</v>
      </c>
      <c r="X303" s="251" t="str">
        <f>IFERROR(__xludf.DUMMYFUNCTION("""COMPUTED_VALUE"""),"--")</f>
        <v>--</v>
      </c>
      <c r="Y303" s="251" t="str">
        <f>IFERROR(__xludf.DUMMYFUNCTION("""COMPUTED_VALUE"""),"--")</f>
        <v>--</v>
      </c>
      <c r="Z303" s="251" t="str">
        <f>IFERROR(__xludf.DUMMYFUNCTION("""COMPUTED_VALUE"""),"--")</f>
        <v>--</v>
      </c>
      <c r="AA303" s="251" t="str">
        <f>IFERROR(__xludf.DUMMYFUNCTION("""COMPUTED_VALUE"""),"--")</f>
        <v>--</v>
      </c>
      <c r="AB303" s="251" t="str">
        <f>IFERROR(__xludf.DUMMYFUNCTION("""COMPUTED_VALUE"""),"--")</f>
        <v>--</v>
      </c>
      <c r="AC303" s="251" t="str">
        <f>IFERROR(__xludf.DUMMYFUNCTION("""COMPUTED_VALUE"""),"--")</f>
        <v>--</v>
      </c>
      <c r="AD303" s="251">
        <f>IFERROR(__xludf.DUMMYFUNCTION("""COMPUTED_VALUE"""),1.0)</f>
        <v>1</v>
      </c>
      <c r="AE303" s="251" t="str">
        <f>IFERROR(__xludf.DUMMYFUNCTION("""COMPUTED_VALUE"""),"Herbivore")</f>
        <v>Herbivore</v>
      </c>
    </row>
    <row r="304">
      <c r="A304" s="251" t="str">
        <f>IFERROR(__xludf.DUMMYFUNCTION("""COMPUTED_VALUE"""),"Spewpa")</f>
        <v>Spewpa</v>
      </c>
      <c r="B304" s="251" t="str">
        <f>IFERROR(__xludf.DUMMYFUNCTION("""COMPUTED_VALUE"""),"Bug")</f>
        <v>Bug</v>
      </c>
      <c r="C304" s="251" t="str">
        <f>IFERROR(__xludf.DUMMYFUNCTION("""COMPUTED_VALUE"""),"None")</f>
        <v>None</v>
      </c>
      <c r="D304" s="251">
        <f>IFERROR(__xludf.DUMMYFUNCTION("""COMPUTED_VALUE"""),5.0)</f>
        <v>5</v>
      </c>
      <c r="E304" s="251">
        <f>IFERROR(__xludf.DUMMYFUNCTION("""COMPUTED_VALUE"""),2.0)</f>
        <v>2</v>
      </c>
      <c r="F304" s="251">
        <f>IFERROR(__xludf.DUMMYFUNCTION("""COMPUTED_VALUE"""),6.0)</f>
        <v>6</v>
      </c>
      <c r="G304" s="251">
        <f>IFERROR(__xludf.DUMMYFUNCTION("""COMPUTED_VALUE"""),3.0)</f>
        <v>3</v>
      </c>
      <c r="H304" s="251">
        <f>IFERROR(__xludf.DUMMYFUNCTION("""COMPUTED_VALUE"""),3.0)</f>
        <v>3</v>
      </c>
      <c r="I304" s="251">
        <f>IFERROR(__xludf.DUMMYFUNCTION("""COMPUTED_VALUE"""),3.0)</f>
        <v>3</v>
      </c>
      <c r="J304" s="251">
        <f>IFERROR(__xludf.DUMMYFUNCTION("""COMPUTED_VALUE"""),1.0)</f>
        <v>1</v>
      </c>
      <c r="K304" s="251" t="str">
        <f>IFERROR(__xludf.DUMMYFUNCTION("""COMPUTED_VALUE"""),"Small")</f>
        <v>Small</v>
      </c>
      <c r="L304" s="251">
        <f>IFERROR(__xludf.DUMMYFUNCTION("""COMPUTED_VALUE"""),1.0)</f>
        <v>1</v>
      </c>
      <c r="M304" s="251" t="str">
        <f>IFERROR(__xludf.DUMMYFUNCTION("""COMPUTED_VALUE"""),"Forest, Grasslands")</f>
        <v>Forest, Grasslands</v>
      </c>
      <c r="N304" s="251" t="str">
        <f>IFERROR(__xludf.DUMMYFUNCTION("""COMPUTED_VALUE"""),"Climber")</f>
        <v>Climber</v>
      </c>
      <c r="O304" s="251" t="str">
        <f>IFERROR(__xludf.DUMMYFUNCTION("""COMPUTED_VALUE"""),"Slow")</f>
        <v>Slow</v>
      </c>
      <c r="P304" s="251" t="str">
        <f>IFERROR(__xludf.DUMMYFUNCTION("""COMPUTED_VALUE"""),"--")</f>
        <v>--</v>
      </c>
      <c r="Q304" s="251" t="str">
        <f>IFERROR(__xludf.DUMMYFUNCTION("""COMPUTED_VALUE"""),"--")</f>
        <v>--</v>
      </c>
      <c r="R304" s="251" t="str">
        <f>IFERROR(__xludf.DUMMYFUNCTION("""COMPUTED_VALUE"""),"Threaded")</f>
        <v>Threaded</v>
      </c>
      <c r="S304" s="251" t="str">
        <f>IFERROR(__xludf.DUMMYFUNCTION("""COMPUTED_VALUE"""),"Underdog")</f>
        <v>Underdog</v>
      </c>
      <c r="T304" s="251" t="str">
        <f>IFERROR(__xludf.DUMMYFUNCTION("""COMPUTED_VALUE"""),"--")</f>
        <v>--</v>
      </c>
      <c r="U304" s="251" t="str">
        <f>IFERROR(__xludf.DUMMYFUNCTION("""COMPUTED_VALUE"""),"--")</f>
        <v>--</v>
      </c>
      <c r="V304" s="251" t="str">
        <f>IFERROR(__xludf.DUMMYFUNCTION("""COMPUTED_VALUE"""),"--")</f>
        <v>--</v>
      </c>
      <c r="W304" s="251" t="str">
        <f>IFERROR(__xludf.DUMMYFUNCTION("""COMPUTED_VALUE"""),"--")</f>
        <v>--</v>
      </c>
      <c r="X304" s="251" t="str">
        <f>IFERROR(__xludf.DUMMYFUNCTION("""COMPUTED_VALUE"""),"--")</f>
        <v>--</v>
      </c>
      <c r="Y304" s="251" t="str">
        <f>IFERROR(__xludf.DUMMYFUNCTION("""COMPUTED_VALUE"""),"--")</f>
        <v>--</v>
      </c>
      <c r="Z304" s="251" t="str">
        <f>IFERROR(__xludf.DUMMYFUNCTION("""COMPUTED_VALUE"""),"--")</f>
        <v>--</v>
      </c>
      <c r="AA304" s="251" t="str">
        <f>IFERROR(__xludf.DUMMYFUNCTION("""COMPUTED_VALUE"""),"--")</f>
        <v>--</v>
      </c>
      <c r="AB304" s="251" t="str">
        <f>IFERROR(__xludf.DUMMYFUNCTION("""COMPUTED_VALUE"""),"--")</f>
        <v>--</v>
      </c>
      <c r="AC304" s="251" t="str">
        <f>IFERROR(__xludf.DUMMYFUNCTION("""COMPUTED_VALUE"""),"--")</f>
        <v>--</v>
      </c>
      <c r="AD304" s="251">
        <f>IFERROR(__xludf.DUMMYFUNCTION("""COMPUTED_VALUE"""),2.0)</f>
        <v>2</v>
      </c>
      <c r="AE304" s="251" t="str">
        <f>IFERROR(__xludf.DUMMYFUNCTION("""COMPUTED_VALUE"""),"Herbivore")</f>
        <v>Herbivore</v>
      </c>
    </row>
    <row r="305">
      <c r="A305" s="251" t="str">
        <f>IFERROR(__xludf.DUMMYFUNCTION("""COMPUTED_VALUE"""),"Vivillon")</f>
        <v>Vivillon</v>
      </c>
      <c r="B305" s="251" t="str">
        <f>IFERROR(__xludf.DUMMYFUNCTION("""COMPUTED_VALUE"""),"Bug")</f>
        <v>Bug</v>
      </c>
      <c r="C305" s="251" t="str">
        <f>IFERROR(__xludf.DUMMYFUNCTION("""COMPUTED_VALUE"""),"Flying")</f>
        <v>Flying</v>
      </c>
      <c r="D305" s="251">
        <f>IFERROR(__xludf.DUMMYFUNCTION("""COMPUTED_VALUE"""),8.0)</f>
        <v>8</v>
      </c>
      <c r="E305" s="251">
        <f>IFERROR(__xludf.DUMMYFUNCTION("""COMPUTED_VALUE"""),5.0)</f>
        <v>5</v>
      </c>
      <c r="F305" s="251">
        <f>IFERROR(__xludf.DUMMYFUNCTION("""COMPUTED_VALUE"""),5.0)</f>
        <v>5</v>
      </c>
      <c r="G305" s="251">
        <f>IFERROR(__xludf.DUMMYFUNCTION("""COMPUTED_VALUE"""),9.0)</f>
        <v>9</v>
      </c>
      <c r="H305" s="251">
        <f>IFERROR(__xludf.DUMMYFUNCTION("""COMPUTED_VALUE"""),5.0)</f>
        <v>5</v>
      </c>
      <c r="I305" s="251">
        <f>IFERROR(__xludf.DUMMYFUNCTION("""COMPUTED_VALUE"""),9.0)</f>
        <v>9</v>
      </c>
      <c r="J305" s="251">
        <f>IFERROR(__xludf.DUMMYFUNCTION("""COMPUTED_VALUE"""),1.0)</f>
        <v>1</v>
      </c>
      <c r="K305" s="251" t="str">
        <f>IFERROR(__xludf.DUMMYFUNCTION("""COMPUTED_VALUE"""),"Medium")</f>
        <v>Medium</v>
      </c>
      <c r="L305" s="251">
        <f>IFERROR(__xludf.DUMMYFUNCTION("""COMPUTED_VALUE"""),2.0)</f>
        <v>2</v>
      </c>
      <c r="M305" s="251" t="str">
        <f>IFERROR(__xludf.DUMMYFUNCTION("""COMPUTED_VALUE"""),"Forest, Grasslands")</f>
        <v>Forest, Grasslands</v>
      </c>
      <c r="N305" s="251" t="str">
        <f>IFERROR(__xludf.DUMMYFUNCTION("""COMPUTED_VALUE"""),"Climber")</f>
        <v>Climber</v>
      </c>
      <c r="O305" s="251" t="str">
        <f>IFERROR(__xludf.DUMMYFUNCTION("""COMPUTED_VALUE"""),"Flier")</f>
        <v>Flier</v>
      </c>
      <c r="P305" s="251" t="str">
        <f>IFERROR(__xludf.DUMMYFUNCTION("""COMPUTED_VALUE"""),"--")</f>
        <v>--</v>
      </c>
      <c r="Q305" s="251" t="str">
        <f>IFERROR(__xludf.DUMMYFUNCTION("""COMPUTED_VALUE"""),"--")</f>
        <v>--</v>
      </c>
      <c r="R305" s="251" t="str">
        <f>IFERROR(__xludf.DUMMYFUNCTION("""COMPUTED_VALUE"""),"Threaded")</f>
        <v>Threaded</v>
      </c>
      <c r="S305" s="251" t="str">
        <f>IFERROR(__xludf.DUMMYFUNCTION("""COMPUTED_VALUE"""),"Underdog")</f>
        <v>Underdog</v>
      </c>
      <c r="T305" s="251" t="str">
        <f>IFERROR(__xludf.DUMMYFUNCTION("""COMPUTED_VALUE"""),"--")</f>
        <v>--</v>
      </c>
      <c r="U305" s="251" t="str">
        <f>IFERROR(__xludf.DUMMYFUNCTION("""COMPUTED_VALUE"""),"--")</f>
        <v>--</v>
      </c>
      <c r="V305" s="251" t="str">
        <f>IFERROR(__xludf.DUMMYFUNCTION("""COMPUTED_VALUE"""),"--")</f>
        <v>--</v>
      </c>
      <c r="W305" s="251" t="str">
        <f>IFERROR(__xludf.DUMMYFUNCTION("""COMPUTED_VALUE"""),"--")</f>
        <v>--</v>
      </c>
      <c r="X305" s="251" t="str">
        <f>IFERROR(__xludf.DUMMYFUNCTION("""COMPUTED_VALUE"""),"--")</f>
        <v>--</v>
      </c>
      <c r="Y305" s="251" t="str">
        <f>IFERROR(__xludf.DUMMYFUNCTION("""COMPUTED_VALUE"""),"--")</f>
        <v>--</v>
      </c>
      <c r="Z305" s="251" t="str">
        <f>IFERROR(__xludf.DUMMYFUNCTION("""COMPUTED_VALUE"""),"--")</f>
        <v>--</v>
      </c>
      <c r="AA305" s="251" t="str">
        <f>IFERROR(__xludf.DUMMYFUNCTION("""COMPUTED_VALUE"""),"--")</f>
        <v>--</v>
      </c>
      <c r="AB305" s="251" t="str">
        <f>IFERROR(__xludf.DUMMYFUNCTION("""COMPUTED_VALUE"""),"--")</f>
        <v>--</v>
      </c>
      <c r="AC305" s="251" t="str">
        <f>IFERROR(__xludf.DUMMYFUNCTION("""COMPUTED_VALUE"""),"--")</f>
        <v>--</v>
      </c>
      <c r="AD305" s="251">
        <f>IFERROR(__xludf.DUMMYFUNCTION("""COMPUTED_VALUE"""),3.0)</f>
        <v>3</v>
      </c>
      <c r="AE305" s="251" t="str">
        <f>IFERROR(__xludf.DUMMYFUNCTION("""COMPUTED_VALUE"""),"Herbivore")</f>
        <v>Herbivore</v>
      </c>
    </row>
    <row r="306">
      <c r="A306" s="251" t="str">
        <f>IFERROR(__xludf.DUMMYFUNCTION("""COMPUTED_VALUE"""),"Grubbin")</f>
        <v>Grubbin</v>
      </c>
      <c r="B306" s="251" t="str">
        <f>IFERROR(__xludf.DUMMYFUNCTION("""COMPUTED_VALUE"""),"Bug")</f>
        <v>Bug</v>
      </c>
      <c r="C306" s="251" t="str">
        <f>IFERROR(__xludf.DUMMYFUNCTION("""COMPUTED_VALUE"""),"None")</f>
        <v>None</v>
      </c>
      <c r="D306" s="251">
        <f>IFERROR(__xludf.DUMMYFUNCTION("""COMPUTED_VALUE"""),5.0)</f>
        <v>5</v>
      </c>
      <c r="E306" s="251">
        <f>IFERROR(__xludf.DUMMYFUNCTION("""COMPUTED_VALUE"""),6.0)</f>
        <v>6</v>
      </c>
      <c r="F306" s="251">
        <f>IFERROR(__xludf.DUMMYFUNCTION("""COMPUTED_VALUE"""),5.0)</f>
        <v>5</v>
      </c>
      <c r="G306" s="251">
        <f>IFERROR(__xludf.DUMMYFUNCTION("""COMPUTED_VALUE"""),6.0)</f>
        <v>6</v>
      </c>
      <c r="H306" s="251">
        <f>IFERROR(__xludf.DUMMYFUNCTION("""COMPUTED_VALUE"""),6.0)</f>
        <v>6</v>
      </c>
      <c r="I306" s="251">
        <f>IFERROR(__xludf.DUMMYFUNCTION("""COMPUTED_VALUE"""),5.0)</f>
        <v>5</v>
      </c>
      <c r="J306" s="251">
        <f>IFERROR(__xludf.DUMMYFUNCTION("""COMPUTED_VALUE"""),1.0)</f>
        <v>1</v>
      </c>
      <c r="K306" s="251" t="str">
        <f>IFERROR(__xludf.DUMMYFUNCTION("""COMPUTED_VALUE"""),"Small")</f>
        <v>Small</v>
      </c>
      <c r="L306" s="251">
        <f>IFERROR(__xludf.DUMMYFUNCTION("""COMPUTED_VALUE"""),1.0)</f>
        <v>1</v>
      </c>
      <c r="M306" s="251" t="str">
        <f>IFERROR(__xludf.DUMMYFUNCTION("""COMPUTED_VALUE"""),"Forest")</f>
        <v>Forest</v>
      </c>
      <c r="N306" s="251" t="str">
        <f>IFERROR(__xludf.DUMMYFUNCTION("""COMPUTED_VALUE"""),"Climber")</f>
        <v>Climber</v>
      </c>
      <c r="O306" s="251" t="str">
        <f>IFERROR(__xludf.DUMMYFUNCTION("""COMPUTED_VALUE"""),"--")</f>
        <v>--</v>
      </c>
      <c r="P306" s="251" t="str">
        <f>IFERROR(__xludf.DUMMYFUNCTION("""COMPUTED_VALUE"""),"--")</f>
        <v>--</v>
      </c>
      <c r="Q306" s="251" t="str">
        <f>IFERROR(__xludf.DUMMYFUNCTION("""COMPUTED_VALUE"""),"--")</f>
        <v>--</v>
      </c>
      <c r="R306" s="251" t="str">
        <f>IFERROR(__xludf.DUMMYFUNCTION("""COMPUTED_VALUE"""),"Threaded")</f>
        <v>Threaded</v>
      </c>
      <c r="S306" s="251" t="str">
        <f>IFERROR(__xludf.DUMMYFUNCTION("""COMPUTED_VALUE"""),"Underdog")</f>
        <v>Underdog</v>
      </c>
      <c r="T306" s="251" t="str">
        <f>IFERROR(__xludf.DUMMYFUNCTION("""COMPUTED_VALUE"""),"--")</f>
        <v>--</v>
      </c>
      <c r="U306" s="251" t="str">
        <f>IFERROR(__xludf.DUMMYFUNCTION("""COMPUTED_VALUE"""),"--")</f>
        <v>--</v>
      </c>
      <c r="V306" s="251" t="str">
        <f>IFERROR(__xludf.DUMMYFUNCTION("""COMPUTED_VALUE"""),"--")</f>
        <v>--</v>
      </c>
      <c r="W306" s="251" t="str">
        <f>IFERROR(__xludf.DUMMYFUNCTION("""COMPUTED_VALUE"""),"--")</f>
        <v>--</v>
      </c>
      <c r="X306" s="251" t="str">
        <f>IFERROR(__xludf.DUMMYFUNCTION("""COMPUTED_VALUE"""),"--")</f>
        <v>--</v>
      </c>
      <c r="Y306" s="251" t="str">
        <f>IFERROR(__xludf.DUMMYFUNCTION("""COMPUTED_VALUE"""),"--")</f>
        <v>--</v>
      </c>
      <c r="Z306" s="251" t="str">
        <f>IFERROR(__xludf.DUMMYFUNCTION("""COMPUTED_VALUE"""),"--")</f>
        <v>--</v>
      </c>
      <c r="AA306" s="251" t="str">
        <f>IFERROR(__xludf.DUMMYFUNCTION("""COMPUTED_VALUE"""),"--")</f>
        <v>--</v>
      </c>
      <c r="AB306" s="251" t="str">
        <f>IFERROR(__xludf.DUMMYFUNCTION("""COMPUTED_VALUE"""),"--")</f>
        <v>--</v>
      </c>
      <c r="AC306" s="251" t="str">
        <f>IFERROR(__xludf.DUMMYFUNCTION("""COMPUTED_VALUE"""),"--")</f>
        <v>--</v>
      </c>
      <c r="AD306" s="251">
        <f>IFERROR(__xludf.DUMMYFUNCTION("""COMPUTED_VALUE"""),1.0)</f>
        <v>1</v>
      </c>
      <c r="AE306" s="251" t="str">
        <f>IFERROR(__xludf.DUMMYFUNCTION("""COMPUTED_VALUE"""),"Herbivore")</f>
        <v>Herbivore</v>
      </c>
    </row>
    <row r="307">
      <c r="A307" s="251" t="str">
        <f>IFERROR(__xludf.DUMMYFUNCTION("""COMPUTED_VALUE"""),"Charjabug")</f>
        <v>Charjabug</v>
      </c>
      <c r="B307" s="251" t="str">
        <f>IFERROR(__xludf.DUMMYFUNCTION("""COMPUTED_VALUE"""),"Bug")</f>
        <v>Bug</v>
      </c>
      <c r="C307" s="251" t="str">
        <f>IFERROR(__xludf.DUMMYFUNCTION("""COMPUTED_VALUE"""),"Electric")</f>
        <v>Electric</v>
      </c>
      <c r="D307" s="251">
        <f>IFERROR(__xludf.DUMMYFUNCTION("""COMPUTED_VALUE"""),6.0)</f>
        <v>6</v>
      </c>
      <c r="E307" s="251">
        <f>IFERROR(__xludf.DUMMYFUNCTION("""COMPUTED_VALUE"""),8.0)</f>
        <v>8</v>
      </c>
      <c r="F307" s="251">
        <f>IFERROR(__xludf.DUMMYFUNCTION("""COMPUTED_VALUE"""),10.0)</f>
        <v>10</v>
      </c>
      <c r="G307" s="251">
        <f>IFERROR(__xludf.DUMMYFUNCTION("""COMPUTED_VALUE"""),6.0)</f>
        <v>6</v>
      </c>
      <c r="H307" s="251">
        <f>IFERROR(__xludf.DUMMYFUNCTION("""COMPUTED_VALUE"""),8.0)</f>
        <v>8</v>
      </c>
      <c r="I307" s="251">
        <f>IFERROR(__xludf.DUMMYFUNCTION("""COMPUTED_VALUE"""),4.0)</f>
        <v>4</v>
      </c>
      <c r="J307" s="251">
        <f>IFERROR(__xludf.DUMMYFUNCTION("""COMPUTED_VALUE"""),1.0)</f>
        <v>1</v>
      </c>
      <c r="K307" s="251" t="str">
        <f>IFERROR(__xludf.DUMMYFUNCTION("""COMPUTED_VALUE"""),"Small")</f>
        <v>Small</v>
      </c>
      <c r="L307" s="251">
        <f>IFERROR(__xludf.DUMMYFUNCTION("""COMPUTED_VALUE"""),1.0)</f>
        <v>1</v>
      </c>
      <c r="M307" s="251" t="str">
        <f>IFERROR(__xludf.DUMMYFUNCTION("""COMPUTED_VALUE"""),"Forest")</f>
        <v>Forest</v>
      </c>
      <c r="N307" s="251" t="str">
        <f>IFERROR(__xludf.DUMMYFUNCTION("""COMPUTED_VALUE"""),"Climber")</f>
        <v>Climber</v>
      </c>
      <c r="O307" s="251" t="str">
        <f>IFERROR(__xludf.DUMMYFUNCTION("""COMPUTED_VALUE"""),"--")</f>
        <v>--</v>
      </c>
      <c r="P307" s="251" t="str">
        <f>IFERROR(__xludf.DUMMYFUNCTION("""COMPUTED_VALUE"""),"--")</f>
        <v>--</v>
      </c>
      <c r="Q307" s="251" t="str">
        <f>IFERROR(__xludf.DUMMYFUNCTION("""COMPUTED_VALUE"""),"--")</f>
        <v>--</v>
      </c>
      <c r="R307" s="251" t="str">
        <f>IFERROR(__xludf.DUMMYFUNCTION("""COMPUTED_VALUE"""),"Threaded")</f>
        <v>Threaded</v>
      </c>
      <c r="S307" s="251" t="str">
        <f>IFERROR(__xludf.DUMMYFUNCTION("""COMPUTED_VALUE"""),"Underdog")</f>
        <v>Underdog</v>
      </c>
      <c r="T307" s="251" t="str">
        <f>IFERROR(__xludf.DUMMYFUNCTION("""COMPUTED_VALUE"""),"--")</f>
        <v>--</v>
      </c>
      <c r="U307" s="251" t="str">
        <f>IFERROR(__xludf.DUMMYFUNCTION("""COMPUTED_VALUE"""),"--")</f>
        <v>--</v>
      </c>
      <c r="V307" s="251" t="str">
        <f>IFERROR(__xludf.DUMMYFUNCTION("""COMPUTED_VALUE"""),"--")</f>
        <v>--</v>
      </c>
      <c r="W307" s="251" t="str">
        <f>IFERROR(__xludf.DUMMYFUNCTION("""COMPUTED_VALUE"""),"--")</f>
        <v>--</v>
      </c>
      <c r="X307" s="251" t="str">
        <f>IFERROR(__xludf.DUMMYFUNCTION("""COMPUTED_VALUE"""),"--")</f>
        <v>--</v>
      </c>
      <c r="Y307" s="251" t="str">
        <f>IFERROR(__xludf.DUMMYFUNCTION("""COMPUTED_VALUE"""),"--")</f>
        <v>--</v>
      </c>
      <c r="Z307" s="251" t="str">
        <f>IFERROR(__xludf.DUMMYFUNCTION("""COMPUTED_VALUE"""),"--")</f>
        <v>--</v>
      </c>
      <c r="AA307" s="251" t="str">
        <f>IFERROR(__xludf.DUMMYFUNCTION("""COMPUTED_VALUE"""),"--")</f>
        <v>--</v>
      </c>
      <c r="AB307" s="251" t="str">
        <f>IFERROR(__xludf.DUMMYFUNCTION("""COMPUTED_VALUE"""),"--")</f>
        <v>--</v>
      </c>
      <c r="AC307" s="251" t="str">
        <f>IFERROR(__xludf.DUMMYFUNCTION("""COMPUTED_VALUE"""),"--")</f>
        <v>--</v>
      </c>
      <c r="AD307" s="251">
        <f>IFERROR(__xludf.DUMMYFUNCTION("""COMPUTED_VALUE"""),2.0)</f>
        <v>2</v>
      </c>
      <c r="AE307" s="251" t="str">
        <f>IFERROR(__xludf.DUMMYFUNCTION("""COMPUTED_VALUE"""),"Herbivore")</f>
        <v>Herbivore</v>
      </c>
    </row>
    <row r="308">
      <c r="A308" s="251" t="str">
        <f>IFERROR(__xludf.DUMMYFUNCTION("""COMPUTED_VALUE"""),"Vikavolt")</f>
        <v>Vikavolt</v>
      </c>
      <c r="B308" s="251" t="str">
        <f>IFERROR(__xludf.DUMMYFUNCTION("""COMPUTED_VALUE"""),"Bug")</f>
        <v>Bug</v>
      </c>
      <c r="C308" s="251" t="str">
        <f>IFERROR(__xludf.DUMMYFUNCTION("""COMPUTED_VALUE"""),"Electric")</f>
        <v>Electric</v>
      </c>
      <c r="D308" s="251">
        <f>IFERROR(__xludf.DUMMYFUNCTION("""COMPUTED_VALUE"""),8.0)</f>
        <v>8</v>
      </c>
      <c r="E308" s="251">
        <f>IFERROR(__xludf.DUMMYFUNCTION("""COMPUTED_VALUE"""),7.0)</f>
        <v>7</v>
      </c>
      <c r="F308" s="251">
        <f>IFERROR(__xludf.DUMMYFUNCTION("""COMPUTED_VALUE"""),9.0)</f>
        <v>9</v>
      </c>
      <c r="G308" s="251">
        <f>IFERROR(__xludf.DUMMYFUNCTION("""COMPUTED_VALUE"""),15.0)</f>
        <v>15</v>
      </c>
      <c r="H308" s="251">
        <f>IFERROR(__xludf.DUMMYFUNCTION("""COMPUTED_VALUE"""),8.0)</f>
        <v>8</v>
      </c>
      <c r="I308" s="251">
        <f>IFERROR(__xludf.DUMMYFUNCTION("""COMPUTED_VALUE"""),4.0)</f>
        <v>4</v>
      </c>
      <c r="J308" s="251">
        <f>IFERROR(__xludf.DUMMYFUNCTION("""COMPUTED_VALUE"""),4.0)</f>
        <v>4</v>
      </c>
      <c r="K308" s="251" t="str">
        <f>IFERROR(__xludf.DUMMYFUNCTION("""COMPUTED_VALUE"""),"Medium")</f>
        <v>Medium</v>
      </c>
      <c r="L308" s="251">
        <f>IFERROR(__xludf.DUMMYFUNCTION("""COMPUTED_VALUE"""),3.0)</f>
        <v>3</v>
      </c>
      <c r="M308" s="251" t="str">
        <f>IFERROR(__xludf.DUMMYFUNCTION("""COMPUTED_VALUE"""),"Forest")</f>
        <v>Forest</v>
      </c>
      <c r="N308" s="251" t="str">
        <f>IFERROR(__xludf.DUMMYFUNCTION("""COMPUTED_VALUE"""),"Burrower")</f>
        <v>Burrower</v>
      </c>
      <c r="O308" s="251" t="str">
        <f>IFERROR(__xludf.DUMMYFUNCTION("""COMPUTED_VALUE"""),"Flier")</f>
        <v>Flier</v>
      </c>
      <c r="P308" s="251" t="str">
        <f>IFERROR(__xludf.DUMMYFUNCTION("""COMPUTED_VALUE"""),"--")</f>
        <v>--</v>
      </c>
      <c r="Q308" s="251" t="str">
        <f>IFERROR(__xludf.DUMMYFUNCTION("""COMPUTED_VALUE"""),"--")</f>
        <v>--</v>
      </c>
      <c r="R308" s="251" t="str">
        <f>IFERROR(__xludf.DUMMYFUNCTION("""COMPUTED_VALUE"""),"Threaded")</f>
        <v>Threaded</v>
      </c>
      <c r="S308" s="251" t="str">
        <f>IFERROR(__xludf.DUMMYFUNCTION("""COMPUTED_VALUE"""),"--")</f>
        <v>--</v>
      </c>
      <c r="T308" s="251" t="str">
        <f>IFERROR(__xludf.DUMMYFUNCTION("""COMPUTED_VALUE"""),"--")</f>
        <v>--</v>
      </c>
      <c r="U308" s="251" t="str">
        <f>IFERROR(__xludf.DUMMYFUNCTION("""COMPUTED_VALUE"""),"--")</f>
        <v>--</v>
      </c>
      <c r="V308" s="251" t="str">
        <f>IFERROR(__xludf.DUMMYFUNCTION("""COMPUTED_VALUE"""),"--")</f>
        <v>--</v>
      </c>
      <c r="W308" s="251" t="str">
        <f>IFERROR(__xludf.DUMMYFUNCTION("""COMPUTED_VALUE"""),"--")</f>
        <v>--</v>
      </c>
      <c r="X308" s="251" t="str">
        <f>IFERROR(__xludf.DUMMYFUNCTION("""COMPUTED_VALUE"""),"--")</f>
        <v>--</v>
      </c>
      <c r="Y308" s="251" t="str">
        <f>IFERROR(__xludf.DUMMYFUNCTION("""COMPUTED_VALUE"""),"--")</f>
        <v>--</v>
      </c>
      <c r="Z308" s="251" t="str">
        <f>IFERROR(__xludf.DUMMYFUNCTION("""COMPUTED_VALUE"""),"--")</f>
        <v>--</v>
      </c>
      <c r="AA308" s="251" t="str">
        <f>IFERROR(__xludf.DUMMYFUNCTION("""COMPUTED_VALUE"""),"--")</f>
        <v>--</v>
      </c>
      <c r="AB308" s="251" t="str">
        <f>IFERROR(__xludf.DUMMYFUNCTION("""COMPUTED_VALUE"""),"--")</f>
        <v>--</v>
      </c>
      <c r="AC308" s="251" t="str">
        <f>IFERROR(__xludf.DUMMYFUNCTION("""COMPUTED_VALUE"""),"--")</f>
        <v>--</v>
      </c>
      <c r="AD308" s="251">
        <f>IFERROR(__xludf.DUMMYFUNCTION("""COMPUTED_VALUE"""),3.0)</f>
        <v>3</v>
      </c>
      <c r="AE308" s="251" t="str">
        <f>IFERROR(__xludf.DUMMYFUNCTION("""COMPUTED_VALUE"""),"Herbivore")</f>
        <v>Herbivore</v>
      </c>
    </row>
    <row r="309">
      <c r="A309" s="251" t="str">
        <f>IFERROR(__xludf.DUMMYFUNCTION("""COMPUTED_VALUE"""),"Blipbug")</f>
        <v>Blipbug</v>
      </c>
      <c r="B309" s="251" t="str">
        <f>IFERROR(__xludf.DUMMYFUNCTION("""COMPUTED_VALUE"""),"Bug")</f>
        <v>Bug</v>
      </c>
      <c r="C309" s="251" t="str">
        <f>IFERROR(__xludf.DUMMYFUNCTION("""COMPUTED_VALUE"""),"None")</f>
        <v>None</v>
      </c>
      <c r="D309" s="251">
        <f>IFERROR(__xludf.DUMMYFUNCTION("""COMPUTED_VALUE"""),3.0)</f>
        <v>3</v>
      </c>
      <c r="E309" s="251">
        <f>IFERROR(__xludf.DUMMYFUNCTION("""COMPUTED_VALUE"""),2.0)</f>
        <v>2</v>
      </c>
      <c r="F309" s="251">
        <f>IFERROR(__xludf.DUMMYFUNCTION("""COMPUTED_VALUE"""),2.0)</f>
        <v>2</v>
      </c>
      <c r="G309" s="251">
        <f>IFERROR(__xludf.DUMMYFUNCTION("""COMPUTED_VALUE"""),3.0)</f>
        <v>3</v>
      </c>
      <c r="H309" s="251">
        <f>IFERROR(__xludf.DUMMYFUNCTION("""COMPUTED_VALUE"""),5.0)</f>
        <v>5</v>
      </c>
      <c r="I309" s="251">
        <f>IFERROR(__xludf.DUMMYFUNCTION("""COMPUTED_VALUE"""),5.0)</f>
        <v>5</v>
      </c>
      <c r="J309" s="251">
        <f>IFERROR(__xludf.DUMMYFUNCTION("""COMPUTED_VALUE"""),1.0)</f>
        <v>1</v>
      </c>
      <c r="K309" s="251" t="str">
        <f>IFERROR(__xludf.DUMMYFUNCTION("""COMPUTED_VALUE"""),"Small")</f>
        <v>Small</v>
      </c>
      <c r="L309" s="251">
        <f>IFERROR(__xludf.DUMMYFUNCTION("""COMPUTED_VALUE"""),1.0)</f>
        <v>1</v>
      </c>
      <c r="M309" s="251" t="str">
        <f>IFERROR(__xludf.DUMMYFUNCTION("""COMPUTED_VALUE"""),"Forest, Grasslands")</f>
        <v>Forest, Grasslands</v>
      </c>
      <c r="N309" s="251" t="str">
        <f>IFERROR(__xludf.DUMMYFUNCTION("""COMPUTED_VALUE"""),"Climber")</f>
        <v>Climber</v>
      </c>
      <c r="O309" s="251" t="str">
        <f>IFERROR(__xludf.DUMMYFUNCTION("""COMPUTED_VALUE"""),"Slow")</f>
        <v>Slow</v>
      </c>
      <c r="P309" s="251" t="str">
        <f>IFERROR(__xludf.DUMMYFUNCTION("""COMPUTED_VALUE"""),"--")</f>
        <v>--</v>
      </c>
      <c r="Q309" s="251" t="str">
        <f>IFERROR(__xludf.DUMMYFUNCTION("""COMPUTED_VALUE"""),"--")</f>
        <v>--</v>
      </c>
      <c r="R309" s="251" t="str">
        <f>IFERROR(__xludf.DUMMYFUNCTION("""COMPUTED_VALUE"""),"Threaded")</f>
        <v>Threaded</v>
      </c>
      <c r="S309" s="251" t="str">
        <f>IFERROR(__xludf.DUMMYFUNCTION("""COMPUTED_VALUE"""),"Underdog")</f>
        <v>Underdog</v>
      </c>
      <c r="T309" s="251" t="str">
        <f>IFERROR(__xludf.DUMMYFUNCTION("""COMPUTED_VALUE"""),"--")</f>
        <v>--</v>
      </c>
      <c r="U309" s="251" t="str">
        <f>IFERROR(__xludf.DUMMYFUNCTION("""COMPUTED_VALUE"""),"--")</f>
        <v>--</v>
      </c>
      <c r="V309" s="251" t="str">
        <f>IFERROR(__xludf.DUMMYFUNCTION("""COMPUTED_VALUE"""),"--")</f>
        <v>--</v>
      </c>
      <c r="W309" s="251" t="str">
        <f>IFERROR(__xludf.DUMMYFUNCTION("""COMPUTED_VALUE"""),"--")</f>
        <v>--</v>
      </c>
      <c r="X309" s="251" t="str">
        <f>IFERROR(__xludf.DUMMYFUNCTION("""COMPUTED_VALUE"""),"--")</f>
        <v>--</v>
      </c>
      <c r="Y309" s="251" t="str">
        <f>IFERROR(__xludf.DUMMYFUNCTION("""COMPUTED_VALUE"""),"--")</f>
        <v>--</v>
      </c>
      <c r="Z309" s="251" t="str">
        <f>IFERROR(__xludf.DUMMYFUNCTION("""COMPUTED_VALUE"""),"--")</f>
        <v>--</v>
      </c>
      <c r="AA309" s="251" t="str">
        <f>IFERROR(__xludf.DUMMYFUNCTION("""COMPUTED_VALUE"""),"--")</f>
        <v>--</v>
      </c>
      <c r="AB309" s="251" t="str">
        <f>IFERROR(__xludf.DUMMYFUNCTION("""COMPUTED_VALUE"""),"--")</f>
        <v>--</v>
      </c>
      <c r="AC309" s="251" t="str">
        <f>IFERROR(__xludf.DUMMYFUNCTION("""COMPUTED_VALUE"""),"--")</f>
        <v>--</v>
      </c>
      <c r="AD309" s="251">
        <f>IFERROR(__xludf.DUMMYFUNCTION("""COMPUTED_VALUE"""),1.0)</f>
        <v>1</v>
      </c>
      <c r="AE309" s="251" t="str">
        <f>IFERROR(__xludf.DUMMYFUNCTION("""COMPUTED_VALUE"""),"Herbivore")</f>
        <v>Herbivore</v>
      </c>
    </row>
    <row r="310">
      <c r="A310" s="251" t="str">
        <f>IFERROR(__xludf.DUMMYFUNCTION("""COMPUTED_VALUE"""),"Dottler")</f>
        <v>Dottler</v>
      </c>
      <c r="B310" s="251" t="str">
        <f>IFERROR(__xludf.DUMMYFUNCTION("""COMPUTED_VALUE"""),"Bug")</f>
        <v>Bug</v>
      </c>
      <c r="C310" s="251" t="str">
        <f>IFERROR(__xludf.DUMMYFUNCTION("""COMPUTED_VALUE"""),"Psychic")</f>
        <v>Psychic</v>
      </c>
      <c r="D310" s="251">
        <f>IFERROR(__xludf.DUMMYFUNCTION("""COMPUTED_VALUE"""),5.0)</f>
        <v>5</v>
      </c>
      <c r="E310" s="251">
        <f>IFERROR(__xludf.DUMMYFUNCTION("""COMPUTED_VALUE"""),4.0)</f>
        <v>4</v>
      </c>
      <c r="F310" s="251">
        <f>IFERROR(__xludf.DUMMYFUNCTION("""COMPUTED_VALUE"""),8.0)</f>
        <v>8</v>
      </c>
      <c r="G310" s="251">
        <f>IFERROR(__xludf.DUMMYFUNCTION("""COMPUTED_VALUE"""),5.0)</f>
        <v>5</v>
      </c>
      <c r="H310" s="251">
        <f>IFERROR(__xludf.DUMMYFUNCTION("""COMPUTED_VALUE"""),9.0)</f>
        <v>9</v>
      </c>
      <c r="I310" s="251">
        <f>IFERROR(__xludf.DUMMYFUNCTION("""COMPUTED_VALUE"""),3.0)</f>
        <v>3</v>
      </c>
      <c r="J310" s="251">
        <f>IFERROR(__xludf.DUMMYFUNCTION("""COMPUTED_VALUE"""),1.0)</f>
        <v>1</v>
      </c>
      <c r="K310" s="251" t="str">
        <f>IFERROR(__xludf.DUMMYFUNCTION("""COMPUTED_VALUE"""),"Small")</f>
        <v>Small</v>
      </c>
      <c r="L310" s="251">
        <f>IFERROR(__xludf.DUMMYFUNCTION("""COMPUTED_VALUE"""),2.0)</f>
        <v>2</v>
      </c>
      <c r="M310" s="251" t="str">
        <f>IFERROR(__xludf.DUMMYFUNCTION("""COMPUTED_VALUE"""),"Forest, Grasslands")</f>
        <v>Forest, Grasslands</v>
      </c>
      <c r="N310" s="251" t="str">
        <f>IFERROR(__xludf.DUMMYFUNCTION("""COMPUTED_VALUE"""),"Climber")</f>
        <v>Climber</v>
      </c>
      <c r="O310" s="251" t="str">
        <f>IFERROR(__xludf.DUMMYFUNCTION("""COMPUTED_VALUE"""),"Slow")</f>
        <v>Slow</v>
      </c>
      <c r="P310" s="251" t="str">
        <f>IFERROR(__xludf.DUMMYFUNCTION("""COMPUTED_VALUE"""),"--")</f>
        <v>--</v>
      </c>
      <c r="Q310" s="251" t="str">
        <f>IFERROR(__xludf.DUMMYFUNCTION("""COMPUTED_VALUE"""),"--")</f>
        <v>--</v>
      </c>
      <c r="R310" s="251" t="str">
        <f>IFERROR(__xludf.DUMMYFUNCTION("""COMPUTED_VALUE"""),"Threaded")</f>
        <v>Threaded</v>
      </c>
      <c r="S310" s="251" t="str">
        <f>IFERROR(__xludf.DUMMYFUNCTION("""COMPUTED_VALUE"""),"Underdog")</f>
        <v>Underdog</v>
      </c>
      <c r="T310" s="251" t="str">
        <f>IFERROR(__xludf.DUMMYFUNCTION("""COMPUTED_VALUE"""),"--")</f>
        <v>--</v>
      </c>
      <c r="U310" s="251" t="str">
        <f>IFERROR(__xludf.DUMMYFUNCTION("""COMPUTED_VALUE"""),"--")</f>
        <v>--</v>
      </c>
      <c r="V310" s="251" t="str">
        <f>IFERROR(__xludf.DUMMYFUNCTION("""COMPUTED_VALUE"""),"Glow")</f>
        <v>Glow</v>
      </c>
      <c r="W310" s="251" t="str">
        <f>IFERROR(__xludf.DUMMYFUNCTION("""COMPUTED_VALUE"""),"--")</f>
        <v>--</v>
      </c>
      <c r="X310" s="251" t="str">
        <f>IFERROR(__xludf.DUMMYFUNCTION("""COMPUTED_VALUE"""),"--")</f>
        <v>--</v>
      </c>
      <c r="Y310" s="251" t="str">
        <f>IFERROR(__xludf.DUMMYFUNCTION("""COMPUTED_VALUE"""),"--")</f>
        <v>--</v>
      </c>
      <c r="Z310" s="251" t="str">
        <f>IFERROR(__xludf.DUMMYFUNCTION("""COMPUTED_VALUE"""),"--")</f>
        <v>--</v>
      </c>
      <c r="AA310" s="251" t="str">
        <f>IFERROR(__xludf.DUMMYFUNCTION("""COMPUTED_VALUE"""),"--")</f>
        <v>--</v>
      </c>
      <c r="AB310" s="251" t="str">
        <f>IFERROR(__xludf.DUMMYFUNCTION("""COMPUTED_VALUE"""),"--")</f>
        <v>--</v>
      </c>
      <c r="AC310" s="251" t="str">
        <f>IFERROR(__xludf.DUMMYFUNCTION("""COMPUTED_VALUE"""),"--")</f>
        <v>--</v>
      </c>
      <c r="AD310" s="251">
        <f>IFERROR(__xludf.DUMMYFUNCTION("""COMPUTED_VALUE"""),2.0)</f>
        <v>2</v>
      </c>
      <c r="AE310" s="251" t="str">
        <f>IFERROR(__xludf.DUMMYFUNCTION("""COMPUTED_VALUE"""),"Nullivore")</f>
        <v>Nullivore</v>
      </c>
    </row>
    <row r="311">
      <c r="A311" s="251" t="str">
        <f>IFERROR(__xludf.DUMMYFUNCTION("""COMPUTED_VALUE"""),"Orbeetle")</f>
        <v>Orbeetle</v>
      </c>
      <c r="B311" s="251" t="str">
        <f>IFERROR(__xludf.DUMMYFUNCTION("""COMPUTED_VALUE"""),"Bug")</f>
        <v>Bug</v>
      </c>
      <c r="C311" s="251" t="str">
        <f>IFERROR(__xludf.DUMMYFUNCTION("""COMPUTED_VALUE"""),"Psychic")</f>
        <v>Psychic</v>
      </c>
      <c r="D311" s="251">
        <f>IFERROR(__xludf.DUMMYFUNCTION("""COMPUTED_VALUE"""),6.0)</f>
        <v>6</v>
      </c>
      <c r="E311" s="251">
        <f>IFERROR(__xludf.DUMMYFUNCTION("""COMPUTED_VALUE"""),5.0)</f>
        <v>5</v>
      </c>
      <c r="F311" s="251">
        <f>IFERROR(__xludf.DUMMYFUNCTION("""COMPUTED_VALUE"""),11.0)</f>
        <v>11</v>
      </c>
      <c r="G311" s="251">
        <f>IFERROR(__xludf.DUMMYFUNCTION("""COMPUTED_VALUE"""),8.0)</f>
        <v>8</v>
      </c>
      <c r="H311" s="251">
        <f>IFERROR(__xludf.DUMMYFUNCTION("""COMPUTED_VALUE"""),12.0)</f>
        <v>12</v>
      </c>
      <c r="I311" s="251">
        <f>IFERROR(__xludf.DUMMYFUNCTION("""COMPUTED_VALUE"""),9.0)</f>
        <v>9</v>
      </c>
      <c r="J311" s="251">
        <f>IFERROR(__xludf.DUMMYFUNCTION("""COMPUTED_VALUE"""),3.0)</f>
        <v>3</v>
      </c>
      <c r="K311" s="251" t="str">
        <f>IFERROR(__xludf.DUMMYFUNCTION("""COMPUTED_VALUE"""),"Small")</f>
        <v>Small</v>
      </c>
      <c r="L311" s="251">
        <f>IFERROR(__xludf.DUMMYFUNCTION("""COMPUTED_VALUE"""),3.0)</f>
        <v>3</v>
      </c>
      <c r="M311" s="251" t="str">
        <f>IFERROR(__xludf.DUMMYFUNCTION("""COMPUTED_VALUE"""),"Forest, Grasslands")</f>
        <v>Forest, Grasslands</v>
      </c>
      <c r="N311" s="251" t="str">
        <f>IFERROR(__xludf.DUMMYFUNCTION("""COMPUTED_VALUE"""),"Climber")</f>
        <v>Climber</v>
      </c>
      <c r="O311" s="251" t="str">
        <f>IFERROR(__xludf.DUMMYFUNCTION("""COMPUTED_VALUE"""),"Flier")</f>
        <v>Flier</v>
      </c>
      <c r="P311" s="251" t="str">
        <f>IFERROR(__xludf.DUMMYFUNCTION("""COMPUTED_VALUE"""),"--")</f>
        <v>--</v>
      </c>
      <c r="Q311" s="251" t="str">
        <f>IFERROR(__xludf.DUMMYFUNCTION("""COMPUTED_VALUE"""),"--")</f>
        <v>--</v>
      </c>
      <c r="R311" s="251" t="str">
        <f>IFERROR(__xludf.DUMMYFUNCTION("""COMPUTED_VALUE"""),"Telekinetic")</f>
        <v>Telekinetic</v>
      </c>
      <c r="S311" s="251" t="str">
        <f>IFERROR(__xludf.DUMMYFUNCTION("""COMPUTED_VALUE"""),"Threaded")</f>
        <v>Threaded</v>
      </c>
      <c r="T311" s="251" t="str">
        <f>IFERROR(__xludf.DUMMYFUNCTION("""COMPUTED_VALUE"""),"--")</f>
        <v>--</v>
      </c>
      <c r="U311" s="251" t="str">
        <f>IFERROR(__xludf.DUMMYFUNCTION("""COMPUTED_VALUE"""),"--")</f>
        <v>--</v>
      </c>
      <c r="V311" s="251" t="str">
        <f>IFERROR(__xludf.DUMMYFUNCTION("""COMPUTED_VALUE"""),"Glow")</f>
        <v>Glow</v>
      </c>
      <c r="W311" s="251" t="str">
        <f>IFERROR(__xludf.DUMMYFUNCTION("""COMPUTED_VALUE"""),"Telepath")</f>
        <v>Telepath</v>
      </c>
      <c r="X311" s="251" t="str">
        <f>IFERROR(__xludf.DUMMYFUNCTION("""COMPUTED_VALUE"""),"--")</f>
        <v>--</v>
      </c>
      <c r="Y311" s="251" t="str">
        <f>IFERROR(__xludf.DUMMYFUNCTION("""COMPUTED_VALUE"""),"--")</f>
        <v>--</v>
      </c>
      <c r="Z311" s="251" t="str">
        <f>IFERROR(__xludf.DUMMYFUNCTION("""COMPUTED_VALUE"""),"--")</f>
        <v>--</v>
      </c>
      <c r="AA311" s="251" t="str">
        <f>IFERROR(__xludf.DUMMYFUNCTION("""COMPUTED_VALUE"""),"--")</f>
        <v>--</v>
      </c>
      <c r="AB311" s="251" t="str">
        <f>IFERROR(__xludf.DUMMYFUNCTION("""COMPUTED_VALUE"""),"--")</f>
        <v>--</v>
      </c>
      <c r="AC311" s="251" t="str">
        <f>IFERROR(__xludf.DUMMYFUNCTION("""COMPUTED_VALUE"""),"--")</f>
        <v>--</v>
      </c>
      <c r="AD311" s="251">
        <f>IFERROR(__xludf.DUMMYFUNCTION("""COMPUTED_VALUE"""),3.0)</f>
        <v>3</v>
      </c>
      <c r="AE311" s="251" t="str">
        <f>IFERROR(__xludf.DUMMYFUNCTION("""COMPUTED_VALUE"""),"Nullivore")</f>
        <v>Nullivore</v>
      </c>
    </row>
    <row r="312">
      <c r="A312" s="251" t="str">
        <f>IFERROR(__xludf.DUMMYFUNCTION("""COMPUTED_VALUE"""),"Deino")</f>
        <v>Deino</v>
      </c>
      <c r="B312" s="251" t="str">
        <f>IFERROR(__xludf.DUMMYFUNCTION("""COMPUTED_VALUE"""),"Dark")</f>
        <v>Dark</v>
      </c>
      <c r="C312" s="251" t="str">
        <f>IFERROR(__xludf.DUMMYFUNCTION("""COMPUTED_VALUE"""),"Dragon")</f>
        <v>Dragon</v>
      </c>
      <c r="D312" s="251">
        <f>IFERROR(__xludf.DUMMYFUNCTION("""COMPUTED_VALUE"""),5.0)</f>
        <v>5</v>
      </c>
      <c r="E312" s="251">
        <f>IFERROR(__xludf.DUMMYFUNCTION("""COMPUTED_VALUE"""),7.0)</f>
        <v>7</v>
      </c>
      <c r="F312" s="251">
        <f>IFERROR(__xludf.DUMMYFUNCTION("""COMPUTED_VALUE"""),5.0)</f>
        <v>5</v>
      </c>
      <c r="G312" s="251">
        <f>IFERROR(__xludf.DUMMYFUNCTION("""COMPUTED_VALUE"""),5.0)</f>
        <v>5</v>
      </c>
      <c r="H312" s="251">
        <f>IFERROR(__xludf.DUMMYFUNCTION("""COMPUTED_VALUE"""),5.0)</f>
        <v>5</v>
      </c>
      <c r="I312" s="251">
        <f>IFERROR(__xludf.DUMMYFUNCTION("""COMPUTED_VALUE"""),4.0)</f>
        <v>4</v>
      </c>
      <c r="J312" s="251">
        <f>IFERROR(__xludf.DUMMYFUNCTION("""COMPUTED_VALUE"""),3.0)</f>
        <v>3</v>
      </c>
      <c r="K312" s="251" t="str">
        <f>IFERROR(__xludf.DUMMYFUNCTION("""COMPUTED_VALUE"""),"Small")</f>
        <v>Small</v>
      </c>
      <c r="L312" s="251">
        <f>IFERROR(__xludf.DUMMYFUNCTION("""COMPUTED_VALUE"""),2.0)</f>
        <v>2</v>
      </c>
      <c r="M312" s="251" t="str">
        <f>IFERROR(__xludf.DUMMYFUNCTION("""COMPUTED_VALUE"""),"Cave")</f>
        <v>Cave</v>
      </c>
      <c r="N312" s="251" t="str">
        <f>IFERROR(__xludf.DUMMYFUNCTION("""COMPUTED_VALUE"""),"--")</f>
        <v>--</v>
      </c>
      <c r="O312" s="251" t="str">
        <f>IFERROR(__xludf.DUMMYFUNCTION("""COMPUTED_VALUE"""),"--")</f>
        <v>--</v>
      </c>
      <c r="P312" s="251" t="str">
        <f>IFERROR(__xludf.DUMMYFUNCTION("""COMPUTED_VALUE"""),"--")</f>
        <v>--</v>
      </c>
      <c r="Q312" s="251" t="str">
        <f>IFERROR(__xludf.DUMMYFUNCTION("""COMPUTED_VALUE"""),"--")</f>
        <v>--</v>
      </c>
      <c r="R312" s="251" t="str">
        <f>IFERROR(__xludf.DUMMYFUNCTION("""COMPUTED_VALUE"""),"Blindsense")</f>
        <v>Blindsense</v>
      </c>
      <c r="S312" s="251" t="str">
        <f>IFERROR(__xludf.DUMMYFUNCTION("""COMPUTED_VALUE"""),"Underdog")</f>
        <v>Underdog</v>
      </c>
      <c r="T312" s="251" t="str">
        <f>IFERROR(__xludf.DUMMYFUNCTION("""COMPUTED_VALUE"""),"--")</f>
        <v>--</v>
      </c>
      <c r="U312" s="251" t="str">
        <f>IFERROR(__xludf.DUMMYFUNCTION("""COMPUTED_VALUE"""),"--")</f>
        <v>--</v>
      </c>
      <c r="V312" s="251" t="str">
        <f>IFERROR(__xludf.DUMMYFUNCTION("""COMPUTED_VALUE"""),"Mindlock")</f>
        <v>Mindlock</v>
      </c>
      <c r="W312" s="251" t="str">
        <f>IFERROR(__xludf.DUMMYFUNCTION("""COMPUTED_VALUE"""),"--")</f>
        <v>--</v>
      </c>
      <c r="X312" s="251" t="str">
        <f>IFERROR(__xludf.DUMMYFUNCTION("""COMPUTED_VALUE"""),"--")</f>
        <v>--</v>
      </c>
      <c r="Y312" s="251" t="str">
        <f>IFERROR(__xludf.DUMMYFUNCTION("""COMPUTED_VALUE"""),"--")</f>
        <v>--</v>
      </c>
      <c r="Z312" s="251" t="str">
        <f>IFERROR(__xludf.DUMMYFUNCTION("""COMPUTED_VALUE"""),"--")</f>
        <v>--</v>
      </c>
      <c r="AA312" s="251" t="str">
        <f>IFERROR(__xludf.DUMMYFUNCTION("""COMPUTED_VALUE"""),"--")</f>
        <v>--</v>
      </c>
      <c r="AB312" s="251" t="str">
        <f>IFERROR(__xludf.DUMMYFUNCTION("""COMPUTED_VALUE"""),"--")</f>
        <v>--</v>
      </c>
      <c r="AC312" s="251" t="str">
        <f>IFERROR(__xludf.DUMMYFUNCTION("""COMPUTED_VALUE"""),"--")</f>
        <v>--</v>
      </c>
      <c r="AD312" s="251">
        <f>IFERROR(__xludf.DUMMYFUNCTION("""COMPUTED_VALUE"""),1.0)</f>
        <v>1</v>
      </c>
      <c r="AE312" s="251" t="str">
        <f>IFERROR(__xludf.DUMMYFUNCTION("""COMPUTED_VALUE"""),"Carnivore")</f>
        <v>Carnivore</v>
      </c>
    </row>
    <row r="313">
      <c r="A313" s="251" t="str">
        <f>IFERROR(__xludf.DUMMYFUNCTION("""COMPUTED_VALUE"""),"Zweilous")</f>
        <v>Zweilous</v>
      </c>
      <c r="B313" s="251" t="str">
        <f>IFERROR(__xludf.DUMMYFUNCTION("""COMPUTED_VALUE"""),"Dark")</f>
        <v>Dark</v>
      </c>
      <c r="C313" s="251" t="str">
        <f>IFERROR(__xludf.DUMMYFUNCTION("""COMPUTED_VALUE"""),"Dragon")</f>
        <v>Dragon</v>
      </c>
      <c r="D313" s="251">
        <f>IFERROR(__xludf.DUMMYFUNCTION("""COMPUTED_VALUE"""),7.0)</f>
        <v>7</v>
      </c>
      <c r="E313" s="251">
        <f>IFERROR(__xludf.DUMMYFUNCTION("""COMPUTED_VALUE"""),9.0)</f>
        <v>9</v>
      </c>
      <c r="F313" s="251">
        <f>IFERROR(__xludf.DUMMYFUNCTION("""COMPUTED_VALUE"""),7.0)</f>
        <v>7</v>
      </c>
      <c r="G313" s="251">
        <f>IFERROR(__xludf.DUMMYFUNCTION("""COMPUTED_VALUE"""),7.0)</f>
        <v>7</v>
      </c>
      <c r="H313" s="251">
        <f>IFERROR(__xludf.DUMMYFUNCTION("""COMPUTED_VALUE"""),7.0)</f>
        <v>7</v>
      </c>
      <c r="I313" s="251">
        <f>IFERROR(__xludf.DUMMYFUNCTION("""COMPUTED_VALUE"""),6.0)</f>
        <v>6</v>
      </c>
      <c r="J313" s="251">
        <f>IFERROR(__xludf.DUMMYFUNCTION("""COMPUTED_VALUE"""),7.0)</f>
        <v>7</v>
      </c>
      <c r="K313" s="251" t="str">
        <f>IFERROR(__xludf.DUMMYFUNCTION("""COMPUTED_VALUE"""),"Medium")</f>
        <v>Medium</v>
      </c>
      <c r="L313" s="251">
        <f>IFERROR(__xludf.DUMMYFUNCTION("""COMPUTED_VALUE"""),4.0)</f>
        <v>4</v>
      </c>
      <c r="M313" s="251" t="str">
        <f>IFERROR(__xludf.DUMMYFUNCTION("""COMPUTED_VALUE"""),"Cave")</f>
        <v>Cave</v>
      </c>
      <c r="N313" s="251" t="str">
        <f>IFERROR(__xludf.DUMMYFUNCTION("""COMPUTED_VALUE"""),"--")</f>
        <v>--</v>
      </c>
      <c r="O313" s="251" t="str">
        <f>IFERROR(__xludf.DUMMYFUNCTION("""COMPUTED_VALUE"""),"--")</f>
        <v>--</v>
      </c>
      <c r="P313" s="251" t="str">
        <f>IFERROR(__xludf.DUMMYFUNCTION("""COMPUTED_VALUE"""),"--")</f>
        <v>--</v>
      </c>
      <c r="Q313" s="251" t="str">
        <f>IFERROR(__xludf.DUMMYFUNCTION("""COMPUTED_VALUE"""),"--")</f>
        <v>--</v>
      </c>
      <c r="R313" s="251" t="str">
        <f>IFERROR(__xludf.DUMMYFUNCTION("""COMPUTED_VALUE"""),"Blindsense")</f>
        <v>Blindsense</v>
      </c>
      <c r="S313" s="251" t="str">
        <f>IFERROR(__xludf.DUMMYFUNCTION("""COMPUTED_VALUE"""),"Underdog")</f>
        <v>Underdog</v>
      </c>
      <c r="T313" s="251" t="str">
        <f>IFERROR(__xludf.DUMMYFUNCTION("""COMPUTED_VALUE"""),"--")</f>
        <v>--</v>
      </c>
      <c r="U313" s="251" t="str">
        <f>IFERROR(__xludf.DUMMYFUNCTION("""COMPUTED_VALUE"""),"--")</f>
        <v>--</v>
      </c>
      <c r="V313" s="251" t="str">
        <f>IFERROR(__xludf.DUMMYFUNCTION("""COMPUTED_VALUE"""),"Mindlock")</f>
        <v>Mindlock</v>
      </c>
      <c r="W313" s="251" t="str">
        <f>IFERROR(__xludf.DUMMYFUNCTION("""COMPUTED_VALUE"""),"--")</f>
        <v>--</v>
      </c>
      <c r="X313" s="251" t="str">
        <f>IFERROR(__xludf.DUMMYFUNCTION("""COMPUTED_VALUE"""),"--")</f>
        <v>--</v>
      </c>
      <c r="Y313" s="251" t="str">
        <f>IFERROR(__xludf.DUMMYFUNCTION("""COMPUTED_VALUE"""),"--")</f>
        <v>--</v>
      </c>
      <c r="Z313" s="251" t="str">
        <f>IFERROR(__xludf.DUMMYFUNCTION("""COMPUTED_VALUE"""),"--")</f>
        <v>--</v>
      </c>
      <c r="AA313" s="251" t="str">
        <f>IFERROR(__xludf.DUMMYFUNCTION("""COMPUTED_VALUE"""),"--")</f>
        <v>--</v>
      </c>
      <c r="AB313" s="251" t="str">
        <f>IFERROR(__xludf.DUMMYFUNCTION("""COMPUTED_VALUE"""),"--")</f>
        <v>--</v>
      </c>
      <c r="AC313" s="251" t="str">
        <f>IFERROR(__xludf.DUMMYFUNCTION("""COMPUTED_VALUE"""),"--")</f>
        <v>--</v>
      </c>
      <c r="AD313" s="251">
        <f>IFERROR(__xludf.DUMMYFUNCTION("""COMPUTED_VALUE"""),2.0)</f>
        <v>2</v>
      </c>
      <c r="AE313" s="251" t="str">
        <f>IFERROR(__xludf.DUMMYFUNCTION("""COMPUTED_VALUE"""),"Carnivore")</f>
        <v>Carnivore</v>
      </c>
    </row>
    <row r="314">
      <c r="A314" s="251" t="str">
        <f>IFERROR(__xludf.DUMMYFUNCTION("""COMPUTED_VALUE"""),"Hydreigon")</f>
        <v>Hydreigon</v>
      </c>
      <c r="B314" s="251" t="str">
        <f>IFERROR(__xludf.DUMMYFUNCTION("""COMPUTED_VALUE"""),"Dark")</f>
        <v>Dark</v>
      </c>
      <c r="C314" s="251" t="str">
        <f>IFERROR(__xludf.DUMMYFUNCTION("""COMPUTED_VALUE"""),"Dragon")</f>
        <v>Dragon</v>
      </c>
      <c r="D314" s="251">
        <f>IFERROR(__xludf.DUMMYFUNCTION("""COMPUTED_VALUE"""),9.0)</f>
        <v>9</v>
      </c>
      <c r="E314" s="251">
        <f>IFERROR(__xludf.DUMMYFUNCTION("""COMPUTED_VALUE"""),11.0)</f>
        <v>11</v>
      </c>
      <c r="F314" s="251">
        <f>IFERROR(__xludf.DUMMYFUNCTION("""COMPUTED_VALUE"""),9.0)</f>
        <v>9</v>
      </c>
      <c r="G314" s="251">
        <f>IFERROR(__xludf.DUMMYFUNCTION("""COMPUTED_VALUE"""),13.0)</f>
        <v>13</v>
      </c>
      <c r="H314" s="251">
        <f>IFERROR(__xludf.DUMMYFUNCTION("""COMPUTED_VALUE"""),9.0)</f>
        <v>9</v>
      </c>
      <c r="I314" s="251">
        <f>IFERROR(__xludf.DUMMYFUNCTION("""COMPUTED_VALUE"""),10.0)</f>
        <v>10</v>
      </c>
      <c r="J314" s="251">
        <f>IFERROR(__xludf.DUMMYFUNCTION("""COMPUTED_VALUE"""),6.0)</f>
        <v>6</v>
      </c>
      <c r="K314" s="251" t="str">
        <f>IFERROR(__xludf.DUMMYFUNCTION("""COMPUTED_VALUE"""),"Medium")</f>
        <v>Medium</v>
      </c>
      <c r="L314" s="251">
        <f>IFERROR(__xludf.DUMMYFUNCTION("""COMPUTED_VALUE"""),5.0)</f>
        <v>5</v>
      </c>
      <c r="M314" s="251" t="str">
        <f>IFERROR(__xludf.DUMMYFUNCTION("""COMPUTED_VALUE"""),"Cave")</f>
        <v>Cave</v>
      </c>
      <c r="N314" s="251" t="str">
        <f>IFERROR(__xludf.DUMMYFUNCTION("""COMPUTED_VALUE"""),"Flier")</f>
        <v>Flier</v>
      </c>
      <c r="O314" s="251" t="str">
        <f>IFERROR(__xludf.DUMMYFUNCTION("""COMPUTED_VALUE"""),"--")</f>
        <v>--</v>
      </c>
      <c r="P314" s="251" t="str">
        <f>IFERROR(__xludf.DUMMYFUNCTION("""COMPUTED_VALUE"""),"--")</f>
        <v>--</v>
      </c>
      <c r="Q314" s="251" t="str">
        <f>IFERROR(__xludf.DUMMYFUNCTION("""COMPUTED_VALUE"""),"--")</f>
        <v>--</v>
      </c>
      <c r="R314" s="251" t="str">
        <f>IFERROR(__xludf.DUMMYFUNCTION("""COMPUTED_VALUE"""),"Blindsense")</f>
        <v>Blindsense</v>
      </c>
      <c r="S314" s="251" t="str">
        <f>IFERROR(__xludf.DUMMYFUNCTION("""COMPUTED_VALUE"""),"Mountable")</f>
        <v>Mountable</v>
      </c>
      <c r="T314" s="251" t="str">
        <f>IFERROR(__xludf.DUMMYFUNCTION("""COMPUTED_VALUE"""),"--")</f>
        <v>--</v>
      </c>
      <c r="U314" s="251" t="str">
        <f>IFERROR(__xludf.DUMMYFUNCTION("""COMPUTED_VALUE"""),"--")</f>
        <v>--</v>
      </c>
      <c r="V314" s="251" t="str">
        <f>IFERROR(__xludf.DUMMYFUNCTION("""COMPUTED_VALUE"""),"Mindlock")</f>
        <v>Mindlock</v>
      </c>
      <c r="W314" s="251" t="str">
        <f>IFERROR(__xludf.DUMMYFUNCTION("""COMPUTED_VALUE"""),"--")</f>
        <v>--</v>
      </c>
      <c r="X314" s="251" t="str">
        <f>IFERROR(__xludf.DUMMYFUNCTION("""COMPUTED_VALUE"""),"--")</f>
        <v>--</v>
      </c>
      <c r="Y314" s="251" t="str">
        <f>IFERROR(__xludf.DUMMYFUNCTION("""COMPUTED_VALUE"""),"--")</f>
        <v>--</v>
      </c>
      <c r="Z314" s="251" t="str">
        <f>IFERROR(__xludf.DUMMYFUNCTION("""COMPUTED_VALUE"""),"--")</f>
        <v>--</v>
      </c>
      <c r="AA314" s="251" t="str">
        <f>IFERROR(__xludf.DUMMYFUNCTION("""COMPUTED_VALUE"""),"--")</f>
        <v>--</v>
      </c>
      <c r="AB314" s="251" t="str">
        <f>IFERROR(__xludf.DUMMYFUNCTION("""COMPUTED_VALUE"""),"--")</f>
        <v>--</v>
      </c>
      <c r="AC314" s="251" t="str">
        <f>IFERROR(__xludf.DUMMYFUNCTION("""COMPUTED_VALUE"""),"--")</f>
        <v>--</v>
      </c>
      <c r="AD314" s="251">
        <f>IFERROR(__xludf.DUMMYFUNCTION("""COMPUTED_VALUE"""),3.0)</f>
        <v>3</v>
      </c>
      <c r="AE314" s="251" t="str">
        <f>IFERROR(__xludf.DUMMYFUNCTION("""COMPUTED_VALUE"""),"Carnivore")</f>
        <v>Carnivore</v>
      </c>
    </row>
    <row r="315">
      <c r="A315" s="251" t="str">
        <f>IFERROR(__xludf.DUMMYFUNCTION("""COMPUTED_VALUE"""),"Pawniard")</f>
        <v>Pawniard</v>
      </c>
      <c r="B315" s="251" t="str">
        <f>IFERROR(__xludf.DUMMYFUNCTION("""COMPUTED_VALUE"""),"Dark")</f>
        <v>Dark</v>
      </c>
      <c r="C315" s="251" t="str">
        <f>IFERROR(__xludf.DUMMYFUNCTION("""COMPUTED_VALUE"""),"Steel")</f>
        <v>Steel</v>
      </c>
      <c r="D315" s="251">
        <f>IFERROR(__xludf.DUMMYFUNCTION("""COMPUTED_VALUE"""),5.0)</f>
        <v>5</v>
      </c>
      <c r="E315" s="251">
        <f>IFERROR(__xludf.DUMMYFUNCTION("""COMPUTED_VALUE"""),9.0)</f>
        <v>9</v>
      </c>
      <c r="F315" s="251">
        <f>IFERROR(__xludf.DUMMYFUNCTION("""COMPUTED_VALUE"""),7.0)</f>
        <v>7</v>
      </c>
      <c r="G315" s="251">
        <f>IFERROR(__xludf.DUMMYFUNCTION("""COMPUTED_VALUE"""),4.0)</f>
        <v>4</v>
      </c>
      <c r="H315" s="251">
        <f>IFERROR(__xludf.DUMMYFUNCTION("""COMPUTED_VALUE"""),4.0)</f>
        <v>4</v>
      </c>
      <c r="I315" s="251">
        <f>IFERROR(__xludf.DUMMYFUNCTION("""COMPUTED_VALUE"""),6.0)</f>
        <v>6</v>
      </c>
      <c r="J315" s="251">
        <f>IFERROR(__xludf.DUMMYFUNCTION("""COMPUTED_VALUE"""),2.0)</f>
        <v>2</v>
      </c>
      <c r="K315" s="251" t="str">
        <f>IFERROR(__xludf.DUMMYFUNCTION("""COMPUTED_VALUE"""),"Small")</f>
        <v>Small</v>
      </c>
      <c r="L315" s="251">
        <f>IFERROR(__xludf.DUMMYFUNCTION("""COMPUTED_VALUE"""),1.0)</f>
        <v>1</v>
      </c>
      <c r="M315" s="251" t="str">
        <f>IFERROR(__xludf.DUMMYFUNCTION("""COMPUTED_VALUE"""),"Urban")</f>
        <v>Urban</v>
      </c>
      <c r="N315" s="251" t="str">
        <f>IFERROR(__xludf.DUMMYFUNCTION("""COMPUTED_VALUE"""),"Quick")</f>
        <v>Quick</v>
      </c>
      <c r="O315" s="251" t="str">
        <f>IFERROR(__xludf.DUMMYFUNCTION("""COMPUTED_VALUE"""),"--")</f>
        <v>--</v>
      </c>
      <c r="P315" s="251" t="str">
        <f>IFERROR(__xludf.DUMMYFUNCTION("""COMPUTED_VALUE"""),"--")</f>
        <v>--</v>
      </c>
      <c r="Q315" s="251" t="str">
        <f>IFERROR(__xludf.DUMMYFUNCTION("""COMPUTED_VALUE"""),"--")</f>
        <v>--</v>
      </c>
      <c r="R315" s="251" t="str">
        <f>IFERROR(__xludf.DUMMYFUNCTION("""COMPUTED_VALUE"""),"Underdog")</f>
        <v>Underdog</v>
      </c>
      <c r="S315" s="251" t="str">
        <f>IFERROR(__xludf.DUMMYFUNCTION("""COMPUTED_VALUE"""),"--")</f>
        <v>--</v>
      </c>
      <c r="T315" s="251" t="str">
        <f>IFERROR(__xludf.DUMMYFUNCTION("""COMPUTED_VALUE"""),"--")</f>
        <v>--</v>
      </c>
      <c r="U315" s="251" t="str">
        <f>IFERROR(__xludf.DUMMYFUNCTION("""COMPUTED_VALUE"""),"--")</f>
        <v>--</v>
      </c>
      <c r="V315" s="251" t="str">
        <f>IFERROR(__xludf.DUMMYFUNCTION("""COMPUTED_VALUE"""),"Pack Mon")</f>
        <v>Pack Mon</v>
      </c>
      <c r="W315" s="251" t="str">
        <f>IFERROR(__xludf.DUMMYFUNCTION("""COMPUTED_VALUE"""),"Tracker")</f>
        <v>Tracker</v>
      </c>
      <c r="X315" s="251" t="str">
        <f>IFERROR(__xludf.DUMMYFUNCTION("""COMPUTED_VALUE"""),"--")</f>
        <v>--</v>
      </c>
      <c r="Y315" s="251" t="str">
        <f>IFERROR(__xludf.DUMMYFUNCTION("""COMPUTED_VALUE"""),"--")</f>
        <v>--</v>
      </c>
      <c r="Z315" s="251" t="str">
        <f>IFERROR(__xludf.DUMMYFUNCTION("""COMPUTED_VALUE"""),"--")</f>
        <v>--</v>
      </c>
      <c r="AA315" s="251" t="str">
        <f>IFERROR(__xludf.DUMMYFUNCTION("""COMPUTED_VALUE"""),"--")</f>
        <v>--</v>
      </c>
      <c r="AB315" s="251" t="str">
        <f>IFERROR(__xludf.DUMMYFUNCTION("""COMPUTED_VALUE"""),"--")</f>
        <v>--</v>
      </c>
      <c r="AC315" s="251" t="str">
        <f>IFERROR(__xludf.DUMMYFUNCTION("""COMPUTED_VALUE"""),"--")</f>
        <v>--</v>
      </c>
      <c r="AD315" s="251">
        <f>IFERROR(__xludf.DUMMYFUNCTION("""COMPUTED_VALUE"""),1.0)</f>
        <v>1</v>
      </c>
      <c r="AE315" s="251" t="str">
        <f>IFERROR(__xludf.DUMMYFUNCTION("""COMPUTED_VALUE"""),"Omnivore")</f>
        <v>Omnivore</v>
      </c>
    </row>
    <row r="316">
      <c r="A316" s="251" t="str">
        <f>IFERROR(__xludf.DUMMYFUNCTION("""COMPUTED_VALUE"""),"Bisharp")</f>
        <v>Bisharp</v>
      </c>
      <c r="B316" s="251" t="str">
        <f>IFERROR(__xludf.DUMMYFUNCTION("""COMPUTED_VALUE"""),"Dark")</f>
        <v>Dark</v>
      </c>
      <c r="C316" s="251" t="str">
        <f>IFERROR(__xludf.DUMMYFUNCTION("""COMPUTED_VALUE"""),"Steel")</f>
        <v>Steel</v>
      </c>
      <c r="D316" s="251">
        <f>IFERROR(__xludf.DUMMYFUNCTION("""COMPUTED_VALUE"""),7.0)</f>
        <v>7</v>
      </c>
      <c r="E316" s="251">
        <f>IFERROR(__xludf.DUMMYFUNCTION("""COMPUTED_VALUE"""),13.0)</f>
        <v>13</v>
      </c>
      <c r="F316" s="251">
        <f>IFERROR(__xludf.DUMMYFUNCTION("""COMPUTED_VALUE"""),11.0)</f>
        <v>11</v>
      </c>
      <c r="G316" s="251">
        <f>IFERROR(__xludf.DUMMYFUNCTION("""COMPUTED_VALUE"""),6.0)</f>
        <v>6</v>
      </c>
      <c r="H316" s="251">
        <f>IFERROR(__xludf.DUMMYFUNCTION("""COMPUTED_VALUE"""),7.0)</f>
        <v>7</v>
      </c>
      <c r="I316" s="251">
        <f>IFERROR(__xludf.DUMMYFUNCTION("""COMPUTED_VALUE"""),7.0)</f>
        <v>7</v>
      </c>
      <c r="J316" s="251">
        <f>IFERROR(__xludf.DUMMYFUNCTION("""COMPUTED_VALUE"""),7.0)</f>
        <v>7</v>
      </c>
      <c r="K316" s="251" t="str">
        <f>IFERROR(__xludf.DUMMYFUNCTION("""COMPUTED_VALUE"""),"Medium")</f>
        <v>Medium</v>
      </c>
      <c r="L316" s="251">
        <f>IFERROR(__xludf.DUMMYFUNCTION("""COMPUTED_VALUE"""),4.0)</f>
        <v>4</v>
      </c>
      <c r="M316" s="251" t="str">
        <f>IFERROR(__xludf.DUMMYFUNCTION("""COMPUTED_VALUE"""),"Urban")</f>
        <v>Urban</v>
      </c>
      <c r="N316" s="251" t="str">
        <f>IFERROR(__xludf.DUMMYFUNCTION("""COMPUTED_VALUE"""),"Quick")</f>
        <v>Quick</v>
      </c>
      <c r="O316" s="251" t="str">
        <f>IFERROR(__xludf.DUMMYFUNCTION("""COMPUTED_VALUE"""),"--")</f>
        <v>--</v>
      </c>
      <c r="P316" s="251" t="str">
        <f>IFERROR(__xludf.DUMMYFUNCTION("""COMPUTED_VALUE"""),"--")</f>
        <v>--</v>
      </c>
      <c r="Q316" s="251" t="str">
        <f>IFERROR(__xludf.DUMMYFUNCTION("""COMPUTED_VALUE"""),"--")</f>
        <v>--</v>
      </c>
      <c r="R316" s="251" t="str">
        <f>IFERROR(__xludf.DUMMYFUNCTION("""COMPUTED_VALUE"""),"--")</f>
        <v>--</v>
      </c>
      <c r="S316" s="251" t="str">
        <f>IFERROR(__xludf.DUMMYFUNCTION("""COMPUTED_VALUE"""),"--")</f>
        <v>--</v>
      </c>
      <c r="T316" s="251" t="str">
        <f>IFERROR(__xludf.DUMMYFUNCTION("""COMPUTED_VALUE"""),"--")</f>
        <v>--</v>
      </c>
      <c r="U316" s="251" t="str">
        <f>IFERROR(__xludf.DUMMYFUNCTION("""COMPUTED_VALUE"""),"--")</f>
        <v>--</v>
      </c>
      <c r="V316" s="251" t="str">
        <f>IFERROR(__xludf.DUMMYFUNCTION("""COMPUTED_VALUE"""),"Pack Mon")</f>
        <v>Pack Mon</v>
      </c>
      <c r="W316" s="251" t="str">
        <f>IFERROR(__xludf.DUMMYFUNCTION("""COMPUTED_VALUE"""),"Tracker")</f>
        <v>Tracker</v>
      </c>
      <c r="X316" s="251" t="str">
        <f>IFERROR(__xludf.DUMMYFUNCTION("""COMPUTED_VALUE"""),"--")</f>
        <v>--</v>
      </c>
      <c r="Y316" s="251" t="str">
        <f>IFERROR(__xludf.DUMMYFUNCTION("""COMPUTED_VALUE"""),"--")</f>
        <v>--</v>
      </c>
      <c r="Z316" s="251" t="str">
        <f>IFERROR(__xludf.DUMMYFUNCTION("""COMPUTED_VALUE"""),"--")</f>
        <v>--</v>
      </c>
      <c r="AA316" s="251" t="str">
        <f>IFERROR(__xludf.DUMMYFUNCTION("""COMPUTED_VALUE"""),"--")</f>
        <v>--</v>
      </c>
      <c r="AB316" s="251" t="str">
        <f>IFERROR(__xludf.DUMMYFUNCTION("""COMPUTED_VALUE"""),"--")</f>
        <v>--</v>
      </c>
      <c r="AC316" s="251" t="str">
        <f>IFERROR(__xludf.DUMMYFUNCTION("""COMPUTED_VALUE"""),"--")</f>
        <v>--</v>
      </c>
      <c r="AD316" s="251">
        <f>IFERROR(__xludf.DUMMYFUNCTION("""COMPUTED_VALUE"""),2.0)</f>
        <v>2</v>
      </c>
      <c r="AE316" s="251" t="str">
        <f>IFERROR(__xludf.DUMMYFUNCTION("""COMPUTED_VALUE"""),"Omnivore")</f>
        <v>Omnivore</v>
      </c>
    </row>
    <row r="317">
      <c r="A317" s="251" t="str">
        <f>IFERROR(__xludf.DUMMYFUNCTION("""COMPUTED_VALUE"""),"Kingambit")</f>
        <v>Kingambit</v>
      </c>
      <c r="B317" s="251" t="str">
        <f>IFERROR(__xludf.DUMMYFUNCTION("""COMPUTED_VALUE"""),"Dark")</f>
        <v>Dark</v>
      </c>
      <c r="C317" s="251" t="str">
        <f>IFERROR(__xludf.DUMMYFUNCTION("""COMPUTED_VALUE"""),"Steel")</f>
        <v>Steel</v>
      </c>
      <c r="D317" s="251">
        <f>IFERROR(__xludf.DUMMYFUNCTION("""COMPUTED_VALUE"""),11.0)</f>
        <v>11</v>
      </c>
      <c r="E317" s="251">
        <f>IFERROR(__xludf.DUMMYFUNCTION("""COMPUTED_VALUE"""),14.0)</f>
        <v>14</v>
      </c>
      <c r="F317" s="251">
        <f>IFERROR(__xludf.DUMMYFUNCTION("""COMPUTED_VALUE"""),14.0)</f>
        <v>14</v>
      </c>
      <c r="G317" s="251">
        <f>IFERROR(__xludf.DUMMYFUNCTION("""COMPUTED_VALUE"""),6.0)</f>
        <v>6</v>
      </c>
      <c r="H317" s="251">
        <f>IFERROR(__xludf.DUMMYFUNCTION("""COMPUTED_VALUE"""),8.0)</f>
        <v>8</v>
      </c>
      <c r="I317" s="251">
        <f>IFERROR(__xludf.DUMMYFUNCTION("""COMPUTED_VALUE"""),5.0)</f>
        <v>5</v>
      </c>
      <c r="J317" s="251">
        <f>IFERROR(__xludf.DUMMYFUNCTION("""COMPUTED_VALUE"""),10.0)</f>
        <v>10</v>
      </c>
      <c r="K317" s="251" t="str">
        <f>IFERROR(__xludf.DUMMYFUNCTION("""COMPUTED_VALUE"""),"Medium")</f>
        <v>Medium</v>
      </c>
      <c r="L317" s="251">
        <f>IFERROR(__xludf.DUMMYFUNCTION("""COMPUTED_VALUE"""),4.0)</f>
        <v>4</v>
      </c>
      <c r="M317" s="251" t="str">
        <f>IFERROR(__xludf.DUMMYFUNCTION("""COMPUTED_VALUE"""),"Urban")</f>
        <v>Urban</v>
      </c>
      <c r="N317" s="251" t="str">
        <f>IFERROR(__xludf.DUMMYFUNCTION("""COMPUTED_VALUE"""),"Quick")</f>
        <v>Quick</v>
      </c>
      <c r="O317" s="251" t="str">
        <f>IFERROR(__xludf.DUMMYFUNCTION("""COMPUTED_VALUE"""),"--")</f>
        <v>--</v>
      </c>
      <c r="P317" s="251" t="str">
        <f>IFERROR(__xludf.DUMMYFUNCTION("""COMPUTED_VALUE"""),"--")</f>
        <v>--</v>
      </c>
      <c r="Q317" s="251" t="str">
        <f>IFERROR(__xludf.DUMMYFUNCTION("""COMPUTED_VALUE"""),"--")</f>
        <v>--</v>
      </c>
      <c r="R317" s="251" t="str">
        <f>IFERROR(__xludf.DUMMYFUNCTION("""COMPUTED_VALUE"""),"--")</f>
        <v>--</v>
      </c>
      <c r="S317" s="251" t="str">
        <f>IFERROR(__xludf.DUMMYFUNCTION("""COMPUTED_VALUE"""),"--")</f>
        <v>--</v>
      </c>
      <c r="T317" s="251" t="str">
        <f>IFERROR(__xludf.DUMMYFUNCTION("""COMPUTED_VALUE"""),"--")</f>
        <v>--</v>
      </c>
      <c r="U317" s="251" t="str">
        <f>IFERROR(__xludf.DUMMYFUNCTION("""COMPUTED_VALUE"""),"--")</f>
        <v>--</v>
      </c>
      <c r="V317" s="251" t="str">
        <f>IFERROR(__xludf.DUMMYFUNCTION("""COMPUTED_VALUE"""),"Pack Mon")</f>
        <v>Pack Mon</v>
      </c>
      <c r="W317" s="251" t="str">
        <f>IFERROR(__xludf.DUMMYFUNCTION("""COMPUTED_VALUE"""),"Tracker")</f>
        <v>Tracker</v>
      </c>
      <c r="X317" s="251" t="str">
        <f>IFERROR(__xludf.DUMMYFUNCTION("""COMPUTED_VALUE"""),"--")</f>
        <v>--</v>
      </c>
      <c r="Y317" s="251" t="str">
        <f>IFERROR(__xludf.DUMMYFUNCTION("""COMPUTED_VALUE"""),"--")</f>
        <v>--</v>
      </c>
      <c r="Z317" s="251" t="str">
        <f>IFERROR(__xludf.DUMMYFUNCTION("""COMPUTED_VALUE"""),"--")</f>
        <v>--</v>
      </c>
      <c r="AA317" s="251" t="str">
        <f>IFERROR(__xludf.DUMMYFUNCTION("""COMPUTED_VALUE"""),"--")</f>
        <v>--</v>
      </c>
      <c r="AB317" s="251" t="str">
        <f>IFERROR(__xludf.DUMMYFUNCTION("""COMPUTED_VALUE"""),"--")</f>
        <v>--</v>
      </c>
      <c r="AC317" s="251" t="str">
        <f>IFERROR(__xludf.DUMMYFUNCTION("""COMPUTED_VALUE"""),"--")</f>
        <v>--</v>
      </c>
      <c r="AD317" s="251">
        <f>IFERROR(__xludf.DUMMYFUNCTION("""COMPUTED_VALUE"""),3.0)</f>
        <v>3</v>
      </c>
      <c r="AE317" s="251" t="str">
        <f>IFERROR(__xludf.DUMMYFUNCTION("""COMPUTED_VALUE"""),"Omnivore")</f>
        <v>Omnivore</v>
      </c>
    </row>
    <row r="318">
      <c r="A318" s="251" t="str">
        <f>IFERROR(__xludf.DUMMYFUNCTION("""COMPUTED_VALUE"""),"Impidimp")</f>
        <v>Impidimp</v>
      </c>
      <c r="B318" s="251" t="str">
        <f>IFERROR(__xludf.DUMMYFUNCTION("""COMPUTED_VALUE"""),"Dark")</f>
        <v>Dark</v>
      </c>
      <c r="C318" s="251" t="str">
        <f>IFERROR(__xludf.DUMMYFUNCTION("""COMPUTED_VALUE"""),"Fairy")</f>
        <v>Fairy</v>
      </c>
      <c r="D318" s="251">
        <f>IFERROR(__xludf.DUMMYFUNCTION("""COMPUTED_VALUE"""),5.0)</f>
        <v>5</v>
      </c>
      <c r="E318" s="251">
        <f>IFERROR(__xludf.DUMMYFUNCTION("""COMPUTED_VALUE"""),6.0)</f>
        <v>6</v>
      </c>
      <c r="F318" s="251">
        <f>IFERROR(__xludf.DUMMYFUNCTION("""COMPUTED_VALUE"""),3.0)</f>
        <v>3</v>
      </c>
      <c r="G318" s="251">
        <f>IFERROR(__xludf.DUMMYFUNCTION("""COMPUTED_VALUE"""),7.0)</f>
        <v>7</v>
      </c>
      <c r="H318" s="251">
        <f>IFERROR(__xludf.DUMMYFUNCTION("""COMPUTED_VALUE"""),4.0)</f>
        <v>4</v>
      </c>
      <c r="I318" s="251">
        <f>IFERROR(__xludf.DUMMYFUNCTION("""COMPUTED_VALUE"""),5.0)</f>
        <v>5</v>
      </c>
      <c r="J318" s="251">
        <f>IFERROR(__xludf.DUMMYFUNCTION("""COMPUTED_VALUE"""),1.0)</f>
        <v>1</v>
      </c>
      <c r="K318" s="251" t="str">
        <f>IFERROR(__xludf.DUMMYFUNCTION("""COMPUTED_VALUE"""),"Small")</f>
        <v>Small</v>
      </c>
      <c r="L318" s="251">
        <f>IFERROR(__xludf.DUMMYFUNCTION("""COMPUTED_VALUE"""),1.0)</f>
        <v>1</v>
      </c>
      <c r="M318" s="251" t="str">
        <f>IFERROR(__xludf.DUMMYFUNCTION("""COMPUTED_VALUE"""),"Forest")</f>
        <v>Forest</v>
      </c>
      <c r="N318" s="251" t="str">
        <f>IFERROR(__xludf.DUMMYFUNCTION("""COMPUTED_VALUE"""),"--")</f>
        <v>--</v>
      </c>
      <c r="O318" s="251" t="str">
        <f>IFERROR(__xludf.DUMMYFUNCTION("""COMPUTED_VALUE"""),"--")</f>
        <v>--</v>
      </c>
      <c r="P318" s="251" t="str">
        <f>IFERROR(__xludf.DUMMYFUNCTION("""COMPUTED_VALUE"""),"--")</f>
        <v>--</v>
      </c>
      <c r="Q318" s="251" t="str">
        <f>IFERROR(__xludf.DUMMYFUNCTION("""COMPUTED_VALUE"""),"--")</f>
        <v>--</v>
      </c>
      <c r="R318" s="251" t="str">
        <f>IFERROR(__xludf.DUMMYFUNCTION("""COMPUTED_VALUE"""),"Darkvision")</f>
        <v>Darkvision</v>
      </c>
      <c r="S318" s="251" t="str">
        <f>IFERROR(__xludf.DUMMYFUNCTION("""COMPUTED_VALUE"""),"Underdog")</f>
        <v>Underdog</v>
      </c>
      <c r="T318" s="251" t="str">
        <f>IFERROR(__xludf.DUMMYFUNCTION("""COMPUTED_VALUE"""),"--")</f>
        <v>--</v>
      </c>
      <c r="U318" s="251" t="str">
        <f>IFERROR(__xludf.DUMMYFUNCTION("""COMPUTED_VALUE"""),"--")</f>
        <v>--</v>
      </c>
      <c r="V318" s="251" t="str">
        <f>IFERROR(__xludf.DUMMYFUNCTION("""COMPUTED_VALUE"""),"--")</f>
        <v>--</v>
      </c>
      <c r="W318" s="251" t="str">
        <f>IFERROR(__xludf.DUMMYFUNCTION("""COMPUTED_VALUE"""),"--")</f>
        <v>--</v>
      </c>
      <c r="X318" s="251" t="str">
        <f>IFERROR(__xludf.DUMMYFUNCTION("""COMPUTED_VALUE"""),"--")</f>
        <v>--</v>
      </c>
      <c r="Y318" s="251" t="str">
        <f>IFERROR(__xludf.DUMMYFUNCTION("""COMPUTED_VALUE"""),"--")</f>
        <v>--</v>
      </c>
      <c r="Z318" s="251" t="str">
        <f>IFERROR(__xludf.DUMMYFUNCTION("""COMPUTED_VALUE"""),"--")</f>
        <v>--</v>
      </c>
      <c r="AA318" s="251" t="str">
        <f>IFERROR(__xludf.DUMMYFUNCTION("""COMPUTED_VALUE"""),"--")</f>
        <v>--</v>
      </c>
      <c r="AB318" s="251" t="str">
        <f>IFERROR(__xludf.DUMMYFUNCTION("""COMPUTED_VALUE"""),"--")</f>
        <v>--</v>
      </c>
      <c r="AC318" s="251" t="str">
        <f>IFERROR(__xludf.DUMMYFUNCTION("""COMPUTED_VALUE"""),"--")</f>
        <v>--</v>
      </c>
      <c r="AD318" s="251">
        <f>IFERROR(__xludf.DUMMYFUNCTION("""COMPUTED_VALUE"""),1.0)</f>
        <v>1</v>
      </c>
      <c r="AE318" s="251" t="str">
        <f>IFERROR(__xludf.DUMMYFUNCTION("""COMPUTED_VALUE"""),"Nullivore")</f>
        <v>Nullivore</v>
      </c>
    </row>
    <row r="319">
      <c r="A319" s="251" t="str">
        <f>IFERROR(__xludf.DUMMYFUNCTION("""COMPUTED_VALUE"""),"Morgrem")</f>
        <v>Morgrem</v>
      </c>
      <c r="B319" s="251" t="str">
        <f>IFERROR(__xludf.DUMMYFUNCTION("""COMPUTED_VALUE"""),"Dark")</f>
        <v>Dark</v>
      </c>
      <c r="C319" s="251" t="str">
        <f>IFERROR(__xludf.DUMMYFUNCTION("""COMPUTED_VALUE"""),"Fairy")</f>
        <v>Fairy</v>
      </c>
      <c r="D319" s="251">
        <f>IFERROR(__xludf.DUMMYFUNCTION("""COMPUTED_VALUE"""),7.0)</f>
        <v>7</v>
      </c>
      <c r="E319" s="251">
        <f>IFERROR(__xludf.DUMMYFUNCTION("""COMPUTED_VALUE"""),6.0)</f>
        <v>6</v>
      </c>
      <c r="F319" s="251">
        <f>IFERROR(__xludf.DUMMYFUNCTION("""COMPUTED_VALUE"""),5.0)</f>
        <v>5</v>
      </c>
      <c r="G319" s="251">
        <f>IFERROR(__xludf.DUMMYFUNCTION("""COMPUTED_VALUE"""),8.0)</f>
        <v>8</v>
      </c>
      <c r="H319" s="251">
        <f>IFERROR(__xludf.DUMMYFUNCTION("""COMPUTED_VALUE"""),6.0)</f>
        <v>6</v>
      </c>
      <c r="I319" s="251">
        <f>IFERROR(__xludf.DUMMYFUNCTION("""COMPUTED_VALUE"""),7.0)</f>
        <v>7</v>
      </c>
      <c r="J319" s="251">
        <f>IFERROR(__xludf.DUMMYFUNCTION("""COMPUTED_VALUE"""),3.0)</f>
        <v>3</v>
      </c>
      <c r="K319" s="251" t="str">
        <f>IFERROR(__xludf.DUMMYFUNCTION("""COMPUTED_VALUE"""),"Small")</f>
        <v>Small</v>
      </c>
      <c r="L319" s="251">
        <f>IFERROR(__xludf.DUMMYFUNCTION("""COMPUTED_VALUE"""),2.0)</f>
        <v>2</v>
      </c>
      <c r="M319" s="251" t="str">
        <f>IFERROR(__xludf.DUMMYFUNCTION("""COMPUTED_VALUE"""),"Forest")</f>
        <v>Forest</v>
      </c>
      <c r="N319" s="251" t="str">
        <f>IFERROR(__xludf.DUMMYFUNCTION("""COMPUTED_VALUE"""),"--")</f>
        <v>--</v>
      </c>
      <c r="O319" s="251" t="str">
        <f>IFERROR(__xludf.DUMMYFUNCTION("""COMPUTED_VALUE"""),"--")</f>
        <v>--</v>
      </c>
      <c r="P319" s="251" t="str">
        <f>IFERROR(__xludf.DUMMYFUNCTION("""COMPUTED_VALUE"""),"--")</f>
        <v>--</v>
      </c>
      <c r="Q319" s="251" t="str">
        <f>IFERROR(__xludf.DUMMYFUNCTION("""COMPUTED_VALUE"""),"--")</f>
        <v>--</v>
      </c>
      <c r="R319" s="251" t="str">
        <f>IFERROR(__xludf.DUMMYFUNCTION("""COMPUTED_VALUE"""),"Darkvision")</f>
        <v>Darkvision</v>
      </c>
      <c r="S319" s="251" t="str">
        <f>IFERROR(__xludf.DUMMYFUNCTION("""COMPUTED_VALUE"""),"Underdog")</f>
        <v>Underdog</v>
      </c>
      <c r="T319" s="251" t="str">
        <f>IFERROR(__xludf.DUMMYFUNCTION("""COMPUTED_VALUE"""),"--")</f>
        <v>--</v>
      </c>
      <c r="U319" s="251" t="str">
        <f>IFERROR(__xludf.DUMMYFUNCTION("""COMPUTED_VALUE"""),"--")</f>
        <v>--</v>
      </c>
      <c r="V319" s="251" t="str">
        <f>IFERROR(__xludf.DUMMYFUNCTION("""COMPUTED_VALUE"""),"--")</f>
        <v>--</v>
      </c>
      <c r="W319" s="251" t="str">
        <f>IFERROR(__xludf.DUMMYFUNCTION("""COMPUTED_VALUE"""),"--")</f>
        <v>--</v>
      </c>
      <c r="X319" s="251" t="str">
        <f>IFERROR(__xludf.DUMMYFUNCTION("""COMPUTED_VALUE"""),"--")</f>
        <v>--</v>
      </c>
      <c r="Y319" s="251" t="str">
        <f>IFERROR(__xludf.DUMMYFUNCTION("""COMPUTED_VALUE"""),"--")</f>
        <v>--</v>
      </c>
      <c r="Z319" s="251" t="str">
        <f>IFERROR(__xludf.DUMMYFUNCTION("""COMPUTED_VALUE"""),"--")</f>
        <v>--</v>
      </c>
      <c r="AA319" s="251" t="str">
        <f>IFERROR(__xludf.DUMMYFUNCTION("""COMPUTED_VALUE"""),"--")</f>
        <v>--</v>
      </c>
      <c r="AB319" s="251" t="str">
        <f>IFERROR(__xludf.DUMMYFUNCTION("""COMPUTED_VALUE"""),"--")</f>
        <v>--</v>
      </c>
      <c r="AC319" s="251" t="str">
        <f>IFERROR(__xludf.DUMMYFUNCTION("""COMPUTED_VALUE"""),"--")</f>
        <v>--</v>
      </c>
      <c r="AD319" s="251">
        <f>IFERROR(__xludf.DUMMYFUNCTION("""COMPUTED_VALUE"""),2.0)</f>
        <v>2</v>
      </c>
      <c r="AE319" s="251" t="str">
        <f>IFERROR(__xludf.DUMMYFUNCTION("""COMPUTED_VALUE"""),"Nullivore")</f>
        <v>Nullivore</v>
      </c>
    </row>
    <row r="320">
      <c r="A320" s="251" t="str">
        <f>IFERROR(__xludf.DUMMYFUNCTION("""COMPUTED_VALUE"""),"Grimmsnarl")</f>
        <v>Grimmsnarl</v>
      </c>
      <c r="B320" s="251" t="str">
        <f>IFERROR(__xludf.DUMMYFUNCTION("""COMPUTED_VALUE"""),"Dark")</f>
        <v>Dark</v>
      </c>
      <c r="C320" s="251" t="str">
        <f>IFERROR(__xludf.DUMMYFUNCTION("""COMPUTED_VALUE"""),"Fairy")</f>
        <v>Fairy</v>
      </c>
      <c r="D320" s="251">
        <f>IFERROR(__xludf.DUMMYFUNCTION("""COMPUTED_VALUE"""),12.0)</f>
        <v>12</v>
      </c>
      <c r="E320" s="251">
        <f>IFERROR(__xludf.DUMMYFUNCTION("""COMPUTED_VALUE"""),12.0)</f>
        <v>12</v>
      </c>
      <c r="F320" s="251">
        <f>IFERROR(__xludf.DUMMYFUNCTION("""COMPUTED_VALUE"""),7.0)</f>
        <v>7</v>
      </c>
      <c r="G320" s="251">
        <f>IFERROR(__xludf.DUMMYFUNCTION("""COMPUTED_VALUE"""),10.0)</f>
        <v>10</v>
      </c>
      <c r="H320" s="251">
        <f>IFERROR(__xludf.DUMMYFUNCTION("""COMPUTED_VALUE"""),8.0)</f>
        <v>8</v>
      </c>
      <c r="I320" s="251">
        <f>IFERROR(__xludf.DUMMYFUNCTION("""COMPUTED_VALUE"""),7.0)</f>
        <v>7</v>
      </c>
      <c r="J320" s="251">
        <f>IFERROR(__xludf.DUMMYFUNCTION("""COMPUTED_VALUE"""),8.0)</f>
        <v>8</v>
      </c>
      <c r="K320" s="251" t="str">
        <f>IFERROR(__xludf.DUMMYFUNCTION("""COMPUTED_VALUE"""),"Medium")</f>
        <v>Medium</v>
      </c>
      <c r="L320" s="251">
        <f>IFERROR(__xludf.DUMMYFUNCTION("""COMPUTED_VALUE"""),4.0)</f>
        <v>4</v>
      </c>
      <c r="M320" s="251" t="str">
        <f>IFERROR(__xludf.DUMMYFUNCTION("""COMPUTED_VALUE"""),"Forest")</f>
        <v>Forest</v>
      </c>
      <c r="N320" s="251" t="str">
        <f>IFERROR(__xludf.DUMMYFUNCTION("""COMPUTED_VALUE"""),"--")</f>
        <v>--</v>
      </c>
      <c r="O320" s="251" t="str">
        <f>IFERROR(__xludf.DUMMYFUNCTION("""COMPUTED_VALUE"""),"--")</f>
        <v>--</v>
      </c>
      <c r="P320" s="251" t="str">
        <f>IFERROR(__xludf.DUMMYFUNCTION("""COMPUTED_VALUE"""),"--")</f>
        <v>--</v>
      </c>
      <c r="Q320" s="251" t="str">
        <f>IFERROR(__xludf.DUMMYFUNCTION("""COMPUTED_VALUE"""),"--")</f>
        <v>--</v>
      </c>
      <c r="R320" s="251" t="str">
        <f>IFERROR(__xludf.DUMMYFUNCTION("""COMPUTED_VALUE"""),"Darkvision")</f>
        <v>Darkvision</v>
      </c>
      <c r="S320" s="251" t="str">
        <f>IFERROR(__xludf.DUMMYFUNCTION("""COMPUTED_VALUE"""),"--")</f>
        <v>--</v>
      </c>
      <c r="T320" s="251" t="str">
        <f>IFERROR(__xludf.DUMMYFUNCTION("""COMPUTED_VALUE"""),"--")</f>
        <v>--</v>
      </c>
      <c r="U320" s="251" t="str">
        <f>IFERROR(__xludf.DUMMYFUNCTION("""COMPUTED_VALUE"""),"--")</f>
        <v>--</v>
      </c>
      <c r="V320" s="251" t="str">
        <f>IFERROR(__xludf.DUMMYFUNCTION("""COMPUTED_VALUE"""),"--")</f>
        <v>--</v>
      </c>
      <c r="W320" s="251" t="str">
        <f>IFERROR(__xludf.DUMMYFUNCTION("""COMPUTED_VALUE"""),"--")</f>
        <v>--</v>
      </c>
      <c r="X320" s="251" t="str">
        <f>IFERROR(__xludf.DUMMYFUNCTION("""COMPUTED_VALUE"""),"--")</f>
        <v>--</v>
      </c>
      <c r="Y320" s="251" t="str">
        <f>IFERROR(__xludf.DUMMYFUNCTION("""COMPUTED_VALUE"""),"--")</f>
        <v>--</v>
      </c>
      <c r="Z320" s="251" t="str">
        <f>IFERROR(__xludf.DUMMYFUNCTION("""COMPUTED_VALUE"""),"--")</f>
        <v>--</v>
      </c>
      <c r="AA320" s="251" t="str">
        <f>IFERROR(__xludf.DUMMYFUNCTION("""COMPUTED_VALUE"""),"--")</f>
        <v>--</v>
      </c>
      <c r="AB320" s="251" t="str">
        <f>IFERROR(__xludf.DUMMYFUNCTION("""COMPUTED_VALUE"""),"--")</f>
        <v>--</v>
      </c>
      <c r="AC320" s="251" t="str">
        <f>IFERROR(__xludf.DUMMYFUNCTION("""COMPUTED_VALUE"""),"--")</f>
        <v>--</v>
      </c>
      <c r="AD320" s="251">
        <f>IFERROR(__xludf.DUMMYFUNCTION("""COMPUTED_VALUE"""),3.0)</f>
        <v>3</v>
      </c>
      <c r="AE320" s="251" t="str">
        <f>IFERROR(__xludf.DUMMYFUNCTION("""COMPUTED_VALUE"""),"Nullivore")</f>
        <v>Nullivore</v>
      </c>
    </row>
    <row r="321">
      <c r="A321" s="251" t="str">
        <f>IFERROR(__xludf.DUMMYFUNCTION("""COMPUTED_VALUE"""),"Dratini")</f>
        <v>Dratini</v>
      </c>
      <c r="B321" s="251" t="str">
        <f>IFERROR(__xludf.DUMMYFUNCTION("""COMPUTED_VALUE"""),"Dragon")</f>
        <v>Dragon</v>
      </c>
      <c r="C321" s="251" t="str">
        <f>IFERROR(__xludf.DUMMYFUNCTION("""COMPUTED_VALUE"""),"None")</f>
        <v>None</v>
      </c>
      <c r="D321" s="251">
        <f>IFERROR(__xludf.DUMMYFUNCTION("""COMPUTED_VALUE"""),4.0)</f>
        <v>4</v>
      </c>
      <c r="E321" s="251">
        <f>IFERROR(__xludf.DUMMYFUNCTION("""COMPUTED_VALUE"""),6.0)</f>
        <v>6</v>
      </c>
      <c r="F321" s="251">
        <f>IFERROR(__xludf.DUMMYFUNCTION("""COMPUTED_VALUE"""),5.0)</f>
        <v>5</v>
      </c>
      <c r="G321" s="251">
        <f>IFERROR(__xludf.DUMMYFUNCTION("""COMPUTED_VALUE"""),5.0)</f>
        <v>5</v>
      </c>
      <c r="H321" s="251">
        <f>IFERROR(__xludf.DUMMYFUNCTION("""COMPUTED_VALUE"""),5.0)</f>
        <v>5</v>
      </c>
      <c r="I321" s="251">
        <f>IFERROR(__xludf.DUMMYFUNCTION("""COMPUTED_VALUE"""),5.0)</f>
        <v>5</v>
      </c>
      <c r="J321" s="251">
        <f>IFERROR(__xludf.DUMMYFUNCTION("""COMPUTED_VALUE"""),1.0)</f>
        <v>1</v>
      </c>
      <c r="K321" s="251" t="str">
        <f>IFERROR(__xludf.DUMMYFUNCTION("""COMPUTED_VALUE"""),"Medium")</f>
        <v>Medium</v>
      </c>
      <c r="L321" s="251">
        <f>IFERROR(__xludf.DUMMYFUNCTION("""COMPUTED_VALUE"""),1.0)</f>
        <v>1</v>
      </c>
      <c r="M321" s="251" t="str">
        <f>IFERROR(__xludf.DUMMYFUNCTION("""COMPUTED_VALUE"""),"Mountain, Ocean")</f>
        <v>Mountain, Ocean</v>
      </c>
      <c r="N321" s="251" t="str">
        <f>IFERROR(__xludf.DUMMYFUNCTION("""COMPUTED_VALUE"""),"Swimmer")</f>
        <v>Swimmer</v>
      </c>
      <c r="O321" s="251" t="str">
        <f>IFERROR(__xludf.DUMMYFUNCTION("""COMPUTED_VALUE"""),"--")</f>
        <v>--</v>
      </c>
      <c r="P321" s="251" t="str">
        <f>IFERROR(__xludf.DUMMYFUNCTION("""COMPUTED_VALUE"""),"--")</f>
        <v>--</v>
      </c>
      <c r="Q321" s="251" t="str">
        <f>IFERROR(__xludf.DUMMYFUNCTION("""COMPUTED_VALUE"""),"--")</f>
        <v>--</v>
      </c>
      <c r="R321" s="251" t="str">
        <f>IFERROR(__xludf.DUMMYFUNCTION("""COMPUTED_VALUE"""),"Underdog")</f>
        <v>Underdog</v>
      </c>
      <c r="S321" s="251" t="str">
        <f>IFERROR(__xludf.DUMMYFUNCTION("""COMPUTED_VALUE"""),"--")</f>
        <v>--</v>
      </c>
      <c r="T321" s="251" t="str">
        <f>IFERROR(__xludf.DUMMYFUNCTION("""COMPUTED_VALUE"""),"--")</f>
        <v>--</v>
      </c>
      <c r="U321" s="251" t="str">
        <f>IFERROR(__xludf.DUMMYFUNCTION("""COMPUTED_VALUE"""),"--")</f>
        <v>--</v>
      </c>
      <c r="V321" s="251" t="str">
        <f>IFERROR(__xludf.DUMMYFUNCTION("""COMPUTED_VALUE"""),"Gilled")</f>
        <v>Gilled</v>
      </c>
      <c r="W321" s="251" t="str">
        <f>IFERROR(__xludf.DUMMYFUNCTION("""COMPUTED_VALUE"""),"--")</f>
        <v>--</v>
      </c>
      <c r="X321" s="251" t="str">
        <f>IFERROR(__xludf.DUMMYFUNCTION("""COMPUTED_VALUE"""),"--")</f>
        <v>--</v>
      </c>
      <c r="Y321" s="251" t="str">
        <f>IFERROR(__xludf.DUMMYFUNCTION("""COMPUTED_VALUE"""),"--")</f>
        <v>--</v>
      </c>
      <c r="Z321" s="251" t="str">
        <f>IFERROR(__xludf.DUMMYFUNCTION("""COMPUTED_VALUE"""),"--")</f>
        <v>--</v>
      </c>
      <c r="AA321" s="251" t="str">
        <f>IFERROR(__xludf.DUMMYFUNCTION("""COMPUTED_VALUE"""),"--")</f>
        <v>--</v>
      </c>
      <c r="AB321" s="251" t="str">
        <f>IFERROR(__xludf.DUMMYFUNCTION("""COMPUTED_VALUE"""),"--")</f>
        <v>--</v>
      </c>
      <c r="AC321" s="251" t="str">
        <f>IFERROR(__xludf.DUMMYFUNCTION("""COMPUTED_VALUE"""),"--")</f>
        <v>--</v>
      </c>
      <c r="AD321" s="251">
        <f>IFERROR(__xludf.DUMMYFUNCTION("""COMPUTED_VALUE"""),1.0)</f>
        <v>1</v>
      </c>
      <c r="AE321" s="251" t="str">
        <f>IFERROR(__xludf.DUMMYFUNCTION("""COMPUTED_VALUE"""),"Omnivore")</f>
        <v>Omnivore</v>
      </c>
    </row>
    <row r="322">
      <c r="A322" s="251" t="str">
        <f>IFERROR(__xludf.DUMMYFUNCTION("""COMPUTED_VALUE"""),"Dragonair")</f>
        <v>Dragonair</v>
      </c>
      <c r="B322" s="251" t="str">
        <f>IFERROR(__xludf.DUMMYFUNCTION("""COMPUTED_VALUE"""),"Dragon")</f>
        <v>Dragon</v>
      </c>
      <c r="C322" s="251" t="str">
        <f>IFERROR(__xludf.DUMMYFUNCTION("""COMPUTED_VALUE"""),"None")</f>
        <v>None</v>
      </c>
      <c r="D322" s="251">
        <f>IFERROR(__xludf.DUMMYFUNCTION("""COMPUTED_VALUE"""),6.0)</f>
        <v>6</v>
      </c>
      <c r="E322" s="251">
        <f>IFERROR(__xludf.DUMMYFUNCTION("""COMPUTED_VALUE"""),8.0)</f>
        <v>8</v>
      </c>
      <c r="F322" s="251">
        <f>IFERROR(__xludf.DUMMYFUNCTION("""COMPUTED_VALUE"""),7.0)</f>
        <v>7</v>
      </c>
      <c r="G322" s="251">
        <f>IFERROR(__xludf.DUMMYFUNCTION("""COMPUTED_VALUE"""),7.0)</f>
        <v>7</v>
      </c>
      <c r="H322" s="251">
        <f>IFERROR(__xludf.DUMMYFUNCTION("""COMPUTED_VALUE"""),7.0)</f>
        <v>7</v>
      </c>
      <c r="I322" s="251">
        <f>IFERROR(__xludf.DUMMYFUNCTION("""COMPUTED_VALUE"""),7.0)</f>
        <v>7</v>
      </c>
      <c r="J322" s="251">
        <f>IFERROR(__xludf.DUMMYFUNCTION("""COMPUTED_VALUE"""),3.0)</f>
        <v>3</v>
      </c>
      <c r="K322" s="251" t="str">
        <f>IFERROR(__xludf.DUMMYFUNCTION("""COMPUTED_VALUE"""),"Large")</f>
        <v>Large</v>
      </c>
      <c r="L322" s="251">
        <f>IFERROR(__xludf.DUMMYFUNCTION("""COMPUTED_VALUE"""),2.0)</f>
        <v>2</v>
      </c>
      <c r="M322" s="251" t="str">
        <f>IFERROR(__xludf.DUMMYFUNCTION("""COMPUTED_VALUE"""),"Mountain, Ocean")</f>
        <v>Mountain, Ocean</v>
      </c>
      <c r="N322" s="251" t="str">
        <f>IFERROR(__xludf.DUMMYFUNCTION("""COMPUTED_VALUE"""),"Flier")</f>
        <v>Flier</v>
      </c>
      <c r="O322" s="251" t="str">
        <f>IFERROR(__xludf.DUMMYFUNCTION("""COMPUTED_VALUE"""),"Swimmer")</f>
        <v>Swimmer</v>
      </c>
      <c r="P322" s="251" t="str">
        <f>IFERROR(__xludf.DUMMYFUNCTION("""COMPUTED_VALUE"""),"--")</f>
        <v>--</v>
      </c>
      <c r="Q322" s="251" t="str">
        <f>IFERROR(__xludf.DUMMYFUNCTION("""COMPUTED_VALUE"""),"--")</f>
        <v>--</v>
      </c>
      <c r="R322" s="251" t="str">
        <f>IFERROR(__xludf.DUMMYFUNCTION("""COMPUTED_VALUE"""),"Mountable")</f>
        <v>Mountable</v>
      </c>
      <c r="S322" s="251" t="str">
        <f>IFERROR(__xludf.DUMMYFUNCTION("""COMPUTED_VALUE"""),"Underdog")</f>
        <v>Underdog</v>
      </c>
      <c r="T322" s="251" t="str">
        <f>IFERROR(__xludf.DUMMYFUNCTION("""COMPUTED_VALUE"""),"--")</f>
        <v>--</v>
      </c>
      <c r="U322" s="251" t="str">
        <f>IFERROR(__xludf.DUMMYFUNCTION("""COMPUTED_VALUE"""),"--")</f>
        <v>--</v>
      </c>
      <c r="V322" s="251" t="str">
        <f>IFERROR(__xludf.DUMMYFUNCTION("""COMPUTED_VALUE"""),"Aura Reader")</f>
        <v>Aura Reader</v>
      </c>
      <c r="W322" s="251" t="str">
        <f>IFERROR(__xludf.DUMMYFUNCTION("""COMPUTED_VALUE"""),"Gilled")</f>
        <v>Gilled</v>
      </c>
      <c r="X322" s="251" t="str">
        <f>IFERROR(__xludf.DUMMYFUNCTION("""COMPUTED_VALUE"""),"--")</f>
        <v>--</v>
      </c>
      <c r="Y322" s="251" t="str">
        <f>IFERROR(__xludf.DUMMYFUNCTION("""COMPUTED_VALUE"""),"--")</f>
        <v>--</v>
      </c>
      <c r="Z322" s="251" t="str">
        <f>IFERROR(__xludf.DUMMYFUNCTION("""COMPUTED_VALUE"""),"--")</f>
        <v>--</v>
      </c>
      <c r="AA322" s="251" t="str">
        <f>IFERROR(__xludf.DUMMYFUNCTION("""COMPUTED_VALUE"""),"--")</f>
        <v>--</v>
      </c>
      <c r="AB322" s="251" t="str">
        <f>IFERROR(__xludf.DUMMYFUNCTION("""COMPUTED_VALUE"""),"--")</f>
        <v>--</v>
      </c>
      <c r="AC322" s="251" t="str">
        <f>IFERROR(__xludf.DUMMYFUNCTION("""COMPUTED_VALUE"""),"--")</f>
        <v>--</v>
      </c>
      <c r="AD322" s="251">
        <f>IFERROR(__xludf.DUMMYFUNCTION("""COMPUTED_VALUE"""),2.0)</f>
        <v>2</v>
      </c>
      <c r="AE322" s="251" t="str">
        <f>IFERROR(__xludf.DUMMYFUNCTION("""COMPUTED_VALUE"""),"Omnivore")</f>
        <v>Omnivore</v>
      </c>
    </row>
    <row r="323">
      <c r="A323" s="251" t="str">
        <f>IFERROR(__xludf.DUMMYFUNCTION("""COMPUTED_VALUE"""),"Dragonite")</f>
        <v>Dragonite</v>
      </c>
      <c r="B323" s="251" t="str">
        <f>IFERROR(__xludf.DUMMYFUNCTION("""COMPUTED_VALUE"""),"Dragon")</f>
        <v>Dragon</v>
      </c>
      <c r="C323" s="251" t="str">
        <f>IFERROR(__xludf.DUMMYFUNCTION("""COMPUTED_VALUE"""),"Flying")</f>
        <v>Flying</v>
      </c>
      <c r="D323" s="251">
        <f>IFERROR(__xludf.DUMMYFUNCTION("""COMPUTED_VALUE"""),9.0)</f>
        <v>9</v>
      </c>
      <c r="E323" s="251">
        <f>IFERROR(__xludf.DUMMYFUNCTION("""COMPUTED_VALUE"""),13.0)</f>
        <v>13</v>
      </c>
      <c r="F323" s="251">
        <f>IFERROR(__xludf.DUMMYFUNCTION("""COMPUTED_VALUE"""),10.0)</f>
        <v>10</v>
      </c>
      <c r="G323" s="251">
        <f>IFERROR(__xludf.DUMMYFUNCTION("""COMPUTED_VALUE"""),10.0)</f>
        <v>10</v>
      </c>
      <c r="H323" s="251">
        <f>IFERROR(__xludf.DUMMYFUNCTION("""COMPUTED_VALUE"""),10.0)</f>
        <v>10</v>
      </c>
      <c r="I323" s="251">
        <f>IFERROR(__xludf.DUMMYFUNCTION("""COMPUTED_VALUE"""),8.0)</f>
        <v>8</v>
      </c>
      <c r="J323" s="251">
        <f>IFERROR(__xludf.DUMMYFUNCTION("""COMPUTED_VALUE"""),8.0)</f>
        <v>8</v>
      </c>
      <c r="K323" s="251" t="str">
        <f>IFERROR(__xludf.DUMMYFUNCTION("""COMPUTED_VALUE"""),"Large")</f>
        <v>Large</v>
      </c>
      <c r="L323" s="251">
        <f>IFERROR(__xludf.DUMMYFUNCTION("""COMPUTED_VALUE"""),6.0)</f>
        <v>6</v>
      </c>
      <c r="M323" s="251" t="str">
        <f>IFERROR(__xludf.DUMMYFUNCTION("""COMPUTED_VALUE"""),"Mountain")</f>
        <v>Mountain</v>
      </c>
      <c r="N323" s="251" t="str">
        <f>IFERROR(__xludf.DUMMYFUNCTION("""COMPUTED_VALUE"""),"Flier")</f>
        <v>Flier</v>
      </c>
      <c r="O323" s="251" t="str">
        <f>IFERROR(__xludf.DUMMYFUNCTION("""COMPUTED_VALUE"""),"Swimmer")</f>
        <v>Swimmer</v>
      </c>
      <c r="P323" s="251" t="str">
        <f>IFERROR(__xludf.DUMMYFUNCTION("""COMPUTED_VALUE"""),"--")</f>
        <v>--</v>
      </c>
      <c r="Q323" s="251" t="str">
        <f>IFERROR(__xludf.DUMMYFUNCTION("""COMPUTED_VALUE"""),"--")</f>
        <v>--</v>
      </c>
      <c r="R323" s="251" t="str">
        <f>IFERROR(__xludf.DUMMYFUNCTION("""COMPUTED_VALUE"""),"Mountable")</f>
        <v>Mountable</v>
      </c>
      <c r="S323" s="251" t="str">
        <f>IFERROR(__xludf.DUMMYFUNCTION("""COMPUTED_VALUE"""),"--")</f>
        <v>--</v>
      </c>
      <c r="T323" s="251" t="str">
        <f>IFERROR(__xludf.DUMMYFUNCTION("""COMPUTED_VALUE"""),"--")</f>
        <v>--</v>
      </c>
      <c r="U323" s="251" t="str">
        <f>IFERROR(__xludf.DUMMYFUNCTION("""COMPUTED_VALUE"""),"--")</f>
        <v>--</v>
      </c>
      <c r="V323" s="251" t="str">
        <f>IFERROR(__xludf.DUMMYFUNCTION("""COMPUTED_VALUE"""),"Aura Reader")</f>
        <v>Aura Reader</v>
      </c>
      <c r="W323" s="251" t="str">
        <f>IFERROR(__xludf.DUMMYFUNCTION("""COMPUTED_VALUE"""),"--")</f>
        <v>--</v>
      </c>
      <c r="X323" s="251" t="str">
        <f>IFERROR(__xludf.DUMMYFUNCTION("""COMPUTED_VALUE"""),"--")</f>
        <v>--</v>
      </c>
      <c r="Y323" s="251" t="str">
        <f>IFERROR(__xludf.DUMMYFUNCTION("""COMPUTED_VALUE"""),"--")</f>
        <v>--</v>
      </c>
      <c r="Z323" s="251" t="str">
        <f>IFERROR(__xludf.DUMMYFUNCTION("""COMPUTED_VALUE"""),"--")</f>
        <v>--</v>
      </c>
      <c r="AA323" s="251" t="str">
        <f>IFERROR(__xludf.DUMMYFUNCTION("""COMPUTED_VALUE"""),"--")</f>
        <v>--</v>
      </c>
      <c r="AB323" s="251" t="str">
        <f>IFERROR(__xludf.DUMMYFUNCTION("""COMPUTED_VALUE"""),"--")</f>
        <v>--</v>
      </c>
      <c r="AC323" s="251" t="str">
        <f>IFERROR(__xludf.DUMMYFUNCTION("""COMPUTED_VALUE"""),"--")</f>
        <v>--</v>
      </c>
      <c r="AD323" s="251">
        <f>IFERROR(__xludf.DUMMYFUNCTION("""COMPUTED_VALUE"""),3.0)</f>
        <v>3</v>
      </c>
      <c r="AE323" s="251" t="str">
        <f>IFERROR(__xludf.DUMMYFUNCTION("""COMPUTED_VALUE"""),"Omnivore")</f>
        <v>Omnivore</v>
      </c>
    </row>
    <row r="324">
      <c r="A324" s="251" t="str">
        <f>IFERROR(__xludf.DUMMYFUNCTION("""COMPUTED_VALUE"""),"Bagon")</f>
        <v>Bagon</v>
      </c>
      <c r="B324" s="251" t="str">
        <f>IFERROR(__xludf.DUMMYFUNCTION("""COMPUTED_VALUE"""),"Dragon")</f>
        <v>Dragon</v>
      </c>
      <c r="C324" s="251" t="str">
        <f>IFERROR(__xludf.DUMMYFUNCTION("""COMPUTED_VALUE"""),"None")</f>
        <v>None</v>
      </c>
      <c r="D324" s="251">
        <f>IFERROR(__xludf.DUMMYFUNCTION("""COMPUTED_VALUE"""),5.0)</f>
        <v>5</v>
      </c>
      <c r="E324" s="251">
        <f>IFERROR(__xludf.DUMMYFUNCTION("""COMPUTED_VALUE"""),8.0)</f>
        <v>8</v>
      </c>
      <c r="F324" s="251">
        <f>IFERROR(__xludf.DUMMYFUNCTION("""COMPUTED_VALUE"""),6.0)</f>
        <v>6</v>
      </c>
      <c r="G324" s="251">
        <f>IFERROR(__xludf.DUMMYFUNCTION("""COMPUTED_VALUE"""),4.0)</f>
        <v>4</v>
      </c>
      <c r="H324" s="251">
        <f>IFERROR(__xludf.DUMMYFUNCTION("""COMPUTED_VALUE"""),3.0)</f>
        <v>3</v>
      </c>
      <c r="I324" s="251">
        <f>IFERROR(__xludf.DUMMYFUNCTION("""COMPUTED_VALUE"""),5.0)</f>
        <v>5</v>
      </c>
      <c r="J324" s="251">
        <f>IFERROR(__xludf.DUMMYFUNCTION("""COMPUTED_VALUE"""),4.0)</f>
        <v>4</v>
      </c>
      <c r="K324" s="251" t="str">
        <f>IFERROR(__xludf.DUMMYFUNCTION("""COMPUTED_VALUE"""),"Small")</f>
        <v>Small</v>
      </c>
      <c r="L324" s="251">
        <f>IFERROR(__xludf.DUMMYFUNCTION("""COMPUTED_VALUE"""),3.0)</f>
        <v>3</v>
      </c>
      <c r="M324" s="251" t="str">
        <f>IFERROR(__xludf.DUMMYFUNCTION("""COMPUTED_VALUE"""),"Cave, Mountain")</f>
        <v>Cave, Mountain</v>
      </c>
      <c r="N324" s="251" t="str">
        <f>IFERROR(__xludf.DUMMYFUNCTION("""COMPUTED_VALUE"""),"--")</f>
        <v>--</v>
      </c>
      <c r="O324" s="251" t="str">
        <f>IFERROR(__xludf.DUMMYFUNCTION("""COMPUTED_VALUE"""),"--")</f>
        <v>--</v>
      </c>
      <c r="P324" s="251" t="str">
        <f>IFERROR(__xludf.DUMMYFUNCTION("""COMPUTED_VALUE"""),"--")</f>
        <v>--</v>
      </c>
      <c r="Q324" s="251" t="str">
        <f>IFERROR(__xludf.DUMMYFUNCTION("""COMPUTED_VALUE"""),"--")</f>
        <v>--</v>
      </c>
      <c r="R324" s="251" t="str">
        <f>IFERROR(__xludf.DUMMYFUNCTION("""COMPUTED_VALUE"""),"Underdog")</f>
        <v>Underdog</v>
      </c>
      <c r="S324" s="251" t="str">
        <f>IFERROR(__xludf.DUMMYFUNCTION("""COMPUTED_VALUE"""),"--")</f>
        <v>--</v>
      </c>
      <c r="T324" s="251" t="str">
        <f>IFERROR(__xludf.DUMMYFUNCTION("""COMPUTED_VALUE"""),"--")</f>
        <v>--</v>
      </c>
      <c r="U324" s="251" t="str">
        <f>IFERROR(__xludf.DUMMYFUNCTION("""COMPUTED_VALUE"""),"--")</f>
        <v>--</v>
      </c>
      <c r="V324" s="251" t="str">
        <f>IFERROR(__xludf.DUMMYFUNCTION("""COMPUTED_VALUE"""),"--")</f>
        <v>--</v>
      </c>
      <c r="W324" s="251" t="str">
        <f>IFERROR(__xludf.DUMMYFUNCTION("""COMPUTED_VALUE"""),"--")</f>
        <v>--</v>
      </c>
      <c r="X324" s="251" t="str">
        <f>IFERROR(__xludf.DUMMYFUNCTION("""COMPUTED_VALUE"""),"--")</f>
        <v>--</v>
      </c>
      <c r="Y324" s="251" t="str">
        <f>IFERROR(__xludf.DUMMYFUNCTION("""COMPUTED_VALUE"""),"--")</f>
        <v>--</v>
      </c>
      <c r="Z324" s="251" t="str">
        <f>IFERROR(__xludf.DUMMYFUNCTION("""COMPUTED_VALUE"""),"--")</f>
        <v>--</v>
      </c>
      <c r="AA324" s="251" t="str">
        <f>IFERROR(__xludf.DUMMYFUNCTION("""COMPUTED_VALUE"""),"--")</f>
        <v>--</v>
      </c>
      <c r="AB324" s="251" t="str">
        <f>IFERROR(__xludf.DUMMYFUNCTION("""COMPUTED_VALUE"""),"--")</f>
        <v>--</v>
      </c>
      <c r="AC324" s="251" t="str">
        <f>IFERROR(__xludf.DUMMYFUNCTION("""COMPUTED_VALUE"""),"--")</f>
        <v>--</v>
      </c>
      <c r="AD324" s="251">
        <f>IFERROR(__xludf.DUMMYFUNCTION("""COMPUTED_VALUE"""),1.0)</f>
        <v>1</v>
      </c>
      <c r="AE324" s="251" t="str">
        <f>IFERROR(__xludf.DUMMYFUNCTION("""COMPUTED_VALUE"""),"Carnivore")</f>
        <v>Carnivore</v>
      </c>
    </row>
    <row r="325">
      <c r="A325" s="251" t="str">
        <f>IFERROR(__xludf.DUMMYFUNCTION("""COMPUTED_VALUE"""),"Shelgon")</f>
        <v>Shelgon</v>
      </c>
      <c r="B325" s="251" t="str">
        <f>IFERROR(__xludf.DUMMYFUNCTION("""COMPUTED_VALUE"""),"Dragon")</f>
        <v>Dragon</v>
      </c>
      <c r="C325" s="251" t="str">
        <f>IFERROR(__xludf.DUMMYFUNCTION("""COMPUTED_VALUE"""),"None")</f>
        <v>None</v>
      </c>
      <c r="D325" s="251">
        <f>IFERROR(__xludf.DUMMYFUNCTION("""COMPUTED_VALUE"""),7.0)</f>
        <v>7</v>
      </c>
      <c r="E325" s="251">
        <f>IFERROR(__xludf.DUMMYFUNCTION("""COMPUTED_VALUE"""),10.0)</f>
        <v>10</v>
      </c>
      <c r="F325" s="251">
        <f>IFERROR(__xludf.DUMMYFUNCTION("""COMPUTED_VALUE"""),10.0)</f>
        <v>10</v>
      </c>
      <c r="G325" s="251">
        <f>IFERROR(__xludf.DUMMYFUNCTION("""COMPUTED_VALUE"""),6.0)</f>
        <v>6</v>
      </c>
      <c r="H325" s="251">
        <f>IFERROR(__xludf.DUMMYFUNCTION("""COMPUTED_VALUE"""),5.0)</f>
        <v>5</v>
      </c>
      <c r="I325" s="251">
        <f>IFERROR(__xludf.DUMMYFUNCTION("""COMPUTED_VALUE"""),5.0)</f>
        <v>5</v>
      </c>
      <c r="J325" s="251">
        <f>IFERROR(__xludf.DUMMYFUNCTION("""COMPUTED_VALUE"""),6.0)</f>
        <v>6</v>
      </c>
      <c r="K325" s="251" t="str">
        <f>IFERROR(__xludf.DUMMYFUNCTION("""COMPUTED_VALUE"""),"Medium")</f>
        <v>Medium</v>
      </c>
      <c r="L325" s="251">
        <f>IFERROR(__xludf.DUMMYFUNCTION("""COMPUTED_VALUE"""),5.0)</f>
        <v>5</v>
      </c>
      <c r="M325" s="251" t="str">
        <f>IFERROR(__xludf.DUMMYFUNCTION("""COMPUTED_VALUE"""),"Cave, Mountain")</f>
        <v>Cave, Mountain</v>
      </c>
      <c r="N325" s="251" t="str">
        <f>IFERROR(__xludf.DUMMYFUNCTION("""COMPUTED_VALUE"""),"--")</f>
        <v>--</v>
      </c>
      <c r="O325" s="251" t="str">
        <f>IFERROR(__xludf.DUMMYFUNCTION("""COMPUTED_VALUE"""),"--")</f>
        <v>--</v>
      </c>
      <c r="P325" s="251" t="str">
        <f>IFERROR(__xludf.DUMMYFUNCTION("""COMPUTED_VALUE"""),"--")</f>
        <v>--</v>
      </c>
      <c r="Q325" s="251" t="str">
        <f>IFERROR(__xludf.DUMMYFUNCTION("""COMPUTED_VALUE"""),"--")</f>
        <v>--</v>
      </c>
      <c r="R325" s="251" t="str">
        <f>IFERROR(__xludf.DUMMYFUNCTION("""COMPUTED_VALUE"""),"Underdog")</f>
        <v>Underdog</v>
      </c>
      <c r="S325" s="251" t="str">
        <f>IFERROR(__xludf.DUMMYFUNCTION("""COMPUTED_VALUE"""),"--")</f>
        <v>--</v>
      </c>
      <c r="T325" s="251" t="str">
        <f>IFERROR(__xludf.DUMMYFUNCTION("""COMPUTED_VALUE"""),"--")</f>
        <v>--</v>
      </c>
      <c r="U325" s="251" t="str">
        <f>IFERROR(__xludf.DUMMYFUNCTION("""COMPUTED_VALUE"""),"--")</f>
        <v>--</v>
      </c>
      <c r="V325" s="251" t="str">
        <f>IFERROR(__xludf.DUMMYFUNCTION("""COMPUTED_VALUE"""),"--")</f>
        <v>--</v>
      </c>
      <c r="W325" s="251" t="str">
        <f>IFERROR(__xludf.DUMMYFUNCTION("""COMPUTED_VALUE"""),"--")</f>
        <v>--</v>
      </c>
      <c r="X325" s="251" t="str">
        <f>IFERROR(__xludf.DUMMYFUNCTION("""COMPUTED_VALUE"""),"--")</f>
        <v>--</v>
      </c>
      <c r="Y325" s="251" t="str">
        <f>IFERROR(__xludf.DUMMYFUNCTION("""COMPUTED_VALUE"""),"--")</f>
        <v>--</v>
      </c>
      <c r="Z325" s="251" t="str">
        <f>IFERROR(__xludf.DUMMYFUNCTION("""COMPUTED_VALUE"""),"--")</f>
        <v>--</v>
      </c>
      <c r="AA325" s="251" t="str">
        <f>IFERROR(__xludf.DUMMYFUNCTION("""COMPUTED_VALUE"""),"--")</f>
        <v>--</v>
      </c>
      <c r="AB325" s="251" t="str">
        <f>IFERROR(__xludf.DUMMYFUNCTION("""COMPUTED_VALUE"""),"--")</f>
        <v>--</v>
      </c>
      <c r="AC325" s="251" t="str">
        <f>IFERROR(__xludf.DUMMYFUNCTION("""COMPUTED_VALUE"""),"--")</f>
        <v>--</v>
      </c>
      <c r="AD325" s="251">
        <f>IFERROR(__xludf.DUMMYFUNCTION("""COMPUTED_VALUE"""),2.0)</f>
        <v>2</v>
      </c>
      <c r="AE325" s="251" t="str">
        <f>IFERROR(__xludf.DUMMYFUNCTION("""COMPUTED_VALUE"""),"Nullivore")</f>
        <v>Nullivore</v>
      </c>
    </row>
    <row r="326">
      <c r="A326" s="251" t="str">
        <f>IFERROR(__xludf.DUMMYFUNCTION("""COMPUTED_VALUE"""),"Salamence")</f>
        <v>Salamence</v>
      </c>
      <c r="B326" s="251" t="str">
        <f>IFERROR(__xludf.DUMMYFUNCTION("""COMPUTED_VALUE"""),"Dragon")</f>
        <v>Dragon</v>
      </c>
      <c r="C326" s="251" t="str">
        <f>IFERROR(__xludf.DUMMYFUNCTION("""COMPUTED_VALUE"""),"Flying")</f>
        <v>Flying</v>
      </c>
      <c r="D326" s="251">
        <f>IFERROR(__xludf.DUMMYFUNCTION("""COMPUTED_VALUE"""),10.0)</f>
        <v>10</v>
      </c>
      <c r="E326" s="251">
        <f>IFERROR(__xludf.DUMMYFUNCTION("""COMPUTED_VALUE"""),14.0)</f>
        <v>14</v>
      </c>
      <c r="F326" s="251">
        <f>IFERROR(__xludf.DUMMYFUNCTION("""COMPUTED_VALUE"""),8.0)</f>
        <v>8</v>
      </c>
      <c r="G326" s="251">
        <f>IFERROR(__xludf.DUMMYFUNCTION("""COMPUTED_VALUE"""),11.0)</f>
        <v>11</v>
      </c>
      <c r="H326" s="251">
        <f>IFERROR(__xludf.DUMMYFUNCTION("""COMPUTED_VALUE"""),8.0)</f>
        <v>8</v>
      </c>
      <c r="I326" s="251">
        <f>IFERROR(__xludf.DUMMYFUNCTION("""COMPUTED_VALUE"""),10.0)</f>
        <v>10</v>
      </c>
      <c r="J326" s="251">
        <f>IFERROR(__xludf.DUMMYFUNCTION("""COMPUTED_VALUE"""),6.0)</f>
        <v>6</v>
      </c>
      <c r="K326" s="251" t="str">
        <f>IFERROR(__xludf.DUMMYFUNCTION("""COMPUTED_VALUE"""),"Medium")</f>
        <v>Medium</v>
      </c>
      <c r="L326" s="251">
        <f>IFERROR(__xludf.DUMMYFUNCTION("""COMPUTED_VALUE"""),5.0)</f>
        <v>5</v>
      </c>
      <c r="M326" s="251" t="str">
        <f>IFERROR(__xludf.DUMMYFUNCTION("""COMPUTED_VALUE"""),"Cave, Mountain")</f>
        <v>Cave, Mountain</v>
      </c>
      <c r="N326" s="251" t="str">
        <f>IFERROR(__xludf.DUMMYFUNCTION("""COMPUTED_VALUE"""),"Flier")</f>
        <v>Flier</v>
      </c>
      <c r="O326" s="251" t="str">
        <f>IFERROR(__xludf.DUMMYFUNCTION("""COMPUTED_VALUE"""),"Quick")</f>
        <v>Quick</v>
      </c>
      <c r="P326" s="251" t="str">
        <f>IFERROR(__xludf.DUMMYFUNCTION("""COMPUTED_VALUE"""),"--")</f>
        <v>--</v>
      </c>
      <c r="Q326" s="251" t="str">
        <f>IFERROR(__xludf.DUMMYFUNCTION("""COMPUTED_VALUE"""),"--")</f>
        <v>--</v>
      </c>
      <c r="R326" s="251" t="str">
        <f>IFERROR(__xludf.DUMMYFUNCTION("""COMPUTED_VALUE"""),"Mountable")</f>
        <v>Mountable</v>
      </c>
      <c r="S326" s="251" t="str">
        <f>IFERROR(__xludf.DUMMYFUNCTION("""COMPUTED_VALUE"""),"--")</f>
        <v>--</v>
      </c>
      <c r="T326" s="251" t="str">
        <f>IFERROR(__xludf.DUMMYFUNCTION("""COMPUTED_VALUE"""),"--")</f>
        <v>--</v>
      </c>
      <c r="U326" s="251" t="str">
        <f>IFERROR(__xludf.DUMMYFUNCTION("""COMPUTED_VALUE"""),"--")</f>
        <v>--</v>
      </c>
      <c r="V326" s="251" t="str">
        <f>IFERROR(__xludf.DUMMYFUNCTION("""COMPUTED_VALUE"""),"--")</f>
        <v>--</v>
      </c>
      <c r="W326" s="251" t="str">
        <f>IFERROR(__xludf.DUMMYFUNCTION("""COMPUTED_VALUE"""),"--")</f>
        <v>--</v>
      </c>
      <c r="X326" s="251" t="str">
        <f>IFERROR(__xludf.DUMMYFUNCTION("""COMPUTED_VALUE"""),"--")</f>
        <v>--</v>
      </c>
      <c r="Y326" s="251" t="str">
        <f>IFERROR(__xludf.DUMMYFUNCTION("""COMPUTED_VALUE"""),"--")</f>
        <v>--</v>
      </c>
      <c r="Z326" s="251" t="str">
        <f>IFERROR(__xludf.DUMMYFUNCTION("""COMPUTED_VALUE"""),"--")</f>
        <v>--</v>
      </c>
      <c r="AA326" s="251" t="str">
        <f>IFERROR(__xludf.DUMMYFUNCTION("""COMPUTED_VALUE"""),"--")</f>
        <v>--</v>
      </c>
      <c r="AB326" s="251" t="str">
        <f>IFERROR(__xludf.DUMMYFUNCTION("""COMPUTED_VALUE"""),"--")</f>
        <v>--</v>
      </c>
      <c r="AC326" s="251" t="str">
        <f>IFERROR(__xludf.DUMMYFUNCTION("""COMPUTED_VALUE"""),"--")</f>
        <v>--</v>
      </c>
      <c r="AD326" s="251">
        <f>IFERROR(__xludf.DUMMYFUNCTION("""COMPUTED_VALUE"""),3.0)</f>
        <v>3</v>
      </c>
      <c r="AE326" s="251" t="str">
        <f>IFERROR(__xludf.DUMMYFUNCTION("""COMPUTED_VALUE"""),"Carnivore")</f>
        <v>Carnivore</v>
      </c>
    </row>
    <row r="327">
      <c r="A327" s="251" t="str">
        <f>IFERROR(__xludf.DUMMYFUNCTION("""COMPUTED_VALUE"""),"Gible")</f>
        <v>Gible</v>
      </c>
      <c r="B327" s="251" t="str">
        <f>IFERROR(__xludf.DUMMYFUNCTION("""COMPUTED_VALUE"""),"Dragon")</f>
        <v>Dragon</v>
      </c>
      <c r="C327" s="251" t="str">
        <f>IFERROR(__xludf.DUMMYFUNCTION("""COMPUTED_VALUE"""),"Ground")</f>
        <v>Ground</v>
      </c>
      <c r="D327" s="251">
        <f>IFERROR(__xludf.DUMMYFUNCTION("""COMPUTED_VALUE"""),6.0)</f>
        <v>6</v>
      </c>
      <c r="E327" s="251">
        <f>IFERROR(__xludf.DUMMYFUNCTION("""COMPUTED_VALUE"""),7.0)</f>
        <v>7</v>
      </c>
      <c r="F327" s="251">
        <f>IFERROR(__xludf.DUMMYFUNCTION("""COMPUTED_VALUE"""),5.0)</f>
        <v>5</v>
      </c>
      <c r="G327" s="251">
        <f>IFERROR(__xludf.DUMMYFUNCTION("""COMPUTED_VALUE"""),4.0)</f>
        <v>4</v>
      </c>
      <c r="H327" s="251">
        <f>IFERROR(__xludf.DUMMYFUNCTION("""COMPUTED_VALUE"""),5.0)</f>
        <v>5</v>
      </c>
      <c r="I327" s="251">
        <f>IFERROR(__xludf.DUMMYFUNCTION("""COMPUTED_VALUE"""),4.0)</f>
        <v>4</v>
      </c>
      <c r="J327" s="251">
        <f>IFERROR(__xludf.DUMMYFUNCTION("""COMPUTED_VALUE"""),3.0)</f>
        <v>3</v>
      </c>
      <c r="K327" s="251" t="str">
        <f>IFERROR(__xludf.DUMMYFUNCTION("""COMPUTED_VALUE"""),"Small")</f>
        <v>Small</v>
      </c>
      <c r="L327" s="251">
        <f>IFERROR(__xludf.DUMMYFUNCTION("""COMPUTED_VALUE"""),2.0)</f>
        <v>2</v>
      </c>
      <c r="M327" s="251" t="str">
        <f>IFERROR(__xludf.DUMMYFUNCTION("""COMPUTED_VALUE"""),"Cave, Mountain")</f>
        <v>Cave, Mountain</v>
      </c>
      <c r="N327" s="251" t="str">
        <f>IFERROR(__xludf.DUMMYFUNCTION("""COMPUTED_VALUE"""),"Burrower")</f>
        <v>Burrower</v>
      </c>
      <c r="O327" s="251" t="str">
        <f>IFERROR(__xludf.DUMMYFUNCTION("""COMPUTED_VALUE"""),"--")</f>
        <v>--</v>
      </c>
      <c r="P327" s="251" t="str">
        <f>IFERROR(__xludf.DUMMYFUNCTION("""COMPUTED_VALUE"""),"--")</f>
        <v>--</v>
      </c>
      <c r="Q327" s="251" t="str">
        <f>IFERROR(__xludf.DUMMYFUNCTION("""COMPUTED_VALUE"""),"--")</f>
        <v>--</v>
      </c>
      <c r="R327" s="251" t="str">
        <f>IFERROR(__xludf.DUMMYFUNCTION("""COMPUTED_VALUE"""),"Underdog")</f>
        <v>Underdog</v>
      </c>
      <c r="S327" s="251" t="str">
        <f>IFERROR(__xludf.DUMMYFUNCTION("""COMPUTED_VALUE"""),"--")</f>
        <v>--</v>
      </c>
      <c r="T327" s="251" t="str">
        <f>IFERROR(__xludf.DUMMYFUNCTION("""COMPUTED_VALUE"""),"--")</f>
        <v>--</v>
      </c>
      <c r="U327" s="251" t="str">
        <f>IFERROR(__xludf.DUMMYFUNCTION("""COMPUTED_VALUE"""),"--")</f>
        <v>--</v>
      </c>
      <c r="V327" s="251" t="str">
        <f>IFERROR(__xludf.DUMMYFUNCTION("""COMPUTED_VALUE"""),"--")</f>
        <v>--</v>
      </c>
      <c r="W327" s="251" t="str">
        <f>IFERROR(__xludf.DUMMYFUNCTION("""COMPUTED_VALUE"""),"--")</f>
        <v>--</v>
      </c>
      <c r="X327" s="251" t="str">
        <f>IFERROR(__xludf.DUMMYFUNCTION("""COMPUTED_VALUE"""),"--")</f>
        <v>--</v>
      </c>
      <c r="Y327" s="251" t="str">
        <f>IFERROR(__xludf.DUMMYFUNCTION("""COMPUTED_VALUE"""),"--")</f>
        <v>--</v>
      </c>
      <c r="Z327" s="251" t="str">
        <f>IFERROR(__xludf.DUMMYFUNCTION("""COMPUTED_VALUE"""),"--")</f>
        <v>--</v>
      </c>
      <c r="AA327" s="251" t="str">
        <f>IFERROR(__xludf.DUMMYFUNCTION("""COMPUTED_VALUE"""),"--")</f>
        <v>--</v>
      </c>
      <c r="AB327" s="251" t="str">
        <f>IFERROR(__xludf.DUMMYFUNCTION("""COMPUTED_VALUE"""),"--")</f>
        <v>--</v>
      </c>
      <c r="AC327" s="251" t="str">
        <f>IFERROR(__xludf.DUMMYFUNCTION("""COMPUTED_VALUE"""),"--")</f>
        <v>--</v>
      </c>
      <c r="AD327" s="251">
        <f>IFERROR(__xludf.DUMMYFUNCTION("""COMPUTED_VALUE"""),1.0)</f>
        <v>1</v>
      </c>
      <c r="AE327" s="251" t="str">
        <f>IFERROR(__xludf.DUMMYFUNCTION("""COMPUTED_VALUE"""),"Carnivore")</f>
        <v>Carnivore</v>
      </c>
    </row>
    <row r="328">
      <c r="A328" s="251" t="str">
        <f>IFERROR(__xludf.DUMMYFUNCTION("""COMPUTED_VALUE"""),"Gabite")</f>
        <v>Gabite</v>
      </c>
      <c r="B328" s="251" t="str">
        <f>IFERROR(__xludf.DUMMYFUNCTION("""COMPUTED_VALUE"""),"Dragon")</f>
        <v>Dragon</v>
      </c>
      <c r="C328" s="251" t="str">
        <f>IFERROR(__xludf.DUMMYFUNCTION("""COMPUTED_VALUE"""),"Ground")</f>
        <v>Ground</v>
      </c>
      <c r="D328" s="251">
        <f>IFERROR(__xludf.DUMMYFUNCTION("""COMPUTED_VALUE"""),7.0)</f>
        <v>7</v>
      </c>
      <c r="E328" s="251">
        <f>IFERROR(__xludf.DUMMYFUNCTION("""COMPUTED_VALUE"""),9.0)</f>
        <v>9</v>
      </c>
      <c r="F328" s="251">
        <f>IFERROR(__xludf.DUMMYFUNCTION("""COMPUTED_VALUE"""),7.0)</f>
        <v>7</v>
      </c>
      <c r="G328" s="251">
        <f>IFERROR(__xludf.DUMMYFUNCTION("""COMPUTED_VALUE"""),5.0)</f>
        <v>5</v>
      </c>
      <c r="H328" s="251">
        <f>IFERROR(__xludf.DUMMYFUNCTION("""COMPUTED_VALUE"""),6.0)</f>
        <v>6</v>
      </c>
      <c r="I328" s="251">
        <f>IFERROR(__xludf.DUMMYFUNCTION("""COMPUTED_VALUE"""),8.0)</f>
        <v>8</v>
      </c>
      <c r="J328" s="251">
        <f>IFERROR(__xludf.DUMMYFUNCTION("""COMPUTED_VALUE"""),4.0)</f>
        <v>4</v>
      </c>
      <c r="K328" s="251" t="str">
        <f>IFERROR(__xludf.DUMMYFUNCTION("""COMPUTED_VALUE"""),"Medium")</f>
        <v>Medium</v>
      </c>
      <c r="L328" s="251">
        <f>IFERROR(__xludf.DUMMYFUNCTION("""COMPUTED_VALUE"""),4.0)</f>
        <v>4</v>
      </c>
      <c r="M328" s="251" t="str">
        <f>IFERROR(__xludf.DUMMYFUNCTION("""COMPUTED_VALUE"""),"Cave, Mountain")</f>
        <v>Cave, Mountain</v>
      </c>
      <c r="N328" s="251" t="str">
        <f>IFERROR(__xludf.DUMMYFUNCTION("""COMPUTED_VALUE"""),"Burrower")</f>
        <v>Burrower</v>
      </c>
      <c r="O328" s="251" t="str">
        <f>IFERROR(__xludf.DUMMYFUNCTION("""COMPUTED_VALUE"""),"--")</f>
        <v>--</v>
      </c>
      <c r="P328" s="251" t="str">
        <f>IFERROR(__xludf.DUMMYFUNCTION("""COMPUTED_VALUE"""),"--")</f>
        <v>--</v>
      </c>
      <c r="Q328" s="251" t="str">
        <f>IFERROR(__xludf.DUMMYFUNCTION("""COMPUTED_VALUE"""),"--")</f>
        <v>--</v>
      </c>
      <c r="R328" s="251" t="str">
        <f>IFERROR(__xludf.DUMMYFUNCTION("""COMPUTED_VALUE"""),"Underdog")</f>
        <v>Underdog</v>
      </c>
      <c r="S328" s="251" t="str">
        <f>IFERROR(__xludf.DUMMYFUNCTION("""COMPUTED_VALUE"""),"--")</f>
        <v>--</v>
      </c>
      <c r="T328" s="251" t="str">
        <f>IFERROR(__xludf.DUMMYFUNCTION("""COMPUTED_VALUE"""),"--")</f>
        <v>--</v>
      </c>
      <c r="U328" s="251" t="str">
        <f>IFERROR(__xludf.DUMMYFUNCTION("""COMPUTED_VALUE"""),"--")</f>
        <v>--</v>
      </c>
      <c r="V328" s="251" t="str">
        <f>IFERROR(__xludf.DUMMYFUNCTION("""COMPUTED_VALUE"""),"--")</f>
        <v>--</v>
      </c>
      <c r="W328" s="251" t="str">
        <f>IFERROR(__xludf.DUMMYFUNCTION("""COMPUTED_VALUE"""),"--")</f>
        <v>--</v>
      </c>
      <c r="X328" s="251" t="str">
        <f>IFERROR(__xludf.DUMMYFUNCTION("""COMPUTED_VALUE"""),"--")</f>
        <v>--</v>
      </c>
      <c r="Y328" s="251" t="str">
        <f>IFERROR(__xludf.DUMMYFUNCTION("""COMPUTED_VALUE"""),"--")</f>
        <v>--</v>
      </c>
      <c r="Z328" s="251" t="str">
        <f>IFERROR(__xludf.DUMMYFUNCTION("""COMPUTED_VALUE"""),"--")</f>
        <v>--</v>
      </c>
      <c r="AA328" s="251" t="str">
        <f>IFERROR(__xludf.DUMMYFUNCTION("""COMPUTED_VALUE"""),"--")</f>
        <v>--</v>
      </c>
      <c r="AB328" s="251" t="str">
        <f>IFERROR(__xludf.DUMMYFUNCTION("""COMPUTED_VALUE"""),"--")</f>
        <v>--</v>
      </c>
      <c r="AC328" s="251" t="str">
        <f>IFERROR(__xludf.DUMMYFUNCTION("""COMPUTED_VALUE"""),"--")</f>
        <v>--</v>
      </c>
      <c r="AD328" s="251">
        <f>IFERROR(__xludf.DUMMYFUNCTION("""COMPUTED_VALUE"""),2.0)</f>
        <v>2</v>
      </c>
      <c r="AE328" s="251" t="str">
        <f>IFERROR(__xludf.DUMMYFUNCTION("""COMPUTED_VALUE"""),"Carnivore")</f>
        <v>Carnivore</v>
      </c>
    </row>
    <row r="329">
      <c r="A329" s="251" t="str">
        <f>IFERROR(__xludf.DUMMYFUNCTION("""COMPUTED_VALUE"""),"Garchomp")</f>
        <v>Garchomp</v>
      </c>
      <c r="B329" s="251" t="str">
        <f>IFERROR(__xludf.DUMMYFUNCTION("""COMPUTED_VALUE"""),"Dragon")</f>
        <v>Dragon</v>
      </c>
      <c r="C329" s="251" t="str">
        <f>IFERROR(__xludf.DUMMYFUNCTION("""COMPUTED_VALUE"""),"Ground")</f>
        <v>Ground</v>
      </c>
      <c r="D329" s="251">
        <f>IFERROR(__xludf.DUMMYFUNCTION("""COMPUTED_VALUE"""),11.0)</f>
        <v>11</v>
      </c>
      <c r="E329" s="251">
        <f>IFERROR(__xludf.DUMMYFUNCTION("""COMPUTED_VALUE"""),13.0)</f>
        <v>13</v>
      </c>
      <c r="F329" s="251">
        <f>IFERROR(__xludf.DUMMYFUNCTION("""COMPUTED_VALUE"""),10.0)</f>
        <v>10</v>
      </c>
      <c r="G329" s="251">
        <f>IFERROR(__xludf.DUMMYFUNCTION("""COMPUTED_VALUE"""),8.0)</f>
        <v>8</v>
      </c>
      <c r="H329" s="251">
        <f>IFERROR(__xludf.DUMMYFUNCTION("""COMPUTED_VALUE"""),9.0)</f>
        <v>9</v>
      </c>
      <c r="I329" s="251">
        <f>IFERROR(__xludf.DUMMYFUNCTION("""COMPUTED_VALUE"""),10.0)</f>
        <v>10</v>
      </c>
      <c r="J329" s="251">
        <f>IFERROR(__xludf.DUMMYFUNCTION("""COMPUTED_VALUE"""),6.0)</f>
        <v>6</v>
      </c>
      <c r="K329" s="251" t="str">
        <f>IFERROR(__xludf.DUMMYFUNCTION("""COMPUTED_VALUE"""),"Large")</f>
        <v>Large</v>
      </c>
      <c r="L329" s="251">
        <f>IFERROR(__xludf.DUMMYFUNCTION("""COMPUTED_VALUE"""),4.0)</f>
        <v>4</v>
      </c>
      <c r="M329" s="251" t="str">
        <f>IFERROR(__xludf.DUMMYFUNCTION("""COMPUTED_VALUE"""),"Cave, Mountain")</f>
        <v>Cave, Mountain</v>
      </c>
      <c r="N329" s="251" t="str">
        <f>IFERROR(__xludf.DUMMYFUNCTION("""COMPUTED_VALUE"""),"Burrower")</f>
        <v>Burrower</v>
      </c>
      <c r="O329" s="251" t="str">
        <f>IFERROR(__xludf.DUMMYFUNCTION("""COMPUTED_VALUE"""),"Flier")</f>
        <v>Flier</v>
      </c>
      <c r="P329" s="251" t="str">
        <f>IFERROR(__xludf.DUMMYFUNCTION("""COMPUTED_VALUE"""),"Jumper")</f>
        <v>Jumper</v>
      </c>
      <c r="Q329" s="251" t="str">
        <f>IFERROR(__xludf.DUMMYFUNCTION("""COMPUTED_VALUE"""),"Quick")</f>
        <v>Quick</v>
      </c>
      <c r="R329" s="251" t="str">
        <f>IFERROR(__xludf.DUMMYFUNCTION("""COMPUTED_VALUE"""),"Mountable")</f>
        <v>Mountable</v>
      </c>
      <c r="S329" s="251" t="str">
        <f>IFERROR(__xludf.DUMMYFUNCTION("""COMPUTED_VALUE"""),"--")</f>
        <v>--</v>
      </c>
      <c r="T329" s="251" t="str">
        <f>IFERROR(__xludf.DUMMYFUNCTION("""COMPUTED_VALUE"""),"--")</f>
        <v>--</v>
      </c>
      <c r="U329" s="251" t="str">
        <f>IFERROR(__xludf.DUMMYFUNCTION("""COMPUTED_VALUE"""),"--")</f>
        <v>--</v>
      </c>
      <c r="V329" s="251" t="str">
        <f>IFERROR(__xludf.DUMMYFUNCTION("""COMPUTED_VALUE"""),"--")</f>
        <v>--</v>
      </c>
      <c r="W329" s="251" t="str">
        <f>IFERROR(__xludf.DUMMYFUNCTION("""COMPUTED_VALUE"""),"--")</f>
        <v>--</v>
      </c>
      <c r="X329" s="251" t="str">
        <f>IFERROR(__xludf.DUMMYFUNCTION("""COMPUTED_VALUE"""),"--")</f>
        <v>--</v>
      </c>
      <c r="Y329" s="251" t="str">
        <f>IFERROR(__xludf.DUMMYFUNCTION("""COMPUTED_VALUE"""),"--")</f>
        <v>--</v>
      </c>
      <c r="Z329" s="251" t="str">
        <f>IFERROR(__xludf.DUMMYFUNCTION("""COMPUTED_VALUE"""),"--")</f>
        <v>--</v>
      </c>
      <c r="AA329" s="251" t="str">
        <f>IFERROR(__xludf.DUMMYFUNCTION("""COMPUTED_VALUE"""),"--")</f>
        <v>--</v>
      </c>
      <c r="AB329" s="251" t="str">
        <f>IFERROR(__xludf.DUMMYFUNCTION("""COMPUTED_VALUE"""),"--")</f>
        <v>--</v>
      </c>
      <c r="AC329" s="251" t="str">
        <f>IFERROR(__xludf.DUMMYFUNCTION("""COMPUTED_VALUE"""),"--")</f>
        <v>--</v>
      </c>
      <c r="AD329" s="251">
        <f>IFERROR(__xludf.DUMMYFUNCTION("""COMPUTED_VALUE"""),3.0)</f>
        <v>3</v>
      </c>
      <c r="AE329" s="251" t="str">
        <f>IFERROR(__xludf.DUMMYFUNCTION("""COMPUTED_VALUE"""),"Carnivore")</f>
        <v>Carnivore</v>
      </c>
    </row>
    <row r="330">
      <c r="A330" s="251" t="str">
        <f>IFERROR(__xludf.DUMMYFUNCTION("""COMPUTED_VALUE"""),"Axew")</f>
        <v>Axew</v>
      </c>
      <c r="B330" s="251" t="str">
        <f>IFERROR(__xludf.DUMMYFUNCTION("""COMPUTED_VALUE"""),"Dragon")</f>
        <v>Dragon</v>
      </c>
      <c r="C330" s="251" t="str">
        <f>IFERROR(__xludf.DUMMYFUNCTION("""COMPUTED_VALUE"""),"None")</f>
        <v>None</v>
      </c>
      <c r="D330" s="251">
        <f>IFERROR(__xludf.DUMMYFUNCTION("""COMPUTED_VALUE"""),5.0)</f>
        <v>5</v>
      </c>
      <c r="E330" s="251">
        <f>IFERROR(__xludf.DUMMYFUNCTION("""COMPUTED_VALUE"""),9.0)</f>
        <v>9</v>
      </c>
      <c r="F330" s="251">
        <f>IFERROR(__xludf.DUMMYFUNCTION("""COMPUTED_VALUE"""),6.0)</f>
        <v>6</v>
      </c>
      <c r="G330" s="251">
        <f>IFERROR(__xludf.DUMMYFUNCTION("""COMPUTED_VALUE"""),3.0)</f>
        <v>3</v>
      </c>
      <c r="H330" s="251">
        <f>IFERROR(__xludf.DUMMYFUNCTION("""COMPUTED_VALUE"""),4.0)</f>
        <v>4</v>
      </c>
      <c r="I330" s="251">
        <f>IFERROR(__xludf.DUMMYFUNCTION("""COMPUTED_VALUE"""),6.0)</f>
        <v>6</v>
      </c>
      <c r="J330" s="251">
        <f>IFERROR(__xludf.DUMMYFUNCTION("""COMPUTED_VALUE"""),3.0)</f>
        <v>3</v>
      </c>
      <c r="K330" s="251" t="str">
        <f>IFERROR(__xludf.DUMMYFUNCTION("""COMPUTED_VALUE"""),"Small")</f>
        <v>Small</v>
      </c>
      <c r="L330" s="251">
        <f>IFERROR(__xludf.DUMMYFUNCTION("""COMPUTED_VALUE"""),2.0)</f>
        <v>2</v>
      </c>
      <c r="M330" s="251" t="str">
        <f>IFERROR(__xludf.DUMMYFUNCTION("""COMPUTED_VALUE"""),"Cave, Mountain")</f>
        <v>Cave, Mountain</v>
      </c>
      <c r="N330" s="251" t="str">
        <f>IFERROR(__xludf.DUMMYFUNCTION("""COMPUTED_VALUE"""),"--")</f>
        <v>--</v>
      </c>
      <c r="O330" s="251" t="str">
        <f>IFERROR(__xludf.DUMMYFUNCTION("""COMPUTED_VALUE"""),"--")</f>
        <v>--</v>
      </c>
      <c r="P330" s="251" t="str">
        <f>IFERROR(__xludf.DUMMYFUNCTION("""COMPUTED_VALUE"""),"--")</f>
        <v>--</v>
      </c>
      <c r="Q330" s="251" t="str">
        <f>IFERROR(__xludf.DUMMYFUNCTION("""COMPUTED_VALUE"""),"--")</f>
        <v>--</v>
      </c>
      <c r="R330" s="251" t="str">
        <f>IFERROR(__xludf.DUMMYFUNCTION("""COMPUTED_VALUE"""),"Underdog")</f>
        <v>Underdog</v>
      </c>
      <c r="S330" s="251" t="str">
        <f>IFERROR(__xludf.DUMMYFUNCTION("""COMPUTED_VALUE"""),"--")</f>
        <v>--</v>
      </c>
      <c r="T330" s="251" t="str">
        <f>IFERROR(__xludf.DUMMYFUNCTION("""COMPUTED_VALUE"""),"--")</f>
        <v>--</v>
      </c>
      <c r="U330" s="251" t="str">
        <f>IFERROR(__xludf.DUMMYFUNCTION("""COMPUTED_VALUE"""),"--")</f>
        <v>--</v>
      </c>
      <c r="V330" s="251" t="str">
        <f>IFERROR(__xludf.DUMMYFUNCTION("""COMPUTED_VALUE"""),"--")</f>
        <v>--</v>
      </c>
      <c r="W330" s="251" t="str">
        <f>IFERROR(__xludf.DUMMYFUNCTION("""COMPUTED_VALUE"""),"--")</f>
        <v>--</v>
      </c>
      <c r="X330" s="251" t="str">
        <f>IFERROR(__xludf.DUMMYFUNCTION("""COMPUTED_VALUE"""),"--")</f>
        <v>--</v>
      </c>
      <c r="Y330" s="251" t="str">
        <f>IFERROR(__xludf.DUMMYFUNCTION("""COMPUTED_VALUE"""),"--")</f>
        <v>--</v>
      </c>
      <c r="Z330" s="251" t="str">
        <f>IFERROR(__xludf.DUMMYFUNCTION("""COMPUTED_VALUE"""),"--")</f>
        <v>--</v>
      </c>
      <c r="AA330" s="251" t="str">
        <f>IFERROR(__xludf.DUMMYFUNCTION("""COMPUTED_VALUE"""),"--")</f>
        <v>--</v>
      </c>
      <c r="AB330" s="251" t="str">
        <f>IFERROR(__xludf.DUMMYFUNCTION("""COMPUTED_VALUE"""),"--")</f>
        <v>--</v>
      </c>
      <c r="AC330" s="251" t="str">
        <f>IFERROR(__xludf.DUMMYFUNCTION("""COMPUTED_VALUE"""),"--")</f>
        <v>--</v>
      </c>
      <c r="AD330" s="251">
        <f>IFERROR(__xludf.DUMMYFUNCTION("""COMPUTED_VALUE"""),1.0)</f>
        <v>1</v>
      </c>
      <c r="AE330" s="251" t="str">
        <f>IFERROR(__xludf.DUMMYFUNCTION("""COMPUTED_VALUE"""),"Omnivore")</f>
        <v>Omnivore</v>
      </c>
    </row>
    <row r="331">
      <c r="A331" s="251" t="str">
        <f>IFERROR(__xludf.DUMMYFUNCTION("""COMPUTED_VALUE"""),"Fraxure")</f>
        <v>Fraxure</v>
      </c>
      <c r="B331" s="251" t="str">
        <f>IFERROR(__xludf.DUMMYFUNCTION("""COMPUTED_VALUE"""),"Dragon")</f>
        <v>Dragon</v>
      </c>
      <c r="C331" s="251" t="str">
        <f>IFERROR(__xludf.DUMMYFUNCTION("""COMPUTED_VALUE"""),"None")</f>
        <v>None</v>
      </c>
      <c r="D331" s="251">
        <f>IFERROR(__xludf.DUMMYFUNCTION("""COMPUTED_VALUE"""),7.0)</f>
        <v>7</v>
      </c>
      <c r="E331" s="251">
        <f>IFERROR(__xludf.DUMMYFUNCTION("""COMPUTED_VALUE"""),12.0)</f>
        <v>12</v>
      </c>
      <c r="F331" s="251">
        <f>IFERROR(__xludf.DUMMYFUNCTION("""COMPUTED_VALUE"""),7.0)</f>
        <v>7</v>
      </c>
      <c r="G331" s="251">
        <f>IFERROR(__xludf.DUMMYFUNCTION("""COMPUTED_VALUE"""),4.0)</f>
        <v>4</v>
      </c>
      <c r="H331" s="251">
        <f>IFERROR(__xludf.DUMMYFUNCTION("""COMPUTED_VALUE"""),5.0)</f>
        <v>5</v>
      </c>
      <c r="I331" s="251">
        <f>IFERROR(__xludf.DUMMYFUNCTION("""COMPUTED_VALUE"""),7.0)</f>
        <v>7</v>
      </c>
      <c r="J331" s="251">
        <f>IFERROR(__xludf.DUMMYFUNCTION("""COMPUTED_VALUE"""),4.0)</f>
        <v>4</v>
      </c>
      <c r="K331" s="251" t="str">
        <f>IFERROR(__xludf.DUMMYFUNCTION("""COMPUTED_VALUE"""),"Medium")</f>
        <v>Medium</v>
      </c>
      <c r="L331" s="251">
        <f>IFERROR(__xludf.DUMMYFUNCTION("""COMPUTED_VALUE"""),3.0)</f>
        <v>3</v>
      </c>
      <c r="M331" s="251" t="str">
        <f>IFERROR(__xludf.DUMMYFUNCTION("""COMPUTED_VALUE"""),"Cave, Mountain")</f>
        <v>Cave, Mountain</v>
      </c>
      <c r="N331" s="251" t="str">
        <f>IFERROR(__xludf.DUMMYFUNCTION("""COMPUTED_VALUE"""),"--")</f>
        <v>--</v>
      </c>
      <c r="O331" s="251" t="str">
        <f>IFERROR(__xludf.DUMMYFUNCTION("""COMPUTED_VALUE"""),"--")</f>
        <v>--</v>
      </c>
      <c r="P331" s="251" t="str">
        <f>IFERROR(__xludf.DUMMYFUNCTION("""COMPUTED_VALUE"""),"--")</f>
        <v>--</v>
      </c>
      <c r="Q331" s="251" t="str">
        <f>IFERROR(__xludf.DUMMYFUNCTION("""COMPUTED_VALUE"""),"--")</f>
        <v>--</v>
      </c>
      <c r="R331" s="251" t="str">
        <f>IFERROR(__xludf.DUMMYFUNCTION("""COMPUTED_VALUE"""),"Underdog")</f>
        <v>Underdog</v>
      </c>
      <c r="S331" s="251" t="str">
        <f>IFERROR(__xludf.DUMMYFUNCTION("""COMPUTED_VALUE"""),"--")</f>
        <v>--</v>
      </c>
      <c r="T331" s="251" t="str">
        <f>IFERROR(__xludf.DUMMYFUNCTION("""COMPUTED_VALUE"""),"--")</f>
        <v>--</v>
      </c>
      <c r="U331" s="251" t="str">
        <f>IFERROR(__xludf.DUMMYFUNCTION("""COMPUTED_VALUE"""),"--")</f>
        <v>--</v>
      </c>
      <c r="V331" s="251" t="str">
        <f>IFERROR(__xludf.DUMMYFUNCTION("""COMPUTED_VALUE"""),"--")</f>
        <v>--</v>
      </c>
      <c r="W331" s="251" t="str">
        <f>IFERROR(__xludf.DUMMYFUNCTION("""COMPUTED_VALUE"""),"--")</f>
        <v>--</v>
      </c>
      <c r="X331" s="251" t="str">
        <f>IFERROR(__xludf.DUMMYFUNCTION("""COMPUTED_VALUE"""),"--")</f>
        <v>--</v>
      </c>
      <c r="Y331" s="251" t="str">
        <f>IFERROR(__xludf.DUMMYFUNCTION("""COMPUTED_VALUE"""),"--")</f>
        <v>--</v>
      </c>
      <c r="Z331" s="251" t="str">
        <f>IFERROR(__xludf.DUMMYFUNCTION("""COMPUTED_VALUE"""),"--")</f>
        <v>--</v>
      </c>
      <c r="AA331" s="251" t="str">
        <f>IFERROR(__xludf.DUMMYFUNCTION("""COMPUTED_VALUE"""),"--")</f>
        <v>--</v>
      </c>
      <c r="AB331" s="251" t="str">
        <f>IFERROR(__xludf.DUMMYFUNCTION("""COMPUTED_VALUE"""),"--")</f>
        <v>--</v>
      </c>
      <c r="AC331" s="251" t="str">
        <f>IFERROR(__xludf.DUMMYFUNCTION("""COMPUTED_VALUE"""),"--")</f>
        <v>--</v>
      </c>
      <c r="AD331" s="251">
        <f>IFERROR(__xludf.DUMMYFUNCTION("""COMPUTED_VALUE"""),2.0)</f>
        <v>2</v>
      </c>
      <c r="AE331" s="251" t="str">
        <f>IFERROR(__xludf.DUMMYFUNCTION("""COMPUTED_VALUE"""),"Omnivore")</f>
        <v>Omnivore</v>
      </c>
    </row>
    <row r="332">
      <c r="A332" s="251" t="str">
        <f>IFERROR(__xludf.DUMMYFUNCTION("""COMPUTED_VALUE"""),"Haxorus")</f>
        <v>Haxorus</v>
      </c>
      <c r="B332" s="251" t="str">
        <f>IFERROR(__xludf.DUMMYFUNCTION("""COMPUTED_VALUE"""),"Dragon")</f>
        <v>Dragon</v>
      </c>
      <c r="C332" s="251" t="str">
        <f>IFERROR(__xludf.DUMMYFUNCTION("""COMPUTED_VALUE"""),"None")</f>
        <v>None</v>
      </c>
      <c r="D332" s="251">
        <f>IFERROR(__xludf.DUMMYFUNCTION("""COMPUTED_VALUE"""),8.0)</f>
        <v>8</v>
      </c>
      <c r="E332" s="251">
        <f>IFERROR(__xludf.DUMMYFUNCTION("""COMPUTED_VALUE"""),15.0)</f>
        <v>15</v>
      </c>
      <c r="F332" s="251">
        <f>IFERROR(__xludf.DUMMYFUNCTION("""COMPUTED_VALUE"""),9.0)</f>
        <v>9</v>
      </c>
      <c r="G332" s="251">
        <f>IFERROR(__xludf.DUMMYFUNCTION("""COMPUTED_VALUE"""),6.0)</f>
        <v>6</v>
      </c>
      <c r="H332" s="251">
        <f>IFERROR(__xludf.DUMMYFUNCTION("""COMPUTED_VALUE"""),7.0)</f>
        <v>7</v>
      </c>
      <c r="I332" s="251">
        <f>IFERROR(__xludf.DUMMYFUNCTION("""COMPUTED_VALUE"""),10.0)</f>
        <v>10</v>
      </c>
      <c r="J332" s="251">
        <f>IFERROR(__xludf.DUMMYFUNCTION("""COMPUTED_VALUE"""),8.0)</f>
        <v>8</v>
      </c>
      <c r="K332" s="251" t="str">
        <f>IFERROR(__xludf.DUMMYFUNCTION("""COMPUTED_VALUE"""),"Medium")</f>
        <v>Medium</v>
      </c>
      <c r="L332" s="251">
        <f>IFERROR(__xludf.DUMMYFUNCTION("""COMPUTED_VALUE"""),5.0)</f>
        <v>5</v>
      </c>
      <c r="M332" s="251" t="str">
        <f>IFERROR(__xludf.DUMMYFUNCTION("""COMPUTED_VALUE"""),"Cave, Mountain")</f>
        <v>Cave, Mountain</v>
      </c>
      <c r="N332" s="251" t="str">
        <f>IFERROR(__xludf.DUMMYFUNCTION("""COMPUTED_VALUE"""),"--")</f>
        <v>--</v>
      </c>
      <c r="O332" s="251" t="str">
        <f>IFERROR(__xludf.DUMMYFUNCTION("""COMPUTED_VALUE"""),"--")</f>
        <v>--</v>
      </c>
      <c r="P332" s="251" t="str">
        <f>IFERROR(__xludf.DUMMYFUNCTION("""COMPUTED_VALUE"""),"--")</f>
        <v>--</v>
      </c>
      <c r="Q332" s="251" t="str">
        <f>IFERROR(__xludf.DUMMYFUNCTION("""COMPUTED_VALUE"""),"--")</f>
        <v>--</v>
      </c>
      <c r="R332" s="251" t="str">
        <f>IFERROR(__xludf.DUMMYFUNCTION("""COMPUTED_VALUE"""),"--")</f>
        <v>--</v>
      </c>
      <c r="S332" s="251" t="str">
        <f>IFERROR(__xludf.DUMMYFUNCTION("""COMPUTED_VALUE"""),"--")</f>
        <v>--</v>
      </c>
      <c r="T332" s="251" t="str">
        <f>IFERROR(__xludf.DUMMYFUNCTION("""COMPUTED_VALUE"""),"--")</f>
        <v>--</v>
      </c>
      <c r="U332" s="251" t="str">
        <f>IFERROR(__xludf.DUMMYFUNCTION("""COMPUTED_VALUE"""),"--")</f>
        <v>--</v>
      </c>
      <c r="V332" s="251" t="str">
        <f>IFERROR(__xludf.DUMMYFUNCTION("""COMPUTED_VALUE"""),"--")</f>
        <v>--</v>
      </c>
      <c r="W332" s="251" t="str">
        <f>IFERROR(__xludf.DUMMYFUNCTION("""COMPUTED_VALUE"""),"--")</f>
        <v>--</v>
      </c>
      <c r="X332" s="251" t="str">
        <f>IFERROR(__xludf.DUMMYFUNCTION("""COMPUTED_VALUE"""),"--")</f>
        <v>--</v>
      </c>
      <c r="Y332" s="251" t="str">
        <f>IFERROR(__xludf.DUMMYFUNCTION("""COMPUTED_VALUE"""),"--")</f>
        <v>--</v>
      </c>
      <c r="Z332" s="251" t="str">
        <f>IFERROR(__xludf.DUMMYFUNCTION("""COMPUTED_VALUE"""),"--")</f>
        <v>--</v>
      </c>
      <c r="AA332" s="251" t="str">
        <f>IFERROR(__xludf.DUMMYFUNCTION("""COMPUTED_VALUE"""),"--")</f>
        <v>--</v>
      </c>
      <c r="AB332" s="251" t="str">
        <f>IFERROR(__xludf.DUMMYFUNCTION("""COMPUTED_VALUE"""),"--")</f>
        <v>--</v>
      </c>
      <c r="AC332" s="251" t="str">
        <f>IFERROR(__xludf.DUMMYFUNCTION("""COMPUTED_VALUE"""),"--")</f>
        <v>--</v>
      </c>
      <c r="AD332" s="251">
        <f>IFERROR(__xludf.DUMMYFUNCTION("""COMPUTED_VALUE"""),3.0)</f>
        <v>3</v>
      </c>
      <c r="AE332" s="251" t="str">
        <f>IFERROR(__xludf.DUMMYFUNCTION("""COMPUTED_VALUE"""),"Omnivore")</f>
        <v>Omnivore</v>
      </c>
    </row>
    <row r="333">
      <c r="A333" s="251" t="str">
        <f>IFERROR(__xludf.DUMMYFUNCTION("""COMPUTED_VALUE"""),"Goomy")</f>
        <v>Goomy</v>
      </c>
      <c r="B333" s="251" t="str">
        <f>IFERROR(__xludf.DUMMYFUNCTION("""COMPUTED_VALUE"""),"Dragon")</f>
        <v>Dragon</v>
      </c>
      <c r="C333" s="251" t="str">
        <f>IFERROR(__xludf.DUMMYFUNCTION("""COMPUTED_VALUE"""),"None")</f>
        <v>None</v>
      </c>
      <c r="D333" s="251">
        <f>IFERROR(__xludf.DUMMYFUNCTION("""COMPUTED_VALUE"""),5.0)</f>
        <v>5</v>
      </c>
      <c r="E333" s="251">
        <f>IFERROR(__xludf.DUMMYFUNCTION("""COMPUTED_VALUE"""),5.0)</f>
        <v>5</v>
      </c>
      <c r="F333" s="251">
        <f>IFERROR(__xludf.DUMMYFUNCTION("""COMPUTED_VALUE"""),4.0)</f>
        <v>4</v>
      </c>
      <c r="G333" s="251">
        <f>IFERROR(__xludf.DUMMYFUNCTION("""COMPUTED_VALUE"""),6.0)</f>
        <v>6</v>
      </c>
      <c r="H333" s="251">
        <f>IFERROR(__xludf.DUMMYFUNCTION("""COMPUTED_VALUE"""),8.0)</f>
        <v>8</v>
      </c>
      <c r="I333" s="251">
        <f>IFERROR(__xludf.DUMMYFUNCTION("""COMPUTED_VALUE"""),4.0)</f>
        <v>4</v>
      </c>
      <c r="J333" s="251">
        <f>IFERROR(__xludf.DUMMYFUNCTION("""COMPUTED_VALUE"""),1.0)</f>
        <v>1</v>
      </c>
      <c r="K333" s="251" t="str">
        <f>IFERROR(__xludf.DUMMYFUNCTION("""COMPUTED_VALUE"""),"Small")</f>
        <v>Small</v>
      </c>
      <c r="L333" s="251">
        <f>IFERROR(__xludf.DUMMYFUNCTION("""COMPUTED_VALUE"""),1.0)</f>
        <v>1</v>
      </c>
      <c r="M333" s="251" t="str">
        <f>IFERROR(__xludf.DUMMYFUNCTION("""COMPUTED_VALUE"""),"Mountain, Wetlands")</f>
        <v>Mountain, Wetlands</v>
      </c>
      <c r="N333" s="251" t="str">
        <f>IFERROR(__xludf.DUMMYFUNCTION("""COMPUTED_VALUE"""),"Climber")</f>
        <v>Climber</v>
      </c>
      <c r="O333" s="251" t="str">
        <f>IFERROR(__xludf.DUMMYFUNCTION("""COMPUTED_VALUE"""),"Grounded")</f>
        <v>Grounded</v>
      </c>
      <c r="P333" s="251" t="str">
        <f>IFERROR(__xludf.DUMMYFUNCTION("""COMPUTED_VALUE"""),"Slow")</f>
        <v>Slow</v>
      </c>
      <c r="Q333" s="251" t="str">
        <f>IFERROR(__xludf.DUMMYFUNCTION("""COMPUTED_VALUE"""),"--")</f>
        <v>--</v>
      </c>
      <c r="R333" s="251" t="str">
        <f>IFERROR(__xludf.DUMMYFUNCTION("""COMPUTED_VALUE"""),"Underdog")</f>
        <v>Underdog</v>
      </c>
      <c r="S333" s="251" t="str">
        <f>IFERROR(__xludf.DUMMYFUNCTION("""COMPUTED_VALUE"""),"--")</f>
        <v>--</v>
      </c>
      <c r="T333" s="251" t="str">
        <f>IFERROR(__xludf.DUMMYFUNCTION("""COMPUTED_VALUE"""),"--")</f>
        <v>--</v>
      </c>
      <c r="U333" s="251" t="str">
        <f>IFERROR(__xludf.DUMMYFUNCTION("""COMPUTED_VALUE"""),"--")</f>
        <v>--</v>
      </c>
      <c r="V333" s="251" t="str">
        <f>IFERROR(__xludf.DUMMYFUNCTION("""COMPUTED_VALUE"""),"Amorphous")</f>
        <v>Amorphous</v>
      </c>
      <c r="W333" s="251" t="str">
        <f>IFERROR(__xludf.DUMMYFUNCTION("""COMPUTED_VALUE"""),"--")</f>
        <v>--</v>
      </c>
      <c r="X333" s="251" t="str">
        <f>IFERROR(__xludf.DUMMYFUNCTION("""COMPUTED_VALUE"""),"--")</f>
        <v>--</v>
      </c>
      <c r="Y333" s="251" t="str">
        <f>IFERROR(__xludf.DUMMYFUNCTION("""COMPUTED_VALUE"""),"--")</f>
        <v>--</v>
      </c>
      <c r="Z333" s="251" t="str">
        <f>IFERROR(__xludf.DUMMYFUNCTION("""COMPUTED_VALUE"""),"--")</f>
        <v>--</v>
      </c>
      <c r="AA333" s="251" t="str">
        <f>IFERROR(__xludf.DUMMYFUNCTION("""COMPUTED_VALUE"""),"--")</f>
        <v>--</v>
      </c>
      <c r="AB333" s="251" t="str">
        <f>IFERROR(__xludf.DUMMYFUNCTION("""COMPUTED_VALUE"""),"--")</f>
        <v>--</v>
      </c>
      <c r="AC333" s="251" t="str">
        <f>IFERROR(__xludf.DUMMYFUNCTION("""COMPUTED_VALUE"""),"--")</f>
        <v>--</v>
      </c>
      <c r="AD333" s="251">
        <f>IFERROR(__xludf.DUMMYFUNCTION("""COMPUTED_VALUE"""),1.0)</f>
        <v>1</v>
      </c>
      <c r="AE333" s="251" t="str">
        <f>IFERROR(__xludf.DUMMYFUNCTION("""COMPUTED_VALUE"""),"Omnivore")</f>
        <v>Omnivore</v>
      </c>
    </row>
    <row r="334">
      <c r="A334" s="251" t="str">
        <f>IFERROR(__xludf.DUMMYFUNCTION("""COMPUTED_VALUE"""),"Sliggoo")</f>
        <v>Sliggoo</v>
      </c>
      <c r="B334" s="251" t="str">
        <f>IFERROR(__xludf.DUMMYFUNCTION("""COMPUTED_VALUE"""),"Dragon")</f>
        <v>Dragon</v>
      </c>
      <c r="C334" s="251" t="str">
        <f>IFERROR(__xludf.DUMMYFUNCTION("""COMPUTED_VALUE"""),"None")</f>
        <v>None</v>
      </c>
      <c r="D334" s="251">
        <f>IFERROR(__xludf.DUMMYFUNCTION("""COMPUTED_VALUE"""),7.0)</f>
        <v>7</v>
      </c>
      <c r="E334" s="251">
        <f>IFERROR(__xludf.DUMMYFUNCTION("""COMPUTED_VALUE"""),8.0)</f>
        <v>8</v>
      </c>
      <c r="F334" s="251">
        <f>IFERROR(__xludf.DUMMYFUNCTION("""COMPUTED_VALUE"""),5.0)</f>
        <v>5</v>
      </c>
      <c r="G334" s="251">
        <f>IFERROR(__xludf.DUMMYFUNCTION("""COMPUTED_VALUE"""),8.0)</f>
        <v>8</v>
      </c>
      <c r="H334" s="251">
        <f>IFERROR(__xludf.DUMMYFUNCTION("""COMPUTED_VALUE"""),11.0)</f>
        <v>11</v>
      </c>
      <c r="I334" s="251">
        <f>IFERROR(__xludf.DUMMYFUNCTION("""COMPUTED_VALUE"""),6.0)</f>
        <v>6</v>
      </c>
      <c r="J334" s="251">
        <f>IFERROR(__xludf.DUMMYFUNCTION("""COMPUTED_VALUE"""),2.0)</f>
        <v>2</v>
      </c>
      <c r="K334" s="251" t="str">
        <f>IFERROR(__xludf.DUMMYFUNCTION("""COMPUTED_VALUE"""),"Small")</f>
        <v>Small</v>
      </c>
      <c r="L334" s="251">
        <f>IFERROR(__xludf.DUMMYFUNCTION("""COMPUTED_VALUE"""),2.0)</f>
        <v>2</v>
      </c>
      <c r="M334" s="251" t="str">
        <f>IFERROR(__xludf.DUMMYFUNCTION("""COMPUTED_VALUE"""),"Mountain, Wetlands")</f>
        <v>Mountain, Wetlands</v>
      </c>
      <c r="N334" s="251" t="str">
        <f>IFERROR(__xludf.DUMMYFUNCTION("""COMPUTED_VALUE"""),"Climber")</f>
        <v>Climber</v>
      </c>
      <c r="O334" s="251" t="str">
        <f>IFERROR(__xludf.DUMMYFUNCTION("""COMPUTED_VALUE"""),"Grounded")</f>
        <v>Grounded</v>
      </c>
      <c r="P334" s="251" t="str">
        <f>IFERROR(__xludf.DUMMYFUNCTION("""COMPUTED_VALUE"""),"Slow")</f>
        <v>Slow</v>
      </c>
      <c r="Q334" s="251" t="str">
        <f>IFERROR(__xludf.DUMMYFUNCTION("""COMPUTED_VALUE"""),"--")</f>
        <v>--</v>
      </c>
      <c r="R334" s="251" t="str">
        <f>IFERROR(__xludf.DUMMYFUNCTION("""COMPUTED_VALUE"""),"Blindsense")</f>
        <v>Blindsense</v>
      </c>
      <c r="S334" s="251" t="str">
        <f>IFERROR(__xludf.DUMMYFUNCTION("""COMPUTED_VALUE"""),"Underdog")</f>
        <v>Underdog</v>
      </c>
      <c r="T334" s="251" t="str">
        <f>IFERROR(__xludf.DUMMYFUNCTION("""COMPUTED_VALUE"""),"--")</f>
        <v>--</v>
      </c>
      <c r="U334" s="251" t="str">
        <f>IFERROR(__xludf.DUMMYFUNCTION("""COMPUTED_VALUE"""),"--")</f>
        <v>--</v>
      </c>
      <c r="V334" s="251" t="str">
        <f>IFERROR(__xludf.DUMMYFUNCTION("""COMPUTED_VALUE"""),"Amorphous")</f>
        <v>Amorphous</v>
      </c>
      <c r="W334" s="251" t="str">
        <f>IFERROR(__xludf.DUMMYFUNCTION("""COMPUTED_VALUE"""),"Repulsive")</f>
        <v>Repulsive</v>
      </c>
      <c r="X334" s="251" t="str">
        <f>IFERROR(__xludf.DUMMYFUNCTION("""COMPUTED_VALUE"""),"--")</f>
        <v>--</v>
      </c>
      <c r="Y334" s="251" t="str">
        <f>IFERROR(__xludf.DUMMYFUNCTION("""COMPUTED_VALUE"""),"--")</f>
        <v>--</v>
      </c>
      <c r="Z334" s="251" t="str">
        <f>IFERROR(__xludf.DUMMYFUNCTION("""COMPUTED_VALUE"""),"--")</f>
        <v>--</v>
      </c>
      <c r="AA334" s="251" t="str">
        <f>IFERROR(__xludf.DUMMYFUNCTION("""COMPUTED_VALUE"""),"--")</f>
        <v>--</v>
      </c>
      <c r="AB334" s="251" t="str">
        <f>IFERROR(__xludf.DUMMYFUNCTION("""COMPUTED_VALUE"""),"--")</f>
        <v>--</v>
      </c>
      <c r="AC334" s="251" t="str">
        <f>IFERROR(__xludf.DUMMYFUNCTION("""COMPUTED_VALUE"""),"--")</f>
        <v>--</v>
      </c>
      <c r="AD334" s="251">
        <f>IFERROR(__xludf.DUMMYFUNCTION("""COMPUTED_VALUE"""),2.0)</f>
        <v>2</v>
      </c>
      <c r="AE334" s="251" t="str">
        <f>IFERROR(__xludf.DUMMYFUNCTION("""COMPUTED_VALUE"""),"Omnivore")</f>
        <v>Omnivore</v>
      </c>
    </row>
    <row r="335">
      <c r="A335" s="251" t="str">
        <f>IFERROR(__xludf.DUMMYFUNCTION("""COMPUTED_VALUE"""),"Goodra")</f>
        <v>Goodra</v>
      </c>
      <c r="B335" s="251" t="str">
        <f>IFERROR(__xludf.DUMMYFUNCTION("""COMPUTED_VALUE"""),"Dragon")</f>
        <v>Dragon</v>
      </c>
      <c r="C335" s="251" t="str">
        <f>IFERROR(__xludf.DUMMYFUNCTION("""COMPUTED_VALUE"""),"None")</f>
        <v>None</v>
      </c>
      <c r="D335" s="251">
        <f>IFERROR(__xludf.DUMMYFUNCTION("""COMPUTED_VALUE"""),9.0)</f>
        <v>9</v>
      </c>
      <c r="E335" s="251">
        <f>IFERROR(__xludf.DUMMYFUNCTION("""COMPUTED_VALUE"""),10.0)</f>
        <v>10</v>
      </c>
      <c r="F335" s="251">
        <f>IFERROR(__xludf.DUMMYFUNCTION("""COMPUTED_VALUE"""),7.0)</f>
        <v>7</v>
      </c>
      <c r="G335" s="251">
        <f>IFERROR(__xludf.DUMMYFUNCTION("""COMPUTED_VALUE"""),11.0)</f>
        <v>11</v>
      </c>
      <c r="H335" s="251">
        <f>IFERROR(__xludf.DUMMYFUNCTION("""COMPUTED_VALUE"""),15.0)</f>
        <v>15</v>
      </c>
      <c r="I335" s="251">
        <f>IFERROR(__xludf.DUMMYFUNCTION("""COMPUTED_VALUE"""),8.0)</f>
        <v>8</v>
      </c>
      <c r="J335" s="251">
        <f>IFERROR(__xludf.DUMMYFUNCTION("""COMPUTED_VALUE"""),8.0)</f>
        <v>8</v>
      </c>
      <c r="K335" s="251" t="str">
        <f>IFERROR(__xludf.DUMMYFUNCTION("""COMPUTED_VALUE"""),"Large")</f>
        <v>Large</v>
      </c>
      <c r="L335" s="251">
        <f>IFERROR(__xludf.DUMMYFUNCTION("""COMPUTED_VALUE"""),5.0)</f>
        <v>5</v>
      </c>
      <c r="M335" s="251" t="str">
        <f>IFERROR(__xludf.DUMMYFUNCTION("""COMPUTED_VALUE"""),"Mountain, Wetlands")</f>
        <v>Mountain, Wetlands</v>
      </c>
      <c r="N335" s="251" t="str">
        <f>IFERROR(__xludf.DUMMYFUNCTION("""COMPUTED_VALUE"""),"Climber")</f>
        <v>Climber</v>
      </c>
      <c r="O335" s="251" t="str">
        <f>IFERROR(__xludf.DUMMYFUNCTION("""COMPUTED_VALUE"""),"--")</f>
        <v>--</v>
      </c>
      <c r="P335" s="251" t="str">
        <f>IFERROR(__xludf.DUMMYFUNCTION("""COMPUTED_VALUE"""),"--")</f>
        <v>--</v>
      </c>
      <c r="Q335" s="251" t="str">
        <f>IFERROR(__xludf.DUMMYFUNCTION("""COMPUTED_VALUE"""),"--")</f>
        <v>--</v>
      </c>
      <c r="R335" s="251" t="str">
        <f>IFERROR(__xludf.DUMMYFUNCTION("""COMPUTED_VALUE"""),"--")</f>
        <v>--</v>
      </c>
      <c r="S335" s="251" t="str">
        <f>IFERROR(__xludf.DUMMYFUNCTION("""COMPUTED_VALUE"""),"--")</f>
        <v>--</v>
      </c>
      <c r="T335" s="251" t="str">
        <f>IFERROR(__xludf.DUMMYFUNCTION("""COMPUTED_VALUE"""),"--")</f>
        <v>--</v>
      </c>
      <c r="U335" s="251" t="str">
        <f>IFERROR(__xludf.DUMMYFUNCTION("""COMPUTED_VALUE"""),"--")</f>
        <v>--</v>
      </c>
      <c r="V335" s="251" t="str">
        <f>IFERROR(__xludf.DUMMYFUNCTION("""COMPUTED_VALUE"""),"Amorphous")</f>
        <v>Amorphous</v>
      </c>
      <c r="W335" s="251" t="str">
        <f>IFERROR(__xludf.DUMMYFUNCTION("""COMPUTED_VALUE"""),"Repulsive")</f>
        <v>Repulsive</v>
      </c>
      <c r="X335" s="251" t="str">
        <f>IFERROR(__xludf.DUMMYFUNCTION("""COMPUTED_VALUE"""),"--")</f>
        <v>--</v>
      </c>
      <c r="Y335" s="251" t="str">
        <f>IFERROR(__xludf.DUMMYFUNCTION("""COMPUTED_VALUE"""),"--")</f>
        <v>--</v>
      </c>
      <c r="Z335" s="251" t="str">
        <f>IFERROR(__xludf.DUMMYFUNCTION("""COMPUTED_VALUE"""),"--")</f>
        <v>--</v>
      </c>
      <c r="AA335" s="251" t="str">
        <f>IFERROR(__xludf.DUMMYFUNCTION("""COMPUTED_VALUE"""),"--")</f>
        <v>--</v>
      </c>
      <c r="AB335" s="251" t="str">
        <f>IFERROR(__xludf.DUMMYFUNCTION("""COMPUTED_VALUE"""),"--")</f>
        <v>--</v>
      </c>
      <c r="AC335" s="251" t="str">
        <f>IFERROR(__xludf.DUMMYFUNCTION("""COMPUTED_VALUE"""),"--")</f>
        <v>--</v>
      </c>
      <c r="AD335" s="251">
        <f>IFERROR(__xludf.DUMMYFUNCTION("""COMPUTED_VALUE"""),3.0)</f>
        <v>3</v>
      </c>
      <c r="AE335" s="251" t="str">
        <f>IFERROR(__xludf.DUMMYFUNCTION("""COMPUTED_VALUE"""),"Omnivore")</f>
        <v>Omnivore</v>
      </c>
    </row>
    <row r="336">
      <c r="A336" s="251" t="str">
        <f>IFERROR(__xludf.DUMMYFUNCTION("""COMPUTED_VALUE"""),"Hisuian Sliggoo")</f>
        <v>Hisuian Sliggoo</v>
      </c>
      <c r="B336" s="251" t="str">
        <f>IFERROR(__xludf.DUMMYFUNCTION("""COMPUTED_VALUE"""),"Dragon")</f>
        <v>Dragon</v>
      </c>
      <c r="C336" s="251" t="str">
        <f>IFERROR(__xludf.DUMMYFUNCTION("""COMPUTED_VALUE"""),"Steel")</f>
        <v>Steel</v>
      </c>
      <c r="D336" s="251">
        <f>IFERROR(__xludf.DUMMYFUNCTION("""COMPUTED_VALUE"""),6.0)</f>
        <v>6</v>
      </c>
      <c r="E336" s="251">
        <f>IFERROR(__xludf.DUMMYFUNCTION("""COMPUTED_VALUE"""),8.0)</f>
        <v>8</v>
      </c>
      <c r="F336" s="251">
        <f>IFERROR(__xludf.DUMMYFUNCTION("""COMPUTED_VALUE"""),11.0)</f>
        <v>11</v>
      </c>
      <c r="G336" s="251">
        <f>IFERROR(__xludf.DUMMYFUNCTION("""COMPUTED_VALUE"""),8.0)</f>
        <v>8</v>
      </c>
      <c r="H336" s="251">
        <f>IFERROR(__xludf.DUMMYFUNCTION("""COMPUTED_VALUE"""),8.0)</f>
        <v>8</v>
      </c>
      <c r="I336" s="251">
        <f>IFERROR(__xludf.DUMMYFUNCTION("""COMPUTED_VALUE"""),4.0)</f>
        <v>4</v>
      </c>
      <c r="J336" s="251">
        <f>IFERROR(__xludf.DUMMYFUNCTION("""COMPUTED_VALUE"""),2.0)</f>
        <v>2</v>
      </c>
      <c r="K336" s="251" t="str">
        <f>IFERROR(__xludf.DUMMYFUNCTION("""COMPUTED_VALUE"""),"Small")</f>
        <v>Small</v>
      </c>
      <c r="L336" s="251">
        <f>IFERROR(__xludf.DUMMYFUNCTION("""COMPUTED_VALUE"""),4.0)</f>
        <v>4</v>
      </c>
      <c r="M336" s="251" t="str">
        <f>IFERROR(__xludf.DUMMYFUNCTION("""COMPUTED_VALUE"""),"Mountain")</f>
        <v>Mountain</v>
      </c>
      <c r="N336" s="251" t="str">
        <f>IFERROR(__xludf.DUMMYFUNCTION("""COMPUTED_VALUE"""),"Grounded")</f>
        <v>Grounded</v>
      </c>
      <c r="O336" s="251" t="str">
        <f>IFERROR(__xludf.DUMMYFUNCTION("""COMPUTED_VALUE"""),"Slow")</f>
        <v>Slow</v>
      </c>
      <c r="P336" s="251" t="str">
        <f>IFERROR(__xludf.DUMMYFUNCTION("""COMPUTED_VALUE"""),"--")</f>
        <v>--</v>
      </c>
      <c r="Q336" s="251" t="str">
        <f>IFERROR(__xludf.DUMMYFUNCTION("""COMPUTED_VALUE"""),"--")</f>
        <v>--</v>
      </c>
      <c r="R336" s="251" t="str">
        <f>IFERROR(__xludf.DUMMYFUNCTION("""COMPUTED_VALUE"""),"Underdog")</f>
        <v>Underdog</v>
      </c>
      <c r="S336" s="251" t="str">
        <f>IFERROR(__xludf.DUMMYFUNCTION("""COMPUTED_VALUE"""),"--")</f>
        <v>--</v>
      </c>
      <c r="T336" s="251" t="str">
        <f>IFERROR(__xludf.DUMMYFUNCTION("""COMPUTED_VALUE"""),"--")</f>
        <v>--</v>
      </c>
      <c r="U336" s="251" t="str">
        <f>IFERROR(__xludf.DUMMYFUNCTION("""COMPUTED_VALUE"""),"--")</f>
        <v>--</v>
      </c>
      <c r="V336" s="251" t="str">
        <f>IFERROR(__xludf.DUMMYFUNCTION("""COMPUTED_VALUE"""),"Amorphous")</f>
        <v>Amorphous</v>
      </c>
      <c r="W336" s="251" t="str">
        <f>IFERROR(__xludf.DUMMYFUNCTION("""COMPUTED_VALUE"""),"Repulsive")</f>
        <v>Repulsive</v>
      </c>
      <c r="X336" s="251" t="str">
        <f>IFERROR(__xludf.DUMMYFUNCTION("""COMPUTED_VALUE"""),"--")</f>
        <v>--</v>
      </c>
      <c r="Y336" s="251" t="str">
        <f>IFERROR(__xludf.DUMMYFUNCTION("""COMPUTED_VALUE"""),"--")</f>
        <v>--</v>
      </c>
      <c r="Z336" s="251" t="str">
        <f>IFERROR(__xludf.DUMMYFUNCTION("""COMPUTED_VALUE"""),"--")</f>
        <v>--</v>
      </c>
      <c r="AA336" s="251" t="str">
        <f>IFERROR(__xludf.DUMMYFUNCTION("""COMPUTED_VALUE"""),"--")</f>
        <v>--</v>
      </c>
      <c r="AB336" s="251" t="str">
        <f>IFERROR(__xludf.DUMMYFUNCTION("""COMPUTED_VALUE"""),"--")</f>
        <v>--</v>
      </c>
      <c r="AC336" s="251" t="str">
        <f>IFERROR(__xludf.DUMMYFUNCTION("""COMPUTED_VALUE"""),"--")</f>
        <v>--</v>
      </c>
      <c r="AD336" s="251">
        <f>IFERROR(__xludf.DUMMYFUNCTION("""COMPUTED_VALUE"""),2.0)</f>
        <v>2</v>
      </c>
      <c r="AE336" s="251" t="str">
        <f>IFERROR(__xludf.DUMMYFUNCTION("""COMPUTED_VALUE"""),"Omnivore")</f>
        <v>Omnivore</v>
      </c>
    </row>
    <row r="337">
      <c r="A337" s="251" t="str">
        <f>IFERROR(__xludf.DUMMYFUNCTION("""COMPUTED_VALUE"""),"Hisuian Goodra")</f>
        <v>Hisuian Goodra</v>
      </c>
      <c r="B337" s="251" t="str">
        <f>IFERROR(__xludf.DUMMYFUNCTION("""COMPUTED_VALUE"""),"Dragon")</f>
        <v>Dragon</v>
      </c>
      <c r="C337" s="251" t="str">
        <f>IFERROR(__xludf.DUMMYFUNCTION("""COMPUTED_VALUE"""),"Steel")</f>
        <v>Steel</v>
      </c>
      <c r="D337" s="251">
        <f>IFERROR(__xludf.DUMMYFUNCTION("""COMPUTED_VALUE"""),8.0)</f>
        <v>8</v>
      </c>
      <c r="E337" s="251">
        <f>IFERROR(__xludf.DUMMYFUNCTION("""COMPUTED_VALUE"""),10.0)</f>
        <v>10</v>
      </c>
      <c r="F337" s="251">
        <f>IFERROR(__xludf.DUMMYFUNCTION("""COMPUTED_VALUE"""),15.0)</f>
        <v>15</v>
      </c>
      <c r="G337" s="251">
        <f>IFERROR(__xludf.DUMMYFUNCTION("""COMPUTED_VALUE"""),11.0)</f>
        <v>11</v>
      </c>
      <c r="H337" s="251">
        <f>IFERROR(__xludf.DUMMYFUNCTION("""COMPUTED_VALUE"""),10.0)</f>
        <v>10</v>
      </c>
      <c r="I337" s="251">
        <f>IFERROR(__xludf.DUMMYFUNCTION("""COMPUTED_VALUE"""),6.0)</f>
        <v>6</v>
      </c>
      <c r="J337" s="251">
        <f>IFERROR(__xludf.DUMMYFUNCTION("""COMPUTED_VALUE"""),8.0)</f>
        <v>8</v>
      </c>
      <c r="K337" s="251" t="str">
        <f>IFERROR(__xludf.DUMMYFUNCTION("""COMPUTED_VALUE"""),"Large")</f>
        <v>Large</v>
      </c>
      <c r="L337" s="251">
        <f>IFERROR(__xludf.DUMMYFUNCTION("""COMPUTED_VALUE"""),6.0)</f>
        <v>6</v>
      </c>
      <c r="M337" s="251" t="str">
        <f>IFERROR(__xludf.DUMMYFUNCTION("""COMPUTED_VALUE"""),"Mountain")</f>
        <v>Mountain</v>
      </c>
      <c r="N337" s="251" t="str">
        <f>IFERROR(__xludf.DUMMYFUNCTION("""COMPUTED_VALUE"""),"Grounded")</f>
        <v>Grounded</v>
      </c>
      <c r="O337" s="251" t="str">
        <f>IFERROR(__xludf.DUMMYFUNCTION("""COMPUTED_VALUE"""),"Slow")</f>
        <v>Slow</v>
      </c>
      <c r="P337" s="251" t="str">
        <f>IFERROR(__xludf.DUMMYFUNCTION("""COMPUTED_VALUE"""),"--")</f>
        <v>--</v>
      </c>
      <c r="Q337" s="251" t="str">
        <f>IFERROR(__xludf.DUMMYFUNCTION("""COMPUTED_VALUE"""),"--")</f>
        <v>--</v>
      </c>
      <c r="R337" s="251" t="str">
        <f>IFERROR(__xludf.DUMMYFUNCTION("""COMPUTED_VALUE"""),"--")</f>
        <v>--</v>
      </c>
      <c r="S337" s="251" t="str">
        <f>IFERROR(__xludf.DUMMYFUNCTION("""COMPUTED_VALUE"""),"--")</f>
        <v>--</v>
      </c>
      <c r="T337" s="251" t="str">
        <f>IFERROR(__xludf.DUMMYFUNCTION("""COMPUTED_VALUE"""),"--")</f>
        <v>--</v>
      </c>
      <c r="U337" s="251" t="str">
        <f>IFERROR(__xludf.DUMMYFUNCTION("""COMPUTED_VALUE"""),"--")</f>
        <v>--</v>
      </c>
      <c r="V337" s="251" t="str">
        <f>IFERROR(__xludf.DUMMYFUNCTION("""COMPUTED_VALUE"""),"Amorphous")</f>
        <v>Amorphous</v>
      </c>
      <c r="W337" s="251" t="str">
        <f>IFERROR(__xludf.DUMMYFUNCTION("""COMPUTED_VALUE"""),"Repulsive")</f>
        <v>Repulsive</v>
      </c>
      <c r="X337" s="251" t="str">
        <f>IFERROR(__xludf.DUMMYFUNCTION("""COMPUTED_VALUE"""),"--")</f>
        <v>--</v>
      </c>
      <c r="Y337" s="251" t="str">
        <f>IFERROR(__xludf.DUMMYFUNCTION("""COMPUTED_VALUE"""),"--")</f>
        <v>--</v>
      </c>
      <c r="Z337" s="251" t="str">
        <f>IFERROR(__xludf.DUMMYFUNCTION("""COMPUTED_VALUE"""),"--")</f>
        <v>--</v>
      </c>
      <c r="AA337" s="251" t="str">
        <f>IFERROR(__xludf.DUMMYFUNCTION("""COMPUTED_VALUE"""),"--")</f>
        <v>--</v>
      </c>
      <c r="AB337" s="251" t="str">
        <f>IFERROR(__xludf.DUMMYFUNCTION("""COMPUTED_VALUE"""),"--")</f>
        <v>--</v>
      </c>
      <c r="AC337" s="251" t="str">
        <f>IFERROR(__xludf.DUMMYFUNCTION("""COMPUTED_VALUE"""),"--")</f>
        <v>--</v>
      </c>
      <c r="AD337" s="251">
        <f>IFERROR(__xludf.DUMMYFUNCTION("""COMPUTED_VALUE"""),3.0)</f>
        <v>3</v>
      </c>
      <c r="AE337" s="251" t="str">
        <f>IFERROR(__xludf.DUMMYFUNCTION("""COMPUTED_VALUE"""),"Omnivore")</f>
        <v>Omnivore</v>
      </c>
    </row>
    <row r="338">
      <c r="A338" s="251" t="str">
        <f>IFERROR(__xludf.DUMMYFUNCTION("""COMPUTED_VALUE"""),"Jangmo-o")</f>
        <v>Jangmo-o</v>
      </c>
      <c r="B338" s="251" t="str">
        <f>IFERROR(__xludf.DUMMYFUNCTION("""COMPUTED_VALUE"""),"Dragon")</f>
        <v>Dragon</v>
      </c>
      <c r="C338" s="251" t="str">
        <f>IFERROR(__xludf.DUMMYFUNCTION("""COMPUTED_VALUE"""),"None")</f>
        <v>None</v>
      </c>
      <c r="D338" s="251">
        <f>IFERROR(__xludf.DUMMYFUNCTION("""COMPUTED_VALUE"""),5.0)</f>
        <v>5</v>
      </c>
      <c r="E338" s="251">
        <f>IFERROR(__xludf.DUMMYFUNCTION("""COMPUTED_VALUE"""),6.0)</f>
        <v>6</v>
      </c>
      <c r="F338" s="251">
        <f>IFERROR(__xludf.DUMMYFUNCTION("""COMPUTED_VALUE"""),7.0)</f>
        <v>7</v>
      </c>
      <c r="G338" s="251">
        <f>IFERROR(__xludf.DUMMYFUNCTION("""COMPUTED_VALUE"""),5.0)</f>
        <v>5</v>
      </c>
      <c r="H338" s="251">
        <f>IFERROR(__xludf.DUMMYFUNCTION("""COMPUTED_VALUE"""),5.0)</f>
        <v>5</v>
      </c>
      <c r="I338" s="251">
        <f>IFERROR(__xludf.DUMMYFUNCTION("""COMPUTED_VALUE"""),5.0)</f>
        <v>5</v>
      </c>
      <c r="J338" s="251">
        <f>IFERROR(__xludf.DUMMYFUNCTION("""COMPUTED_VALUE"""),3.0)</f>
        <v>3</v>
      </c>
      <c r="K338" s="251" t="str">
        <f>IFERROR(__xludf.DUMMYFUNCTION("""COMPUTED_VALUE"""),"Small")</f>
        <v>Small</v>
      </c>
      <c r="L338" s="251">
        <f>IFERROR(__xludf.DUMMYFUNCTION("""COMPUTED_VALUE"""),3.0)</f>
        <v>3</v>
      </c>
      <c r="M338" s="251" t="str">
        <f>IFERROR(__xludf.DUMMYFUNCTION("""COMPUTED_VALUE"""),"Mountain")</f>
        <v>Mountain</v>
      </c>
      <c r="N338" s="251" t="str">
        <f>IFERROR(__xludf.DUMMYFUNCTION("""COMPUTED_VALUE"""),"--")</f>
        <v>--</v>
      </c>
      <c r="O338" s="251" t="str">
        <f>IFERROR(__xludf.DUMMYFUNCTION("""COMPUTED_VALUE"""),"--")</f>
        <v>--</v>
      </c>
      <c r="P338" s="251" t="str">
        <f>IFERROR(__xludf.DUMMYFUNCTION("""COMPUTED_VALUE"""),"--")</f>
        <v>--</v>
      </c>
      <c r="Q338" s="251" t="str">
        <f>IFERROR(__xludf.DUMMYFUNCTION("""COMPUTED_VALUE"""),"--")</f>
        <v>--</v>
      </c>
      <c r="R338" s="251" t="str">
        <f>IFERROR(__xludf.DUMMYFUNCTION("""COMPUTED_VALUE"""),"Underdog")</f>
        <v>Underdog</v>
      </c>
      <c r="S338" s="251" t="str">
        <f>IFERROR(__xludf.DUMMYFUNCTION("""COMPUTED_VALUE"""),"--")</f>
        <v>--</v>
      </c>
      <c r="T338" s="251" t="str">
        <f>IFERROR(__xludf.DUMMYFUNCTION("""COMPUTED_VALUE"""),"--")</f>
        <v>--</v>
      </c>
      <c r="U338" s="251" t="str">
        <f>IFERROR(__xludf.DUMMYFUNCTION("""COMPUTED_VALUE"""),"--")</f>
        <v>--</v>
      </c>
      <c r="V338" s="251" t="str">
        <f>IFERROR(__xludf.DUMMYFUNCTION("""COMPUTED_VALUE"""),"--")</f>
        <v>--</v>
      </c>
      <c r="W338" s="251" t="str">
        <f>IFERROR(__xludf.DUMMYFUNCTION("""COMPUTED_VALUE"""),"--")</f>
        <v>--</v>
      </c>
      <c r="X338" s="251" t="str">
        <f>IFERROR(__xludf.DUMMYFUNCTION("""COMPUTED_VALUE"""),"--")</f>
        <v>--</v>
      </c>
      <c r="Y338" s="251" t="str">
        <f>IFERROR(__xludf.DUMMYFUNCTION("""COMPUTED_VALUE"""),"--")</f>
        <v>--</v>
      </c>
      <c r="Z338" s="251" t="str">
        <f>IFERROR(__xludf.DUMMYFUNCTION("""COMPUTED_VALUE"""),"--")</f>
        <v>--</v>
      </c>
      <c r="AA338" s="251" t="str">
        <f>IFERROR(__xludf.DUMMYFUNCTION("""COMPUTED_VALUE"""),"--")</f>
        <v>--</v>
      </c>
      <c r="AB338" s="251" t="str">
        <f>IFERROR(__xludf.DUMMYFUNCTION("""COMPUTED_VALUE"""),"--")</f>
        <v>--</v>
      </c>
      <c r="AC338" s="251" t="str">
        <f>IFERROR(__xludf.DUMMYFUNCTION("""COMPUTED_VALUE"""),"--")</f>
        <v>--</v>
      </c>
      <c r="AD338" s="251">
        <f>IFERROR(__xludf.DUMMYFUNCTION("""COMPUTED_VALUE"""),1.0)</f>
        <v>1</v>
      </c>
      <c r="AE338" s="251" t="str">
        <f>IFERROR(__xludf.DUMMYFUNCTION("""COMPUTED_VALUE"""),"Carnivore")</f>
        <v>Carnivore</v>
      </c>
    </row>
    <row r="339">
      <c r="A339" s="251" t="str">
        <f>IFERROR(__xludf.DUMMYFUNCTION("""COMPUTED_VALUE"""),"Hakamo-o")</f>
        <v>Hakamo-o</v>
      </c>
      <c r="B339" s="251" t="str">
        <f>IFERROR(__xludf.DUMMYFUNCTION("""COMPUTED_VALUE"""),"Dragon")</f>
        <v>Dragon</v>
      </c>
      <c r="C339" s="251" t="str">
        <f>IFERROR(__xludf.DUMMYFUNCTION("""COMPUTED_VALUE"""),"Fighting")</f>
        <v>Fighting</v>
      </c>
      <c r="D339" s="251">
        <f>IFERROR(__xludf.DUMMYFUNCTION("""COMPUTED_VALUE"""),6.0)</f>
        <v>6</v>
      </c>
      <c r="E339" s="251">
        <f>IFERROR(__xludf.DUMMYFUNCTION("""COMPUTED_VALUE"""),8.0)</f>
        <v>8</v>
      </c>
      <c r="F339" s="251">
        <f>IFERROR(__xludf.DUMMYFUNCTION("""COMPUTED_VALUE"""),9.0)</f>
        <v>9</v>
      </c>
      <c r="G339" s="251">
        <f>IFERROR(__xludf.DUMMYFUNCTION("""COMPUTED_VALUE"""),7.0)</f>
        <v>7</v>
      </c>
      <c r="H339" s="251">
        <f>IFERROR(__xludf.DUMMYFUNCTION("""COMPUTED_VALUE"""),7.0)</f>
        <v>7</v>
      </c>
      <c r="I339" s="251">
        <f>IFERROR(__xludf.DUMMYFUNCTION("""COMPUTED_VALUE"""),7.0)</f>
        <v>7</v>
      </c>
      <c r="J339" s="251">
        <f>IFERROR(__xludf.DUMMYFUNCTION("""COMPUTED_VALUE"""),6.0)</f>
        <v>6</v>
      </c>
      <c r="K339" s="251" t="str">
        <f>IFERROR(__xludf.DUMMYFUNCTION("""COMPUTED_VALUE"""),"Medium")</f>
        <v>Medium</v>
      </c>
      <c r="L339" s="251">
        <f>IFERROR(__xludf.DUMMYFUNCTION("""COMPUTED_VALUE"""),3.0)</f>
        <v>3</v>
      </c>
      <c r="M339" s="251" t="str">
        <f>IFERROR(__xludf.DUMMYFUNCTION("""COMPUTED_VALUE"""),"Mountain")</f>
        <v>Mountain</v>
      </c>
      <c r="N339" s="251" t="str">
        <f>IFERROR(__xludf.DUMMYFUNCTION("""COMPUTED_VALUE"""),"--")</f>
        <v>--</v>
      </c>
      <c r="O339" s="251" t="str">
        <f>IFERROR(__xludf.DUMMYFUNCTION("""COMPUTED_VALUE"""),"--")</f>
        <v>--</v>
      </c>
      <c r="P339" s="251" t="str">
        <f>IFERROR(__xludf.DUMMYFUNCTION("""COMPUTED_VALUE"""),"--")</f>
        <v>--</v>
      </c>
      <c r="Q339" s="251" t="str">
        <f>IFERROR(__xludf.DUMMYFUNCTION("""COMPUTED_VALUE"""),"--")</f>
        <v>--</v>
      </c>
      <c r="R339" s="251" t="str">
        <f>IFERROR(__xludf.DUMMYFUNCTION("""COMPUTED_VALUE"""),"Underdog")</f>
        <v>Underdog</v>
      </c>
      <c r="S339" s="251" t="str">
        <f>IFERROR(__xludf.DUMMYFUNCTION("""COMPUTED_VALUE"""),"--")</f>
        <v>--</v>
      </c>
      <c r="T339" s="251" t="str">
        <f>IFERROR(__xludf.DUMMYFUNCTION("""COMPUTED_VALUE"""),"--")</f>
        <v>--</v>
      </c>
      <c r="U339" s="251" t="str">
        <f>IFERROR(__xludf.DUMMYFUNCTION("""COMPUTED_VALUE"""),"--")</f>
        <v>--</v>
      </c>
      <c r="V339" s="251" t="str">
        <f>IFERROR(__xludf.DUMMYFUNCTION("""COMPUTED_VALUE"""),"--")</f>
        <v>--</v>
      </c>
      <c r="W339" s="251" t="str">
        <f>IFERROR(__xludf.DUMMYFUNCTION("""COMPUTED_VALUE"""),"--")</f>
        <v>--</v>
      </c>
      <c r="X339" s="251" t="str">
        <f>IFERROR(__xludf.DUMMYFUNCTION("""COMPUTED_VALUE"""),"--")</f>
        <v>--</v>
      </c>
      <c r="Y339" s="251" t="str">
        <f>IFERROR(__xludf.DUMMYFUNCTION("""COMPUTED_VALUE"""),"--")</f>
        <v>--</v>
      </c>
      <c r="Z339" s="251" t="str">
        <f>IFERROR(__xludf.DUMMYFUNCTION("""COMPUTED_VALUE"""),"--")</f>
        <v>--</v>
      </c>
      <c r="AA339" s="251" t="str">
        <f>IFERROR(__xludf.DUMMYFUNCTION("""COMPUTED_VALUE"""),"--")</f>
        <v>--</v>
      </c>
      <c r="AB339" s="251" t="str">
        <f>IFERROR(__xludf.DUMMYFUNCTION("""COMPUTED_VALUE"""),"--")</f>
        <v>--</v>
      </c>
      <c r="AC339" s="251" t="str">
        <f>IFERROR(__xludf.DUMMYFUNCTION("""COMPUTED_VALUE"""),"--")</f>
        <v>--</v>
      </c>
      <c r="AD339" s="251">
        <f>IFERROR(__xludf.DUMMYFUNCTION("""COMPUTED_VALUE"""),2.0)</f>
        <v>2</v>
      </c>
      <c r="AE339" s="251" t="str">
        <f>IFERROR(__xludf.DUMMYFUNCTION("""COMPUTED_VALUE"""),"Carnivore")</f>
        <v>Carnivore</v>
      </c>
    </row>
    <row r="340">
      <c r="A340" s="251" t="str">
        <f>IFERROR(__xludf.DUMMYFUNCTION("""COMPUTED_VALUE"""),"Kommo-o")</f>
        <v>Kommo-o</v>
      </c>
      <c r="B340" s="251" t="str">
        <f>IFERROR(__xludf.DUMMYFUNCTION("""COMPUTED_VALUE"""),"Dragon")</f>
        <v>Dragon</v>
      </c>
      <c r="C340" s="251" t="str">
        <f>IFERROR(__xludf.DUMMYFUNCTION("""COMPUTED_VALUE"""),"Fighting")</f>
        <v>Fighting</v>
      </c>
      <c r="D340" s="251">
        <f>IFERROR(__xludf.DUMMYFUNCTION("""COMPUTED_VALUE"""),8.0)</f>
        <v>8</v>
      </c>
      <c r="E340" s="251">
        <f>IFERROR(__xludf.DUMMYFUNCTION("""COMPUTED_VALUE"""),11.0)</f>
        <v>11</v>
      </c>
      <c r="F340" s="251">
        <f>IFERROR(__xludf.DUMMYFUNCTION("""COMPUTED_VALUE"""),13.0)</f>
        <v>13</v>
      </c>
      <c r="G340" s="251">
        <f>IFERROR(__xludf.DUMMYFUNCTION("""COMPUTED_VALUE"""),10.0)</f>
        <v>10</v>
      </c>
      <c r="H340" s="251">
        <f>IFERROR(__xludf.DUMMYFUNCTION("""COMPUTED_VALUE"""),11.0)</f>
        <v>11</v>
      </c>
      <c r="I340" s="251">
        <f>IFERROR(__xludf.DUMMYFUNCTION("""COMPUTED_VALUE"""),9.0)</f>
        <v>9</v>
      </c>
      <c r="J340" s="251">
        <f>IFERROR(__xludf.DUMMYFUNCTION("""COMPUTED_VALUE"""),9.0)</f>
        <v>9</v>
      </c>
      <c r="K340" s="251" t="str">
        <f>IFERROR(__xludf.DUMMYFUNCTION("""COMPUTED_VALUE"""),"Medium")</f>
        <v>Medium</v>
      </c>
      <c r="L340" s="251">
        <f>IFERROR(__xludf.DUMMYFUNCTION("""COMPUTED_VALUE"""),4.0)</f>
        <v>4</v>
      </c>
      <c r="M340" s="251" t="str">
        <f>IFERROR(__xludf.DUMMYFUNCTION("""COMPUTED_VALUE"""),"Mountain")</f>
        <v>Mountain</v>
      </c>
      <c r="N340" s="251" t="str">
        <f>IFERROR(__xludf.DUMMYFUNCTION("""COMPUTED_VALUE"""),"--")</f>
        <v>--</v>
      </c>
      <c r="O340" s="251" t="str">
        <f>IFERROR(__xludf.DUMMYFUNCTION("""COMPUTED_VALUE"""),"--")</f>
        <v>--</v>
      </c>
      <c r="P340" s="251" t="str">
        <f>IFERROR(__xludf.DUMMYFUNCTION("""COMPUTED_VALUE"""),"--")</f>
        <v>--</v>
      </c>
      <c r="Q340" s="251" t="str">
        <f>IFERROR(__xludf.DUMMYFUNCTION("""COMPUTED_VALUE"""),"--")</f>
        <v>--</v>
      </c>
      <c r="R340" s="251" t="str">
        <f>IFERROR(__xludf.DUMMYFUNCTION("""COMPUTED_VALUE"""),"--")</f>
        <v>--</v>
      </c>
      <c r="S340" s="251" t="str">
        <f>IFERROR(__xludf.DUMMYFUNCTION("""COMPUTED_VALUE"""),"--")</f>
        <v>--</v>
      </c>
      <c r="T340" s="251" t="str">
        <f>IFERROR(__xludf.DUMMYFUNCTION("""COMPUTED_VALUE"""),"--")</f>
        <v>--</v>
      </c>
      <c r="U340" s="251" t="str">
        <f>IFERROR(__xludf.DUMMYFUNCTION("""COMPUTED_VALUE"""),"--")</f>
        <v>--</v>
      </c>
      <c r="V340" s="251" t="str">
        <f>IFERROR(__xludf.DUMMYFUNCTION("""COMPUTED_VALUE"""),"--")</f>
        <v>--</v>
      </c>
      <c r="W340" s="251" t="str">
        <f>IFERROR(__xludf.DUMMYFUNCTION("""COMPUTED_VALUE"""),"--")</f>
        <v>--</v>
      </c>
      <c r="X340" s="251" t="str">
        <f>IFERROR(__xludf.DUMMYFUNCTION("""COMPUTED_VALUE"""),"--")</f>
        <v>--</v>
      </c>
      <c r="Y340" s="251" t="str">
        <f>IFERROR(__xludf.DUMMYFUNCTION("""COMPUTED_VALUE"""),"--")</f>
        <v>--</v>
      </c>
      <c r="Z340" s="251" t="str">
        <f>IFERROR(__xludf.DUMMYFUNCTION("""COMPUTED_VALUE"""),"--")</f>
        <v>--</v>
      </c>
      <c r="AA340" s="251" t="str">
        <f>IFERROR(__xludf.DUMMYFUNCTION("""COMPUTED_VALUE"""),"--")</f>
        <v>--</v>
      </c>
      <c r="AB340" s="251" t="str">
        <f>IFERROR(__xludf.DUMMYFUNCTION("""COMPUTED_VALUE"""),"--")</f>
        <v>--</v>
      </c>
      <c r="AC340" s="251" t="str">
        <f>IFERROR(__xludf.DUMMYFUNCTION("""COMPUTED_VALUE"""),"--")</f>
        <v>--</v>
      </c>
      <c r="AD340" s="251">
        <f>IFERROR(__xludf.DUMMYFUNCTION("""COMPUTED_VALUE"""),3.0)</f>
        <v>3</v>
      </c>
      <c r="AE340" s="251" t="str">
        <f>IFERROR(__xludf.DUMMYFUNCTION("""COMPUTED_VALUE"""),"Carnivore")</f>
        <v>Carnivore</v>
      </c>
    </row>
    <row r="341">
      <c r="A341" s="251" t="str">
        <f>IFERROR(__xludf.DUMMYFUNCTION("""COMPUTED_VALUE"""),"Dreepy")</f>
        <v>Dreepy</v>
      </c>
      <c r="B341" s="251" t="str">
        <f>IFERROR(__xludf.DUMMYFUNCTION("""COMPUTED_VALUE"""),"Dragon")</f>
        <v>Dragon</v>
      </c>
      <c r="C341" s="251" t="str">
        <f>IFERROR(__xludf.DUMMYFUNCTION("""COMPUTED_VALUE"""),"Ghost")</f>
        <v>Ghost</v>
      </c>
      <c r="D341" s="251">
        <f>IFERROR(__xludf.DUMMYFUNCTION("""COMPUTED_VALUE"""),3.0)</f>
        <v>3</v>
      </c>
      <c r="E341" s="251">
        <f>IFERROR(__xludf.DUMMYFUNCTION("""COMPUTED_VALUE"""),7.0)</f>
        <v>7</v>
      </c>
      <c r="F341" s="251">
        <f>IFERROR(__xludf.DUMMYFUNCTION("""COMPUTED_VALUE"""),3.0)</f>
        <v>3</v>
      </c>
      <c r="G341" s="251">
        <f>IFERROR(__xludf.DUMMYFUNCTION("""COMPUTED_VALUE"""),5.0)</f>
        <v>5</v>
      </c>
      <c r="H341" s="251">
        <f>IFERROR(__xludf.DUMMYFUNCTION("""COMPUTED_VALUE"""),3.0)</f>
        <v>3</v>
      </c>
      <c r="I341" s="251">
        <f>IFERROR(__xludf.DUMMYFUNCTION("""COMPUTED_VALUE"""),9.0)</f>
        <v>9</v>
      </c>
      <c r="J341" s="251">
        <f>IFERROR(__xludf.DUMMYFUNCTION("""COMPUTED_VALUE"""),1.0)</f>
        <v>1</v>
      </c>
      <c r="K341" s="251" t="str">
        <f>IFERROR(__xludf.DUMMYFUNCTION("""COMPUTED_VALUE"""),"Small")</f>
        <v>Small</v>
      </c>
      <c r="L341" s="251">
        <f>IFERROR(__xludf.DUMMYFUNCTION("""COMPUTED_VALUE"""),1.0)</f>
        <v>1</v>
      </c>
      <c r="M341" s="251" t="str">
        <f>IFERROR(__xludf.DUMMYFUNCTION("""COMPUTED_VALUE"""),"Cave")</f>
        <v>Cave</v>
      </c>
      <c r="N341" s="251" t="str">
        <f>IFERROR(__xludf.DUMMYFUNCTION("""COMPUTED_VALUE"""),"Flier")</f>
        <v>Flier</v>
      </c>
      <c r="O341" s="251" t="str">
        <f>IFERROR(__xludf.DUMMYFUNCTION("""COMPUTED_VALUE"""),"Phaser")</f>
        <v>Phaser</v>
      </c>
      <c r="P341" s="251" t="str">
        <f>IFERROR(__xludf.DUMMYFUNCTION("""COMPUTED_VALUE"""),"--")</f>
        <v>--</v>
      </c>
      <c r="Q341" s="251" t="str">
        <f>IFERROR(__xludf.DUMMYFUNCTION("""COMPUTED_VALUE"""),"--")</f>
        <v>--</v>
      </c>
      <c r="R341" s="251" t="str">
        <f>IFERROR(__xludf.DUMMYFUNCTION("""COMPUTED_VALUE"""),"Darkvision")</f>
        <v>Darkvision</v>
      </c>
      <c r="S341" s="251" t="str">
        <f>IFERROR(__xludf.DUMMYFUNCTION("""COMPUTED_VALUE"""),"Invisibility")</f>
        <v>Invisibility</v>
      </c>
      <c r="T341" s="251" t="str">
        <f>IFERROR(__xludf.DUMMYFUNCTION("""COMPUTED_VALUE"""),"Underdog")</f>
        <v>Underdog</v>
      </c>
      <c r="U341" s="251" t="str">
        <f>IFERROR(__xludf.DUMMYFUNCTION("""COMPUTED_VALUE"""),"--")</f>
        <v>--</v>
      </c>
      <c r="V341" s="251" t="str">
        <f>IFERROR(__xludf.DUMMYFUNCTION("""COMPUTED_VALUE"""),"Dead Silent")</f>
        <v>Dead Silent</v>
      </c>
      <c r="W341" s="251" t="str">
        <f>IFERROR(__xludf.DUMMYFUNCTION("""COMPUTED_VALUE"""),"--")</f>
        <v>--</v>
      </c>
      <c r="X341" s="251" t="str">
        <f>IFERROR(__xludf.DUMMYFUNCTION("""COMPUTED_VALUE"""),"--")</f>
        <v>--</v>
      </c>
      <c r="Y341" s="251" t="str">
        <f>IFERROR(__xludf.DUMMYFUNCTION("""COMPUTED_VALUE"""),"--")</f>
        <v>--</v>
      </c>
      <c r="Z341" s="251" t="str">
        <f>IFERROR(__xludf.DUMMYFUNCTION("""COMPUTED_VALUE"""),"--")</f>
        <v>--</v>
      </c>
      <c r="AA341" s="251" t="str">
        <f>IFERROR(__xludf.DUMMYFUNCTION("""COMPUTED_VALUE"""),"--")</f>
        <v>--</v>
      </c>
      <c r="AB341" s="251" t="str">
        <f>IFERROR(__xludf.DUMMYFUNCTION("""COMPUTED_VALUE"""),"--")</f>
        <v>--</v>
      </c>
      <c r="AC341" s="251" t="str">
        <f>IFERROR(__xludf.DUMMYFUNCTION("""COMPUTED_VALUE"""),"--")</f>
        <v>--</v>
      </c>
      <c r="AD341" s="251">
        <f>IFERROR(__xludf.DUMMYFUNCTION("""COMPUTED_VALUE"""),1.0)</f>
        <v>1</v>
      </c>
      <c r="AE341" s="251" t="str">
        <f>IFERROR(__xludf.DUMMYFUNCTION("""COMPUTED_VALUE"""),"Nullivore")</f>
        <v>Nullivore</v>
      </c>
    </row>
    <row r="342">
      <c r="A342" s="251" t="str">
        <f>IFERROR(__xludf.DUMMYFUNCTION("""COMPUTED_VALUE"""),"Drakloak")</f>
        <v>Drakloak</v>
      </c>
      <c r="B342" s="251" t="str">
        <f>IFERROR(__xludf.DUMMYFUNCTION("""COMPUTED_VALUE"""),"Dragon")</f>
        <v>Dragon</v>
      </c>
      <c r="C342" s="251" t="str">
        <f>IFERROR(__xludf.DUMMYFUNCTION("""COMPUTED_VALUE"""),"Ghost")</f>
        <v>Ghost</v>
      </c>
      <c r="D342" s="251">
        <f>IFERROR(__xludf.DUMMYFUNCTION("""COMPUTED_VALUE"""),7.0)</f>
        <v>7</v>
      </c>
      <c r="E342" s="251">
        <f>IFERROR(__xludf.DUMMYFUNCTION("""COMPUTED_VALUE"""),8.0)</f>
        <v>8</v>
      </c>
      <c r="F342" s="251">
        <f>IFERROR(__xludf.DUMMYFUNCTION("""COMPUTED_VALUE"""),5.0)</f>
        <v>5</v>
      </c>
      <c r="G342" s="251">
        <f>IFERROR(__xludf.DUMMYFUNCTION("""COMPUTED_VALUE"""),6.0)</f>
        <v>6</v>
      </c>
      <c r="H342" s="251">
        <f>IFERROR(__xludf.DUMMYFUNCTION("""COMPUTED_VALUE"""),5.0)</f>
        <v>5</v>
      </c>
      <c r="I342" s="251">
        <f>IFERROR(__xludf.DUMMYFUNCTION("""COMPUTED_VALUE"""),10.0)</f>
        <v>10</v>
      </c>
      <c r="J342" s="251">
        <f>IFERROR(__xludf.DUMMYFUNCTION("""COMPUTED_VALUE"""),3.0)</f>
        <v>3</v>
      </c>
      <c r="K342" s="251" t="str">
        <f>IFERROR(__xludf.DUMMYFUNCTION("""COMPUTED_VALUE"""),"Medium")</f>
        <v>Medium</v>
      </c>
      <c r="L342" s="251">
        <f>IFERROR(__xludf.DUMMYFUNCTION("""COMPUTED_VALUE"""),2.0)</f>
        <v>2</v>
      </c>
      <c r="M342" s="251" t="str">
        <f>IFERROR(__xludf.DUMMYFUNCTION("""COMPUTED_VALUE"""),"Cave")</f>
        <v>Cave</v>
      </c>
      <c r="N342" s="251" t="str">
        <f>IFERROR(__xludf.DUMMYFUNCTION("""COMPUTED_VALUE"""),"Flier")</f>
        <v>Flier</v>
      </c>
      <c r="O342" s="251" t="str">
        <f>IFERROR(__xludf.DUMMYFUNCTION("""COMPUTED_VALUE"""),"Phaser")</f>
        <v>Phaser</v>
      </c>
      <c r="P342" s="251" t="str">
        <f>IFERROR(__xludf.DUMMYFUNCTION("""COMPUTED_VALUE"""),"--")</f>
        <v>--</v>
      </c>
      <c r="Q342" s="251" t="str">
        <f>IFERROR(__xludf.DUMMYFUNCTION("""COMPUTED_VALUE"""),"--")</f>
        <v>--</v>
      </c>
      <c r="R342" s="251" t="str">
        <f>IFERROR(__xludf.DUMMYFUNCTION("""COMPUTED_VALUE"""),"Darkvision")</f>
        <v>Darkvision</v>
      </c>
      <c r="S342" s="251" t="str">
        <f>IFERROR(__xludf.DUMMYFUNCTION("""COMPUTED_VALUE"""),"Invisibility")</f>
        <v>Invisibility</v>
      </c>
      <c r="T342" s="251" t="str">
        <f>IFERROR(__xludf.DUMMYFUNCTION("""COMPUTED_VALUE"""),"Underdog")</f>
        <v>Underdog</v>
      </c>
      <c r="U342" s="251" t="str">
        <f>IFERROR(__xludf.DUMMYFUNCTION("""COMPUTED_VALUE"""),"--")</f>
        <v>--</v>
      </c>
      <c r="V342" s="251" t="str">
        <f>IFERROR(__xludf.DUMMYFUNCTION("""COMPUTED_VALUE"""),"Dead Silent")</f>
        <v>Dead Silent</v>
      </c>
      <c r="W342" s="251" t="str">
        <f>IFERROR(__xludf.DUMMYFUNCTION("""COMPUTED_VALUE"""),"--")</f>
        <v>--</v>
      </c>
      <c r="X342" s="251" t="str">
        <f>IFERROR(__xludf.DUMMYFUNCTION("""COMPUTED_VALUE"""),"--")</f>
        <v>--</v>
      </c>
      <c r="Y342" s="251" t="str">
        <f>IFERROR(__xludf.DUMMYFUNCTION("""COMPUTED_VALUE"""),"--")</f>
        <v>--</v>
      </c>
      <c r="Z342" s="251" t="str">
        <f>IFERROR(__xludf.DUMMYFUNCTION("""COMPUTED_VALUE"""),"--")</f>
        <v>--</v>
      </c>
      <c r="AA342" s="251" t="str">
        <f>IFERROR(__xludf.DUMMYFUNCTION("""COMPUTED_VALUE"""),"--")</f>
        <v>--</v>
      </c>
      <c r="AB342" s="251" t="str">
        <f>IFERROR(__xludf.DUMMYFUNCTION("""COMPUTED_VALUE"""),"--")</f>
        <v>--</v>
      </c>
      <c r="AC342" s="251" t="str">
        <f>IFERROR(__xludf.DUMMYFUNCTION("""COMPUTED_VALUE"""),"--")</f>
        <v>--</v>
      </c>
      <c r="AD342" s="251">
        <f>IFERROR(__xludf.DUMMYFUNCTION("""COMPUTED_VALUE"""),2.0)</f>
        <v>2</v>
      </c>
      <c r="AE342" s="251" t="str">
        <f>IFERROR(__xludf.DUMMYFUNCTION("""COMPUTED_VALUE"""),"Nullivore")</f>
        <v>Nullivore</v>
      </c>
    </row>
    <row r="343">
      <c r="A343" s="251" t="str">
        <f>IFERROR(__xludf.DUMMYFUNCTION("""COMPUTED_VALUE"""),"Dragapult")</f>
        <v>Dragapult</v>
      </c>
      <c r="B343" s="251" t="str">
        <f>IFERROR(__xludf.DUMMYFUNCTION("""COMPUTED_VALUE"""),"Dragon")</f>
        <v>Dragon</v>
      </c>
      <c r="C343" s="251" t="str">
        <f>IFERROR(__xludf.DUMMYFUNCTION("""COMPUTED_VALUE"""),"Ghost")</f>
        <v>Ghost</v>
      </c>
      <c r="D343" s="251">
        <f>IFERROR(__xludf.DUMMYFUNCTION("""COMPUTED_VALUE"""),9.0)</f>
        <v>9</v>
      </c>
      <c r="E343" s="251">
        <f>IFERROR(__xludf.DUMMYFUNCTION("""COMPUTED_VALUE"""),12.0)</f>
        <v>12</v>
      </c>
      <c r="F343" s="251">
        <f>IFERROR(__xludf.DUMMYFUNCTION("""COMPUTED_VALUE"""),8.0)</f>
        <v>8</v>
      </c>
      <c r="G343" s="251">
        <f>IFERROR(__xludf.DUMMYFUNCTION("""COMPUTED_VALUE"""),10.0)</f>
        <v>10</v>
      </c>
      <c r="H343" s="251">
        <f>IFERROR(__xludf.DUMMYFUNCTION("""COMPUTED_VALUE"""),8.0)</f>
        <v>8</v>
      </c>
      <c r="I343" s="251">
        <f>IFERROR(__xludf.DUMMYFUNCTION("""COMPUTED_VALUE"""),14.0)</f>
        <v>14</v>
      </c>
      <c r="J343" s="251">
        <f>IFERROR(__xludf.DUMMYFUNCTION("""COMPUTED_VALUE"""),6.0)</f>
        <v>6</v>
      </c>
      <c r="K343" s="251" t="str">
        <f>IFERROR(__xludf.DUMMYFUNCTION("""COMPUTED_VALUE"""),"Huge")</f>
        <v>Huge</v>
      </c>
      <c r="L343" s="251">
        <f>IFERROR(__xludf.DUMMYFUNCTION("""COMPUTED_VALUE"""),4.0)</f>
        <v>4</v>
      </c>
      <c r="M343" s="251" t="str">
        <f>IFERROR(__xludf.DUMMYFUNCTION("""COMPUTED_VALUE"""),"Cave")</f>
        <v>Cave</v>
      </c>
      <c r="N343" s="251" t="str">
        <f>IFERROR(__xludf.DUMMYFUNCTION("""COMPUTED_VALUE"""),"Flier")</f>
        <v>Flier</v>
      </c>
      <c r="O343" s="251" t="str">
        <f>IFERROR(__xludf.DUMMYFUNCTION("""COMPUTED_VALUE"""),"Phaser")</f>
        <v>Phaser</v>
      </c>
      <c r="P343" s="251" t="str">
        <f>IFERROR(__xludf.DUMMYFUNCTION("""COMPUTED_VALUE"""),"--")</f>
        <v>--</v>
      </c>
      <c r="Q343" s="251" t="str">
        <f>IFERROR(__xludf.DUMMYFUNCTION("""COMPUTED_VALUE"""),"--")</f>
        <v>--</v>
      </c>
      <c r="R343" s="251" t="str">
        <f>IFERROR(__xludf.DUMMYFUNCTION("""COMPUTED_VALUE"""),"Darkvision")</f>
        <v>Darkvision</v>
      </c>
      <c r="S343" s="251" t="str">
        <f>IFERROR(__xludf.DUMMYFUNCTION("""COMPUTED_VALUE"""),"Invisibility")</f>
        <v>Invisibility</v>
      </c>
      <c r="T343" s="251" t="str">
        <f>IFERROR(__xludf.DUMMYFUNCTION("""COMPUTED_VALUE"""),"--")</f>
        <v>--</v>
      </c>
      <c r="U343" s="251" t="str">
        <f>IFERROR(__xludf.DUMMYFUNCTION("""COMPUTED_VALUE"""),"--")</f>
        <v>--</v>
      </c>
      <c r="V343" s="251" t="str">
        <f>IFERROR(__xludf.DUMMYFUNCTION("""COMPUTED_VALUE"""),"Dead Silent")</f>
        <v>Dead Silent</v>
      </c>
      <c r="W343" s="251" t="str">
        <f>IFERROR(__xludf.DUMMYFUNCTION("""COMPUTED_VALUE"""),"--")</f>
        <v>--</v>
      </c>
      <c r="X343" s="251" t="str">
        <f>IFERROR(__xludf.DUMMYFUNCTION("""COMPUTED_VALUE"""),"--")</f>
        <v>--</v>
      </c>
      <c r="Y343" s="251" t="str">
        <f>IFERROR(__xludf.DUMMYFUNCTION("""COMPUTED_VALUE"""),"--")</f>
        <v>--</v>
      </c>
      <c r="Z343" s="251" t="str">
        <f>IFERROR(__xludf.DUMMYFUNCTION("""COMPUTED_VALUE"""),"--")</f>
        <v>--</v>
      </c>
      <c r="AA343" s="251" t="str">
        <f>IFERROR(__xludf.DUMMYFUNCTION("""COMPUTED_VALUE"""),"--")</f>
        <v>--</v>
      </c>
      <c r="AB343" s="251" t="str">
        <f>IFERROR(__xludf.DUMMYFUNCTION("""COMPUTED_VALUE"""),"--")</f>
        <v>--</v>
      </c>
      <c r="AC343" s="251" t="str">
        <f>IFERROR(__xludf.DUMMYFUNCTION("""COMPUTED_VALUE"""),"--")</f>
        <v>--</v>
      </c>
      <c r="AD343" s="251">
        <f>IFERROR(__xludf.DUMMYFUNCTION("""COMPUTED_VALUE"""),3.0)</f>
        <v>3</v>
      </c>
      <c r="AE343" s="251" t="str">
        <f>IFERROR(__xludf.DUMMYFUNCTION("""COMPUTED_VALUE"""),"Nullivore")</f>
        <v>Nullivore</v>
      </c>
    </row>
    <row r="344">
      <c r="A344" s="251" t="str">
        <f>IFERROR(__xludf.DUMMYFUNCTION("""COMPUTED_VALUE"""),"Frigibax")</f>
        <v>Frigibax</v>
      </c>
      <c r="B344" s="251" t="str">
        <f>IFERROR(__xludf.DUMMYFUNCTION("""COMPUTED_VALUE"""),"Dragon")</f>
        <v>Dragon</v>
      </c>
      <c r="C344" s="251" t="str">
        <f>IFERROR(__xludf.DUMMYFUNCTION("""COMPUTED_VALUE"""),"Ice")</f>
        <v>Ice</v>
      </c>
      <c r="D344" s="251">
        <f>IFERROR(__xludf.DUMMYFUNCTION("""COMPUTED_VALUE"""),7.0)</f>
        <v>7</v>
      </c>
      <c r="E344" s="251">
        <f>IFERROR(__xludf.DUMMYFUNCTION("""COMPUTED_VALUE"""),8.0)</f>
        <v>8</v>
      </c>
      <c r="F344" s="251">
        <f>IFERROR(__xludf.DUMMYFUNCTION("""COMPUTED_VALUE"""),5.0)</f>
        <v>5</v>
      </c>
      <c r="G344" s="251">
        <f>IFERROR(__xludf.DUMMYFUNCTION("""COMPUTED_VALUE"""),4.0)</f>
        <v>4</v>
      </c>
      <c r="H344" s="251">
        <f>IFERROR(__xludf.DUMMYFUNCTION("""COMPUTED_VALUE"""),5.0)</f>
        <v>5</v>
      </c>
      <c r="I344" s="251">
        <f>IFERROR(__xludf.DUMMYFUNCTION("""COMPUTED_VALUE"""),6.0)</f>
        <v>6</v>
      </c>
      <c r="J344" s="251">
        <f>IFERROR(__xludf.DUMMYFUNCTION("""COMPUTED_VALUE"""),3.0)</f>
        <v>3</v>
      </c>
      <c r="K344" s="251" t="str">
        <f>IFERROR(__xludf.DUMMYFUNCTION("""COMPUTED_VALUE"""),"Small")</f>
        <v>Small</v>
      </c>
      <c r="L344" s="251">
        <f>IFERROR(__xludf.DUMMYFUNCTION("""COMPUTED_VALUE"""),2.0)</f>
        <v>2</v>
      </c>
      <c r="M344" s="251" t="str">
        <f>IFERROR(__xludf.DUMMYFUNCTION("""COMPUTED_VALUE"""),"Cave, Tundra")</f>
        <v>Cave, Tundra</v>
      </c>
      <c r="N344" s="251" t="str">
        <f>IFERROR(__xludf.DUMMYFUNCTION("""COMPUTED_VALUE"""),"--")</f>
        <v>--</v>
      </c>
      <c r="O344" s="251" t="str">
        <f>IFERROR(__xludf.DUMMYFUNCTION("""COMPUTED_VALUE"""),"--")</f>
        <v>--</v>
      </c>
      <c r="P344" s="251" t="str">
        <f>IFERROR(__xludf.DUMMYFUNCTION("""COMPUTED_VALUE"""),"--")</f>
        <v>--</v>
      </c>
      <c r="Q344" s="251" t="str">
        <f>IFERROR(__xludf.DUMMYFUNCTION("""COMPUTED_VALUE"""),"--")</f>
        <v>--</v>
      </c>
      <c r="R344" s="251" t="str">
        <f>IFERROR(__xludf.DUMMYFUNCTION("""COMPUTED_VALUE"""),"Underdog")</f>
        <v>Underdog</v>
      </c>
      <c r="S344" s="251" t="str">
        <f>IFERROR(__xludf.DUMMYFUNCTION("""COMPUTED_VALUE"""),"--")</f>
        <v>--</v>
      </c>
      <c r="T344" s="251" t="str">
        <f>IFERROR(__xludf.DUMMYFUNCTION("""COMPUTED_VALUE"""),"--")</f>
        <v>--</v>
      </c>
      <c r="U344" s="251" t="str">
        <f>IFERROR(__xludf.DUMMYFUNCTION("""COMPUTED_VALUE"""),"--")</f>
        <v>--</v>
      </c>
      <c r="V344" s="251" t="str">
        <f>IFERROR(__xludf.DUMMYFUNCTION("""COMPUTED_VALUE"""),"Chilled")</f>
        <v>Chilled</v>
      </c>
      <c r="W344" s="251" t="str">
        <f>IFERROR(__xludf.DUMMYFUNCTION("""COMPUTED_VALUE"""),"--")</f>
        <v>--</v>
      </c>
      <c r="X344" s="251" t="str">
        <f>IFERROR(__xludf.DUMMYFUNCTION("""COMPUTED_VALUE"""),"--")</f>
        <v>--</v>
      </c>
      <c r="Y344" s="251" t="str">
        <f>IFERROR(__xludf.DUMMYFUNCTION("""COMPUTED_VALUE"""),"--")</f>
        <v>--</v>
      </c>
      <c r="Z344" s="251" t="str">
        <f>IFERROR(__xludf.DUMMYFUNCTION("""COMPUTED_VALUE"""),"--")</f>
        <v>--</v>
      </c>
      <c r="AA344" s="251" t="str">
        <f>IFERROR(__xludf.DUMMYFUNCTION("""COMPUTED_VALUE"""),"--")</f>
        <v>--</v>
      </c>
      <c r="AB344" s="251" t="str">
        <f>IFERROR(__xludf.DUMMYFUNCTION("""COMPUTED_VALUE"""),"--")</f>
        <v>--</v>
      </c>
      <c r="AC344" s="251" t="str">
        <f>IFERROR(__xludf.DUMMYFUNCTION("""COMPUTED_VALUE"""),"--")</f>
        <v>--</v>
      </c>
      <c r="AD344" s="251">
        <f>IFERROR(__xludf.DUMMYFUNCTION("""COMPUTED_VALUE"""),1.0)</f>
        <v>1</v>
      </c>
      <c r="AE344" s="251" t="str">
        <f>IFERROR(__xludf.DUMMYFUNCTION("""COMPUTED_VALUE"""),"Carnivore")</f>
        <v>Carnivore</v>
      </c>
    </row>
    <row r="345">
      <c r="A345" s="251" t="str">
        <f>IFERROR(__xludf.DUMMYFUNCTION("""COMPUTED_VALUE"""),"Arctibax")</f>
        <v>Arctibax</v>
      </c>
      <c r="B345" s="251" t="str">
        <f>IFERROR(__xludf.DUMMYFUNCTION("""COMPUTED_VALUE"""),"Dragon")</f>
        <v>Dragon</v>
      </c>
      <c r="C345" s="251" t="str">
        <f>IFERROR(__xludf.DUMMYFUNCTION("""COMPUTED_VALUE"""),"Ice")</f>
        <v>Ice</v>
      </c>
      <c r="D345" s="251">
        <f>IFERROR(__xludf.DUMMYFUNCTION("""COMPUTED_VALUE"""),9.0)</f>
        <v>9</v>
      </c>
      <c r="E345" s="251">
        <f>IFERROR(__xludf.DUMMYFUNCTION("""COMPUTED_VALUE"""),10.0)</f>
        <v>10</v>
      </c>
      <c r="F345" s="251">
        <f>IFERROR(__xludf.DUMMYFUNCTION("""COMPUTED_VALUE"""),7.0)</f>
        <v>7</v>
      </c>
      <c r="G345" s="251">
        <f>IFERROR(__xludf.DUMMYFUNCTION("""COMPUTED_VALUE"""),5.0)</f>
        <v>5</v>
      </c>
      <c r="H345" s="251">
        <f>IFERROR(__xludf.DUMMYFUNCTION("""COMPUTED_VALUE"""),7.0)</f>
        <v>7</v>
      </c>
      <c r="I345" s="251">
        <f>IFERROR(__xludf.DUMMYFUNCTION("""COMPUTED_VALUE"""),6.0)</f>
        <v>6</v>
      </c>
      <c r="J345" s="251">
        <f>IFERROR(__xludf.DUMMYFUNCTION("""COMPUTED_VALUE"""),8.0)</f>
        <v>8</v>
      </c>
      <c r="K345" s="251" t="str">
        <f>IFERROR(__xludf.DUMMYFUNCTION("""COMPUTED_VALUE"""),"Small")</f>
        <v>Small</v>
      </c>
      <c r="L345" s="251">
        <f>IFERROR(__xludf.DUMMYFUNCTION("""COMPUTED_VALUE"""),3.0)</f>
        <v>3</v>
      </c>
      <c r="M345" s="251" t="str">
        <f>IFERROR(__xludf.DUMMYFUNCTION("""COMPUTED_VALUE"""),"Cave, Tundra")</f>
        <v>Cave, Tundra</v>
      </c>
      <c r="N345" s="251" t="str">
        <f>IFERROR(__xludf.DUMMYFUNCTION("""COMPUTED_VALUE"""),"--")</f>
        <v>--</v>
      </c>
      <c r="O345" s="251" t="str">
        <f>IFERROR(__xludf.DUMMYFUNCTION("""COMPUTED_VALUE"""),"--")</f>
        <v>--</v>
      </c>
      <c r="P345" s="251" t="str">
        <f>IFERROR(__xludf.DUMMYFUNCTION("""COMPUTED_VALUE"""),"--")</f>
        <v>--</v>
      </c>
      <c r="Q345" s="251" t="str">
        <f>IFERROR(__xludf.DUMMYFUNCTION("""COMPUTED_VALUE"""),"--")</f>
        <v>--</v>
      </c>
      <c r="R345" s="251" t="str">
        <f>IFERROR(__xludf.DUMMYFUNCTION("""COMPUTED_VALUE"""),"Underdog")</f>
        <v>Underdog</v>
      </c>
      <c r="S345" s="251" t="str">
        <f>IFERROR(__xludf.DUMMYFUNCTION("""COMPUTED_VALUE"""),"--")</f>
        <v>--</v>
      </c>
      <c r="T345" s="251" t="str">
        <f>IFERROR(__xludf.DUMMYFUNCTION("""COMPUTED_VALUE"""),"--")</f>
        <v>--</v>
      </c>
      <c r="U345" s="251" t="str">
        <f>IFERROR(__xludf.DUMMYFUNCTION("""COMPUTED_VALUE"""),"--")</f>
        <v>--</v>
      </c>
      <c r="V345" s="251" t="str">
        <f>IFERROR(__xludf.DUMMYFUNCTION("""COMPUTED_VALUE"""),"Chilled")</f>
        <v>Chilled</v>
      </c>
      <c r="W345" s="251" t="str">
        <f>IFERROR(__xludf.DUMMYFUNCTION("""COMPUTED_VALUE"""),"--")</f>
        <v>--</v>
      </c>
      <c r="X345" s="251" t="str">
        <f>IFERROR(__xludf.DUMMYFUNCTION("""COMPUTED_VALUE"""),"--")</f>
        <v>--</v>
      </c>
      <c r="Y345" s="251" t="str">
        <f>IFERROR(__xludf.DUMMYFUNCTION("""COMPUTED_VALUE"""),"--")</f>
        <v>--</v>
      </c>
      <c r="Z345" s="251" t="str">
        <f>IFERROR(__xludf.DUMMYFUNCTION("""COMPUTED_VALUE"""),"--")</f>
        <v>--</v>
      </c>
      <c r="AA345" s="251" t="str">
        <f>IFERROR(__xludf.DUMMYFUNCTION("""COMPUTED_VALUE"""),"--")</f>
        <v>--</v>
      </c>
      <c r="AB345" s="251" t="str">
        <f>IFERROR(__xludf.DUMMYFUNCTION("""COMPUTED_VALUE"""),"--")</f>
        <v>--</v>
      </c>
      <c r="AC345" s="251" t="str">
        <f>IFERROR(__xludf.DUMMYFUNCTION("""COMPUTED_VALUE"""),"--")</f>
        <v>--</v>
      </c>
      <c r="AD345" s="251">
        <f>IFERROR(__xludf.DUMMYFUNCTION("""COMPUTED_VALUE"""),2.0)</f>
        <v>2</v>
      </c>
      <c r="AE345" s="251" t="str">
        <f>IFERROR(__xludf.DUMMYFUNCTION("""COMPUTED_VALUE"""),"Carnivore")</f>
        <v>Carnivore</v>
      </c>
    </row>
    <row r="346">
      <c r="A346" s="251" t="str">
        <f>IFERROR(__xludf.DUMMYFUNCTION("""COMPUTED_VALUE"""),"Baxcalibur")</f>
        <v>Baxcalibur</v>
      </c>
      <c r="B346" s="251" t="str">
        <f>IFERROR(__xludf.DUMMYFUNCTION("""COMPUTED_VALUE"""),"Dragon")</f>
        <v>Dragon</v>
      </c>
      <c r="C346" s="251" t="str">
        <f>IFERROR(__xludf.DUMMYFUNCTION("""COMPUTED_VALUE"""),"Ice")</f>
        <v>Ice</v>
      </c>
      <c r="D346" s="251">
        <f>IFERROR(__xludf.DUMMYFUNCTION("""COMPUTED_VALUE"""),12.0)</f>
        <v>12</v>
      </c>
      <c r="E346" s="251">
        <f>IFERROR(__xludf.DUMMYFUNCTION("""COMPUTED_VALUE"""),15.0)</f>
        <v>15</v>
      </c>
      <c r="F346" s="251">
        <f>IFERROR(__xludf.DUMMYFUNCTION("""COMPUTED_VALUE"""),9.0)</f>
        <v>9</v>
      </c>
      <c r="G346" s="251">
        <f>IFERROR(__xludf.DUMMYFUNCTION("""COMPUTED_VALUE"""),8.0)</f>
        <v>8</v>
      </c>
      <c r="H346" s="251">
        <f>IFERROR(__xludf.DUMMYFUNCTION("""COMPUTED_VALUE"""),9.0)</f>
        <v>9</v>
      </c>
      <c r="I346" s="251">
        <f>IFERROR(__xludf.DUMMYFUNCTION("""COMPUTED_VALUE"""),9.0)</f>
        <v>9</v>
      </c>
      <c r="J346" s="251">
        <f>IFERROR(__xludf.DUMMYFUNCTION("""COMPUTED_VALUE"""),11.0)</f>
        <v>11</v>
      </c>
      <c r="K346" s="251" t="str">
        <f>IFERROR(__xludf.DUMMYFUNCTION("""COMPUTED_VALUE"""),"Large")</f>
        <v>Large</v>
      </c>
      <c r="L346" s="251">
        <f>IFERROR(__xludf.DUMMYFUNCTION("""COMPUTED_VALUE"""),6.0)</f>
        <v>6</v>
      </c>
      <c r="M346" s="251" t="str">
        <f>IFERROR(__xludf.DUMMYFUNCTION("""COMPUTED_VALUE"""),"Cave, Tundra")</f>
        <v>Cave, Tundra</v>
      </c>
      <c r="N346" s="251" t="str">
        <f>IFERROR(__xludf.DUMMYFUNCTION("""COMPUTED_VALUE"""),"--")</f>
        <v>--</v>
      </c>
      <c r="O346" s="251" t="str">
        <f>IFERROR(__xludf.DUMMYFUNCTION("""COMPUTED_VALUE"""),"--")</f>
        <v>--</v>
      </c>
      <c r="P346" s="251" t="str">
        <f>IFERROR(__xludf.DUMMYFUNCTION("""COMPUTED_VALUE"""),"--")</f>
        <v>--</v>
      </c>
      <c r="Q346" s="251" t="str">
        <f>IFERROR(__xludf.DUMMYFUNCTION("""COMPUTED_VALUE"""),"--")</f>
        <v>--</v>
      </c>
      <c r="R346" s="251" t="str">
        <f>IFERROR(__xludf.DUMMYFUNCTION("""COMPUTED_VALUE"""),"--")</f>
        <v>--</v>
      </c>
      <c r="S346" s="251" t="str">
        <f>IFERROR(__xludf.DUMMYFUNCTION("""COMPUTED_VALUE"""),"--")</f>
        <v>--</v>
      </c>
      <c r="T346" s="251" t="str">
        <f>IFERROR(__xludf.DUMMYFUNCTION("""COMPUTED_VALUE"""),"--")</f>
        <v>--</v>
      </c>
      <c r="U346" s="251" t="str">
        <f>IFERROR(__xludf.DUMMYFUNCTION("""COMPUTED_VALUE"""),"--")</f>
        <v>--</v>
      </c>
      <c r="V346" s="251" t="str">
        <f>IFERROR(__xludf.DUMMYFUNCTION("""COMPUTED_VALUE"""),"Chilled")</f>
        <v>Chilled</v>
      </c>
      <c r="W346" s="251" t="str">
        <f>IFERROR(__xludf.DUMMYFUNCTION("""COMPUTED_VALUE"""),"--")</f>
        <v>--</v>
      </c>
      <c r="X346" s="251" t="str">
        <f>IFERROR(__xludf.DUMMYFUNCTION("""COMPUTED_VALUE"""),"--")</f>
        <v>--</v>
      </c>
      <c r="Y346" s="251" t="str">
        <f>IFERROR(__xludf.DUMMYFUNCTION("""COMPUTED_VALUE"""),"--")</f>
        <v>--</v>
      </c>
      <c r="Z346" s="251" t="str">
        <f>IFERROR(__xludf.DUMMYFUNCTION("""COMPUTED_VALUE"""),"--")</f>
        <v>--</v>
      </c>
      <c r="AA346" s="251" t="str">
        <f>IFERROR(__xludf.DUMMYFUNCTION("""COMPUTED_VALUE"""),"--")</f>
        <v>--</v>
      </c>
      <c r="AB346" s="251" t="str">
        <f>IFERROR(__xludf.DUMMYFUNCTION("""COMPUTED_VALUE"""),"--")</f>
        <v>--</v>
      </c>
      <c r="AC346" s="251" t="str">
        <f>IFERROR(__xludf.DUMMYFUNCTION("""COMPUTED_VALUE"""),"--")</f>
        <v>--</v>
      </c>
      <c r="AD346" s="251">
        <f>IFERROR(__xludf.DUMMYFUNCTION("""COMPUTED_VALUE"""),3.0)</f>
        <v>3</v>
      </c>
      <c r="AE346" s="251" t="str">
        <f>IFERROR(__xludf.DUMMYFUNCTION("""COMPUTED_VALUE"""),"Carnivore")</f>
        <v>Carnivore</v>
      </c>
    </row>
    <row r="347">
      <c r="A347" s="251" t="str">
        <f>IFERROR(__xludf.DUMMYFUNCTION("""COMPUTED_VALUE"""),"Pichu")</f>
        <v>Pichu</v>
      </c>
      <c r="B347" s="251" t="str">
        <f>IFERROR(__xludf.DUMMYFUNCTION("""COMPUTED_VALUE"""),"Electric")</f>
        <v>Electric</v>
      </c>
      <c r="C347" s="251" t="str">
        <f>IFERROR(__xludf.DUMMYFUNCTION("""COMPUTED_VALUE"""),"None")</f>
        <v>None</v>
      </c>
      <c r="D347" s="251">
        <f>IFERROR(__xludf.DUMMYFUNCTION("""COMPUTED_VALUE"""),2.0)</f>
        <v>2</v>
      </c>
      <c r="E347" s="251">
        <f>IFERROR(__xludf.DUMMYFUNCTION("""COMPUTED_VALUE"""),4.0)</f>
        <v>4</v>
      </c>
      <c r="F347" s="251">
        <f>IFERROR(__xludf.DUMMYFUNCTION("""COMPUTED_VALUE"""),2.0)</f>
        <v>2</v>
      </c>
      <c r="G347" s="251">
        <f>IFERROR(__xludf.DUMMYFUNCTION("""COMPUTED_VALUE"""),4.0)</f>
        <v>4</v>
      </c>
      <c r="H347" s="251">
        <f>IFERROR(__xludf.DUMMYFUNCTION("""COMPUTED_VALUE"""),4.0)</f>
        <v>4</v>
      </c>
      <c r="I347" s="251">
        <f>IFERROR(__xludf.DUMMYFUNCTION("""COMPUTED_VALUE"""),6.0)</f>
        <v>6</v>
      </c>
      <c r="J347" s="251">
        <f>IFERROR(__xludf.DUMMYFUNCTION("""COMPUTED_VALUE"""),1.0)</f>
        <v>1</v>
      </c>
      <c r="K347" s="251" t="str">
        <f>IFERROR(__xludf.DUMMYFUNCTION("""COMPUTED_VALUE"""),"Small")</f>
        <v>Small</v>
      </c>
      <c r="L347" s="251">
        <f>IFERROR(__xludf.DUMMYFUNCTION("""COMPUTED_VALUE"""),1.0)</f>
        <v>1</v>
      </c>
      <c r="M347" s="251" t="str">
        <f>IFERROR(__xludf.DUMMYFUNCTION("""COMPUTED_VALUE"""),"Forest, Urban")</f>
        <v>Forest, Urban</v>
      </c>
      <c r="N347" s="251" t="str">
        <f>IFERROR(__xludf.DUMMYFUNCTION("""COMPUTED_VALUE"""),"Jumper")</f>
        <v>Jumper</v>
      </c>
      <c r="O347" s="251" t="str">
        <f>IFERROR(__xludf.DUMMYFUNCTION("""COMPUTED_VALUE"""),"--")</f>
        <v>--</v>
      </c>
      <c r="P347" s="251" t="str">
        <f>IFERROR(__xludf.DUMMYFUNCTION("""COMPUTED_VALUE"""),"--")</f>
        <v>--</v>
      </c>
      <c r="Q347" s="251" t="str">
        <f>IFERROR(__xludf.DUMMYFUNCTION("""COMPUTED_VALUE"""),"--")</f>
        <v>--</v>
      </c>
      <c r="R347" s="251" t="str">
        <f>IFERROR(__xludf.DUMMYFUNCTION("""COMPUTED_VALUE"""),"Underdog")</f>
        <v>Underdog</v>
      </c>
      <c r="S347" s="251" t="str">
        <f>IFERROR(__xludf.DUMMYFUNCTION("""COMPUTED_VALUE"""),"--")</f>
        <v>--</v>
      </c>
      <c r="T347" s="251" t="str">
        <f>IFERROR(__xludf.DUMMYFUNCTION("""COMPUTED_VALUE"""),"--")</f>
        <v>--</v>
      </c>
      <c r="U347" s="251" t="str">
        <f>IFERROR(__xludf.DUMMYFUNCTION("""COMPUTED_VALUE"""),"--")</f>
        <v>--</v>
      </c>
      <c r="V347" s="251" t="str">
        <f>IFERROR(__xludf.DUMMYFUNCTION("""COMPUTED_VALUE"""),"--")</f>
        <v>--</v>
      </c>
      <c r="W347" s="251" t="str">
        <f>IFERROR(__xludf.DUMMYFUNCTION("""COMPUTED_VALUE"""),"--")</f>
        <v>--</v>
      </c>
      <c r="X347" s="251" t="str">
        <f>IFERROR(__xludf.DUMMYFUNCTION("""COMPUTED_VALUE"""),"--")</f>
        <v>--</v>
      </c>
      <c r="Y347" s="251" t="str">
        <f>IFERROR(__xludf.DUMMYFUNCTION("""COMPUTED_VALUE"""),"--")</f>
        <v>--</v>
      </c>
      <c r="Z347" s="251" t="str">
        <f>IFERROR(__xludf.DUMMYFUNCTION("""COMPUTED_VALUE"""),"--")</f>
        <v>--</v>
      </c>
      <c r="AA347" s="251" t="str">
        <f>IFERROR(__xludf.DUMMYFUNCTION("""COMPUTED_VALUE"""),"--")</f>
        <v>--</v>
      </c>
      <c r="AB347" s="251" t="str">
        <f>IFERROR(__xludf.DUMMYFUNCTION("""COMPUTED_VALUE"""),"--")</f>
        <v>--</v>
      </c>
      <c r="AC347" s="251" t="str">
        <f>IFERROR(__xludf.DUMMYFUNCTION("""COMPUTED_VALUE"""),"--")</f>
        <v>--</v>
      </c>
      <c r="AD347" s="251">
        <f>IFERROR(__xludf.DUMMYFUNCTION("""COMPUTED_VALUE"""),1.0)</f>
        <v>1</v>
      </c>
      <c r="AE347" s="251" t="str">
        <f>IFERROR(__xludf.DUMMYFUNCTION("""COMPUTED_VALUE"""),"Herbivore")</f>
        <v>Herbivore</v>
      </c>
    </row>
    <row r="348">
      <c r="A348" s="251" t="str">
        <f>IFERROR(__xludf.DUMMYFUNCTION("""COMPUTED_VALUE"""),"Pikachu")</f>
        <v>Pikachu</v>
      </c>
      <c r="B348" s="251" t="str">
        <f>IFERROR(__xludf.DUMMYFUNCTION("""COMPUTED_VALUE"""),"Electric")</f>
        <v>Electric</v>
      </c>
      <c r="C348" s="251" t="str">
        <f>IFERROR(__xludf.DUMMYFUNCTION("""COMPUTED_VALUE"""),"None")</f>
        <v>None</v>
      </c>
      <c r="D348" s="251">
        <f>IFERROR(__xludf.DUMMYFUNCTION("""COMPUTED_VALUE"""),4.0)</f>
        <v>4</v>
      </c>
      <c r="E348" s="251">
        <f>IFERROR(__xludf.DUMMYFUNCTION("""COMPUTED_VALUE"""),6.0)</f>
        <v>6</v>
      </c>
      <c r="F348" s="251">
        <f>IFERROR(__xludf.DUMMYFUNCTION("""COMPUTED_VALUE"""),4.0)</f>
        <v>4</v>
      </c>
      <c r="G348" s="251">
        <f>IFERROR(__xludf.DUMMYFUNCTION("""COMPUTED_VALUE"""),5.0)</f>
        <v>5</v>
      </c>
      <c r="H348" s="251">
        <f>IFERROR(__xludf.DUMMYFUNCTION("""COMPUTED_VALUE"""),5.0)</f>
        <v>5</v>
      </c>
      <c r="I348" s="251">
        <f>IFERROR(__xludf.DUMMYFUNCTION("""COMPUTED_VALUE"""),9.0)</f>
        <v>9</v>
      </c>
      <c r="J348" s="251">
        <f>IFERROR(__xludf.DUMMYFUNCTION("""COMPUTED_VALUE"""),2.0)</f>
        <v>2</v>
      </c>
      <c r="K348" s="251" t="str">
        <f>IFERROR(__xludf.DUMMYFUNCTION("""COMPUTED_VALUE"""),"Small")</f>
        <v>Small</v>
      </c>
      <c r="L348" s="251">
        <f>IFERROR(__xludf.DUMMYFUNCTION("""COMPUTED_VALUE"""),1.0)</f>
        <v>1</v>
      </c>
      <c r="M348" s="251" t="str">
        <f>IFERROR(__xludf.DUMMYFUNCTION("""COMPUTED_VALUE"""),"Forest, Urban")</f>
        <v>Forest, Urban</v>
      </c>
      <c r="N348" s="251" t="str">
        <f>IFERROR(__xludf.DUMMYFUNCTION("""COMPUTED_VALUE"""),"Quick")</f>
        <v>Quick</v>
      </c>
      <c r="O348" s="251" t="str">
        <f>IFERROR(__xludf.DUMMYFUNCTION("""COMPUTED_VALUE"""),"Jumper")</f>
        <v>Jumper</v>
      </c>
      <c r="P348" s="251" t="str">
        <f>IFERROR(__xludf.DUMMYFUNCTION("""COMPUTED_VALUE"""),"--")</f>
        <v>--</v>
      </c>
      <c r="Q348" s="251" t="str">
        <f>IFERROR(__xludf.DUMMYFUNCTION("""COMPUTED_VALUE"""),"--")</f>
        <v>--</v>
      </c>
      <c r="R348" s="251" t="str">
        <f>IFERROR(__xludf.DUMMYFUNCTION("""COMPUTED_VALUE"""),"Underdog")</f>
        <v>Underdog</v>
      </c>
      <c r="S348" s="251" t="str">
        <f>IFERROR(__xludf.DUMMYFUNCTION("""COMPUTED_VALUE"""),"--")</f>
        <v>--</v>
      </c>
      <c r="T348" s="251" t="str">
        <f>IFERROR(__xludf.DUMMYFUNCTION("""COMPUTED_VALUE"""),"--")</f>
        <v>--</v>
      </c>
      <c r="U348" s="251" t="str">
        <f>IFERROR(__xludf.DUMMYFUNCTION("""COMPUTED_VALUE"""),"--")</f>
        <v>--</v>
      </c>
      <c r="V348" s="251" t="str">
        <f>IFERROR(__xludf.DUMMYFUNCTION("""COMPUTED_VALUE"""),"--")</f>
        <v>--</v>
      </c>
      <c r="W348" s="251" t="str">
        <f>IFERROR(__xludf.DUMMYFUNCTION("""COMPUTED_VALUE"""),"--")</f>
        <v>--</v>
      </c>
      <c r="X348" s="251" t="str">
        <f>IFERROR(__xludf.DUMMYFUNCTION("""COMPUTED_VALUE"""),"--")</f>
        <v>--</v>
      </c>
      <c r="Y348" s="251" t="str">
        <f>IFERROR(__xludf.DUMMYFUNCTION("""COMPUTED_VALUE"""),"--")</f>
        <v>--</v>
      </c>
      <c r="Z348" s="251" t="str">
        <f>IFERROR(__xludf.DUMMYFUNCTION("""COMPUTED_VALUE"""),"--")</f>
        <v>--</v>
      </c>
      <c r="AA348" s="251" t="str">
        <f>IFERROR(__xludf.DUMMYFUNCTION("""COMPUTED_VALUE"""),"--")</f>
        <v>--</v>
      </c>
      <c r="AB348" s="251" t="str">
        <f>IFERROR(__xludf.DUMMYFUNCTION("""COMPUTED_VALUE"""),"--")</f>
        <v>--</v>
      </c>
      <c r="AC348" s="251" t="str">
        <f>IFERROR(__xludf.DUMMYFUNCTION("""COMPUTED_VALUE"""),"--")</f>
        <v>--</v>
      </c>
      <c r="AD348" s="251">
        <f>IFERROR(__xludf.DUMMYFUNCTION("""COMPUTED_VALUE"""),2.0)</f>
        <v>2</v>
      </c>
      <c r="AE348" s="251" t="str">
        <f>IFERROR(__xludf.DUMMYFUNCTION("""COMPUTED_VALUE"""),"Herbivore")</f>
        <v>Herbivore</v>
      </c>
    </row>
    <row r="349">
      <c r="A349" s="251" t="str">
        <f>IFERROR(__xludf.DUMMYFUNCTION("""COMPUTED_VALUE"""),"Raichu")</f>
        <v>Raichu</v>
      </c>
      <c r="B349" s="251" t="str">
        <f>IFERROR(__xludf.DUMMYFUNCTION("""COMPUTED_VALUE"""),"Electric")</f>
        <v>Electric</v>
      </c>
      <c r="C349" s="251" t="str">
        <f>IFERROR(__xludf.DUMMYFUNCTION("""COMPUTED_VALUE"""),"None")</f>
        <v>None</v>
      </c>
      <c r="D349" s="251">
        <f>IFERROR(__xludf.DUMMYFUNCTION("""COMPUTED_VALUE"""),8.0)</f>
        <v>8</v>
      </c>
      <c r="E349" s="251">
        <f>IFERROR(__xludf.DUMMYFUNCTION("""COMPUTED_VALUE"""),12.0)</f>
        <v>12</v>
      </c>
      <c r="F349" s="251">
        <f>IFERROR(__xludf.DUMMYFUNCTION("""COMPUTED_VALUE"""),6.0)</f>
        <v>6</v>
      </c>
      <c r="G349" s="251">
        <f>IFERROR(__xludf.DUMMYFUNCTION("""COMPUTED_VALUE"""),12.0)</f>
        <v>12</v>
      </c>
      <c r="H349" s="251">
        <f>IFERROR(__xludf.DUMMYFUNCTION("""COMPUTED_VALUE"""),8.0)</f>
        <v>8</v>
      </c>
      <c r="I349" s="251">
        <f>IFERROR(__xludf.DUMMYFUNCTION("""COMPUTED_VALUE"""),11.0)</f>
        <v>11</v>
      </c>
      <c r="J349" s="251">
        <f>IFERROR(__xludf.DUMMYFUNCTION("""COMPUTED_VALUE"""),4.0)</f>
        <v>4</v>
      </c>
      <c r="K349" s="251" t="str">
        <f>IFERROR(__xludf.DUMMYFUNCTION("""COMPUTED_VALUE"""),"Small")</f>
        <v>Small</v>
      </c>
      <c r="L349" s="251">
        <f>IFERROR(__xludf.DUMMYFUNCTION("""COMPUTED_VALUE"""),3.0)</f>
        <v>3</v>
      </c>
      <c r="M349" s="251" t="str">
        <f>IFERROR(__xludf.DUMMYFUNCTION("""COMPUTED_VALUE"""),"Forest, Urban")</f>
        <v>Forest, Urban</v>
      </c>
      <c r="N349" s="251" t="str">
        <f>IFERROR(__xludf.DUMMYFUNCTION("""COMPUTED_VALUE"""),"--")</f>
        <v>--</v>
      </c>
      <c r="O349" s="251" t="str">
        <f>IFERROR(__xludf.DUMMYFUNCTION("""COMPUTED_VALUE"""),"--")</f>
        <v>--</v>
      </c>
      <c r="P349" s="251" t="str">
        <f>IFERROR(__xludf.DUMMYFUNCTION("""COMPUTED_VALUE"""),"--")</f>
        <v>--</v>
      </c>
      <c r="Q349" s="251" t="str">
        <f>IFERROR(__xludf.DUMMYFUNCTION("""COMPUTED_VALUE"""),"--")</f>
        <v>--</v>
      </c>
      <c r="R349" s="251" t="str">
        <f>IFERROR(__xludf.DUMMYFUNCTION("""COMPUTED_VALUE"""),"--")</f>
        <v>--</v>
      </c>
      <c r="S349" s="251" t="str">
        <f>IFERROR(__xludf.DUMMYFUNCTION("""COMPUTED_VALUE"""),"--")</f>
        <v>--</v>
      </c>
      <c r="T349" s="251" t="str">
        <f>IFERROR(__xludf.DUMMYFUNCTION("""COMPUTED_VALUE"""),"--")</f>
        <v>--</v>
      </c>
      <c r="U349" s="251" t="str">
        <f>IFERROR(__xludf.DUMMYFUNCTION("""COMPUTED_VALUE"""),"--")</f>
        <v>--</v>
      </c>
      <c r="V349" s="251" t="str">
        <f>IFERROR(__xludf.DUMMYFUNCTION("""COMPUTED_VALUE"""),"--")</f>
        <v>--</v>
      </c>
      <c r="W349" s="251" t="str">
        <f>IFERROR(__xludf.DUMMYFUNCTION("""COMPUTED_VALUE"""),"--")</f>
        <v>--</v>
      </c>
      <c r="X349" s="251" t="str">
        <f>IFERROR(__xludf.DUMMYFUNCTION("""COMPUTED_VALUE"""),"--")</f>
        <v>--</v>
      </c>
      <c r="Y349" s="251" t="str">
        <f>IFERROR(__xludf.DUMMYFUNCTION("""COMPUTED_VALUE"""),"--")</f>
        <v>--</v>
      </c>
      <c r="Z349" s="251" t="str">
        <f>IFERROR(__xludf.DUMMYFUNCTION("""COMPUTED_VALUE"""),"--")</f>
        <v>--</v>
      </c>
      <c r="AA349" s="251" t="str">
        <f>IFERROR(__xludf.DUMMYFUNCTION("""COMPUTED_VALUE"""),"--")</f>
        <v>--</v>
      </c>
      <c r="AB349" s="251" t="str">
        <f>IFERROR(__xludf.DUMMYFUNCTION("""COMPUTED_VALUE"""),"--")</f>
        <v>--</v>
      </c>
      <c r="AC349" s="251" t="str">
        <f>IFERROR(__xludf.DUMMYFUNCTION("""COMPUTED_VALUE"""),"--")</f>
        <v>--</v>
      </c>
      <c r="AD349" s="251">
        <f>IFERROR(__xludf.DUMMYFUNCTION("""COMPUTED_VALUE"""),3.0)</f>
        <v>3</v>
      </c>
      <c r="AE349" s="251" t="str">
        <f>IFERROR(__xludf.DUMMYFUNCTION("""COMPUTED_VALUE"""),"Herbivore")</f>
        <v>Herbivore</v>
      </c>
    </row>
    <row r="350">
      <c r="A350" s="251" t="str">
        <f>IFERROR(__xludf.DUMMYFUNCTION("""COMPUTED_VALUE"""),"Alolan Raichu")</f>
        <v>Alolan Raichu</v>
      </c>
      <c r="B350" s="251" t="str">
        <f>IFERROR(__xludf.DUMMYFUNCTION("""COMPUTED_VALUE"""),"Electric")</f>
        <v>Electric</v>
      </c>
      <c r="C350" s="251" t="str">
        <f>IFERROR(__xludf.DUMMYFUNCTION("""COMPUTED_VALUE"""),"Psychic")</f>
        <v>Psychic</v>
      </c>
      <c r="D350" s="251">
        <f>IFERROR(__xludf.DUMMYFUNCTION("""COMPUTED_VALUE"""),6.0)</f>
        <v>6</v>
      </c>
      <c r="E350" s="251">
        <f>IFERROR(__xludf.DUMMYFUNCTION("""COMPUTED_VALUE"""),9.0)</f>
        <v>9</v>
      </c>
      <c r="F350" s="251">
        <f>IFERROR(__xludf.DUMMYFUNCTION("""COMPUTED_VALUE"""),5.0)</f>
        <v>5</v>
      </c>
      <c r="G350" s="251">
        <f>IFERROR(__xludf.DUMMYFUNCTION("""COMPUTED_VALUE"""),10.0)</f>
        <v>10</v>
      </c>
      <c r="H350" s="251">
        <f>IFERROR(__xludf.DUMMYFUNCTION("""COMPUTED_VALUE"""),10.0)</f>
        <v>10</v>
      </c>
      <c r="I350" s="251">
        <f>IFERROR(__xludf.DUMMYFUNCTION("""COMPUTED_VALUE"""),11.0)</f>
        <v>11</v>
      </c>
      <c r="J350" s="251">
        <f>IFERROR(__xludf.DUMMYFUNCTION("""COMPUTED_VALUE"""),4.0)</f>
        <v>4</v>
      </c>
      <c r="K350" s="251" t="str">
        <f>IFERROR(__xludf.DUMMYFUNCTION("""COMPUTED_VALUE"""),"Small")</f>
        <v>Small</v>
      </c>
      <c r="L350" s="251">
        <f>IFERROR(__xludf.DUMMYFUNCTION("""COMPUTED_VALUE"""),2.0)</f>
        <v>2</v>
      </c>
      <c r="M350" s="251" t="str">
        <f>IFERROR(__xludf.DUMMYFUNCTION("""COMPUTED_VALUE"""),"Forest, Urban")</f>
        <v>Forest, Urban</v>
      </c>
      <c r="N350" s="251" t="str">
        <f>IFERROR(__xludf.DUMMYFUNCTION("""COMPUTED_VALUE"""),"Flier")</f>
        <v>Flier</v>
      </c>
      <c r="O350" s="251" t="str">
        <f>IFERROR(__xludf.DUMMYFUNCTION("""COMPUTED_VALUE"""),"--")</f>
        <v>--</v>
      </c>
      <c r="P350" s="251" t="str">
        <f>IFERROR(__xludf.DUMMYFUNCTION("""COMPUTED_VALUE"""),"--")</f>
        <v>--</v>
      </c>
      <c r="Q350" s="251" t="str">
        <f>IFERROR(__xludf.DUMMYFUNCTION("""COMPUTED_VALUE"""),"--")</f>
        <v>--</v>
      </c>
      <c r="R350" s="251" t="str">
        <f>IFERROR(__xludf.DUMMYFUNCTION("""COMPUTED_VALUE"""),"Telekinetic")</f>
        <v>Telekinetic</v>
      </c>
      <c r="S350" s="251" t="str">
        <f>IFERROR(__xludf.DUMMYFUNCTION("""COMPUTED_VALUE"""),"--")</f>
        <v>--</v>
      </c>
      <c r="T350" s="251" t="str">
        <f>IFERROR(__xludf.DUMMYFUNCTION("""COMPUTED_VALUE"""),"--")</f>
        <v>--</v>
      </c>
      <c r="U350" s="251" t="str">
        <f>IFERROR(__xludf.DUMMYFUNCTION("""COMPUTED_VALUE"""),"--")</f>
        <v>--</v>
      </c>
      <c r="V350" s="251" t="str">
        <f>IFERROR(__xludf.DUMMYFUNCTION("""COMPUTED_VALUE"""),"--")</f>
        <v>--</v>
      </c>
      <c r="W350" s="251" t="str">
        <f>IFERROR(__xludf.DUMMYFUNCTION("""COMPUTED_VALUE"""),"--")</f>
        <v>--</v>
      </c>
      <c r="X350" s="251" t="str">
        <f>IFERROR(__xludf.DUMMYFUNCTION("""COMPUTED_VALUE"""),"--")</f>
        <v>--</v>
      </c>
      <c r="Y350" s="251" t="str">
        <f>IFERROR(__xludf.DUMMYFUNCTION("""COMPUTED_VALUE"""),"--")</f>
        <v>--</v>
      </c>
      <c r="Z350" s="251" t="str">
        <f>IFERROR(__xludf.DUMMYFUNCTION("""COMPUTED_VALUE"""),"--")</f>
        <v>--</v>
      </c>
      <c r="AA350" s="251" t="str">
        <f>IFERROR(__xludf.DUMMYFUNCTION("""COMPUTED_VALUE"""),"--")</f>
        <v>--</v>
      </c>
      <c r="AB350" s="251" t="str">
        <f>IFERROR(__xludf.DUMMYFUNCTION("""COMPUTED_VALUE"""),"--")</f>
        <v>--</v>
      </c>
      <c r="AC350" s="251" t="str">
        <f>IFERROR(__xludf.DUMMYFUNCTION("""COMPUTED_VALUE"""),"--")</f>
        <v>--</v>
      </c>
      <c r="AD350" s="251">
        <f>IFERROR(__xludf.DUMMYFUNCTION("""COMPUTED_VALUE"""),3.0)</f>
        <v>3</v>
      </c>
      <c r="AE350" s="251" t="str">
        <f>IFERROR(__xludf.DUMMYFUNCTION("""COMPUTED_VALUE"""),"Herbivore")</f>
        <v>Herbivore</v>
      </c>
    </row>
    <row r="351">
      <c r="A351" s="251" t="str">
        <f>IFERROR(__xludf.DUMMYFUNCTION("""COMPUTED_VALUE"""),"Magnemite")</f>
        <v>Magnemite</v>
      </c>
      <c r="B351" s="251" t="str">
        <f>IFERROR(__xludf.DUMMYFUNCTION("""COMPUTED_VALUE"""),"Electric")</f>
        <v>Electric</v>
      </c>
      <c r="C351" s="251" t="str">
        <f>IFERROR(__xludf.DUMMYFUNCTION("""COMPUTED_VALUE"""),"Steel")</f>
        <v>Steel</v>
      </c>
      <c r="D351" s="251">
        <f>IFERROR(__xludf.DUMMYFUNCTION("""COMPUTED_VALUE"""),3.0)</f>
        <v>3</v>
      </c>
      <c r="E351" s="251">
        <f>IFERROR(__xludf.DUMMYFUNCTION("""COMPUTED_VALUE"""),4.0)</f>
        <v>4</v>
      </c>
      <c r="F351" s="251">
        <f>IFERROR(__xludf.DUMMYFUNCTION("""COMPUTED_VALUE"""),7.0)</f>
        <v>7</v>
      </c>
      <c r="G351" s="251">
        <f>IFERROR(__xludf.DUMMYFUNCTION("""COMPUTED_VALUE"""),10.0)</f>
        <v>10</v>
      </c>
      <c r="H351" s="251">
        <f>IFERROR(__xludf.DUMMYFUNCTION("""COMPUTED_VALUE"""),6.0)</f>
        <v>6</v>
      </c>
      <c r="I351" s="251">
        <f>IFERROR(__xludf.DUMMYFUNCTION("""COMPUTED_VALUE"""),5.0)</f>
        <v>5</v>
      </c>
      <c r="J351" s="251">
        <f>IFERROR(__xludf.DUMMYFUNCTION("""COMPUTED_VALUE"""),2.0)</f>
        <v>2</v>
      </c>
      <c r="K351" s="251" t="str">
        <f>IFERROR(__xludf.DUMMYFUNCTION("""COMPUTED_VALUE"""),"Small")</f>
        <v>Small</v>
      </c>
      <c r="L351" s="251">
        <f>IFERROR(__xludf.DUMMYFUNCTION("""COMPUTED_VALUE"""),1.0)</f>
        <v>1</v>
      </c>
      <c r="M351" s="251" t="str">
        <f>IFERROR(__xludf.DUMMYFUNCTION("""COMPUTED_VALUE"""),"Urban")</f>
        <v>Urban</v>
      </c>
      <c r="N351" s="251" t="str">
        <f>IFERROR(__xludf.DUMMYFUNCTION("""COMPUTED_VALUE"""),"Flier")</f>
        <v>Flier</v>
      </c>
      <c r="O351" s="251" t="str">
        <f>IFERROR(__xludf.DUMMYFUNCTION("""COMPUTED_VALUE"""),"--")</f>
        <v>--</v>
      </c>
      <c r="P351" s="251" t="str">
        <f>IFERROR(__xludf.DUMMYFUNCTION("""COMPUTED_VALUE"""),"--")</f>
        <v>--</v>
      </c>
      <c r="Q351" s="251" t="str">
        <f>IFERROR(__xludf.DUMMYFUNCTION("""COMPUTED_VALUE"""),"--")</f>
        <v>--</v>
      </c>
      <c r="R351" s="251" t="str">
        <f>IFERROR(__xludf.DUMMYFUNCTION("""COMPUTED_VALUE"""),"Underdog")</f>
        <v>Underdog</v>
      </c>
      <c r="S351" s="251" t="str">
        <f>IFERROR(__xludf.DUMMYFUNCTION("""COMPUTED_VALUE"""),"--")</f>
        <v>--</v>
      </c>
      <c r="T351" s="251" t="str">
        <f>IFERROR(__xludf.DUMMYFUNCTION("""COMPUTED_VALUE"""),"--")</f>
        <v>--</v>
      </c>
      <c r="U351" s="251" t="str">
        <f>IFERROR(__xludf.DUMMYFUNCTION("""COMPUTED_VALUE"""),"--")</f>
        <v>--</v>
      </c>
      <c r="V351" s="251" t="str">
        <f>IFERROR(__xludf.DUMMYFUNCTION("""COMPUTED_VALUE"""),"Breathless")</f>
        <v>Breathless</v>
      </c>
      <c r="W351" s="251" t="str">
        <f>IFERROR(__xludf.DUMMYFUNCTION("""COMPUTED_VALUE"""),"Dead Silent")</f>
        <v>Dead Silent</v>
      </c>
      <c r="X351" s="251" t="str">
        <f>IFERROR(__xludf.DUMMYFUNCTION("""COMPUTED_VALUE"""),"Magnetic")</f>
        <v>Magnetic</v>
      </c>
      <c r="Y351" s="251" t="str">
        <f>IFERROR(__xludf.DUMMYFUNCTION("""COMPUTED_VALUE"""),"--")</f>
        <v>--</v>
      </c>
      <c r="Z351" s="251" t="str">
        <f>IFERROR(__xludf.DUMMYFUNCTION("""COMPUTED_VALUE"""),"--")</f>
        <v>--</v>
      </c>
      <c r="AA351" s="251" t="str">
        <f>IFERROR(__xludf.DUMMYFUNCTION("""COMPUTED_VALUE"""),"--")</f>
        <v>--</v>
      </c>
      <c r="AB351" s="251" t="str">
        <f>IFERROR(__xludf.DUMMYFUNCTION("""COMPUTED_VALUE"""),"--")</f>
        <v>--</v>
      </c>
      <c r="AC351" s="251" t="str">
        <f>IFERROR(__xludf.DUMMYFUNCTION("""COMPUTED_VALUE"""),"--")</f>
        <v>--</v>
      </c>
      <c r="AD351" s="251">
        <f>IFERROR(__xludf.DUMMYFUNCTION("""COMPUTED_VALUE"""),1.0)</f>
        <v>1</v>
      </c>
      <c r="AE351" s="251" t="str">
        <f>IFERROR(__xludf.DUMMYFUNCTION("""COMPUTED_VALUE"""),"Ergovore")</f>
        <v>Ergovore</v>
      </c>
    </row>
    <row r="352">
      <c r="A352" s="251" t="str">
        <f>IFERROR(__xludf.DUMMYFUNCTION("""COMPUTED_VALUE"""),"Magneton")</f>
        <v>Magneton</v>
      </c>
      <c r="B352" s="251" t="str">
        <f>IFERROR(__xludf.DUMMYFUNCTION("""COMPUTED_VALUE"""),"Electric")</f>
        <v>Electric</v>
      </c>
      <c r="C352" s="251" t="str">
        <f>IFERROR(__xludf.DUMMYFUNCTION("""COMPUTED_VALUE"""),"Steel")</f>
        <v>Steel</v>
      </c>
      <c r="D352" s="251">
        <f>IFERROR(__xludf.DUMMYFUNCTION("""COMPUTED_VALUE"""),5.0)</f>
        <v>5</v>
      </c>
      <c r="E352" s="251">
        <f>IFERROR(__xludf.DUMMYFUNCTION("""COMPUTED_VALUE"""),6.0)</f>
        <v>6</v>
      </c>
      <c r="F352" s="251">
        <f>IFERROR(__xludf.DUMMYFUNCTION("""COMPUTED_VALUE"""),10.0)</f>
        <v>10</v>
      </c>
      <c r="G352" s="251">
        <f>IFERROR(__xludf.DUMMYFUNCTION("""COMPUTED_VALUE"""),12.0)</f>
        <v>12</v>
      </c>
      <c r="H352" s="251">
        <f>IFERROR(__xludf.DUMMYFUNCTION("""COMPUTED_VALUE"""),7.0)</f>
        <v>7</v>
      </c>
      <c r="I352" s="251">
        <f>IFERROR(__xludf.DUMMYFUNCTION("""COMPUTED_VALUE"""),5.0)</f>
        <v>5</v>
      </c>
      <c r="J352" s="251">
        <f>IFERROR(__xludf.DUMMYFUNCTION("""COMPUTED_VALUE"""),4.0)</f>
        <v>4</v>
      </c>
      <c r="K352" s="251" t="str">
        <f>IFERROR(__xludf.DUMMYFUNCTION("""COMPUTED_VALUE"""),"Medium")</f>
        <v>Medium</v>
      </c>
      <c r="L352" s="251">
        <f>IFERROR(__xludf.DUMMYFUNCTION("""COMPUTED_VALUE"""),4.0)</f>
        <v>4</v>
      </c>
      <c r="M352" s="251" t="str">
        <f>IFERROR(__xludf.DUMMYFUNCTION("""COMPUTED_VALUE"""),"Urban")</f>
        <v>Urban</v>
      </c>
      <c r="N352" s="251" t="str">
        <f>IFERROR(__xludf.DUMMYFUNCTION("""COMPUTED_VALUE"""),"Flier")</f>
        <v>Flier</v>
      </c>
      <c r="O352" s="251" t="str">
        <f>IFERROR(__xludf.DUMMYFUNCTION("""COMPUTED_VALUE"""),"--")</f>
        <v>--</v>
      </c>
      <c r="P352" s="251" t="str">
        <f>IFERROR(__xludf.DUMMYFUNCTION("""COMPUTED_VALUE"""),"--")</f>
        <v>--</v>
      </c>
      <c r="Q352" s="251" t="str">
        <f>IFERROR(__xludf.DUMMYFUNCTION("""COMPUTED_VALUE"""),"--")</f>
        <v>--</v>
      </c>
      <c r="R352" s="251" t="str">
        <f>IFERROR(__xludf.DUMMYFUNCTION("""COMPUTED_VALUE"""),"Underdog")</f>
        <v>Underdog</v>
      </c>
      <c r="S352" s="251" t="str">
        <f>IFERROR(__xludf.DUMMYFUNCTION("""COMPUTED_VALUE"""),"--")</f>
        <v>--</v>
      </c>
      <c r="T352" s="251" t="str">
        <f>IFERROR(__xludf.DUMMYFUNCTION("""COMPUTED_VALUE"""),"--")</f>
        <v>--</v>
      </c>
      <c r="U352" s="251" t="str">
        <f>IFERROR(__xludf.DUMMYFUNCTION("""COMPUTED_VALUE"""),"--")</f>
        <v>--</v>
      </c>
      <c r="V352" s="251" t="str">
        <f>IFERROR(__xludf.DUMMYFUNCTION("""COMPUTED_VALUE"""),"Breathless")</f>
        <v>Breathless</v>
      </c>
      <c r="W352" s="251" t="str">
        <f>IFERROR(__xludf.DUMMYFUNCTION("""COMPUTED_VALUE"""),"Dead Silent")</f>
        <v>Dead Silent</v>
      </c>
      <c r="X352" s="251" t="str">
        <f>IFERROR(__xludf.DUMMYFUNCTION("""COMPUTED_VALUE"""),"Magnetic")</f>
        <v>Magnetic</v>
      </c>
      <c r="Y352" s="251" t="str">
        <f>IFERROR(__xludf.DUMMYFUNCTION("""COMPUTED_VALUE"""),"--")</f>
        <v>--</v>
      </c>
      <c r="Z352" s="251" t="str">
        <f>IFERROR(__xludf.DUMMYFUNCTION("""COMPUTED_VALUE"""),"--")</f>
        <v>--</v>
      </c>
      <c r="AA352" s="251" t="str">
        <f>IFERROR(__xludf.DUMMYFUNCTION("""COMPUTED_VALUE"""),"--")</f>
        <v>--</v>
      </c>
      <c r="AB352" s="251" t="str">
        <f>IFERROR(__xludf.DUMMYFUNCTION("""COMPUTED_VALUE"""),"--")</f>
        <v>--</v>
      </c>
      <c r="AC352" s="251" t="str">
        <f>IFERROR(__xludf.DUMMYFUNCTION("""COMPUTED_VALUE"""),"--")</f>
        <v>--</v>
      </c>
      <c r="AD352" s="251">
        <f>IFERROR(__xludf.DUMMYFUNCTION("""COMPUTED_VALUE"""),2.0)</f>
        <v>2</v>
      </c>
      <c r="AE352" s="251" t="str">
        <f>IFERROR(__xludf.DUMMYFUNCTION("""COMPUTED_VALUE"""),"Ergovore")</f>
        <v>Ergovore</v>
      </c>
    </row>
    <row r="353">
      <c r="A353" s="251" t="str">
        <f>IFERROR(__xludf.DUMMYFUNCTION("""COMPUTED_VALUE"""),"Magnezone")</f>
        <v>Magnezone</v>
      </c>
      <c r="B353" s="251" t="str">
        <f>IFERROR(__xludf.DUMMYFUNCTION("""COMPUTED_VALUE"""),"Electric")</f>
        <v>Electric</v>
      </c>
      <c r="C353" s="251" t="str">
        <f>IFERROR(__xludf.DUMMYFUNCTION("""COMPUTED_VALUE"""),"Steel")</f>
        <v>Steel</v>
      </c>
      <c r="D353" s="251">
        <f>IFERROR(__xludf.DUMMYFUNCTION("""COMPUTED_VALUE"""),7.0)</f>
        <v>7</v>
      </c>
      <c r="E353" s="251">
        <f>IFERROR(__xludf.DUMMYFUNCTION("""COMPUTED_VALUE"""),7.0)</f>
        <v>7</v>
      </c>
      <c r="F353" s="251">
        <f>IFERROR(__xludf.DUMMYFUNCTION("""COMPUTED_VALUE"""),12.0)</f>
        <v>12</v>
      </c>
      <c r="G353" s="251">
        <f>IFERROR(__xludf.DUMMYFUNCTION("""COMPUTED_VALUE"""),13.0)</f>
        <v>13</v>
      </c>
      <c r="H353" s="251">
        <f>IFERROR(__xludf.DUMMYFUNCTION("""COMPUTED_VALUE"""),9.0)</f>
        <v>9</v>
      </c>
      <c r="I353" s="251">
        <f>IFERROR(__xludf.DUMMYFUNCTION("""COMPUTED_VALUE"""),6.0)</f>
        <v>6</v>
      </c>
      <c r="J353" s="251">
        <f>IFERROR(__xludf.DUMMYFUNCTION("""COMPUTED_VALUE"""),6.0)</f>
        <v>6</v>
      </c>
      <c r="K353" s="251" t="str">
        <f>IFERROR(__xludf.DUMMYFUNCTION("""COMPUTED_VALUE"""),"Medium")</f>
        <v>Medium</v>
      </c>
      <c r="L353" s="251">
        <f>IFERROR(__xludf.DUMMYFUNCTION("""COMPUTED_VALUE"""),5.0)</f>
        <v>5</v>
      </c>
      <c r="M353" s="251" t="str">
        <f>IFERROR(__xludf.DUMMYFUNCTION("""COMPUTED_VALUE"""),"Urban")</f>
        <v>Urban</v>
      </c>
      <c r="N353" s="251" t="str">
        <f>IFERROR(__xludf.DUMMYFUNCTION("""COMPUTED_VALUE"""),"Flier")</f>
        <v>Flier</v>
      </c>
      <c r="O353" s="251" t="str">
        <f>IFERROR(__xludf.DUMMYFUNCTION("""COMPUTED_VALUE"""),"--")</f>
        <v>--</v>
      </c>
      <c r="P353" s="251" t="str">
        <f>IFERROR(__xludf.DUMMYFUNCTION("""COMPUTED_VALUE"""),"--")</f>
        <v>--</v>
      </c>
      <c r="Q353" s="251" t="str">
        <f>IFERROR(__xludf.DUMMYFUNCTION("""COMPUTED_VALUE"""),"--")</f>
        <v>--</v>
      </c>
      <c r="R353" s="251" t="str">
        <f>IFERROR(__xludf.DUMMYFUNCTION("""COMPUTED_VALUE"""),"Mountable")</f>
        <v>Mountable</v>
      </c>
      <c r="S353" s="251" t="str">
        <f>IFERROR(__xludf.DUMMYFUNCTION("""COMPUTED_VALUE"""),"--")</f>
        <v>--</v>
      </c>
      <c r="T353" s="251" t="str">
        <f>IFERROR(__xludf.DUMMYFUNCTION("""COMPUTED_VALUE"""),"--")</f>
        <v>--</v>
      </c>
      <c r="U353" s="251" t="str">
        <f>IFERROR(__xludf.DUMMYFUNCTION("""COMPUTED_VALUE"""),"--")</f>
        <v>--</v>
      </c>
      <c r="V353" s="251" t="str">
        <f>IFERROR(__xludf.DUMMYFUNCTION("""COMPUTED_VALUE"""),"Breathless")</f>
        <v>Breathless</v>
      </c>
      <c r="W353" s="251" t="str">
        <f>IFERROR(__xludf.DUMMYFUNCTION("""COMPUTED_VALUE"""),"Dead Silent")</f>
        <v>Dead Silent</v>
      </c>
      <c r="X353" s="251" t="str">
        <f>IFERROR(__xludf.DUMMYFUNCTION("""COMPUTED_VALUE"""),"Magnetic")</f>
        <v>Magnetic</v>
      </c>
      <c r="Y353" s="251" t="str">
        <f>IFERROR(__xludf.DUMMYFUNCTION("""COMPUTED_VALUE"""),"--")</f>
        <v>--</v>
      </c>
      <c r="Z353" s="251" t="str">
        <f>IFERROR(__xludf.DUMMYFUNCTION("""COMPUTED_VALUE"""),"--")</f>
        <v>--</v>
      </c>
      <c r="AA353" s="251" t="str">
        <f>IFERROR(__xludf.DUMMYFUNCTION("""COMPUTED_VALUE"""),"--")</f>
        <v>--</v>
      </c>
      <c r="AB353" s="251" t="str">
        <f>IFERROR(__xludf.DUMMYFUNCTION("""COMPUTED_VALUE"""),"--")</f>
        <v>--</v>
      </c>
      <c r="AC353" s="251" t="str">
        <f>IFERROR(__xludf.DUMMYFUNCTION("""COMPUTED_VALUE"""),"--")</f>
        <v>--</v>
      </c>
      <c r="AD353" s="251">
        <f>IFERROR(__xludf.DUMMYFUNCTION("""COMPUTED_VALUE"""),3.0)</f>
        <v>3</v>
      </c>
      <c r="AE353" s="251" t="str">
        <f>IFERROR(__xludf.DUMMYFUNCTION("""COMPUTED_VALUE"""),"Ergovore")</f>
        <v>Ergovore</v>
      </c>
    </row>
    <row r="354">
      <c r="A354" s="251" t="str">
        <f>IFERROR(__xludf.DUMMYFUNCTION("""COMPUTED_VALUE"""),"Elekid")</f>
        <v>Elekid</v>
      </c>
      <c r="B354" s="251" t="str">
        <f>IFERROR(__xludf.DUMMYFUNCTION("""COMPUTED_VALUE"""),"Electric")</f>
        <v>Electric</v>
      </c>
      <c r="C354" s="251" t="str">
        <f>IFERROR(__xludf.DUMMYFUNCTION("""COMPUTED_VALUE"""),"None")</f>
        <v>None</v>
      </c>
      <c r="D354" s="251">
        <f>IFERROR(__xludf.DUMMYFUNCTION("""COMPUTED_VALUE"""),5.0)</f>
        <v>5</v>
      </c>
      <c r="E354" s="251">
        <f>IFERROR(__xludf.DUMMYFUNCTION("""COMPUTED_VALUE"""),8.0)</f>
        <v>8</v>
      </c>
      <c r="F354" s="251">
        <f>IFERROR(__xludf.DUMMYFUNCTION("""COMPUTED_VALUE"""),4.0)</f>
        <v>4</v>
      </c>
      <c r="G354" s="251">
        <f>IFERROR(__xludf.DUMMYFUNCTION("""COMPUTED_VALUE"""),7.0)</f>
        <v>7</v>
      </c>
      <c r="H354" s="251">
        <f>IFERROR(__xludf.DUMMYFUNCTION("""COMPUTED_VALUE"""),6.0)</f>
        <v>6</v>
      </c>
      <c r="I354" s="251">
        <f>IFERROR(__xludf.DUMMYFUNCTION("""COMPUTED_VALUE"""),8.0)</f>
        <v>8</v>
      </c>
      <c r="J354" s="251">
        <f>IFERROR(__xludf.DUMMYFUNCTION("""COMPUTED_VALUE"""),3.0)</f>
        <v>3</v>
      </c>
      <c r="K354" s="251" t="str">
        <f>IFERROR(__xludf.DUMMYFUNCTION("""COMPUTED_VALUE"""),"Small")</f>
        <v>Small</v>
      </c>
      <c r="L354" s="251">
        <f>IFERROR(__xludf.DUMMYFUNCTION("""COMPUTED_VALUE"""),2.0)</f>
        <v>2</v>
      </c>
      <c r="M354" s="251" t="str">
        <f>IFERROR(__xludf.DUMMYFUNCTION("""COMPUTED_VALUE"""),"Urban")</f>
        <v>Urban</v>
      </c>
      <c r="N354" s="251" t="str">
        <f>IFERROR(__xludf.DUMMYFUNCTION("""COMPUTED_VALUE"""),"--")</f>
        <v>--</v>
      </c>
      <c r="O354" s="251" t="str">
        <f>IFERROR(__xludf.DUMMYFUNCTION("""COMPUTED_VALUE"""),"--")</f>
        <v>--</v>
      </c>
      <c r="P354" s="251" t="str">
        <f>IFERROR(__xludf.DUMMYFUNCTION("""COMPUTED_VALUE"""),"--")</f>
        <v>--</v>
      </c>
      <c r="Q354" s="251" t="str">
        <f>IFERROR(__xludf.DUMMYFUNCTION("""COMPUTED_VALUE"""),"--")</f>
        <v>--</v>
      </c>
      <c r="R354" s="251" t="str">
        <f>IFERROR(__xludf.DUMMYFUNCTION("""COMPUTED_VALUE"""),"Underdog")</f>
        <v>Underdog</v>
      </c>
      <c r="S354" s="251" t="str">
        <f>IFERROR(__xludf.DUMMYFUNCTION("""COMPUTED_VALUE"""),"--")</f>
        <v>--</v>
      </c>
      <c r="T354" s="251" t="str">
        <f>IFERROR(__xludf.DUMMYFUNCTION("""COMPUTED_VALUE"""),"--")</f>
        <v>--</v>
      </c>
      <c r="U354" s="251" t="str">
        <f>IFERROR(__xludf.DUMMYFUNCTION("""COMPUTED_VALUE"""),"--")</f>
        <v>--</v>
      </c>
      <c r="V354" s="251" t="str">
        <f>IFERROR(__xludf.DUMMYFUNCTION("""COMPUTED_VALUE"""),"--")</f>
        <v>--</v>
      </c>
      <c r="W354" s="251" t="str">
        <f>IFERROR(__xludf.DUMMYFUNCTION("""COMPUTED_VALUE"""),"--")</f>
        <v>--</v>
      </c>
      <c r="X354" s="251" t="str">
        <f>IFERROR(__xludf.DUMMYFUNCTION("""COMPUTED_VALUE"""),"--")</f>
        <v>--</v>
      </c>
      <c r="Y354" s="251" t="str">
        <f>IFERROR(__xludf.DUMMYFUNCTION("""COMPUTED_VALUE"""),"--")</f>
        <v>--</v>
      </c>
      <c r="Z354" s="251" t="str">
        <f>IFERROR(__xludf.DUMMYFUNCTION("""COMPUTED_VALUE"""),"--")</f>
        <v>--</v>
      </c>
      <c r="AA354" s="251" t="str">
        <f>IFERROR(__xludf.DUMMYFUNCTION("""COMPUTED_VALUE"""),"--")</f>
        <v>--</v>
      </c>
      <c r="AB354" s="251" t="str">
        <f>IFERROR(__xludf.DUMMYFUNCTION("""COMPUTED_VALUE"""),"--")</f>
        <v>--</v>
      </c>
      <c r="AC354" s="251" t="str">
        <f>IFERROR(__xludf.DUMMYFUNCTION("""COMPUTED_VALUE"""),"--")</f>
        <v>--</v>
      </c>
      <c r="AD354" s="251">
        <f>IFERROR(__xludf.DUMMYFUNCTION("""COMPUTED_VALUE"""),1.0)</f>
        <v>1</v>
      </c>
      <c r="AE354" s="251" t="str">
        <f>IFERROR(__xludf.DUMMYFUNCTION("""COMPUTED_VALUE"""),"Omnivore")</f>
        <v>Omnivore</v>
      </c>
    </row>
    <row r="355">
      <c r="A355" s="251" t="str">
        <f>IFERROR(__xludf.DUMMYFUNCTION("""COMPUTED_VALUE"""),"Electabuzz")</f>
        <v>Electabuzz</v>
      </c>
      <c r="B355" s="251" t="str">
        <f>IFERROR(__xludf.DUMMYFUNCTION("""COMPUTED_VALUE"""),"Electric")</f>
        <v>Electric</v>
      </c>
      <c r="C355" s="251" t="str">
        <f>IFERROR(__xludf.DUMMYFUNCTION("""COMPUTED_VALUE"""),"None")</f>
        <v>None</v>
      </c>
      <c r="D355" s="251">
        <f>IFERROR(__xludf.DUMMYFUNCTION("""COMPUTED_VALUE"""),7.0)</f>
        <v>7</v>
      </c>
      <c r="E355" s="251">
        <f>IFERROR(__xludf.DUMMYFUNCTION("""COMPUTED_VALUE"""),8.0)</f>
        <v>8</v>
      </c>
      <c r="F355" s="251">
        <f>IFERROR(__xludf.DUMMYFUNCTION("""COMPUTED_VALUE"""),6.0)</f>
        <v>6</v>
      </c>
      <c r="G355" s="251">
        <f>IFERROR(__xludf.DUMMYFUNCTION("""COMPUTED_VALUE"""),10.0)</f>
        <v>10</v>
      </c>
      <c r="H355" s="251">
        <f>IFERROR(__xludf.DUMMYFUNCTION("""COMPUTED_VALUE"""),9.0)</f>
        <v>9</v>
      </c>
      <c r="I355" s="251">
        <f>IFERROR(__xludf.DUMMYFUNCTION("""COMPUTED_VALUE"""),11.0)</f>
        <v>11</v>
      </c>
      <c r="J355" s="251">
        <f>IFERROR(__xludf.DUMMYFUNCTION("""COMPUTED_VALUE"""),5.0)</f>
        <v>5</v>
      </c>
      <c r="K355" s="251" t="str">
        <f>IFERROR(__xludf.DUMMYFUNCTION("""COMPUTED_VALUE"""),"Medium")</f>
        <v>Medium</v>
      </c>
      <c r="L355" s="251">
        <f>IFERROR(__xludf.DUMMYFUNCTION("""COMPUTED_VALUE"""),3.0)</f>
        <v>3</v>
      </c>
      <c r="M355" s="251" t="str">
        <f>IFERROR(__xludf.DUMMYFUNCTION("""COMPUTED_VALUE"""),"Urban")</f>
        <v>Urban</v>
      </c>
      <c r="N355" s="251" t="str">
        <f>IFERROR(__xludf.DUMMYFUNCTION("""COMPUTED_VALUE"""),"--")</f>
        <v>--</v>
      </c>
      <c r="O355" s="251" t="str">
        <f>IFERROR(__xludf.DUMMYFUNCTION("""COMPUTED_VALUE"""),"--")</f>
        <v>--</v>
      </c>
      <c r="P355" s="251" t="str">
        <f>IFERROR(__xludf.DUMMYFUNCTION("""COMPUTED_VALUE"""),"--")</f>
        <v>--</v>
      </c>
      <c r="Q355" s="251" t="str">
        <f>IFERROR(__xludf.DUMMYFUNCTION("""COMPUTED_VALUE"""),"--")</f>
        <v>--</v>
      </c>
      <c r="R355" s="251" t="str">
        <f>IFERROR(__xludf.DUMMYFUNCTION("""COMPUTED_VALUE"""),"--")</f>
        <v>--</v>
      </c>
      <c r="S355" s="251" t="str">
        <f>IFERROR(__xludf.DUMMYFUNCTION("""COMPUTED_VALUE"""),"--")</f>
        <v>--</v>
      </c>
      <c r="T355" s="251" t="str">
        <f>IFERROR(__xludf.DUMMYFUNCTION("""COMPUTED_VALUE"""),"--")</f>
        <v>--</v>
      </c>
      <c r="U355" s="251" t="str">
        <f>IFERROR(__xludf.DUMMYFUNCTION("""COMPUTED_VALUE"""),"--")</f>
        <v>--</v>
      </c>
      <c r="V355" s="251" t="str">
        <f>IFERROR(__xludf.DUMMYFUNCTION("""COMPUTED_VALUE"""),"--")</f>
        <v>--</v>
      </c>
      <c r="W355" s="251" t="str">
        <f>IFERROR(__xludf.DUMMYFUNCTION("""COMPUTED_VALUE"""),"--")</f>
        <v>--</v>
      </c>
      <c r="X355" s="251" t="str">
        <f>IFERROR(__xludf.DUMMYFUNCTION("""COMPUTED_VALUE"""),"--")</f>
        <v>--</v>
      </c>
      <c r="Y355" s="251" t="str">
        <f>IFERROR(__xludf.DUMMYFUNCTION("""COMPUTED_VALUE"""),"--")</f>
        <v>--</v>
      </c>
      <c r="Z355" s="251" t="str">
        <f>IFERROR(__xludf.DUMMYFUNCTION("""COMPUTED_VALUE"""),"--")</f>
        <v>--</v>
      </c>
      <c r="AA355" s="251" t="str">
        <f>IFERROR(__xludf.DUMMYFUNCTION("""COMPUTED_VALUE"""),"--")</f>
        <v>--</v>
      </c>
      <c r="AB355" s="251" t="str">
        <f>IFERROR(__xludf.DUMMYFUNCTION("""COMPUTED_VALUE"""),"--")</f>
        <v>--</v>
      </c>
      <c r="AC355" s="251" t="str">
        <f>IFERROR(__xludf.DUMMYFUNCTION("""COMPUTED_VALUE"""),"--")</f>
        <v>--</v>
      </c>
      <c r="AD355" s="251">
        <f>IFERROR(__xludf.DUMMYFUNCTION("""COMPUTED_VALUE"""),2.0)</f>
        <v>2</v>
      </c>
      <c r="AE355" s="251" t="str">
        <f>IFERROR(__xludf.DUMMYFUNCTION("""COMPUTED_VALUE"""),"Omnivore")</f>
        <v>Omnivore</v>
      </c>
    </row>
    <row r="356">
      <c r="A356" s="251" t="str">
        <f>IFERROR(__xludf.DUMMYFUNCTION("""COMPUTED_VALUE"""),"Electivire")</f>
        <v>Electivire</v>
      </c>
      <c r="B356" s="251" t="str">
        <f>IFERROR(__xludf.DUMMYFUNCTION("""COMPUTED_VALUE"""),"Electric")</f>
        <v>Electric</v>
      </c>
      <c r="C356" s="251" t="str">
        <f>IFERROR(__xludf.DUMMYFUNCTION("""COMPUTED_VALUE"""),"None")</f>
        <v>None</v>
      </c>
      <c r="D356" s="251">
        <f>IFERROR(__xludf.DUMMYFUNCTION("""COMPUTED_VALUE"""),8.0)</f>
        <v>8</v>
      </c>
      <c r="E356" s="251">
        <f>IFERROR(__xludf.DUMMYFUNCTION("""COMPUTED_VALUE"""),12.0)</f>
        <v>12</v>
      </c>
      <c r="F356" s="251">
        <f>IFERROR(__xludf.DUMMYFUNCTION("""COMPUTED_VALUE"""),7.0)</f>
        <v>7</v>
      </c>
      <c r="G356" s="251">
        <f>IFERROR(__xludf.DUMMYFUNCTION("""COMPUTED_VALUE"""),10.0)</f>
        <v>10</v>
      </c>
      <c r="H356" s="251">
        <f>IFERROR(__xludf.DUMMYFUNCTION("""COMPUTED_VALUE"""),9.0)</f>
        <v>9</v>
      </c>
      <c r="I356" s="251">
        <f>IFERROR(__xludf.DUMMYFUNCTION("""COMPUTED_VALUE"""),10.0)</f>
        <v>10</v>
      </c>
      <c r="J356" s="251">
        <f>IFERROR(__xludf.DUMMYFUNCTION("""COMPUTED_VALUE"""),7.0)</f>
        <v>7</v>
      </c>
      <c r="K356" s="251" t="str">
        <f>IFERROR(__xludf.DUMMYFUNCTION("""COMPUTED_VALUE"""),"Medium")</f>
        <v>Medium</v>
      </c>
      <c r="L356" s="251">
        <f>IFERROR(__xludf.DUMMYFUNCTION("""COMPUTED_VALUE"""),5.0)</f>
        <v>5</v>
      </c>
      <c r="M356" s="251" t="str">
        <f>IFERROR(__xludf.DUMMYFUNCTION("""COMPUTED_VALUE"""),"Urban")</f>
        <v>Urban</v>
      </c>
      <c r="N356" s="251" t="str">
        <f>IFERROR(__xludf.DUMMYFUNCTION("""COMPUTED_VALUE"""),"--")</f>
        <v>--</v>
      </c>
      <c r="O356" s="251" t="str">
        <f>IFERROR(__xludf.DUMMYFUNCTION("""COMPUTED_VALUE"""),"--")</f>
        <v>--</v>
      </c>
      <c r="P356" s="251" t="str">
        <f>IFERROR(__xludf.DUMMYFUNCTION("""COMPUTED_VALUE"""),"--")</f>
        <v>--</v>
      </c>
      <c r="Q356" s="251" t="str">
        <f>IFERROR(__xludf.DUMMYFUNCTION("""COMPUTED_VALUE"""),"--")</f>
        <v>--</v>
      </c>
      <c r="R356" s="251" t="str">
        <f>IFERROR(__xludf.DUMMYFUNCTION("""COMPUTED_VALUE"""),"--")</f>
        <v>--</v>
      </c>
      <c r="S356" s="251" t="str">
        <f>IFERROR(__xludf.DUMMYFUNCTION("""COMPUTED_VALUE"""),"--")</f>
        <v>--</v>
      </c>
      <c r="T356" s="251" t="str">
        <f>IFERROR(__xludf.DUMMYFUNCTION("""COMPUTED_VALUE"""),"--")</f>
        <v>--</v>
      </c>
      <c r="U356" s="251" t="str">
        <f>IFERROR(__xludf.DUMMYFUNCTION("""COMPUTED_VALUE"""),"--")</f>
        <v>--</v>
      </c>
      <c r="V356" s="251" t="str">
        <f>IFERROR(__xludf.DUMMYFUNCTION("""COMPUTED_VALUE"""),"--")</f>
        <v>--</v>
      </c>
      <c r="W356" s="251" t="str">
        <f>IFERROR(__xludf.DUMMYFUNCTION("""COMPUTED_VALUE"""),"--")</f>
        <v>--</v>
      </c>
      <c r="X356" s="251" t="str">
        <f>IFERROR(__xludf.DUMMYFUNCTION("""COMPUTED_VALUE"""),"--")</f>
        <v>--</v>
      </c>
      <c r="Y356" s="251" t="str">
        <f>IFERROR(__xludf.DUMMYFUNCTION("""COMPUTED_VALUE"""),"--")</f>
        <v>--</v>
      </c>
      <c r="Z356" s="251" t="str">
        <f>IFERROR(__xludf.DUMMYFUNCTION("""COMPUTED_VALUE"""),"--")</f>
        <v>--</v>
      </c>
      <c r="AA356" s="251" t="str">
        <f>IFERROR(__xludf.DUMMYFUNCTION("""COMPUTED_VALUE"""),"--")</f>
        <v>--</v>
      </c>
      <c r="AB356" s="251" t="str">
        <f>IFERROR(__xludf.DUMMYFUNCTION("""COMPUTED_VALUE"""),"--")</f>
        <v>--</v>
      </c>
      <c r="AC356" s="251" t="str">
        <f>IFERROR(__xludf.DUMMYFUNCTION("""COMPUTED_VALUE"""),"--")</f>
        <v>--</v>
      </c>
      <c r="AD356" s="251">
        <f>IFERROR(__xludf.DUMMYFUNCTION("""COMPUTED_VALUE"""),3.0)</f>
        <v>3</v>
      </c>
      <c r="AE356" s="251" t="str">
        <f>IFERROR(__xludf.DUMMYFUNCTION("""COMPUTED_VALUE"""),"Omnivore")</f>
        <v>Omnivore</v>
      </c>
    </row>
    <row r="357">
      <c r="A357" s="251" t="str">
        <f>IFERROR(__xludf.DUMMYFUNCTION("""COMPUTED_VALUE"""),"Mareep")</f>
        <v>Mareep</v>
      </c>
      <c r="B357" s="251" t="str">
        <f>IFERROR(__xludf.DUMMYFUNCTION("""COMPUTED_VALUE"""),"Electric")</f>
        <v>Electric</v>
      </c>
      <c r="C357" s="251" t="str">
        <f>IFERROR(__xludf.DUMMYFUNCTION("""COMPUTED_VALUE"""),"None")</f>
        <v>None</v>
      </c>
      <c r="D357" s="251">
        <f>IFERROR(__xludf.DUMMYFUNCTION("""COMPUTED_VALUE"""),6.0)</f>
        <v>6</v>
      </c>
      <c r="E357" s="251">
        <f>IFERROR(__xludf.DUMMYFUNCTION("""COMPUTED_VALUE"""),4.0)</f>
        <v>4</v>
      </c>
      <c r="F357" s="251">
        <f>IFERROR(__xludf.DUMMYFUNCTION("""COMPUTED_VALUE"""),4.0)</f>
        <v>4</v>
      </c>
      <c r="G357" s="251">
        <f>IFERROR(__xludf.DUMMYFUNCTION("""COMPUTED_VALUE"""),7.0)</f>
        <v>7</v>
      </c>
      <c r="H357" s="251">
        <f>IFERROR(__xludf.DUMMYFUNCTION("""COMPUTED_VALUE"""),5.0)</f>
        <v>5</v>
      </c>
      <c r="I357" s="251">
        <f>IFERROR(__xludf.DUMMYFUNCTION("""COMPUTED_VALUE"""),4.0)</f>
        <v>4</v>
      </c>
      <c r="J357" s="251">
        <f>IFERROR(__xludf.DUMMYFUNCTION("""COMPUTED_VALUE"""),1.0)</f>
        <v>1</v>
      </c>
      <c r="K357" s="251" t="str">
        <f>IFERROR(__xludf.DUMMYFUNCTION("""COMPUTED_VALUE"""),"Small")</f>
        <v>Small</v>
      </c>
      <c r="L357" s="251">
        <f>IFERROR(__xludf.DUMMYFUNCTION("""COMPUTED_VALUE"""),1.0)</f>
        <v>1</v>
      </c>
      <c r="M357" s="251" t="str">
        <f>IFERROR(__xludf.DUMMYFUNCTION("""COMPUTED_VALUE"""),"Grasslands")</f>
        <v>Grasslands</v>
      </c>
      <c r="N357" s="251" t="str">
        <f>IFERROR(__xludf.DUMMYFUNCTION("""COMPUTED_VALUE"""),"--")</f>
        <v>--</v>
      </c>
      <c r="O357" s="251" t="str">
        <f>IFERROR(__xludf.DUMMYFUNCTION("""COMPUTED_VALUE"""),"--")</f>
        <v>--</v>
      </c>
      <c r="P357" s="251" t="str">
        <f>IFERROR(__xludf.DUMMYFUNCTION("""COMPUTED_VALUE"""),"--")</f>
        <v>--</v>
      </c>
      <c r="Q357" s="251" t="str">
        <f>IFERROR(__xludf.DUMMYFUNCTION("""COMPUTED_VALUE"""),"--")</f>
        <v>--</v>
      </c>
      <c r="R357" s="251" t="str">
        <f>IFERROR(__xludf.DUMMYFUNCTION("""COMPUTED_VALUE"""),"Underdog")</f>
        <v>Underdog</v>
      </c>
      <c r="S357" s="251" t="str">
        <f>IFERROR(__xludf.DUMMYFUNCTION("""COMPUTED_VALUE"""),"--")</f>
        <v>--</v>
      </c>
      <c r="T357" s="251" t="str">
        <f>IFERROR(__xludf.DUMMYFUNCTION("""COMPUTED_VALUE"""),"--")</f>
        <v>--</v>
      </c>
      <c r="U357" s="251" t="str">
        <f>IFERROR(__xludf.DUMMYFUNCTION("""COMPUTED_VALUE"""),"--")</f>
        <v>--</v>
      </c>
      <c r="V357" s="251" t="str">
        <f>IFERROR(__xludf.DUMMYFUNCTION("""COMPUTED_VALUE"""),"Glow")</f>
        <v>Glow</v>
      </c>
      <c r="W357" s="251" t="str">
        <f>IFERROR(__xludf.DUMMYFUNCTION("""COMPUTED_VALUE"""),"--")</f>
        <v>--</v>
      </c>
      <c r="X357" s="251" t="str">
        <f>IFERROR(__xludf.DUMMYFUNCTION("""COMPUTED_VALUE"""),"--")</f>
        <v>--</v>
      </c>
      <c r="Y357" s="251" t="str">
        <f>IFERROR(__xludf.DUMMYFUNCTION("""COMPUTED_VALUE"""),"--")</f>
        <v>--</v>
      </c>
      <c r="Z357" s="251" t="str">
        <f>IFERROR(__xludf.DUMMYFUNCTION("""COMPUTED_VALUE"""),"--")</f>
        <v>--</v>
      </c>
      <c r="AA357" s="251" t="str">
        <f>IFERROR(__xludf.DUMMYFUNCTION("""COMPUTED_VALUE"""),"--")</f>
        <v>--</v>
      </c>
      <c r="AB357" s="251" t="str">
        <f>IFERROR(__xludf.DUMMYFUNCTION("""COMPUTED_VALUE"""),"--")</f>
        <v>--</v>
      </c>
      <c r="AC357" s="251" t="str">
        <f>IFERROR(__xludf.DUMMYFUNCTION("""COMPUTED_VALUE"""),"--")</f>
        <v>--</v>
      </c>
      <c r="AD357" s="251">
        <f>IFERROR(__xludf.DUMMYFUNCTION("""COMPUTED_VALUE"""),1.0)</f>
        <v>1</v>
      </c>
      <c r="AE357" s="251" t="str">
        <f>IFERROR(__xludf.DUMMYFUNCTION("""COMPUTED_VALUE"""),"Herbivore")</f>
        <v>Herbivore</v>
      </c>
    </row>
    <row r="358">
      <c r="A358" s="251" t="str">
        <f>IFERROR(__xludf.DUMMYFUNCTION("""COMPUTED_VALUE"""),"Flaaffy")</f>
        <v>Flaaffy</v>
      </c>
      <c r="B358" s="251" t="str">
        <f>IFERROR(__xludf.DUMMYFUNCTION("""COMPUTED_VALUE"""),"Electric")</f>
        <v>Electric</v>
      </c>
      <c r="C358" s="251" t="str">
        <f>IFERROR(__xludf.DUMMYFUNCTION("""COMPUTED_VALUE"""),"None")</f>
        <v>None</v>
      </c>
      <c r="D358" s="251">
        <f>IFERROR(__xludf.DUMMYFUNCTION("""COMPUTED_VALUE"""),7.0)</f>
        <v>7</v>
      </c>
      <c r="E358" s="251">
        <f>IFERROR(__xludf.DUMMYFUNCTION("""COMPUTED_VALUE"""),6.0)</f>
        <v>6</v>
      </c>
      <c r="F358" s="251">
        <f>IFERROR(__xludf.DUMMYFUNCTION("""COMPUTED_VALUE"""),6.0)</f>
        <v>6</v>
      </c>
      <c r="G358" s="251">
        <f>IFERROR(__xludf.DUMMYFUNCTION("""COMPUTED_VALUE"""),8.0)</f>
        <v>8</v>
      </c>
      <c r="H358" s="251">
        <f>IFERROR(__xludf.DUMMYFUNCTION("""COMPUTED_VALUE"""),6.0)</f>
        <v>6</v>
      </c>
      <c r="I358" s="251">
        <f>IFERROR(__xludf.DUMMYFUNCTION("""COMPUTED_VALUE"""),5.0)</f>
        <v>5</v>
      </c>
      <c r="J358" s="251">
        <f>IFERROR(__xludf.DUMMYFUNCTION("""COMPUTED_VALUE"""),3.0)</f>
        <v>3</v>
      </c>
      <c r="K358" s="251" t="str">
        <f>IFERROR(__xludf.DUMMYFUNCTION("""COMPUTED_VALUE"""),"Small")</f>
        <v>Small</v>
      </c>
      <c r="L358" s="251">
        <f>IFERROR(__xludf.DUMMYFUNCTION("""COMPUTED_VALUE"""),2.0)</f>
        <v>2</v>
      </c>
      <c r="M358" s="251" t="str">
        <f>IFERROR(__xludf.DUMMYFUNCTION("""COMPUTED_VALUE"""),"Grasslands")</f>
        <v>Grasslands</v>
      </c>
      <c r="N358" s="251" t="str">
        <f>IFERROR(__xludf.DUMMYFUNCTION("""COMPUTED_VALUE"""),"--")</f>
        <v>--</v>
      </c>
      <c r="O358" s="251" t="str">
        <f>IFERROR(__xludf.DUMMYFUNCTION("""COMPUTED_VALUE"""),"--")</f>
        <v>--</v>
      </c>
      <c r="P358" s="251" t="str">
        <f>IFERROR(__xludf.DUMMYFUNCTION("""COMPUTED_VALUE"""),"--")</f>
        <v>--</v>
      </c>
      <c r="Q358" s="251" t="str">
        <f>IFERROR(__xludf.DUMMYFUNCTION("""COMPUTED_VALUE"""),"--")</f>
        <v>--</v>
      </c>
      <c r="R358" s="251" t="str">
        <f>IFERROR(__xludf.DUMMYFUNCTION("""COMPUTED_VALUE"""),"Underdog")</f>
        <v>Underdog</v>
      </c>
      <c r="S358" s="251" t="str">
        <f>IFERROR(__xludf.DUMMYFUNCTION("""COMPUTED_VALUE"""),"--")</f>
        <v>--</v>
      </c>
      <c r="T358" s="251" t="str">
        <f>IFERROR(__xludf.DUMMYFUNCTION("""COMPUTED_VALUE"""),"--")</f>
        <v>--</v>
      </c>
      <c r="U358" s="251" t="str">
        <f>IFERROR(__xludf.DUMMYFUNCTION("""COMPUTED_VALUE"""),"--")</f>
        <v>--</v>
      </c>
      <c r="V358" s="251" t="str">
        <f>IFERROR(__xludf.DUMMYFUNCTION("""COMPUTED_VALUE"""),"Glow")</f>
        <v>Glow</v>
      </c>
      <c r="W358" s="251" t="str">
        <f>IFERROR(__xludf.DUMMYFUNCTION("""COMPUTED_VALUE"""),"--")</f>
        <v>--</v>
      </c>
      <c r="X358" s="251" t="str">
        <f>IFERROR(__xludf.DUMMYFUNCTION("""COMPUTED_VALUE"""),"--")</f>
        <v>--</v>
      </c>
      <c r="Y358" s="251" t="str">
        <f>IFERROR(__xludf.DUMMYFUNCTION("""COMPUTED_VALUE"""),"--")</f>
        <v>--</v>
      </c>
      <c r="Z358" s="251" t="str">
        <f>IFERROR(__xludf.DUMMYFUNCTION("""COMPUTED_VALUE"""),"--")</f>
        <v>--</v>
      </c>
      <c r="AA358" s="251" t="str">
        <f>IFERROR(__xludf.DUMMYFUNCTION("""COMPUTED_VALUE"""),"--")</f>
        <v>--</v>
      </c>
      <c r="AB358" s="251" t="str">
        <f>IFERROR(__xludf.DUMMYFUNCTION("""COMPUTED_VALUE"""),"--")</f>
        <v>--</v>
      </c>
      <c r="AC358" s="251" t="str">
        <f>IFERROR(__xludf.DUMMYFUNCTION("""COMPUTED_VALUE"""),"--")</f>
        <v>--</v>
      </c>
      <c r="AD358" s="251">
        <f>IFERROR(__xludf.DUMMYFUNCTION("""COMPUTED_VALUE"""),2.0)</f>
        <v>2</v>
      </c>
      <c r="AE358" s="251" t="str">
        <f>IFERROR(__xludf.DUMMYFUNCTION("""COMPUTED_VALUE"""),"Herbivore")</f>
        <v>Herbivore</v>
      </c>
    </row>
    <row r="359">
      <c r="A359" s="251" t="str">
        <f>IFERROR(__xludf.DUMMYFUNCTION("""COMPUTED_VALUE"""),"Ampharos")</f>
        <v>Ampharos</v>
      </c>
      <c r="B359" s="251" t="str">
        <f>IFERROR(__xludf.DUMMYFUNCTION("""COMPUTED_VALUE"""),"Electric")</f>
        <v>Electric</v>
      </c>
      <c r="C359" s="251" t="str">
        <f>IFERROR(__xludf.DUMMYFUNCTION("""COMPUTED_VALUE"""),"None")</f>
        <v>None</v>
      </c>
      <c r="D359" s="251">
        <f>IFERROR(__xludf.DUMMYFUNCTION("""COMPUTED_VALUE"""),9.0)</f>
        <v>9</v>
      </c>
      <c r="E359" s="251">
        <f>IFERROR(__xludf.DUMMYFUNCTION("""COMPUTED_VALUE"""),8.0)</f>
        <v>8</v>
      </c>
      <c r="F359" s="251">
        <f>IFERROR(__xludf.DUMMYFUNCTION("""COMPUTED_VALUE"""),9.0)</f>
        <v>9</v>
      </c>
      <c r="G359" s="251">
        <f>IFERROR(__xludf.DUMMYFUNCTION("""COMPUTED_VALUE"""),12.0)</f>
        <v>12</v>
      </c>
      <c r="H359" s="251">
        <f>IFERROR(__xludf.DUMMYFUNCTION("""COMPUTED_VALUE"""),9.0)</f>
        <v>9</v>
      </c>
      <c r="I359" s="251">
        <f>IFERROR(__xludf.DUMMYFUNCTION("""COMPUTED_VALUE"""),6.0)</f>
        <v>6</v>
      </c>
      <c r="J359" s="251">
        <f>IFERROR(__xludf.DUMMYFUNCTION("""COMPUTED_VALUE"""),5.0)</f>
        <v>5</v>
      </c>
      <c r="K359" s="251" t="str">
        <f>IFERROR(__xludf.DUMMYFUNCTION("""COMPUTED_VALUE"""),"Medium")</f>
        <v>Medium</v>
      </c>
      <c r="L359" s="251">
        <f>IFERROR(__xludf.DUMMYFUNCTION("""COMPUTED_VALUE"""),4.0)</f>
        <v>4</v>
      </c>
      <c r="M359" s="251" t="str">
        <f>IFERROR(__xludf.DUMMYFUNCTION("""COMPUTED_VALUE"""),"Grasslands")</f>
        <v>Grasslands</v>
      </c>
      <c r="N359" s="251" t="str">
        <f>IFERROR(__xludf.DUMMYFUNCTION("""COMPUTED_VALUE"""),"--")</f>
        <v>--</v>
      </c>
      <c r="O359" s="251" t="str">
        <f>IFERROR(__xludf.DUMMYFUNCTION("""COMPUTED_VALUE"""),"--")</f>
        <v>--</v>
      </c>
      <c r="P359" s="251" t="str">
        <f>IFERROR(__xludf.DUMMYFUNCTION("""COMPUTED_VALUE"""),"--")</f>
        <v>--</v>
      </c>
      <c r="Q359" s="251" t="str">
        <f>IFERROR(__xludf.DUMMYFUNCTION("""COMPUTED_VALUE"""),"--")</f>
        <v>--</v>
      </c>
      <c r="R359" s="251" t="str">
        <f>IFERROR(__xludf.DUMMYFUNCTION("""COMPUTED_VALUE"""),"--")</f>
        <v>--</v>
      </c>
      <c r="S359" s="251" t="str">
        <f>IFERROR(__xludf.DUMMYFUNCTION("""COMPUTED_VALUE"""),"--")</f>
        <v>--</v>
      </c>
      <c r="T359" s="251" t="str">
        <f>IFERROR(__xludf.DUMMYFUNCTION("""COMPUTED_VALUE"""),"--")</f>
        <v>--</v>
      </c>
      <c r="U359" s="251" t="str">
        <f>IFERROR(__xludf.DUMMYFUNCTION("""COMPUTED_VALUE"""),"--")</f>
        <v>--</v>
      </c>
      <c r="V359" s="251" t="str">
        <f>IFERROR(__xludf.DUMMYFUNCTION("""COMPUTED_VALUE"""),"Glow")</f>
        <v>Glow</v>
      </c>
      <c r="W359" s="251" t="str">
        <f>IFERROR(__xludf.DUMMYFUNCTION("""COMPUTED_VALUE"""),"--")</f>
        <v>--</v>
      </c>
      <c r="X359" s="251" t="str">
        <f>IFERROR(__xludf.DUMMYFUNCTION("""COMPUTED_VALUE"""),"--")</f>
        <v>--</v>
      </c>
      <c r="Y359" s="251" t="str">
        <f>IFERROR(__xludf.DUMMYFUNCTION("""COMPUTED_VALUE"""),"--")</f>
        <v>--</v>
      </c>
      <c r="Z359" s="251" t="str">
        <f>IFERROR(__xludf.DUMMYFUNCTION("""COMPUTED_VALUE"""),"--")</f>
        <v>--</v>
      </c>
      <c r="AA359" s="251" t="str">
        <f>IFERROR(__xludf.DUMMYFUNCTION("""COMPUTED_VALUE"""),"--")</f>
        <v>--</v>
      </c>
      <c r="AB359" s="251" t="str">
        <f>IFERROR(__xludf.DUMMYFUNCTION("""COMPUTED_VALUE"""),"--")</f>
        <v>--</v>
      </c>
      <c r="AC359" s="251" t="str">
        <f>IFERROR(__xludf.DUMMYFUNCTION("""COMPUTED_VALUE"""),"--")</f>
        <v>--</v>
      </c>
      <c r="AD359" s="251">
        <f>IFERROR(__xludf.DUMMYFUNCTION("""COMPUTED_VALUE"""),3.0)</f>
        <v>3</v>
      </c>
      <c r="AE359" s="251" t="str">
        <f>IFERROR(__xludf.DUMMYFUNCTION("""COMPUTED_VALUE"""),"Herbivore")</f>
        <v>Herbivore</v>
      </c>
    </row>
    <row r="360">
      <c r="A360" s="251" t="str">
        <f>IFERROR(__xludf.DUMMYFUNCTION("""COMPUTED_VALUE"""),"Shinx")</f>
        <v>Shinx</v>
      </c>
      <c r="B360" s="251" t="str">
        <f>IFERROR(__xludf.DUMMYFUNCTION("""COMPUTED_VALUE"""),"Electric")</f>
        <v>Electric</v>
      </c>
      <c r="C360" s="251" t="str">
        <f>IFERROR(__xludf.DUMMYFUNCTION("""COMPUTED_VALUE"""),"None")</f>
        <v>None</v>
      </c>
      <c r="D360" s="251">
        <f>IFERROR(__xludf.DUMMYFUNCTION("""COMPUTED_VALUE"""),6.0)</f>
        <v>6</v>
      </c>
      <c r="E360" s="251">
        <f>IFERROR(__xludf.DUMMYFUNCTION("""COMPUTED_VALUE"""),7.0)</f>
        <v>7</v>
      </c>
      <c r="F360" s="251">
        <f>IFERROR(__xludf.DUMMYFUNCTION("""COMPUTED_VALUE"""),4.0)</f>
        <v>4</v>
      </c>
      <c r="G360" s="251">
        <f>IFERROR(__xludf.DUMMYFUNCTION("""COMPUTED_VALUE"""),4.0)</f>
        <v>4</v>
      </c>
      <c r="H360" s="251">
        <f>IFERROR(__xludf.DUMMYFUNCTION("""COMPUTED_VALUE"""),4.0)</f>
        <v>4</v>
      </c>
      <c r="I360" s="251">
        <f>IFERROR(__xludf.DUMMYFUNCTION("""COMPUTED_VALUE"""),5.0)</f>
        <v>5</v>
      </c>
      <c r="J360" s="251">
        <f>IFERROR(__xludf.DUMMYFUNCTION("""COMPUTED_VALUE"""),2.0)</f>
        <v>2</v>
      </c>
      <c r="K360" s="251" t="str">
        <f>IFERROR(__xludf.DUMMYFUNCTION("""COMPUTED_VALUE"""),"Small")</f>
        <v>Small</v>
      </c>
      <c r="L360" s="251">
        <f>IFERROR(__xludf.DUMMYFUNCTION("""COMPUTED_VALUE"""),1.0)</f>
        <v>1</v>
      </c>
      <c r="M360" s="251" t="str">
        <f>IFERROR(__xludf.DUMMYFUNCTION("""COMPUTED_VALUE"""),"Grasslands")</f>
        <v>Grasslands</v>
      </c>
      <c r="N360" s="251" t="str">
        <f>IFERROR(__xludf.DUMMYFUNCTION("""COMPUTED_VALUE"""),"--")</f>
        <v>--</v>
      </c>
      <c r="O360" s="251" t="str">
        <f>IFERROR(__xludf.DUMMYFUNCTION("""COMPUTED_VALUE"""),"--")</f>
        <v>--</v>
      </c>
      <c r="P360" s="251" t="str">
        <f>IFERROR(__xludf.DUMMYFUNCTION("""COMPUTED_VALUE"""),"--")</f>
        <v>--</v>
      </c>
      <c r="Q360" s="251" t="str">
        <f>IFERROR(__xludf.DUMMYFUNCTION("""COMPUTED_VALUE"""),"--")</f>
        <v>--</v>
      </c>
      <c r="R360" s="251" t="str">
        <f>IFERROR(__xludf.DUMMYFUNCTION("""COMPUTED_VALUE"""),"Underdog")</f>
        <v>Underdog</v>
      </c>
      <c r="S360" s="251" t="str">
        <f>IFERROR(__xludf.DUMMYFUNCTION("""COMPUTED_VALUE"""),"--")</f>
        <v>--</v>
      </c>
      <c r="T360" s="251" t="str">
        <f>IFERROR(__xludf.DUMMYFUNCTION("""COMPUTED_VALUE"""),"--")</f>
        <v>--</v>
      </c>
      <c r="U360" s="251" t="str">
        <f>IFERROR(__xludf.DUMMYFUNCTION("""COMPUTED_VALUE"""),"--")</f>
        <v>--</v>
      </c>
      <c r="V360" s="251" t="str">
        <f>IFERROR(__xludf.DUMMYFUNCTION("""COMPUTED_VALUE"""),"Pack Mon")</f>
        <v>Pack Mon</v>
      </c>
      <c r="W360" s="251" t="str">
        <f>IFERROR(__xludf.DUMMYFUNCTION("""COMPUTED_VALUE"""),"Tracker")</f>
        <v>Tracker</v>
      </c>
      <c r="X360" s="251" t="str">
        <f>IFERROR(__xludf.DUMMYFUNCTION("""COMPUTED_VALUE"""),"--")</f>
        <v>--</v>
      </c>
      <c r="Y360" s="251" t="str">
        <f>IFERROR(__xludf.DUMMYFUNCTION("""COMPUTED_VALUE"""),"--")</f>
        <v>--</v>
      </c>
      <c r="Z360" s="251" t="str">
        <f>IFERROR(__xludf.DUMMYFUNCTION("""COMPUTED_VALUE"""),"--")</f>
        <v>--</v>
      </c>
      <c r="AA360" s="251" t="str">
        <f>IFERROR(__xludf.DUMMYFUNCTION("""COMPUTED_VALUE"""),"--")</f>
        <v>--</v>
      </c>
      <c r="AB360" s="251" t="str">
        <f>IFERROR(__xludf.DUMMYFUNCTION("""COMPUTED_VALUE"""),"--")</f>
        <v>--</v>
      </c>
      <c r="AC360" s="251" t="str">
        <f>IFERROR(__xludf.DUMMYFUNCTION("""COMPUTED_VALUE"""),"--")</f>
        <v>--</v>
      </c>
      <c r="AD360" s="251">
        <f>IFERROR(__xludf.DUMMYFUNCTION("""COMPUTED_VALUE"""),1.0)</f>
        <v>1</v>
      </c>
      <c r="AE360" s="251" t="str">
        <f>IFERROR(__xludf.DUMMYFUNCTION("""COMPUTED_VALUE"""),"Carnivore")</f>
        <v>Carnivore</v>
      </c>
    </row>
    <row r="361">
      <c r="A361" s="251" t="str">
        <f>IFERROR(__xludf.DUMMYFUNCTION("""COMPUTED_VALUE"""),"Luxio")</f>
        <v>Luxio</v>
      </c>
      <c r="B361" s="251" t="str">
        <f>IFERROR(__xludf.DUMMYFUNCTION("""COMPUTED_VALUE"""),"Electric")</f>
        <v>Electric</v>
      </c>
      <c r="C361" s="251" t="str">
        <f>IFERROR(__xludf.DUMMYFUNCTION("""COMPUTED_VALUE"""),"None")</f>
        <v>None</v>
      </c>
      <c r="D361" s="251">
        <f>IFERROR(__xludf.DUMMYFUNCTION("""COMPUTED_VALUE"""),6.0)</f>
        <v>6</v>
      </c>
      <c r="E361" s="251">
        <f>IFERROR(__xludf.DUMMYFUNCTION("""COMPUTED_VALUE"""),9.0)</f>
        <v>9</v>
      </c>
      <c r="F361" s="251">
        <f>IFERROR(__xludf.DUMMYFUNCTION("""COMPUTED_VALUE"""),5.0)</f>
        <v>5</v>
      </c>
      <c r="G361" s="251">
        <f>IFERROR(__xludf.DUMMYFUNCTION("""COMPUTED_VALUE"""),6.0)</f>
        <v>6</v>
      </c>
      <c r="H361" s="251">
        <f>IFERROR(__xludf.DUMMYFUNCTION("""COMPUTED_VALUE"""),5.0)</f>
        <v>5</v>
      </c>
      <c r="I361" s="251">
        <f>IFERROR(__xludf.DUMMYFUNCTION("""COMPUTED_VALUE"""),6.0)</f>
        <v>6</v>
      </c>
      <c r="J361" s="251">
        <f>IFERROR(__xludf.DUMMYFUNCTION("""COMPUTED_VALUE"""),4.0)</f>
        <v>4</v>
      </c>
      <c r="K361" s="251" t="str">
        <f>IFERROR(__xludf.DUMMYFUNCTION("""COMPUTED_VALUE"""),"Medium")</f>
        <v>Medium</v>
      </c>
      <c r="L361" s="251">
        <f>IFERROR(__xludf.DUMMYFUNCTION("""COMPUTED_VALUE"""),3.0)</f>
        <v>3</v>
      </c>
      <c r="M361" s="251" t="str">
        <f>IFERROR(__xludf.DUMMYFUNCTION("""COMPUTED_VALUE"""),"Grasslands")</f>
        <v>Grasslands</v>
      </c>
      <c r="N361" s="251" t="str">
        <f>IFERROR(__xludf.DUMMYFUNCTION("""COMPUTED_VALUE"""),"Jumper")</f>
        <v>Jumper</v>
      </c>
      <c r="O361" s="251" t="str">
        <f>IFERROR(__xludf.DUMMYFUNCTION("""COMPUTED_VALUE"""),"Quick")</f>
        <v>Quick</v>
      </c>
      <c r="P361" s="251" t="str">
        <f>IFERROR(__xludf.DUMMYFUNCTION("""COMPUTED_VALUE"""),"--")</f>
        <v>--</v>
      </c>
      <c r="Q361" s="251" t="str">
        <f>IFERROR(__xludf.DUMMYFUNCTION("""COMPUTED_VALUE"""),"--")</f>
        <v>--</v>
      </c>
      <c r="R361" s="251" t="str">
        <f>IFERROR(__xludf.DUMMYFUNCTION("""COMPUTED_VALUE"""),"Underdog")</f>
        <v>Underdog</v>
      </c>
      <c r="S361" s="251" t="str">
        <f>IFERROR(__xludf.DUMMYFUNCTION("""COMPUTED_VALUE"""),"--")</f>
        <v>--</v>
      </c>
      <c r="T361" s="251" t="str">
        <f>IFERROR(__xludf.DUMMYFUNCTION("""COMPUTED_VALUE"""),"--")</f>
        <v>--</v>
      </c>
      <c r="U361" s="251" t="str">
        <f>IFERROR(__xludf.DUMMYFUNCTION("""COMPUTED_VALUE"""),"--")</f>
        <v>--</v>
      </c>
      <c r="V361" s="251" t="str">
        <f>IFERROR(__xludf.DUMMYFUNCTION("""COMPUTED_VALUE"""),"Pack Mon")</f>
        <v>Pack Mon</v>
      </c>
      <c r="W361" s="251" t="str">
        <f>IFERROR(__xludf.DUMMYFUNCTION("""COMPUTED_VALUE"""),"Tracker")</f>
        <v>Tracker</v>
      </c>
      <c r="X361" s="251" t="str">
        <f>IFERROR(__xludf.DUMMYFUNCTION("""COMPUTED_VALUE"""),"--")</f>
        <v>--</v>
      </c>
      <c r="Y361" s="251" t="str">
        <f>IFERROR(__xludf.DUMMYFUNCTION("""COMPUTED_VALUE"""),"--")</f>
        <v>--</v>
      </c>
      <c r="Z361" s="251" t="str">
        <f>IFERROR(__xludf.DUMMYFUNCTION("""COMPUTED_VALUE"""),"--")</f>
        <v>--</v>
      </c>
      <c r="AA361" s="251" t="str">
        <f>IFERROR(__xludf.DUMMYFUNCTION("""COMPUTED_VALUE"""),"--")</f>
        <v>--</v>
      </c>
      <c r="AB361" s="251" t="str">
        <f>IFERROR(__xludf.DUMMYFUNCTION("""COMPUTED_VALUE"""),"--")</f>
        <v>--</v>
      </c>
      <c r="AC361" s="251" t="str">
        <f>IFERROR(__xludf.DUMMYFUNCTION("""COMPUTED_VALUE"""),"--")</f>
        <v>--</v>
      </c>
      <c r="AD361" s="251">
        <f>IFERROR(__xludf.DUMMYFUNCTION("""COMPUTED_VALUE"""),2.0)</f>
        <v>2</v>
      </c>
      <c r="AE361" s="251" t="str">
        <f>IFERROR(__xludf.DUMMYFUNCTION("""COMPUTED_VALUE"""),"Carnivore")</f>
        <v>Carnivore</v>
      </c>
    </row>
    <row r="362">
      <c r="A362" s="251" t="str">
        <f>IFERROR(__xludf.DUMMYFUNCTION("""COMPUTED_VALUE"""),"Luxray")</f>
        <v>Luxray</v>
      </c>
      <c r="B362" s="251" t="str">
        <f>IFERROR(__xludf.DUMMYFUNCTION("""COMPUTED_VALUE"""),"Electric")</f>
        <v>Electric</v>
      </c>
      <c r="C362" s="251" t="str">
        <f>IFERROR(__xludf.DUMMYFUNCTION("""COMPUTED_VALUE"""),"None")</f>
        <v>None</v>
      </c>
      <c r="D362" s="251">
        <f>IFERROR(__xludf.DUMMYFUNCTION("""COMPUTED_VALUE"""),8.0)</f>
        <v>8</v>
      </c>
      <c r="E362" s="251">
        <f>IFERROR(__xludf.DUMMYFUNCTION("""COMPUTED_VALUE"""),12.0)</f>
        <v>12</v>
      </c>
      <c r="F362" s="251">
        <f>IFERROR(__xludf.DUMMYFUNCTION("""COMPUTED_VALUE"""),8.0)</f>
        <v>8</v>
      </c>
      <c r="G362" s="251">
        <f>IFERROR(__xludf.DUMMYFUNCTION("""COMPUTED_VALUE"""),10.0)</f>
        <v>10</v>
      </c>
      <c r="H362" s="251">
        <f>IFERROR(__xludf.DUMMYFUNCTION("""COMPUTED_VALUE"""),8.0)</f>
        <v>8</v>
      </c>
      <c r="I362" s="251">
        <f>IFERROR(__xludf.DUMMYFUNCTION("""COMPUTED_VALUE"""),7.0)</f>
        <v>7</v>
      </c>
      <c r="J362" s="251">
        <f>IFERROR(__xludf.DUMMYFUNCTION("""COMPUTED_VALUE"""),5.0)</f>
        <v>5</v>
      </c>
      <c r="K362" s="251" t="str">
        <f>IFERROR(__xludf.DUMMYFUNCTION("""COMPUTED_VALUE"""),"Medium")</f>
        <v>Medium</v>
      </c>
      <c r="L362" s="251">
        <f>IFERROR(__xludf.DUMMYFUNCTION("""COMPUTED_VALUE"""),3.0)</f>
        <v>3</v>
      </c>
      <c r="M362" s="251" t="str">
        <f>IFERROR(__xludf.DUMMYFUNCTION("""COMPUTED_VALUE"""),"Grasslands")</f>
        <v>Grasslands</v>
      </c>
      <c r="N362" s="251" t="str">
        <f>IFERROR(__xludf.DUMMYFUNCTION("""COMPUTED_VALUE"""),"Jumper")</f>
        <v>Jumper</v>
      </c>
      <c r="O362" s="251" t="str">
        <f>IFERROR(__xludf.DUMMYFUNCTION("""COMPUTED_VALUE"""),"Quick")</f>
        <v>Quick</v>
      </c>
      <c r="P362" s="251" t="str">
        <f>IFERROR(__xludf.DUMMYFUNCTION("""COMPUTED_VALUE"""),"--")</f>
        <v>--</v>
      </c>
      <c r="Q362" s="251" t="str">
        <f>IFERROR(__xludf.DUMMYFUNCTION("""COMPUTED_VALUE"""),"--")</f>
        <v>--</v>
      </c>
      <c r="R362" s="251" t="str">
        <f>IFERROR(__xludf.DUMMYFUNCTION("""COMPUTED_VALUE"""),"Mountable")</f>
        <v>Mountable</v>
      </c>
      <c r="S362" s="251" t="str">
        <f>IFERROR(__xludf.DUMMYFUNCTION("""COMPUTED_VALUE"""),"--")</f>
        <v>--</v>
      </c>
      <c r="T362" s="251" t="str">
        <f>IFERROR(__xludf.DUMMYFUNCTION("""COMPUTED_VALUE"""),"--")</f>
        <v>--</v>
      </c>
      <c r="U362" s="251" t="str">
        <f>IFERROR(__xludf.DUMMYFUNCTION("""COMPUTED_VALUE"""),"--")</f>
        <v>--</v>
      </c>
      <c r="V362" s="251" t="str">
        <f>IFERROR(__xludf.DUMMYFUNCTION("""COMPUTED_VALUE"""),"Pack Mon")</f>
        <v>Pack Mon</v>
      </c>
      <c r="W362" s="251" t="str">
        <f>IFERROR(__xludf.DUMMYFUNCTION("""COMPUTED_VALUE"""),"Tracker")</f>
        <v>Tracker</v>
      </c>
      <c r="X362" s="251" t="str">
        <f>IFERROR(__xludf.DUMMYFUNCTION("""COMPUTED_VALUE"""),"X-Ray Vision")</f>
        <v>X-Ray Vision</v>
      </c>
      <c r="Y362" s="251" t="str">
        <f>IFERROR(__xludf.DUMMYFUNCTION("""COMPUTED_VALUE"""),"--")</f>
        <v>--</v>
      </c>
      <c r="Z362" s="251" t="str">
        <f>IFERROR(__xludf.DUMMYFUNCTION("""COMPUTED_VALUE"""),"--")</f>
        <v>--</v>
      </c>
      <c r="AA362" s="251" t="str">
        <f>IFERROR(__xludf.DUMMYFUNCTION("""COMPUTED_VALUE"""),"--")</f>
        <v>--</v>
      </c>
      <c r="AB362" s="251" t="str">
        <f>IFERROR(__xludf.DUMMYFUNCTION("""COMPUTED_VALUE"""),"--")</f>
        <v>--</v>
      </c>
      <c r="AC362" s="251" t="str">
        <f>IFERROR(__xludf.DUMMYFUNCTION("""COMPUTED_VALUE"""),"--")</f>
        <v>--</v>
      </c>
      <c r="AD362" s="251">
        <f>IFERROR(__xludf.DUMMYFUNCTION("""COMPUTED_VALUE"""),3.0)</f>
        <v>3</v>
      </c>
      <c r="AE362" s="251" t="str">
        <f>IFERROR(__xludf.DUMMYFUNCTION("""COMPUTED_VALUE"""),"Carnivore")</f>
        <v>Carnivore</v>
      </c>
    </row>
    <row r="363">
      <c r="A363" s="251" t="str">
        <f>IFERROR(__xludf.DUMMYFUNCTION("""COMPUTED_VALUE"""),"Tynamo")</f>
        <v>Tynamo</v>
      </c>
      <c r="B363" s="251" t="str">
        <f>IFERROR(__xludf.DUMMYFUNCTION("""COMPUTED_VALUE"""),"Electric")</f>
        <v>Electric</v>
      </c>
      <c r="C363" s="251" t="str">
        <f>IFERROR(__xludf.DUMMYFUNCTION("""COMPUTED_VALUE"""),"None")</f>
        <v>None</v>
      </c>
      <c r="D363" s="251">
        <f>IFERROR(__xludf.DUMMYFUNCTION("""COMPUTED_VALUE"""),5.0)</f>
        <v>5</v>
      </c>
      <c r="E363" s="251">
        <f>IFERROR(__xludf.DUMMYFUNCTION("""COMPUTED_VALUE"""),6.0)</f>
        <v>6</v>
      </c>
      <c r="F363" s="251">
        <f>IFERROR(__xludf.DUMMYFUNCTION("""COMPUTED_VALUE"""),4.0)</f>
        <v>4</v>
      </c>
      <c r="G363" s="251">
        <f>IFERROR(__xludf.DUMMYFUNCTION("""COMPUTED_VALUE"""),5.0)</f>
        <v>5</v>
      </c>
      <c r="H363" s="251">
        <f>IFERROR(__xludf.DUMMYFUNCTION("""COMPUTED_VALUE"""),4.0)</f>
        <v>4</v>
      </c>
      <c r="I363" s="251">
        <f>IFERROR(__xludf.DUMMYFUNCTION("""COMPUTED_VALUE"""),6.0)</f>
        <v>6</v>
      </c>
      <c r="J363" s="251">
        <f>IFERROR(__xludf.DUMMYFUNCTION("""COMPUTED_VALUE"""),1.0)</f>
        <v>1</v>
      </c>
      <c r="K363" s="251" t="str">
        <f>IFERROR(__xludf.DUMMYFUNCTION("""COMPUTED_VALUE"""),"Small")</f>
        <v>Small</v>
      </c>
      <c r="L363" s="251">
        <f>IFERROR(__xludf.DUMMYFUNCTION("""COMPUTED_VALUE"""),1.0)</f>
        <v>1</v>
      </c>
      <c r="M363" s="251" t="str">
        <f>IFERROR(__xludf.DUMMYFUNCTION("""COMPUTED_VALUE"""),"Cave")</f>
        <v>Cave</v>
      </c>
      <c r="N363" s="251" t="str">
        <f>IFERROR(__xludf.DUMMYFUNCTION("""COMPUTED_VALUE"""),"Flier")</f>
        <v>Flier</v>
      </c>
      <c r="O363" s="251" t="str">
        <f>IFERROR(__xludf.DUMMYFUNCTION("""COMPUTED_VALUE"""),"Swimmer")</f>
        <v>Swimmer</v>
      </c>
      <c r="P363" s="251" t="str">
        <f>IFERROR(__xludf.DUMMYFUNCTION("""COMPUTED_VALUE"""),"--")</f>
        <v>--</v>
      </c>
      <c r="Q363" s="251" t="str">
        <f>IFERROR(__xludf.DUMMYFUNCTION("""COMPUTED_VALUE"""),"--")</f>
        <v>--</v>
      </c>
      <c r="R363" s="251" t="str">
        <f>IFERROR(__xludf.DUMMYFUNCTION("""COMPUTED_VALUE"""),"Underdog")</f>
        <v>Underdog</v>
      </c>
      <c r="S363" s="251" t="str">
        <f>IFERROR(__xludf.DUMMYFUNCTION("""COMPUTED_VALUE"""),"--")</f>
        <v>--</v>
      </c>
      <c r="T363" s="251" t="str">
        <f>IFERROR(__xludf.DUMMYFUNCTION("""COMPUTED_VALUE"""),"--")</f>
        <v>--</v>
      </c>
      <c r="U363" s="251" t="str">
        <f>IFERROR(__xludf.DUMMYFUNCTION("""COMPUTED_VALUE"""),"--")</f>
        <v>--</v>
      </c>
      <c r="V363" s="251" t="str">
        <f>IFERROR(__xludf.DUMMYFUNCTION("""COMPUTED_VALUE"""),"Gilled")</f>
        <v>Gilled</v>
      </c>
      <c r="W363" s="251" t="str">
        <f>IFERROR(__xludf.DUMMYFUNCTION("""COMPUTED_VALUE"""),"Glow")</f>
        <v>Glow</v>
      </c>
      <c r="X363" s="251" t="str">
        <f>IFERROR(__xludf.DUMMYFUNCTION("""COMPUTED_VALUE"""),"--")</f>
        <v>--</v>
      </c>
      <c r="Y363" s="251" t="str">
        <f>IFERROR(__xludf.DUMMYFUNCTION("""COMPUTED_VALUE"""),"--")</f>
        <v>--</v>
      </c>
      <c r="Z363" s="251" t="str">
        <f>IFERROR(__xludf.DUMMYFUNCTION("""COMPUTED_VALUE"""),"--")</f>
        <v>--</v>
      </c>
      <c r="AA363" s="251" t="str">
        <f>IFERROR(__xludf.DUMMYFUNCTION("""COMPUTED_VALUE"""),"--")</f>
        <v>--</v>
      </c>
      <c r="AB363" s="251" t="str">
        <f>IFERROR(__xludf.DUMMYFUNCTION("""COMPUTED_VALUE"""),"--")</f>
        <v>--</v>
      </c>
      <c r="AC363" s="251" t="str">
        <f>IFERROR(__xludf.DUMMYFUNCTION("""COMPUTED_VALUE"""),"--")</f>
        <v>--</v>
      </c>
      <c r="AD363" s="251">
        <f>IFERROR(__xludf.DUMMYFUNCTION("""COMPUTED_VALUE"""),1.0)</f>
        <v>1</v>
      </c>
      <c r="AE363" s="251" t="str">
        <f>IFERROR(__xludf.DUMMYFUNCTION("""COMPUTED_VALUE"""),"Ergovore")</f>
        <v>Ergovore</v>
      </c>
    </row>
    <row r="364">
      <c r="A364" s="251" t="str">
        <f>IFERROR(__xludf.DUMMYFUNCTION("""COMPUTED_VALUE"""),"Eelektrik")</f>
        <v>Eelektrik</v>
      </c>
      <c r="B364" s="251" t="str">
        <f>IFERROR(__xludf.DUMMYFUNCTION("""COMPUTED_VALUE"""),"Electric")</f>
        <v>Electric</v>
      </c>
      <c r="C364" s="251" t="str">
        <f>IFERROR(__xludf.DUMMYFUNCTION("""COMPUTED_VALUE"""),"None")</f>
        <v>None</v>
      </c>
      <c r="D364" s="251">
        <f>IFERROR(__xludf.DUMMYFUNCTION("""COMPUTED_VALUE"""),7.0)</f>
        <v>7</v>
      </c>
      <c r="E364" s="251">
        <f>IFERROR(__xludf.DUMMYFUNCTION("""COMPUTED_VALUE"""),9.0)</f>
        <v>9</v>
      </c>
      <c r="F364" s="251">
        <f>IFERROR(__xludf.DUMMYFUNCTION("""COMPUTED_VALUE"""),7.0)</f>
        <v>7</v>
      </c>
      <c r="G364" s="251">
        <f>IFERROR(__xludf.DUMMYFUNCTION("""COMPUTED_VALUE"""),8.0)</f>
        <v>8</v>
      </c>
      <c r="H364" s="251">
        <f>IFERROR(__xludf.DUMMYFUNCTION("""COMPUTED_VALUE"""),7.0)</f>
        <v>7</v>
      </c>
      <c r="I364" s="251">
        <f>IFERROR(__xludf.DUMMYFUNCTION("""COMPUTED_VALUE"""),4.0)</f>
        <v>4</v>
      </c>
      <c r="J364" s="251">
        <f>IFERROR(__xludf.DUMMYFUNCTION("""COMPUTED_VALUE"""),4.0)</f>
        <v>4</v>
      </c>
      <c r="K364" s="251" t="str">
        <f>IFERROR(__xludf.DUMMYFUNCTION("""COMPUTED_VALUE"""),"Medium")</f>
        <v>Medium</v>
      </c>
      <c r="L364" s="251">
        <f>IFERROR(__xludf.DUMMYFUNCTION("""COMPUTED_VALUE"""),2.0)</f>
        <v>2</v>
      </c>
      <c r="M364" s="251" t="str">
        <f>IFERROR(__xludf.DUMMYFUNCTION("""COMPUTED_VALUE"""),"Cave")</f>
        <v>Cave</v>
      </c>
      <c r="N364" s="251" t="str">
        <f>IFERROR(__xludf.DUMMYFUNCTION("""COMPUTED_VALUE"""),"Flier")</f>
        <v>Flier</v>
      </c>
      <c r="O364" s="251" t="str">
        <f>IFERROR(__xludf.DUMMYFUNCTION("""COMPUTED_VALUE"""),"Swimmer")</f>
        <v>Swimmer</v>
      </c>
      <c r="P364" s="251" t="str">
        <f>IFERROR(__xludf.DUMMYFUNCTION("""COMPUTED_VALUE"""),"--")</f>
        <v>--</v>
      </c>
      <c r="Q364" s="251" t="str">
        <f>IFERROR(__xludf.DUMMYFUNCTION("""COMPUTED_VALUE"""),"--")</f>
        <v>--</v>
      </c>
      <c r="R364" s="251" t="str">
        <f>IFERROR(__xludf.DUMMYFUNCTION("""COMPUTED_VALUE"""),"Underdog")</f>
        <v>Underdog</v>
      </c>
      <c r="S364" s="251" t="str">
        <f>IFERROR(__xludf.DUMMYFUNCTION("""COMPUTED_VALUE"""),"--")</f>
        <v>--</v>
      </c>
      <c r="T364" s="251" t="str">
        <f>IFERROR(__xludf.DUMMYFUNCTION("""COMPUTED_VALUE"""),"--")</f>
        <v>--</v>
      </c>
      <c r="U364" s="251" t="str">
        <f>IFERROR(__xludf.DUMMYFUNCTION("""COMPUTED_VALUE"""),"--")</f>
        <v>--</v>
      </c>
      <c r="V364" s="251" t="str">
        <f>IFERROR(__xludf.DUMMYFUNCTION("""COMPUTED_VALUE"""),"Gilled")</f>
        <v>Gilled</v>
      </c>
      <c r="W364" s="251" t="str">
        <f>IFERROR(__xludf.DUMMYFUNCTION("""COMPUTED_VALUE"""),"Glow")</f>
        <v>Glow</v>
      </c>
      <c r="X364" s="251" t="str">
        <f>IFERROR(__xludf.DUMMYFUNCTION("""COMPUTED_VALUE"""),"--")</f>
        <v>--</v>
      </c>
      <c r="Y364" s="251" t="str">
        <f>IFERROR(__xludf.DUMMYFUNCTION("""COMPUTED_VALUE"""),"--")</f>
        <v>--</v>
      </c>
      <c r="Z364" s="251" t="str">
        <f>IFERROR(__xludf.DUMMYFUNCTION("""COMPUTED_VALUE"""),"--")</f>
        <v>--</v>
      </c>
      <c r="AA364" s="251" t="str">
        <f>IFERROR(__xludf.DUMMYFUNCTION("""COMPUTED_VALUE"""),"--")</f>
        <v>--</v>
      </c>
      <c r="AB364" s="251" t="str">
        <f>IFERROR(__xludf.DUMMYFUNCTION("""COMPUTED_VALUE"""),"--")</f>
        <v>--</v>
      </c>
      <c r="AC364" s="251" t="str">
        <f>IFERROR(__xludf.DUMMYFUNCTION("""COMPUTED_VALUE"""),"--")</f>
        <v>--</v>
      </c>
      <c r="AD364" s="251">
        <f>IFERROR(__xludf.DUMMYFUNCTION("""COMPUTED_VALUE"""),2.0)</f>
        <v>2</v>
      </c>
      <c r="AE364" s="251" t="str">
        <f>IFERROR(__xludf.DUMMYFUNCTION("""COMPUTED_VALUE"""),"Ergovore")</f>
        <v>Ergovore</v>
      </c>
    </row>
    <row r="365">
      <c r="A365" s="251" t="str">
        <f>IFERROR(__xludf.DUMMYFUNCTION("""COMPUTED_VALUE"""),"Eelektross")</f>
        <v>Eelektross</v>
      </c>
      <c r="B365" s="251" t="str">
        <f>IFERROR(__xludf.DUMMYFUNCTION("""COMPUTED_VALUE"""),"Electric")</f>
        <v>Electric</v>
      </c>
      <c r="C365" s="251" t="str">
        <f>IFERROR(__xludf.DUMMYFUNCTION("""COMPUTED_VALUE"""),"None")</f>
        <v>None</v>
      </c>
      <c r="D365" s="251">
        <f>IFERROR(__xludf.DUMMYFUNCTION("""COMPUTED_VALUE"""),9.0)</f>
        <v>9</v>
      </c>
      <c r="E365" s="251">
        <f>IFERROR(__xludf.DUMMYFUNCTION("""COMPUTED_VALUE"""),12.0)</f>
        <v>12</v>
      </c>
      <c r="F365" s="251">
        <f>IFERROR(__xludf.DUMMYFUNCTION("""COMPUTED_VALUE"""),9.0)</f>
        <v>9</v>
      </c>
      <c r="G365" s="251">
        <f>IFERROR(__xludf.DUMMYFUNCTION("""COMPUTED_VALUE"""),12.0)</f>
        <v>12</v>
      </c>
      <c r="H365" s="251">
        <f>IFERROR(__xludf.DUMMYFUNCTION("""COMPUTED_VALUE"""),9.0)</f>
        <v>9</v>
      </c>
      <c r="I365" s="251">
        <f>IFERROR(__xludf.DUMMYFUNCTION("""COMPUTED_VALUE"""),6.0)</f>
        <v>6</v>
      </c>
      <c r="J365" s="251">
        <f>IFERROR(__xludf.DUMMYFUNCTION("""COMPUTED_VALUE"""),6.0)</f>
        <v>6</v>
      </c>
      <c r="K365" s="251" t="str">
        <f>IFERROR(__xludf.DUMMYFUNCTION("""COMPUTED_VALUE"""),"Large")</f>
        <v>Large</v>
      </c>
      <c r="L365" s="251">
        <f>IFERROR(__xludf.DUMMYFUNCTION("""COMPUTED_VALUE"""),4.0)</f>
        <v>4</v>
      </c>
      <c r="M365" s="251" t="str">
        <f>IFERROR(__xludf.DUMMYFUNCTION("""COMPUTED_VALUE"""),"Cave")</f>
        <v>Cave</v>
      </c>
      <c r="N365" s="251" t="str">
        <f>IFERROR(__xludf.DUMMYFUNCTION("""COMPUTED_VALUE"""),"Flier")</f>
        <v>Flier</v>
      </c>
      <c r="O365" s="251" t="str">
        <f>IFERROR(__xludf.DUMMYFUNCTION("""COMPUTED_VALUE"""),"Swimmer")</f>
        <v>Swimmer</v>
      </c>
      <c r="P365" s="251" t="str">
        <f>IFERROR(__xludf.DUMMYFUNCTION("""COMPUTED_VALUE"""),"--")</f>
        <v>--</v>
      </c>
      <c r="Q365" s="251" t="str">
        <f>IFERROR(__xludf.DUMMYFUNCTION("""COMPUTED_VALUE"""),"--")</f>
        <v>--</v>
      </c>
      <c r="R365" s="251" t="str">
        <f>IFERROR(__xludf.DUMMYFUNCTION("""COMPUTED_VALUE"""),"Mountable")</f>
        <v>Mountable</v>
      </c>
      <c r="S365" s="251" t="str">
        <f>IFERROR(__xludf.DUMMYFUNCTION("""COMPUTED_VALUE"""),"--")</f>
        <v>--</v>
      </c>
      <c r="T365" s="251" t="str">
        <f>IFERROR(__xludf.DUMMYFUNCTION("""COMPUTED_VALUE"""),"--")</f>
        <v>--</v>
      </c>
      <c r="U365" s="251" t="str">
        <f>IFERROR(__xludf.DUMMYFUNCTION("""COMPUTED_VALUE"""),"--")</f>
        <v>--</v>
      </c>
      <c r="V365" s="251" t="str">
        <f>IFERROR(__xludf.DUMMYFUNCTION("""COMPUTED_VALUE"""),"Gilled")</f>
        <v>Gilled</v>
      </c>
      <c r="W365" s="251" t="str">
        <f>IFERROR(__xludf.DUMMYFUNCTION("""COMPUTED_VALUE"""),"Glow")</f>
        <v>Glow</v>
      </c>
      <c r="X365" s="251" t="str">
        <f>IFERROR(__xludf.DUMMYFUNCTION("""COMPUTED_VALUE"""),"--")</f>
        <v>--</v>
      </c>
      <c r="Y365" s="251" t="str">
        <f>IFERROR(__xludf.DUMMYFUNCTION("""COMPUTED_VALUE"""),"--")</f>
        <v>--</v>
      </c>
      <c r="Z365" s="251" t="str">
        <f>IFERROR(__xludf.DUMMYFUNCTION("""COMPUTED_VALUE"""),"--")</f>
        <v>--</v>
      </c>
      <c r="AA365" s="251" t="str">
        <f>IFERROR(__xludf.DUMMYFUNCTION("""COMPUTED_VALUE"""),"--")</f>
        <v>--</v>
      </c>
      <c r="AB365" s="251" t="str">
        <f>IFERROR(__xludf.DUMMYFUNCTION("""COMPUTED_VALUE"""),"--")</f>
        <v>--</v>
      </c>
      <c r="AC365" s="251" t="str">
        <f>IFERROR(__xludf.DUMMYFUNCTION("""COMPUTED_VALUE"""),"--")</f>
        <v>--</v>
      </c>
      <c r="AD365" s="251">
        <f>IFERROR(__xludf.DUMMYFUNCTION("""COMPUTED_VALUE"""),3.0)</f>
        <v>3</v>
      </c>
      <c r="AE365" s="251" t="str">
        <f>IFERROR(__xludf.DUMMYFUNCTION("""COMPUTED_VALUE"""),"Ergovore")</f>
        <v>Ergovore</v>
      </c>
    </row>
    <row r="366">
      <c r="A366" s="251" t="str">
        <f>IFERROR(__xludf.DUMMYFUNCTION("""COMPUTED_VALUE"""),"Pawmi")</f>
        <v>Pawmi</v>
      </c>
      <c r="B366" s="251" t="str">
        <f>IFERROR(__xludf.DUMMYFUNCTION("""COMPUTED_VALUE"""),"Electric")</f>
        <v>Electric</v>
      </c>
      <c r="C366" s="251" t="str">
        <f>IFERROR(__xludf.DUMMYFUNCTION("""COMPUTED_VALUE"""),"None")</f>
        <v>None</v>
      </c>
      <c r="D366" s="251">
        <f>IFERROR(__xludf.DUMMYFUNCTION("""COMPUTED_VALUE"""),5.0)</f>
        <v>5</v>
      </c>
      <c r="E366" s="251">
        <f>IFERROR(__xludf.DUMMYFUNCTION("""COMPUTED_VALUE"""),5.0)</f>
        <v>5</v>
      </c>
      <c r="F366" s="251">
        <f>IFERROR(__xludf.DUMMYFUNCTION("""COMPUTED_VALUE"""),2.0)</f>
        <v>2</v>
      </c>
      <c r="G366" s="251">
        <f>IFERROR(__xludf.DUMMYFUNCTION("""COMPUTED_VALUE"""),4.0)</f>
        <v>4</v>
      </c>
      <c r="H366" s="251">
        <f>IFERROR(__xludf.DUMMYFUNCTION("""COMPUTED_VALUE"""),3.0)</f>
        <v>3</v>
      </c>
      <c r="I366" s="251">
        <f>IFERROR(__xludf.DUMMYFUNCTION("""COMPUTED_VALUE"""),6.0)</f>
        <v>6</v>
      </c>
      <c r="J366" s="251">
        <f>IFERROR(__xludf.DUMMYFUNCTION("""COMPUTED_VALUE"""),2.0)</f>
        <v>2</v>
      </c>
      <c r="K366" s="251" t="str">
        <f>IFERROR(__xludf.DUMMYFUNCTION("""COMPUTED_VALUE"""),"Small")</f>
        <v>Small</v>
      </c>
      <c r="L366" s="251">
        <f>IFERROR(__xludf.DUMMYFUNCTION("""COMPUTED_VALUE"""),1.0)</f>
        <v>1</v>
      </c>
      <c r="M366" s="251" t="str">
        <f>IFERROR(__xludf.DUMMYFUNCTION("""COMPUTED_VALUE"""),"Grasslands")</f>
        <v>Grasslands</v>
      </c>
      <c r="N366" s="251" t="str">
        <f>IFERROR(__xludf.DUMMYFUNCTION("""COMPUTED_VALUE"""),"--")</f>
        <v>--</v>
      </c>
      <c r="O366" s="251" t="str">
        <f>IFERROR(__xludf.DUMMYFUNCTION("""COMPUTED_VALUE"""),"--")</f>
        <v>--</v>
      </c>
      <c r="P366" s="251" t="str">
        <f>IFERROR(__xludf.DUMMYFUNCTION("""COMPUTED_VALUE"""),"--")</f>
        <v>--</v>
      </c>
      <c r="Q366" s="251" t="str">
        <f>IFERROR(__xludf.DUMMYFUNCTION("""COMPUTED_VALUE"""),"--")</f>
        <v>--</v>
      </c>
      <c r="R366" s="251" t="str">
        <f>IFERROR(__xludf.DUMMYFUNCTION("""COMPUTED_VALUE"""),"Underdog")</f>
        <v>Underdog</v>
      </c>
      <c r="S366" s="251" t="str">
        <f>IFERROR(__xludf.DUMMYFUNCTION("""COMPUTED_VALUE"""),"--")</f>
        <v>--</v>
      </c>
      <c r="T366" s="251" t="str">
        <f>IFERROR(__xludf.DUMMYFUNCTION("""COMPUTED_VALUE"""),"--")</f>
        <v>--</v>
      </c>
      <c r="U366" s="251" t="str">
        <f>IFERROR(__xludf.DUMMYFUNCTION("""COMPUTED_VALUE"""),"--")</f>
        <v>--</v>
      </c>
      <c r="V366" s="251" t="str">
        <f>IFERROR(__xludf.DUMMYFUNCTION("""COMPUTED_VALUE"""),"--")</f>
        <v>--</v>
      </c>
      <c r="W366" s="251" t="str">
        <f>IFERROR(__xludf.DUMMYFUNCTION("""COMPUTED_VALUE"""),"--")</f>
        <v>--</v>
      </c>
      <c r="X366" s="251" t="str">
        <f>IFERROR(__xludf.DUMMYFUNCTION("""COMPUTED_VALUE"""),"--")</f>
        <v>--</v>
      </c>
      <c r="Y366" s="251" t="str">
        <f>IFERROR(__xludf.DUMMYFUNCTION("""COMPUTED_VALUE"""),"--")</f>
        <v>--</v>
      </c>
      <c r="Z366" s="251" t="str">
        <f>IFERROR(__xludf.DUMMYFUNCTION("""COMPUTED_VALUE"""),"--")</f>
        <v>--</v>
      </c>
      <c r="AA366" s="251" t="str">
        <f>IFERROR(__xludf.DUMMYFUNCTION("""COMPUTED_VALUE"""),"--")</f>
        <v>--</v>
      </c>
      <c r="AB366" s="251" t="str">
        <f>IFERROR(__xludf.DUMMYFUNCTION("""COMPUTED_VALUE"""),"--")</f>
        <v>--</v>
      </c>
      <c r="AC366" s="251" t="str">
        <f>IFERROR(__xludf.DUMMYFUNCTION("""COMPUTED_VALUE"""),"--")</f>
        <v>--</v>
      </c>
      <c r="AD366" s="251">
        <f>IFERROR(__xludf.DUMMYFUNCTION("""COMPUTED_VALUE"""),1.0)</f>
        <v>1</v>
      </c>
      <c r="AE366" s="251" t="str">
        <f>IFERROR(__xludf.DUMMYFUNCTION("""COMPUTED_VALUE"""),"Omnivore")</f>
        <v>Omnivore</v>
      </c>
    </row>
    <row r="367">
      <c r="A367" s="251" t="str">
        <f>IFERROR(__xludf.DUMMYFUNCTION("""COMPUTED_VALUE"""),"Pawmo")</f>
        <v>Pawmo</v>
      </c>
      <c r="B367" s="251" t="str">
        <f>IFERROR(__xludf.DUMMYFUNCTION("""COMPUTED_VALUE"""),"Electric")</f>
        <v>Electric</v>
      </c>
      <c r="C367" s="251" t="str">
        <f>IFERROR(__xludf.DUMMYFUNCTION("""COMPUTED_VALUE"""),"Fighting")</f>
        <v>Fighting</v>
      </c>
      <c r="D367" s="251">
        <f>IFERROR(__xludf.DUMMYFUNCTION("""COMPUTED_VALUE"""),6.0)</f>
        <v>6</v>
      </c>
      <c r="E367" s="251">
        <f>IFERROR(__xludf.DUMMYFUNCTION("""COMPUTED_VALUE"""),8.0)</f>
        <v>8</v>
      </c>
      <c r="F367" s="251">
        <f>IFERROR(__xludf.DUMMYFUNCTION("""COMPUTED_VALUE"""),4.0)</f>
        <v>4</v>
      </c>
      <c r="G367" s="251">
        <f>IFERROR(__xludf.DUMMYFUNCTION("""COMPUTED_VALUE"""),5.0)</f>
        <v>5</v>
      </c>
      <c r="H367" s="251">
        <f>IFERROR(__xludf.DUMMYFUNCTION("""COMPUTED_VALUE"""),4.0)</f>
        <v>4</v>
      </c>
      <c r="I367" s="251">
        <f>IFERROR(__xludf.DUMMYFUNCTION("""COMPUTED_VALUE"""),9.0)</f>
        <v>9</v>
      </c>
      <c r="J367" s="251">
        <f>IFERROR(__xludf.DUMMYFUNCTION("""COMPUTED_VALUE"""),3.0)</f>
        <v>3</v>
      </c>
      <c r="K367" s="251" t="str">
        <f>IFERROR(__xludf.DUMMYFUNCTION("""COMPUTED_VALUE"""),"Small")</f>
        <v>Small</v>
      </c>
      <c r="L367" s="251">
        <f>IFERROR(__xludf.DUMMYFUNCTION("""COMPUTED_VALUE"""),1.0)</f>
        <v>1</v>
      </c>
      <c r="M367" s="251" t="str">
        <f>IFERROR(__xludf.DUMMYFUNCTION("""COMPUTED_VALUE"""),"Grasslands")</f>
        <v>Grasslands</v>
      </c>
      <c r="N367" s="251" t="str">
        <f>IFERROR(__xludf.DUMMYFUNCTION("""COMPUTED_VALUE"""),"--")</f>
        <v>--</v>
      </c>
      <c r="O367" s="251" t="str">
        <f>IFERROR(__xludf.DUMMYFUNCTION("""COMPUTED_VALUE"""),"--")</f>
        <v>--</v>
      </c>
      <c r="P367" s="251" t="str">
        <f>IFERROR(__xludf.DUMMYFUNCTION("""COMPUTED_VALUE"""),"--")</f>
        <v>--</v>
      </c>
      <c r="Q367" s="251" t="str">
        <f>IFERROR(__xludf.DUMMYFUNCTION("""COMPUTED_VALUE"""),"--")</f>
        <v>--</v>
      </c>
      <c r="R367" s="251" t="str">
        <f>IFERROR(__xludf.DUMMYFUNCTION("""COMPUTED_VALUE"""),"Underdog")</f>
        <v>Underdog</v>
      </c>
      <c r="S367" s="251" t="str">
        <f>IFERROR(__xludf.DUMMYFUNCTION("""COMPUTED_VALUE"""),"--")</f>
        <v>--</v>
      </c>
      <c r="T367" s="251" t="str">
        <f>IFERROR(__xludf.DUMMYFUNCTION("""COMPUTED_VALUE"""),"--")</f>
        <v>--</v>
      </c>
      <c r="U367" s="251" t="str">
        <f>IFERROR(__xludf.DUMMYFUNCTION("""COMPUTED_VALUE"""),"--")</f>
        <v>--</v>
      </c>
      <c r="V367" s="251" t="str">
        <f>IFERROR(__xludf.DUMMYFUNCTION("""COMPUTED_VALUE"""),"--")</f>
        <v>--</v>
      </c>
      <c r="W367" s="251" t="str">
        <f>IFERROR(__xludf.DUMMYFUNCTION("""COMPUTED_VALUE"""),"--")</f>
        <v>--</v>
      </c>
      <c r="X367" s="251" t="str">
        <f>IFERROR(__xludf.DUMMYFUNCTION("""COMPUTED_VALUE"""),"--")</f>
        <v>--</v>
      </c>
      <c r="Y367" s="251" t="str">
        <f>IFERROR(__xludf.DUMMYFUNCTION("""COMPUTED_VALUE"""),"--")</f>
        <v>--</v>
      </c>
      <c r="Z367" s="251" t="str">
        <f>IFERROR(__xludf.DUMMYFUNCTION("""COMPUTED_VALUE"""),"--")</f>
        <v>--</v>
      </c>
      <c r="AA367" s="251" t="str">
        <f>IFERROR(__xludf.DUMMYFUNCTION("""COMPUTED_VALUE"""),"--")</f>
        <v>--</v>
      </c>
      <c r="AB367" s="251" t="str">
        <f>IFERROR(__xludf.DUMMYFUNCTION("""COMPUTED_VALUE"""),"--")</f>
        <v>--</v>
      </c>
      <c r="AC367" s="251" t="str">
        <f>IFERROR(__xludf.DUMMYFUNCTION("""COMPUTED_VALUE"""),"--")</f>
        <v>--</v>
      </c>
      <c r="AD367" s="251">
        <f>IFERROR(__xludf.DUMMYFUNCTION("""COMPUTED_VALUE"""),2.0)</f>
        <v>2</v>
      </c>
      <c r="AE367" s="251" t="str">
        <f>IFERROR(__xludf.DUMMYFUNCTION("""COMPUTED_VALUE"""),"Omnivore")</f>
        <v>Omnivore</v>
      </c>
    </row>
    <row r="368">
      <c r="A368" s="251" t="str">
        <f>IFERROR(__xludf.DUMMYFUNCTION("""COMPUTED_VALUE"""),"Pawmot")</f>
        <v>Pawmot</v>
      </c>
      <c r="B368" s="251" t="str">
        <f>IFERROR(__xludf.DUMMYFUNCTION("""COMPUTED_VALUE"""),"Electric")</f>
        <v>Electric</v>
      </c>
      <c r="C368" s="251" t="str">
        <f>IFERROR(__xludf.DUMMYFUNCTION("""COMPUTED_VALUE"""),"Fighting")</f>
        <v>Fighting</v>
      </c>
      <c r="D368" s="251">
        <f>IFERROR(__xludf.DUMMYFUNCTION("""COMPUTED_VALUE"""),7.0)</f>
        <v>7</v>
      </c>
      <c r="E368" s="251">
        <f>IFERROR(__xludf.DUMMYFUNCTION("""COMPUTED_VALUE"""),12.0)</f>
        <v>12</v>
      </c>
      <c r="F368" s="251">
        <f>IFERROR(__xludf.DUMMYFUNCTION("""COMPUTED_VALUE"""),7.0)</f>
        <v>7</v>
      </c>
      <c r="G368" s="251">
        <f>IFERROR(__xludf.DUMMYFUNCTION("""COMPUTED_VALUE"""),7.0)</f>
        <v>7</v>
      </c>
      <c r="H368" s="251">
        <f>IFERROR(__xludf.DUMMYFUNCTION("""COMPUTED_VALUE"""),7.0)</f>
        <v>7</v>
      </c>
      <c r="I368" s="251">
        <f>IFERROR(__xludf.DUMMYFUNCTION("""COMPUTED_VALUE"""),11.0)</f>
        <v>11</v>
      </c>
      <c r="J368" s="251">
        <f>IFERROR(__xludf.DUMMYFUNCTION("""COMPUTED_VALUE"""),5.0)</f>
        <v>5</v>
      </c>
      <c r="K368" s="251" t="str">
        <f>IFERROR(__xludf.DUMMYFUNCTION("""COMPUTED_VALUE"""),"Small")</f>
        <v>Small</v>
      </c>
      <c r="L368" s="251">
        <f>IFERROR(__xludf.DUMMYFUNCTION("""COMPUTED_VALUE"""),3.0)</f>
        <v>3</v>
      </c>
      <c r="M368" s="251" t="str">
        <f>IFERROR(__xludf.DUMMYFUNCTION("""COMPUTED_VALUE"""),"Grasslands")</f>
        <v>Grasslands</v>
      </c>
      <c r="N368" s="251" t="str">
        <f>IFERROR(__xludf.DUMMYFUNCTION("""COMPUTED_VALUE"""),"--")</f>
        <v>--</v>
      </c>
      <c r="O368" s="251" t="str">
        <f>IFERROR(__xludf.DUMMYFUNCTION("""COMPUTED_VALUE"""),"--")</f>
        <v>--</v>
      </c>
      <c r="P368" s="251" t="str">
        <f>IFERROR(__xludf.DUMMYFUNCTION("""COMPUTED_VALUE"""),"--")</f>
        <v>--</v>
      </c>
      <c r="Q368" s="251" t="str">
        <f>IFERROR(__xludf.DUMMYFUNCTION("""COMPUTED_VALUE"""),"--")</f>
        <v>--</v>
      </c>
      <c r="R368" s="251" t="str">
        <f>IFERROR(__xludf.DUMMYFUNCTION("""COMPUTED_VALUE"""),"--")</f>
        <v>--</v>
      </c>
      <c r="S368" s="251" t="str">
        <f>IFERROR(__xludf.DUMMYFUNCTION("""COMPUTED_VALUE"""),"--")</f>
        <v>--</v>
      </c>
      <c r="T368" s="251" t="str">
        <f>IFERROR(__xludf.DUMMYFUNCTION("""COMPUTED_VALUE"""),"--")</f>
        <v>--</v>
      </c>
      <c r="U368" s="251" t="str">
        <f>IFERROR(__xludf.DUMMYFUNCTION("""COMPUTED_VALUE"""),"--")</f>
        <v>--</v>
      </c>
      <c r="V368" s="251" t="str">
        <f>IFERROR(__xludf.DUMMYFUNCTION("""COMPUTED_VALUE"""),"Aura Reader")</f>
        <v>Aura Reader</v>
      </c>
      <c r="W368" s="251" t="str">
        <f>IFERROR(__xludf.DUMMYFUNCTION("""COMPUTED_VALUE"""),"--")</f>
        <v>--</v>
      </c>
      <c r="X368" s="251" t="str">
        <f>IFERROR(__xludf.DUMMYFUNCTION("""COMPUTED_VALUE"""),"--")</f>
        <v>--</v>
      </c>
      <c r="Y368" s="251" t="str">
        <f>IFERROR(__xludf.DUMMYFUNCTION("""COMPUTED_VALUE"""),"--")</f>
        <v>--</v>
      </c>
      <c r="Z368" s="251" t="str">
        <f>IFERROR(__xludf.DUMMYFUNCTION("""COMPUTED_VALUE"""),"--")</f>
        <v>--</v>
      </c>
      <c r="AA368" s="251" t="str">
        <f>IFERROR(__xludf.DUMMYFUNCTION("""COMPUTED_VALUE"""),"--")</f>
        <v>--</v>
      </c>
      <c r="AB368" s="251" t="str">
        <f>IFERROR(__xludf.DUMMYFUNCTION("""COMPUTED_VALUE"""),"--")</f>
        <v>--</v>
      </c>
      <c r="AC368" s="251" t="str">
        <f>IFERROR(__xludf.DUMMYFUNCTION("""COMPUTED_VALUE"""),"--")</f>
        <v>--</v>
      </c>
      <c r="AD368" s="251">
        <f>IFERROR(__xludf.DUMMYFUNCTION("""COMPUTED_VALUE"""),3.0)</f>
        <v>3</v>
      </c>
      <c r="AE368" s="251" t="str">
        <f>IFERROR(__xludf.DUMMYFUNCTION("""COMPUTED_VALUE"""),"Omnivore")</f>
        <v>Omnivore</v>
      </c>
    </row>
    <row r="369">
      <c r="A369" s="251" t="str">
        <f>IFERROR(__xludf.DUMMYFUNCTION("""COMPUTED_VALUE"""),"Cleffa")</f>
        <v>Cleffa</v>
      </c>
      <c r="B369" s="251" t="str">
        <f>IFERROR(__xludf.DUMMYFUNCTION("""COMPUTED_VALUE"""),"Fairy")</f>
        <v>Fairy</v>
      </c>
      <c r="C369" s="251" t="str">
        <f>IFERROR(__xludf.DUMMYFUNCTION("""COMPUTED_VALUE"""),"None")</f>
        <v>None</v>
      </c>
      <c r="D369" s="251">
        <f>IFERROR(__xludf.DUMMYFUNCTION("""COMPUTED_VALUE"""),5.0)</f>
        <v>5</v>
      </c>
      <c r="E369" s="251">
        <f>IFERROR(__xludf.DUMMYFUNCTION("""COMPUTED_VALUE"""),3.0)</f>
        <v>3</v>
      </c>
      <c r="F369" s="251">
        <f>IFERROR(__xludf.DUMMYFUNCTION("""COMPUTED_VALUE"""),3.0)</f>
        <v>3</v>
      </c>
      <c r="G369" s="251">
        <f>IFERROR(__xludf.DUMMYFUNCTION("""COMPUTED_VALUE"""),5.0)</f>
        <v>5</v>
      </c>
      <c r="H369" s="251">
        <f>IFERROR(__xludf.DUMMYFUNCTION("""COMPUTED_VALUE"""),6.0)</f>
        <v>6</v>
      </c>
      <c r="I369" s="251">
        <f>IFERROR(__xludf.DUMMYFUNCTION("""COMPUTED_VALUE"""),2.0)</f>
        <v>2</v>
      </c>
      <c r="J369" s="251">
        <f>IFERROR(__xludf.DUMMYFUNCTION("""COMPUTED_VALUE"""),1.0)</f>
        <v>1</v>
      </c>
      <c r="K369" s="251" t="str">
        <f>IFERROR(__xludf.DUMMYFUNCTION("""COMPUTED_VALUE"""),"Small")</f>
        <v>Small</v>
      </c>
      <c r="L369" s="251">
        <f>IFERROR(__xludf.DUMMYFUNCTION("""COMPUTED_VALUE"""),1.0)</f>
        <v>1</v>
      </c>
      <c r="M369" s="251" t="str">
        <f>IFERROR(__xludf.DUMMYFUNCTION("""COMPUTED_VALUE"""),"Cave, Space")</f>
        <v>Cave, Space</v>
      </c>
      <c r="N369" s="251" t="str">
        <f>IFERROR(__xludf.DUMMYFUNCTION("""COMPUTED_VALUE"""),"Slow")</f>
        <v>Slow</v>
      </c>
      <c r="O369" s="251" t="str">
        <f>IFERROR(__xludf.DUMMYFUNCTION("""COMPUTED_VALUE"""),"--")</f>
        <v>--</v>
      </c>
      <c r="P369" s="251" t="str">
        <f>IFERROR(__xludf.DUMMYFUNCTION("""COMPUTED_VALUE"""),"--")</f>
        <v>--</v>
      </c>
      <c r="Q369" s="251" t="str">
        <f>IFERROR(__xludf.DUMMYFUNCTION("""COMPUTED_VALUE"""),"--")</f>
        <v>--</v>
      </c>
      <c r="R369" s="251" t="str">
        <f>IFERROR(__xludf.DUMMYFUNCTION("""COMPUTED_VALUE"""),"Underdog")</f>
        <v>Underdog</v>
      </c>
      <c r="S369" s="251" t="str">
        <f>IFERROR(__xludf.DUMMYFUNCTION("""COMPUTED_VALUE"""),"--")</f>
        <v>--</v>
      </c>
      <c r="T369" s="251" t="str">
        <f>IFERROR(__xludf.DUMMYFUNCTION("""COMPUTED_VALUE"""),"--")</f>
        <v>--</v>
      </c>
      <c r="U369" s="251" t="str">
        <f>IFERROR(__xludf.DUMMYFUNCTION("""COMPUTED_VALUE"""),"--")</f>
        <v>--</v>
      </c>
      <c r="V369" s="251" t="str">
        <f>IFERROR(__xludf.DUMMYFUNCTION("""COMPUTED_VALUE"""),"--")</f>
        <v>--</v>
      </c>
      <c r="W369" s="251" t="str">
        <f>IFERROR(__xludf.DUMMYFUNCTION("""COMPUTED_VALUE"""),"--")</f>
        <v>--</v>
      </c>
      <c r="X369" s="251" t="str">
        <f>IFERROR(__xludf.DUMMYFUNCTION("""COMPUTED_VALUE"""),"--")</f>
        <v>--</v>
      </c>
      <c r="Y369" s="251" t="str">
        <f>IFERROR(__xludf.DUMMYFUNCTION("""COMPUTED_VALUE"""),"--")</f>
        <v>--</v>
      </c>
      <c r="Z369" s="251" t="str">
        <f>IFERROR(__xludf.DUMMYFUNCTION("""COMPUTED_VALUE"""),"--")</f>
        <v>--</v>
      </c>
      <c r="AA369" s="251" t="str">
        <f>IFERROR(__xludf.DUMMYFUNCTION("""COMPUTED_VALUE"""),"--")</f>
        <v>--</v>
      </c>
      <c r="AB369" s="251" t="str">
        <f>IFERROR(__xludf.DUMMYFUNCTION("""COMPUTED_VALUE"""),"--")</f>
        <v>--</v>
      </c>
      <c r="AC369" s="251" t="str">
        <f>IFERROR(__xludf.DUMMYFUNCTION("""COMPUTED_VALUE"""),"--")</f>
        <v>--</v>
      </c>
      <c r="AD369" s="251">
        <f>IFERROR(__xludf.DUMMYFUNCTION("""COMPUTED_VALUE"""),1.0)</f>
        <v>1</v>
      </c>
      <c r="AE369" s="251" t="str">
        <f>IFERROR(__xludf.DUMMYFUNCTION("""COMPUTED_VALUE"""),"Herbivore")</f>
        <v>Herbivore</v>
      </c>
    </row>
    <row r="370">
      <c r="A370" s="251" t="str">
        <f>IFERROR(__xludf.DUMMYFUNCTION("""COMPUTED_VALUE"""),"Clefairy")</f>
        <v>Clefairy</v>
      </c>
      <c r="B370" s="251" t="str">
        <f>IFERROR(__xludf.DUMMYFUNCTION("""COMPUTED_VALUE"""),"Fairy")</f>
        <v>Fairy</v>
      </c>
      <c r="C370" s="251" t="str">
        <f>IFERROR(__xludf.DUMMYFUNCTION("""COMPUTED_VALUE"""),"None")</f>
        <v>None</v>
      </c>
      <c r="D370" s="251">
        <f>IFERROR(__xludf.DUMMYFUNCTION("""COMPUTED_VALUE"""),7.0)</f>
        <v>7</v>
      </c>
      <c r="E370" s="251">
        <f>IFERROR(__xludf.DUMMYFUNCTION("""COMPUTED_VALUE"""),5.0)</f>
        <v>5</v>
      </c>
      <c r="F370" s="251">
        <f>IFERROR(__xludf.DUMMYFUNCTION("""COMPUTED_VALUE"""),5.0)</f>
        <v>5</v>
      </c>
      <c r="G370" s="251">
        <f>IFERROR(__xludf.DUMMYFUNCTION("""COMPUTED_VALUE"""),6.0)</f>
        <v>6</v>
      </c>
      <c r="H370" s="251">
        <f>IFERROR(__xludf.DUMMYFUNCTION("""COMPUTED_VALUE"""),7.0)</f>
        <v>7</v>
      </c>
      <c r="I370" s="251">
        <f>IFERROR(__xludf.DUMMYFUNCTION("""COMPUTED_VALUE"""),4.0)</f>
        <v>4</v>
      </c>
      <c r="J370" s="251">
        <f>IFERROR(__xludf.DUMMYFUNCTION("""COMPUTED_VALUE"""),2.0)</f>
        <v>2</v>
      </c>
      <c r="K370" s="251" t="str">
        <f>IFERROR(__xludf.DUMMYFUNCTION("""COMPUTED_VALUE"""),"Small")</f>
        <v>Small</v>
      </c>
      <c r="L370" s="251">
        <f>IFERROR(__xludf.DUMMYFUNCTION("""COMPUTED_VALUE"""),1.0)</f>
        <v>1</v>
      </c>
      <c r="M370" s="251" t="str">
        <f>IFERROR(__xludf.DUMMYFUNCTION("""COMPUTED_VALUE"""),"Cave, Space")</f>
        <v>Cave, Space</v>
      </c>
      <c r="N370" s="251" t="str">
        <f>IFERROR(__xludf.DUMMYFUNCTION("""COMPUTED_VALUE"""),"--")</f>
        <v>--</v>
      </c>
      <c r="O370" s="251" t="str">
        <f>IFERROR(__xludf.DUMMYFUNCTION("""COMPUTED_VALUE"""),"--")</f>
        <v>--</v>
      </c>
      <c r="P370" s="251" t="str">
        <f>IFERROR(__xludf.DUMMYFUNCTION("""COMPUTED_VALUE"""),"--")</f>
        <v>--</v>
      </c>
      <c r="Q370" s="251" t="str">
        <f>IFERROR(__xludf.DUMMYFUNCTION("""COMPUTED_VALUE"""),"--")</f>
        <v>--</v>
      </c>
      <c r="R370" s="251" t="str">
        <f>IFERROR(__xludf.DUMMYFUNCTION("""COMPUTED_VALUE"""),"Underdog")</f>
        <v>Underdog</v>
      </c>
      <c r="S370" s="251" t="str">
        <f>IFERROR(__xludf.DUMMYFUNCTION("""COMPUTED_VALUE"""),"--")</f>
        <v>--</v>
      </c>
      <c r="T370" s="251" t="str">
        <f>IFERROR(__xludf.DUMMYFUNCTION("""COMPUTED_VALUE"""),"--")</f>
        <v>--</v>
      </c>
      <c r="U370" s="251" t="str">
        <f>IFERROR(__xludf.DUMMYFUNCTION("""COMPUTED_VALUE"""),"--")</f>
        <v>--</v>
      </c>
      <c r="V370" s="251" t="str">
        <f>IFERROR(__xludf.DUMMYFUNCTION("""COMPUTED_VALUE"""),"--")</f>
        <v>--</v>
      </c>
      <c r="W370" s="251" t="str">
        <f>IFERROR(__xludf.DUMMYFUNCTION("""COMPUTED_VALUE"""),"--")</f>
        <v>--</v>
      </c>
      <c r="X370" s="251" t="str">
        <f>IFERROR(__xludf.DUMMYFUNCTION("""COMPUTED_VALUE"""),"--")</f>
        <v>--</v>
      </c>
      <c r="Y370" s="251" t="str">
        <f>IFERROR(__xludf.DUMMYFUNCTION("""COMPUTED_VALUE"""),"--")</f>
        <v>--</v>
      </c>
      <c r="Z370" s="251" t="str">
        <f>IFERROR(__xludf.DUMMYFUNCTION("""COMPUTED_VALUE"""),"--")</f>
        <v>--</v>
      </c>
      <c r="AA370" s="251" t="str">
        <f>IFERROR(__xludf.DUMMYFUNCTION("""COMPUTED_VALUE"""),"--")</f>
        <v>--</v>
      </c>
      <c r="AB370" s="251" t="str">
        <f>IFERROR(__xludf.DUMMYFUNCTION("""COMPUTED_VALUE"""),"--")</f>
        <v>--</v>
      </c>
      <c r="AC370" s="251" t="str">
        <f>IFERROR(__xludf.DUMMYFUNCTION("""COMPUTED_VALUE"""),"--")</f>
        <v>--</v>
      </c>
      <c r="AD370" s="251">
        <f>IFERROR(__xludf.DUMMYFUNCTION("""COMPUTED_VALUE"""),2.0)</f>
        <v>2</v>
      </c>
      <c r="AE370" s="251" t="str">
        <f>IFERROR(__xludf.DUMMYFUNCTION("""COMPUTED_VALUE"""),"Herbivore")</f>
        <v>Herbivore</v>
      </c>
    </row>
    <row r="371">
      <c r="A371" s="251" t="str">
        <f>IFERROR(__xludf.DUMMYFUNCTION("""COMPUTED_VALUE"""),"Clefable")</f>
        <v>Clefable</v>
      </c>
      <c r="B371" s="251" t="str">
        <f>IFERROR(__xludf.DUMMYFUNCTION("""COMPUTED_VALUE"""),"Fairy")</f>
        <v>Fairy</v>
      </c>
      <c r="C371" s="251" t="str">
        <f>IFERROR(__xludf.DUMMYFUNCTION("""COMPUTED_VALUE"""),"None")</f>
        <v>None</v>
      </c>
      <c r="D371" s="251">
        <f>IFERROR(__xludf.DUMMYFUNCTION("""COMPUTED_VALUE"""),10.0)</f>
        <v>10</v>
      </c>
      <c r="E371" s="251">
        <f>IFERROR(__xludf.DUMMYFUNCTION("""COMPUTED_VALUE"""),7.0)</f>
        <v>7</v>
      </c>
      <c r="F371" s="251">
        <f>IFERROR(__xludf.DUMMYFUNCTION("""COMPUTED_VALUE"""),7.0)</f>
        <v>7</v>
      </c>
      <c r="G371" s="251">
        <f>IFERROR(__xludf.DUMMYFUNCTION("""COMPUTED_VALUE"""),11.0)</f>
        <v>11</v>
      </c>
      <c r="H371" s="251">
        <f>IFERROR(__xludf.DUMMYFUNCTION("""COMPUTED_VALUE"""),10.0)</f>
        <v>10</v>
      </c>
      <c r="I371" s="251">
        <f>IFERROR(__xludf.DUMMYFUNCTION("""COMPUTED_VALUE"""),6.0)</f>
        <v>6</v>
      </c>
      <c r="J371" s="251">
        <f>IFERROR(__xludf.DUMMYFUNCTION("""COMPUTED_VALUE"""),4.0)</f>
        <v>4</v>
      </c>
      <c r="K371" s="251" t="str">
        <f>IFERROR(__xludf.DUMMYFUNCTION("""COMPUTED_VALUE"""),"Medium")</f>
        <v>Medium</v>
      </c>
      <c r="L371" s="251">
        <f>IFERROR(__xludf.DUMMYFUNCTION("""COMPUTED_VALUE"""),3.0)</f>
        <v>3</v>
      </c>
      <c r="M371" s="251" t="str">
        <f>IFERROR(__xludf.DUMMYFUNCTION("""COMPUTED_VALUE"""),"Cave, Space")</f>
        <v>Cave, Space</v>
      </c>
      <c r="N371" s="251" t="str">
        <f>IFERROR(__xludf.DUMMYFUNCTION("""COMPUTED_VALUE"""),"--")</f>
        <v>--</v>
      </c>
      <c r="O371" s="251" t="str">
        <f>IFERROR(__xludf.DUMMYFUNCTION("""COMPUTED_VALUE"""),"--")</f>
        <v>--</v>
      </c>
      <c r="P371" s="251" t="str">
        <f>IFERROR(__xludf.DUMMYFUNCTION("""COMPUTED_VALUE"""),"--")</f>
        <v>--</v>
      </c>
      <c r="Q371" s="251" t="str">
        <f>IFERROR(__xludf.DUMMYFUNCTION("""COMPUTED_VALUE"""),"--")</f>
        <v>--</v>
      </c>
      <c r="R371" s="251" t="str">
        <f>IFERROR(__xludf.DUMMYFUNCTION("""COMPUTED_VALUE"""),"--")</f>
        <v>--</v>
      </c>
      <c r="S371" s="251" t="str">
        <f>IFERROR(__xludf.DUMMYFUNCTION("""COMPUTED_VALUE"""),"--")</f>
        <v>--</v>
      </c>
      <c r="T371" s="251" t="str">
        <f>IFERROR(__xludf.DUMMYFUNCTION("""COMPUTED_VALUE"""),"--")</f>
        <v>--</v>
      </c>
      <c r="U371" s="251" t="str">
        <f>IFERROR(__xludf.DUMMYFUNCTION("""COMPUTED_VALUE"""),"--")</f>
        <v>--</v>
      </c>
      <c r="V371" s="251" t="str">
        <f>IFERROR(__xludf.DUMMYFUNCTION("""COMPUTED_VALUE"""),"--")</f>
        <v>--</v>
      </c>
      <c r="W371" s="251" t="str">
        <f>IFERROR(__xludf.DUMMYFUNCTION("""COMPUTED_VALUE"""),"--")</f>
        <v>--</v>
      </c>
      <c r="X371" s="251" t="str">
        <f>IFERROR(__xludf.DUMMYFUNCTION("""COMPUTED_VALUE"""),"--")</f>
        <v>--</v>
      </c>
      <c r="Y371" s="251" t="str">
        <f>IFERROR(__xludf.DUMMYFUNCTION("""COMPUTED_VALUE"""),"--")</f>
        <v>--</v>
      </c>
      <c r="Z371" s="251" t="str">
        <f>IFERROR(__xludf.DUMMYFUNCTION("""COMPUTED_VALUE"""),"--")</f>
        <v>--</v>
      </c>
      <c r="AA371" s="251" t="str">
        <f>IFERROR(__xludf.DUMMYFUNCTION("""COMPUTED_VALUE"""),"--")</f>
        <v>--</v>
      </c>
      <c r="AB371" s="251" t="str">
        <f>IFERROR(__xludf.DUMMYFUNCTION("""COMPUTED_VALUE"""),"--")</f>
        <v>--</v>
      </c>
      <c r="AC371" s="251" t="str">
        <f>IFERROR(__xludf.DUMMYFUNCTION("""COMPUTED_VALUE"""),"--")</f>
        <v>--</v>
      </c>
      <c r="AD371" s="251">
        <f>IFERROR(__xludf.DUMMYFUNCTION("""COMPUTED_VALUE"""),3.0)</f>
        <v>3</v>
      </c>
      <c r="AE371" s="251" t="str">
        <f>IFERROR(__xludf.DUMMYFUNCTION("""COMPUTED_VALUE"""),"Herbivore")</f>
        <v>Herbivore</v>
      </c>
    </row>
    <row r="372">
      <c r="A372" s="251" t="str">
        <f>IFERROR(__xludf.DUMMYFUNCTION("""COMPUTED_VALUE"""),"Togepi")</f>
        <v>Togepi</v>
      </c>
      <c r="B372" s="251" t="str">
        <f>IFERROR(__xludf.DUMMYFUNCTION("""COMPUTED_VALUE"""),"Fairy")</f>
        <v>Fairy</v>
      </c>
      <c r="C372" s="251" t="str">
        <f>IFERROR(__xludf.DUMMYFUNCTION("""COMPUTED_VALUE"""),"None")</f>
        <v>None</v>
      </c>
      <c r="D372" s="251">
        <f>IFERROR(__xludf.DUMMYFUNCTION("""COMPUTED_VALUE"""),4.0)</f>
        <v>4</v>
      </c>
      <c r="E372" s="251">
        <f>IFERROR(__xludf.DUMMYFUNCTION("""COMPUTED_VALUE"""),2.0)</f>
        <v>2</v>
      </c>
      <c r="F372" s="251">
        <f>IFERROR(__xludf.DUMMYFUNCTION("""COMPUTED_VALUE"""),7.0)</f>
        <v>7</v>
      </c>
      <c r="G372" s="251">
        <f>IFERROR(__xludf.DUMMYFUNCTION("""COMPUTED_VALUE"""),4.0)</f>
        <v>4</v>
      </c>
      <c r="H372" s="251">
        <f>IFERROR(__xludf.DUMMYFUNCTION("""COMPUTED_VALUE"""),7.0)</f>
        <v>7</v>
      </c>
      <c r="I372" s="251">
        <f>IFERROR(__xludf.DUMMYFUNCTION("""COMPUTED_VALUE"""),2.0)</f>
        <v>2</v>
      </c>
      <c r="J372" s="251">
        <f>IFERROR(__xludf.DUMMYFUNCTION("""COMPUTED_VALUE"""),1.0)</f>
        <v>1</v>
      </c>
      <c r="K372" s="251" t="str">
        <f>IFERROR(__xludf.DUMMYFUNCTION("""COMPUTED_VALUE"""),"Small")</f>
        <v>Small</v>
      </c>
      <c r="L372" s="251">
        <f>IFERROR(__xludf.DUMMYFUNCTION("""COMPUTED_VALUE"""),1.0)</f>
        <v>1</v>
      </c>
      <c r="M372" s="251" t="str">
        <f>IFERROR(__xludf.DUMMYFUNCTION("""COMPUTED_VALUE"""),"Urban")</f>
        <v>Urban</v>
      </c>
      <c r="N372" s="251" t="str">
        <f>IFERROR(__xludf.DUMMYFUNCTION("""COMPUTED_VALUE"""),"Slow")</f>
        <v>Slow</v>
      </c>
      <c r="O372" s="251" t="str">
        <f>IFERROR(__xludf.DUMMYFUNCTION("""COMPUTED_VALUE"""),"--")</f>
        <v>--</v>
      </c>
      <c r="P372" s="251" t="str">
        <f>IFERROR(__xludf.DUMMYFUNCTION("""COMPUTED_VALUE"""),"--")</f>
        <v>--</v>
      </c>
      <c r="Q372" s="251" t="str">
        <f>IFERROR(__xludf.DUMMYFUNCTION("""COMPUTED_VALUE"""),"--")</f>
        <v>--</v>
      </c>
      <c r="R372" s="251" t="str">
        <f>IFERROR(__xludf.DUMMYFUNCTION("""COMPUTED_VALUE"""),"Underdog")</f>
        <v>Underdog</v>
      </c>
      <c r="S372" s="251" t="str">
        <f>IFERROR(__xludf.DUMMYFUNCTION("""COMPUTED_VALUE"""),"--")</f>
        <v>--</v>
      </c>
      <c r="T372" s="251" t="str">
        <f>IFERROR(__xludf.DUMMYFUNCTION("""COMPUTED_VALUE"""),"--")</f>
        <v>--</v>
      </c>
      <c r="U372" s="251" t="str">
        <f>IFERROR(__xludf.DUMMYFUNCTION("""COMPUTED_VALUE"""),"--")</f>
        <v>--</v>
      </c>
      <c r="V372" s="251" t="str">
        <f>IFERROR(__xludf.DUMMYFUNCTION("""COMPUTED_VALUE"""),"--")</f>
        <v>--</v>
      </c>
      <c r="W372" s="251" t="str">
        <f>IFERROR(__xludf.DUMMYFUNCTION("""COMPUTED_VALUE"""),"--")</f>
        <v>--</v>
      </c>
      <c r="X372" s="251" t="str">
        <f>IFERROR(__xludf.DUMMYFUNCTION("""COMPUTED_VALUE"""),"--")</f>
        <v>--</v>
      </c>
      <c r="Y372" s="251" t="str">
        <f>IFERROR(__xludf.DUMMYFUNCTION("""COMPUTED_VALUE"""),"--")</f>
        <v>--</v>
      </c>
      <c r="Z372" s="251" t="str">
        <f>IFERROR(__xludf.DUMMYFUNCTION("""COMPUTED_VALUE"""),"--")</f>
        <v>--</v>
      </c>
      <c r="AA372" s="251" t="str">
        <f>IFERROR(__xludf.DUMMYFUNCTION("""COMPUTED_VALUE"""),"--")</f>
        <v>--</v>
      </c>
      <c r="AB372" s="251" t="str">
        <f>IFERROR(__xludf.DUMMYFUNCTION("""COMPUTED_VALUE"""),"--")</f>
        <v>--</v>
      </c>
      <c r="AC372" s="251" t="str">
        <f>IFERROR(__xludf.DUMMYFUNCTION("""COMPUTED_VALUE"""),"--")</f>
        <v>--</v>
      </c>
      <c r="AD372" s="251">
        <f>IFERROR(__xludf.DUMMYFUNCTION("""COMPUTED_VALUE"""),1.0)</f>
        <v>1</v>
      </c>
      <c r="AE372" s="251" t="str">
        <f>IFERROR(__xludf.DUMMYFUNCTION("""COMPUTED_VALUE"""),"Herbivore")</f>
        <v>Herbivore</v>
      </c>
    </row>
    <row r="373">
      <c r="A373" s="251" t="str">
        <f>IFERROR(__xludf.DUMMYFUNCTION("""COMPUTED_VALUE"""),"Togetic")</f>
        <v>Togetic</v>
      </c>
      <c r="B373" s="251" t="str">
        <f>IFERROR(__xludf.DUMMYFUNCTION("""COMPUTED_VALUE"""),"Fairy")</f>
        <v>Fairy</v>
      </c>
      <c r="C373" s="251" t="str">
        <f>IFERROR(__xludf.DUMMYFUNCTION("""COMPUTED_VALUE"""),"Flying")</f>
        <v>Flying</v>
      </c>
      <c r="D373" s="251">
        <f>IFERROR(__xludf.DUMMYFUNCTION("""COMPUTED_VALUE"""),6.0)</f>
        <v>6</v>
      </c>
      <c r="E373" s="251">
        <f>IFERROR(__xludf.DUMMYFUNCTION("""COMPUTED_VALUE"""),4.0)</f>
        <v>4</v>
      </c>
      <c r="F373" s="251">
        <f>IFERROR(__xludf.DUMMYFUNCTION("""COMPUTED_VALUE"""),9.0)</f>
        <v>9</v>
      </c>
      <c r="G373" s="251">
        <f>IFERROR(__xludf.DUMMYFUNCTION("""COMPUTED_VALUE"""),8.0)</f>
        <v>8</v>
      </c>
      <c r="H373" s="251">
        <f>IFERROR(__xludf.DUMMYFUNCTION("""COMPUTED_VALUE"""),11.0)</f>
        <v>11</v>
      </c>
      <c r="I373" s="251">
        <f>IFERROR(__xludf.DUMMYFUNCTION("""COMPUTED_VALUE"""),4.0)</f>
        <v>4</v>
      </c>
      <c r="J373" s="251">
        <f>IFERROR(__xludf.DUMMYFUNCTION("""COMPUTED_VALUE"""),3.0)</f>
        <v>3</v>
      </c>
      <c r="K373" s="251" t="str">
        <f>IFERROR(__xludf.DUMMYFUNCTION("""COMPUTED_VALUE"""),"Small")</f>
        <v>Small</v>
      </c>
      <c r="L373" s="251">
        <f>IFERROR(__xludf.DUMMYFUNCTION("""COMPUTED_VALUE"""),1.0)</f>
        <v>1</v>
      </c>
      <c r="M373" s="251" t="str">
        <f>IFERROR(__xludf.DUMMYFUNCTION("""COMPUTED_VALUE"""),"Urban")</f>
        <v>Urban</v>
      </c>
      <c r="N373" s="251" t="str">
        <f>IFERROR(__xludf.DUMMYFUNCTION("""COMPUTED_VALUE"""),"Flier")</f>
        <v>Flier</v>
      </c>
      <c r="O373" s="251" t="str">
        <f>IFERROR(__xludf.DUMMYFUNCTION("""COMPUTED_VALUE"""),"--")</f>
        <v>--</v>
      </c>
      <c r="P373" s="251" t="str">
        <f>IFERROR(__xludf.DUMMYFUNCTION("""COMPUTED_VALUE"""),"--")</f>
        <v>--</v>
      </c>
      <c r="Q373" s="251" t="str">
        <f>IFERROR(__xludf.DUMMYFUNCTION("""COMPUTED_VALUE"""),"--")</f>
        <v>--</v>
      </c>
      <c r="R373" s="251" t="str">
        <f>IFERROR(__xludf.DUMMYFUNCTION("""COMPUTED_VALUE"""),"Underdog")</f>
        <v>Underdog</v>
      </c>
      <c r="S373" s="251" t="str">
        <f>IFERROR(__xludf.DUMMYFUNCTION("""COMPUTED_VALUE"""),"--")</f>
        <v>--</v>
      </c>
      <c r="T373" s="251" t="str">
        <f>IFERROR(__xludf.DUMMYFUNCTION("""COMPUTED_VALUE"""),"--")</f>
        <v>--</v>
      </c>
      <c r="U373" s="251" t="str">
        <f>IFERROR(__xludf.DUMMYFUNCTION("""COMPUTED_VALUE"""),"--")</f>
        <v>--</v>
      </c>
      <c r="V373" s="251" t="str">
        <f>IFERROR(__xludf.DUMMYFUNCTION("""COMPUTED_VALUE"""),"--")</f>
        <v>--</v>
      </c>
      <c r="W373" s="251" t="str">
        <f>IFERROR(__xludf.DUMMYFUNCTION("""COMPUTED_VALUE"""),"--")</f>
        <v>--</v>
      </c>
      <c r="X373" s="251" t="str">
        <f>IFERROR(__xludf.DUMMYFUNCTION("""COMPUTED_VALUE"""),"--")</f>
        <v>--</v>
      </c>
      <c r="Y373" s="251" t="str">
        <f>IFERROR(__xludf.DUMMYFUNCTION("""COMPUTED_VALUE"""),"--")</f>
        <v>--</v>
      </c>
      <c r="Z373" s="251" t="str">
        <f>IFERROR(__xludf.DUMMYFUNCTION("""COMPUTED_VALUE"""),"--")</f>
        <v>--</v>
      </c>
      <c r="AA373" s="251" t="str">
        <f>IFERROR(__xludf.DUMMYFUNCTION("""COMPUTED_VALUE"""),"--")</f>
        <v>--</v>
      </c>
      <c r="AB373" s="251" t="str">
        <f>IFERROR(__xludf.DUMMYFUNCTION("""COMPUTED_VALUE"""),"--")</f>
        <v>--</v>
      </c>
      <c r="AC373" s="251" t="str">
        <f>IFERROR(__xludf.DUMMYFUNCTION("""COMPUTED_VALUE"""),"--")</f>
        <v>--</v>
      </c>
      <c r="AD373" s="251">
        <f>IFERROR(__xludf.DUMMYFUNCTION("""COMPUTED_VALUE"""),2.0)</f>
        <v>2</v>
      </c>
      <c r="AE373" s="251" t="str">
        <f>IFERROR(__xludf.DUMMYFUNCTION("""COMPUTED_VALUE"""),"Herbivore")</f>
        <v>Herbivore</v>
      </c>
    </row>
    <row r="374">
      <c r="A374" s="251" t="str">
        <f>IFERROR(__xludf.DUMMYFUNCTION("""COMPUTED_VALUE"""),"Togekiss")</f>
        <v>Togekiss</v>
      </c>
      <c r="B374" s="251" t="str">
        <f>IFERROR(__xludf.DUMMYFUNCTION("""COMPUTED_VALUE"""),"Fairy")</f>
        <v>Fairy</v>
      </c>
      <c r="C374" s="251" t="str">
        <f>IFERROR(__xludf.DUMMYFUNCTION("""COMPUTED_VALUE"""),"Flying")</f>
        <v>Flying</v>
      </c>
      <c r="D374" s="251">
        <f>IFERROR(__xludf.DUMMYFUNCTION("""COMPUTED_VALUE"""),9.0)</f>
        <v>9</v>
      </c>
      <c r="E374" s="251">
        <f>IFERROR(__xludf.DUMMYFUNCTION("""COMPUTED_VALUE"""),5.0)</f>
        <v>5</v>
      </c>
      <c r="F374" s="251">
        <f>IFERROR(__xludf.DUMMYFUNCTION("""COMPUTED_VALUE"""),10.0)</f>
        <v>10</v>
      </c>
      <c r="G374" s="251">
        <f>IFERROR(__xludf.DUMMYFUNCTION("""COMPUTED_VALUE"""),12.0)</f>
        <v>12</v>
      </c>
      <c r="H374" s="251">
        <f>IFERROR(__xludf.DUMMYFUNCTION("""COMPUTED_VALUE"""),12.0)</f>
        <v>12</v>
      </c>
      <c r="I374" s="251">
        <f>IFERROR(__xludf.DUMMYFUNCTION("""COMPUTED_VALUE"""),8.0)</f>
        <v>8</v>
      </c>
      <c r="J374" s="251">
        <f>IFERROR(__xludf.DUMMYFUNCTION("""COMPUTED_VALUE"""),6.0)</f>
        <v>6</v>
      </c>
      <c r="K374" s="251" t="str">
        <f>IFERROR(__xludf.DUMMYFUNCTION("""COMPUTED_VALUE"""),"Medium")</f>
        <v>Medium</v>
      </c>
      <c r="L374" s="251">
        <f>IFERROR(__xludf.DUMMYFUNCTION("""COMPUTED_VALUE"""),3.0)</f>
        <v>3</v>
      </c>
      <c r="M374" s="251" t="str">
        <f>IFERROR(__xludf.DUMMYFUNCTION("""COMPUTED_VALUE"""),"Urban")</f>
        <v>Urban</v>
      </c>
      <c r="N374" s="251" t="str">
        <f>IFERROR(__xludf.DUMMYFUNCTION("""COMPUTED_VALUE"""),"Flier")</f>
        <v>Flier</v>
      </c>
      <c r="O374" s="251" t="str">
        <f>IFERROR(__xludf.DUMMYFUNCTION("""COMPUTED_VALUE"""),"--")</f>
        <v>--</v>
      </c>
      <c r="P374" s="251" t="str">
        <f>IFERROR(__xludf.DUMMYFUNCTION("""COMPUTED_VALUE"""),"--")</f>
        <v>--</v>
      </c>
      <c r="Q374" s="251" t="str">
        <f>IFERROR(__xludf.DUMMYFUNCTION("""COMPUTED_VALUE"""),"--")</f>
        <v>--</v>
      </c>
      <c r="R374" s="251" t="str">
        <f>IFERROR(__xludf.DUMMYFUNCTION("""COMPUTED_VALUE"""),"--")</f>
        <v>--</v>
      </c>
      <c r="S374" s="251" t="str">
        <f>IFERROR(__xludf.DUMMYFUNCTION("""COMPUTED_VALUE"""),"--")</f>
        <v>--</v>
      </c>
      <c r="T374" s="251" t="str">
        <f>IFERROR(__xludf.DUMMYFUNCTION("""COMPUTED_VALUE"""),"--")</f>
        <v>--</v>
      </c>
      <c r="U374" s="251" t="str">
        <f>IFERROR(__xludf.DUMMYFUNCTION("""COMPUTED_VALUE"""),"--")</f>
        <v>--</v>
      </c>
      <c r="V374" s="251" t="str">
        <f>IFERROR(__xludf.DUMMYFUNCTION("""COMPUTED_VALUE"""),"--")</f>
        <v>--</v>
      </c>
      <c r="W374" s="251" t="str">
        <f>IFERROR(__xludf.DUMMYFUNCTION("""COMPUTED_VALUE"""),"--")</f>
        <v>--</v>
      </c>
      <c r="X374" s="251" t="str">
        <f>IFERROR(__xludf.DUMMYFUNCTION("""COMPUTED_VALUE"""),"--")</f>
        <v>--</v>
      </c>
      <c r="Y374" s="251" t="str">
        <f>IFERROR(__xludf.DUMMYFUNCTION("""COMPUTED_VALUE"""),"--")</f>
        <v>--</v>
      </c>
      <c r="Z374" s="251" t="str">
        <f>IFERROR(__xludf.DUMMYFUNCTION("""COMPUTED_VALUE"""),"--")</f>
        <v>--</v>
      </c>
      <c r="AA374" s="251" t="str">
        <f>IFERROR(__xludf.DUMMYFUNCTION("""COMPUTED_VALUE"""),"--")</f>
        <v>--</v>
      </c>
      <c r="AB374" s="251" t="str">
        <f>IFERROR(__xludf.DUMMYFUNCTION("""COMPUTED_VALUE"""),"--")</f>
        <v>--</v>
      </c>
      <c r="AC374" s="251" t="str">
        <f>IFERROR(__xludf.DUMMYFUNCTION("""COMPUTED_VALUE"""),"--")</f>
        <v>--</v>
      </c>
      <c r="AD374" s="251">
        <f>IFERROR(__xludf.DUMMYFUNCTION("""COMPUTED_VALUE"""),3.0)</f>
        <v>3</v>
      </c>
      <c r="AE374" s="251" t="str">
        <f>IFERROR(__xludf.DUMMYFUNCTION("""COMPUTED_VALUE"""),"Herbivore")</f>
        <v>Herbivore</v>
      </c>
    </row>
    <row r="375">
      <c r="A375" s="251" t="str">
        <f>IFERROR(__xludf.DUMMYFUNCTION("""COMPUTED_VALUE"""),"Flabebe")</f>
        <v>Flabebe</v>
      </c>
      <c r="B375" s="251" t="str">
        <f>IFERROR(__xludf.DUMMYFUNCTION("""COMPUTED_VALUE"""),"Fairy")</f>
        <v>Fairy</v>
      </c>
      <c r="C375" s="251" t="str">
        <f>IFERROR(__xludf.DUMMYFUNCTION("""COMPUTED_VALUE"""),"None")</f>
        <v>None</v>
      </c>
      <c r="D375" s="251">
        <f>IFERROR(__xludf.DUMMYFUNCTION("""COMPUTED_VALUE"""),4.0)</f>
        <v>4</v>
      </c>
      <c r="E375" s="251">
        <f>IFERROR(__xludf.DUMMYFUNCTION("""COMPUTED_VALUE"""),4.0)</f>
        <v>4</v>
      </c>
      <c r="F375" s="251">
        <f>IFERROR(__xludf.DUMMYFUNCTION("""COMPUTED_VALUE"""),4.0)</f>
        <v>4</v>
      </c>
      <c r="G375" s="251">
        <f>IFERROR(__xludf.DUMMYFUNCTION("""COMPUTED_VALUE"""),6.0)</f>
        <v>6</v>
      </c>
      <c r="H375" s="251">
        <f>IFERROR(__xludf.DUMMYFUNCTION("""COMPUTED_VALUE"""),8.0)</f>
        <v>8</v>
      </c>
      <c r="I375" s="251">
        <f>IFERROR(__xludf.DUMMYFUNCTION("""COMPUTED_VALUE"""),4.0)</f>
        <v>4</v>
      </c>
      <c r="J375" s="251">
        <f>IFERROR(__xludf.DUMMYFUNCTION("""COMPUTED_VALUE"""),1.0)</f>
        <v>1</v>
      </c>
      <c r="K375" s="251" t="str">
        <f>IFERROR(__xludf.DUMMYFUNCTION("""COMPUTED_VALUE"""),"Small")</f>
        <v>Small</v>
      </c>
      <c r="L375" s="251">
        <f>IFERROR(__xludf.DUMMYFUNCTION("""COMPUTED_VALUE"""),1.0)</f>
        <v>1</v>
      </c>
      <c r="M375" s="251" t="str">
        <f>IFERROR(__xludf.DUMMYFUNCTION("""COMPUTED_VALUE"""),"Grasslands")</f>
        <v>Grasslands</v>
      </c>
      <c r="N375" s="251" t="str">
        <f>IFERROR(__xludf.DUMMYFUNCTION("""COMPUTED_VALUE"""),"Flier")</f>
        <v>Flier</v>
      </c>
      <c r="O375" s="251" t="str">
        <f>IFERROR(__xludf.DUMMYFUNCTION("""COMPUTED_VALUE"""),"--")</f>
        <v>--</v>
      </c>
      <c r="P375" s="251" t="str">
        <f>IFERROR(__xludf.DUMMYFUNCTION("""COMPUTED_VALUE"""),"--")</f>
        <v>--</v>
      </c>
      <c r="Q375" s="251" t="str">
        <f>IFERROR(__xludf.DUMMYFUNCTION("""COMPUTED_VALUE"""),"--")</f>
        <v>--</v>
      </c>
      <c r="R375" s="251" t="str">
        <f>IFERROR(__xludf.DUMMYFUNCTION("""COMPUTED_VALUE"""),"Underdog")</f>
        <v>Underdog</v>
      </c>
      <c r="S375" s="251" t="str">
        <f>IFERROR(__xludf.DUMMYFUNCTION("""COMPUTED_VALUE"""),"--")</f>
        <v>--</v>
      </c>
      <c r="T375" s="251" t="str">
        <f>IFERROR(__xludf.DUMMYFUNCTION("""COMPUTED_VALUE"""),"--")</f>
        <v>--</v>
      </c>
      <c r="U375" s="251" t="str">
        <f>IFERROR(__xludf.DUMMYFUNCTION("""COMPUTED_VALUE"""),"--")</f>
        <v>--</v>
      </c>
      <c r="V375" s="251" t="str">
        <f>IFERROR(__xludf.DUMMYFUNCTION("""COMPUTED_VALUE"""),"Alluring")</f>
        <v>Alluring</v>
      </c>
      <c r="W375" s="251" t="str">
        <f>IFERROR(__xludf.DUMMYFUNCTION("""COMPUTED_VALUE"""),"--")</f>
        <v>--</v>
      </c>
      <c r="X375" s="251" t="str">
        <f>IFERROR(__xludf.DUMMYFUNCTION("""COMPUTED_VALUE"""),"--")</f>
        <v>--</v>
      </c>
      <c r="Y375" s="251" t="str">
        <f>IFERROR(__xludf.DUMMYFUNCTION("""COMPUTED_VALUE"""),"--")</f>
        <v>--</v>
      </c>
      <c r="Z375" s="251" t="str">
        <f>IFERROR(__xludf.DUMMYFUNCTION("""COMPUTED_VALUE"""),"--")</f>
        <v>--</v>
      </c>
      <c r="AA375" s="251" t="str">
        <f>IFERROR(__xludf.DUMMYFUNCTION("""COMPUTED_VALUE"""),"--")</f>
        <v>--</v>
      </c>
      <c r="AB375" s="251" t="str">
        <f>IFERROR(__xludf.DUMMYFUNCTION("""COMPUTED_VALUE"""),"--")</f>
        <v>--</v>
      </c>
      <c r="AC375" s="251" t="str">
        <f>IFERROR(__xludf.DUMMYFUNCTION("""COMPUTED_VALUE"""),"--")</f>
        <v>--</v>
      </c>
      <c r="AD375" s="251">
        <f>IFERROR(__xludf.DUMMYFUNCTION("""COMPUTED_VALUE"""),1.0)</f>
        <v>1</v>
      </c>
      <c r="AE375" s="251" t="str">
        <f>IFERROR(__xludf.DUMMYFUNCTION("""COMPUTED_VALUE"""),"Herbivore")</f>
        <v>Herbivore</v>
      </c>
    </row>
    <row r="376">
      <c r="A376" s="251" t="str">
        <f>IFERROR(__xludf.DUMMYFUNCTION("""COMPUTED_VALUE"""),"Floette")</f>
        <v>Floette</v>
      </c>
      <c r="B376" s="251" t="str">
        <f>IFERROR(__xludf.DUMMYFUNCTION("""COMPUTED_VALUE"""),"Fairy")</f>
        <v>Fairy</v>
      </c>
      <c r="C376" s="251" t="str">
        <f>IFERROR(__xludf.DUMMYFUNCTION("""COMPUTED_VALUE"""),"None")</f>
        <v>None</v>
      </c>
      <c r="D376" s="251">
        <f>IFERROR(__xludf.DUMMYFUNCTION("""COMPUTED_VALUE"""),5.0)</f>
        <v>5</v>
      </c>
      <c r="E376" s="251">
        <f>IFERROR(__xludf.DUMMYFUNCTION("""COMPUTED_VALUE"""),5.0)</f>
        <v>5</v>
      </c>
      <c r="F376" s="251">
        <f>IFERROR(__xludf.DUMMYFUNCTION("""COMPUTED_VALUE"""),5.0)</f>
        <v>5</v>
      </c>
      <c r="G376" s="251">
        <f>IFERROR(__xludf.DUMMYFUNCTION("""COMPUTED_VALUE"""),8.0)</f>
        <v>8</v>
      </c>
      <c r="H376" s="251">
        <f>IFERROR(__xludf.DUMMYFUNCTION("""COMPUTED_VALUE"""),10.0)</f>
        <v>10</v>
      </c>
      <c r="I376" s="251">
        <f>IFERROR(__xludf.DUMMYFUNCTION("""COMPUTED_VALUE"""),5.0)</f>
        <v>5</v>
      </c>
      <c r="J376" s="251">
        <f>IFERROR(__xludf.DUMMYFUNCTION("""COMPUTED_VALUE"""),1.0)</f>
        <v>1</v>
      </c>
      <c r="K376" s="251" t="str">
        <f>IFERROR(__xludf.DUMMYFUNCTION("""COMPUTED_VALUE"""),"Small")</f>
        <v>Small</v>
      </c>
      <c r="L376" s="251">
        <f>IFERROR(__xludf.DUMMYFUNCTION("""COMPUTED_VALUE"""),1.0)</f>
        <v>1</v>
      </c>
      <c r="M376" s="251" t="str">
        <f>IFERROR(__xludf.DUMMYFUNCTION("""COMPUTED_VALUE"""),"Grasslands")</f>
        <v>Grasslands</v>
      </c>
      <c r="N376" s="251" t="str">
        <f>IFERROR(__xludf.DUMMYFUNCTION("""COMPUTED_VALUE"""),"Flier")</f>
        <v>Flier</v>
      </c>
      <c r="O376" s="251" t="str">
        <f>IFERROR(__xludf.DUMMYFUNCTION("""COMPUTED_VALUE"""),"--")</f>
        <v>--</v>
      </c>
      <c r="P376" s="251" t="str">
        <f>IFERROR(__xludf.DUMMYFUNCTION("""COMPUTED_VALUE"""),"--")</f>
        <v>--</v>
      </c>
      <c r="Q376" s="251" t="str">
        <f>IFERROR(__xludf.DUMMYFUNCTION("""COMPUTED_VALUE"""),"--")</f>
        <v>--</v>
      </c>
      <c r="R376" s="251" t="str">
        <f>IFERROR(__xludf.DUMMYFUNCTION("""COMPUTED_VALUE"""),"Underdog")</f>
        <v>Underdog</v>
      </c>
      <c r="S376" s="251" t="str">
        <f>IFERROR(__xludf.DUMMYFUNCTION("""COMPUTED_VALUE"""),"--")</f>
        <v>--</v>
      </c>
      <c r="T376" s="251" t="str">
        <f>IFERROR(__xludf.DUMMYFUNCTION("""COMPUTED_VALUE"""),"--")</f>
        <v>--</v>
      </c>
      <c r="U376" s="251" t="str">
        <f>IFERROR(__xludf.DUMMYFUNCTION("""COMPUTED_VALUE"""),"--")</f>
        <v>--</v>
      </c>
      <c r="V376" s="251" t="str">
        <f>IFERROR(__xludf.DUMMYFUNCTION("""COMPUTED_VALUE"""),"Alluring")</f>
        <v>Alluring</v>
      </c>
      <c r="W376" s="251" t="str">
        <f>IFERROR(__xludf.DUMMYFUNCTION("""COMPUTED_VALUE"""),"--")</f>
        <v>--</v>
      </c>
      <c r="X376" s="251" t="str">
        <f>IFERROR(__xludf.DUMMYFUNCTION("""COMPUTED_VALUE"""),"--")</f>
        <v>--</v>
      </c>
      <c r="Y376" s="251" t="str">
        <f>IFERROR(__xludf.DUMMYFUNCTION("""COMPUTED_VALUE"""),"--")</f>
        <v>--</v>
      </c>
      <c r="Z376" s="251" t="str">
        <f>IFERROR(__xludf.DUMMYFUNCTION("""COMPUTED_VALUE"""),"--")</f>
        <v>--</v>
      </c>
      <c r="AA376" s="251" t="str">
        <f>IFERROR(__xludf.DUMMYFUNCTION("""COMPUTED_VALUE"""),"--")</f>
        <v>--</v>
      </c>
      <c r="AB376" s="251" t="str">
        <f>IFERROR(__xludf.DUMMYFUNCTION("""COMPUTED_VALUE"""),"--")</f>
        <v>--</v>
      </c>
      <c r="AC376" s="251" t="str">
        <f>IFERROR(__xludf.DUMMYFUNCTION("""COMPUTED_VALUE"""),"--")</f>
        <v>--</v>
      </c>
      <c r="AD376" s="251">
        <f>IFERROR(__xludf.DUMMYFUNCTION("""COMPUTED_VALUE"""),2.0)</f>
        <v>2</v>
      </c>
      <c r="AE376" s="251" t="str">
        <f>IFERROR(__xludf.DUMMYFUNCTION("""COMPUTED_VALUE"""),"Herbivore")</f>
        <v>Herbivore</v>
      </c>
    </row>
    <row r="377">
      <c r="A377" s="251" t="str">
        <f>IFERROR(__xludf.DUMMYFUNCTION("""COMPUTED_VALUE"""),"Florges")</f>
        <v>Florges</v>
      </c>
      <c r="B377" s="251" t="str">
        <f>IFERROR(__xludf.DUMMYFUNCTION("""COMPUTED_VALUE"""),"Fairy")</f>
        <v>Fairy</v>
      </c>
      <c r="C377" s="251" t="str">
        <f>IFERROR(__xludf.DUMMYFUNCTION("""COMPUTED_VALUE"""),"None")</f>
        <v>None</v>
      </c>
      <c r="D377" s="251">
        <f>IFERROR(__xludf.DUMMYFUNCTION("""COMPUTED_VALUE"""),8.0)</f>
        <v>8</v>
      </c>
      <c r="E377" s="251">
        <f>IFERROR(__xludf.DUMMYFUNCTION("""COMPUTED_VALUE"""),7.0)</f>
        <v>7</v>
      </c>
      <c r="F377" s="251">
        <f>IFERROR(__xludf.DUMMYFUNCTION("""COMPUTED_VALUE"""),7.0)</f>
        <v>7</v>
      </c>
      <c r="G377" s="251">
        <f>IFERROR(__xludf.DUMMYFUNCTION("""COMPUTED_VALUE"""),11.0)</f>
        <v>11</v>
      </c>
      <c r="H377" s="251">
        <f>IFERROR(__xludf.DUMMYFUNCTION("""COMPUTED_VALUE"""),15.0)</f>
        <v>15</v>
      </c>
      <c r="I377" s="251">
        <f>IFERROR(__xludf.DUMMYFUNCTION("""COMPUTED_VALUE"""),8.0)</f>
        <v>8</v>
      </c>
      <c r="J377" s="251">
        <f>IFERROR(__xludf.DUMMYFUNCTION("""COMPUTED_VALUE"""),2.0)</f>
        <v>2</v>
      </c>
      <c r="K377" s="251" t="str">
        <f>IFERROR(__xludf.DUMMYFUNCTION("""COMPUTED_VALUE"""),"Small")</f>
        <v>Small</v>
      </c>
      <c r="L377" s="251">
        <f>IFERROR(__xludf.DUMMYFUNCTION("""COMPUTED_VALUE"""),1.0)</f>
        <v>1</v>
      </c>
      <c r="M377" s="251" t="str">
        <f>IFERROR(__xludf.DUMMYFUNCTION("""COMPUTED_VALUE"""),"Grasslands")</f>
        <v>Grasslands</v>
      </c>
      <c r="N377" s="251" t="str">
        <f>IFERROR(__xludf.DUMMYFUNCTION("""COMPUTED_VALUE"""),"Flier")</f>
        <v>Flier</v>
      </c>
      <c r="O377" s="251" t="str">
        <f>IFERROR(__xludf.DUMMYFUNCTION("""COMPUTED_VALUE"""),"--")</f>
        <v>--</v>
      </c>
      <c r="P377" s="251" t="str">
        <f>IFERROR(__xludf.DUMMYFUNCTION("""COMPUTED_VALUE"""),"--")</f>
        <v>--</v>
      </c>
      <c r="Q377" s="251" t="str">
        <f>IFERROR(__xludf.DUMMYFUNCTION("""COMPUTED_VALUE"""),"--")</f>
        <v>--</v>
      </c>
      <c r="R377" s="251" t="str">
        <f>IFERROR(__xludf.DUMMYFUNCTION("""COMPUTED_VALUE"""),"--")</f>
        <v>--</v>
      </c>
      <c r="S377" s="251" t="str">
        <f>IFERROR(__xludf.DUMMYFUNCTION("""COMPUTED_VALUE"""),"--")</f>
        <v>--</v>
      </c>
      <c r="T377" s="251" t="str">
        <f>IFERROR(__xludf.DUMMYFUNCTION("""COMPUTED_VALUE"""),"--")</f>
        <v>--</v>
      </c>
      <c r="U377" s="251" t="str">
        <f>IFERROR(__xludf.DUMMYFUNCTION("""COMPUTED_VALUE"""),"--")</f>
        <v>--</v>
      </c>
      <c r="V377" s="251" t="str">
        <f>IFERROR(__xludf.DUMMYFUNCTION("""COMPUTED_VALUE"""),"Alluring")</f>
        <v>Alluring</v>
      </c>
      <c r="W377" s="251" t="str">
        <f>IFERROR(__xludf.DUMMYFUNCTION("""COMPUTED_VALUE"""),"--")</f>
        <v>--</v>
      </c>
      <c r="X377" s="251" t="str">
        <f>IFERROR(__xludf.DUMMYFUNCTION("""COMPUTED_VALUE"""),"--")</f>
        <v>--</v>
      </c>
      <c r="Y377" s="251" t="str">
        <f>IFERROR(__xludf.DUMMYFUNCTION("""COMPUTED_VALUE"""),"--")</f>
        <v>--</v>
      </c>
      <c r="Z377" s="251" t="str">
        <f>IFERROR(__xludf.DUMMYFUNCTION("""COMPUTED_VALUE"""),"--")</f>
        <v>--</v>
      </c>
      <c r="AA377" s="251" t="str">
        <f>IFERROR(__xludf.DUMMYFUNCTION("""COMPUTED_VALUE"""),"--")</f>
        <v>--</v>
      </c>
      <c r="AB377" s="251" t="str">
        <f>IFERROR(__xludf.DUMMYFUNCTION("""COMPUTED_VALUE"""),"--")</f>
        <v>--</v>
      </c>
      <c r="AC377" s="251" t="str">
        <f>IFERROR(__xludf.DUMMYFUNCTION("""COMPUTED_VALUE"""),"--")</f>
        <v>--</v>
      </c>
      <c r="AD377" s="251">
        <f>IFERROR(__xludf.DUMMYFUNCTION("""COMPUTED_VALUE"""),3.0)</f>
        <v>3</v>
      </c>
      <c r="AE377" s="251" t="str">
        <f>IFERROR(__xludf.DUMMYFUNCTION("""COMPUTED_VALUE"""),"Herbivore")</f>
        <v>Herbivore</v>
      </c>
    </row>
    <row r="378">
      <c r="A378" s="251" t="str">
        <f>IFERROR(__xludf.DUMMYFUNCTION("""COMPUTED_VALUE"""),"Tinkatink")</f>
        <v>Tinkatink</v>
      </c>
      <c r="B378" s="251" t="str">
        <f>IFERROR(__xludf.DUMMYFUNCTION("""COMPUTED_VALUE"""),"Fairy")</f>
        <v>Fairy</v>
      </c>
      <c r="C378" s="251" t="str">
        <f>IFERROR(__xludf.DUMMYFUNCTION("""COMPUTED_VALUE"""),"Steel")</f>
        <v>Steel</v>
      </c>
      <c r="D378" s="251">
        <f>IFERROR(__xludf.DUMMYFUNCTION("""COMPUTED_VALUE"""),5.0)</f>
        <v>5</v>
      </c>
      <c r="E378" s="251">
        <f>IFERROR(__xludf.DUMMYFUNCTION("""COMPUTED_VALUE"""),6.0)</f>
        <v>6</v>
      </c>
      <c r="F378" s="251">
        <f>IFERROR(__xludf.DUMMYFUNCTION("""COMPUTED_VALUE"""),5.0)</f>
        <v>5</v>
      </c>
      <c r="G378" s="251">
        <f>IFERROR(__xludf.DUMMYFUNCTION("""COMPUTED_VALUE"""),4.0)</f>
        <v>4</v>
      </c>
      <c r="H378" s="251">
        <f>IFERROR(__xludf.DUMMYFUNCTION("""COMPUTED_VALUE"""),6.0)</f>
        <v>6</v>
      </c>
      <c r="I378" s="251">
        <f>IFERROR(__xludf.DUMMYFUNCTION("""COMPUTED_VALUE"""),5.0)</f>
        <v>5</v>
      </c>
      <c r="J378" s="251">
        <f>IFERROR(__xludf.DUMMYFUNCTION("""COMPUTED_VALUE"""),5.0)</f>
        <v>5</v>
      </c>
      <c r="K378" s="251" t="str">
        <f>IFERROR(__xludf.DUMMYFUNCTION("""COMPUTED_VALUE"""),"Small")</f>
        <v>Small</v>
      </c>
      <c r="L378" s="251">
        <f>IFERROR(__xludf.DUMMYFUNCTION("""COMPUTED_VALUE"""),1.0)</f>
        <v>1</v>
      </c>
      <c r="M378" s="251" t="str">
        <f>IFERROR(__xludf.DUMMYFUNCTION("""COMPUTED_VALUE"""),"Urban")</f>
        <v>Urban</v>
      </c>
      <c r="N378" s="251" t="str">
        <f>IFERROR(__xludf.DUMMYFUNCTION("""COMPUTED_VALUE"""),"--")</f>
        <v>--</v>
      </c>
      <c r="O378" s="251" t="str">
        <f>IFERROR(__xludf.DUMMYFUNCTION("""COMPUTED_VALUE"""),"--")</f>
        <v>--</v>
      </c>
      <c r="P378" s="251" t="str">
        <f>IFERROR(__xludf.DUMMYFUNCTION("""COMPUTED_VALUE"""),"--")</f>
        <v>--</v>
      </c>
      <c r="Q378" s="251" t="str">
        <f>IFERROR(__xludf.DUMMYFUNCTION("""COMPUTED_VALUE"""),"--")</f>
        <v>--</v>
      </c>
      <c r="R378" s="251" t="str">
        <f>IFERROR(__xludf.DUMMYFUNCTION("""COMPUTED_VALUE"""),"Wielder (Melee, Small)")</f>
        <v>Wielder (Melee, Small)</v>
      </c>
      <c r="S378" s="251" t="str">
        <f>IFERROR(__xludf.DUMMYFUNCTION("""COMPUTED_VALUE"""),"Underdog")</f>
        <v>Underdog</v>
      </c>
      <c r="T378" s="251" t="str">
        <f>IFERROR(__xludf.DUMMYFUNCTION("""COMPUTED_VALUE"""),"--")</f>
        <v>--</v>
      </c>
      <c r="U378" s="251" t="str">
        <f>IFERROR(__xludf.DUMMYFUNCTION("""COMPUTED_VALUE"""),"--")</f>
        <v>--</v>
      </c>
      <c r="V378" s="251" t="str">
        <f>IFERROR(__xludf.DUMMYFUNCTION("""COMPUTED_VALUE"""),"--")</f>
        <v>--</v>
      </c>
      <c r="W378" s="251" t="str">
        <f>IFERROR(__xludf.DUMMYFUNCTION("""COMPUTED_VALUE"""),"--")</f>
        <v>--</v>
      </c>
      <c r="X378" s="251" t="str">
        <f>IFERROR(__xludf.DUMMYFUNCTION("""COMPUTED_VALUE"""),"--")</f>
        <v>--</v>
      </c>
      <c r="Y378" s="251" t="str">
        <f>IFERROR(__xludf.DUMMYFUNCTION("""COMPUTED_VALUE"""),"--")</f>
        <v>--</v>
      </c>
      <c r="Z378" s="251" t="str">
        <f>IFERROR(__xludf.DUMMYFUNCTION("""COMPUTED_VALUE"""),"--")</f>
        <v>--</v>
      </c>
      <c r="AA378" s="251" t="str">
        <f>IFERROR(__xludf.DUMMYFUNCTION("""COMPUTED_VALUE"""),"--")</f>
        <v>--</v>
      </c>
      <c r="AB378" s="251" t="str">
        <f>IFERROR(__xludf.DUMMYFUNCTION("""COMPUTED_VALUE"""),"--")</f>
        <v>--</v>
      </c>
      <c r="AC378" s="251" t="str">
        <f>IFERROR(__xludf.DUMMYFUNCTION("""COMPUTED_VALUE"""),"--")</f>
        <v>--</v>
      </c>
      <c r="AD378" s="251">
        <f>IFERROR(__xludf.DUMMYFUNCTION("""COMPUTED_VALUE"""),1.0)</f>
        <v>1</v>
      </c>
      <c r="AE378" s="251" t="str">
        <f>IFERROR(__xludf.DUMMYFUNCTION("""COMPUTED_VALUE"""),"Herbivore")</f>
        <v>Herbivore</v>
      </c>
    </row>
    <row r="379">
      <c r="A379" s="251" t="str">
        <f>IFERROR(__xludf.DUMMYFUNCTION("""COMPUTED_VALUE"""),"Tinkatuff")</f>
        <v>Tinkatuff</v>
      </c>
      <c r="B379" s="251" t="str">
        <f>IFERROR(__xludf.DUMMYFUNCTION("""COMPUTED_VALUE"""),"Fairy")</f>
        <v>Fairy</v>
      </c>
      <c r="C379" s="251" t="str">
        <f>IFERROR(__xludf.DUMMYFUNCTION("""COMPUTED_VALUE"""),"Steel")</f>
        <v>Steel</v>
      </c>
      <c r="D379" s="251">
        <f>IFERROR(__xludf.DUMMYFUNCTION("""COMPUTED_VALUE"""),7.0)</f>
        <v>7</v>
      </c>
      <c r="E379" s="251">
        <f>IFERROR(__xludf.DUMMYFUNCTION("""COMPUTED_VALUE"""),8.0)</f>
        <v>8</v>
      </c>
      <c r="F379" s="251">
        <f>IFERROR(__xludf.DUMMYFUNCTION("""COMPUTED_VALUE"""),6.0)</f>
        <v>6</v>
      </c>
      <c r="G379" s="251">
        <f>IFERROR(__xludf.DUMMYFUNCTION("""COMPUTED_VALUE"""),5.0)</f>
        <v>5</v>
      </c>
      <c r="H379" s="251">
        <f>IFERROR(__xludf.DUMMYFUNCTION("""COMPUTED_VALUE"""),8.0)</f>
        <v>8</v>
      </c>
      <c r="I379" s="251">
        <f>IFERROR(__xludf.DUMMYFUNCTION("""COMPUTED_VALUE"""),6.0)</f>
        <v>6</v>
      </c>
      <c r="J379" s="251">
        <f>IFERROR(__xludf.DUMMYFUNCTION("""COMPUTED_VALUE"""),5.0)</f>
        <v>5</v>
      </c>
      <c r="K379" s="251" t="str">
        <f>IFERROR(__xludf.DUMMYFUNCTION("""COMPUTED_VALUE"""),"Small")</f>
        <v>Small</v>
      </c>
      <c r="L379" s="251">
        <f>IFERROR(__xludf.DUMMYFUNCTION("""COMPUTED_VALUE"""),4.0)</f>
        <v>4</v>
      </c>
      <c r="M379" s="251" t="str">
        <f>IFERROR(__xludf.DUMMYFUNCTION("""COMPUTED_VALUE"""),"Urban")</f>
        <v>Urban</v>
      </c>
      <c r="N379" s="251" t="str">
        <f>IFERROR(__xludf.DUMMYFUNCTION("""COMPUTED_VALUE"""),"--")</f>
        <v>--</v>
      </c>
      <c r="O379" s="251" t="str">
        <f>IFERROR(__xludf.DUMMYFUNCTION("""COMPUTED_VALUE"""),"--")</f>
        <v>--</v>
      </c>
      <c r="P379" s="251" t="str">
        <f>IFERROR(__xludf.DUMMYFUNCTION("""COMPUTED_VALUE"""),"--")</f>
        <v>--</v>
      </c>
      <c r="Q379" s="251" t="str">
        <f>IFERROR(__xludf.DUMMYFUNCTION("""COMPUTED_VALUE"""),"--")</f>
        <v>--</v>
      </c>
      <c r="R379" s="251" t="str">
        <f>IFERROR(__xludf.DUMMYFUNCTION("""COMPUTED_VALUE"""),"Wielder (Melee)")</f>
        <v>Wielder (Melee)</v>
      </c>
      <c r="S379" s="251" t="str">
        <f>IFERROR(__xludf.DUMMYFUNCTION("""COMPUTED_VALUE"""),"Underdog")</f>
        <v>Underdog</v>
      </c>
      <c r="T379" s="251" t="str">
        <f>IFERROR(__xludf.DUMMYFUNCTION("""COMPUTED_VALUE"""),"--")</f>
        <v>--</v>
      </c>
      <c r="U379" s="251" t="str">
        <f>IFERROR(__xludf.DUMMYFUNCTION("""COMPUTED_VALUE"""),"--")</f>
        <v>--</v>
      </c>
      <c r="V379" s="251" t="str">
        <f>IFERROR(__xludf.DUMMYFUNCTION("""COMPUTED_VALUE"""),"--")</f>
        <v>--</v>
      </c>
      <c r="W379" s="251" t="str">
        <f>IFERROR(__xludf.DUMMYFUNCTION("""COMPUTED_VALUE"""),"--")</f>
        <v>--</v>
      </c>
      <c r="X379" s="251" t="str">
        <f>IFERROR(__xludf.DUMMYFUNCTION("""COMPUTED_VALUE"""),"--")</f>
        <v>--</v>
      </c>
      <c r="Y379" s="251" t="str">
        <f>IFERROR(__xludf.DUMMYFUNCTION("""COMPUTED_VALUE"""),"--")</f>
        <v>--</v>
      </c>
      <c r="Z379" s="251" t="str">
        <f>IFERROR(__xludf.DUMMYFUNCTION("""COMPUTED_VALUE"""),"--")</f>
        <v>--</v>
      </c>
      <c r="AA379" s="251" t="str">
        <f>IFERROR(__xludf.DUMMYFUNCTION("""COMPUTED_VALUE"""),"--")</f>
        <v>--</v>
      </c>
      <c r="AB379" s="251" t="str">
        <f>IFERROR(__xludf.DUMMYFUNCTION("""COMPUTED_VALUE"""),"--")</f>
        <v>--</v>
      </c>
      <c r="AC379" s="251" t="str">
        <f>IFERROR(__xludf.DUMMYFUNCTION("""COMPUTED_VALUE"""),"--")</f>
        <v>--</v>
      </c>
      <c r="AD379" s="251">
        <f>IFERROR(__xludf.DUMMYFUNCTION("""COMPUTED_VALUE"""),2.0)</f>
        <v>2</v>
      </c>
      <c r="AE379" s="251" t="str">
        <f>IFERROR(__xludf.DUMMYFUNCTION("""COMPUTED_VALUE"""),"Herbivore")</f>
        <v>Herbivore</v>
      </c>
    </row>
    <row r="380">
      <c r="A380" s="251" t="str">
        <f>IFERROR(__xludf.DUMMYFUNCTION("""COMPUTED_VALUE"""),"Tinkaton")</f>
        <v>Tinkaton</v>
      </c>
      <c r="B380" s="251" t="str">
        <f>IFERROR(__xludf.DUMMYFUNCTION("""COMPUTED_VALUE"""),"Fairy")</f>
        <v>Fairy</v>
      </c>
      <c r="C380" s="251" t="str">
        <f>IFERROR(__xludf.DUMMYFUNCTION("""COMPUTED_VALUE"""),"Steel")</f>
        <v>Steel</v>
      </c>
      <c r="D380" s="251">
        <f>IFERROR(__xludf.DUMMYFUNCTION("""COMPUTED_VALUE"""),9.0)</f>
        <v>9</v>
      </c>
      <c r="E380" s="251">
        <f>IFERROR(__xludf.DUMMYFUNCTION("""COMPUTED_VALUE"""),11.0)</f>
        <v>11</v>
      </c>
      <c r="F380" s="251">
        <f>IFERROR(__xludf.DUMMYFUNCTION("""COMPUTED_VALUE"""),8.0)</f>
        <v>8</v>
      </c>
      <c r="G380" s="251">
        <f>IFERROR(__xludf.DUMMYFUNCTION("""COMPUTED_VALUE"""),6.0)</f>
        <v>6</v>
      </c>
      <c r="H380" s="251">
        <f>IFERROR(__xludf.DUMMYFUNCTION("""COMPUTED_VALUE"""),11.0)</f>
        <v>11</v>
      </c>
      <c r="I380" s="251">
        <f>IFERROR(__xludf.DUMMYFUNCTION("""COMPUTED_VALUE"""),7.0)</f>
        <v>7</v>
      </c>
      <c r="J380" s="251">
        <f>IFERROR(__xludf.DUMMYFUNCTION("""COMPUTED_VALUE"""),11.0)</f>
        <v>11</v>
      </c>
      <c r="K380" s="251" t="str">
        <f>IFERROR(__xludf.DUMMYFUNCTION("""COMPUTED_VALUE"""),"Small")</f>
        <v>Small</v>
      </c>
      <c r="L380" s="251">
        <f>IFERROR(__xludf.DUMMYFUNCTION("""COMPUTED_VALUE"""),5.0)</f>
        <v>5</v>
      </c>
      <c r="M380" s="251" t="str">
        <f>IFERROR(__xludf.DUMMYFUNCTION("""COMPUTED_VALUE"""),"Urban")</f>
        <v>Urban</v>
      </c>
      <c r="N380" s="251" t="str">
        <f>IFERROR(__xludf.DUMMYFUNCTION("""COMPUTED_VALUE"""),"--")</f>
        <v>--</v>
      </c>
      <c r="O380" s="251" t="str">
        <f>IFERROR(__xludf.DUMMYFUNCTION("""COMPUTED_VALUE"""),"--")</f>
        <v>--</v>
      </c>
      <c r="P380" s="251" t="str">
        <f>IFERROR(__xludf.DUMMYFUNCTION("""COMPUTED_VALUE"""),"--")</f>
        <v>--</v>
      </c>
      <c r="Q380" s="251" t="str">
        <f>IFERROR(__xludf.DUMMYFUNCTION("""COMPUTED_VALUE"""),"--")</f>
        <v>--</v>
      </c>
      <c r="R380" s="251" t="str">
        <f>IFERROR(__xludf.DUMMYFUNCTION("""COMPUTED_VALUE"""),"Reach")</f>
        <v>Reach</v>
      </c>
      <c r="S380" s="251" t="str">
        <f>IFERROR(__xludf.DUMMYFUNCTION("""COMPUTED_VALUE"""),"Wielder (Melee)")</f>
        <v>Wielder (Melee)</v>
      </c>
      <c r="T380" s="251" t="str">
        <f>IFERROR(__xludf.DUMMYFUNCTION("""COMPUTED_VALUE"""),"--")</f>
        <v>--</v>
      </c>
      <c r="U380" s="251" t="str">
        <f>IFERROR(__xludf.DUMMYFUNCTION("""COMPUTED_VALUE"""),"--")</f>
        <v>--</v>
      </c>
      <c r="V380" s="251" t="str">
        <f>IFERROR(__xludf.DUMMYFUNCTION("""COMPUTED_VALUE"""),"--")</f>
        <v>--</v>
      </c>
      <c r="W380" s="251" t="str">
        <f>IFERROR(__xludf.DUMMYFUNCTION("""COMPUTED_VALUE"""),"--")</f>
        <v>--</v>
      </c>
      <c r="X380" s="251" t="str">
        <f>IFERROR(__xludf.DUMMYFUNCTION("""COMPUTED_VALUE"""),"--")</f>
        <v>--</v>
      </c>
      <c r="Y380" s="251" t="str">
        <f>IFERROR(__xludf.DUMMYFUNCTION("""COMPUTED_VALUE"""),"--")</f>
        <v>--</v>
      </c>
      <c r="Z380" s="251" t="str">
        <f>IFERROR(__xludf.DUMMYFUNCTION("""COMPUTED_VALUE"""),"--")</f>
        <v>--</v>
      </c>
      <c r="AA380" s="251" t="str">
        <f>IFERROR(__xludf.DUMMYFUNCTION("""COMPUTED_VALUE"""),"--")</f>
        <v>--</v>
      </c>
      <c r="AB380" s="251" t="str">
        <f>IFERROR(__xludf.DUMMYFUNCTION("""COMPUTED_VALUE"""),"--")</f>
        <v>--</v>
      </c>
      <c r="AC380" s="251" t="str">
        <f>IFERROR(__xludf.DUMMYFUNCTION("""COMPUTED_VALUE"""),"--")</f>
        <v>--</v>
      </c>
      <c r="AD380" s="251">
        <f>IFERROR(__xludf.DUMMYFUNCTION("""COMPUTED_VALUE"""),3.0)</f>
        <v>3</v>
      </c>
      <c r="AE380" s="251" t="str">
        <f>IFERROR(__xludf.DUMMYFUNCTION("""COMPUTED_VALUE"""),"Herbivore")</f>
        <v>Herbivore</v>
      </c>
    </row>
    <row r="381">
      <c r="A381" s="251" t="str">
        <f>IFERROR(__xludf.DUMMYFUNCTION("""COMPUTED_VALUE"""),"Machop")</f>
        <v>Machop</v>
      </c>
      <c r="B381" s="251" t="str">
        <f>IFERROR(__xludf.DUMMYFUNCTION("""COMPUTED_VALUE"""),"Fighting")</f>
        <v>Fighting</v>
      </c>
      <c r="C381" s="251" t="str">
        <f>IFERROR(__xludf.DUMMYFUNCTION("""COMPUTED_VALUE"""),"None")</f>
        <v>None</v>
      </c>
      <c r="D381" s="251">
        <f>IFERROR(__xludf.DUMMYFUNCTION("""COMPUTED_VALUE"""),7.0)</f>
        <v>7</v>
      </c>
      <c r="E381" s="251">
        <f>IFERROR(__xludf.DUMMYFUNCTION("""COMPUTED_VALUE"""),8.0)</f>
        <v>8</v>
      </c>
      <c r="F381" s="251">
        <f>IFERROR(__xludf.DUMMYFUNCTION("""COMPUTED_VALUE"""),5.0)</f>
        <v>5</v>
      </c>
      <c r="G381" s="251">
        <f>IFERROR(__xludf.DUMMYFUNCTION("""COMPUTED_VALUE"""),4.0)</f>
        <v>4</v>
      </c>
      <c r="H381" s="251">
        <f>IFERROR(__xludf.DUMMYFUNCTION("""COMPUTED_VALUE"""),4.0)</f>
        <v>4</v>
      </c>
      <c r="I381" s="251">
        <f>IFERROR(__xludf.DUMMYFUNCTION("""COMPUTED_VALUE"""),4.0)</f>
        <v>4</v>
      </c>
      <c r="J381" s="251">
        <f>IFERROR(__xludf.DUMMYFUNCTION("""COMPUTED_VALUE"""),5.0)</f>
        <v>5</v>
      </c>
      <c r="K381" s="251" t="str">
        <f>IFERROR(__xludf.DUMMYFUNCTION("""COMPUTED_VALUE"""),"Small")</f>
        <v>Small</v>
      </c>
      <c r="L381" s="251">
        <f>IFERROR(__xludf.DUMMYFUNCTION("""COMPUTED_VALUE"""),2.0)</f>
        <v>2</v>
      </c>
      <c r="M381" s="251" t="str">
        <f>IFERROR(__xludf.DUMMYFUNCTION("""COMPUTED_VALUE"""),"Urban")</f>
        <v>Urban</v>
      </c>
      <c r="N381" s="251" t="str">
        <f>IFERROR(__xludf.DUMMYFUNCTION("""COMPUTED_VALUE"""),"--")</f>
        <v>--</v>
      </c>
      <c r="O381" s="251" t="str">
        <f>IFERROR(__xludf.DUMMYFUNCTION("""COMPUTED_VALUE"""),"--")</f>
        <v>--</v>
      </c>
      <c r="P381" s="251" t="str">
        <f>IFERROR(__xludf.DUMMYFUNCTION("""COMPUTED_VALUE"""),"--")</f>
        <v>--</v>
      </c>
      <c r="Q381" s="251" t="str">
        <f>IFERROR(__xludf.DUMMYFUNCTION("""COMPUTED_VALUE"""),"--")</f>
        <v>--</v>
      </c>
      <c r="R381" s="251" t="str">
        <f>IFERROR(__xludf.DUMMYFUNCTION("""COMPUTED_VALUE"""),"Underdog")</f>
        <v>Underdog</v>
      </c>
      <c r="S381" s="251" t="str">
        <f>IFERROR(__xludf.DUMMYFUNCTION("""COMPUTED_VALUE"""),"--")</f>
        <v>--</v>
      </c>
      <c r="T381" s="251" t="str">
        <f>IFERROR(__xludf.DUMMYFUNCTION("""COMPUTED_VALUE"""),"--")</f>
        <v>--</v>
      </c>
      <c r="U381" s="251" t="str">
        <f>IFERROR(__xludf.DUMMYFUNCTION("""COMPUTED_VALUE"""),"--")</f>
        <v>--</v>
      </c>
      <c r="V381" s="251" t="str">
        <f>IFERROR(__xludf.DUMMYFUNCTION("""COMPUTED_VALUE"""),"--")</f>
        <v>--</v>
      </c>
      <c r="W381" s="251" t="str">
        <f>IFERROR(__xludf.DUMMYFUNCTION("""COMPUTED_VALUE"""),"--")</f>
        <v>--</v>
      </c>
      <c r="X381" s="251" t="str">
        <f>IFERROR(__xludf.DUMMYFUNCTION("""COMPUTED_VALUE"""),"--")</f>
        <v>--</v>
      </c>
      <c r="Y381" s="251" t="str">
        <f>IFERROR(__xludf.DUMMYFUNCTION("""COMPUTED_VALUE"""),"--")</f>
        <v>--</v>
      </c>
      <c r="Z381" s="251" t="str">
        <f>IFERROR(__xludf.DUMMYFUNCTION("""COMPUTED_VALUE"""),"--")</f>
        <v>--</v>
      </c>
      <c r="AA381" s="251" t="str">
        <f>IFERROR(__xludf.DUMMYFUNCTION("""COMPUTED_VALUE"""),"--")</f>
        <v>--</v>
      </c>
      <c r="AB381" s="251" t="str">
        <f>IFERROR(__xludf.DUMMYFUNCTION("""COMPUTED_VALUE"""),"--")</f>
        <v>--</v>
      </c>
      <c r="AC381" s="251" t="str">
        <f>IFERROR(__xludf.DUMMYFUNCTION("""COMPUTED_VALUE"""),"--")</f>
        <v>--</v>
      </c>
      <c r="AD381" s="251">
        <f>IFERROR(__xludf.DUMMYFUNCTION("""COMPUTED_VALUE"""),1.0)</f>
        <v>1</v>
      </c>
      <c r="AE381" s="251" t="str">
        <f>IFERROR(__xludf.DUMMYFUNCTION("""COMPUTED_VALUE"""),"Omnivore")</f>
        <v>Omnivore</v>
      </c>
    </row>
    <row r="382">
      <c r="A382" s="251" t="str">
        <f>IFERROR(__xludf.DUMMYFUNCTION("""COMPUTED_VALUE"""),"Machoke")</f>
        <v>Machoke</v>
      </c>
      <c r="B382" s="251" t="str">
        <f>IFERROR(__xludf.DUMMYFUNCTION("""COMPUTED_VALUE"""),"Fighting")</f>
        <v>Fighting</v>
      </c>
      <c r="C382" s="251" t="str">
        <f>IFERROR(__xludf.DUMMYFUNCTION("""COMPUTED_VALUE"""),"None")</f>
        <v>None</v>
      </c>
      <c r="D382" s="251">
        <f>IFERROR(__xludf.DUMMYFUNCTION("""COMPUTED_VALUE"""),8.0)</f>
        <v>8</v>
      </c>
      <c r="E382" s="251">
        <f>IFERROR(__xludf.DUMMYFUNCTION("""COMPUTED_VALUE"""),10.0)</f>
        <v>10</v>
      </c>
      <c r="F382" s="251">
        <f>IFERROR(__xludf.DUMMYFUNCTION("""COMPUTED_VALUE"""),7.0)</f>
        <v>7</v>
      </c>
      <c r="G382" s="251">
        <f>IFERROR(__xludf.DUMMYFUNCTION("""COMPUTED_VALUE"""),5.0)</f>
        <v>5</v>
      </c>
      <c r="H382" s="251">
        <f>IFERROR(__xludf.DUMMYFUNCTION("""COMPUTED_VALUE"""),6.0)</f>
        <v>6</v>
      </c>
      <c r="I382" s="251">
        <f>IFERROR(__xludf.DUMMYFUNCTION("""COMPUTED_VALUE"""),5.0)</f>
        <v>5</v>
      </c>
      <c r="J382" s="251">
        <f>IFERROR(__xludf.DUMMYFUNCTION("""COMPUTED_VALUE"""),8.0)</f>
        <v>8</v>
      </c>
      <c r="K382" s="251" t="str">
        <f>IFERROR(__xludf.DUMMYFUNCTION("""COMPUTED_VALUE"""),"Medium")</f>
        <v>Medium</v>
      </c>
      <c r="L382" s="251">
        <f>IFERROR(__xludf.DUMMYFUNCTION("""COMPUTED_VALUE"""),4.0)</f>
        <v>4</v>
      </c>
      <c r="M382" s="251" t="str">
        <f>IFERROR(__xludf.DUMMYFUNCTION("""COMPUTED_VALUE"""),"Urban")</f>
        <v>Urban</v>
      </c>
      <c r="N382" s="251" t="str">
        <f>IFERROR(__xludf.DUMMYFUNCTION("""COMPUTED_VALUE"""),"--")</f>
        <v>--</v>
      </c>
      <c r="O382" s="251" t="str">
        <f>IFERROR(__xludf.DUMMYFUNCTION("""COMPUTED_VALUE"""),"--")</f>
        <v>--</v>
      </c>
      <c r="P382" s="251" t="str">
        <f>IFERROR(__xludf.DUMMYFUNCTION("""COMPUTED_VALUE"""),"--")</f>
        <v>--</v>
      </c>
      <c r="Q382" s="251" t="str">
        <f>IFERROR(__xludf.DUMMYFUNCTION("""COMPUTED_VALUE"""),"--")</f>
        <v>--</v>
      </c>
      <c r="R382" s="251" t="str">
        <f>IFERROR(__xludf.DUMMYFUNCTION("""COMPUTED_VALUE"""),"Underdog")</f>
        <v>Underdog</v>
      </c>
      <c r="S382" s="251" t="str">
        <f>IFERROR(__xludf.DUMMYFUNCTION("""COMPUTED_VALUE"""),"--")</f>
        <v>--</v>
      </c>
      <c r="T382" s="251" t="str">
        <f>IFERROR(__xludf.DUMMYFUNCTION("""COMPUTED_VALUE"""),"--")</f>
        <v>--</v>
      </c>
      <c r="U382" s="251" t="str">
        <f>IFERROR(__xludf.DUMMYFUNCTION("""COMPUTED_VALUE"""),"--")</f>
        <v>--</v>
      </c>
      <c r="V382" s="251" t="str">
        <f>IFERROR(__xludf.DUMMYFUNCTION("""COMPUTED_VALUE"""),"--")</f>
        <v>--</v>
      </c>
      <c r="W382" s="251" t="str">
        <f>IFERROR(__xludf.DUMMYFUNCTION("""COMPUTED_VALUE"""),"--")</f>
        <v>--</v>
      </c>
      <c r="X382" s="251" t="str">
        <f>IFERROR(__xludf.DUMMYFUNCTION("""COMPUTED_VALUE"""),"--")</f>
        <v>--</v>
      </c>
      <c r="Y382" s="251" t="str">
        <f>IFERROR(__xludf.DUMMYFUNCTION("""COMPUTED_VALUE"""),"--")</f>
        <v>--</v>
      </c>
      <c r="Z382" s="251" t="str">
        <f>IFERROR(__xludf.DUMMYFUNCTION("""COMPUTED_VALUE"""),"--")</f>
        <v>--</v>
      </c>
      <c r="AA382" s="251" t="str">
        <f>IFERROR(__xludf.DUMMYFUNCTION("""COMPUTED_VALUE"""),"--")</f>
        <v>--</v>
      </c>
      <c r="AB382" s="251" t="str">
        <f>IFERROR(__xludf.DUMMYFUNCTION("""COMPUTED_VALUE"""),"--")</f>
        <v>--</v>
      </c>
      <c r="AC382" s="251" t="str">
        <f>IFERROR(__xludf.DUMMYFUNCTION("""COMPUTED_VALUE"""),"--")</f>
        <v>--</v>
      </c>
      <c r="AD382" s="251">
        <f>IFERROR(__xludf.DUMMYFUNCTION("""COMPUTED_VALUE"""),2.0)</f>
        <v>2</v>
      </c>
      <c r="AE382" s="251" t="str">
        <f>IFERROR(__xludf.DUMMYFUNCTION("""COMPUTED_VALUE"""),"Omnivore")</f>
        <v>Omnivore</v>
      </c>
    </row>
    <row r="383">
      <c r="A383" s="251" t="str">
        <f>IFERROR(__xludf.DUMMYFUNCTION("""COMPUTED_VALUE"""),"Machamp")</f>
        <v>Machamp</v>
      </c>
      <c r="B383" s="251" t="str">
        <f>IFERROR(__xludf.DUMMYFUNCTION("""COMPUTED_VALUE"""),"Fighting")</f>
        <v>Fighting</v>
      </c>
      <c r="C383" s="251" t="str">
        <f>IFERROR(__xludf.DUMMYFUNCTION("""COMPUTED_VALUE"""),"None")</f>
        <v>None</v>
      </c>
      <c r="D383" s="251">
        <f>IFERROR(__xludf.DUMMYFUNCTION("""COMPUTED_VALUE"""),9.0)</f>
        <v>9</v>
      </c>
      <c r="E383" s="251">
        <f>IFERROR(__xludf.DUMMYFUNCTION("""COMPUTED_VALUE"""),13.0)</f>
        <v>13</v>
      </c>
      <c r="F383" s="251">
        <f>IFERROR(__xludf.DUMMYFUNCTION("""COMPUTED_VALUE"""),8.0)</f>
        <v>8</v>
      </c>
      <c r="G383" s="251">
        <f>IFERROR(__xludf.DUMMYFUNCTION("""COMPUTED_VALUE"""),7.0)</f>
        <v>7</v>
      </c>
      <c r="H383" s="251">
        <f>IFERROR(__xludf.DUMMYFUNCTION("""COMPUTED_VALUE"""),9.0)</f>
        <v>9</v>
      </c>
      <c r="I383" s="251">
        <f>IFERROR(__xludf.DUMMYFUNCTION("""COMPUTED_VALUE"""),6.0)</f>
        <v>6</v>
      </c>
      <c r="J383" s="251">
        <f>IFERROR(__xludf.DUMMYFUNCTION("""COMPUTED_VALUE"""),10.0)</f>
        <v>10</v>
      </c>
      <c r="K383" s="251" t="str">
        <f>IFERROR(__xludf.DUMMYFUNCTION("""COMPUTED_VALUE"""),"Medium")</f>
        <v>Medium</v>
      </c>
      <c r="L383" s="251">
        <f>IFERROR(__xludf.DUMMYFUNCTION("""COMPUTED_VALUE"""),5.0)</f>
        <v>5</v>
      </c>
      <c r="M383" s="251" t="str">
        <f>IFERROR(__xludf.DUMMYFUNCTION("""COMPUTED_VALUE"""),"Urban")</f>
        <v>Urban</v>
      </c>
      <c r="N383" s="251" t="str">
        <f>IFERROR(__xludf.DUMMYFUNCTION("""COMPUTED_VALUE"""),"--")</f>
        <v>--</v>
      </c>
      <c r="O383" s="251" t="str">
        <f>IFERROR(__xludf.DUMMYFUNCTION("""COMPUTED_VALUE"""),"--")</f>
        <v>--</v>
      </c>
      <c r="P383" s="251" t="str">
        <f>IFERROR(__xludf.DUMMYFUNCTION("""COMPUTED_VALUE"""),"--")</f>
        <v>--</v>
      </c>
      <c r="Q383" s="251" t="str">
        <f>IFERROR(__xludf.DUMMYFUNCTION("""COMPUTED_VALUE"""),"--")</f>
        <v>--</v>
      </c>
      <c r="R383" s="251" t="str">
        <f>IFERROR(__xludf.DUMMYFUNCTION("""COMPUTED_VALUE"""),"--")</f>
        <v>--</v>
      </c>
      <c r="S383" s="251" t="str">
        <f>IFERROR(__xludf.DUMMYFUNCTION("""COMPUTED_VALUE"""),"--")</f>
        <v>--</v>
      </c>
      <c r="T383" s="251" t="str">
        <f>IFERROR(__xludf.DUMMYFUNCTION("""COMPUTED_VALUE"""),"--")</f>
        <v>--</v>
      </c>
      <c r="U383" s="251" t="str">
        <f>IFERROR(__xludf.DUMMYFUNCTION("""COMPUTED_VALUE"""),"--")</f>
        <v>--</v>
      </c>
      <c r="V383" s="251" t="str">
        <f>IFERROR(__xludf.DUMMYFUNCTION("""COMPUTED_VALUE"""),"--")</f>
        <v>--</v>
      </c>
      <c r="W383" s="251" t="str">
        <f>IFERROR(__xludf.DUMMYFUNCTION("""COMPUTED_VALUE"""),"--")</f>
        <v>--</v>
      </c>
      <c r="X383" s="251" t="str">
        <f>IFERROR(__xludf.DUMMYFUNCTION("""COMPUTED_VALUE"""),"--")</f>
        <v>--</v>
      </c>
      <c r="Y383" s="251" t="str">
        <f>IFERROR(__xludf.DUMMYFUNCTION("""COMPUTED_VALUE"""),"--")</f>
        <v>--</v>
      </c>
      <c r="Z383" s="251" t="str">
        <f>IFERROR(__xludf.DUMMYFUNCTION("""COMPUTED_VALUE"""),"--")</f>
        <v>--</v>
      </c>
      <c r="AA383" s="251" t="str">
        <f>IFERROR(__xludf.DUMMYFUNCTION("""COMPUTED_VALUE"""),"--")</f>
        <v>--</v>
      </c>
      <c r="AB383" s="251" t="str">
        <f>IFERROR(__xludf.DUMMYFUNCTION("""COMPUTED_VALUE"""),"--")</f>
        <v>--</v>
      </c>
      <c r="AC383" s="251" t="str">
        <f>IFERROR(__xludf.DUMMYFUNCTION("""COMPUTED_VALUE"""),"--")</f>
        <v>--</v>
      </c>
      <c r="AD383" s="251">
        <f>IFERROR(__xludf.DUMMYFUNCTION("""COMPUTED_VALUE"""),3.0)</f>
        <v>3</v>
      </c>
      <c r="AE383" s="251" t="str">
        <f>IFERROR(__xludf.DUMMYFUNCTION("""COMPUTED_VALUE"""),"Omnivore")</f>
        <v>Omnivore</v>
      </c>
    </row>
    <row r="384">
      <c r="A384" s="251" t="str">
        <f>IFERROR(__xludf.DUMMYFUNCTION("""COMPUTED_VALUE"""),"Timburr")</f>
        <v>Timburr</v>
      </c>
      <c r="B384" s="251" t="str">
        <f>IFERROR(__xludf.DUMMYFUNCTION("""COMPUTED_VALUE"""),"Fighting")</f>
        <v>Fighting</v>
      </c>
      <c r="C384" s="251" t="str">
        <f>IFERROR(__xludf.DUMMYFUNCTION("""COMPUTED_VALUE"""),"None")</f>
        <v>None</v>
      </c>
      <c r="D384" s="251">
        <f>IFERROR(__xludf.DUMMYFUNCTION("""COMPUTED_VALUE"""),8.0)</f>
        <v>8</v>
      </c>
      <c r="E384" s="251">
        <f>IFERROR(__xludf.DUMMYFUNCTION("""COMPUTED_VALUE"""),8.0)</f>
        <v>8</v>
      </c>
      <c r="F384" s="251">
        <f>IFERROR(__xludf.DUMMYFUNCTION("""COMPUTED_VALUE"""),6.0)</f>
        <v>6</v>
      </c>
      <c r="G384" s="251">
        <f>IFERROR(__xludf.DUMMYFUNCTION("""COMPUTED_VALUE"""),3.0)</f>
        <v>3</v>
      </c>
      <c r="H384" s="251">
        <f>IFERROR(__xludf.DUMMYFUNCTION("""COMPUTED_VALUE"""),4.0)</f>
        <v>4</v>
      </c>
      <c r="I384" s="251">
        <f>IFERROR(__xludf.DUMMYFUNCTION("""COMPUTED_VALUE"""),4.0)</f>
        <v>4</v>
      </c>
      <c r="J384" s="251">
        <f>IFERROR(__xludf.DUMMYFUNCTION("""COMPUTED_VALUE"""),4.0)</f>
        <v>4</v>
      </c>
      <c r="K384" s="251" t="str">
        <f>IFERROR(__xludf.DUMMYFUNCTION("""COMPUTED_VALUE"""),"Small")</f>
        <v>Small</v>
      </c>
      <c r="L384" s="251">
        <f>IFERROR(__xludf.DUMMYFUNCTION("""COMPUTED_VALUE"""),2.0)</f>
        <v>2</v>
      </c>
      <c r="M384" s="251" t="str">
        <f>IFERROR(__xludf.DUMMYFUNCTION("""COMPUTED_VALUE"""),"Urban")</f>
        <v>Urban</v>
      </c>
      <c r="N384" s="251" t="str">
        <f>IFERROR(__xludf.DUMMYFUNCTION("""COMPUTED_VALUE"""),"--")</f>
        <v>--</v>
      </c>
      <c r="O384" s="251" t="str">
        <f>IFERROR(__xludf.DUMMYFUNCTION("""COMPUTED_VALUE"""),"--")</f>
        <v>--</v>
      </c>
      <c r="P384" s="251" t="str">
        <f>IFERROR(__xludf.DUMMYFUNCTION("""COMPUTED_VALUE"""),"--")</f>
        <v>--</v>
      </c>
      <c r="Q384" s="251" t="str">
        <f>IFERROR(__xludf.DUMMYFUNCTION("""COMPUTED_VALUE"""),"--")</f>
        <v>--</v>
      </c>
      <c r="R384" s="251" t="str">
        <f>IFERROR(__xludf.DUMMYFUNCTION("""COMPUTED_VALUE"""),"Wielder (Melee)")</f>
        <v>Wielder (Melee)</v>
      </c>
      <c r="S384" s="251" t="str">
        <f>IFERROR(__xludf.DUMMYFUNCTION("""COMPUTED_VALUE"""),"Underdog")</f>
        <v>Underdog</v>
      </c>
      <c r="T384" s="251" t="str">
        <f>IFERROR(__xludf.DUMMYFUNCTION("""COMPUTED_VALUE"""),"--")</f>
        <v>--</v>
      </c>
      <c r="U384" s="251" t="str">
        <f>IFERROR(__xludf.DUMMYFUNCTION("""COMPUTED_VALUE"""),"--")</f>
        <v>--</v>
      </c>
      <c r="V384" s="251" t="str">
        <f>IFERROR(__xludf.DUMMYFUNCTION("""COMPUTED_VALUE"""),"--")</f>
        <v>--</v>
      </c>
      <c r="W384" s="251" t="str">
        <f>IFERROR(__xludf.DUMMYFUNCTION("""COMPUTED_VALUE"""),"--")</f>
        <v>--</v>
      </c>
      <c r="X384" s="251" t="str">
        <f>IFERROR(__xludf.DUMMYFUNCTION("""COMPUTED_VALUE"""),"--")</f>
        <v>--</v>
      </c>
      <c r="Y384" s="251" t="str">
        <f>IFERROR(__xludf.DUMMYFUNCTION("""COMPUTED_VALUE"""),"--")</f>
        <v>--</v>
      </c>
      <c r="Z384" s="251" t="str">
        <f>IFERROR(__xludf.DUMMYFUNCTION("""COMPUTED_VALUE"""),"--")</f>
        <v>--</v>
      </c>
      <c r="AA384" s="251" t="str">
        <f>IFERROR(__xludf.DUMMYFUNCTION("""COMPUTED_VALUE"""),"--")</f>
        <v>--</v>
      </c>
      <c r="AB384" s="251" t="str">
        <f>IFERROR(__xludf.DUMMYFUNCTION("""COMPUTED_VALUE"""),"--")</f>
        <v>--</v>
      </c>
      <c r="AC384" s="251" t="str">
        <f>IFERROR(__xludf.DUMMYFUNCTION("""COMPUTED_VALUE"""),"--")</f>
        <v>--</v>
      </c>
      <c r="AD384" s="251">
        <f>IFERROR(__xludf.DUMMYFUNCTION("""COMPUTED_VALUE"""),1.0)</f>
        <v>1</v>
      </c>
      <c r="AE384" s="251" t="str">
        <f>IFERROR(__xludf.DUMMYFUNCTION("""COMPUTED_VALUE"""),"Omnivore")</f>
        <v>Omnivore</v>
      </c>
    </row>
    <row r="385">
      <c r="A385" s="251" t="str">
        <f>IFERROR(__xludf.DUMMYFUNCTION("""COMPUTED_VALUE"""),"Gurdurr")</f>
        <v>Gurdurr</v>
      </c>
      <c r="B385" s="251" t="str">
        <f>IFERROR(__xludf.DUMMYFUNCTION("""COMPUTED_VALUE"""),"Fighting")</f>
        <v>Fighting</v>
      </c>
      <c r="C385" s="251" t="str">
        <f>IFERROR(__xludf.DUMMYFUNCTION("""COMPUTED_VALUE"""),"None")</f>
        <v>None</v>
      </c>
      <c r="D385" s="251">
        <f>IFERROR(__xludf.DUMMYFUNCTION("""COMPUTED_VALUE"""),9.0)</f>
        <v>9</v>
      </c>
      <c r="E385" s="251">
        <f>IFERROR(__xludf.DUMMYFUNCTION("""COMPUTED_VALUE"""),11.0)</f>
        <v>11</v>
      </c>
      <c r="F385" s="251">
        <f>IFERROR(__xludf.DUMMYFUNCTION("""COMPUTED_VALUE"""),9.0)</f>
        <v>9</v>
      </c>
      <c r="G385" s="251">
        <f>IFERROR(__xludf.DUMMYFUNCTION("""COMPUTED_VALUE"""),4.0)</f>
        <v>4</v>
      </c>
      <c r="H385" s="251">
        <f>IFERROR(__xludf.DUMMYFUNCTION("""COMPUTED_VALUE"""),5.0)</f>
        <v>5</v>
      </c>
      <c r="I385" s="251">
        <f>IFERROR(__xludf.DUMMYFUNCTION("""COMPUTED_VALUE"""),4.0)</f>
        <v>4</v>
      </c>
      <c r="J385" s="251">
        <f>IFERROR(__xludf.DUMMYFUNCTION("""COMPUTED_VALUE"""),8.0)</f>
        <v>8</v>
      </c>
      <c r="K385" s="251" t="str">
        <f>IFERROR(__xludf.DUMMYFUNCTION("""COMPUTED_VALUE"""),"Medium")</f>
        <v>Medium</v>
      </c>
      <c r="L385" s="251">
        <f>IFERROR(__xludf.DUMMYFUNCTION("""COMPUTED_VALUE"""),3.0)</f>
        <v>3</v>
      </c>
      <c r="M385" s="251" t="str">
        <f>IFERROR(__xludf.DUMMYFUNCTION("""COMPUTED_VALUE"""),"Urban")</f>
        <v>Urban</v>
      </c>
      <c r="N385" s="251" t="str">
        <f>IFERROR(__xludf.DUMMYFUNCTION("""COMPUTED_VALUE"""),"--")</f>
        <v>--</v>
      </c>
      <c r="O385" s="251" t="str">
        <f>IFERROR(__xludf.DUMMYFUNCTION("""COMPUTED_VALUE"""),"--")</f>
        <v>--</v>
      </c>
      <c r="P385" s="251" t="str">
        <f>IFERROR(__xludf.DUMMYFUNCTION("""COMPUTED_VALUE"""),"--")</f>
        <v>--</v>
      </c>
      <c r="Q385" s="251" t="str">
        <f>IFERROR(__xludf.DUMMYFUNCTION("""COMPUTED_VALUE"""),"--")</f>
        <v>--</v>
      </c>
      <c r="R385" s="251" t="str">
        <f>IFERROR(__xludf.DUMMYFUNCTION("""COMPUTED_VALUE"""),"Wielder (Melee)")</f>
        <v>Wielder (Melee)</v>
      </c>
      <c r="S385" s="251" t="str">
        <f>IFERROR(__xludf.DUMMYFUNCTION("""COMPUTED_VALUE"""),"Underdog")</f>
        <v>Underdog</v>
      </c>
      <c r="T385" s="251" t="str">
        <f>IFERROR(__xludf.DUMMYFUNCTION("""COMPUTED_VALUE"""),"--")</f>
        <v>--</v>
      </c>
      <c r="U385" s="251" t="str">
        <f>IFERROR(__xludf.DUMMYFUNCTION("""COMPUTED_VALUE"""),"--")</f>
        <v>--</v>
      </c>
      <c r="V385" s="251" t="str">
        <f>IFERROR(__xludf.DUMMYFUNCTION("""COMPUTED_VALUE"""),"--")</f>
        <v>--</v>
      </c>
      <c r="W385" s="251" t="str">
        <f>IFERROR(__xludf.DUMMYFUNCTION("""COMPUTED_VALUE"""),"--")</f>
        <v>--</v>
      </c>
      <c r="X385" s="251" t="str">
        <f>IFERROR(__xludf.DUMMYFUNCTION("""COMPUTED_VALUE"""),"--")</f>
        <v>--</v>
      </c>
      <c r="Y385" s="251" t="str">
        <f>IFERROR(__xludf.DUMMYFUNCTION("""COMPUTED_VALUE"""),"--")</f>
        <v>--</v>
      </c>
      <c r="Z385" s="251" t="str">
        <f>IFERROR(__xludf.DUMMYFUNCTION("""COMPUTED_VALUE"""),"--")</f>
        <v>--</v>
      </c>
      <c r="AA385" s="251" t="str">
        <f>IFERROR(__xludf.DUMMYFUNCTION("""COMPUTED_VALUE"""),"--")</f>
        <v>--</v>
      </c>
      <c r="AB385" s="251" t="str">
        <f>IFERROR(__xludf.DUMMYFUNCTION("""COMPUTED_VALUE"""),"--")</f>
        <v>--</v>
      </c>
      <c r="AC385" s="251" t="str">
        <f>IFERROR(__xludf.DUMMYFUNCTION("""COMPUTED_VALUE"""),"--")</f>
        <v>--</v>
      </c>
      <c r="AD385" s="251">
        <f>IFERROR(__xludf.DUMMYFUNCTION("""COMPUTED_VALUE"""),2.0)</f>
        <v>2</v>
      </c>
      <c r="AE385" s="251" t="str">
        <f>IFERROR(__xludf.DUMMYFUNCTION("""COMPUTED_VALUE"""),"Omnivore")</f>
        <v>Omnivore</v>
      </c>
    </row>
    <row r="386">
      <c r="A386" s="251" t="str">
        <f>IFERROR(__xludf.DUMMYFUNCTION("""COMPUTED_VALUE"""),"Conkeldurr")</f>
        <v>Conkeldurr</v>
      </c>
      <c r="B386" s="251" t="str">
        <f>IFERROR(__xludf.DUMMYFUNCTION("""COMPUTED_VALUE"""),"Fighting")</f>
        <v>Fighting</v>
      </c>
      <c r="C386" s="251" t="str">
        <f>IFERROR(__xludf.DUMMYFUNCTION("""COMPUTED_VALUE"""),"None")</f>
        <v>None</v>
      </c>
      <c r="D386" s="251">
        <f>IFERROR(__xludf.DUMMYFUNCTION("""COMPUTED_VALUE"""),11.0)</f>
        <v>11</v>
      </c>
      <c r="E386" s="251">
        <f>IFERROR(__xludf.DUMMYFUNCTION("""COMPUTED_VALUE"""),14.0)</f>
        <v>14</v>
      </c>
      <c r="F386" s="251">
        <f>IFERROR(__xludf.DUMMYFUNCTION("""COMPUTED_VALUE"""),10.0)</f>
        <v>10</v>
      </c>
      <c r="G386" s="251">
        <f>IFERROR(__xludf.DUMMYFUNCTION("""COMPUTED_VALUE"""),6.0)</f>
        <v>6</v>
      </c>
      <c r="H386" s="251">
        <f>IFERROR(__xludf.DUMMYFUNCTION("""COMPUTED_VALUE"""),7.0)</f>
        <v>7</v>
      </c>
      <c r="I386" s="251">
        <f>IFERROR(__xludf.DUMMYFUNCTION("""COMPUTED_VALUE"""),5.0)</f>
        <v>5</v>
      </c>
      <c r="J386" s="251">
        <f>IFERROR(__xludf.DUMMYFUNCTION("""COMPUTED_VALUE"""),12.0)</f>
        <v>12</v>
      </c>
      <c r="K386" s="251" t="str">
        <f>IFERROR(__xludf.DUMMYFUNCTION("""COMPUTED_VALUE"""),"Medium")</f>
        <v>Medium</v>
      </c>
      <c r="L386" s="251">
        <f>IFERROR(__xludf.DUMMYFUNCTION("""COMPUTED_VALUE"""),4.0)</f>
        <v>4</v>
      </c>
      <c r="M386" s="251" t="str">
        <f>IFERROR(__xludf.DUMMYFUNCTION("""COMPUTED_VALUE"""),"Urban")</f>
        <v>Urban</v>
      </c>
      <c r="N386" s="251" t="str">
        <f>IFERROR(__xludf.DUMMYFUNCTION("""COMPUTED_VALUE"""),"--")</f>
        <v>--</v>
      </c>
      <c r="O386" s="251" t="str">
        <f>IFERROR(__xludf.DUMMYFUNCTION("""COMPUTED_VALUE"""),"--")</f>
        <v>--</v>
      </c>
      <c r="P386" s="251" t="str">
        <f>IFERROR(__xludf.DUMMYFUNCTION("""COMPUTED_VALUE"""),"--")</f>
        <v>--</v>
      </c>
      <c r="Q386" s="251" t="str">
        <f>IFERROR(__xludf.DUMMYFUNCTION("""COMPUTED_VALUE"""),"--")</f>
        <v>--</v>
      </c>
      <c r="R386" s="251" t="str">
        <f>IFERROR(__xludf.DUMMYFUNCTION("""COMPUTED_VALUE"""),"Wielder (Melee)")</f>
        <v>Wielder (Melee)</v>
      </c>
      <c r="S386" s="251" t="str">
        <f>IFERROR(__xludf.DUMMYFUNCTION("""COMPUTED_VALUE"""),"--")</f>
        <v>--</v>
      </c>
      <c r="T386" s="251" t="str">
        <f>IFERROR(__xludf.DUMMYFUNCTION("""COMPUTED_VALUE"""),"--")</f>
        <v>--</v>
      </c>
      <c r="U386" s="251" t="str">
        <f>IFERROR(__xludf.DUMMYFUNCTION("""COMPUTED_VALUE"""),"--")</f>
        <v>--</v>
      </c>
      <c r="V386" s="251" t="str">
        <f>IFERROR(__xludf.DUMMYFUNCTION("""COMPUTED_VALUE"""),"--")</f>
        <v>--</v>
      </c>
      <c r="W386" s="251" t="str">
        <f>IFERROR(__xludf.DUMMYFUNCTION("""COMPUTED_VALUE"""),"--")</f>
        <v>--</v>
      </c>
      <c r="X386" s="251" t="str">
        <f>IFERROR(__xludf.DUMMYFUNCTION("""COMPUTED_VALUE"""),"--")</f>
        <v>--</v>
      </c>
      <c r="Y386" s="251" t="str">
        <f>IFERROR(__xludf.DUMMYFUNCTION("""COMPUTED_VALUE"""),"--")</f>
        <v>--</v>
      </c>
      <c r="Z386" s="251" t="str">
        <f>IFERROR(__xludf.DUMMYFUNCTION("""COMPUTED_VALUE"""),"--")</f>
        <v>--</v>
      </c>
      <c r="AA386" s="251" t="str">
        <f>IFERROR(__xludf.DUMMYFUNCTION("""COMPUTED_VALUE"""),"--")</f>
        <v>--</v>
      </c>
      <c r="AB386" s="251" t="str">
        <f>IFERROR(__xludf.DUMMYFUNCTION("""COMPUTED_VALUE"""),"--")</f>
        <v>--</v>
      </c>
      <c r="AC386" s="251" t="str">
        <f>IFERROR(__xludf.DUMMYFUNCTION("""COMPUTED_VALUE"""),"--")</f>
        <v>--</v>
      </c>
      <c r="AD386" s="251">
        <f>IFERROR(__xludf.DUMMYFUNCTION("""COMPUTED_VALUE"""),3.0)</f>
        <v>3</v>
      </c>
      <c r="AE386" s="251" t="str">
        <f>IFERROR(__xludf.DUMMYFUNCTION("""COMPUTED_VALUE"""),"Omnivore")</f>
        <v>Omnivore</v>
      </c>
    </row>
    <row r="387">
      <c r="A387" s="251" t="str">
        <f>IFERROR(__xludf.DUMMYFUNCTION("""COMPUTED_VALUE"""),"Magby")</f>
        <v>Magby</v>
      </c>
      <c r="B387" s="251" t="str">
        <f>IFERROR(__xludf.DUMMYFUNCTION("""COMPUTED_VALUE"""),"Fire")</f>
        <v>Fire</v>
      </c>
      <c r="C387" s="251" t="str">
        <f>IFERROR(__xludf.DUMMYFUNCTION("""COMPUTED_VALUE"""),"None")</f>
        <v>None</v>
      </c>
      <c r="D387" s="251">
        <f>IFERROR(__xludf.DUMMYFUNCTION("""COMPUTED_VALUE"""),5.0)</f>
        <v>5</v>
      </c>
      <c r="E387" s="251">
        <f>IFERROR(__xludf.DUMMYFUNCTION("""COMPUTED_VALUE"""),8.0)</f>
        <v>8</v>
      </c>
      <c r="F387" s="251">
        <f>IFERROR(__xludf.DUMMYFUNCTION("""COMPUTED_VALUE"""),4.0)</f>
        <v>4</v>
      </c>
      <c r="G387" s="251">
        <f>IFERROR(__xludf.DUMMYFUNCTION("""COMPUTED_VALUE"""),7.0)</f>
        <v>7</v>
      </c>
      <c r="H387" s="251">
        <f>IFERROR(__xludf.DUMMYFUNCTION("""COMPUTED_VALUE"""),6.0)</f>
        <v>6</v>
      </c>
      <c r="I387" s="251">
        <f>IFERROR(__xludf.DUMMYFUNCTION("""COMPUTED_VALUE"""),8.0)</f>
        <v>8</v>
      </c>
      <c r="J387" s="251">
        <f>IFERROR(__xludf.DUMMYFUNCTION("""COMPUTED_VALUE"""),3.0)</f>
        <v>3</v>
      </c>
      <c r="K387" s="251" t="str">
        <f>IFERROR(__xludf.DUMMYFUNCTION("""COMPUTED_VALUE"""),"Small")</f>
        <v>Small</v>
      </c>
      <c r="L387" s="251">
        <f>IFERROR(__xludf.DUMMYFUNCTION("""COMPUTED_VALUE"""),2.0)</f>
        <v>2</v>
      </c>
      <c r="M387" s="251" t="str">
        <f>IFERROR(__xludf.DUMMYFUNCTION("""COMPUTED_VALUE"""),"Cave")</f>
        <v>Cave</v>
      </c>
      <c r="N387" s="251" t="str">
        <f>IFERROR(__xludf.DUMMYFUNCTION("""COMPUTED_VALUE"""),"--")</f>
        <v>--</v>
      </c>
      <c r="O387" s="251" t="str">
        <f>IFERROR(__xludf.DUMMYFUNCTION("""COMPUTED_VALUE"""),"--")</f>
        <v>--</v>
      </c>
      <c r="P387" s="251" t="str">
        <f>IFERROR(__xludf.DUMMYFUNCTION("""COMPUTED_VALUE"""),"--")</f>
        <v>--</v>
      </c>
      <c r="Q387" s="251" t="str">
        <f>IFERROR(__xludf.DUMMYFUNCTION("""COMPUTED_VALUE"""),"--")</f>
        <v>--</v>
      </c>
      <c r="R387" s="251" t="str">
        <f>IFERROR(__xludf.DUMMYFUNCTION("""COMPUTED_VALUE"""),"Underdog")</f>
        <v>Underdog</v>
      </c>
      <c r="S387" s="251" t="str">
        <f>IFERROR(__xludf.DUMMYFUNCTION("""COMPUTED_VALUE"""),"--")</f>
        <v>--</v>
      </c>
      <c r="T387" s="251" t="str">
        <f>IFERROR(__xludf.DUMMYFUNCTION("""COMPUTED_VALUE"""),"--")</f>
        <v>--</v>
      </c>
      <c r="U387" s="251" t="str">
        <f>IFERROR(__xludf.DUMMYFUNCTION("""COMPUTED_VALUE"""),"--")</f>
        <v>--</v>
      </c>
      <c r="V387" s="251" t="str">
        <f>IFERROR(__xludf.DUMMYFUNCTION("""COMPUTED_VALUE"""),"Heater")</f>
        <v>Heater</v>
      </c>
      <c r="W387" s="251" t="str">
        <f>IFERROR(__xludf.DUMMYFUNCTION("""COMPUTED_VALUE"""),"--")</f>
        <v>--</v>
      </c>
      <c r="X387" s="251" t="str">
        <f>IFERROR(__xludf.DUMMYFUNCTION("""COMPUTED_VALUE"""),"--")</f>
        <v>--</v>
      </c>
      <c r="Y387" s="251" t="str">
        <f>IFERROR(__xludf.DUMMYFUNCTION("""COMPUTED_VALUE"""),"--")</f>
        <v>--</v>
      </c>
      <c r="Z387" s="251" t="str">
        <f>IFERROR(__xludf.DUMMYFUNCTION("""COMPUTED_VALUE"""),"--")</f>
        <v>--</v>
      </c>
      <c r="AA387" s="251" t="str">
        <f>IFERROR(__xludf.DUMMYFUNCTION("""COMPUTED_VALUE"""),"--")</f>
        <v>--</v>
      </c>
      <c r="AB387" s="251" t="str">
        <f>IFERROR(__xludf.DUMMYFUNCTION("""COMPUTED_VALUE"""),"--")</f>
        <v>--</v>
      </c>
      <c r="AC387" s="251" t="str">
        <f>IFERROR(__xludf.DUMMYFUNCTION("""COMPUTED_VALUE"""),"--")</f>
        <v>--</v>
      </c>
      <c r="AD387" s="251">
        <f>IFERROR(__xludf.DUMMYFUNCTION("""COMPUTED_VALUE"""),1.0)</f>
        <v>1</v>
      </c>
      <c r="AE387" s="251" t="str">
        <f>IFERROR(__xludf.DUMMYFUNCTION("""COMPUTED_VALUE"""),"Herbivore")</f>
        <v>Herbivore</v>
      </c>
    </row>
    <row r="388">
      <c r="A388" s="251" t="str">
        <f>IFERROR(__xludf.DUMMYFUNCTION("""COMPUTED_VALUE"""),"Magmar")</f>
        <v>Magmar</v>
      </c>
      <c r="B388" s="251" t="str">
        <f>IFERROR(__xludf.DUMMYFUNCTION("""COMPUTED_VALUE"""),"Fire")</f>
        <v>Fire</v>
      </c>
      <c r="C388" s="251" t="str">
        <f>IFERROR(__xludf.DUMMYFUNCTION("""COMPUTED_VALUE"""),"None")</f>
        <v>None</v>
      </c>
      <c r="D388" s="251">
        <f>IFERROR(__xludf.DUMMYFUNCTION("""COMPUTED_VALUE"""),7.0)</f>
        <v>7</v>
      </c>
      <c r="E388" s="251">
        <f>IFERROR(__xludf.DUMMYFUNCTION("""COMPUTED_VALUE"""),10.0)</f>
        <v>10</v>
      </c>
      <c r="F388" s="251">
        <f>IFERROR(__xludf.DUMMYFUNCTION("""COMPUTED_VALUE"""),6.0)</f>
        <v>6</v>
      </c>
      <c r="G388" s="251">
        <f>IFERROR(__xludf.DUMMYFUNCTION("""COMPUTED_VALUE"""),10.0)</f>
        <v>10</v>
      </c>
      <c r="H388" s="251">
        <f>IFERROR(__xludf.DUMMYFUNCTION("""COMPUTED_VALUE"""),9.0)</f>
        <v>9</v>
      </c>
      <c r="I388" s="251">
        <f>IFERROR(__xludf.DUMMYFUNCTION("""COMPUTED_VALUE"""),10.0)</f>
        <v>10</v>
      </c>
      <c r="J388" s="251">
        <f>IFERROR(__xludf.DUMMYFUNCTION("""COMPUTED_VALUE"""),5.0)</f>
        <v>5</v>
      </c>
      <c r="K388" s="251" t="str">
        <f>IFERROR(__xludf.DUMMYFUNCTION("""COMPUTED_VALUE"""),"Medium")</f>
        <v>Medium</v>
      </c>
      <c r="L388" s="251">
        <f>IFERROR(__xludf.DUMMYFUNCTION("""COMPUTED_VALUE"""),3.0)</f>
        <v>3</v>
      </c>
      <c r="M388" s="251" t="str">
        <f>IFERROR(__xludf.DUMMYFUNCTION("""COMPUTED_VALUE"""),"Cave")</f>
        <v>Cave</v>
      </c>
      <c r="N388" s="251" t="str">
        <f>IFERROR(__xludf.DUMMYFUNCTION("""COMPUTED_VALUE"""),"--")</f>
        <v>--</v>
      </c>
      <c r="O388" s="251" t="str">
        <f>IFERROR(__xludf.DUMMYFUNCTION("""COMPUTED_VALUE"""),"--")</f>
        <v>--</v>
      </c>
      <c r="P388" s="251" t="str">
        <f>IFERROR(__xludf.DUMMYFUNCTION("""COMPUTED_VALUE"""),"--")</f>
        <v>--</v>
      </c>
      <c r="Q388" s="251" t="str">
        <f>IFERROR(__xludf.DUMMYFUNCTION("""COMPUTED_VALUE"""),"--")</f>
        <v>--</v>
      </c>
      <c r="R388" s="251" t="str">
        <f>IFERROR(__xludf.DUMMYFUNCTION("""COMPUTED_VALUE"""),"Underdog")</f>
        <v>Underdog</v>
      </c>
      <c r="S388" s="251" t="str">
        <f>IFERROR(__xludf.DUMMYFUNCTION("""COMPUTED_VALUE"""),"--")</f>
        <v>--</v>
      </c>
      <c r="T388" s="251" t="str">
        <f>IFERROR(__xludf.DUMMYFUNCTION("""COMPUTED_VALUE"""),"--")</f>
        <v>--</v>
      </c>
      <c r="U388" s="251" t="str">
        <f>IFERROR(__xludf.DUMMYFUNCTION("""COMPUTED_VALUE"""),"--")</f>
        <v>--</v>
      </c>
      <c r="V388" s="251" t="str">
        <f>IFERROR(__xludf.DUMMYFUNCTION("""COMPUTED_VALUE"""),"Glow")</f>
        <v>Glow</v>
      </c>
      <c r="W388" s="251" t="str">
        <f>IFERROR(__xludf.DUMMYFUNCTION("""COMPUTED_VALUE"""),"Heater")</f>
        <v>Heater</v>
      </c>
      <c r="X388" s="251" t="str">
        <f>IFERROR(__xludf.DUMMYFUNCTION("""COMPUTED_VALUE"""),"--")</f>
        <v>--</v>
      </c>
      <c r="Y388" s="251" t="str">
        <f>IFERROR(__xludf.DUMMYFUNCTION("""COMPUTED_VALUE"""),"--")</f>
        <v>--</v>
      </c>
      <c r="Z388" s="251" t="str">
        <f>IFERROR(__xludf.DUMMYFUNCTION("""COMPUTED_VALUE"""),"--")</f>
        <v>--</v>
      </c>
      <c r="AA388" s="251" t="str">
        <f>IFERROR(__xludf.DUMMYFUNCTION("""COMPUTED_VALUE"""),"--")</f>
        <v>--</v>
      </c>
      <c r="AB388" s="251" t="str">
        <f>IFERROR(__xludf.DUMMYFUNCTION("""COMPUTED_VALUE"""),"--")</f>
        <v>--</v>
      </c>
      <c r="AC388" s="251" t="str">
        <f>IFERROR(__xludf.DUMMYFUNCTION("""COMPUTED_VALUE"""),"--")</f>
        <v>--</v>
      </c>
      <c r="AD388" s="251">
        <f>IFERROR(__xludf.DUMMYFUNCTION("""COMPUTED_VALUE"""),2.0)</f>
        <v>2</v>
      </c>
      <c r="AE388" s="251" t="str">
        <f>IFERROR(__xludf.DUMMYFUNCTION("""COMPUTED_VALUE"""),"Omnivore")</f>
        <v>Omnivore</v>
      </c>
    </row>
    <row r="389">
      <c r="A389" s="251" t="str">
        <f>IFERROR(__xludf.DUMMYFUNCTION("""COMPUTED_VALUE"""),"Magmortar")</f>
        <v>Magmortar</v>
      </c>
      <c r="B389" s="251" t="str">
        <f>IFERROR(__xludf.DUMMYFUNCTION("""COMPUTED_VALUE"""),"Fire")</f>
        <v>Fire</v>
      </c>
      <c r="C389" s="251" t="str">
        <f>IFERROR(__xludf.DUMMYFUNCTION("""COMPUTED_VALUE"""),"None")</f>
        <v>None</v>
      </c>
      <c r="D389" s="251">
        <f>IFERROR(__xludf.DUMMYFUNCTION("""COMPUTED_VALUE"""),8.0)</f>
        <v>8</v>
      </c>
      <c r="E389" s="251">
        <f>IFERROR(__xludf.DUMMYFUNCTION("""COMPUTED_VALUE"""),10.0)</f>
        <v>10</v>
      </c>
      <c r="F389" s="251">
        <f>IFERROR(__xludf.DUMMYFUNCTION("""COMPUTED_VALUE"""),7.0)</f>
        <v>7</v>
      </c>
      <c r="G389" s="251">
        <f>IFERROR(__xludf.DUMMYFUNCTION("""COMPUTED_VALUE"""),13.0)</f>
        <v>13</v>
      </c>
      <c r="H389" s="251">
        <f>IFERROR(__xludf.DUMMYFUNCTION("""COMPUTED_VALUE"""),10.0)</f>
        <v>10</v>
      </c>
      <c r="I389" s="251">
        <f>IFERROR(__xludf.DUMMYFUNCTION("""COMPUTED_VALUE"""),8.0)</f>
        <v>8</v>
      </c>
      <c r="J389" s="251">
        <f>IFERROR(__xludf.DUMMYFUNCTION("""COMPUTED_VALUE"""),6.0)</f>
        <v>6</v>
      </c>
      <c r="K389" s="251" t="str">
        <f>IFERROR(__xludf.DUMMYFUNCTION("""COMPUTED_VALUE"""),"Medium")</f>
        <v>Medium</v>
      </c>
      <c r="L389" s="251">
        <f>IFERROR(__xludf.DUMMYFUNCTION("""COMPUTED_VALUE"""),4.0)</f>
        <v>4</v>
      </c>
      <c r="M389" s="251" t="str">
        <f>IFERROR(__xludf.DUMMYFUNCTION("""COMPUTED_VALUE"""),"Cave")</f>
        <v>Cave</v>
      </c>
      <c r="N389" s="251" t="str">
        <f>IFERROR(__xludf.DUMMYFUNCTION("""COMPUTED_VALUE"""),"--")</f>
        <v>--</v>
      </c>
      <c r="O389" s="251" t="str">
        <f>IFERROR(__xludf.DUMMYFUNCTION("""COMPUTED_VALUE"""),"--")</f>
        <v>--</v>
      </c>
      <c r="P389" s="251" t="str">
        <f>IFERROR(__xludf.DUMMYFUNCTION("""COMPUTED_VALUE"""),"--")</f>
        <v>--</v>
      </c>
      <c r="Q389" s="251" t="str">
        <f>IFERROR(__xludf.DUMMYFUNCTION("""COMPUTED_VALUE"""),"--")</f>
        <v>--</v>
      </c>
      <c r="R389" s="251" t="str">
        <f>IFERROR(__xludf.DUMMYFUNCTION("""COMPUTED_VALUE"""),"--")</f>
        <v>--</v>
      </c>
      <c r="S389" s="251" t="str">
        <f>IFERROR(__xludf.DUMMYFUNCTION("""COMPUTED_VALUE"""),"--")</f>
        <v>--</v>
      </c>
      <c r="T389" s="251" t="str">
        <f>IFERROR(__xludf.DUMMYFUNCTION("""COMPUTED_VALUE"""),"--")</f>
        <v>--</v>
      </c>
      <c r="U389" s="251" t="str">
        <f>IFERROR(__xludf.DUMMYFUNCTION("""COMPUTED_VALUE"""),"--")</f>
        <v>--</v>
      </c>
      <c r="V389" s="251" t="str">
        <f>IFERROR(__xludf.DUMMYFUNCTION("""COMPUTED_VALUE"""),"Glow")</f>
        <v>Glow</v>
      </c>
      <c r="W389" s="251" t="str">
        <f>IFERROR(__xludf.DUMMYFUNCTION("""COMPUTED_VALUE"""),"Heater")</f>
        <v>Heater</v>
      </c>
      <c r="X389" s="251" t="str">
        <f>IFERROR(__xludf.DUMMYFUNCTION("""COMPUTED_VALUE"""),"--")</f>
        <v>--</v>
      </c>
      <c r="Y389" s="251" t="str">
        <f>IFERROR(__xludf.DUMMYFUNCTION("""COMPUTED_VALUE"""),"--")</f>
        <v>--</v>
      </c>
      <c r="Z389" s="251" t="str">
        <f>IFERROR(__xludf.DUMMYFUNCTION("""COMPUTED_VALUE"""),"--")</f>
        <v>--</v>
      </c>
      <c r="AA389" s="251" t="str">
        <f>IFERROR(__xludf.DUMMYFUNCTION("""COMPUTED_VALUE"""),"--")</f>
        <v>--</v>
      </c>
      <c r="AB389" s="251" t="str">
        <f>IFERROR(__xludf.DUMMYFUNCTION("""COMPUTED_VALUE"""),"--")</f>
        <v>--</v>
      </c>
      <c r="AC389" s="251" t="str">
        <f>IFERROR(__xludf.DUMMYFUNCTION("""COMPUTED_VALUE"""),"--")</f>
        <v>--</v>
      </c>
      <c r="AD389" s="251">
        <f>IFERROR(__xludf.DUMMYFUNCTION("""COMPUTED_VALUE"""),3.0)</f>
        <v>3</v>
      </c>
      <c r="AE389" s="251" t="str">
        <f>IFERROR(__xludf.DUMMYFUNCTION("""COMPUTED_VALUE"""),"Omnivore")</f>
        <v>Omnivore</v>
      </c>
    </row>
    <row r="390">
      <c r="A390" s="251" t="str">
        <f>IFERROR(__xludf.DUMMYFUNCTION("""COMPUTED_VALUE"""),"Fletchling")</f>
        <v>Fletchling</v>
      </c>
      <c r="B390" s="251" t="str">
        <f>IFERROR(__xludf.DUMMYFUNCTION("""COMPUTED_VALUE"""),"Normal")</f>
        <v>Normal</v>
      </c>
      <c r="C390" s="251" t="str">
        <f>IFERROR(__xludf.DUMMYFUNCTION("""COMPUTED_VALUE"""),"Flying")</f>
        <v>Flying</v>
      </c>
      <c r="D390" s="251">
        <f>IFERROR(__xludf.DUMMYFUNCTION("""COMPUTED_VALUE"""),5.0)</f>
        <v>5</v>
      </c>
      <c r="E390" s="251">
        <f>IFERROR(__xludf.DUMMYFUNCTION("""COMPUTED_VALUE"""),6.0)</f>
        <v>6</v>
      </c>
      <c r="F390" s="251">
        <f>IFERROR(__xludf.DUMMYFUNCTION("""COMPUTED_VALUE"""),4.0)</f>
        <v>4</v>
      </c>
      <c r="G390" s="251">
        <f>IFERROR(__xludf.DUMMYFUNCTION("""COMPUTED_VALUE"""),4.0)</f>
        <v>4</v>
      </c>
      <c r="H390" s="251">
        <f>IFERROR(__xludf.DUMMYFUNCTION("""COMPUTED_VALUE"""),5.0)</f>
        <v>5</v>
      </c>
      <c r="I390" s="251">
        <f>IFERROR(__xludf.DUMMYFUNCTION("""COMPUTED_VALUE"""),6.0)</f>
        <v>6</v>
      </c>
      <c r="J390" s="251">
        <f>IFERROR(__xludf.DUMMYFUNCTION("""COMPUTED_VALUE"""),1.0)</f>
        <v>1</v>
      </c>
      <c r="K390" s="251" t="str">
        <f>IFERROR(__xludf.DUMMYFUNCTION("""COMPUTED_VALUE"""),"Small")</f>
        <v>Small</v>
      </c>
      <c r="L390" s="251">
        <f>IFERROR(__xludf.DUMMYFUNCTION("""COMPUTED_VALUE"""),1.0)</f>
        <v>1</v>
      </c>
      <c r="M390" s="251" t="str">
        <f>IFERROR(__xludf.DUMMYFUNCTION("""COMPUTED_VALUE"""),"Grasslands")</f>
        <v>Grasslands</v>
      </c>
      <c r="N390" s="251" t="str">
        <f>IFERROR(__xludf.DUMMYFUNCTION("""COMPUTED_VALUE"""),"Flier")</f>
        <v>Flier</v>
      </c>
      <c r="O390" s="251" t="str">
        <f>IFERROR(__xludf.DUMMYFUNCTION("""COMPUTED_VALUE"""),"--")</f>
        <v>--</v>
      </c>
      <c r="P390" s="251" t="str">
        <f>IFERROR(__xludf.DUMMYFUNCTION("""COMPUTED_VALUE"""),"--")</f>
        <v>--</v>
      </c>
      <c r="Q390" s="251" t="str">
        <f>IFERROR(__xludf.DUMMYFUNCTION("""COMPUTED_VALUE"""),"--")</f>
        <v>--</v>
      </c>
      <c r="R390" s="251" t="str">
        <f>IFERROR(__xludf.DUMMYFUNCTION("""COMPUTED_VALUE"""),"Underdog")</f>
        <v>Underdog</v>
      </c>
      <c r="S390" s="251" t="str">
        <f>IFERROR(__xludf.DUMMYFUNCTION("""COMPUTED_VALUE"""),"--")</f>
        <v>--</v>
      </c>
      <c r="T390" s="251" t="str">
        <f>IFERROR(__xludf.DUMMYFUNCTION("""COMPUTED_VALUE"""),"--")</f>
        <v>--</v>
      </c>
      <c r="U390" s="251" t="str">
        <f>IFERROR(__xludf.DUMMYFUNCTION("""COMPUTED_VALUE"""),"--")</f>
        <v>--</v>
      </c>
      <c r="V390" s="251" t="str">
        <f>IFERROR(__xludf.DUMMYFUNCTION("""COMPUTED_VALUE"""),"--")</f>
        <v>--</v>
      </c>
      <c r="W390" s="251" t="str">
        <f>IFERROR(__xludf.DUMMYFUNCTION("""COMPUTED_VALUE"""),"--")</f>
        <v>--</v>
      </c>
      <c r="X390" s="251" t="str">
        <f>IFERROR(__xludf.DUMMYFUNCTION("""COMPUTED_VALUE"""),"--")</f>
        <v>--</v>
      </c>
      <c r="Y390" s="251" t="str">
        <f>IFERROR(__xludf.DUMMYFUNCTION("""COMPUTED_VALUE"""),"--")</f>
        <v>--</v>
      </c>
      <c r="Z390" s="251" t="str">
        <f>IFERROR(__xludf.DUMMYFUNCTION("""COMPUTED_VALUE"""),"--")</f>
        <v>--</v>
      </c>
      <c r="AA390" s="251" t="str">
        <f>IFERROR(__xludf.DUMMYFUNCTION("""COMPUTED_VALUE"""),"--")</f>
        <v>--</v>
      </c>
      <c r="AB390" s="251" t="str">
        <f>IFERROR(__xludf.DUMMYFUNCTION("""COMPUTED_VALUE"""),"--")</f>
        <v>--</v>
      </c>
      <c r="AC390" s="251" t="str">
        <f>IFERROR(__xludf.DUMMYFUNCTION("""COMPUTED_VALUE"""),"--")</f>
        <v>--</v>
      </c>
      <c r="AD390" s="251">
        <f>IFERROR(__xludf.DUMMYFUNCTION("""COMPUTED_VALUE"""),1.0)</f>
        <v>1</v>
      </c>
      <c r="AE390" s="251" t="str">
        <f>IFERROR(__xludf.DUMMYFUNCTION("""COMPUTED_VALUE"""),"Carnivore")</f>
        <v>Carnivore</v>
      </c>
    </row>
    <row r="391">
      <c r="A391" s="251" t="str">
        <f>IFERROR(__xludf.DUMMYFUNCTION("""COMPUTED_VALUE"""),"Fletchinder")</f>
        <v>Fletchinder</v>
      </c>
      <c r="B391" s="251" t="str">
        <f>IFERROR(__xludf.DUMMYFUNCTION("""COMPUTED_VALUE"""),"Fire")</f>
        <v>Fire</v>
      </c>
      <c r="C391" s="251" t="str">
        <f>IFERROR(__xludf.DUMMYFUNCTION("""COMPUTED_VALUE"""),"Flying")</f>
        <v>Flying</v>
      </c>
      <c r="D391" s="251">
        <f>IFERROR(__xludf.DUMMYFUNCTION("""COMPUTED_VALUE"""),6.0)</f>
        <v>6</v>
      </c>
      <c r="E391" s="251">
        <f>IFERROR(__xludf.DUMMYFUNCTION("""COMPUTED_VALUE"""),7.0)</f>
        <v>7</v>
      </c>
      <c r="F391" s="251">
        <f>IFERROR(__xludf.DUMMYFUNCTION("""COMPUTED_VALUE"""),6.0)</f>
        <v>6</v>
      </c>
      <c r="G391" s="251">
        <f>IFERROR(__xludf.DUMMYFUNCTION("""COMPUTED_VALUE"""),6.0)</f>
        <v>6</v>
      </c>
      <c r="H391" s="251">
        <f>IFERROR(__xludf.DUMMYFUNCTION("""COMPUTED_VALUE"""),5.0)</f>
        <v>5</v>
      </c>
      <c r="I391" s="251">
        <f>IFERROR(__xludf.DUMMYFUNCTION("""COMPUTED_VALUE"""),8.0)</f>
        <v>8</v>
      </c>
      <c r="J391" s="251">
        <f>IFERROR(__xludf.DUMMYFUNCTION("""COMPUTED_VALUE"""),2.0)</f>
        <v>2</v>
      </c>
      <c r="K391" s="251" t="str">
        <f>IFERROR(__xludf.DUMMYFUNCTION("""COMPUTED_VALUE"""),"Small")</f>
        <v>Small</v>
      </c>
      <c r="L391" s="251">
        <f>IFERROR(__xludf.DUMMYFUNCTION("""COMPUTED_VALUE"""),2.0)</f>
        <v>2</v>
      </c>
      <c r="M391" s="251" t="str">
        <f>IFERROR(__xludf.DUMMYFUNCTION("""COMPUTED_VALUE"""),"Grasslands")</f>
        <v>Grasslands</v>
      </c>
      <c r="N391" s="251" t="str">
        <f>IFERROR(__xludf.DUMMYFUNCTION("""COMPUTED_VALUE"""),"Flier")</f>
        <v>Flier</v>
      </c>
      <c r="O391" s="251" t="str">
        <f>IFERROR(__xludf.DUMMYFUNCTION("""COMPUTED_VALUE"""),"Quick")</f>
        <v>Quick</v>
      </c>
      <c r="P391" s="251" t="str">
        <f>IFERROR(__xludf.DUMMYFUNCTION("""COMPUTED_VALUE"""),"--")</f>
        <v>--</v>
      </c>
      <c r="Q391" s="251" t="str">
        <f>IFERROR(__xludf.DUMMYFUNCTION("""COMPUTED_VALUE"""),"--")</f>
        <v>--</v>
      </c>
      <c r="R391" s="251" t="str">
        <f>IFERROR(__xludf.DUMMYFUNCTION("""COMPUTED_VALUE"""),"Underdog")</f>
        <v>Underdog</v>
      </c>
      <c r="S391" s="251" t="str">
        <f>IFERROR(__xludf.DUMMYFUNCTION("""COMPUTED_VALUE"""),"--")</f>
        <v>--</v>
      </c>
      <c r="T391" s="251" t="str">
        <f>IFERROR(__xludf.DUMMYFUNCTION("""COMPUTED_VALUE"""),"--")</f>
        <v>--</v>
      </c>
      <c r="U391" s="251" t="str">
        <f>IFERROR(__xludf.DUMMYFUNCTION("""COMPUTED_VALUE"""),"--")</f>
        <v>--</v>
      </c>
      <c r="V391" s="251" t="str">
        <f>IFERROR(__xludf.DUMMYFUNCTION("""COMPUTED_VALUE"""),"Heater")</f>
        <v>Heater</v>
      </c>
      <c r="W391" s="251" t="str">
        <f>IFERROR(__xludf.DUMMYFUNCTION("""COMPUTED_VALUE"""),"--")</f>
        <v>--</v>
      </c>
      <c r="X391" s="251" t="str">
        <f>IFERROR(__xludf.DUMMYFUNCTION("""COMPUTED_VALUE"""),"--")</f>
        <v>--</v>
      </c>
      <c r="Y391" s="251" t="str">
        <f>IFERROR(__xludf.DUMMYFUNCTION("""COMPUTED_VALUE"""),"--")</f>
        <v>--</v>
      </c>
      <c r="Z391" s="251" t="str">
        <f>IFERROR(__xludf.DUMMYFUNCTION("""COMPUTED_VALUE"""),"--")</f>
        <v>--</v>
      </c>
      <c r="AA391" s="251" t="str">
        <f>IFERROR(__xludf.DUMMYFUNCTION("""COMPUTED_VALUE"""),"--")</f>
        <v>--</v>
      </c>
      <c r="AB391" s="251" t="str">
        <f>IFERROR(__xludf.DUMMYFUNCTION("""COMPUTED_VALUE"""),"--")</f>
        <v>--</v>
      </c>
      <c r="AC391" s="251" t="str">
        <f>IFERROR(__xludf.DUMMYFUNCTION("""COMPUTED_VALUE"""),"--")</f>
        <v>--</v>
      </c>
      <c r="AD391" s="251">
        <f>IFERROR(__xludf.DUMMYFUNCTION("""COMPUTED_VALUE"""),2.0)</f>
        <v>2</v>
      </c>
      <c r="AE391" s="251" t="str">
        <f>IFERROR(__xludf.DUMMYFUNCTION("""COMPUTED_VALUE"""),"Carnivore")</f>
        <v>Carnivore</v>
      </c>
    </row>
    <row r="392">
      <c r="A392" s="251" t="str">
        <f>IFERROR(__xludf.DUMMYFUNCTION("""COMPUTED_VALUE"""),"Talonflame")</f>
        <v>Talonflame</v>
      </c>
      <c r="B392" s="251" t="str">
        <f>IFERROR(__xludf.DUMMYFUNCTION("""COMPUTED_VALUE"""),"Fire")</f>
        <v>Fire</v>
      </c>
      <c r="C392" s="251" t="str">
        <f>IFERROR(__xludf.DUMMYFUNCTION("""COMPUTED_VALUE"""),"Flying")</f>
        <v>Flying</v>
      </c>
      <c r="D392" s="251">
        <f>IFERROR(__xludf.DUMMYFUNCTION("""COMPUTED_VALUE"""),8.0)</f>
        <v>8</v>
      </c>
      <c r="E392" s="251">
        <f>IFERROR(__xludf.DUMMYFUNCTION("""COMPUTED_VALUE"""),9.0)</f>
        <v>9</v>
      </c>
      <c r="F392" s="251">
        <f>IFERROR(__xludf.DUMMYFUNCTION("""COMPUTED_VALUE"""),7.0)</f>
        <v>7</v>
      </c>
      <c r="G392" s="251">
        <f>IFERROR(__xludf.DUMMYFUNCTION("""COMPUTED_VALUE"""),7.0)</f>
        <v>7</v>
      </c>
      <c r="H392" s="251">
        <f>IFERROR(__xludf.DUMMYFUNCTION("""COMPUTED_VALUE"""),7.0)</f>
        <v>7</v>
      </c>
      <c r="I392" s="251">
        <f>IFERROR(__xludf.DUMMYFUNCTION("""COMPUTED_VALUE"""),13.0)</f>
        <v>13</v>
      </c>
      <c r="J392" s="251">
        <f>IFERROR(__xludf.DUMMYFUNCTION("""COMPUTED_VALUE"""),4.0)</f>
        <v>4</v>
      </c>
      <c r="K392" s="251" t="str">
        <f>IFERROR(__xludf.DUMMYFUNCTION("""COMPUTED_VALUE"""),"Medium")</f>
        <v>Medium</v>
      </c>
      <c r="L392" s="251">
        <f>IFERROR(__xludf.DUMMYFUNCTION("""COMPUTED_VALUE"""),2.0)</f>
        <v>2</v>
      </c>
      <c r="M392" s="251" t="str">
        <f>IFERROR(__xludf.DUMMYFUNCTION("""COMPUTED_VALUE"""),"Grasslands")</f>
        <v>Grasslands</v>
      </c>
      <c r="N392" s="251" t="str">
        <f>IFERROR(__xludf.DUMMYFUNCTION("""COMPUTED_VALUE"""),"Flier")</f>
        <v>Flier</v>
      </c>
      <c r="O392" s="251" t="str">
        <f>IFERROR(__xludf.DUMMYFUNCTION("""COMPUTED_VALUE"""),"Quick")</f>
        <v>Quick</v>
      </c>
      <c r="P392" s="251" t="str">
        <f>IFERROR(__xludf.DUMMYFUNCTION("""COMPUTED_VALUE"""),"--")</f>
        <v>--</v>
      </c>
      <c r="Q392" s="251" t="str">
        <f>IFERROR(__xludf.DUMMYFUNCTION("""COMPUTED_VALUE"""),"--")</f>
        <v>--</v>
      </c>
      <c r="R392" s="251" t="str">
        <f>IFERROR(__xludf.DUMMYFUNCTION("""COMPUTED_VALUE"""),"Mountable")</f>
        <v>Mountable</v>
      </c>
      <c r="S392" s="251" t="str">
        <f>IFERROR(__xludf.DUMMYFUNCTION("""COMPUTED_VALUE"""),"--")</f>
        <v>--</v>
      </c>
      <c r="T392" s="251" t="str">
        <f>IFERROR(__xludf.DUMMYFUNCTION("""COMPUTED_VALUE"""),"--")</f>
        <v>--</v>
      </c>
      <c r="U392" s="251" t="str">
        <f>IFERROR(__xludf.DUMMYFUNCTION("""COMPUTED_VALUE"""),"--")</f>
        <v>--</v>
      </c>
      <c r="V392" s="251" t="str">
        <f>IFERROR(__xludf.DUMMYFUNCTION("""COMPUTED_VALUE"""),"Heater")</f>
        <v>Heater</v>
      </c>
      <c r="W392" s="251" t="str">
        <f>IFERROR(__xludf.DUMMYFUNCTION("""COMPUTED_VALUE"""),"--")</f>
        <v>--</v>
      </c>
      <c r="X392" s="251" t="str">
        <f>IFERROR(__xludf.DUMMYFUNCTION("""COMPUTED_VALUE"""),"--")</f>
        <v>--</v>
      </c>
      <c r="Y392" s="251" t="str">
        <f>IFERROR(__xludf.DUMMYFUNCTION("""COMPUTED_VALUE"""),"--")</f>
        <v>--</v>
      </c>
      <c r="Z392" s="251" t="str">
        <f>IFERROR(__xludf.DUMMYFUNCTION("""COMPUTED_VALUE"""),"--")</f>
        <v>--</v>
      </c>
      <c r="AA392" s="251" t="str">
        <f>IFERROR(__xludf.DUMMYFUNCTION("""COMPUTED_VALUE"""),"--")</f>
        <v>--</v>
      </c>
      <c r="AB392" s="251" t="str">
        <f>IFERROR(__xludf.DUMMYFUNCTION("""COMPUTED_VALUE"""),"--")</f>
        <v>--</v>
      </c>
      <c r="AC392" s="251" t="str">
        <f>IFERROR(__xludf.DUMMYFUNCTION("""COMPUTED_VALUE"""),"--")</f>
        <v>--</v>
      </c>
      <c r="AD392" s="251">
        <f>IFERROR(__xludf.DUMMYFUNCTION("""COMPUTED_VALUE"""),3.0)</f>
        <v>3</v>
      </c>
      <c r="AE392" s="251" t="str">
        <f>IFERROR(__xludf.DUMMYFUNCTION("""COMPUTED_VALUE"""),"Carnivore")</f>
        <v>Carnivore</v>
      </c>
    </row>
    <row r="393">
      <c r="A393" s="251" t="str">
        <f>IFERROR(__xludf.DUMMYFUNCTION("""COMPUTED_VALUE"""),"Rookidee")</f>
        <v>Rookidee</v>
      </c>
      <c r="B393" s="251" t="str">
        <f>IFERROR(__xludf.DUMMYFUNCTION("""COMPUTED_VALUE"""),"Flying")</f>
        <v>Flying</v>
      </c>
      <c r="C393" s="251" t="str">
        <f>IFERROR(__xludf.DUMMYFUNCTION("""COMPUTED_VALUE"""),"None")</f>
        <v>None</v>
      </c>
      <c r="D393" s="251">
        <f>IFERROR(__xludf.DUMMYFUNCTION("""COMPUTED_VALUE"""),5.0)</f>
        <v>5</v>
      </c>
      <c r="E393" s="251">
        <f>IFERROR(__xludf.DUMMYFUNCTION("""COMPUTED_VALUE"""),6.0)</f>
        <v>6</v>
      </c>
      <c r="F393" s="251">
        <f>IFERROR(__xludf.DUMMYFUNCTION("""COMPUTED_VALUE"""),5.0)</f>
        <v>5</v>
      </c>
      <c r="G393" s="251">
        <f>IFERROR(__xludf.DUMMYFUNCTION("""COMPUTED_VALUE"""),3.0)</f>
        <v>3</v>
      </c>
      <c r="H393" s="251">
        <f>IFERROR(__xludf.DUMMYFUNCTION("""COMPUTED_VALUE"""),5.0)</f>
        <v>5</v>
      </c>
      <c r="I393" s="251">
        <f>IFERROR(__xludf.DUMMYFUNCTION("""COMPUTED_VALUE"""),6.0)</f>
        <v>6</v>
      </c>
      <c r="J393" s="251">
        <f>IFERROR(__xludf.DUMMYFUNCTION("""COMPUTED_VALUE"""),1.0)</f>
        <v>1</v>
      </c>
      <c r="K393" s="251" t="str">
        <f>IFERROR(__xludf.DUMMYFUNCTION("""COMPUTED_VALUE"""),"Small")</f>
        <v>Small</v>
      </c>
      <c r="L393" s="251">
        <f>IFERROR(__xludf.DUMMYFUNCTION("""COMPUTED_VALUE"""),1.0)</f>
        <v>1</v>
      </c>
      <c r="M393" s="251" t="str">
        <f>IFERROR(__xludf.DUMMYFUNCTION("""COMPUTED_VALUE"""),"Grasslands")</f>
        <v>Grasslands</v>
      </c>
      <c r="N393" s="251" t="str">
        <f>IFERROR(__xludf.DUMMYFUNCTION("""COMPUTED_VALUE"""),"Flier")</f>
        <v>Flier</v>
      </c>
      <c r="O393" s="251" t="str">
        <f>IFERROR(__xludf.DUMMYFUNCTION("""COMPUTED_VALUE"""),"--")</f>
        <v>--</v>
      </c>
      <c r="P393" s="251" t="str">
        <f>IFERROR(__xludf.DUMMYFUNCTION("""COMPUTED_VALUE"""),"--")</f>
        <v>--</v>
      </c>
      <c r="Q393" s="251" t="str">
        <f>IFERROR(__xludf.DUMMYFUNCTION("""COMPUTED_VALUE"""),"--")</f>
        <v>--</v>
      </c>
      <c r="R393" s="251" t="str">
        <f>IFERROR(__xludf.DUMMYFUNCTION("""COMPUTED_VALUE"""),"Underdog")</f>
        <v>Underdog</v>
      </c>
      <c r="S393" s="251" t="str">
        <f>IFERROR(__xludf.DUMMYFUNCTION("""COMPUTED_VALUE"""),"--")</f>
        <v>--</v>
      </c>
      <c r="T393" s="251" t="str">
        <f>IFERROR(__xludf.DUMMYFUNCTION("""COMPUTED_VALUE"""),"--")</f>
        <v>--</v>
      </c>
      <c r="U393" s="251" t="str">
        <f>IFERROR(__xludf.DUMMYFUNCTION("""COMPUTED_VALUE"""),"--")</f>
        <v>--</v>
      </c>
      <c r="V393" s="251" t="str">
        <f>IFERROR(__xludf.DUMMYFUNCTION("""COMPUTED_VALUE"""),"--")</f>
        <v>--</v>
      </c>
      <c r="W393" s="251" t="str">
        <f>IFERROR(__xludf.DUMMYFUNCTION("""COMPUTED_VALUE"""),"--")</f>
        <v>--</v>
      </c>
      <c r="X393" s="251" t="str">
        <f>IFERROR(__xludf.DUMMYFUNCTION("""COMPUTED_VALUE"""),"--")</f>
        <v>--</v>
      </c>
      <c r="Y393" s="251" t="str">
        <f>IFERROR(__xludf.DUMMYFUNCTION("""COMPUTED_VALUE"""),"--")</f>
        <v>--</v>
      </c>
      <c r="Z393" s="251" t="str">
        <f>IFERROR(__xludf.DUMMYFUNCTION("""COMPUTED_VALUE"""),"--")</f>
        <v>--</v>
      </c>
      <c r="AA393" s="251" t="str">
        <f>IFERROR(__xludf.DUMMYFUNCTION("""COMPUTED_VALUE"""),"--")</f>
        <v>--</v>
      </c>
      <c r="AB393" s="251" t="str">
        <f>IFERROR(__xludf.DUMMYFUNCTION("""COMPUTED_VALUE"""),"--")</f>
        <v>--</v>
      </c>
      <c r="AC393" s="251" t="str">
        <f>IFERROR(__xludf.DUMMYFUNCTION("""COMPUTED_VALUE"""),"--")</f>
        <v>--</v>
      </c>
      <c r="AD393" s="251">
        <f>IFERROR(__xludf.DUMMYFUNCTION("""COMPUTED_VALUE"""),1.0)</f>
        <v>1</v>
      </c>
      <c r="AE393" s="251" t="str">
        <f>IFERROR(__xludf.DUMMYFUNCTION("""COMPUTED_VALUE"""),"Omnivore")</f>
        <v>Omnivore</v>
      </c>
    </row>
    <row r="394">
      <c r="A394" s="251" t="str">
        <f>IFERROR(__xludf.DUMMYFUNCTION("""COMPUTED_VALUE"""),"Corvisquire")</f>
        <v>Corvisquire</v>
      </c>
      <c r="B394" s="251" t="str">
        <f>IFERROR(__xludf.DUMMYFUNCTION("""COMPUTED_VALUE"""),"Flying")</f>
        <v>Flying</v>
      </c>
      <c r="C394" s="251" t="str">
        <f>IFERROR(__xludf.DUMMYFUNCTION("""COMPUTED_VALUE"""),"None")</f>
        <v>None</v>
      </c>
      <c r="D394" s="251">
        <f>IFERROR(__xludf.DUMMYFUNCTION("""COMPUTED_VALUE"""),7.0)</f>
        <v>7</v>
      </c>
      <c r="E394" s="251">
        <f>IFERROR(__xludf.DUMMYFUNCTION("""COMPUTED_VALUE"""),7.0)</f>
        <v>7</v>
      </c>
      <c r="F394" s="251">
        <f>IFERROR(__xludf.DUMMYFUNCTION("""COMPUTED_VALUE"""),6.0)</f>
        <v>6</v>
      </c>
      <c r="G394" s="251">
        <f>IFERROR(__xludf.DUMMYFUNCTION("""COMPUTED_VALUE"""),4.0)</f>
        <v>4</v>
      </c>
      <c r="H394" s="251">
        <f>IFERROR(__xludf.DUMMYFUNCTION("""COMPUTED_VALUE"""),6.0)</f>
        <v>6</v>
      </c>
      <c r="I394" s="251">
        <f>IFERROR(__xludf.DUMMYFUNCTION("""COMPUTED_VALUE"""),8.0)</f>
        <v>8</v>
      </c>
      <c r="J394" s="251">
        <f>IFERROR(__xludf.DUMMYFUNCTION("""COMPUTED_VALUE"""),3.0)</f>
        <v>3</v>
      </c>
      <c r="K394" s="251" t="str">
        <f>IFERROR(__xludf.DUMMYFUNCTION("""COMPUTED_VALUE"""),"Small")</f>
        <v>Small</v>
      </c>
      <c r="L394" s="251">
        <f>IFERROR(__xludf.DUMMYFUNCTION("""COMPUTED_VALUE"""),2.0)</f>
        <v>2</v>
      </c>
      <c r="M394" s="251" t="str">
        <f>IFERROR(__xludf.DUMMYFUNCTION("""COMPUTED_VALUE"""),"Grasslands")</f>
        <v>Grasslands</v>
      </c>
      <c r="N394" s="251" t="str">
        <f>IFERROR(__xludf.DUMMYFUNCTION("""COMPUTED_VALUE"""),"Flier")</f>
        <v>Flier</v>
      </c>
      <c r="O394" s="251" t="str">
        <f>IFERROR(__xludf.DUMMYFUNCTION("""COMPUTED_VALUE"""),"--")</f>
        <v>--</v>
      </c>
      <c r="P394" s="251" t="str">
        <f>IFERROR(__xludf.DUMMYFUNCTION("""COMPUTED_VALUE"""),"--")</f>
        <v>--</v>
      </c>
      <c r="Q394" s="251" t="str">
        <f>IFERROR(__xludf.DUMMYFUNCTION("""COMPUTED_VALUE"""),"--")</f>
        <v>--</v>
      </c>
      <c r="R394" s="251" t="str">
        <f>IFERROR(__xludf.DUMMYFUNCTION("""COMPUTED_VALUE"""),"Underdog")</f>
        <v>Underdog</v>
      </c>
      <c r="S394" s="251" t="str">
        <f>IFERROR(__xludf.DUMMYFUNCTION("""COMPUTED_VALUE"""),"--")</f>
        <v>--</v>
      </c>
      <c r="T394" s="251" t="str">
        <f>IFERROR(__xludf.DUMMYFUNCTION("""COMPUTED_VALUE"""),"--")</f>
        <v>--</v>
      </c>
      <c r="U394" s="251" t="str">
        <f>IFERROR(__xludf.DUMMYFUNCTION("""COMPUTED_VALUE"""),"--")</f>
        <v>--</v>
      </c>
      <c r="V394" s="251" t="str">
        <f>IFERROR(__xludf.DUMMYFUNCTION("""COMPUTED_VALUE"""),"--")</f>
        <v>--</v>
      </c>
      <c r="W394" s="251" t="str">
        <f>IFERROR(__xludf.DUMMYFUNCTION("""COMPUTED_VALUE"""),"--")</f>
        <v>--</v>
      </c>
      <c r="X394" s="251" t="str">
        <f>IFERROR(__xludf.DUMMYFUNCTION("""COMPUTED_VALUE"""),"--")</f>
        <v>--</v>
      </c>
      <c r="Y394" s="251" t="str">
        <f>IFERROR(__xludf.DUMMYFUNCTION("""COMPUTED_VALUE"""),"--")</f>
        <v>--</v>
      </c>
      <c r="Z394" s="251" t="str">
        <f>IFERROR(__xludf.DUMMYFUNCTION("""COMPUTED_VALUE"""),"--")</f>
        <v>--</v>
      </c>
      <c r="AA394" s="251" t="str">
        <f>IFERROR(__xludf.DUMMYFUNCTION("""COMPUTED_VALUE"""),"--")</f>
        <v>--</v>
      </c>
      <c r="AB394" s="251" t="str">
        <f>IFERROR(__xludf.DUMMYFUNCTION("""COMPUTED_VALUE"""),"--")</f>
        <v>--</v>
      </c>
      <c r="AC394" s="251" t="str">
        <f>IFERROR(__xludf.DUMMYFUNCTION("""COMPUTED_VALUE"""),"--")</f>
        <v>--</v>
      </c>
      <c r="AD394" s="251">
        <f>IFERROR(__xludf.DUMMYFUNCTION("""COMPUTED_VALUE"""),2.0)</f>
        <v>2</v>
      </c>
      <c r="AE394" s="251" t="str">
        <f>IFERROR(__xludf.DUMMYFUNCTION("""COMPUTED_VALUE"""),"Omnivore")</f>
        <v>Omnivore</v>
      </c>
    </row>
    <row r="395">
      <c r="A395" s="251" t="str">
        <f>IFERROR(__xludf.DUMMYFUNCTION("""COMPUTED_VALUE"""),"Corviknight")</f>
        <v>Corviknight</v>
      </c>
      <c r="B395" s="251" t="str">
        <f>IFERROR(__xludf.DUMMYFUNCTION("""COMPUTED_VALUE"""),"Flying")</f>
        <v>Flying</v>
      </c>
      <c r="C395" s="251" t="str">
        <f>IFERROR(__xludf.DUMMYFUNCTION("""COMPUTED_VALUE"""),"Steel")</f>
        <v>Steel</v>
      </c>
      <c r="D395" s="251">
        <f>IFERROR(__xludf.DUMMYFUNCTION("""COMPUTED_VALUE"""),10.0)</f>
        <v>10</v>
      </c>
      <c r="E395" s="251">
        <f>IFERROR(__xludf.DUMMYFUNCTION("""COMPUTED_VALUE"""),9.0)</f>
        <v>9</v>
      </c>
      <c r="F395" s="251">
        <f>IFERROR(__xludf.DUMMYFUNCTION("""COMPUTED_VALUE"""),11.0)</f>
        <v>11</v>
      </c>
      <c r="G395" s="251">
        <f>IFERROR(__xludf.DUMMYFUNCTION("""COMPUTED_VALUE"""),5.0)</f>
        <v>5</v>
      </c>
      <c r="H395" s="251">
        <f>IFERROR(__xludf.DUMMYFUNCTION("""COMPUTED_VALUE"""),9.0)</f>
        <v>9</v>
      </c>
      <c r="I395" s="251">
        <f>IFERROR(__xludf.DUMMYFUNCTION("""COMPUTED_VALUE"""),7.0)</f>
        <v>7</v>
      </c>
      <c r="J395" s="251">
        <f>IFERROR(__xludf.DUMMYFUNCTION("""COMPUTED_VALUE"""),7.0)</f>
        <v>7</v>
      </c>
      <c r="K395" s="251" t="str">
        <f>IFERROR(__xludf.DUMMYFUNCTION("""COMPUTED_VALUE"""),"Large")</f>
        <v>Large</v>
      </c>
      <c r="L395" s="251">
        <f>IFERROR(__xludf.DUMMYFUNCTION("""COMPUTED_VALUE"""),4.0)</f>
        <v>4</v>
      </c>
      <c r="M395" s="251" t="str">
        <f>IFERROR(__xludf.DUMMYFUNCTION("""COMPUTED_VALUE"""),"Grasslands")</f>
        <v>Grasslands</v>
      </c>
      <c r="N395" s="251" t="str">
        <f>IFERROR(__xludf.DUMMYFUNCTION("""COMPUTED_VALUE"""),"Flier")</f>
        <v>Flier</v>
      </c>
      <c r="O395" s="251" t="str">
        <f>IFERROR(__xludf.DUMMYFUNCTION("""COMPUTED_VALUE"""),"Quick")</f>
        <v>Quick</v>
      </c>
      <c r="P395" s="251" t="str">
        <f>IFERROR(__xludf.DUMMYFUNCTION("""COMPUTED_VALUE"""),"--")</f>
        <v>--</v>
      </c>
      <c r="Q395" s="251" t="str">
        <f>IFERROR(__xludf.DUMMYFUNCTION("""COMPUTED_VALUE"""),"--")</f>
        <v>--</v>
      </c>
      <c r="R395" s="251" t="str">
        <f>IFERROR(__xludf.DUMMYFUNCTION("""COMPUTED_VALUE"""),"Mountable")</f>
        <v>Mountable</v>
      </c>
      <c r="S395" s="251" t="str">
        <f>IFERROR(__xludf.DUMMYFUNCTION("""COMPUTED_VALUE"""),"--")</f>
        <v>--</v>
      </c>
      <c r="T395" s="251" t="str">
        <f>IFERROR(__xludf.DUMMYFUNCTION("""COMPUTED_VALUE"""),"--")</f>
        <v>--</v>
      </c>
      <c r="U395" s="251" t="str">
        <f>IFERROR(__xludf.DUMMYFUNCTION("""COMPUTED_VALUE"""),"--")</f>
        <v>--</v>
      </c>
      <c r="V395" s="251" t="str">
        <f>IFERROR(__xludf.DUMMYFUNCTION("""COMPUTED_VALUE"""),"--")</f>
        <v>--</v>
      </c>
      <c r="W395" s="251" t="str">
        <f>IFERROR(__xludf.DUMMYFUNCTION("""COMPUTED_VALUE"""),"--")</f>
        <v>--</v>
      </c>
      <c r="X395" s="251" t="str">
        <f>IFERROR(__xludf.DUMMYFUNCTION("""COMPUTED_VALUE"""),"--")</f>
        <v>--</v>
      </c>
      <c r="Y395" s="251" t="str">
        <f>IFERROR(__xludf.DUMMYFUNCTION("""COMPUTED_VALUE"""),"--")</f>
        <v>--</v>
      </c>
      <c r="Z395" s="251" t="str">
        <f>IFERROR(__xludf.DUMMYFUNCTION("""COMPUTED_VALUE"""),"--")</f>
        <v>--</v>
      </c>
      <c r="AA395" s="251" t="str">
        <f>IFERROR(__xludf.DUMMYFUNCTION("""COMPUTED_VALUE"""),"--")</f>
        <v>--</v>
      </c>
      <c r="AB395" s="251" t="str">
        <f>IFERROR(__xludf.DUMMYFUNCTION("""COMPUTED_VALUE"""),"--")</f>
        <v>--</v>
      </c>
      <c r="AC395" s="251" t="str">
        <f>IFERROR(__xludf.DUMMYFUNCTION("""COMPUTED_VALUE"""),"--")</f>
        <v>--</v>
      </c>
      <c r="AD395" s="251">
        <f>IFERROR(__xludf.DUMMYFUNCTION("""COMPUTED_VALUE"""),3.0)</f>
        <v>3</v>
      </c>
      <c r="AE395" s="251" t="str">
        <f>IFERROR(__xludf.DUMMYFUNCTION("""COMPUTED_VALUE"""),"Omnivore")</f>
        <v>Omnivore</v>
      </c>
    </row>
    <row r="396">
      <c r="A396" s="251" t="str">
        <f>IFERROR(__xludf.DUMMYFUNCTION("""COMPUTED_VALUE"""),"Gastly")</f>
        <v>Gastly</v>
      </c>
      <c r="B396" s="251" t="str">
        <f>IFERROR(__xludf.DUMMYFUNCTION("""COMPUTED_VALUE"""),"Ghost")</f>
        <v>Ghost</v>
      </c>
      <c r="C396" s="251" t="str">
        <f>IFERROR(__xludf.DUMMYFUNCTION("""COMPUTED_VALUE"""),"Poison")</f>
        <v>Poison</v>
      </c>
      <c r="D396" s="251">
        <f>IFERROR(__xludf.DUMMYFUNCTION("""COMPUTED_VALUE"""),3.0)</f>
        <v>3</v>
      </c>
      <c r="E396" s="251">
        <f>IFERROR(__xludf.DUMMYFUNCTION("""COMPUTED_VALUE"""),4.0)</f>
        <v>4</v>
      </c>
      <c r="F396" s="251">
        <f>IFERROR(__xludf.DUMMYFUNCTION("""COMPUTED_VALUE"""),3.0)</f>
        <v>3</v>
      </c>
      <c r="G396" s="251">
        <f>IFERROR(__xludf.DUMMYFUNCTION("""COMPUTED_VALUE"""),10.0)</f>
        <v>10</v>
      </c>
      <c r="H396" s="251">
        <f>IFERROR(__xludf.DUMMYFUNCTION("""COMPUTED_VALUE"""),4.0)</f>
        <v>4</v>
      </c>
      <c r="I396" s="251">
        <f>IFERROR(__xludf.DUMMYFUNCTION("""COMPUTED_VALUE"""),8.0)</f>
        <v>8</v>
      </c>
      <c r="J396" s="251">
        <f>IFERROR(__xludf.DUMMYFUNCTION("""COMPUTED_VALUE"""),1.0)</f>
        <v>1</v>
      </c>
      <c r="K396" s="251" t="str">
        <f>IFERROR(__xludf.DUMMYFUNCTION("""COMPUTED_VALUE"""),"Medium")</f>
        <v>Medium</v>
      </c>
      <c r="L396" s="251">
        <f>IFERROR(__xludf.DUMMYFUNCTION("""COMPUTED_VALUE"""),1.0)</f>
        <v>1</v>
      </c>
      <c r="M396" s="251" t="str">
        <f>IFERROR(__xludf.DUMMYFUNCTION("""COMPUTED_VALUE"""),"Urban")</f>
        <v>Urban</v>
      </c>
      <c r="N396" s="251" t="str">
        <f>IFERROR(__xludf.DUMMYFUNCTION("""COMPUTED_VALUE"""),"Flier")</f>
        <v>Flier</v>
      </c>
      <c r="O396" s="251" t="str">
        <f>IFERROR(__xludf.DUMMYFUNCTION("""COMPUTED_VALUE"""),"Phaser")</f>
        <v>Phaser</v>
      </c>
      <c r="P396" s="251" t="str">
        <f>IFERROR(__xludf.DUMMYFUNCTION("""COMPUTED_VALUE"""),"--")</f>
        <v>--</v>
      </c>
      <c r="Q396" s="251" t="str">
        <f>IFERROR(__xludf.DUMMYFUNCTION("""COMPUTED_VALUE"""),"--")</f>
        <v>--</v>
      </c>
      <c r="R396" s="251" t="str">
        <f>IFERROR(__xludf.DUMMYFUNCTION("""COMPUTED_VALUE"""),"Darkvision")</f>
        <v>Darkvision</v>
      </c>
      <c r="S396" s="251" t="str">
        <f>IFERROR(__xludf.DUMMYFUNCTION("""COMPUTED_VALUE"""),"Invisibility")</f>
        <v>Invisibility</v>
      </c>
      <c r="T396" s="251" t="str">
        <f>IFERROR(__xludf.DUMMYFUNCTION("""COMPUTED_VALUE"""),"Underdog")</f>
        <v>Underdog</v>
      </c>
      <c r="U396" s="251" t="str">
        <f>IFERROR(__xludf.DUMMYFUNCTION("""COMPUTED_VALUE"""),"--")</f>
        <v>--</v>
      </c>
      <c r="V396" s="251" t="str">
        <f>IFERROR(__xludf.DUMMYFUNCTION("""COMPUTED_VALUE"""),"Dead Silent")</f>
        <v>Dead Silent</v>
      </c>
      <c r="W396" s="251" t="str">
        <f>IFERROR(__xludf.DUMMYFUNCTION("""COMPUTED_VALUE"""),"--")</f>
        <v>--</v>
      </c>
      <c r="X396" s="251" t="str">
        <f>IFERROR(__xludf.DUMMYFUNCTION("""COMPUTED_VALUE"""),"--")</f>
        <v>--</v>
      </c>
      <c r="Y396" s="251" t="str">
        <f>IFERROR(__xludf.DUMMYFUNCTION("""COMPUTED_VALUE"""),"--")</f>
        <v>--</v>
      </c>
      <c r="Z396" s="251" t="str">
        <f>IFERROR(__xludf.DUMMYFUNCTION("""COMPUTED_VALUE"""),"--")</f>
        <v>--</v>
      </c>
      <c r="AA396" s="251" t="str">
        <f>IFERROR(__xludf.DUMMYFUNCTION("""COMPUTED_VALUE"""),"--")</f>
        <v>--</v>
      </c>
      <c r="AB396" s="251" t="str">
        <f>IFERROR(__xludf.DUMMYFUNCTION("""COMPUTED_VALUE"""),"--")</f>
        <v>--</v>
      </c>
      <c r="AC396" s="251" t="str">
        <f>IFERROR(__xludf.DUMMYFUNCTION("""COMPUTED_VALUE"""),"--")</f>
        <v>--</v>
      </c>
      <c r="AD396" s="251">
        <f>IFERROR(__xludf.DUMMYFUNCTION("""COMPUTED_VALUE"""),1.0)</f>
        <v>1</v>
      </c>
      <c r="AE396" s="251" t="str">
        <f>IFERROR(__xludf.DUMMYFUNCTION("""COMPUTED_VALUE"""),"Nullivore")</f>
        <v>Nullivore</v>
      </c>
    </row>
    <row r="397">
      <c r="A397" s="251" t="str">
        <f>IFERROR(__xludf.DUMMYFUNCTION("""COMPUTED_VALUE"""),"Haunter")</f>
        <v>Haunter</v>
      </c>
      <c r="B397" s="251" t="str">
        <f>IFERROR(__xludf.DUMMYFUNCTION("""COMPUTED_VALUE"""),"Ghost")</f>
        <v>Ghost</v>
      </c>
      <c r="C397" s="251" t="str">
        <f>IFERROR(__xludf.DUMMYFUNCTION("""COMPUTED_VALUE"""),"Poison")</f>
        <v>Poison</v>
      </c>
      <c r="D397" s="251">
        <f>IFERROR(__xludf.DUMMYFUNCTION("""COMPUTED_VALUE"""),5.0)</f>
        <v>5</v>
      </c>
      <c r="E397" s="251">
        <f>IFERROR(__xludf.DUMMYFUNCTION("""COMPUTED_VALUE"""),5.0)</f>
        <v>5</v>
      </c>
      <c r="F397" s="251">
        <f>IFERROR(__xludf.DUMMYFUNCTION("""COMPUTED_VALUE"""),5.0)</f>
        <v>5</v>
      </c>
      <c r="G397" s="251">
        <f>IFERROR(__xludf.DUMMYFUNCTION("""COMPUTED_VALUE"""),12.0)</f>
        <v>12</v>
      </c>
      <c r="H397" s="251">
        <f>IFERROR(__xludf.DUMMYFUNCTION("""COMPUTED_VALUE"""),6.0)</f>
        <v>6</v>
      </c>
      <c r="I397" s="251">
        <f>IFERROR(__xludf.DUMMYFUNCTION("""COMPUTED_VALUE"""),10.0)</f>
        <v>10</v>
      </c>
      <c r="J397" s="251">
        <f>IFERROR(__xludf.DUMMYFUNCTION("""COMPUTED_VALUE"""),3.0)</f>
        <v>3</v>
      </c>
      <c r="K397" s="251" t="str">
        <f>IFERROR(__xludf.DUMMYFUNCTION("""COMPUTED_VALUE"""),"Medium")</f>
        <v>Medium</v>
      </c>
      <c r="L397" s="251">
        <f>IFERROR(__xludf.DUMMYFUNCTION("""COMPUTED_VALUE"""),1.0)</f>
        <v>1</v>
      </c>
      <c r="M397" s="251" t="str">
        <f>IFERROR(__xludf.DUMMYFUNCTION("""COMPUTED_VALUE"""),"Urban")</f>
        <v>Urban</v>
      </c>
      <c r="N397" s="251" t="str">
        <f>IFERROR(__xludf.DUMMYFUNCTION("""COMPUTED_VALUE"""),"Flier")</f>
        <v>Flier</v>
      </c>
      <c r="O397" s="251" t="str">
        <f>IFERROR(__xludf.DUMMYFUNCTION("""COMPUTED_VALUE"""),"Phaser")</f>
        <v>Phaser</v>
      </c>
      <c r="P397" s="251" t="str">
        <f>IFERROR(__xludf.DUMMYFUNCTION("""COMPUTED_VALUE"""),"--")</f>
        <v>--</v>
      </c>
      <c r="Q397" s="251" t="str">
        <f>IFERROR(__xludf.DUMMYFUNCTION("""COMPUTED_VALUE"""),"--")</f>
        <v>--</v>
      </c>
      <c r="R397" s="251" t="str">
        <f>IFERROR(__xludf.DUMMYFUNCTION("""COMPUTED_VALUE"""),"Darkvision")</f>
        <v>Darkvision</v>
      </c>
      <c r="S397" s="251" t="str">
        <f>IFERROR(__xludf.DUMMYFUNCTION("""COMPUTED_VALUE"""),"Invisibility")</f>
        <v>Invisibility</v>
      </c>
      <c r="T397" s="251" t="str">
        <f>IFERROR(__xludf.DUMMYFUNCTION("""COMPUTED_VALUE"""),"Underdog")</f>
        <v>Underdog</v>
      </c>
      <c r="U397" s="251" t="str">
        <f>IFERROR(__xludf.DUMMYFUNCTION("""COMPUTED_VALUE"""),"--")</f>
        <v>--</v>
      </c>
      <c r="V397" s="251" t="str">
        <f>IFERROR(__xludf.DUMMYFUNCTION("""COMPUTED_VALUE"""),"Dead Silent")</f>
        <v>Dead Silent</v>
      </c>
      <c r="W397" s="251" t="str">
        <f>IFERROR(__xludf.DUMMYFUNCTION("""COMPUTED_VALUE"""),"--")</f>
        <v>--</v>
      </c>
      <c r="X397" s="251" t="str">
        <f>IFERROR(__xludf.DUMMYFUNCTION("""COMPUTED_VALUE"""),"--")</f>
        <v>--</v>
      </c>
      <c r="Y397" s="251" t="str">
        <f>IFERROR(__xludf.DUMMYFUNCTION("""COMPUTED_VALUE"""),"--")</f>
        <v>--</v>
      </c>
      <c r="Z397" s="251" t="str">
        <f>IFERROR(__xludf.DUMMYFUNCTION("""COMPUTED_VALUE"""),"--")</f>
        <v>--</v>
      </c>
      <c r="AA397" s="251" t="str">
        <f>IFERROR(__xludf.DUMMYFUNCTION("""COMPUTED_VALUE"""),"--")</f>
        <v>--</v>
      </c>
      <c r="AB397" s="251" t="str">
        <f>IFERROR(__xludf.DUMMYFUNCTION("""COMPUTED_VALUE"""),"--")</f>
        <v>--</v>
      </c>
      <c r="AC397" s="251" t="str">
        <f>IFERROR(__xludf.DUMMYFUNCTION("""COMPUTED_VALUE"""),"--")</f>
        <v>--</v>
      </c>
      <c r="AD397" s="251">
        <f>IFERROR(__xludf.DUMMYFUNCTION("""COMPUTED_VALUE"""),2.0)</f>
        <v>2</v>
      </c>
      <c r="AE397" s="251" t="str">
        <f>IFERROR(__xludf.DUMMYFUNCTION("""COMPUTED_VALUE"""),"Nullivore")</f>
        <v>Nullivore</v>
      </c>
    </row>
    <row r="398">
      <c r="A398" s="251" t="str">
        <f>IFERROR(__xludf.DUMMYFUNCTION("""COMPUTED_VALUE"""),"Gengar")</f>
        <v>Gengar</v>
      </c>
      <c r="B398" s="251" t="str">
        <f>IFERROR(__xludf.DUMMYFUNCTION("""COMPUTED_VALUE"""),"Ghost")</f>
        <v>Ghost</v>
      </c>
      <c r="C398" s="251" t="str">
        <f>IFERROR(__xludf.DUMMYFUNCTION("""COMPUTED_VALUE"""),"Poison")</f>
        <v>Poison</v>
      </c>
      <c r="D398" s="251">
        <f>IFERROR(__xludf.DUMMYFUNCTION("""COMPUTED_VALUE"""),6.0)</f>
        <v>6</v>
      </c>
      <c r="E398" s="251">
        <f>IFERROR(__xludf.DUMMYFUNCTION("""COMPUTED_VALUE"""),7.0)</f>
        <v>7</v>
      </c>
      <c r="F398" s="251">
        <f>IFERROR(__xludf.DUMMYFUNCTION("""COMPUTED_VALUE"""),6.0)</f>
        <v>6</v>
      </c>
      <c r="G398" s="251">
        <f>IFERROR(__xludf.DUMMYFUNCTION("""COMPUTED_VALUE"""),13.0)</f>
        <v>13</v>
      </c>
      <c r="H398" s="251">
        <f>IFERROR(__xludf.DUMMYFUNCTION("""COMPUTED_VALUE"""),8.0)</f>
        <v>8</v>
      </c>
      <c r="I398" s="251">
        <f>IFERROR(__xludf.DUMMYFUNCTION("""COMPUTED_VALUE"""),11.0)</f>
        <v>11</v>
      </c>
      <c r="J398" s="251">
        <f>IFERROR(__xludf.DUMMYFUNCTION("""COMPUTED_VALUE"""),4.0)</f>
        <v>4</v>
      </c>
      <c r="K398" s="251" t="str">
        <f>IFERROR(__xludf.DUMMYFUNCTION("""COMPUTED_VALUE"""),"Medium")</f>
        <v>Medium</v>
      </c>
      <c r="L398" s="251">
        <f>IFERROR(__xludf.DUMMYFUNCTION("""COMPUTED_VALUE"""),3.0)</f>
        <v>3</v>
      </c>
      <c r="M398" s="251" t="str">
        <f>IFERROR(__xludf.DUMMYFUNCTION("""COMPUTED_VALUE"""),"Urban")</f>
        <v>Urban</v>
      </c>
      <c r="N398" s="251" t="str">
        <f>IFERROR(__xludf.DUMMYFUNCTION("""COMPUTED_VALUE"""),"Flier")</f>
        <v>Flier</v>
      </c>
      <c r="O398" s="251" t="str">
        <f>IFERROR(__xludf.DUMMYFUNCTION("""COMPUTED_VALUE"""),"Phaser")</f>
        <v>Phaser</v>
      </c>
      <c r="P398" s="251" t="str">
        <f>IFERROR(__xludf.DUMMYFUNCTION("""COMPUTED_VALUE"""),"--")</f>
        <v>--</v>
      </c>
      <c r="Q398" s="251" t="str">
        <f>IFERROR(__xludf.DUMMYFUNCTION("""COMPUTED_VALUE"""),"--")</f>
        <v>--</v>
      </c>
      <c r="R398" s="251" t="str">
        <f>IFERROR(__xludf.DUMMYFUNCTION("""COMPUTED_VALUE"""),"Darkvision")</f>
        <v>Darkvision</v>
      </c>
      <c r="S398" s="251" t="str">
        <f>IFERROR(__xludf.DUMMYFUNCTION("""COMPUTED_VALUE"""),"Invisibility")</f>
        <v>Invisibility</v>
      </c>
      <c r="T398" s="251" t="str">
        <f>IFERROR(__xludf.DUMMYFUNCTION("""COMPUTED_VALUE"""),"Shadow Meld")</f>
        <v>Shadow Meld</v>
      </c>
      <c r="U398" s="251" t="str">
        <f>IFERROR(__xludf.DUMMYFUNCTION("""COMPUTED_VALUE"""),"--")</f>
        <v>--</v>
      </c>
      <c r="V398" s="251" t="str">
        <f>IFERROR(__xludf.DUMMYFUNCTION("""COMPUTED_VALUE"""),"Dead Silent")</f>
        <v>Dead Silent</v>
      </c>
      <c r="W398" s="251" t="str">
        <f>IFERROR(__xludf.DUMMYFUNCTION("""COMPUTED_VALUE"""),"--")</f>
        <v>--</v>
      </c>
      <c r="X398" s="251" t="str">
        <f>IFERROR(__xludf.DUMMYFUNCTION("""COMPUTED_VALUE"""),"--")</f>
        <v>--</v>
      </c>
      <c r="Y398" s="251" t="str">
        <f>IFERROR(__xludf.DUMMYFUNCTION("""COMPUTED_VALUE"""),"--")</f>
        <v>--</v>
      </c>
      <c r="Z398" s="251" t="str">
        <f>IFERROR(__xludf.DUMMYFUNCTION("""COMPUTED_VALUE"""),"--")</f>
        <v>--</v>
      </c>
      <c r="AA398" s="251" t="str">
        <f>IFERROR(__xludf.DUMMYFUNCTION("""COMPUTED_VALUE"""),"--")</f>
        <v>--</v>
      </c>
      <c r="AB398" s="251" t="str">
        <f>IFERROR(__xludf.DUMMYFUNCTION("""COMPUTED_VALUE"""),"--")</f>
        <v>--</v>
      </c>
      <c r="AC398" s="251" t="str">
        <f>IFERROR(__xludf.DUMMYFUNCTION("""COMPUTED_VALUE"""),"--")</f>
        <v>--</v>
      </c>
      <c r="AD398" s="251">
        <f>IFERROR(__xludf.DUMMYFUNCTION("""COMPUTED_VALUE"""),3.0)</f>
        <v>3</v>
      </c>
      <c r="AE398" s="251" t="str">
        <f>IFERROR(__xludf.DUMMYFUNCTION("""COMPUTED_VALUE"""),"Nullivore")</f>
        <v>Nullivore</v>
      </c>
    </row>
    <row r="399">
      <c r="A399" s="251" t="str">
        <f>IFERROR(__xludf.DUMMYFUNCTION("""COMPUTED_VALUE"""),"Duskull")</f>
        <v>Duskull</v>
      </c>
      <c r="B399" s="251" t="str">
        <f>IFERROR(__xludf.DUMMYFUNCTION("""COMPUTED_VALUE"""),"Ghost")</f>
        <v>Ghost</v>
      </c>
      <c r="C399" s="251" t="str">
        <f>IFERROR(__xludf.DUMMYFUNCTION("""COMPUTED_VALUE"""),"None")</f>
        <v>None</v>
      </c>
      <c r="D399" s="251">
        <f>IFERROR(__xludf.DUMMYFUNCTION("""COMPUTED_VALUE"""),2.0)</f>
        <v>2</v>
      </c>
      <c r="E399" s="251">
        <f>IFERROR(__xludf.DUMMYFUNCTION("""COMPUTED_VALUE"""),4.0)</f>
        <v>4</v>
      </c>
      <c r="F399" s="251">
        <f>IFERROR(__xludf.DUMMYFUNCTION("""COMPUTED_VALUE"""),9.0)</f>
        <v>9</v>
      </c>
      <c r="G399" s="251">
        <f>IFERROR(__xludf.DUMMYFUNCTION("""COMPUTED_VALUE"""),3.0)</f>
        <v>3</v>
      </c>
      <c r="H399" s="251">
        <f>IFERROR(__xludf.DUMMYFUNCTION("""COMPUTED_VALUE"""),9.0)</f>
        <v>9</v>
      </c>
      <c r="I399" s="251">
        <f>IFERROR(__xludf.DUMMYFUNCTION("""COMPUTED_VALUE"""),3.0)</f>
        <v>3</v>
      </c>
      <c r="J399" s="251">
        <f>IFERROR(__xludf.DUMMYFUNCTION("""COMPUTED_VALUE"""),1.0)</f>
        <v>1</v>
      </c>
      <c r="K399" s="251" t="str">
        <f>IFERROR(__xludf.DUMMYFUNCTION("""COMPUTED_VALUE"""),"Small")</f>
        <v>Small</v>
      </c>
      <c r="L399" s="251">
        <f>IFERROR(__xludf.DUMMYFUNCTION("""COMPUTED_VALUE"""),2.0)</f>
        <v>2</v>
      </c>
      <c r="M399" s="251" t="str">
        <f>IFERROR(__xludf.DUMMYFUNCTION("""COMPUTED_VALUE"""),"Forest, Urban")</f>
        <v>Forest, Urban</v>
      </c>
      <c r="N399" s="251" t="str">
        <f>IFERROR(__xludf.DUMMYFUNCTION("""COMPUTED_VALUE"""),"Flier")</f>
        <v>Flier</v>
      </c>
      <c r="O399" s="251" t="str">
        <f>IFERROR(__xludf.DUMMYFUNCTION("""COMPUTED_VALUE"""),"Phaser")</f>
        <v>Phaser</v>
      </c>
      <c r="P399" s="251" t="str">
        <f>IFERROR(__xludf.DUMMYFUNCTION("""COMPUTED_VALUE"""),"--")</f>
        <v>--</v>
      </c>
      <c r="Q399" s="251" t="str">
        <f>IFERROR(__xludf.DUMMYFUNCTION("""COMPUTED_VALUE"""),"--")</f>
        <v>--</v>
      </c>
      <c r="R399" s="251" t="str">
        <f>IFERROR(__xludf.DUMMYFUNCTION("""COMPUTED_VALUE"""),"Darkvision")</f>
        <v>Darkvision</v>
      </c>
      <c r="S399" s="251" t="str">
        <f>IFERROR(__xludf.DUMMYFUNCTION("""COMPUTED_VALUE"""),"Invisibility")</f>
        <v>Invisibility</v>
      </c>
      <c r="T399" s="251" t="str">
        <f>IFERROR(__xludf.DUMMYFUNCTION("""COMPUTED_VALUE"""),"Underdog")</f>
        <v>Underdog</v>
      </c>
      <c r="U399" s="251" t="str">
        <f>IFERROR(__xludf.DUMMYFUNCTION("""COMPUTED_VALUE"""),"--")</f>
        <v>--</v>
      </c>
      <c r="V399" s="251" t="str">
        <f>IFERROR(__xludf.DUMMYFUNCTION("""COMPUTED_VALUE"""),"Dead Silent")</f>
        <v>Dead Silent</v>
      </c>
      <c r="W399" s="251" t="str">
        <f>IFERROR(__xludf.DUMMYFUNCTION("""COMPUTED_VALUE"""),"--")</f>
        <v>--</v>
      </c>
      <c r="X399" s="251" t="str">
        <f>IFERROR(__xludf.DUMMYFUNCTION("""COMPUTED_VALUE"""),"--")</f>
        <v>--</v>
      </c>
      <c r="Y399" s="251" t="str">
        <f>IFERROR(__xludf.DUMMYFUNCTION("""COMPUTED_VALUE"""),"--")</f>
        <v>--</v>
      </c>
      <c r="Z399" s="251" t="str">
        <f>IFERROR(__xludf.DUMMYFUNCTION("""COMPUTED_VALUE"""),"--")</f>
        <v>--</v>
      </c>
      <c r="AA399" s="251" t="str">
        <f>IFERROR(__xludf.DUMMYFUNCTION("""COMPUTED_VALUE"""),"--")</f>
        <v>--</v>
      </c>
      <c r="AB399" s="251" t="str">
        <f>IFERROR(__xludf.DUMMYFUNCTION("""COMPUTED_VALUE"""),"--")</f>
        <v>--</v>
      </c>
      <c r="AC399" s="251" t="str">
        <f>IFERROR(__xludf.DUMMYFUNCTION("""COMPUTED_VALUE"""),"--")</f>
        <v>--</v>
      </c>
      <c r="AD399" s="251">
        <f>IFERROR(__xludf.DUMMYFUNCTION("""COMPUTED_VALUE"""),1.0)</f>
        <v>1</v>
      </c>
      <c r="AE399" s="251" t="str">
        <f>IFERROR(__xludf.DUMMYFUNCTION("""COMPUTED_VALUE"""),"Nullivore")</f>
        <v>Nullivore</v>
      </c>
    </row>
    <row r="400">
      <c r="A400" s="251" t="str">
        <f>IFERROR(__xludf.DUMMYFUNCTION("""COMPUTED_VALUE"""),"Dusclops")</f>
        <v>Dusclops</v>
      </c>
      <c r="B400" s="251" t="str">
        <f>IFERROR(__xludf.DUMMYFUNCTION("""COMPUTED_VALUE"""),"Ghost")</f>
        <v>Ghost</v>
      </c>
      <c r="C400" s="251" t="str">
        <f>IFERROR(__xludf.DUMMYFUNCTION("""COMPUTED_VALUE"""),"None")</f>
        <v>None</v>
      </c>
      <c r="D400" s="251">
        <f>IFERROR(__xludf.DUMMYFUNCTION("""COMPUTED_VALUE"""),4.0)</f>
        <v>4</v>
      </c>
      <c r="E400" s="251">
        <f>IFERROR(__xludf.DUMMYFUNCTION("""COMPUTED_VALUE"""),7.0)</f>
        <v>7</v>
      </c>
      <c r="F400" s="251">
        <f>IFERROR(__xludf.DUMMYFUNCTION("""COMPUTED_VALUE"""),13.0)</f>
        <v>13</v>
      </c>
      <c r="G400" s="251">
        <f>IFERROR(__xludf.DUMMYFUNCTION("""COMPUTED_VALUE"""),5.0)</f>
        <v>5</v>
      </c>
      <c r="H400" s="251">
        <f>IFERROR(__xludf.DUMMYFUNCTION("""COMPUTED_VALUE"""),13.0)</f>
        <v>13</v>
      </c>
      <c r="I400" s="251">
        <f>IFERROR(__xludf.DUMMYFUNCTION("""COMPUTED_VALUE"""),3.0)</f>
        <v>3</v>
      </c>
      <c r="J400" s="251">
        <f>IFERROR(__xludf.DUMMYFUNCTION("""COMPUTED_VALUE"""),3.0)</f>
        <v>3</v>
      </c>
      <c r="K400" s="251" t="str">
        <f>IFERROR(__xludf.DUMMYFUNCTION("""COMPUTED_VALUE"""),"Medium")</f>
        <v>Medium</v>
      </c>
      <c r="L400" s="251">
        <f>IFERROR(__xludf.DUMMYFUNCTION("""COMPUTED_VALUE"""),3.0)</f>
        <v>3</v>
      </c>
      <c r="M400" s="251" t="str">
        <f>IFERROR(__xludf.DUMMYFUNCTION("""COMPUTED_VALUE"""),"Forest, Urban")</f>
        <v>Forest, Urban</v>
      </c>
      <c r="N400" s="251" t="str">
        <f>IFERROR(__xludf.DUMMYFUNCTION("""COMPUTED_VALUE"""),"Flier")</f>
        <v>Flier</v>
      </c>
      <c r="O400" s="251" t="str">
        <f>IFERROR(__xludf.DUMMYFUNCTION("""COMPUTED_VALUE"""),"Phaser")</f>
        <v>Phaser</v>
      </c>
      <c r="P400" s="251" t="str">
        <f>IFERROR(__xludf.DUMMYFUNCTION("""COMPUTED_VALUE"""),"--")</f>
        <v>--</v>
      </c>
      <c r="Q400" s="251" t="str">
        <f>IFERROR(__xludf.DUMMYFUNCTION("""COMPUTED_VALUE"""),"--")</f>
        <v>--</v>
      </c>
      <c r="R400" s="251" t="str">
        <f>IFERROR(__xludf.DUMMYFUNCTION("""COMPUTED_VALUE"""),"Darkvision")</f>
        <v>Darkvision</v>
      </c>
      <c r="S400" s="251" t="str">
        <f>IFERROR(__xludf.DUMMYFUNCTION("""COMPUTED_VALUE"""),"Invisibility")</f>
        <v>Invisibility</v>
      </c>
      <c r="T400" s="251" t="str">
        <f>IFERROR(__xludf.DUMMYFUNCTION("""COMPUTED_VALUE"""),"Underdog")</f>
        <v>Underdog</v>
      </c>
      <c r="U400" s="251" t="str">
        <f>IFERROR(__xludf.DUMMYFUNCTION("""COMPUTED_VALUE"""),"--")</f>
        <v>--</v>
      </c>
      <c r="V400" s="251" t="str">
        <f>IFERROR(__xludf.DUMMYFUNCTION("""COMPUTED_VALUE"""),"Dead Silent")</f>
        <v>Dead Silent</v>
      </c>
      <c r="W400" s="251" t="str">
        <f>IFERROR(__xludf.DUMMYFUNCTION("""COMPUTED_VALUE"""),"--")</f>
        <v>--</v>
      </c>
      <c r="X400" s="251" t="str">
        <f>IFERROR(__xludf.DUMMYFUNCTION("""COMPUTED_VALUE"""),"--")</f>
        <v>--</v>
      </c>
      <c r="Y400" s="251" t="str">
        <f>IFERROR(__xludf.DUMMYFUNCTION("""COMPUTED_VALUE"""),"--")</f>
        <v>--</v>
      </c>
      <c r="Z400" s="251" t="str">
        <f>IFERROR(__xludf.DUMMYFUNCTION("""COMPUTED_VALUE"""),"--")</f>
        <v>--</v>
      </c>
      <c r="AA400" s="251" t="str">
        <f>IFERROR(__xludf.DUMMYFUNCTION("""COMPUTED_VALUE"""),"--")</f>
        <v>--</v>
      </c>
      <c r="AB400" s="251" t="str">
        <f>IFERROR(__xludf.DUMMYFUNCTION("""COMPUTED_VALUE"""),"--")</f>
        <v>--</v>
      </c>
      <c r="AC400" s="251" t="str">
        <f>IFERROR(__xludf.DUMMYFUNCTION("""COMPUTED_VALUE"""),"--")</f>
        <v>--</v>
      </c>
      <c r="AD400" s="251">
        <f>IFERROR(__xludf.DUMMYFUNCTION("""COMPUTED_VALUE"""),2.0)</f>
        <v>2</v>
      </c>
      <c r="AE400" s="251" t="str">
        <f>IFERROR(__xludf.DUMMYFUNCTION("""COMPUTED_VALUE"""),"Nullivore")</f>
        <v>Nullivore</v>
      </c>
    </row>
    <row r="401">
      <c r="A401" s="251" t="str">
        <f>IFERROR(__xludf.DUMMYFUNCTION("""COMPUTED_VALUE"""),"Dusknoir")</f>
        <v>Dusknoir</v>
      </c>
      <c r="B401" s="251" t="str">
        <f>IFERROR(__xludf.DUMMYFUNCTION("""COMPUTED_VALUE"""),"Ghost")</f>
        <v>Ghost</v>
      </c>
      <c r="C401" s="251" t="str">
        <f>IFERROR(__xludf.DUMMYFUNCTION("""COMPUTED_VALUE"""),"None")</f>
        <v>None</v>
      </c>
      <c r="D401" s="251">
        <f>IFERROR(__xludf.DUMMYFUNCTION("""COMPUTED_VALUE"""),5.0)</f>
        <v>5</v>
      </c>
      <c r="E401" s="251">
        <f>IFERROR(__xludf.DUMMYFUNCTION("""COMPUTED_VALUE"""),10.0)</f>
        <v>10</v>
      </c>
      <c r="F401" s="251">
        <f>IFERROR(__xludf.DUMMYFUNCTION("""COMPUTED_VALUE"""),14.0)</f>
        <v>14</v>
      </c>
      <c r="G401" s="251">
        <f>IFERROR(__xludf.DUMMYFUNCTION("""COMPUTED_VALUE"""),7.0)</f>
        <v>7</v>
      </c>
      <c r="H401" s="251">
        <f>IFERROR(__xludf.DUMMYFUNCTION("""COMPUTED_VALUE"""),14.0)</f>
        <v>14</v>
      </c>
      <c r="I401" s="251">
        <f>IFERROR(__xludf.DUMMYFUNCTION("""COMPUTED_VALUE"""),5.0)</f>
        <v>5</v>
      </c>
      <c r="J401" s="251">
        <f>IFERROR(__xludf.DUMMYFUNCTION("""COMPUTED_VALUE"""),5.0)</f>
        <v>5</v>
      </c>
      <c r="K401" s="251" t="str">
        <f>IFERROR(__xludf.DUMMYFUNCTION("""COMPUTED_VALUE"""),"Large")</f>
        <v>Large</v>
      </c>
      <c r="L401" s="251">
        <f>IFERROR(__xludf.DUMMYFUNCTION("""COMPUTED_VALUE"""),5.0)</f>
        <v>5</v>
      </c>
      <c r="M401" s="251" t="str">
        <f>IFERROR(__xludf.DUMMYFUNCTION("""COMPUTED_VALUE"""),"Forest, Urban")</f>
        <v>Forest, Urban</v>
      </c>
      <c r="N401" s="251" t="str">
        <f>IFERROR(__xludf.DUMMYFUNCTION("""COMPUTED_VALUE"""),"Flier")</f>
        <v>Flier</v>
      </c>
      <c r="O401" s="251" t="str">
        <f>IFERROR(__xludf.DUMMYFUNCTION("""COMPUTED_VALUE"""),"Phaser")</f>
        <v>Phaser</v>
      </c>
      <c r="P401" s="251" t="str">
        <f>IFERROR(__xludf.DUMMYFUNCTION("""COMPUTED_VALUE"""),"--")</f>
        <v>--</v>
      </c>
      <c r="Q401" s="251" t="str">
        <f>IFERROR(__xludf.DUMMYFUNCTION("""COMPUTED_VALUE"""),"--")</f>
        <v>--</v>
      </c>
      <c r="R401" s="251" t="str">
        <f>IFERROR(__xludf.DUMMYFUNCTION("""COMPUTED_VALUE"""),"Darkvision")</f>
        <v>Darkvision</v>
      </c>
      <c r="S401" s="251" t="str">
        <f>IFERROR(__xludf.DUMMYFUNCTION("""COMPUTED_VALUE"""),"Invisibility")</f>
        <v>Invisibility</v>
      </c>
      <c r="T401" s="251" t="str">
        <f>IFERROR(__xludf.DUMMYFUNCTION("""COMPUTED_VALUE"""),"--")</f>
        <v>--</v>
      </c>
      <c r="U401" s="251" t="str">
        <f>IFERROR(__xludf.DUMMYFUNCTION("""COMPUTED_VALUE"""),"--")</f>
        <v>--</v>
      </c>
      <c r="V401" s="251" t="str">
        <f>IFERROR(__xludf.DUMMYFUNCTION("""COMPUTED_VALUE"""),"Dead Silent")</f>
        <v>Dead Silent</v>
      </c>
      <c r="W401" s="251" t="str">
        <f>IFERROR(__xludf.DUMMYFUNCTION("""COMPUTED_VALUE"""),"Soul Seer")</f>
        <v>Soul Seer</v>
      </c>
      <c r="X401" s="251" t="str">
        <f>IFERROR(__xludf.DUMMYFUNCTION("""COMPUTED_VALUE"""),"--")</f>
        <v>--</v>
      </c>
      <c r="Y401" s="251" t="str">
        <f>IFERROR(__xludf.DUMMYFUNCTION("""COMPUTED_VALUE"""),"--")</f>
        <v>--</v>
      </c>
      <c r="Z401" s="251" t="str">
        <f>IFERROR(__xludf.DUMMYFUNCTION("""COMPUTED_VALUE"""),"--")</f>
        <v>--</v>
      </c>
      <c r="AA401" s="251" t="str">
        <f>IFERROR(__xludf.DUMMYFUNCTION("""COMPUTED_VALUE"""),"--")</f>
        <v>--</v>
      </c>
      <c r="AB401" s="251" t="str">
        <f>IFERROR(__xludf.DUMMYFUNCTION("""COMPUTED_VALUE"""),"--")</f>
        <v>--</v>
      </c>
      <c r="AC401" s="251" t="str">
        <f>IFERROR(__xludf.DUMMYFUNCTION("""COMPUTED_VALUE"""),"--")</f>
        <v>--</v>
      </c>
      <c r="AD401" s="251">
        <f>IFERROR(__xludf.DUMMYFUNCTION("""COMPUTED_VALUE"""),3.0)</f>
        <v>3</v>
      </c>
      <c r="AE401" s="251" t="str">
        <f>IFERROR(__xludf.DUMMYFUNCTION("""COMPUTED_VALUE"""),"Nullivore")</f>
        <v>Nullivore</v>
      </c>
    </row>
    <row r="402">
      <c r="A402" s="251" t="str">
        <f>IFERROR(__xludf.DUMMYFUNCTION("""COMPUTED_VALUE"""),"Litwick")</f>
        <v>Litwick</v>
      </c>
      <c r="B402" s="251" t="str">
        <f>IFERROR(__xludf.DUMMYFUNCTION("""COMPUTED_VALUE"""),"Ghost")</f>
        <v>Ghost</v>
      </c>
      <c r="C402" s="251" t="str">
        <f>IFERROR(__xludf.DUMMYFUNCTION("""COMPUTED_VALUE"""),"Fire")</f>
        <v>Fire</v>
      </c>
      <c r="D402" s="251">
        <f>IFERROR(__xludf.DUMMYFUNCTION("""COMPUTED_VALUE"""),5.0)</f>
        <v>5</v>
      </c>
      <c r="E402" s="251">
        <f>IFERROR(__xludf.DUMMYFUNCTION("""COMPUTED_VALUE"""),3.0)</f>
        <v>3</v>
      </c>
      <c r="F402" s="251">
        <f>IFERROR(__xludf.DUMMYFUNCTION("""COMPUTED_VALUE"""),6.0)</f>
        <v>6</v>
      </c>
      <c r="G402" s="251">
        <f>IFERROR(__xludf.DUMMYFUNCTION("""COMPUTED_VALUE"""),7.0)</f>
        <v>7</v>
      </c>
      <c r="H402" s="251">
        <f>IFERROR(__xludf.DUMMYFUNCTION("""COMPUTED_VALUE"""),6.0)</f>
        <v>6</v>
      </c>
      <c r="I402" s="251">
        <f>IFERROR(__xludf.DUMMYFUNCTION("""COMPUTED_VALUE"""),3.0)</f>
        <v>3</v>
      </c>
      <c r="J402" s="251">
        <f>IFERROR(__xludf.DUMMYFUNCTION("""COMPUTED_VALUE"""),1.0)</f>
        <v>1</v>
      </c>
      <c r="K402" s="251" t="str">
        <f>IFERROR(__xludf.DUMMYFUNCTION("""COMPUTED_VALUE"""),"Small")</f>
        <v>Small</v>
      </c>
      <c r="L402" s="251">
        <f>IFERROR(__xludf.DUMMYFUNCTION("""COMPUTED_VALUE"""),1.0)</f>
        <v>1</v>
      </c>
      <c r="M402" s="251" t="str">
        <f>IFERROR(__xludf.DUMMYFUNCTION("""COMPUTED_VALUE"""),"Forest, Urban")</f>
        <v>Forest, Urban</v>
      </c>
      <c r="N402" s="251" t="str">
        <f>IFERROR(__xludf.DUMMYFUNCTION("""COMPUTED_VALUE"""),"Flier")</f>
        <v>Flier</v>
      </c>
      <c r="O402" s="251" t="str">
        <f>IFERROR(__xludf.DUMMYFUNCTION("""COMPUTED_VALUE"""),"Phaser")</f>
        <v>Phaser</v>
      </c>
      <c r="P402" s="251" t="str">
        <f>IFERROR(__xludf.DUMMYFUNCTION("""COMPUTED_VALUE"""),"--")</f>
        <v>--</v>
      </c>
      <c r="Q402" s="251" t="str">
        <f>IFERROR(__xludf.DUMMYFUNCTION("""COMPUTED_VALUE"""),"--")</f>
        <v>--</v>
      </c>
      <c r="R402" s="251" t="str">
        <f>IFERROR(__xludf.DUMMYFUNCTION("""COMPUTED_VALUE"""),"Darkvision")</f>
        <v>Darkvision</v>
      </c>
      <c r="S402" s="251" t="str">
        <f>IFERROR(__xludf.DUMMYFUNCTION("""COMPUTED_VALUE"""),"Invisibility")</f>
        <v>Invisibility</v>
      </c>
      <c r="T402" s="251" t="str">
        <f>IFERROR(__xludf.DUMMYFUNCTION("""COMPUTED_VALUE"""),"Underdog")</f>
        <v>Underdog</v>
      </c>
      <c r="U402" s="251" t="str">
        <f>IFERROR(__xludf.DUMMYFUNCTION("""COMPUTED_VALUE"""),"--")</f>
        <v>--</v>
      </c>
      <c r="V402" s="251" t="str">
        <f>IFERROR(__xludf.DUMMYFUNCTION("""COMPUTED_VALUE"""),"Dead Silent")</f>
        <v>Dead Silent</v>
      </c>
      <c r="W402" s="251" t="str">
        <f>IFERROR(__xludf.DUMMYFUNCTION("""COMPUTED_VALUE"""),"Glow")</f>
        <v>Glow</v>
      </c>
      <c r="X402" s="251" t="str">
        <f>IFERROR(__xludf.DUMMYFUNCTION("""COMPUTED_VALUE"""),"Heater")</f>
        <v>Heater</v>
      </c>
      <c r="Y402" s="251" t="str">
        <f>IFERROR(__xludf.DUMMYFUNCTION("""COMPUTED_VALUE"""),"--")</f>
        <v>--</v>
      </c>
      <c r="Z402" s="251" t="str">
        <f>IFERROR(__xludf.DUMMYFUNCTION("""COMPUTED_VALUE"""),"--")</f>
        <v>--</v>
      </c>
      <c r="AA402" s="251" t="str">
        <f>IFERROR(__xludf.DUMMYFUNCTION("""COMPUTED_VALUE"""),"--")</f>
        <v>--</v>
      </c>
      <c r="AB402" s="251" t="str">
        <f>IFERROR(__xludf.DUMMYFUNCTION("""COMPUTED_VALUE"""),"--")</f>
        <v>--</v>
      </c>
      <c r="AC402" s="251" t="str">
        <f>IFERROR(__xludf.DUMMYFUNCTION("""COMPUTED_VALUE"""),"--")</f>
        <v>--</v>
      </c>
      <c r="AD402" s="251">
        <f>IFERROR(__xludf.DUMMYFUNCTION("""COMPUTED_VALUE"""),1.0)</f>
        <v>1</v>
      </c>
      <c r="AE402" s="251" t="str">
        <f>IFERROR(__xludf.DUMMYFUNCTION("""COMPUTED_VALUE"""),"Nullivore")</f>
        <v>Nullivore</v>
      </c>
    </row>
    <row r="403">
      <c r="A403" s="251" t="str">
        <f>IFERROR(__xludf.DUMMYFUNCTION("""COMPUTED_VALUE"""),"Lampent")</f>
        <v>Lampent</v>
      </c>
      <c r="B403" s="251" t="str">
        <f>IFERROR(__xludf.DUMMYFUNCTION("""COMPUTED_VALUE"""),"Ghost")</f>
        <v>Ghost</v>
      </c>
      <c r="C403" s="251" t="str">
        <f>IFERROR(__xludf.DUMMYFUNCTION("""COMPUTED_VALUE"""),"Fire")</f>
        <v>Fire</v>
      </c>
      <c r="D403" s="251">
        <f>IFERROR(__xludf.DUMMYFUNCTION("""COMPUTED_VALUE"""),6.0)</f>
        <v>6</v>
      </c>
      <c r="E403" s="251">
        <f>IFERROR(__xludf.DUMMYFUNCTION("""COMPUTED_VALUE"""),4.0)</f>
        <v>4</v>
      </c>
      <c r="F403" s="251">
        <f>IFERROR(__xludf.DUMMYFUNCTION("""COMPUTED_VALUE"""),6.0)</f>
        <v>6</v>
      </c>
      <c r="G403" s="251">
        <f>IFERROR(__xludf.DUMMYFUNCTION("""COMPUTED_VALUE"""),10.0)</f>
        <v>10</v>
      </c>
      <c r="H403" s="251">
        <f>IFERROR(__xludf.DUMMYFUNCTION("""COMPUTED_VALUE"""),6.0)</f>
        <v>6</v>
      </c>
      <c r="I403" s="251">
        <f>IFERROR(__xludf.DUMMYFUNCTION("""COMPUTED_VALUE"""),6.0)</f>
        <v>6</v>
      </c>
      <c r="J403" s="251">
        <f>IFERROR(__xludf.DUMMYFUNCTION("""COMPUTED_VALUE"""),2.0)</f>
        <v>2</v>
      </c>
      <c r="K403" s="251" t="str">
        <f>IFERROR(__xludf.DUMMYFUNCTION("""COMPUTED_VALUE"""),"Small")</f>
        <v>Small</v>
      </c>
      <c r="L403" s="251">
        <f>IFERROR(__xludf.DUMMYFUNCTION("""COMPUTED_VALUE"""),2.0)</f>
        <v>2</v>
      </c>
      <c r="M403" s="251" t="str">
        <f>IFERROR(__xludf.DUMMYFUNCTION("""COMPUTED_VALUE"""),"Forest, Urban")</f>
        <v>Forest, Urban</v>
      </c>
      <c r="N403" s="251" t="str">
        <f>IFERROR(__xludf.DUMMYFUNCTION("""COMPUTED_VALUE"""),"Flier")</f>
        <v>Flier</v>
      </c>
      <c r="O403" s="251" t="str">
        <f>IFERROR(__xludf.DUMMYFUNCTION("""COMPUTED_VALUE"""),"Phaser")</f>
        <v>Phaser</v>
      </c>
      <c r="P403" s="251" t="str">
        <f>IFERROR(__xludf.DUMMYFUNCTION("""COMPUTED_VALUE"""),"--")</f>
        <v>--</v>
      </c>
      <c r="Q403" s="251" t="str">
        <f>IFERROR(__xludf.DUMMYFUNCTION("""COMPUTED_VALUE"""),"--")</f>
        <v>--</v>
      </c>
      <c r="R403" s="251" t="str">
        <f>IFERROR(__xludf.DUMMYFUNCTION("""COMPUTED_VALUE"""),"Darkvision")</f>
        <v>Darkvision</v>
      </c>
      <c r="S403" s="251" t="str">
        <f>IFERROR(__xludf.DUMMYFUNCTION("""COMPUTED_VALUE"""),"Invisibility")</f>
        <v>Invisibility</v>
      </c>
      <c r="T403" s="251" t="str">
        <f>IFERROR(__xludf.DUMMYFUNCTION("""COMPUTED_VALUE"""),"Underdog")</f>
        <v>Underdog</v>
      </c>
      <c r="U403" s="251" t="str">
        <f>IFERROR(__xludf.DUMMYFUNCTION("""COMPUTED_VALUE"""),"--")</f>
        <v>--</v>
      </c>
      <c r="V403" s="251" t="str">
        <f>IFERROR(__xludf.DUMMYFUNCTION("""COMPUTED_VALUE"""),"Dead Silent")</f>
        <v>Dead Silent</v>
      </c>
      <c r="W403" s="251" t="str">
        <f>IFERROR(__xludf.DUMMYFUNCTION("""COMPUTED_VALUE"""),"Glow")</f>
        <v>Glow</v>
      </c>
      <c r="X403" s="251" t="str">
        <f>IFERROR(__xludf.DUMMYFUNCTION("""COMPUTED_VALUE"""),"Heater")</f>
        <v>Heater</v>
      </c>
      <c r="Y403" s="251" t="str">
        <f>IFERROR(__xludf.DUMMYFUNCTION("""COMPUTED_VALUE"""),"--")</f>
        <v>--</v>
      </c>
      <c r="Z403" s="251" t="str">
        <f>IFERROR(__xludf.DUMMYFUNCTION("""COMPUTED_VALUE"""),"--")</f>
        <v>--</v>
      </c>
      <c r="AA403" s="251" t="str">
        <f>IFERROR(__xludf.DUMMYFUNCTION("""COMPUTED_VALUE"""),"--")</f>
        <v>--</v>
      </c>
      <c r="AB403" s="251" t="str">
        <f>IFERROR(__xludf.DUMMYFUNCTION("""COMPUTED_VALUE"""),"--")</f>
        <v>--</v>
      </c>
      <c r="AC403" s="251" t="str">
        <f>IFERROR(__xludf.DUMMYFUNCTION("""COMPUTED_VALUE"""),"--")</f>
        <v>--</v>
      </c>
      <c r="AD403" s="251">
        <f>IFERROR(__xludf.DUMMYFUNCTION("""COMPUTED_VALUE"""),2.0)</f>
        <v>2</v>
      </c>
      <c r="AE403" s="251" t="str">
        <f>IFERROR(__xludf.DUMMYFUNCTION("""COMPUTED_VALUE"""),"Nullivore")</f>
        <v>Nullivore</v>
      </c>
    </row>
    <row r="404">
      <c r="A404" s="251" t="str">
        <f>IFERROR(__xludf.DUMMYFUNCTION("""COMPUTED_VALUE"""),"Chandelure")</f>
        <v>Chandelure</v>
      </c>
      <c r="B404" s="251" t="str">
        <f>IFERROR(__xludf.DUMMYFUNCTION("""COMPUTED_VALUE"""),"Ghost")</f>
        <v>Ghost</v>
      </c>
      <c r="C404" s="251" t="str">
        <f>IFERROR(__xludf.DUMMYFUNCTION("""COMPUTED_VALUE"""),"Fire")</f>
        <v>Fire</v>
      </c>
      <c r="D404" s="251">
        <f>IFERROR(__xludf.DUMMYFUNCTION("""COMPUTED_VALUE"""),6.0)</f>
        <v>6</v>
      </c>
      <c r="E404" s="251">
        <f>IFERROR(__xludf.DUMMYFUNCTION("""COMPUTED_VALUE"""),6.0)</f>
        <v>6</v>
      </c>
      <c r="F404" s="251">
        <f>IFERROR(__xludf.DUMMYFUNCTION("""COMPUTED_VALUE"""),9.0)</f>
        <v>9</v>
      </c>
      <c r="G404" s="251">
        <f>IFERROR(__xludf.DUMMYFUNCTION("""COMPUTED_VALUE"""),15.0)</f>
        <v>15</v>
      </c>
      <c r="H404" s="251">
        <f>IFERROR(__xludf.DUMMYFUNCTION("""COMPUTED_VALUE"""),9.0)</f>
        <v>9</v>
      </c>
      <c r="I404" s="251">
        <f>IFERROR(__xludf.DUMMYFUNCTION("""COMPUTED_VALUE"""),8.0)</f>
        <v>8</v>
      </c>
      <c r="J404" s="251">
        <f>IFERROR(__xludf.DUMMYFUNCTION("""COMPUTED_VALUE"""),3.0)</f>
        <v>3</v>
      </c>
      <c r="K404" s="251" t="str">
        <f>IFERROR(__xludf.DUMMYFUNCTION("""COMPUTED_VALUE"""),"Medium")</f>
        <v>Medium</v>
      </c>
      <c r="L404" s="251">
        <f>IFERROR(__xludf.DUMMYFUNCTION("""COMPUTED_VALUE"""),3.0)</f>
        <v>3</v>
      </c>
      <c r="M404" s="251" t="str">
        <f>IFERROR(__xludf.DUMMYFUNCTION("""COMPUTED_VALUE"""),"Forest, Urban")</f>
        <v>Forest, Urban</v>
      </c>
      <c r="N404" s="251" t="str">
        <f>IFERROR(__xludf.DUMMYFUNCTION("""COMPUTED_VALUE"""),"Flier")</f>
        <v>Flier</v>
      </c>
      <c r="O404" s="251" t="str">
        <f>IFERROR(__xludf.DUMMYFUNCTION("""COMPUTED_VALUE"""),"Phaser")</f>
        <v>Phaser</v>
      </c>
      <c r="P404" s="251" t="str">
        <f>IFERROR(__xludf.DUMMYFUNCTION("""COMPUTED_VALUE"""),"--")</f>
        <v>--</v>
      </c>
      <c r="Q404" s="251" t="str">
        <f>IFERROR(__xludf.DUMMYFUNCTION("""COMPUTED_VALUE"""),"--")</f>
        <v>--</v>
      </c>
      <c r="R404" s="251" t="str">
        <f>IFERROR(__xludf.DUMMYFUNCTION("""COMPUTED_VALUE"""),"Darkvision")</f>
        <v>Darkvision</v>
      </c>
      <c r="S404" s="251" t="str">
        <f>IFERROR(__xludf.DUMMYFUNCTION("""COMPUTED_VALUE"""),"Invisibility")</f>
        <v>Invisibility</v>
      </c>
      <c r="T404" s="251" t="str">
        <f>IFERROR(__xludf.DUMMYFUNCTION("""COMPUTED_VALUE"""),"--")</f>
        <v>--</v>
      </c>
      <c r="U404" s="251" t="str">
        <f>IFERROR(__xludf.DUMMYFUNCTION("""COMPUTED_VALUE"""),"--")</f>
        <v>--</v>
      </c>
      <c r="V404" s="251" t="str">
        <f>IFERROR(__xludf.DUMMYFUNCTION("""COMPUTED_VALUE"""),"Dead Silent")</f>
        <v>Dead Silent</v>
      </c>
      <c r="W404" s="251" t="str">
        <f>IFERROR(__xludf.DUMMYFUNCTION("""COMPUTED_VALUE"""),"Glow")</f>
        <v>Glow</v>
      </c>
      <c r="X404" s="251" t="str">
        <f>IFERROR(__xludf.DUMMYFUNCTION("""COMPUTED_VALUE"""),"Heater")</f>
        <v>Heater</v>
      </c>
      <c r="Y404" s="251" t="str">
        <f>IFERROR(__xludf.DUMMYFUNCTION("""COMPUTED_VALUE"""),"--")</f>
        <v>--</v>
      </c>
      <c r="Z404" s="251" t="str">
        <f>IFERROR(__xludf.DUMMYFUNCTION("""COMPUTED_VALUE"""),"--")</f>
        <v>--</v>
      </c>
      <c r="AA404" s="251" t="str">
        <f>IFERROR(__xludf.DUMMYFUNCTION("""COMPUTED_VALUE"""),"--")</f>
        <v>--</v>
      </c>
      <c r="AB404" s="251" t="str">
        <f>IFERROR(__xludf.DUMMYFUNCTION("""COMPUTED_VALUE"""),"--")</f>
        <v>--</v>
      </c>
      <c r="AC404" s="251" t="str">
        <f>IFERROR(__xludf.DUMMYFUNCTION("""COMPUTED_VALUE"""),"--")</f>
        <v>--</v>
      </c>
      <c r="AD404" s="251">
        <f>IFERROR(__xludf.DUMMYFUNCTION("""COMPUTED_VALUE"""),3.0)</f>
        <v>3</v>
      </c>
      <c r="AE404" s="251" t="str">
        <f>IFERROR(__xludf.DUMMYFUNCTION("""COMPUTED_VALUE"""),"Nullivore")</f>
        <v>Nullivore</v>
      </c>
    </row>
    <row r="405">
      <c r="A405" s="251" t="str">
        <f>IFERROR(__xludf.DUMMYFUNCTION("""COMPUTED_VALUE"""),"Gimmighoul (Roaming)")</f>
        <v>Gimmighoul (Roaming)</v>
      </c>
      <c r="B405" s="251" t="str">
        <f>IFERROR(__xludf.DUMMYFUNCTION("""COMPUTED_VALUE"""),"Ghost")</f>
        <v>Ghost</v>
      </c>
      <c r="C405" s="251" t="str">
        <f>IFERROR(__xludf.DUMMYFUNCTION("""COMPUTED_VALUE"""),"None")</f>
        <v>None</v>
      </c>
      <c r="D405" s="251">
        <f>IFERROR(__xludf.DUMMYFUNCTION("""COMPUTED_VALUE"""),1.0)</f>
        <v>1</v>
      </c>
      <c r="E405" s="251">
        <f>IFERROR(__xludf.DUMMYFUNCTION("""COMPUTED_VALUE"""),2.0)</f>
        <v>2</v>
      </c>
      <c r="F405" s="251">
        <f>IFERROR(__xludf.DUMMYFUNCTION("""COMPUTED_VALUE"""),1.0)</f>
        <v>1</v>
      </c>
      <c r="G405" s="251">
        <f>IFERROR(__xludf.DUMMYFUNCTION("""COMPUTED_VALUE"""),5.0)</f>
        <v>5</v>
      </c>
      <c r="H405" s="251">
        <f>IFERROR(__xludf.DUMMYFUNCTION("""COMPUTED_VALUE"""),1.0)</f>
        <v>1</v>
      </c>
      <c r="I405" s="251">
        <f>IFERROR(__xludf.DUMMYFUNCTION("""COMPUTED_VALUE"""),20.0)</f>
        <v>20</v>
      </c>
      <c r="J405" s="251">
        <f>IFERROR(__xludf.DUMMYFUNCTION("""COMPUTED_VALUE"""),1.0)</f>
        <v>1</v>
      </c>
      <c r="K405" s="251" t="str">
        <f>IFERROR(__xludf.DUMMYFUNCTION("""COMPUTED_VALUE"""),"Small")</f>
        <v>Small</v>
      </c>
      <c r="L405" s="251">
        <f>IFERROR(__xludf.DUMMYFUNCTION("""COMPUTED_VALUE"""),1.0)</f>
        <v>1</v>
      </c>
      <c r="M405" s="251" t="str">
        <f>IFERROR(__xludf.DUMMYFUNCTION("""COMPUTED_VALUE"""),"Cave, Urban")</f>
        <v>Cave, Urban</v>
      </c>
      <c r="N405" s="251" t="str">
        <f>IFERROR(__xludf.DUMMYFUNCTION("""COMPUTED_VALUE"""),"Phaser")</f>
        <v>Phaser</v>
      </c>
      <c r="O405" s="251" t="str">
        <f>IFERROR(__xludf.DUMMYFUNCTION("""COMPUTED_VALUE"""),"Quick")</f>
        <v>Quick</v>
      </c>
      <c r="P405" s="251" t="str">
        <f>IFERROR(__xludf.DUMMYFUNCTION("""COMPUTED_VALUE"""),"--")</f>
        <v>--</v>
      </c>
      <c r="Q405" s="251" t="str">
        <f>IFERROR(__xludf.DUMMYFUNCTION("""COMPUTED_VALUE"""),"--")</f>
        <v>--</v>
      </c>
      <c r="R405" s="251" t="str">
        <f>IFERROR(__xludf.DUMMYFUNCTION("""COMPUTED_VALUE"""),"Invisibility")</f>
        <v>Invisibility</v>
      </c>
      <c r="S405" s="251" t="str">
        <f>IFERROR(__xludf.DUMMYFUNCTION("""COMPUTED_VALUE"""),"Underdog")</f>
        <v>Underdog</v>
      </c>
      <c r="T405" s="251" t="str">
        <f>IFERROR(__xludf.DUMMYFUNCTION("""COMPUTED_VALUE"""),"--")</f>
        <v>--</v>
      </c>
      <c r="U405" s="251" t="str">
        <f>IFERROR(__xludf.DUMMYFUNCTION("""COMPUTED_VALUE"""),"--")</f>
        <v>--</v>
      </c>
      <c r="V405" s="251" t="str">
        <f>IFERROR(__xludf.DUMMYFUNCTION("""COMPUTED_VALUE"""),"Breathless")</f>
        <v>Breathless</v>
      </c>
      <c r="W405" s="251" t="str">
        <f>IFERROR(__xludf.DUMMYFUNCTION("""COMPUTED_VALUE"""),"Dead Silent")</f>
        <v>Dead Silent</v>
      </c>
      <c r="X405" s="251" t="str">
        <f>IFERROR(__xludf.DUMMYFUNCTION("""COMPUTED_VALUE"""),"--")</f>
        <v>--</v>
      </c>
      <c r="Y405" s="251" t="str">
        <f>IFERROR(__xludf.DUMMYFUNCTION("""COMPUTED_VALUE"""),"--")</f>
        <v>--</v>
      </c>
      <c r="Z405" s="251" t="str">
        <f>IFERROR(__xludf.DUMMYFUNCTION("""COMPUTED_VALUE"""),"--")</f>
        <v>--</v>
      </c>
      <c r="AA405" s="251" t="str">
        <f>IFERROR(__xludf.DUMMYFUNCTION("""COMPUTED_VALUE"""),"--")</f>
        <v>--</v>
      </c>
      <c r="AB405" s="251" t="str">
        <f>IFERROR(__xludf.DUMMYFUNCTION("""COMPUTED_VALUE"""),"--")</f>
        <v>--</v>
      </c>
      <c r="AC405" s="251" t="str">
        <f>IFERROR(__xludf.DUMMYFUNCTION("""COMPUTED_VALUE"""),"--")</f>
        <v>--</v>
      </c>
      <c r="AD405" s="251">
        <f>IFERROR(__xludf.DUMMYFUNCTION("""COMPUTED_VALUE"""),1.0)</f>
        <v>1</v>
      </c>
      <c r="AE405" s="251" t="str">
        <f>IFERROR(__xludf.DUMMYFUNCTION("""COMPUTED_VALUE"""),"Nullivore")</f>
        <v>Nullivore</v>
      </c>
    </row>
    <row r="406">
      <c r="A406" s="251" t="str">
        <f>IFERROR(__xludf.DUMMYFUNCTION("""COMPUTED_VALUE"""),"Gimmighoul (Chest)")</f>
        <v>Gimmighoul (Chest)</v>
      </c>
      <c r="B406" s="251" t="str">
        <f>IFERROR(__xludf.DUMMYFUNCTION("""COMPUTED_VALUE"""),"Ghost")</f>
        <v>Ghost</v>
      </c>
      <c r="C406" s="251" t="str">
        <f>IFERROR(__xludf.DUMMYFUNCTION("""COMPUTED_VALUE"""),"None")</f>
        <v>None</v>
      </c>
      <c r="D406" s="251">
        <f>IFERROR(__xludf.DUMMYFUNCTION("""COMPUTED_VALUE"""),6.0)</f>
        <v>6</v>
      </c>
      <c r="E406" s="251">
        <f>IFERROR(__xludf.DUMMYFUNCTION("""COMPUTED_VALUE"""),3.0)</f>
        <v>3</v>
      </c>
      <c r="F406" s="251">
        <f>IFERROR(__xludf.DUMMYFUNCTION("""COMPUTED_VALUE"""),10.0)</f>
        <v>10</v>
      </c>
      <c r="G406" s="251">
        <f>IFERROR(__xludf.DUMMYFUNCTION("""COMPUTED_VALUE"""),10.0)</f>
        <v>10</v>
      </c>
      <c r="H406" s="251">
        <f>IFERROR(__xludf.DUMMYFUNCTION("""COMPUTED_VALUE"""),10.0)</f>
        <v>10</v>
      </c>
      <c r="I406" s="251">
        <f>IFERROR(__xludf.DUMMYFUNCTION("""COMPUTED_VALUE"""),1.0)</f>
        <v>1</v>
      </c>
      <c r="J406" s="251">
        <f>IFERROR(__xludf.DUMMYFUNCTION("""COMPUTED_VALUE"""),1.0)</f>
        <v>1</v>
      </c>
      <c r="K406" s="251" t="str">
        <f>IFERROR(__xludf.DUMMYFUNCTION("""COMPUTED_VALUE"""),"Small")</f>
        <v>Small</v>
      </c>
      <c r="L406" s="251">
        <f>IFERROR(__xludf.DUMMYFUNCTION("""COMPUTED_VALUE"""),1.0)</f>
        <v>1</v>
      </c>
      <c r="M406" s="251" t="str">
        <f>IFERROR(__xludf.DUMMYFUNCTION("""COMPUTED_VALUE"""),"Cave, Urban")</f>
        <v>Cave, Urban</v>
      </c>
      <c r="N406" s="251" t="str">
        <f>IFERROR(__xludf.DUMMYFUNCTION("""COMPUTED_VALUE"""),"--")</f>
        <v>--</v>
      </c>
      <c r="O406" s="251" t="str">
        <f>IFERROR(__xludf.DUMMYFUNCTION("""COMPUTED_VALUE"""),"--")</f>
        <v>--</v>
      </c>
      <c r="P406" s="251" t="str">
        <f>IFERROR(__xludf.DUMMYFUNCTION("""COMPUTED_VALUE"""),"--")</f>
        <v>--</v>
      </c>
      <c r="Q406" s="251" t="str">
        <f>IFERROR(__xludf.DUMMYFUNCTION("""COMPUTED_VALUE"""),"--")</f>
        <v>--</v>
      </c>
      <c r="R406" s="251" t="str">
        <f>IFERROR(__xludf.DUMMYFUNCTION("""COMPUTED_VALUE"""),"Underdog")</f>
        <v>Underdog</v>
      </c>
      <c r="S406" s="251" t="str">
        <f>IFERROR(__xludf.DUMMYFUNCTION("""COMPUTED_VALUE"""),"--")</f>
        <v>--</v>
      </c>
      <c r="T406" s="251" t="str">
        <f>IFERROR(__xludf.DUMMYFUNCTION("""COMPUTED_VALUE"""),"--")</f>
        <v>--</v>
      </c>
      <c r="U406" s="251" t="str">
        <f>IFERROR(__xludf.DUMMYFUNCTION("""COMPUTED_VALUE"""),"--")</f>
        <v>--</v>
      </c>
      <c r="V406" s="251" t="str">
        <f>IFERROR(__xludf.DUMMYFUNCTION("""COMPUTED_VALUE"""),"Breathless")</f>
        <v>Breathless</v>
      </c>
      <c r="W406" s="251" t="str">
        <f>IFERROR(__xludf.DUMMYFUNCTION("""COMPUTED_VALUE"""),"--")</f>
        <v>--</v>
      </c>
      <c r="X406" s="251" t="str">
        <f>IFERROR(__xludf.DUMMYFUNCTION("""COMPUTED_VALUE"""),"--")</f>
        <v>--</v>
      </c>
      <c r="Y406" s="251" t="str">
        <f>IFERROR(__xludf.DUMMYFUNCTION("""COMPUTED_VALUE"""),"--")</f>
        <v>--</v>
      </c>
      <c r="Z406" s="251" t="str">
        <f>IFERROR(__xludf.DUMMYFUNCTION("""COMPUTED_VALUE"""),"--")</f>
        <v>--</v>
      </c>
      <c r="AA406" s="251" t="str">
        <f>IFERROR(__xludf.DUMMYFUNCTION("""COMPUTED_VALUE"""),"--")</f>
        <v>--</v>
      </c>
      <c r="AB406" s="251" t="str">
        <f>IFERROR(__xludf.DUMMYFUNCTION("""COMPUTED_VALUE"""),"--")</f>
        <v>--</v>
      </c>
      <c r="AC406" s="251" t="str">
        <f>IFERROR(__xludf.DUMMYFUNCTION("""COMPUTED_VALUE"""),"--")</f>
        <v>--</v>
      </c>
      <c r="AD406" s="251">
        <f>IFERROR(__xludf.DUMMYFUNCTION("""COMPUTED_VALUE"""),2.0)</f>
        <v>2</v>
      </c>
      <c r="AE406" s="251" t="str">
        <f>IFERROR(__xludf.DUMMYFUNCTION("""COMPUTED_VALUE"""),"Nullivore")</f>
        <v>Nullivore</v>
      </c>
    </row>
    <row r="407">
      <c r="A407" s="251" t="str">
        <f>IFERROR(__xludf.DUMMYFUNCTION("""COMPUTED_VALUE"""),"Gholdengo")</f>
        <v>Gholdengo</v>
      </c>
      <c r="B407" s="251" t="str">
        <f>IFERROR(__xludf.DUMMYFUNCTION("""COMPUTED_VALUE"""),"Ghost")</f>
        <v>Ghost</v>
      </c>
      <c r="C407" s="251" t="str">
        <f>IFERROR(__xludf.DUMMYFUNCTION("""COMPUTED_VALUE"""),"Steel")</f>
        <v>Steel</v>
      </c>
      <c r="D407" s="251">
        <f>IFERROR(__xludf.DUMMYFUNCTION("""COMPUTED_VALUE"""),12.0)</f>
        <v>12</v>
      </c>
      <c r="E407" s="251">
        <f>IFERROR(__xludf.DUMMYFUNCTION("""COMPUTED_VALUE"""),6.0)</f>
        <v>6</v>
      </c>
      <c r="F407" s="251">
        <f>IFERROR(__xludf.DUMMYFUNCTION("""COMPUTED_VALUE"""),10.0)</f>
        <v>10</v>
      </c>
      <c r="G407" s="251">
        <f>IFERROR(__xludf.DUMMYFUNCTION("""COMPUTED_VALUE"""),15.0)</f>
        <v>15</v>
      </c>
      <c r="H407" s="251">
        <f>IFERROR(__xludf.DUMMYFUNCTION("""COMPUTED_VALUE"""),9.0)</f>
        <v>9</v>
      </c>
      <c r="I407" s="251">
        <f>IFERROR(__xludf.DUMMYFUNCTION("""COMPUTED_VALUE"""),8.0)</f>
        <v>8</v>
      </c>
      <c r="J407" s="251">
        <f>IFERROR(__xludf.DUMMYFUNCTION("""COMPUTED_VALUE"""),5.0)</f>
        <v>5</v>
      </c>
      <c r="K407" s="251" t="str">
        <f>IFERROR(__xludf.DUMMYFUNCTION("""COMPUTED_VALUE"""),"Medium")</f>
        <v>Medium</v>
      </c>
      <c r="L407" s="251">
        <f>IFERROR(__xludf.DUMMYFUNCTION("""COMPUTED_VALUE"""),3.0)</f>
        <v>3</v>
      </c>
      <c r="M407" s="251" t="str">
        <f>IFERROR(__xludf.DUMMYFUNCTION("""COMPUTED_VALUE"""),"Cave, Urban")</f>
        <v>Cave, Urban</v>
      </c>
      <c r="N407" s="251" t="str">
        <f>IFERROR(__xludf.DUMMYFUNCTION("""COMPUTED_VALUE"""),"Flier")</f>
        <v>Flier</v>
      </c>
      <c r="O407" s="251" t="str">
        <f>IFERROR(__xludf.DUMMYFUNCTION("""COMPUTED_VALUE"""),"Phaser")</f>
        <v>Phaser</v>
      </c>
      <c r="P407" s="251" t="str">
        <f>IFERROR(__xludf.DUMMYFUNCTION("""COMPUTED_VALUE"""),"--")</f>
        <v>--</v>
      </c>
      <c r="Q407" s="251" t="str">
        <f>IFERROR(__xludf.DUMMYFUNCTION("""COMPUTED_VALUE"""),"--")</f>
        <v>--</v>
      </c>
      <c r="R407" s="251" t="str">
        <f>IFERROR(__xludf.DUMMYFUNCTION("""COMPUTED_VALUE"""),"Invisibility")</f>
        <v>Invisibility</v>
      </c>
      <c r="S407" s="251" t="str">
        <f>IFERROR(__xludf.DUMMYFUNCTION("""COMPUTED_VALUE"""),"--")</f>
        <v>--</v>
      </c>
      <c r="T407" s="251" t="str">
        <f>IFERROR(__xludf.DUMMYFUNCTION("""COMPUTED_VALUE"""),"--")</f>
        <v>--</v>
      </c>
      <c r="U407" s="251" t="str">
        <f>IFERROR(__xludf.DUMMYFUNCTION("""COMPUTED_VALUE"""),"--")</f>
        <v>--</v>
      </c>
      <c r="V407" s="251" t="str">
        <f>IFERROR(__xludf.DUMMYFUNCTION("""COMPUTED_VALUE"""),"Breathless")</f>
        <v>Breathless</v>
      </c>
      <c r="W407" s="251" t="str">
        <f>IFERROR(__xludf.DUMMYFUNCTION("""COMPUTED_VALUE"""),"Dead Silent")</f>
        <v>Dead Silent</v>
      </c>
      <c r="X407" s="251" t="str">
        <f>IFERROR(__xludf.DUMMYFUNCTION("""COMPUTED_VALUE"""),"--")</f>
        <v>--</v>
      </c>
      <c r="Y407" s="251" t="str">
        <f>IFERROR(__xludf.DUMMYFUNCTION("""COMPUTED_VALUE"""),"--")</f>
        <v>--</v>
      </c>
      <c r="Z407" s="251" t="str">
        <f>IFERROR(__xludf.DUMMYFUNCTION("""COMPUTED_VALUE"""),"--")</f>
        <v>--</v>
      </c>
      <c r="AA407" s="251" t="str">
        <f>IFERROR(__xludf.DUMMYFUNCTION("""COMPUTED_VALUE"""),"--")</f>
        <v>--</v>
      </c>
      <c r="AB407" s="251" t="str">
        <f>IFERROR(__xludf.DUMMYFUNCTION("""COMPUTED_VALUE"""),"--")</f>
        <v>--</v>
      </c>
      <c r="AC407" s="251" t="str">
        <f>IFERROR(__xludf.DUMMYFUNCTION("""COMPUTED_VALUE"""),"--")</f>
        <v>--</v>
      </c>
      <c r="AD407" s="251">
        <f>IFERROR(__xludf.DUMMYFUNCTION("""COMPUTED_VALUE"""),3.0)</f>
        <v>3</v>
      </c>
      <c r="AE407" s="251" t="str">
        <f>IFERROR(__xludf.DUMMYFUNCTION("""COMPUTED_VALUE"""),"Nullivore")</f>
        <v>Nullivore</v>
      </c>
    </row>
    <row r="408">
      <c r="A408" s="251" t="str">
        <f>IFERROR(__xludf.DUMMYFUNCTION("""COMPUTED_VALUE"""),"Oddish")</f>
        <v>Oddish</v>
      </c>
      <c r="B408" s="251" t="str">
        <f>IFERROR(__xludf.DUMMYFUNCTION("""COMPUTED_VALUE"""),"Grass")</f>
        <v>Grass</v>
      </c>
      <c r="C408" s="251" t="str">
        <f>IFERROR(__xludf.DUMMYFUNCTION("""COMPUTED_VALUE"""),"Poison")</f>
        <v>Poison</v>
      </c>
      <c r="D408" s="251">
        <f>IFERROR(__xludf.DUMMYFUNCTION("""COMPUTED_VALUE"""),5.0)</f>
        <v>5</v>
      </c>
      <c r="E408" s="251">
        <f>IFERROR(__xludf.DUMMYFUNCTION("""COMPUTED_VALUE"""),5.0)</f>
        <v>5</v>
      </c>
      <c r="F408" s="251">
        <f>IFERROR(__xludf.DUMMYFUNCTION("""COMPUTED_VALUE"""),6.0)</f>
        <v>6</v>
      </c>
      <c r="G408" s="251">
        <f>IFERROR(__xludf.DUMMYFUNCTION("""COMPUTED_VALUE"""),8.0)</f>
        <v>8</v>
      </c>
      <c r="H408" s="251">
        <f>IFERROR(__xludf.DUMMYFUNCTION("""COMPUTED_VALUE"""),7.0)</f>
        <v>7</v>
      </c>
      <c r="I408" s="251">
        <f>IFERROR(__xludf.DUMMYFUNCTION("""COMPUTED_VALUE"""),3.0)</f>
        <v>3</v>
      </c>
      <c r="J408" s="251">
        <f>IFERROR(__xludf.DUMMYFUNCTION("""COMPUTED_VALUE"""),1.0)</f>
        <v>1</v>
      </c>
      <c r="K408" s="251" t="str">
        <f>IFERROR(__xludf.DUMMYFUNCTION("""COMPUTED_VALUE"""),"Small")</f>
        <v>Small</v>
      </c>
      <c r="L408" s="251">
        <f>IFERROR(__xludf.DUMMYFUNCTION("""COMPUTED_VALUE"""),1.0)</f>
        <v>1</v>
      </c>
      <c r="M408" s="251" t="str">
        <f>IFERROR(__xludf.DUMMYFUNCTION("""COMPUTED_VALUE"""),"Forest, Grasslands")</f>
        <v>Forest, Grasslands</v>
      </c>
      <c r="N408" s="251" t="str">
        <f>IFERROR(__xludf.DUMMYFUNCTION("""COMPUTED_VALUE"""),"--")</f>
        <v>--</v>
      </c>
      <c r="O408" s="251" t="str">
        <f>IFERROR(__xludf.DUMMYFUNCTION("""COMPUTED_VALUE"""),"--")</f>
        <v>--</v>
      </c>
      <c r="P408" s="251" t="str">
        <f>IFERROR(__xludf.DUMMYFUNCTION("""COMPUTED_VALUE"""),"--")</f>
        <v>--</v>
      </c>
      <c r="Q408" s="251" t="str">
        <f>IFERROR(__xludf.DUMMYFUNCTION("""COMPUTED_VALUE"""),"--")</f>
        <v>--</v>
      </c>
      <c r="R408" s="251" t="str">
        <f>IFERROR(__xludf.DUMMYFUNCTION("""COMPUTED_VALUE"""),"Underdog")</f>
        <v>Underdog</v>
      </c>
      <c r="S408" s="251" t="str">
        <f>IFERROR(__xludf.DUMMYFUNCTION("""COMPUTED_VALUE"""),"--")</f>
        <v>--</v>
      </c>
      <c r="T408" s="251" t="str">
        <f>IFERROR(__xludf.DUMMYFUNCTION("""COMPUTED_VALUE"""),"--")</f>
        <v>--</v>
      </c>
      <c r="U408" s="251" t="str">
        <f>IFERROR(__xludf.DUMMYFUNCTION("""COMPUTED_VALUE"""),"--")</f>
        <v>--</v>
      </c>
      <c r="V408" s="251" t="str">
        <f>IFERROR(__xludf.DUMMYFUNCTION("""COMPUTED_VALUE"""),"--")</f>
        <v>--</v>
      </c>
      <c r="W408" s="251" t="str">
        <f>IFERROR(__xludf.DUMMYFUNCTION("""COMPUTED_VALUE"""),"--")</f>
        <v>--</v>
      </c>
      <c r="X408" s="251" t="str">
        <f>IFERROR(__xludf.DUMMYFUNCTION("""COMPUTED_VALUE"""),"--")</f>
        <v>--</v>
      </c>
      <c r="Y408" s="251" t="str">
        <f>IFERROR(__xludf.DUMMYFUNCTION("""COMPUTED_VALUE"""),"--")</f>
        <v>--</v>
      </c>
      <c r="Z408" s="251" t="str">
        <f>IFERROR(__xludf.DUMMYFUNCTION("""COMPUTED_VALUE"""),"--")</f>
        <v>--</v>
      </c>
      <c r="AA408" s="251" t="str">
        <f>IFERROR(__xludf.DUMMYFUNCTION("""COMPUTED_VALUE"""),"--")</f>
        <v>--</v>
      </c>
      <c r="AB408" s="251" t="str">
        <f>IFERROR(__xludf.DUMMYFUNCTION("""COMPUTED_VALUE"""),"--")</f>
        <v>--</v>
      </c>
      <c r="AC408" s="251" t="str">
        <f>IFERROR(__xludf.DUMMYFUNCTION("""COMPUTED_VALUE"""),"--")</f>
        <v>--</v>
      </c>
      <c r="AD408" s="251">
        <f>IFERROR(__xludf.DUMMYFUNCTION("""COMPUTED_VALUE"""),1.0)</f>
        <v>1</v>
      </c>
      <c r="AE408" s="251" t="str">
        <f>IFERROR(__xludf.DUMMYFUNCTION("""COMPUTED_VALUE"""),"Phototroph")</f>
        <v>Phototroph</v>
      </c>
    </row>
    <row r="409">
      <c r="A409" s="251" t="str">
        <f>IFERROR(__xludf.DUMMYFUNCTION("""COMPUTED_VALUE"""),"Gloom")</f>
        <v>Gloom</v>
      </c>
      <c r="B409" s="251" t="str">
        <f>IFERROR(__xludf.DUMMYFUNCTION("""COMPUTED_VALUE"""),"Grass")</f>
        <v>Grass</v>
      </c>
      <c r="C409" s="251" t="str">
        <f>IFERROR(__xludf.DUMMYFUNCTION("""COMPUTED_VALUE"""),"Poison")</f>
        <v>Poison</v>
      </c>
      <c r="D409" s="251">
        <f>IFERROR(__xludf.DUMMYFUNCTION("""COMPUTED_VALUE"""),6.0)</f>
        <v>6</v>
      </c>
      <c r="E409" s="251">
        <f>IFERROR(__xludf.DUMMYFUNCTION("""COMPUTED_VALUE"""),7.0)</f>
        <v>7</v>
      </c>
      <c r="F409" s="251">
        <f>IFERROR(__xludf.DUMMYFUNCTION("""COMPUTED_VALUE"""),7.0)</f>
        <v>7</v>
      </c>
      <c r="G409" s="251">
        <f>IFERROR(__xludf.DUMMYFUNCTION("""COMPUTED_VALUE"""),9.0)</f>
        <v>9</v>
      </c>
      <c r="H409" s="251">
        <f>IFERROR(__xludf.DUMMYFUNCTION("""COMPUTED_VALUE"""),8.0)</f>
        <v>8</v>
      </c>
      <c r="I409" s="251">
        <f>IFERROR(__xludf.DUMMYFUNCTION("""COMPUTED_VALUE"""),4.0)</f>
        <v>4</v>
      </c>
      <c r="J409" s="251">
        <f>IFERROR(__xludf.DUMMYFUNCTION("""COMPUTED_VALUE"""),2.0)</f>
        <v>2</v>
      </c>
      <c r="K409" s="251" t="str">
        <f>IFERROR(__xludf.DUMMYFUNCTION("""COMPUTED_VALUE"""),"Small")</f>
        <v>Small</v>
      </c>
      <c r="L409" s="251">
        <f>IFERROR(__xludf.DUMMYFUNCTION("""COMPUTED_VALUE"""),1.0)</f>
        <v>1</v>
      </c>
      <c r="M409" s="251" t="str">
        <f>IFERROR(__xludf.DUMMYFUNCTION("""COMPUTED_VALUE"""),"Forest, Grasslands")</f>
        <v>Forest, Grasslands</v>
      </c>
      <c r="N409" s="251" t="str">
        <f>IFERROR(__xludf.DUMMYFUNCTION("""COMPUTED_VALUE"""),"--")</f>
        <v>--</v>
      </c>
      <c r="O409" s="251" t="str">
        <f>IFERROR(__xludf.DUMMYFUNCTION("""COMPUTED_VALUE"""),"--")</f>
        <v>--</v>
      </c>
      <c r="P409" s="251" t="str">
        <f>IFERROR(__xludf.DUMMYFUNCTION("""COMPUTED_VALUE"""),"--")</f>
        <v>--</v>
      </c>
      <c r="Q409" s="251" t="str">
        <f>IFERROR(__xludf.DUMMYFUNCTION("""COMPUTED_VALUE"""),"--")</f>
        <v>--</v>
      </c>
      <c r="R409" s="251" t="str">
        <f>IFERROR(__xludf.DUMMYFUNCTION("""COMPUTED_VALUE"""),"Underdog")</f>
        <v>Underdog</v>
      </c>
      <c r="S409" s="251" t="str">
        <f>IFERROR(__xludf.DUMMYFUNCTION("""COMPUTED_VALUE"""),"--")</f>
        <v>--</v>
      </c>
      <c r="T409" s="251" t="str">
        <f>IFERROR(__xludf.DUMMYFUNCTION("""COMPUTED_VALUE"""),"--")</f>
        <v>--</v>
      </c>
      <c r="U409" s="251" t="str">
        <f>IFERROR(__xludf.DUMMYFUNCTION("""COMPUTED_VALUE"""),"--")</f>
        <v>--</v>
      </c>
      <c r="V409" s="251" t="str">
        <f>IFERROR(__xludf.DUMMYFUNCTION("""COMPUTED_VALUE"""),"Repulsive")</f>
        <v>Repulsive</v>
      </c>
      <c r="W409" s="251" t="str">
        <f>IFERROR(__xludf.DUMMYFUNCTION("""COMPUTED_VALUE"""),"--")</f>
        <v>--</v>
      </c>
      <c r="X409" s="251" t="str">
        <f>IFERROR(__xludf.DUMMYFUNCTION("""COMPUTED_VALUE"""),"--")</f>
        <v>--</v>
      </c>
      <c r="Y409" s="251" t="str">
        <f>IFERROR(__xludf.DUMMYFUNCTION("""COMPUTED_VALUE"""),"--")</f>
        <v>--</v>
      </c>
      <c r="Z409" s="251" t="str">
        <f>IFERROR(__xludf.DUMMYFUNCTION("""COMPUTED_VALUE"""),"--")</f>
        <v>--</v>
      </c>
      <c r="AA409" s="251" t="str">
        <f>IFERROR(__xludf.DUMMYFUNCTION("""COMPUTED_VALUE"""),"--")</f>
        <v>--</v>
      </c>
      <c r="AB409" s="251" t="str">
        <f>IFERROR(__xludf.DUMMYFUNCTION("""COMPUTED_VALUE"""),"--")</f>
        <v>--</v>
      </c>
      <c r="AC409" s="251" t="str">
        <f>IFERROR(__xludf.DUMMYFUNCTION("""COMPUTED_VALUE"""),"--")</f>
        <v>--</v>
      </c>
      <c r="AD409" s="251">
        <f>IFERROR(__xludf.DUMMYFUNCTION("""COMPUTED_VALUE"""),2.0)</f>
        <v>2</v>
      </c>
      <c r="AE409" s="251" t="str">
        <f>IFERROR(__xludf.DUMMYFUNCTION("""COMPUTED_VALUE"""),"Phototroph")</f>
        <v>Phototroph</v>
      </c>
    </row>
    <row r="410">
      <c r="A410" s="251" t="str">
        <f>IFERROR(__xludf.DUMMYFUNCTION("""COMPUTED_VALUE"""),"Vileplume")</f>
        <v>Vileplume</v>
      </c>
      <c r="B410" s="251" t="str">
        <f>IFERROR(__xludf.DUMMYFUNCTION("""COMPUTED_VALUE"""),"Grass")</f>
        <v>Grass</v>
      </c>
      <c r="C410" s="251" t="str">
        <f>IFERROR(__xludf.DUMMYFUNCTION("""COMPUTED_VALUE"""),"Poison")</f>
        <v>Poison</v>
      </c>
      <c r="D410" s="251">
        <f>IFERROR(__xludf.DUMMYFUNCTION("""COMPUTED_VALUE"""),9.0)</f>
        <v>9</v>
      </c>
      <c r="E410" s="251">
        <f>IFERROR(__xludf.DUMMYFUNCTION("""COMPUTED_VALUE"""),8.0)</f>
        <v>8</v>
      </c>
      <c r="F410" s="251">
        <f>IFERROR(__xludf.DUMMYFUNCTION("""COMPUTED_VALUE"""),9.0)</f>
        <v>9</v>
      </c>
      <c r="G410" s="251">
        <f>IFERROR(__xludf.DUMMYFUNCTION("""COMPUTED_VALUE"""),11.0)</f>
        <v>11</v>
      </c>
      <c r="H410" s="251">
        <f>IFERROR(__xludf.DUMMYFUNCTION("""COMPUTED_VALUE"""),9.0)</f>
        <v>9</v>
      </c>
      <c r="I410" s="251">
        <f>IFERROR(__xludf.DUMMYFUNCTION("""COMPUTED_VALUE"""),5.0)</f>
        <v>5</v>
      </c>
      <c r="J410" s="251">
        <f>IFERROR(__xludf.DUMMYFUNCTION("""COMPUTED_VALUE"""),2.0)</f>
        <v>2</v>
      </c>
      <c r="K410" s="251" t="str">
        <f>IFERROR(__xludf.DUMMYFUNCTION("""COMPUTED_VALUE"""),"Medium")</f>
        <v>Medium</v>
      </c>
      <c r="L410" s="251">
        <f>IFERROR(__xludf.DUMMYFUNCTION("""COMPUTED_VALUE"""),2.0)</f>
        <v>2</v>
      </c>
      <c r="M410" s="251" t="str">
        <f>IFERROR(__xludf.DUMMYFUNCTION("""COMPUTED_VALUE"""),"Forest, Grasslands")</f>
        <v>Forest, Grasslands</v>
      </c>
      <c r="N410" s="251" t="str">
        <f>IFERROR(__xludf.DUMMYFUNCTION("""COMPUTED_VALUE"""),"--")</f>
        <v>--</v>
      </c>
      <c r="O410" s="251" t="str">
        <f>IFERROR(__xludf.DUMMYFUNCTION("""COMPUTED_VALUE"""),"--")</f>
        <v>--</v>
      </c>
      <c r="P410" s="251" t="str">
        <f>IFERROR(__xludf.DUMMYFUNCTION("""COMPUTED_VALUE"""),"--")</f>
        <v>--</v>
      </c>
      <c r="Q410" s="251" t="str">
        <f>IFERROR(__xludf.DUMMYFUNCTION("""COMPUTED_VALUE"""),"--")</f>
        <v>--</v>
      </c>
      <c r="R410" s="251" t="str">
        <f>IFERROR(__xludf.DUMMYFUNCTION("""COMPUTED_VALUE"""),"--")</f>
        <v>--</v>
      </c>
      <c r="S410" s="251" t="str">
        <f>IFERROR(__xludf.DUMMYFUNCTION("""COMPUTED_VALUE"""),"--")</f>
        <v>--</v>
      </c>
      <c r="T410" s="251" t="str">
        <f>IFERROR(__xludf.DUMMYFUNCTION("""COMPUTED_VALUE"""),"--")</f>
        <v>--</v>
      </c>
      <c r="U410" s="251" t="str">
        <f>IFERROR(__xludf.DUMMYFUNCTION("""COMPUTED_VALUE"""),"--")</f>
        <v>--</v>
      </c>
      <c r="V410" s="251" t="str">
        <f>IFERROR(__xludf.DUMMYFUNCTION("""COMPUTED_VALUE"""),"Repulsive")</f>
        <v>Repulsive</v>
      </c>
      <c r="W410" s="251" t="str">
        <f>IFERROR(__xludf.DUMMYFUNCTION("""COMPUTED_VALUE"""),"--")</f>
        <v>--</v>
      </c>
      <c r="X410" s="251" t="str">
        <f>IFERROR(__xludf.DUMMYFUNCTION("""COMPUTED_VALUE"""),"--")</f>
        <v>--</v>
      </c>
      <c r="Y410" s="251" t="str">
        <f>IFERROR(__xludf.DUMMYFUNCTION("""COMPUTED_VALUE"""),"--")</f>
        <v>--</v>
      </c>
      <c r="Z410" s="251" t="str">
        <f>IFERROR(__xludf.DUMMYFUNCTION("""COMPUTED_VALUE"""),"--")</f>
        <v>--</v>
      </c>
      <c r="AA410" s="251" t="str">
        <f>IFERROR(__xludf.DUMMYFUNCTION("""COMPUTED_VALUE"""),"--")</f>
        <v>--</v>
      </c>
      <c r="AB410" s="251" t="str">
        <f>IFERROR(__xludf.DUMMYFUNCTION("""COMPUTED_VALUE"""),"--")</f>
        <v>--</v>
      </c>
      <c r="AC410" s="251" t="str">
        <f>IFERROR(__xludf.DUMMYFUNCTION("""COMPUTED_VALUE"""),"--")</f>
        <v>--</v>
      </c>
      <c r="AD410" s="251">
        <f>IFERROR(__xludf.DUMMYFUNCTION("""COMPUTED_VALUE"""),3.0)</f>
        <v>3</v>
      </c>
      <c r="AE410" s="251" t="str">
        <f>IFERROR(__xludf.DUMMYFUNCTION("""COMPUTED_VALUE"""),"Phototroph")</f>
        <v>Phototroph</v>
      </c>
    </row>
    <row r="411">
      <c r="A411" s="251" t="str">
        <f>IFERROR(__xludf.DUMMYFUNCTION("""COMPUTED_VALUE"""),"Bellossom")</f>
        <v>Bellossom</v>
      </c>
      <c r="B411" s="251" t="str">
        <f>IFERROR(__xludf.DUMMYFUNCTION("""COMPUTED_VALUE"""),"Grass")</f>
        <v>Grass</v>
      </c>
      <c r="C411" s="251" t="str">
        <f>IFERROR(__xludf.DUMMYFUNCTION("""COMPUTED_VALUE"""),"None")</f>
        <v>None</v>
      </c>
      <c r="D411" s="251">
        <f>IFERROR(__xludf.DUMMYFUNCTION("""COMPUTED_VALUE"""),8.0)</f>
        <v>8</v>
      </c>
      <c r="E411" s="251">
        <f>IFERROR(__xludf.DUMMYFUNCTION("""COMPUTED_VALUE"""),8.0)</f>
        <v>8</v>
      </c>
      <c r="F411" s="251">
        <f>IFERROR(__xludf.DUMMYFUNCTION("""COMPUTED_VALUE"""),10.0)</f>
        <v>10</v>
      </c>
      <c r="G411" s="251">
        <f>IFERROR(__xludf.DUMMYFUNCTION("""COMPUTED_VALUE"""),10.0)</f>
        <v>10</v>
      </c>
      <c r="H411" s="251">
        <f>IFERROR(__xludf.DUMMYFUNCTION("""COMPUTED_VALUE"""),10.0)</f>
        <v>10</v>
      </c>
      <c r="I411" s="251">
        <f>IFERROR(__xludf.DUMMYFUNCTION("""COMPUTED_VALUE"""),5.0)</f>
        <v>5</v>
      </c>
      <c r="J411" s="251">
        <f>IFERROR(__xludf.DUMMYFUNCTION("""COMPUTED_VALUE"""),2.0)</f>
        <v>2</v>
      </c>
      <c r="K411" s="251" t="str">
        <f>IFERROR(__xludf.DUMMYFUNCTION("""COMPUTED_VALUE"""),"Small")</f>
        <v>Small</v>
      </c>
      <c r="L411" s="251">
        <f>IFERROR(__xludf.DUMMYFUNCTION("""COMPUTED_VALUE"""),1.0)</f>
        <v>1</v>
      </c>
      <c r="M411" s="251" t="str">
        <f>IFERROR(__xludf.DUMMYFUNCTION("""COMPUTED_VALUE"""),"Forest, Grasslands")</f>
        <v>Forest, Grasslands</v>
      </c>
      <c r="N411" s="251" t="str">
        <f>IFERROR(__xludf.DUMMYFUNCTION("""COMPUTED_VALUE"""),"--")</f>
        <v>--</v>
      </c>
      <c r="O411" s="251" t="str">
        <f>IFERROR(__xludf.DUMMYFUNCTION("""COMPUTED_VALUE"""),"--")</f>
        <v>--</v>
      </c>
      <c r="P411" s="251" t="str">
        <f>IFERROR(__xludf.DUMMYFUNCTION("""COMPUTED_VALUE"""),"--")</f>
        <v>--</v>
      </c>
      <c r="Q411" s="251" t="str">
        <f>IFERROR(__xludf.DUMMYFUNCTION("""COMPUTED_VALUE"""),"--")</f>
        <v>--</v>
      </c>
      <c r="R411" s="251" t="str">
        <f>IFERROR(__xludf.DUMMYFUNCTION("""COMPUTED_VALUE"""),"--")</f>
        <v>--</v>
      </c>
      <c r="S411" s="251" t="str">
        <f>IFERROR(__xludf.DUMMYFUNCTION("""COMPUTED_VALUE"""),"--")</f>
        <v>--</v>
      </c>
      <c r="T411" s="251" t="str">
        <f>IFERROR(__xludf.DUMMYFUNCTION("""COMPUTED_VALUE"""),"--")</f>
        <v>--</v>
      </c>
      <c r="U411" s="251" t="str">
        <f>IFERROR(__xludf.DUMMYFUNCTION("""COMPUTED_VALUE"""),"--")</f>
        <v>--</v>
      </c>
      <c r="V411" s="251" t="str">
        <f>IFERROR(__xludf.DUMMYFUNCTION("""COMPUTED_VALUE"""),"Alluring")</f>
        <v>Alluring</v>
      </c>
      <c r="W411" s="251" t="str">
        <f>IFERROR(__xludf.DUMMYFUNCTION("""COMPUTED_VALUE"""),"--")</f>
        <v>--</v>
      </c>
      <c r="X411" s="251" t="str">
        <f>IFERROR(__xludf.DUMMYFUNCTION("""COMPUTED_VALUE"""),"--")</f>
        <v>--</v>
      </c>
      <c r="Y411" s="251" t="str">
        <f>IFERROR(__xludf.DUMMYFUNCTION("""COMPUTED_VALUE"""),"--")</f>
        <v>--</v>
      </c>
      <c r="Z411" s="251" t="str">
        <f>IFERROR(__xludf.DUMMYFUNCTION("""COMPUTED_VALUE"""),"--")</f>
        <v>--</v>
      </c>
      <c r="AA411" s="251" t="str">
        <f>IFERROR(__xludf.DUMMYFUNCTION("""COMPUTED_VALUE"""),"--")</f>
        <v>--</v>
      </c>
      <c r="AB411" s="251" t="str">
        <f>IFERROR(__xludf.DUMMYFUNCTION("""COMPUTED_VALUE"""),"--")</f>
        <v>--</v>
      </c>
      <c r="AC411" s="251" t="str">
        <f>IFERROR(__xludf.DUMMYFUNCTION("""COMPUTED_VALUE"""),"--")</f>
        <v>--</v>
      </c>
      <c r="AD411" s="251">
        <f>IFERROR(__xludf.DUMMYFUNCTION("""COMPUTED_VALUE"""),3.0)</f>
        <v>3</v>
      </c>
      <c r="AE411" s="251" t="str">
        <f>IFERROR(__xludf.DUMMYFUNCTION("""COMPUTED_VALUE"""),"Phototroph")</f>
        <v>Phototroph</v>
      </c>
    </row>
    <row r="412">
      <c r="A412" s="251" t="str">
        <f>IFERROR(__xludf.DUMMYFUNCTION("""COMPUTED_VALUE"""),"Bellsprout")</f>
        <v>Bellsprout</v>
      </c>
      <c r="B412" s="251" t="str">
        <f>IFERROR(__xludf.DUMMYFUNCTION("""COMPUTED_VALUE"""),"Grass")</f>
        <v>Grass</v>
      </c>
      <c r="C412" s="251" t="str">
        <f>IFERROR(__xludf.DUMMYFUNCTION("""COMPUTED_VALUE"""),"Poison")</f>
        <v>Poison</v>
      </c>
      <c r="D412" s="251">
        <f>IFERROR(__xludf.DUMMYFUNCTION("""COMPUTED_VALUE"""),5.0)</f>
        <v>5</v>
      </c>
      <c r="E412" s="251">
        <f>IFERROR(__xludf.DUMMYFUNCTION("""COMPUTED_VALUE"""),8.0)</f>
        <v>8</v>
      </c>
      <c r="F412" s="251">
        <f>IFERROR(__xludf.DUMMYFUNCTION("""COMPUTED_VALUE"""),4.0)</f>
        <v>4</v>
      </c>
      <c r="G412" s="251">
        <f>IFERROR(__xludf.DUMMYFUNCTION("""COMPUTED_VALUE"""),7.0)</f>
        <v>7</v>
      </c>
      <c r="H412" s="251">
        <f>IFERROR(__xludf.DUMMYFUNCTION("""COMPUTED_VALUE"""),3.0)</f>
        <v>3</v>
      </c>
      <c r="I412" s="251">
        <f>IFERROR(__xludf.DUMMYFUNCTION("""COMPUTED_VALUE"""),4.0)</f>
        <v>4</v>
      </c>
      <c r="J412" s="251">
        <f>IFERROR(__xludf.DUMMYFUNCTION("""COMPUTED_VALUE"""),1.0)</f>
        <v>1</v>
      </c>
      <c r="K412" s="251" t="str">
        <f>IFERROR(__xludf.DUMMYFUNCTION("""COMPUTED_VALUE"""),"Small")</f>
        <v>Small</v>
      </c>
      <c r="L412" s="251">
        <f>IFERROR(__xludf.DUMMYFUNCTION("""COMPUTED_VALUE"""),1.0)</f>
        <v>1</v>
      </c>
      <c r="M412" s="251" t="str">
        <f>IFERROR(__xludf.DUMMYFUNCTION("""COMPUTED_VALUE"""),"Forest, Grasslands")</f>
        <v>Forest, Grasslands</v>
      </c>
      <c r="N412" s="251" t="str">
        <f>IFERROR(__xludf.DUMMYFUNCTION("""COMPUTED_VALUE"""),"--")</f>
        <v>--</v>
      </c>
      <c r="O412" s="251" t="str">
        <f>IFERROR(__xludf.DUMMYFUNCTION("""COMPUTED_VALUE"""),"--")</f>
        <v>--</v>
      </c>
      <c r="P412" s="251" t="str">
        <f>IFERROR(__xludf.DUMMYFUNCTION("""COMPUTED_VALUE"""),"--")</f>
        <v>--</v>
      </c>
      <c r="Q412" s="251" t="str">
        <f>IFERROR(__xludf.DUMMYFUNCTION("""COMPUTED_VALUE"""),"--")</f>
        <v>--</v>
      </c>
      <c r="R412" s="251" t="str">
        <f>IFERROR(__xludf.DUMMYFUNCTION("""COMPUTED_VALUE"""),"Underdog")</f>
        <v>Underdog</v>
      </c>
      <c r="S412" s="251" t="str">
        <f>IFERROR(__xludf.DUMMYFUNCTION("""COMPUTED_VALUE"""),"--")</f>
        <v>--</v>
      </c>
      <c r="T412" s="251" t="str">
        <f>IFERROR(__xludf.DUMMYFUNCTION("""COMPUTED_VALUE"""),"--")</f>
        <v>--</v>
      </c>
      <c r="U412" s="251" t="str">
        <f>IFERROR(__xludf.DUMMYFUNCTION("""COMPUTED_VALUE"""),"--")</f>
        <v>--</v>
      </c>
      <c r="V412" s="251" t="str">
        <f>IFERROR(__xludf.DUMMYFUNCTION("""COMPUTED_VALUE"""),"--")</f>
        <v>--</v>
      </c>
      <c r="W412" s="251" t="str">
        <f>IFERROR(__xludf.DUMMYFUNCTION("""COMPUTED_VALUE"""),"--")</f>
        <v>--</v>
      </c>
      <c r="X412" s="251" t="str">
        <f>IFERROR(__xludf.DUMMYFUNCTION("""COMPUTED_VALUE"""),"--")</f>
        <v>--</v>
      </c>
      <c r="Y412" s="251" t="str">
        <f>IFERROR(__xludf.DUMMYFUNCTION("""COMPUTED_VALUE"""),"--")</f>
        <v>--</v>
      </c>
      <c r="Z412" s="251" t="str">
        <f>IFERROR(__xludf.DUMMYFUNCTION("""COMPUTED_VALUE"""),"--")</f>
        <v>--</v>
      </c>
      <c r="AA412" s="251" t="str">
        <f>IFERROR(__xludf.DUMMYFUNCTION("""COMPUTED_VALUE"""),"--")</f>
        <v>--</v>
      </c>
      <c r="AB412" s="251" t="str">
        <f>IFERROR(__xludf.DUMMYFUNCTION("""COMPUTED_VALUE"""),"--")</f>
        <v>--</v>
      </c>
      <c r="AC412" s="251" t="str">
        <f>IFERROR(__xludf.DUMMYFUNCTION("""COMPUTED_VALUE"""),"--")</f>
        <v>--</v>
      </c>
      <c r="AD412" s="251">
        <f>IFERROR(__xludf.DUMMYFUNCTION("""COMPUTED_VALUE"""),1.0)</f>
        <v>1</v>
      </c>
      <c r="AE412" s="251" t="str">
        <f>IFERROR(__xludf.DUMMYFUNCTION("""COMPUTED_VALUE"""),"Phototroph")</f>
        <v>Phototroph</v>
      </c>
    </row>
    <row r="413">
      <c r="A413" s="251" t="str">
        <f>IFERROR(__xludf.DUMMYFUNCTION("""COMPUTED_VALUE"""),"Weepinbell")</f>
        <v>Weepinbell</v>
      </c>
      <c r="B413" s="251" t="str">
        <f>IFERROR(__xludf.DUMMYFUNCTION("""COMPUTED_VALUE"""),"Grass")</f>
        <v>Grass</v>
      </c>
      <c r="C413" s="251" t="str">
        <f>IFERROR(__xludf.DUMMYFUNCTION("""COMPUTED_VALUE"""),"Poison")</f>
        <v>Poison</v>
      </c>
      <c r="D413" s="251">
        <f>IFERROR(__xludf.DUMMYFUNCTION("""COMPUTED_VALUE"""),7.0)</f>
        <v>7</v>
      </c>
      <c r="E413" s="251">
        <f>IFERROR(__xludf.DUMMYFUNCTION("""COMPUTED_VALUE"""),9.0)</f>
        <v>9</v>
      </c>
      <c r="F413" s="251">
        <f>IFERROR(__xludf.DUMMYFUNCTION("""COMPUTED_VALUE"""),5.0)</f>
        <v>5</v>
      </c>
      <c r="G413" s="251">
        <f>IFERROR(__xludf.DUMMYFUNCTION("""COMPUTED_VALUE"""),9.0)</f>
        <v>9</v>
      </c>
      <c r="H413" s="251">
        <f>IFERROR(__xludf.DUMMYFUNCTION("""COMPUTED_VALUE"""),5.0)</f>
        <v>5</v>
      </c>
      <c r="I413" s="251">
        <f>IFERROR(__xludf.DUMMYFUNCTION("""COMPUTED_VALUE"""),6.0)</f>
        <v>6</v>
      </c>
      <c r="J413" s="251">
        <f>IFERROR(__xludf.DUMMYFUNCTION("""COMPUTED_VALUE"""),2.0)</f>
        <v>2</v>
      </c>
      <c r="K413" s="251" t="str">
        <f>IFERROR(__xludf.DUMMYFUNCTION("""COMPUTED_VALUE"""),"Medium")</f>
        <v>Medium</v>
      </c>
      <c r="L413" s="251">
        <f>IFERROR(__xludf.DUMMYFUNCTION("""COMPUTED_VALUE"""),1.0)</f>
        <v>1</v>
      </c>
      <c r="M413" s="251" t="str">
        <f>IFERROR(__xludf.DUMMYFUNCTION("""COMPUTED_VALUE"""),"Forest, Grasslands")</f>
        <v>Forest, Grasslands</v>
      </c>
      <c r="N413" s="251" t="str">
        <f>IFERROR(__xludf.DUMMYFUNCTION("""COMPUTED_VALUE"""),"--")</f>
        <v>--</v>
      </c>
      <c r="O413" s="251" t="str">
        <f>IFERROR(__xludf.DUMMYFUNCTION("""COMPUTED_VALUE"""),"--")</f>
        <v>--</v>
      </c>
      <c r="P413" s="251" t="str">
        <f>IFERROR(__xludf.DUMMYFUNCTION("""COMPUTED_VALUE"""),"--")</f>
        <v>--</v>
      </c>
      <c r="Q413" s="251" t="str">
        <f>IFERROR(__xludf.DUMMYFUNCTION("""COMPUTED_VALUE"""),"--")</f>
        <v>--</v>
      </c>
      <c r="R413" s="251" t="str">
        <f>IFERROR(__xludf.DUMMYFUNCTION("""COMPUTED_VALUE"""),"Underdog")</f>
        <v>Underdog</v>
      </c>
      <c r="S413" s="251" t="str">
        <f>IFERROR(__xludf.DUMMYFUNCTION("""COMPUTED_VALUE"""),"--")</f>
        <v>--</v>
      </c>
      <c r="T413" s="251" t="str">
        <f>IFERROR(__xludf.DUMMYFUNCTION("""COMPUTED_VALUE"""),"--")</f>
        <v>--</v>
      </c>
      <c r="U413" s="251" t="str">
        <f>IFERROR(__xludf.DUMMYFUNCTION("""COMPUTED_VALUE"""),"--")</f>
        <v>--</v>
      </c>
      <c r="V413" s="251" t="str">
        <f>IFERROR(__xludf.DUMMYFUNCTION("""COMPUTED_VALUE"""),"--")</f>
        <v>--</v>
      </c>
      <c r="W413" s="251" t="str">
        <f>IFERROR(__xludf.DUMMYFUNCTION("""COMPUTED_VALUE"""),"--")</f>
        <v>--</v>
      </c>
      <c r="X413" s="251" t="str">
        <f>IFERROR(__xludf.DUMMYFUNCTION("""COMPUTED_VALUE"""),"--")</f>
        <v>--</v>
      </c>
      <c r="Y413" s="251" t="str">
        <f>IFERROR(__xludf.DUMMYFUNCTION("""COMPUTED_VALUE"""),"--")</f>
        <v>--</v>
      </c>
      <c r="Z413" s="251" t="str">
        <f>IFERROR(__xludf.DUMMYFUNCTION("""COMPUTED_VALUE"""),"--")</f>
        <v>--</v>
      </c>
      <c r="AA413" s="251" t="str">
        <f>IFERROR(__xludf.DUMMYFUNCTION("""COMPUTED_VALUE"""),"--")</f>
        <v>--</v>
      </c>
      <c r="AB413" s="251" t="str">
        <f>IFERROR(__xludf.DUMMYFUNCTION("""COMPUTED_VALUE"""),"--")</f>
        <v>--</v>
      </c>
      <c r="AC413" s="251" t="str">
        <f>IFERROR(__xludf.DUMMYFUNCTION("""COMPUTED_VALUE"""),"--")</f>
        <v>--</v>
      </c>
      <c r="AD413" s="251">
        <f>IFERROR(__xludf.DUMMYFUNCTION("""COMPUTED_VALUE"""),2.0)</f>
        <v>2</v>
      </c>
      <c r="AE413" s="251" t="str">
        <f>IFERROR(__xludf.DUMMYFUNCTION("""COMPUTED_VALUE"""),"Phototroph")</f>
        <v>Phototroph</v>
      </c>
    </row>
    <row r="414">
      <c r="A414" s="251" t="str">
        <f>IFERROR(__xludf.DUMMYFUNCTION("""COMPUTED_VALUE"""),"Victreebel")</f>
        <v>Victreebel</v>
      </c>
      <c r="B414" s="251" t="str">
        <f>IFERROR(__xludf.DUMMYFUNCTION("""COMPUTED_VALUE"""),"Grass")</f>
        <v>Grass</v>
      </c>
      <c r="C414" s="251" t="str">
        <f>IFERROR(__xludf.DUMMYFUNCTION("""COMPUTED_VALUE"""),"Poison")</f>
        <v>Poison</v>
      </c>
      <c r="D414" s="251">
        <f>IFERROR(__xludf.DUMMYFUNCTION("""COMPUTED_VALUE"""),8.0)</f>
        <v>8</v>
      </c>
      <c r="E414" s="251">
        <f>IFERROR(__xludf.DUMMYFUNCTION("""COMPUTED_VALUE"""),11.0)</f>
        <v>11</v>
      </c>
      <c r="F414" s="251">
        <f>IFERROR(__xludf.DUMMYFUNCTION("""COMPUTED_VALUE"""),7.0)</f>
        <v>7</v>
      </c>
      <c r="G414" s="251">
        <f>IFERROR(__xludf.DUMMYFUNCTION("""COMPUTED_VALUE"""),11.0)</f>
        <v>11</v>
      </c>
      <c r="H414" s="251">
        <f>IFERROR(__xludf.DUMMYFUNCTION("""COMPUTED_VALUE"""),7.0)</f>
        <v>7</v>
      </c>
      <c r="I414" s="251">
        <f>IFERROR(__xludf.DUMMYFUNCTION("""COMPUTED_VALUE"""),7.0)</f>
        <v>7</v>
      </c>
      <c r="J414" s="251">
        <f>IFERROR(__xludf.DUMMYFUNCTION("""COMPUTED_VALUE"""),4.0)</f>
        <v>4</v>
      </c>
      <c r="K414" s="251" t="str">
        <f>IFERROR(__xludf.DUMMYFUNCTION("""COMPUTED_VALUE"""),"Medium")</f>
        <v>Medium</v>
      </c>
      <c r="L414" s="251">
        <f>IFERROR(__xludf.DUMMYFUNCTION("""COMPUTED_VALUE"""),2.0)</f>
        <v>2</v>
      </c>
      <c r="M414" s="251" t="str">
        <f>IFERROR(__xludf.DUMMYFUNCTION("""COMPUTED_VALUE"""),"Forest, Grasslands")</f>
        <v>Forest, Grasslands</v>
      </c>
      <c r="N414" s="251" t="str">
        <f>IFERROR(__xludf.DUMMYFUNCTION("""COMPUTED_VALUE"""),"--")</f>
        <v>--</v>
      </c>
      <c r="O414" s="251" t="str">
        <f>IFERROR(__xludf.DUMMYFUNCTION("""COMPUTED_VALUE"""),"--")</f>
        <v>--</v>
      </c>
      <c r="P414" s="251" t="str">
        <f>IFERROR(__xludf.DUMMYFUNCTION("""COMPUTED_VALUE"""),"--")</f>
        <v>--</v>
      </c>
      <c r="Q414" s="251" t="str">
        <f>IFERROR(__xludf.DUMMYFUNCTION("""COMPUTED_VALUE"""),"--")</f>
        <v>--</v>
      </c>
      <c r="R414" s="251" t="str">
        <f>IFERROR(__xludf.DUMMYFUNCTION("""COMPUTED_VALUE"""),"--")</f>
        <v>--</v>
      </c>
      <c r="S414" s="251" t="str">
        <f>IFERROR(__xludf.DUMMYFUNCTION("""COMPUTED_VALUE"""),"--")</f>
        <v>--</v>
      </c>
      <c r="T414" s="251" t="str">
        <f>IFERROR(__xludf.DUMMYFUNCTION("""COMPUTED_VALUE"""),"--")</f>
        <v>--</v>
      </c>
      <c r="U414" s="251" t="str">
        <f>IFERROR(__xludf.DUMMYFUNCTION("""COMPUTED_VALUE"""),"--")</f>
        <v>--</v>
      </c>
      <c r="V414" s="251" t="str">
        <f>IFERROR(__xludf.DUMMYFUNCTION("""COMPUTED_VALUE"""),"--")</f>
        <v>--</v>
      </c>
      <c r="W414" s="251" t="str">
        <f>IFERROR(__xludf.DUMMYFUNCTION("""COMPUTED_VALUE"""),"--")</f>
        <v>--</v>
      </c>
      <c r="X414" s="251" t="str">
        <f>IFERROR(__xludf.DUMMYFUNCTION("""COMPUTED_VALUE"""),"--")</f>
        <v>--</v>
      </c>
      <c r="Y414" s="251" t="str">
        <f>IFERROR(__xludf.DUMMYFUNCTION("""COMPUTED_VALUE"""),"--")</f>
        <v>--</v>
      </c>
      <c r="Z414" s="251" t="str">
        <f>IFERROR(__xludf.DUMMYFUNCTION("""COMPUTED_VALUE"""),"--")</f>
        <v>--</v>
      </c>
      <c r="AA414" s="251" t="str">
        <f>IFERROR(__xludf.DUMMYFUNCTION("""COMPUTED_VALUE"""),"--")</f>
        <v>--</v>
      </c>
      <c r="AB414" s="251" t="str">
        <f>IFERROR(__xludf.DUMMYFUNCTION("""COMPUTED_VALUE"""),"--")</f>
        <v>--</v>
      </c>
      <c r="AC414" s="251" t="str">
        <f>IFERROR(__xludf.DUMMYFUNCTION("""COMPUTED_VALUE"""),"--")</f>
        <v>--</v>
      </c>
      <c r="AD414" s="251">
        <f>IFERROR(__xludf.DUMMYFUNCTION("""COMPUTED_VALUE"""),3.0)</f>
        <v>3</v>
      </c>
      <c r="AE414" s="251" t="str">
        <f>IFERROR(__xludf.DUMMYFUNCTION("""COMPUTED_VALUE"""),"Phototroph")</f>
        <v>Phototroph</v>
      </c>
    </row>
    <row r="415">
      <c r="A415" s="251" t="str">
        <f>IFERROR(__xludf.DUMMYFUNCTION("""COMPUTED_VALUE"""),"Hoppip")</f>
        <v>Hoppip</v>
      </c>
      <c r="B415" s="251" t="str">
        <f>IFERROR(__xludf.DUMMYFUNCTION("""COMPUTED_VALUE"""),"Grass")</f>
        <v>Grass</v>
      </c>
      <c r="C415" s="251" t="str">
        <f>IFERROR(__xludf.DUMMYFUNCTION("""COMPUTED_VALUE"""),"Flying")</f>
        <v>Flying</v>
      </c>
      <c r="D415" s="251">
        <f>IFERROR(__xludf.DUMMYFUNCTION("""COMPUTED_VALUE"""),6.0)</f>
        <v>6</v>
      </c>
      <c r="E415" s="251">
        <f>IFERROR(__xludf.DUMMYFUNCTION("""COMPUTED_VALUE"""),4.0)</f>
        <v>4</v>
      </c>
      <c r="F415" s="251">
        <f>IFERROR(__xludf.DUMMYFUNCTION("""COMPUTED_VALUE"""),4.0)</f>
        <v>4</v>
      </c>
      <c r="G415" s="251">
        <f>IFERROR(__xludf.DUMMYFUNCTION("""COMPUTED_VALUE"""),4.0)</f>
        <v>4</v>
      </c>
      <c r="H415" s="251">
        <f>IFERROR(__xludf.DUMMYFUNCTION("""COMPUTED_VALUE"""),7.0)</f>
        <v>7</v>
      </c>
      <c r="I415" s="251">
        <f>IFERROR(__xludf.DUMMYFUNCTION("""COMPUTED_VALUE"""),5.0)</f>
        <v>5</v>
      </c>
      <c r="J415" s="251">
        <f>IFERROR(__xludf.DUMMYFUNCTION("""COMPUTED_VALUE"""),1.0)</f>
        <v>1</v>
      </c>
      <c r="K415" s="251" t="str">
        <f>IFERROR(__xludf.DUMMYFUNCTION("""COMPUTED_VALUE"""),"Small")</f>
        <v>Small</v>
      </c>
      <c r="L415" s="251">
        <f>IFERROR(__xludf.DUMMYFUNCTION("""COMPUTED_VALUE"""),1.0)</f>
        <v>1</v>
      </c>
      <c r="M415" s="251" t="str">
        <f>IFERROR(__xludf.DUMMYFUNCTION("""COMPUTED_VALUE"""),"Forest, Grasslands")</f>
        <v>Forest, Grasslands</v>
      </c>
      <c r="N415" s="251" t="str">
        <f>IFERROR(__xludf.DUMMYFUNCTION("""COMPUTED_VALUE"""),"Flier")</f>
        <v>Flier</v>
      </c>
      <c r="O415" s="251" t="str">
        <f>IFERROR(__xludf.DUMMYFUNCTION("""COMPUTED_VALUE"""),"--")</f>
        <v>--</v>
      </c>
      <c r="P415" s="251" t="str">
        <f>IFERROR(__xludf.DUMMYFUNCTION("""COMPUTED_VALUE"""),"--")</f>
        <v>--</v>
      </c>
      <c r="Q415" s="251" t="str">
        <f>IFERROR(__xludf.DUMMYFUNCTION("""COMPUTED_VALUE"""),"--")</f>
        <v>--</v>
      </c>
      <c r="R415" s="251" t="str">
        <f>IFERROR(__xludf.DUMMYFUNCTION("""COMPUTED_VALUE"""),"Underdog")</f>
        <v>Underdog</v>
      </c>
      <c r="S415" s="251" t="str">
        <f>IFERROR(__xludf.DUMMYFUNCTION("""COMPUTED_VALUE"""),"--")</f>
        <v>--</v>
      </c>
      <c r="T415" s="251" t="str">
        <f>IFERROR(__xludf.DUMMYFUNCTION("""COMPUTED_VALUE"""),"--")</f>
        <v>--</v>
      </c>
      <c r="U415" s="251" t="str">
        <f>IFERROR(__xludf.DUMMYFUNCTION("""COMPUTED_VALUE"""),"--")</f>
        <v>--</v>
      </c>
      <c r="V415" s="251" t="str">
        <f>IFERROR(__xludf.DUMMYFUNCTION("""COMPUTED_VALUE"""),"--")</f>
        <v>--</v>
      </c>
      <c r="W415" s="251" t="str">
        <f>IFERROR(__xludf.DUMMYFUNCTION("""COMPUTED_VALUE"""),"--")</f>
        <v>--</v>
      </c>
      <c r="X415" s="251" t="str">
        <f>IFERROR(__xludf.DUMMYFUNCTION("""COMPUTED_VALUE"""),"--")</f>
        <v>--</v>
      </c>
      <c r="Y415" s="251" t="str">
        <f>IFERROR(__xludf.DUMMYFUNCTION("""COMPUTED_VALUE"""),"--")</f>
        <v>--</v>
      </c>
      <c r="Z415" s="251" t="str">
        <f>IFERROR(__xludf.DUMMYFUNCTION("""COMPUTED_VALUE"""),"--")</f>
        <v>--</v>
      </c>
      <c r="AA415" s="251" t="str">
        <f>IFERROR(__xludf.DUMMYFUNCTION("""COMPUTED_VALUE"""),"--")</f>
        <v>--</v>
      </c>
      <c r="AB415" s="251" t="str">
        <f>IFERROR(__xludf.DUMMYFUNCTION("""COMPUTED_VALUE"""),"--")</f>
        <v>--</v>
      </c>
      <c r="AC415" s="251" t="str">
        <f>IFERROR(__xludf.DUMMYFUNCTION("""COMPUTED_VALUE"""),"--")</f>
        <v>--</v>
      </c>
      <c r="AD415" s="251">
        <f>IFERROR(__xludf.DUMMYFUNCTION("""COMPUTED_VALUE"""),1.0)</f>
        <v>1</v>
      </c>
      <c r="AE415" s="251" t="str">
        <f>IFERROR(__xludf.DUMMYFUNCTION("""COMPUTED_VALUE"""),"Phototroph")</f>
        <v>Phototroph</v>
      </c>
    </row>
    <row r="416">
      <c r="A416" s="251" t="str">
        <f>IFERROR(__xludf.DUMMYFUNCTION("""COMPUTED_VALUE"""),"Skiploom")</f>
        <v>Skiploom</v>
      </c>
      <c r="B416" s="251" t="str">
        <f>IFERROR(__xludf.DUMMYFUNCTION("""COMPUTED_VALUE"""),"Grass")</f>
        <v>Grass</v>
      </c>
      <c r="C416" s="251" t="str">
        <f>IFERROR(__xludf.DUMMYFUNCTION("""COMPUTED_VALUE"""),"Flying")</f>
        <v>Flying</v>
      </c>
      <c r="D416" s="251">
        <f>IFERROR(__xludf.DUMMYFUNCTION("""COMPUTED_VALUE"""),7.0)</f>
        <v>7</v>
      </c>
      <c r="E416" s="251">
        <f>IFERROR(__xludf.DUMMYFUNCTION("""COMPUTED_VALUE"""),5.0)</f>
        <v>5</v>
      </c>
      <c r="F416" s="251">
        <f>IFERROR(__xludf.DUMMYFUNCTION("""COMPUTED_VALUE"""),5.0)</f>
        <v>5</v>
      </c>
      <c r="G416" s="251">
        <f>IFERROR(__xludf.DUMMYFUNCTION("""COMPUTED_VALUE"""),5.0)</f>
        <v>5</v>
      </c>
      <c r="H416" s="251">
        <f>IFERROR(__xludf.DUMMYFUNCTION("""COMPUTED_VALUE"""),9.0)</f>
        <v>9</v>
      </c>
      <c r="I416" s="251">
        <f>IFERROR(__xludf.DUMMYFUNCTION("""COMPUTED_VALUE"""),7.0)</f>
        <v>7</v>
      </c>
      <c r="J416" s="251">
        <f>IFERROR(__xludf.DUMMYFUNCTION("""COMPUTED_VALUE"""),2.0)</f>
        <v>2</v>
      </c>
      <c r="K416" s="251" t="str">
        <f>IFERROR(__xludf.DUMMYFUNCTION("""COMPUTED_VALUE"""),"Small")</f>
        <v>Small</v>
      </c>
      <c r="L416" s="251">
        <f>IFERROR(__xludf.DUMMYFUNCTION("""COMPUTED_VALUE"""),1.0)</f>
        <v>1</v>
      </c>
      <c r="M416" s="251" t="str">
        <f>IFERROR(__xludf.DUMMYFUNCTION("""COMPUTED_VALUE"""),"Forest, Grasslands")</f>
        <v>Forest, Grasslands</v>
      </c>
      <c r="N416" s="251" t="str">
        <f>IFERROR(__xludf.DUMMYFUNCTION("""COMPUTED_VALUE"""),"Flier")</f>
        <v>Flier</v>
      </c>
      <c r="O416" s="251" t="str">
        <f>IFERROR(__xludf.DUMMYFUNCTION("""COMPUTED_VALUE"""),"--")</f>
        <v>--</v>
      </c>
      <c r="P416" s="251" t="str">
        <f>IFERROR(__xludf.DUMMYFUNCTION("""COMPUTED_VALUE"""),"--")</f>
        <v>--</v>
      </c>
      <c r="Q416" s="251" t="str">
        <f>IFERROR(__xludf.DUMMYFUNCTION("""COMPUTED_VALUE"""),"--")</f>
        <v>--</v>
      </c>
      <c r="R416" s="251" t="str">
        <f>IFERROR(__xludf.DUMMYFUNCTION("""COMPUTED_VALUE"""),"Underdog")</f>
        <v>Underdog</v>
      </c>
      <c r="S416" s="251" t="str">
        <f>IFERROR(__xludf.DUMMYFUNCTION("""COMPUTED_VALUE"""),"--")</f>
        <v>--</v>
      </c>
      <c r="T416" s="251" t="str">
        <f>IFERROR(__xludf.DUMMYFUNCTION("""COMPUTED_VALUE"""),"--")</f>
        <v>--</v>
      </c>
      <c r="U416" s="251" t="str">
        <f>IFERROR(__xludf.DUMMYFUNCTION("""COMPUTED_VALUE"""),"--")</f>
        <v>--</v>
      </c>
      <c r="V416" s="251" t="str">
        <f>IFERROR(__xludf.DUMMYFUNCTION("""COMPUTED_VALUE"""),"--")</f>
        <v>--</v>
      </c>
      <c r="W416" s="251" t="str">
        <f>IFERROR(__xludf.DUMMYFUNCTION("""COMPUTED_VALUE"""),"--")</f>
        <v>--</v>
      </c>
      <c r="X416" s="251" t="str">
        <f>IFERROR(__xludf.DUMMYFUNCTION("""COMPUTED_VALUE"""),"--")</f>
        <v>--</v>
      </c>
      <c r="Y416" s="251" t="str">
        <f>IFERROR(__xludf.DUMMYFUNCTION("""COMPUTED_VALUE"""),"--")</f>
        <v>--</v>
      </c>
      <c r="Z416" s="251" t="str">
        <f>IFERROR(__xludf.DUMMYFUNCTION("""COMPUTED_VALUE"""),"--")</f>
        <v>--</v>
      </c>
      <c r="AA416" s="251" t="str">
        <f>IFERROR(__xludf.DUMMYFUNCTION("""COMPUTED_VALUE"""),"--")</f>
        <v>--</v>
      </c>
      <c r="AB416" s="251" t="str">
        <f>IFERROR(__xludf.DUMMYFUNCTION("""COMPUTED_VALUE"""),"--")</f>
        <v>--</v>
      </c>
      <c r="AC416" s="251" t="str">
        <f>IFERROR(__xludf.DUMMYFUNCTION("""COMPUTED_VALUE"""),"--")</f>
        <v>--</v>
      </c>
      <c r="AD416" s="251">
        <f>IFERROR(__xludf.DUMMYFUNCTION("""COMPUTED_VALUE"""),2.0)</f>
        <v>2</v>
      </c>
      <c r="AE416" s="251" t="str">
        <f>IFERROR(__xludf.DUMMYFUNCTION("""COMPUTED_VALUE"""),"Phototroph")</f>
        <v>Phototroph</v>
      </c>
    </row>
    <row r="417">
      <c r="A417" s="251" t="str">
        <f>IFERROR(__xludf.DUMMYFUNCTION("""COMPUTED_VALUE"""),"Jumpluff")</f>
        <v>Jumpluff</v>
      </c>
      <c r="B417" s="251" t="str">
        <f>IFERROR(__xludf.DUMMYFUNCTION("""COMPUTED_VALUE"""),"Grass")</f>
        <v>Grass</v>
      </c>
      <c r="C417" s="251" t="str">
        <f>IFERROR(__xludf.DUMMYFUNCTION("""COMPUTED_VALUE"""),"Flying")</f>
        <v>Flying</v>
      </c>
      <c r="D417" s="251">
        <f>IFERROR(__xludf.DUMMYFUNCTION("""COMPUTED_VALUE"""),8.0)</f>
        <v>8</v>
      </c>
      <c r="E417" s="251">
        <f>IFERROR(__xludf.DUMMYFUNCTION("""COMPUTED_VALUE"""),6.0)</f>
        <v>6</v>
      </c>
      <c r="F417" s="251">
        <f>IFERROR(__xludf.DUMMYFUNCTION("""COMPUTED_VALUE"""),8.0)</f>
        <v>8</v>
      </c>
      <c r="G417" s="251">
        <f>IFERROR(__xludf.DUMMYFUNCTION("""COMPUTED_VALUE"""),6.0)</f>
        <v>6</v>
      </c>
      <c r="H417" s="251">
        <f>IFERROR(__xludf.DUMMYFUNCTION("""COMPUTED_VALUE"""),11.0)</f>
        <v>11</v>
      </c>
      <c r="I417" s="251">
        <f>IFERROR(__xludf.DUMMYFUNCTION("""COMPUTED_VALUE"""),12.0)</f>
        <v>12</v>
      </c>
      <c r="J417" s="251">
        <f>IFERROR(__xludf.DUMMYFUNCTION("""COMPUTED_VALUE"""),2.0)</f>
        <v>2</v>
      </c>
      <c r="K417" s="251" t="str">
        <f>IFERROR(__xludf.DUMMYFUNCTION("""COMPUTED_VALUE"""),"Small")</f>
        <v>Small</v>
      </c>
      <c r="L417" s="251">
        <f>IFERROR(__xludf.DUMMYFUNCTION("""COMPUTED_VALUE"""),1.0)</f>
        <v>1</v>
      </c>
      <c r="M417" s="251" t="str">
        <f>IFERROR(__xludf.DUMMYFUNCTION("""COMPUTED_VALUE"""),"Forest, Grasslands")</f>
        <v>Forest, Grasslands</v>
      </c>
      <c r="N417" s="251" t="str">
        <f>IFERROR(__xludf.DUMMYFUNCTION("""COMPUTED_VALUE"""),"Flier")</f>
        <v>Flier</v>
      </c>
      <c r="O417" s="251" t="str">
        <f>IFERROR(__xludf.DUMMYFUNCTION("""COMPUTED_VALUE"""),"--")</f>
        <v>--</v>
      </c>
      <c r="P417" s="251" t="str">
        <f>IFERROR(__xludf.DUMMYFUNCTION("""COMPUTED_VALUE"""),"--")</f>
        <v>--</v>
      </c>
      <c r="Q417" s="251" t="str">
        <f>IFERROR(__xludf.DUMMYFUNCTION("""COMPUTED_VALUE"""),"--")</f>
        <v>--</v>
      </c>
      <c r="R417" s="251" t="str">
        <f>IFERROR(__xludf.DUMMYFUNCTION("""COMPUTED_VALUE"""),"--")</f>
        <v>--</v>
      </c>
      <c r="S417" s="251" t="str">
        <f>IFERROR(__xludf.DUMMYFUNCTION("""COMPUTED_VALUE"""),"--")</f>
        <v>--</v>
      </c>
      <c r="T417" s="251" t="str">
        <f>IFERROR(__xludf.DUMMYFUNCTION("""COMPUTED_VALUE"""),"--")</f>
        <v>--</v>
      </c>
      <c r="U417" s="251" t="str">
        <f>IFERROR(__xludf.DUMMYFUNCTION("""COMPUTED_VALUE"""),"--")</f>
        <v>--</v>
      </c>
      <c r="V417" s="251" t="str">
        <f>IFERROR(__xludf.DUMMYFUNCTION("""COMPUTED_VALUE"""),"--")</f>
        <v>--</v>
      </c>
      <c r="W417" s="251" t="str">
        <f>IFERROR(__xludf.DUMMYFUNCTION("""COMPUTED_VALUE"""),"--")</f>
        <v>--</v>
      </c>
      <c r="X417" s="251" t="str">
        <f>IFERROR(__xludf.DUMMYFUNCTION("""COMPUTED_VALUE"""),"--")</f>
        <v>--</v>
      </c>
      <c r="Y417" s="251" t="str">
        <f>IFERROR(__xludf.DUMMYFUNCTION("""COMPUTED_VALUE"""),"--")</f>
        <v>--</v>
      </c>
      <c r="Z417" s="251" t="str">
        <f>IFERROR(__xludf.DUMMYFUNCTION("""COMPUTED_VALUE"""),"--")</f>
        <v>--</v>
      </c>
      <c r="AA417" s="251" t="str">
        <f>IFERROR(__xludf.DUMMYFUNCTION("""COMPUTED_VALUE"""),"--")</f>
        <v>--</v>
      </c>
      <c r="AB417" s="251" t="str">
        <f>IFERROR(__xludf.DUMMYFUNCTION("""COMPUTED_VALUE"""),"--")</f>
        <v>--</v>
      </c>
      <c r="AC417" s="251" t="str">
        <f>IFERROR(__xludf.DUMMYFUNCTION("""COMPUTED_VALUE"""),"--")</f>
        <v>--</v>
      </c>
      <c r="AD417" s="251">
        <f>IFERROR(__xludf.DUMMYFUNCTION("""COMPUTED_VALUE"""),3.0)</f>
        <v>3</v>
      </c>
      <c r="AE417" s="251" t="str">
        <f>IFERROR(__xludf.DUMMYFUNCTION("""COMPUTED_VALUE"""),"Phototroph")</f>
        <v>Phototroph</v>
      </c>
    </row>
    <row r="418">
      <c r="A418" s="251" t="str">
        <f>IFERROR(__xludf.DUMMYFUNCTION("""COMPUTED_VALUE"""),"Seedot")</f>
        <v>Seedot</v>
      </c>
      <c r="B418" s="251" t="str">
        <f>IFERROR(__xludf.DUMMYFUNCTION("""COMPUTED_VALUE"""),"Grass")</f>
        <v>Grass</v>
      </c>
      <c r="C418" s="251" t="str">
        <f>IFERROR(__xludf.DUMMYFUNCTION("""COMPUTED_VALUE"""),"None")</f>
        <v>None</v>
      </c>
      <c r="D418" s="251">
        <f>IFERROR(__xludf.DUMMYFUNCTION("""COMPUTED_VALUE"""),5.0)</f>
        <v>5</v>
      </c>
      <c r="E418" s="251">
        <f>IFERROR(__xludf.DUMMYFUNCTION("""COMPUTED_VALUE"""),5.0)</f>
        <v>5</v>
      </c>
      <c r="F418" s="251">
        <f>IFERROR(__xludf.DUMMYFUNCTION("""COMPUTED_VALUE"""),9.0)</f>
        <v>9</v>
      </c>
      <c r="G418" s="251">
        <f>IFERROR(__xludf.DUMMYFUNCTION("""COMPUTED_VALUE"""),4.0)</f>
        <v>4</v>
      </c>
      <c r="H418" s="251">
        <f>IFERROR(__xludf.DUMMYFUNCTION("""COMPUTED_VALUE"""),4.0)</f>
        <v>4</v>
      </c>
      <c r="I418" s="251">
        <f>IFERROR(__xludf.DUMMYFUNCTION("""COMPUTED_VALUE"""),3.0)</f>
        <v>3</v>
      </c>
      <c r="J418" s="251">
        <f>IFERROR(__xludf.DUMMYFUNCTION("""COMPUTED_VALUE"""),1.0)</f>
        <v>1</v>
      </c>
      <c r="K418" s="251" t="str">
        <f>IFERROR(__xludf.DUMMYFUNCTION("""COMPUTED_VALUE"""),"Small")</f>
        <v>Small</v>
      </c>
      <c r="L418" s="251">
        <f>IFERROR(__xludf.DUMMYFUNCTION("""COMPUTED_VALUE"""),1.0)</f>
        <v>1</v>
      </c>
      <c r="M418" s="251" t="str">
        <f>IFERROR(__xludf.DUMMYFUNCTION("""COMPUTED_VALUE"""),"Forest")</f>
        <v>Forest</v>
      </c>
      <c r="N418" s="251" t="str">
        <f>IFERROR(__xludf.DUMMYFUNCTION("""COMPUTED_VALUE"""),"Slow")</f>
        <v>Slow</v>
      </c>
      <c r="O418" s="251" t="str">
        <f>IFERROR(__xludf.DUMMYFUNCTION("""COMPUTED_VALUE"""),"--")</f>
        <v>--</v>
      </c>
      <c r="P418" s="251" t="str">
        <f>IFERROR(__xludf.DUMMYFUNCTION("""COMPUTED_VALUE"""),"--")</f>
        <v>--</v>
      </c>
      <c r="Q418" s="251" t="str">
        <f>IFERROR(__xludf.DUMMYFUNCTION("""COMPUTED_VALUE"""),"--")</f>
        <v>--</v>
      </c>
      <c r="R418" s="251" t="str">
        <f>IFERROR(__xludf.DUMMYFUNCTION("""COMPUTED_VALUE"""),"Underdog")</f>
        <v>Underdog</v>
      </c>
      <c r="S418" s="251" t="str">
        <f>IFERROR(__xludf.DUMMYFUNCTION("""COMPUTED_VALUE"""),"--")</f>
        <v>--</v>
      </c>
      <c r="T418" s="251" t="str">
        <f>IFERROR(__xludf.DUMMYFUNCTION("""COMPUTED_VALUE"""),"--")</f>
        <v>--</v>
      </c>
      <c r="U418" s="251" t="str">
        <f>IFERROR(__xludf.DUMMYFUNCTION("""COMPUTED_VALUE"""),"--")</f>
        <v>--</v>
      </c>
      <c r="V418" s="251" t="str">
        <f>IFERROR(__xludf.DUMMYFUNCTION("""COMPUTED_VALUE"""),"--")</f>
        <v>--</v>
      </c>
      <c r="W418" s="251" t="str">
        <f>IFERROR(__xludf.DUMMYFUNCTION("""COMPUTED_VALUE"""),"--")</f>
        <v>--</v>
      </c>
      <c r="X418" s="251" t="str">
        <f>IFERROR(__xludf.DUMMYFUNCTION("""COMPUTED_VALUE"""),"--")</f>
        <v>--</v>
      </c>
      <c r="Y418" s="251" t="str">
        <f>IFERROR(__xludf.DUMMYFUNCTION("""COMPUTED_VALUE"""),"--")</f>
        <v>--</v>
      </c>
      <c r="Z418" s="251" t="str">
        <f>IFERROR(__xludf.DUMMYFUNCTION("""COMPUTED_VALUE"""),"--")</f>
        <v>--</v>
      </c>
      <c r="AA418" s="251" t="str">
        <f>IFERROR(__xludf.DUMMYFUNCTION("""COMPUTED_VALUE"""),"--")</f>
        <v>--</v>
      </c>
      <c r="AB418" s="251" t="str">
        <f>IFERROR(__xludf.DUMMYFUNCTION("""COMPUTED_VALUE"""),"--")</f>
        <v>--</v>
      </c>
      <c r="AC418" s="251" t="str">
        <f>IFERROR(__xludf.DUMMYFUNCTION("""COMPUTED_VALUE"""),"--")</f>
        <v>--</v>
      </c>
      <c r="AD418" s="251">
        <f>IFERROR(__xludf.DUMMYFUNCTION("""COMPUTED_VALUE"""),1.0)</f>
        <v>1</v>
      </c>
      <c r="AE418" s="251" t="str">
        <f>IFERROR(__xludf.DUMMYFUNCTION("""COMPUTED_VALUE"""),"Herbivore")</f>
        <v>Herbivore</v>
      </c>
    </row>
    <row r="419">
      <c r="A419" s="251" t="str">
        <f>IFERROR(__xludf.DUMMYFUNCTION("""COMPUTED_VALUE"""),"Nuzleaf")</f>
        <v>Nuzleaf</v>
      </c>
      <c r="B419" s="251" t="str">
        <f>IFERROR(__xludf.DUMMYFUNCTION("""COMPUTED_VALUE"""),"Grass")</f>
        <v>Grass</v>
      </c>
      <c r="C419" s="251" t="str">
        <f>IFERROR(__xludf.DUMMYFUNCTION("""COMPUTED_VALUE"""),"Dark")</f>
        <v>Dark</v>
      </c>
      <c r="D419" s="251">
        <f>IFERROR(__xludf.DUMMYFUNCTION("""COMPUTED_VALUE"""),8.0)</f>
        <v>8</v>
      </c>
      <c r="E419" s="251">
        <f>IFERROR(__xludf.DUMMYFUNCTION("""COMPUTED_VALUE"""),9.0)</f>
        <v>9</v>
      </c>
      <c r="F419" s="251">
        <f>IFERROR(__xludf.DUMMYFUNCTION("""COMPUTED_VALUE"""),4.0)</f>
        <v>4</v>
      </c>
      <c r="G419" s="251">
        <f>IFERROR(__xludf.DUMMYFUNCTION("""COMPUTED_VALUE"""),7.0)</f>
        <v>7</v>
      </c>
      <c r="H419" s="251">
        <f>IFERROR(__xludf.DUMMYFUNCTION("""COMPUTED_VALUE"""),4.0)</f>
        <v>4</v>
      </c>
      <c r="I419" s="251">
        <f>IFERROR(__xludf.DUMMYFUNCTION("""COMPUTED_VALUE"""),6.0)</f>
        <v>6</v>
      </c>
      <c r="J419" s="251">
        <f>IFERROR(__xludf.DUMMYFUNCTION("""COMPUTED_VALUE"""),4.0)</f>
        <v>4</v>
      </c>
      <c r="K419" s="251" t="str">
        <f>IFERROR(__xludf.DUMMYFUNCTION("""COMPUTED_VALUE"""),"Medium")</f>
        <v>Medium</v>
      </c>
      <c r="L419" s="251">
        <f>IFERROR(__xludf.DUMMYFUNCTION("""COMPUTED_VALUE"""),2.0)</f>
        <v>2</v>
      </c>
      <c r="M419" s="251" t="str">
        <f>IFERROR(__xludf.DUMMYFUNCTION("""COMPUTED_VALUE"""),"Forest")</f>
        <v>Forest</v>
      </c>
      <c r="N419" s="251" t="str">
        <f>IFERROR(__xludf.DUMMYFUNCTION("""COMPUTED_VALUE"""),"--")</f>
        <v>--</v>
      </c>
      <c r="O419" s="251" t="str">
        <f>IFERROR(__xludf.DUMMYFUNCTION("""COMPUTED_VALUE"""),"--")</f>
        <v>--</v>
      </c>
      <c r="P419" s="251" t="str">
        <f>IFERROR(__xludf.DUMMYFUNCTION("""COMPUTED_VALUE"""),"--")</f>
        <v>--</v>
      </c>
      <c r="Q419" s="251" t="str">
        <f>IFERROR(__xludf.DUMMYFUNCTION("""COMPUTED_VALUE"""),"--")</f>
        <v>--</v>
      </c>
      <c r="R419" s="251" t="str">
        <f>IFERROR(__xludf.DUMMYFUNCTION("""COMPUTED_VALUE"""),"Darkvision")</f>
        <v>Darkvision</v>
      </c>
      <c r="S419" s="251" t="str">
        <f>IFERROR(__xludf.DUMMYFUNCTION("""COMPUTED_VALUE"""),"Underdog")</f>
        <v>Underdog</v>
      </c>
      <c r="T419" s="251" t="str">
        <f>IFERROR(__xludf.DUMMYFUNCTION("""COMPUTED_VALUE"""),"--")</f>
        <v>--</v>
      </c>
      <c r="U419" s="251" t="str">
        <f>IFERROR(__xludf.DUMMYFUNCTION("""COMPUTED_VALUE"""),"--")</f>
        <v>--</v>
      </c>
      <c r="V419" s="251" t="str">
        <f>IFERROR(__xludf.DUMMYFUNCTION("""COMPUTED_VALUE"""),"--")</f>
        <v>--</v>
      </c>
      <c r="W419" s="251" t="str">
        <f>IFERROR(__xludf.DUMMYFUNCTION("""COMPUTED_VALUE"""),"--")</f>
        <v>--</v>
      </c>
      <c r="X419" s="251" t="str">
        <f>IFERROR(__xludf.DUMMYFUNCTION("""COMPUTED_VALUE"""),"--")</f>
        <v>--</v>
      </c>
      <c r="Y419" s="251" t="str">
        <f>IFERROR(__xludf.DUMMYFUNCTION("""COMPUTED_VALUE"""),"--")</f>
        <v>--</v>
      </c>
      <c r="Z419" s="251" t="str">
        <f>IFERROR(__xludf.DUMMYFUNCTION("""COMPUTED_VALUE"""),"--")</f>
        <v>--</v>
      </c>
      <c r="AA419" s="251" t="str">
        <f>IFERROR(__xludf.DUMMYFUNCTION("""COMPUTED_VALUE"""),"--")</f>
        <v>--</v>
      </c>
      <c r="AB419" s="251" t="str">
        <f>IFERROR(__xludf.DUMMYFUNCTION("""COMPUTED_VALUE"""),"--")</f>
        <v>--</v>
      </c>
      <c r="AC419" s="251" t="str">
        <f>IFERROR(__xludf.DUMMYFUNCTION("""COMPUTED_VALUE"""),"--")</f>
        <v>--</v>
      </c>
      <c r="AD419" s="251">
        <f>IFERROR(__xludf.DUMMYFUNCTION("""COMPUTED_VALUE"""),2.0)</f>
        <v>2</v>
      </c>
      <c r="AE419" s="251" t="str">
        <f>IFERROR(__xludf.DUMMYFUNCTION("""COMPUTED_VALUE"""),"Herbivore")</f>
        <v>Herbivore</v>
      </c>
    </row>
    <row r="420">
      <c r="A420" s="251" t="str">
        <f>IFERROR(__xludf.DUMMYFUNCTION("""COMPUTED_VALUE"""),"Shiftry")</f>
        <v>Shiftry</v>
      </c>
      <c r="B420" s="251" t="str">
        <f>IFERROR(__xludf.DUMMYFUNCTION("""COMPUTED_VALUE"""),"Grass")</f>
        <v>Grass</v>
      </c>
      <c r="C420" s="251" t="str">
        <f>IFERROR(__xludf.DUMMYFUNCTION("""COMPUTED_VALUE"""),"Dark")</f>
        <v>Dark</v>
      </c>
      <c r="D420" s="251">
        <f>IFERROR(__xludf.DUMMYFUNCTION("""COMPUTED_VALUE"""),10.0)</f>
        <v>10</v>
      </c>
      <c r="E420" s="251">
        <f>IFERROR(__xludf.DUMMYFUNCTION("""COMPUTED_VALUE"""),11.0)</f>
        <v>11</v>
      </c>
      <c r="F420" s="251">
        <f>IFERROR(__xludf.DUMMYFUNCTION("""COMPUTED_VALUE"""),6.0)</f>
        <v>6</v>
      </c>
      <c r="G420" s="251">
        <f>IFERROR(__xludf.DUMMYFUNCTION("""COMPUTED_VALUE"""),9.0)</f>
        <v>9</v>
      </c>
      <c r="H420" s="251">
        <f>IFERROR(__xludf.DUMMYFUNCTION("""COMPUTED_VALUE"""),6.0)</f>
        <v>6</v>
      </c>
      <c r="I420" s="251">
        <f>IFERROR(__xludf.DUMMYFUNCTION("""COMPUTED_VALUE"""),9.0)</f>
        <v>9</v>
      </c>
      <c r="J420" s="251">
        <f>IFERROR(__xludf.DUMMYFUNCTION("""COMPUTED_VALUE"""),5.0)</f>
        <v>5</v>
      </c>
      <c r="K420" s="251" t="str">
        <f>IFERROR(__xludf.DUMMYFUNCTION("""COMPUTED_VALUE"""),"Medium")</f>
        <v>Medium</v>
      </c>
      <c r="L420" s="251">
        <f>IFERROR(__xludf.DUMMYFUNCTION("""COMPUTED_VALUE"""),4.0)</f>
        <v>4</v>
      </c>
      <c r="M420" s="251" t="str">
        <f>IFERROR(__xludf.DUMMYFUNCTION("""COMPUTED_VALUE"""),"Forest")</f>
        <v>Forest</v>
      </c>
      <c r="N420" s="251" t="str">
        <f>IFERROR(__xludf.DUMMYFUNCTION("""COMPUTED_VALUE"""),"--")</f>
        <v>--</v>
      </c>
      <c r="O420" s="251" t="str">
        <f>IFERROR(__xludf.DUMMYFUNCTION("""COMPUTED_VALUE"""),"--")</f>
        <v>--</v>
      </c>
      <c r="P420" s="251" t="str">
        <f>IFERROR(__xludf.DUMMYFUNCTION("""COMPUTED_VALUE"""),"--")</f>
        <v>--</v>
      </c>
      <c r="Q420" s="251" t="str">
        <f>IFERROR(__xludf.DUMMYFUNCTION("""COMPUTED_VALUE"""),"--")</f>
        <v>--</v>
      </c>
      <c r="R420" s="251" t="str">
        <f>IFERROR(__xludf.DUMMYFUNCTION("""COMPUTED_VALUE"""),"Darkvision")</f>
        <v>Darkvision</v>
      </c>
      <c r="S420" s="251" t="str">
        <f>IFERROR(__xludf.DUMMYFUNCTION("""COMPUTED_VALUE"""),"--")</f>
        <v>--</v>
      </c>
      <c r="T420" s="251" t="str">
        <f>IFERROR(__xludf.DUMMYFUNCTION("""COMPUTED_VALUE"""),"--")</f>
        <v>--</v>
      </c>
      <c r="U420" s="251" t="str">
        <f>IFERROR(__xludf.DUMMYFUNCTION("""COMPUTED_VALUE"""),"--")</f>
        <v>--</v>
      </c>
      <c r="V420" s="251" t="str">
        <f>IFERROR(__xludf.DUMMYFUNCTION("""COMPUTED_VALUE"""),"Mindlock")</f>
        <v>Mindlock</v>
      </c>
      <c r="W420" s="251" t="str">
        <f>IFERROR(__xludf.DUMMYFUNCTION("""COMPUTED_VALUE"""),"Telepath")</f>
        <v>Telepath</v>
      </c>
      <c r="X420" s="251" t="str">
        <f>IFERROR(__xludf.DUMMYFUNCTION("""COMPUTED_VALUE"""),"--")</f>
        <v>--</v>
      </c>
      <c r="Y420" s="251" t="str">
        <f>IFERROR(__xludf.DUMMYFUNCTION("""COMPUTED_VALUE"""),"--")</f>
        <v>--</v>
      </c>
      <c r="Z420" s="251" t="str">
        <f>IFERROR(__xludf.DUMMYFUNCTION("""COMPUTED_VALUE"""),"--")</f>
        <v>--</v>
      </c>
      <c r="AA420" s="251" t="str">
        <f>IFERROR(__xludf.DUMMYFUNCTION("""COMPUTED_VALUE"""),"--")</f>
        <v>--</v>
      </c>
      <c r="AB420" s="251" t="str">
        <f>IFERROR(__xludf.DUMMYFUNCTION("""COMPUTED_VALUE"""),"--")</f>
        <v>--</v>
      </c>
      <c r="AC420" s="251" t="str">
        <f>IFERROR(__xludf.DUMMYFUNCTION("""COMPUTED_VALUE"""),"--")</f>
        <v>--</v>
      </c>
      <c r="AD420" s="251">
        <f>IFERROR(__xludf.DUMMYFUNCTION("""COMPUTED_VALUE"""),3.0)</f>
        <v>3</v>
      </c>
      <c r="AE420" s="251" t="str">
        <f>IFERROR(__xludf.DUMMYFUNCTION("""COMPUTED_VALUE"""),"Herbivore")</f>
        <v>Herbivore</v>
      </c>
    </row>
    <row r="421">
      <c r="A421" s="251" t="str">
        <f>IFERROR(__xludf.DUMMYFUNCTION("""COMPUTED_VALUE"""),"Budew")</f>
        <v>Budew</v>
      </c>
      <c r="B421" s="251" t="str">
        <f>IFERROR(__xludf.DUMMYFUNCTION("""COMPUTED_VALUE"""),"Grass")</f>
        <v>Grass</v>
      </c>
      <c r="C421" s="251" t="str">
        <f>IFERROR(__xludf.DUMMYFUNCTION("""COMPUTED_VALUE"""),"Poison")</f>
        <v>Poison</v>
      </c>
      <c r="D421" s="251">
        <f>IFERROR(__xludf.DUMMYFUNCTION("""COMPUTED_VALUE"""),4.0)</f>
        <v>4</v>
      </c>
      <c r="E421" s="251">
        <f>IFERROR(__xludf.DUMMYFUNCTION("""COMPUTED_VALUE"""),3.0)</f>
        <v>3</v>
      </c>
      <c r="F421" s="251">
        <f>IFERROR(__xludf.DUMMYFUNCTION("""COMPUTED_VALUE"""),4.0)</f>
        <v>4</v>
      </c>
      <c r="G421" s="251">
        <f>IFERROR(__xludf.DUMMYFUNCTION("""COMPUTED_VALUE"""),6.0)</f>
        <v>6</v>
      </c>
      <c r="H421" s="251">
        <f>IFERROR(__xludf.DUMMYFUNCTION("""COMPUTED_VALUE"""),7.0)</f>
        <v>7</v>
      </c>
      <c r="I421" s="251">
        <f>IFERROR(__xludf.DUMMYFUNCTION("""COMPUTED_VALUE"""),6.0)</f>
        <v>6</v>
      </c>
      <c r="J421" s="251">
        <f>IFERROR(__xludf.DUMMYFUNCTION("""COMPUTED_VALUE"""),1.0)</f>
        <v>1</v>
      </c>
      <c r="K421" s="251" t="str">
        <f>IFERROR(__xludf.DUMMYFUNCTION("""COMPUTED_VALUE"""),"Small")</f>
        <v>Small</v>
      </c>
      <c r="L421" s="251">
        <f>IFERROR(__xludf.DUMMYFUNCTION("""COMPUTED_VALUE"""),1.0)</f>
        <v>1</v>
      </c>
      <c r="M421" s="251" t="str">
        <f>IFERROR(__xludf.DUMMYFUNCTION("""COMPUTED_VALUE"""),"Forest, Grasslands")</f>
        <v>Forest, Grasslands</v>
      </c>
      <c r="N421" s="251" t="str">
        <f>IFERROR(__xludf.DUMMYFUNCTION("""COMPUTED_VALUE"""),"--")</f>
        <v>--</v>
      </c>
      <c r="O421" s="251" t="str">
        <f>IFERROR(__xludf.DUMMYFUNCTION("""COMPUTED_VALUE"""),"--")</f>
        <v>--</v>
      </c>
      <c r="P421" s="251" t="str">
        <f>IFERROR(__xludf.DUMMYFUNCTION("""COMPUTED_VALUE"""),"--")</f>
        <v>--</v>
      </c>
      <c r="Q421" s="251" t="str">
        <f>IFERROR(__xludf.DUMMYFUNCTION("""COMPUTED_VALUE"""),"--")</f>
        <v>--</v>
      </c>
      <c r="R421" s="251" t="str">
        <f>IFERROR(__xludf.DUMMYFUNCTION("""COMPUTED_VALUE"""),"Underdog")</f>
        <v>Underdog</v>
      </c>
      <c r="S421" s="251" t="str">
        <f>IFERROR(__xludf.DUMMYFUNCTION("""COMPUTED_VALUE"""),"--")</f>
        <v>--</v>
      </c>
      <c r="T421" s="251" t="str">
        <f>IFERROR(__xludf.DUMMYFUNCTION("""COMPUTED_VALUE"""),"--")</f>
        <v>--</v>
      </c>
      <c r="U421" s="251" t="str">
        <f>IFERROR(__xludf.DUMMYFUNCTION("""COMPUTED_VALUE"""),"--")</f>
        <v>--</v>
      </c>
      <c r="V421" s="251" t="str">
        <f>IFERROR(__xludf.DUMMYFUNCTION("""COMPUTED_VALUE"""),"--")</f>
        <v>--</v>
      </c>
      <c r="W421" s="251" t="str">
        <f>IFERROR(__xludf.DUMMYFUNCTION("""COMPUTED_VALUE"""),"--")</f>
        <v>--</v>
      </c>
      <c r="X421" s="251" t="str">
        <f>IFERROR(__xludf.DUMMYFUNCTION("""COMPUTED_VALUE"""),"--")</f>
        <v>--</v>
      </c>
      <c r="Y421" s="251" t="str">
        <f>IFERROR(__xludf.DUMMYFUNCTION("""COMPUTED_VALUE"""),"--")</f>
        <v>--</v>
      </c>
      <c r="Z421" s="251" t="str">
        <f>IFERROR(__xludf.DUMMYFUNCTION("""COMPUTED_VALUE"""),"--")</f>
        <v>--</v>
      </c>
      <c r="AA421" s="251" t="str">
        <f>IFERROR(__xludf.DUMMYFUNCTION("""COMPUTED_VALUE"""),"--")</f>
        <v>--</v>
      </c>
      <c r="AB421" s="251" t="str">
        <f>IFERROR(__xludf.DUMMYFUNCTION("""COMPUTED_VALUE"""),"--")</f>
        <v>--</v>
      </c>
      <c r="AC421" s="251" t="str">
        <f>IFERROR(__xludf.DUMMYFUNCTION("""COMPUTED_VALUE"""),"--")</f>
        <v>--</v>
      </c>
      <c r="AD421" s="251">
        <f>IFERROR(__xludf.DUMMYFUNCTION("""COMPUTED_VALUE"""),1.0)</f>
        <v>1</v>
      </c>
      <c r="AE421" s="251" t="str">
        <f>IFERROR(__xludf.DUMMYFUNCTION("""COMPUTED_VALUE"""),"Phototroph")</f>
        <v>Phototroph</v>
      </c>
    </row>
    <row r="422">
      <c r="A422" s="251" t="str">
        <f>IFERROR(__xludf.DUMMYFUNCTION("""COMPUTED_VALUE"""),"Roselia")</f>
        <v>Roselia</v>
      </c>
      <c r="B422" s="251" t="str">
        <f>IFERROR(__xludf.DUMMYFUNCTION("""COMPUTED_VALUE"""),"Grass")</f>
        <v>Grass</v>
      </c>
      <c r="C422" s="251" t="str">
        <f>IFERROR(__xludf.DUMMYFUNCTION("""COMPUTED_VALUE"""),"Poison")</f>
        <v>Poison</v>
      </c>
      <c r="D422" s="251">
        <f>IFERROR(__xludf.DUMMYFUNCTION("""COMPUTED_VALUE"""),5.0)</f>
        <v>5</v>
      </c>
      <c r="E422" s="251">
        <f>IFERROR(__xludf.DUMMYFUNCTION("""COMPUTED_VALUE"""),6.0)</f>
        <v>6</v>
      </c>
      <c r="F422" s="251">
        <f>IFERROR(__xludf.DUMMYFUNCTION("""COMPUTED_VALUE"""),5.0)</f>
        <v>5</v>
      </c>
      <c r="G422" s="251">
        <f>IFERROR(__xludf.DUMMYFUNCTION("""COMPUTED_VALUE"""),10.0)</f>
        <v>10</v>
      </c>
      <c r="H422" s="251">
        <f>IFERROR(__xludf.DUMMYFUNCTION("""COMPUTED_VALUE"""),8.0)</f>
        <v>8</v>
      </c>
      <c r="I422" s="251">
        <f>IFERROR(__xludf.DUMMYFUNCTION("""COMPUTED_VALUE"""),7.0)</f>
        <v>7</v>
      </c>
      <c r="J422" s="251">
        <f>IFERROR(__xludf.DUMMYFUNCTION("""COMPUTED_VALUE"""),2.0)</f>
        <v>2</v>
      </c>
      <c r="K422" s="251" t="str">
        <f>IFERROR(__xludf.DUMMYFUNCTION("""COMPUTED_VALUE"""),"Small")</f>
        <v>Small</v>
      </c>
      <c r="L422" s="251">
        <f>IFERROR(__xludf.DUMMYFUNCTION("""COMPUTED_VALUE"""),1.0)</f>
        <v>1</v>
      </c>
      <c r="M422" s="251" t="str">
        <f>IFERROR(__xludf.DUMMYFUNCTION("""COMPUTED_VALUE"""),"Forest, Grasslands")</f>
        <v>Forest, Grasslands</v>
      </c>
      <c r="N422" s="251" t="str">
        <f>IFERROR(__xludf.DUMMYFUNCTION("""COMPUTED_VALUE"""),"--")</f>
        <v>--</v>
      </c>
      <c r="O422" s="251" t="str">
        <f>IFERROR(__xludf.DUMMYFUNCTION("""COMPUTED_VALUE"""),"--")</f>
        <v>--</v>
      </c>
      <c r="P422" s="251" t="str">
        <f>IFERROR(__xludf.DUMMYFUNCTION("""COMPUTED_VALUE"""),"--")</f>
        <v>--</v>
      </c>
      <c r="Q422" s="251" t="str">
        <f>IFERROR(__xludf.DUMMYFUNCTION("""COMPUTED_VALUE"""),"--")</f>
        <v>--</v>
      </c>
      <c r="R422" s="251" t="str">
        <f>IFERROR(__xludf.DUMMYFUNCTION("""COMPUTED_VALUE"""),"Underdog")</f>
        <v>Underdog</v>
      </c>
      <c r="S422" s="251" t="str">
        <f>IFERROR(__xludf.DUMMYFUNCTION("""COMPUTED_VALUE"""),"--")</f>
        <v>--</v>
      </c>
      <c r="T422" s="251" t="str">
        <f>IFERROR(__xludf.DUMMYFUNCTION("""COMPUTED_VALUE"""),"--")</f>
        <v>--</v>
      </c>
      <c r="U422" s="251" t="str">
        <f>IFERROR(__xludf.DUMMYFUNCTION("""COMPUTED_VALUE"""),"--")</f>
        <v>--</v>
      </c>
      <c r="V422" s="251" t="str">
        <f>IFERROR(__xludf.DUMMYFUNCTION("""COMPUTED_VALUE"""),"Alluring")</f>
        <v>Alluring</v>
      </c>
      <c r="W422" s="251" t="str">
        <f>IFERROR(__xludf.DUMMYFUNCTION("""COMPUTED_VALUE"""),"--")</f>
        <v>--</v>
      </c>
      <c r="X422" s="251" t="str">
        <f>IFERROR(__xludf.DUMMYFUNCTION("""COMPUTED_VALUE"""),"--")</f>
        <v>--</v>
      </c>
      <c r="Y422" s="251" t="str">
        <f>IFERROR(__xludf.DUMMYFUNCTION("""COMPUTED_VALUE"""),"--")</f>
        <v>--</v>
      </c>
      <c r="Z422" s="251" t="str">
        <f>IFERROR(__xludf.DUMMYFUNCTION("""COMPUTED_VALUE"""),"--")</f>
        <v>--</v>
      </c>
      <c r="AA422" s="251" t="str">
        <f>IFERROR(__xludf.DUMMYFUNCTION("""COMPUTED_VALUE"""),"--")</f>
        <v>--</v>
      </c>
      <c r="AB422" s="251" t="str">
        <f>IFERROR(__xludf.DUMMYFUNCTION("""COMPUTED_VALUE"""),"--")</f>
        <v>--</v>
      </c>
      <c r="AC422" s="251" t="str">
        <f>IFERROR(__xludf.DUMMYFUNCTION("""COMPUTED_VALUE"""),"--")</f>
        <v>--</v>
      </c>
      <c r="AD422" s="251">
        <f>IFERROR(__xludf.DUMMYFUNCTION("""COMPUTED_VALUE"""),2.0)</f>
        <v>2</v>
      </c>
      <c r="AE422" s="251" t="str">
        <f>IFERROR(__xludf.DUMMYFUNCTION("""COMPUTED_VALUE"""),"Phototroph")</f>
        <v>Phototroph</v>
      </c>
    </row>
    <row r="423">
      <c r="A423" s="251" t="str">
        <f>IFERROR(__xludf.DUMMYFUNCTION("""COMPUTED_VALUE"""),"Roserade")</f>
        <v>Roserade</v>
      </c>
      <c r="B423" s="251" t="str">
        <f>IFERROR(__xludf.DUMMYFUNCTION("""COMPUTED_VALUE"""),"Grass")</f>
        <v>Grass</v>
      </c>
      <c r="C423" s="251" t="str">
        <f>IFERROR(__xludf.DUMMYFUNCTION("""COMPUTED_VALUE"""),"Poison")</f>
        <v>Poison</v>
      </c>
      <c r="D423" s="251">
        <f>IFERROR(__xludf.DUMMYFUNCTION("""COMPUTED_VALUE"""),6.0)</f>
        <v>6</v>
      </c>
      <c r="E423" s="251">
        <f>IFERROR(__xludf.DUMMYFUNCTION("""COMPUTED_VALUE"""),7.0)</f>
        <v>7</v>
      </c>
      <c r="F423" s="251">
        <f>IFERROR(__xludf.DUMMYFUNCTION("""COMPUTED_VALUE"""),7.0)</f>
        <v>7</v>
      </c>
      <c r="G423" s="251">
        <f>IFERROR(__xludf.DUMMYFUNCTION("""COMPUTED_VALUE"""),13.0)</f>
        <v>13</v>
      </c>
      <c r="H423" s="251">
        <f>IFERROR(__xludf.DUMMYFUNCTION("""COMPUTED_VALUE"""),11.0)</f>
        <v>11</v>
      </c>
      <c r="I423" s="251">
        <f>IFERROR(__xludf.DUMMYFUNCTION("""COMPUTED_VALUE"""),9.0)</f>
        <v>9</v>
      </c>
      <c r="J423" s="251">
        <f>IFERROR(__xludf.DUMMYFUNCTION("""COMPUTED_VALUE"""),4.0)</f>
        <v>4</v>
      </c>
      <c r="K423" s="251" t="str">
        <f>IFERROR(__xludf.DUMMYFUNCTION("""COMPUTED_VALUE"""),"Small")</f>
        <v>Small</v>
      </c>
      <c r="L423" s="251">
        <f>IFERROR(__xludf.DUMMYFUNCTION("""COMPUTED_VALUE"""),1.0)</f>
        <v>1</v>
      </c>
      <c r="M423" s="251" t="str">
        <f>IFERROR(__xludf.DUMMYFUNCTION("""COMPUTED_VALUE"""),"Forest, Grasslands")</f>
        <v>Forest, Grasslands</v>
      </c>
      <c r="N423" s="251" t="str">
        <f>IFERROR(__xludf.DUMMYFUNCTION("""COMPUTED_VALUE"""),"--")</f>
        <v>--</v>
      </c>
      <c r="O423" s="251" t="str">
        <f>IFERROR(__xludf.DUMMYFUNCTION("""COMPUTED_VALUE"""),"--")</f>
        <v>--</v>
      </c>
      <c r="P423" s="251" t="str">
        <f>IFERROR(__xludf.DUMMYFUNCTION("""COMPUTED_VALUE"""),"--")</f>
        <v>--</v>
      </c>
      <c r="Q423" s="251" t="str">
        <f>IFERROR(__xludf.DUMMYFUNCTION("""COMPUTED_VALUE"""),"--")</f>
        <v>--</v>
      </c>
      <c r="R423" s="251" t="str">
        <f>IFERROR(__xludf.DUMMYFUNCTION("""COMPUTED_VALUE"""),"--")</f>
        <v>--</v>
      </c>
      <c r="S423" s="251" t="str">
        <f>IFERROR(__xludf.DUMMYFUNCTION("""COMPUTED_VALUE"""),"--")</f>
        <v>--</v>
      </c>
      <c r="T423" s="251" t="str">
        <f>IFERROR(__xludf.DUMMYFUNCTION("""COMPUTED_VALUE"""),"--")</f>
        <v>--</v>
      </c>
      <c r="U423" s="251" t="str">
        <f>IFERROR(__xludf.DUMMYFUNCTION("""COMPUTED_VALUE"""),"--")</f>
        <v>--</v>
      </c>
      <c r="V423" s="251" t="str">
        <f>IFERROR(__xludf.DUMMYFUNCTION("""COMPUTED_VALUE"""),"Alluring")</f>
        <v>Alluring</v>
      </c>
      <c r="W423" s="251" t="str">
        <f>IFERROR(__xludf.DUMMYFUNCTION("""COMPUTED_VALUE"""),"--")</f>
        <v>--</v>
      </c>
      <c r="X423" s="251" t="str">
        <f>IFERROR(__xludf.DUMMYFUNCTION("""COMPUTED_VALUE"""),"--")</f>
        <v>--</v>
      </c>
      <c r="Y423" s="251" t="str">
        <f>IFERROR(__xludf.DUMMYFUNCTION("""COMPUTED_VALUE"""),"--")</f>
        <v>--</v>
      </c>
      <c r="Z423" s="251" t="str">
        <f>IFERROR(__xludf.DUMMYFUNCTION("""COMPUTED_VALUE"""),"--")</f>
        <v>--</v>
      </c>
      <c r="AA423" s="251" t="str">
        <f>IFERROR(__xludf.DUMMYFUNCTION("""COMPUTED_VALUE"""),"--")</f>
        <v>--</v>
      </c>
      <c r="AB423" s="251" t="str">
        <f>IFERROR(__xludf.DUMMYFUNCTION("""COMPUTED_VALUE"""),"--")</f>
        <v>--</v>
      </c>
      <c r="AC423" s="251" t="str">
        <f>IFERROR(__xludf.DUMMYFUNCTION("""COMPUTED_VALUE"""),"--")</f>
        <v>--</v>
      </c>
      <c r="AD423" s="251">
        <f>IFERROR(__xludf.DUMMYFUNCTION("""COMPUTED_VALUE"""),3.0)</f>
        <v>3</v>
      </c>
      <c r="AE423" s="251" t="str">
        <f>IFERROR(__xludf.DUMMYFUNCTION("""COMPUTED_VALUE"""),"Phototroph")</f>
        <v>Phototroph</v>
      </c>
    </row>
    <row r="424">
      <c r="A424" s="251" t="str">
        <f>IFERROR(__xludf.DUMMYFUNCTION("""COMPUTED_VALUE"""),"Bounsweet")</f>
        <v>Bounsweet</v>
      </c>
      <c r="B424" s="251" t="str">
        <f>IFERROR(__xludf.DUMMYFUNCTION("""COMPUTED_VALUE"""),"Grass")</f>
        <v>Grass</v>
      </c>
      <c r="C424" s="251" t="str">
        <f>IFERROR(__xludf.DUMMYFUNCTION("""COMPUTED_VALUE"""),"None")</f>
        <v>None</v>
      </c>
      <c r="D424" s="251">
        <f>IFERROR(__xludf.DUMMYFUNCTION("""COMPUTED_VALUE"""),5.0)</f>
        <v>5</v>
      </c>
      <c r="E424" s="251">
        <f>IFERROR(__xludf.DUMMYFUNCTION("""COMPUTED_VALUE"""),5.0)</f>
        <v>5</v>
      </c>
      <c r="F424" s="251">
        <f>IFERROR(__xludf.DUMMYFUNCTION("""COMPUTED_VALUE"""),6.0)</f>
        <v>6</v>
      </c>
      <c r="G424" s="251">
        <f>IFERROR(__xludf.DUMMYFUNCTION("""COMPUTED_VALUE"""),4.0)</f>
        <v>4</v>
      </c>
      <c r="H424" s="251">
        <f>IFERROR(__xludf.DUMMYFUNCTION("""COMPUTED_VALUE"""),6.0)</f>
        <v>6</v>
      </c>
      <c r="I424" s="251">
        <f>IFERROR(__xludf.DUMMYFUNCTION("""COMPUTED_VALUE"""),4.0)</f>
        <v>4</v>
      </c>
      <c r="J424" s="251">
        <f>IFERROR(__xludf.DUMMYFUNCTION("""COMPUTED_VALUE"""),1.0)</f>
        <v>1</v>
      </c>
      <c r="K424" s="251" t="str">
        <f>IFERROR(__xludf.DUMMYFUNCTION("""COMPUTED_VALUE"""),"Small")</f>
        <v>Small</v>
      </c>
      <c r="L424" s="251">
        <f>IFERROR(__xludf.DUMMYFUNCTION("""COMPUTED_VALUE"""),1.0)</f>
        <v>1</v>
      </c>
      <c r="M424" s="251" t="str">
        <f>IFERROR(__xludf.DUMMYFUNCTION("""COMPUTED_VALUE"""),"Forest")</f>
        <v>Forest</v>
      </c>
      <c r="N424" s="251" t="str">
        <f>IFERROR(__xludf.DUMMYFUNCTION("""COMPUTED_VALUE"""),"Slow")</f>
        <v>Slow</v>
      </c>
      <c r="O424" s="251" t="str">
        <f>IFERROR(__xludf.DUMMYFUNCTION("""COMPUTED_VALUE"""),"--")</f>
        <v>--</v>
      </c>
      <c r="P424" s="251" t="str">
        <f>IFERROR(__xludf.DUMMYFUNCTION("""COMPUTED_VALUE"""),"--")</f>
        <v>--</v>
      </c>
      <c r="Q424" s="251" t="str">
        <f>IFERROR(__xludf.DUMMYFUNCTION("""COMPUTED_VALUE"""),"--")</f>
        <v>--</v>
      </c>
      <c r="R424" s="251" t="str">
        <f>IFERROR(__xludf.DUMMYFUNCTION("""COMPUTED_VALUE"""),"Underdog")</f>
        <v>Underdog</v>
      </c>
      <c r="S424" s="251" t="str">
        <f>IFERROR(__xludf.DUMMYFUNCTION("""COMPUTED_VALUE"""),"--")</f>
        <v>--</v>
      </c>
      <c r="T424" s="251" t="str">
        <f>IFERROR(__xludf.DUMMYFUNCTION("""COMPUTED_VALUE"""),"--")</f>
        <v>--</v>
      </c>
      <c r="U424" s="251" t="str">
        <f>IFERROR(__xludf.DUMMYFUNCTION("""COMPUTED_VALUE"""),"--")</f>
        <v>--</v>
      </c>
      <c r="V424" s="251" t="str">
        <f>IFERROR(__xludf.DUMMYFUNCTION("""COMPUTED_VALUE"""),"Alluring")</f>
        <v>Alluring</v>
      </c>
      <c r="W424" s="251" t="str">
        <f>IFERROR(__xludf.DUMMYFUNCTION("""COMPUTED_VALUE"""),"--")</f>
        <v>--</v>
      </c>
      <c r="X424" s="251" t="str">
        <f>IFERROR(__xludf.DUMMYFUNCTION("""COMPUTED_VALUE"""),"--")</f>
        <v>--</v>
      </c>
      <c r="Y424" s="251" t="str">
        <f>IFERROR(__xludf.DUMMYFUNCTION("""COMPUTED_VALUE"""),"--")</f>
        <v>--</v>
      </c>
      <c r="Z424" s="251" t="str">
        <f>IFERROR(__xludf.DUMMYFUNCTION("""COMPUTED_VALUE"""),"--")</f>
        <v>--</v>
      </c>
      <c r="AA424" s="251" t="str">
        <f>IFERROR(__xludf.DUMMYFUNCTION("""COMPUTED_VALUE"""),"--")</f>
        <v>--</v>
      </c>
      <c r="AB424" s="251" t="str">
        <f>IFERROR(__xludf.DUMMYFUNCTION("""COMPUTED_VALUE"""),"--")</f>
        <v>--</v>
      </c>
      <c r="AC424" s="251" t="str">
        <f>IFERROR(__xludf.DUMMYFUNCTION("""COMPUTED_VALUE"""),"--")</f>
        <v>--</v>
      </c>
      <c r="AD424" s="251">
        <f>IFERROR(__xludf.DUMMYFUNCTION("""COMPUTED_VALUE"""),1.0)</f>
        <v>1</v>
      </c>
      <c r="AE424" s="251" t="str">
        <f>IFERROR(__xludf.DUMMYFUNCTION("""COMPUTED_VALUE"""),"Phototroph")</f>
        <v>Phototroph</v>
      </c>
    </row>
    <row r="425">
      <c r="A425" s="251" t="str">
        <f>IFERROR(__xludf.DUMMYFUNCTION("""COMPUTED_VALUE"""),"Steenee")</f>
        <v>Steenee</v>
      </c>
      <c r="B425" s="251" t="str">
        <f>IFERROR(__xludf.DUMMYFUNCTION("""COMPUTED_VALUE"""),"Grass")</f>
        <v>Grass</v>
      </c>
      <c r="C425" s="251" t="str">
        <f>IFERROR(__xludf.DUMMYFUNCTION("""COMPUTED_VALUE"""),"None")</f>
        <v>None</v>
      </c>
      <c r="D425" s="251">
        <f>IFERROR(__xludf.DUMMYFUNCTION("""COMPUTED_VALUE"""),7.0)</f>
        <v>7</v>
      </c>
      <c r="E425" s="251">
        <f>IFERROR(__xludf.DUMMYFUNCTION("""COMPUTED_VALUE"""),7.0)</f>
        <v>7</v>
      </c>
      <c r="F425" s="251">
        <f>IFERROR(__xludf.DUMMYFUNCTION("""COMPUTED_VALUE"""),7.0)</f>
        <v>7</v>
      </c>
      <c r="G425" s="251">
        <f>IFERROR(__xludf.DUMMYFUNCTION("""COMPUTED_VALUE"""),5.0)</f>
        <v>5</v>
      </c>
      <c r="H425" s="251">
        <f>IFERROR(__xludf.DUMMYFUNCTION("""COMPUTED_VALUE"""),7.0)</f>
        <v>7</v>
      </c>
      <c r="I425" s="251">
        <f>IFERROR(__xludf.DUMMYFUNCTION("""COMPUTED_VALUE"""),7.0)</f>
        <v>7</v>
      </c>
      <c r="J425" s="251">
        <f>IFERROR(__xludf.DUMMYFUNCTION("""COMPUTED_VALUE"""),3.0)</f>
        <v>3</v>
      </c>
      <c r="K425" s="251" t="str">
        <f>IFERROR(__xludf.DUMMYFUNCTION("""COMPUTED_VALUE"""),"Small")</f>
        <v>Small</v>
      </c>
      <c r="L425" s="251">
        <f>IFERROR(__xludf.DUMMYFUNCTION("""COMPUTED_VALUE"""),1.0)</f>
        <v>1</v>
      </c>
      <c r="M425" s="251" t="str">
        <f>IFERROR(__xludf.DUMMYFUNCTION("""COMPUTED_VALUE"""),"Forest")</f>
        <v>Forest</v>
      </c>
      <c r="N425" s="251" t="str">
        <f>IFERROR(__xludf.DUMMYFUNCTION("""COMPUTED_VALUE"""),"--")</f>
        <v>--</v>
      </c>
      <c r="O425" s="251" t="str">
        <f>IFERROR(__xludf.DUMMYFUNCTION("""COMPUTED_VALUE"""),"--")</f>
        <v>--</v>
      </c>
      <c r="P425" s="251" t="str">
        <f>IFERROR(__xludf.DUMMYFUNCTION("""COMPUTED_VALUE"""),"--")</f>
        <v>--</v>
      </c>
      <c r="Q425" s="251" t="str">
        <f>IFERROR(__xludf.DUMMYFUNCTION("""COMPUTED_VALUE"""),"--")</f>
        <v>--</v>
      </c>
      <c r="R425" s="251" t="str">
        <f>IFERROR(__xludf.DUMMYFUNCTION("""COMPUTED_VALUE"""),"Underdog")</f>
        <v>Underdog</v>
      </c>
      <c r="S425" s="251" t="str">
        <f>IFERROR(__xludf.DUMMYFUNCTION("""COMPUTED_VALUE"""),"--")</f>
        <v>--</v>
      </c>
      <c r="T425" s="251" t="str">
        <f>IFERROR(__xludf.DUMMYFUNCTION("""COMPUTED_VALUE"""),"--")</f>
        <v>--</v>
      </c>
      <c r="U425" s="251" t="str">
        <f>IFERROR(__xludf.DUMMYFUNCTION("""COMPUTED_VALUE"""),"--")</f>
        <v>--</v>
      </c>
      <c r="V425" s="251" t="str">
        <f>IFERROR(__xludf.DUMMYFUNCTION("""COMPUTED_VALUE"""),"Alluring")</f>
        <v>Alluring</v>
      </c>
      <c r="W425" s="251" t="str">
        <f>IFERROR(__xludf.DUMMYFUNCTION("""COMPUTED_VALUE"""),"--")</f>
        <v>--</v>
      </c>
      <c r="X425" s="251" t="str">
        <f>IFERROR(__xludf.DUMMYFUNCTION("""COMPUTED_VALUE"""),"--")</f>
        <v>--</v>
      </c>
      <c r="Y425" s="251" t="str">
        <f>IFERROR(__xludf.DUMMYFUNCTION("""COMPUTED_VALUE"""),"--")</f>
        <v>--</v>
      </c>
      <c r="Z425" s="251" t="str">
        <f>IFERROR(__xludf.DUMMYFUNCTION("""COMPUTED_VALUE"""),"--")</f>
        <v>--</v>
      </c>
      <c r="AA425" s="251" t="str">
        <f>IFERROR(__xludf.DUMMYFUNCTION("""COMPUTED_VALUE"""),"--")</f>
        <v>--</v>
      </c>
      <c r="AB425" s="251" t="str">
        <f>IFERROR(__xludf.DUMMYFUNCTION("""COMPUTED_VALUE"""),"--")</f>
        <v>--</v>
      </c>
      <c r="AC425" s="251" t="str">
        <f>IFERROR(__xludf.DUMMYFUNCTION("""COMPUTED_VALUE"""),"--")</f>
        <v>--</v>
      </c>
      <c r="AD425" s="251">
        <f>IFERROR(__xludf.DUMMYFUNCTION("""COMPUTED_VALUE"""),2.0)</f>
        <v>2</v>
      </c>
      <c r="AE425" s="251" t="str">
        <f>IFERROR(__xludf.DUMMYFUNCTION("""COMPUTED_VALUE"""),"Phototroph")</f>
        <v>Phototroph</v>
      </c>
    </row>
    <row r="426">
      <c r="A426" s="251" t="str">
        <f>IFERROR(__xludf.DUMMYFUNCTION("""COMPUTED_VALUE"""),"Tsareena")</f>
        <v>Tsareena</v>
      </c>
      <c r="B426" s="251" t="str">
        <f>IFERROR(__xludf.DUMMYFUNCTION("""COMPUTED_VALUE"""),"Grass")</f>
        <v>Grass</v>
      </c>
      <c r="C426" s="251" t="str">
        <f>IFERROR(__xludf.DUMMYFUNCTION("""COMPUTED_VALUE"""),"None")</f>
        <v>None</v>
      </c>
      <c r="D426" s="251">
        <f>IFERROR(__xludf.DUMMYFUNCTION("""COMPUTED_VALUE"""),7.0)</f>
        <v>7</v>
      </c>
      <c r="E426" s="251">
        <f>IFERROR(__xludf.DUMMYFUNCTION("""COMPUTED_VALUE"""),12.0)</f>
        <v>12</v>
      </c>
      <c r="F426" s="251">
        <f>IFERROR(__xludf.DUMMYFUNCTION("""COMPUTED_VALUE"""),10.0)</f>
        <v>10</v>
      </c>
      <c r="G426" s="251">
        <f>IFERROR(__xludf.DUMMYFUNCTION("""COMPUTED_VALUE"""),5.0)</f>
        <v>5</v>
      </c>
      <c r="H426" s="251">
        <f>IFERROR(__xludf.DUMMYFUNCTION("""COMPUTED_VALUE"""),10.0)</f>
        <v>10</v>
      </c>
      <c r="I426" s="251">
        <f>IFERROR(__xludf.DUMMYFUNCTION("""COMPUTED_VALUE"""),7.0)</f>
        <v>7</v>
      </c>
      <c r="J426" s="251">
        <f>IFERROR(__xludf.DUMMYFUNCTION("""COMPUTED_VALUE"""),5.0)</f>
        <v>5</v>
      </c>
      <c r="K426" s="251" t="str">
        <f>IFERROR(__xludf.DUMMYFUNCTION("""COMPUTED_VALUE"""),"Medium")</f>
        <v>Medium</v>
      </c>
      <c r="L426" s="251">
        <f>IFERROR(__xludf.DUMMYFUNCTION("""COMPUTED_VALUE"""),2.0)</f>
        <v>2</v>
      </c>
      <c r="M426" s="251" t="str">
        <f>IFERROR(__xludf.DUMMYFUNCTION("""COMPUTED_VALUE"""),"Forest")</f>
        <v>Forest</v>
      </c>
      <c r="N426" s="251" t="str">
        <f>IFERROR(__xludf.DUMMYFUNCTION("""COMPUTED_VALUE"""),"--")</f>
        <v>--</v>
      </c>
      <c r="O426" s="251" t="str">
        <f>IFERROR(__xludf.DUMMYFUNCTION("""COMPUTED_VALUE"""),"--")</f>
        <v>--</v>
      </c>
      <c r="P426" s="251" t="str">
        <f>IFERROR(__xludf.DUMMYFUNCTION("""COMPUTED_VALUE"""),"--")</f>
        <v>--</v>
      </c>
      <c r="Q426" s="251" t="str">
        <f>IFERROR(__xludf.DUMMYFUNCTION("""COMPUTED_VALUE"""),"--")</f>
        <v>--</v>
      </c>
      <c r="R426" s="251" t="str">
        <f>IFERROR(__xludf.DUMMYFUNCTION("""COMPUTED_VALUE"""),"--")</f>
        <v>--</v>
      </c>
      <c r="S426" s="251" t="str">
        <f>IFERROR(__xludf.DUMMYFUNCTION("""COMPUTED_VALUE"""),"--")</f>
        <v>--</v>
      </c>
      <c r="T426" s="251" t="str">
        <f>IFERROR(__xludf.DUMMYFUNCTION("""COMPUTED_VALUE"""),"--")</f>
        <v>--</v>
      </c>
      <c r="U426" s="251" t="str">
        <f>IFERROR(__xludf.DUMMYFUNCTION("""COMPUTED_VALUE"""),"--")</f>
        <v>--</v>
      </c>
      <c r="V426" s="251" t="str">
        <f>IFERROR(__xludf.DUMMYFUNCTION("""COMPUTED_VALUE"""),"Alluring")</f>
        <v>Alluring</v>
      </c>
      <c r="W426" s="251" t="str">
        <f>IFERROR(__xludf.DUMMYFUNCTION("""COMPUTED_VALUE"""),"--")</f>
        <v>--</v>
      </c>
      <c r="X426" s="251" t="str">
        <f>IFERROR(__xludf.DUMMYFUNCTION("""COMPUTED_VALUE"""),"--")</f>
        <v>--</v>
      </c>
      <c r="Y426" s="251" t="str">
        <f>IFERROR(__xludf.DUMMYFUNCTION("""COMPUTED_VALUE"""),"--")</f>
        <v>--</v>
      </c>
      <c r="Z426" s="251" t="str">
        <f>IFERROR(__xludf.DUMMYFUNCTION("""COMPUTED_VALUE"""),"--")</f>
        <v>--</v>
      </c>
      <c r="AA426" s="251" t="str">
        <f>IFERROR(__xludf.DUMMYFUNCTION("""COMPUTED_VALUE"""),"--")</f>
        <v>--</v>
      </c>
      <c r="AB426" s="251" t="str">
        <f>IFERROR(__xludf.DUMMYFUNCTION("""COMPUTED_VALUE"""),"--")</f>
        <v>--</v>
      </c>
      <c r="AC426" s="251" t="str">
        <f>IFERROR(__xludf.DUMMYFUNCTION("""COMPUTED_VALUE"""),"--")</f>
        <v>--</v>
      </c>
      <c r="AD426" s="251">
        <f>IFERROR(__xludf.DUMMYFUNCTION("""COMPUTED_VALUE"""),3.0)</f>
        <v>3</v>
      </c>
      <c r="AE426" s="251" t="str">
        <f>IFERROR(__xludf.DUMMYFUNCTION("""COMPUTED_VALUE"""),"Phototroph")</f>
        <v>Phototroph</v>
      </c>
    </row>
    <row r="427">
      <c r="A427" s="251" t="str">
        <f>IFERROR(__xludf.DUMMYFUNCTION("""COMPUTED_VALUE"""),"Smoliv")</f>
        <v>Smoliv</v>
      </c>
      <c r="B427" s="251" t="str">
        <f>IFERROR(__xludf.DUMMYFUNCTION("""COMPUTED_VALUE"""),"Grass")</f>
        <v>Grass</v>
      </c>
      <c r="C427" s="251" t="str">
        <f>IFERROR(__xludf.DUMMYFUNCTION("""COMPUTED_VALUE"""),"Normal")</f>
        <v>Normal</v>
      </c>
      <c r="D427" s="251">
        <f>IFERROR(__xludf.DUMMYFUNCTION("""COMPUTED_VALUE"""),5.0)</f>
        <v>5</v>
      </c>
      <c r="E427" s="251">
        <f>IFERROR(__xludf.DUMMYFUNCTION("""COMPUTED_VALUE"""),4.0)</f>
        <v>4</v>
      </c>
      <c r="F427" s="251">
        <f>IFERROR(__xludf.DUMMYFUNCTION("""COMPUTED_VALUE"""),6.0)</f>
        <v>6</v>
      </c>
      <c r="G427" s="251">
        <f>IFERROR(__xludf.DUMMYFUNCTION("""COMPUTED_VALUE"""),6.0)</f>
        <v>6</v>
      </c>
      <c r="H427" s="251">
        <f>IFERROR(__xludf.DUMMYFUNCTION("""COMPUTED_VALUE"""),6.0)</f>
        <v>6</v>
      </c>
      <c r="I427" s="251">
        <f>IFERROR(__xludf.DUMMYFUNCTION("""COMPUTED_VALUE"""),3.0)</f>
        <v>3</v>
      </c>
      <c r="J427" s="251">
        <f>IFERROR(__xludf.DUMMYFUNCTION("""COMPUTED_VALUE"""),1.0)</f>
        <v>1</v>
      </c>
      <c r="K427" s="251" t="str">
        <f>IFERROR(__xludf.DUMMYFUNCTION("""COMPUTED_VALUE"""),"Small")</f>
        <v>Small</v>
      </c>
      <c r="L427" s="251">
        <f>IFERROR(__xludf.DUMMYFUNCTION("""COMPUTED_VALUE"""),1.0)</f>
        <v>1</v>
      </c>
      <c r="M427" s="251" t="str">
        <f>IFERROR(__xludf.DUMMYFUNCTION("""COMPUTED_VALUE"""),"Grasslands")</f>
        <v>Grasslands</v>
      </c>
      <c r="N427" s="251" t="str">
        <f>IFERROR(__xludf.DUMMYFUNCTION("""COMPUTED_VALUE"""),"Slow")</f>
        <v>Slow</v>
      </c>
      <c r="O427" s="251" t="str">
        <f>IFERROR(__xludf.DUMMYFUNCTION("""COMPUTED_VALUE"""),"--")</f>
        <v>--</v>
      </c>
      <c r="P427" s="251" t="str">
        <f>IFERROR(__xludf.DUMMYFUNCTION("""COMPUTED_VALUE"""),"--")</f>
        <v>--</v>
      </c>
      <c r="Q427" s="251" t="str">
        <f>IFERROR(__xludf.DUMMYFUNCTION("""COMPUTED_VALUE"""),"--")</f>
        <v>--</v>
      </c>
      <c r="R427" s="251" t="str">
        <f>IFERROR(__xludf.DUMMYFUNCTION("""COMPUTED_VALUE"""),"Underdog")</f>
        <v>Underdog</v>
      </c>
      <c r="S427" s="251" t="str">
        <f>IFERROR(__xludf.DUMMYFUNCTION("""COMPUTED_VALUE"""),"--")</f>
        <v>--</v>
      </c>
      <c r="T427" s="251" t="str">
        <f>IFERROR(__xludf.DUMMYFUNCTION("""COMPUTED_VALUE"""),"--")</f>
        <v>--</v>
      </c>
      <c r="U427" s="251" t="str">
        <f>IFERROR(__xludf.DUMMYFUNCTION("""COMPUTED_VALUE"""),"--")</f>
        <v>--</v>
      </c>
      <c r="V427" s="251" t="str">
        <f>IFERROR(__xludf.DUMMYFUNCTION("""COMPUTED_VALUE"""),"Repulsive")</f>
        <v>Repulsive</v>
      </c>
      <c r="W427" s="251" t="str">
        <f>IFERROR(__xludf.DUMMYFUNCTION("""COMPUTED_VALUE"""),"--")</f>
        <v>--</v>
      </c>
      <c r="X427" s="251" t="str">
        <f>IFERROR(__xludf.DUMMYFUNCTION("""COMPUTED_VALUE"""),"--")</f>
        <v>--</v>
      </c>
      <c r="Y427" s="251" t="str">
        <f>IFERROR(__xludf.DUMMYFUNCTION("""COMPUTED_VALUE"""),"--")</f>
        <v>--</v>
      </c>
      <c r="Z427" s="251" t="str">
        <f>IFERROR(__xludf.DUMMYFUNCTION("""COMPUTED_VALUE"""),"--")</f>
        <v>--</v>
      </c>
      <c r="AA427" s="251" t="str">
        <f>IFERROR(__xludf.DUMMYFUNCTION("""COMPUTED_VALUE"""),"--")</f>
        <v>--</v>
      </c>
      <c r="AB427" s="251" t="str">
        <f>IFERROR(__xludf.DUMMYFUNCTION("""COMPUTED_VALUE"""),"--")</f>
        <v>--</v>
      </c>
      <c r="AC427" s="251" t="str">
        <f>IFERROR(__xludf.DUMMYFUNCTION("""COMPUTED_VALUE"""),"--")</f>
        <v>--</v>
      </c>
      <c r="AD427" s="251">
        <f>IFERROR(__xludf.DUMMYFUNCTION("""COMPUTED_VALUE"""),1.0)</f>
        <v>1</v>
      </c>
      <c r="AE427" s="251" t="str">
        <f>IFERROR(__xludf.DUMMYFUNCTION("""COMPUTED_VALUE"""),"Phototroph")</f>
        <v>Phototroph</v>
      </c>
    </row>
    <row r="428">
      <c r="A428" s="251" t="str">
        <f>IFERROR(__xludf.DUMMYFUNCTION("""COMPUTED_VALUE"""),"Dolliv")</f>
        <v>Dolliv</v>
      </c>
      <c r="B428" s="251" t="str">
        <f>IFERROR(__xludf.DUMMYFUNCTION("""COMPUTED_VALUE"""),"Grass")</f>
        <v>Grass</v>
      </c>
      <c r="C428" s="251" t="str">
        <f>IFERROR(__xludf.DUMMYFUNCTION("""COMPUTED_VALUE"""),"Normal")</f>
        <v>Normal</v>
      </c>
      <c r="D428" s="251">
        <f>IFERROR(__xludf.DUMMYFUNCTION("""COMPUTED_VALUE"""),5.0)</f>
        <v>5</v>
      </c>
      <c r="E428" s="251">
        <f>IFERROR(__xludf.DUMMYFUNCTION("""COMPUTED_VALUE"""),5.0)</f>
        <v>5</v>
      </c>
      <c r="F428" s="251">
        <f>IFERROR(__xludf.DUMMYFUNCTION("""COMPUTED_VALUE"""),6.0)</f>
        <v>6</v>
      </c>
      <c r="G428" s="251">
        <f>IFERROR(__xludf.DUMMYFUNCTION("""COMPUTED_VALUE"""),10.0)</f>
        <v>10</v>
      </c>
      <c r="H428" s="251">
        <f>IFERROR(__xludf.DUMMYFUNCTION("""COMPUTED_VALUE"""),9.0)</f>
        <v>9</v>
      </c>
      <c r="I428" s="251">
        <f>IFERROR(__xludf.DUMMYFUNCTION("""COMPUTED_VALUE"""),3.0)</f>
        <v>3</v>
      </c>
      <c r="J428" s="251">
        <f>IFERROR(__xludf.DUMMYFUNCTION("""COMPUTED_VALUE"""),2.0)</f>
        <v>2</v>
      </c>
      <c r="K428" s="251" t="str">
        <f>IFERROR(__xludf.DUMMYFUNCTION("""COMPUTED_VALUE"""),"Small")</f>
        <v>Small</v>
      </c>
      <c r="L428" s="251">
        <f>IFERROR(__xludf.DUMMYFUNCTION("""COMPUTED_VALUE"""),2.0)</f>
        <v>2</v>
      </c>
      <c r="M428" s="251" t="str">
        <f>IFERROR(__xludf.DUMMYFUNCTION("""COMPUTED_VALUE"""),"Grasslands")</f>
        <v>Grasslands</v>
      </c>
      <c r="N428" s="251" t="str">
        <f>IFERROR(__xludf.DUMMYFUNCTION("""COMPUTED_VALUE"""),"--")</f>
        <v>--</v>
      </c>
      <c r="O428" s="251" t="str">
        <f>IFERROR(__xludf.DUMMYFUNCTION("""COMPUTED_VALUE"""),"--")</f>
        <v>--</v>
      </c>
      <c r="P428" s="251" t="str">
        <f>IFERROR(__xludf.DUMMYFUNCTION("""COMPUTED_VALUE"""),"--")</f>
        <v>--</v>
      </c>
      <c r="Q428" s="251" t="str">
        <f>IFERROR(__xludf.DUMMYFUNCTION("""COMPUTED_VALUE"""),"--")</f>
        <v>--</v>
      </c>
      <c r="R428" s="251" t="str">
        <f>IFERROR(__xludf.DUMMYFUNCTION("""COMPUTED_VALUE"""),"Underdog")</f>
        <v>Underdog</v>
      </c>
      <c r="S428" s="251" t="str">
        <f>IFERROR(__xludf.DUMMYFUNCTION("""COMPUTED_VALUE"""),"--")</f>
        <v>--</v>
      </c>
      <c r="T428" s="251" t="str">
        <f>IFERROR(__xludf.DUMMYFUNCTION("""COMPUTED_VALUE"""),"--")</f>
        <v>--</v>
      </c>
      <c r="U428" s="251" t="str">
        <f>IFERROR(__xludf.DUMMYFUNCTION("""COMPUTED_VALUE"""),"--")</f>
        <v>--</v>
      </c>
      <c r="V428" s="251" t="str">
        <f>IFERROR(__xludf.DUMMYFUNCTION("""COMPUTED_VALUE"""),"Alluring")</f>
        <v>Alluring</v>
      </c>
      <c r="W428" s="251" t="str">
        <f>IFERROR(__xludf.DUMMYFUNCTION("""COMPUTED_VALUE"""),"--")</f>
        <v>--</v>
      </c>
      <c r="X428" s="251" t="str">
        <f>IFERROR(__xludf.DUMMYFUNCTION("""COMPUTED_VALUE"""),"--")</f>
        <v>--</v>
      </c>
      <c r="Y428" s="251" t="str">
        <f>IFERROR(__xludf.DUMMYFUNCTION("""COMPUTED_VALUE"""),"--")</f>
        <v>--</v>
      </c>
      <c r="Z428" s="251" t="str">
        <f>IFERROR(__xludf.DUMMYFUNCTION("""COMPUTED_VALUE"""),"--")</f>
        <v>--</v>
      </c>
      <c r="AA428" s="251" t="str">
        <f>IFERROR(__xludf.DUMMYFUNCTION("""COMPUTED_VALUE"""),"--")</f>
        <v>--</v>
      </c>
      <c r="AB428" s="251" t="str">
        <f>IFERROR(__xludf.DUMMYFUNCTION("""COMPUTED_VALUE"""),"--")</f>
        <v>--</v>
      </c>
      <c r="AC428" s="251" t="str">
        <f>IFERROR(__xludf.DUMMYFUNCTION("""COMPUTED_VALUE"""),"--")</f>
        <v>--</v>
      </c>
      <c r="AD428" s="251">
        <f>IFERROR(__xludf.DUMMYFUNCTION("""COMPUTED_VALUE"""),2.0)</f>
        <v>2</v>
      </c>
      <c r="AE428" s="251" t="str">
        <f>IFERROR(__xludf.DUMMYFUNCTION("""COMPUTED_VALUE"""),"Phototroph")</f>
        <v>Phototroph</v>
      </c>
    </row>
    <row r="429">
      <c r="A429" s="251" t="str">
        <f>IFERROR(__xludf.DUMMYFUNCTION("""COMPUTED_VALUE"""),"Arboliva")</f>
        <v>Arboliva</v>
      </c>
      <c r="B429" s="251" t="str">
        <f>IFERROR(__xludf.DUMMYFUNCTION("""COMPUTED_VALUE"""),"Grass")</f>
        <v>Grass</v>
      </c>
      <c r="C429" s="251" t="str">
        <f>IFERROR(__xludf.DUMMYFUNCTION("""COMPUTED_VALUE"""),"Normal")</f>
        <v>Normal</v>
      </c>
      <c r="D429" s="251">
        <f>IFERROR(__xludf.DUMMYFUNCTION("""COMPUTED_VALUE"""),8.0)</f>
        <v>8</v>
      </c>
      <c r="E429" s="251">
        <f>IFERROR(__xludf.DUMMYFUNCTION("""COMPUTED_VALUE"""),7.0)</f>
        <v>7</v>
      </c>
      <c r="F429" s="251">
        <f>IFERROR(__xludf.DUMMYFUNCTION("""COMPUTED_VALUE"""),9.0)</f>
        <v>9</v>
      </c>
      <c r="G429" s="251">
        <f>IFERROR(__xludf.DUMMYFUNCTION("""COMPUTED_VALUE"""),13.0)</f>
        <v>13</v>
      </c>
      <c r="H429" s="251">
        <f>IFERROR(__xludf.DUMMYFUNCTION("""COMPUTED_VALUE"""),11.0)</f>
        <v>11</v>
      </c>
      <c r="I429" s="251">
        <f>IFERROR(__xludf.DUMMYFUNCTION("""COMPUTED_VALUE"""),4.0)</f>
        <v>4</v>
      </c>
      <c r="J429" s="251">
        <f>IFERROR(__xludf.DUMMYFUNCTION("""COMPUTED_VALUE"""),4.0)</f>
        <v>4</v>
      </c>
      <c r="K429" s="251" t="str">
        <f>IFERROR(__xludf.DUMMYFUNCTION("""COMPUTED_VALUE"""),"Medium")</f>
        <v>Medium</v>
      </c>
      <c r="L429" s="251">
        <f>IFERROR(__xludf.DUMMYFUNCTION("""COMPUTED_VALUE"""),3.0)</f>
        <v>3</v>
      </c>
      <c r="M429" s="251" t="str">
        <f>IFERROR(__xludf.DUMMYFUNCTION("""COMPUTED_VALUE"""),"Grasslands")</f>
        <v>Grasslands</v>
      </c>
      <c r="N429" s="251" t="str">
        <f>IFERROR(__xludf.DUMMYFUNCTION("""COMPUTED_VALUE"""),"--")</f>
        <v>--</v>
      </c>
      <c r="O429" s="251" t="str">
        <f>IFERROR(__xludf.DUMMYFUNCTION("""COMPUTED_VALUE"""),"--")</f>
        <v>--</v>
      </c>
      <c r="P429" s="251" t="str">
        <f>IFERROR(__xludf.DUMMYFUNCTION("""COMPUTED_VALUE"""),"--")</f>
        <v>--</v>
      </c>
      <c r="Q429" s="251" t="str">
        <f>IFERROR(__xludf.DUMMYFUNCTION("""COMPUTED_VALUE"""),"--")</f>
        <v>--</v>
      </c>
      <c r="R429" s="251" t="str">
        <f>IFERROR(__xludf.DUMMYFUNCTION("""COMPUTED_VALUE"""),"--")</f>
        <v>--</v>
      </c>
      <c r="S429" s="251" t="str">
        <f>IFERROR(__xludf.DUMMYFUNCTION("""COMPUTED_VALUE"""),"--")</f>
        <v>--</v>
      </c>
      <c r="T429" s="251" t="str">
        <f>IFERROR(__xludf.DUMMYFUNCTION("""COMPUTED_VALUE"""),"--")</f>
        <v>--</v>
      </c>
      <c r="U429" s="251" t="str">
        <f>IFERROR(__xludf.DUMMYFUNCTION("""COMPUTED_VALUE"""),"--")</f>
        <v>--</v>
      </c>
      <c r="V429" s="251" t="str">
        <f>IFERROR(__xludf.DUMMYFUNCTION("""COMPUTED_VALUE"""),"Alluring")</f>
        <v>Alluring</v>
      </c>
      <c r="W429" s="251" t="str">
        <f>IFERROR(__xludf.DUMMYFUNCTION("""COMPUTED_VALUE"""),"Mender")</f>
        <v>Mender</v>
      </c>
      <c r="X429" s="251" t="str">
        <f>IFERROR(__xludf.DUMMYFUNCTION("""COMPUTED_VALUE"""),"--")</f>
        <v>--</v>
      </c>
      <c r="Y429" s="251" t="str">
        <f>IFERROR(__xludf.DUMMYFUNCTION("""COMPUTED_VALUE"""),"--")</f>
        <v>--</v>
      </c>
      <c r="Z429" s="251" t="str">
        <f>IFERROR(__xludf.DUMMYFUNCTION("""COMPUTED_VALUE"""),"--")</f>
        <v>--</v>
      </c>
      <c r="AA429" s="251" t="str">
        <f>IFERROR(__xludf.DUMMYFUNCTION("""COMPUTED_VALUE"""),"--")</f>
        <v>--</v>
      </c>
      <c r="AB429" s="251" t="str">
        <f>IFERROR(__xludf.DUMMYFUNCTION("""COMPUTED_VALUE"""),"--")</f>
        <v>--</v>
      </c>
      <c r="AC429" s="251" t="str">
        <f>IFERROR(__xludf.DUMMYFUNCTION("""COMPUTED_VALUE"""),"--")</f>
        <v>--</v>
      </c>
      <c r="AD429" s="251">
        <f>IFERROR(__xludf.DUMMYFUNCTION("""COMPUTED_VALUE"""),3.0)</f>
        <v>3</v>
      </c>
      <c r="AE429" s="251" t="str">
        <f>IFERROR(__xludf.DUMMYFUNCTION("""COMPUTED_VALUE"""),"Phototroph")</f>
        <v>Phototroph</v>
      </c>
    </row>
    <row r="430">
      <c r="A430" s="251" t="str">
        <f>IFERROR(__xludf.DUMMYFUNCTION("""COMPUTED_VALUE"""),"Rhyhorn")</f>
        <v>Rhyhorn</v>
      </c>
      <c r="B430" s="251" t="str">
        <f>IFERROR(__xludf.DUMMYFUNCTION("""COMPUTED_VALUE"""),"Ground")</f>
        <v>Ground</v>
      </c>
      <c r="C430" s="251" t="str">
        <f>IFERROR(__xludf.DUMMYFUNCTION("""COMPUTED_VALUE"""),"Rock")</f>
        <v>Rock</v>
      </c>
      <c r="D430" s="251">
        <f>IFERROR(__xludf.DUMMYFUNCTION("""COMPUTED_VALUE"""),8.0)</f>
        <v>8</v>
      </c>
      <c r="E430" s="251">
        <f>IFERROR(__xludf.DUMMYFUNCTION("""COMPUTED_VALUE"""),9.0)</f>
        <v>9</v>
      </c>
      <c r="F430" s="251">
        <f>IFERROR(__xludf.DUMMYFUNCTION("""COMPUTED_VALUE"""),10.0)</f>
        <v>10</v>
      </c>
      <c r="G430" s="251">
        <f>IFERROR(__xludf.DUMMYFUNCTION("""COMPUTED_VALUE"""),3.0)</f>
        <v>3</v>
      </c>
      <c r="H430" s="251">
        <f>IFERROR(__xludf.DUMMYFUNCTION("""COMPUTED_VALUE"""),3.0)</f>
        <v>3</v>
      </c>
      <c r="I430" s="251">
        <f>IFERROR(__xludf.DUMMYFUNCTION("""COMPUTED_VALUE"""),3.0)</f>
        <v>3</v>
      </c>
      <c r="J430" s="251">
        <f>IFERROR(__xludf.DUMMYFUNCTION("""COMPUTED_VALUE"""),6.0)</f>
        <v>6</v>
      </c>
      <c r="K430" s="251" t="str">
        <f>IFERROR(__xludf.DUMMYFUNCTION("""COMPUTED_VALUE"""),"Medium")</f>
        <v>Medium</v>
      </c>
      <c r="L430" s="251">
        <f>IFERROR(__xludf.DUMMYFUNCTION("""COMPUTED_VALUE"""),5.0)</f>
        <v>5</v>
      </c>
      <c r="M430" s="251" t="str">
        <f>IFERROR(__xludf.DUMMYFUNCTION("""COMPUTED_VALUE"""),"Mountain")</f>
        <v>Mountain</v>
      </c>
      <c r="N430" s="251" t="str">
        <f>IFERROR(__xludf.DUMMYFUNCTION("""COMPUTED_VALUE"""),"--")</f>
        <v>--</v>
      </c>
      <c r="O430" s="251" t="str">
        <f>IFERROR(__xludf.DUMMYFUNCTION("""COMPUTED_VALUE"""),"--")</f>
        <v>--</v>
      </c>
      <c r="P430" s="251" t="str">
        <f>IFERROR(__xludf.DUMMYFUNCTION("""COMPUTED_VALUE"""),"--")</f>
        <v>--</v>
      </c>
      <c r="Q430" s="251" t="str">
        <f>IFERROR(__xludf.DUMMYFUNCTION("""COMPUTED_VALUE"""),"--")</f>
        <v>--</v>
      </c>
      <c r="R430" s="251" t="str">
        <f>IFERROR(__xludf.DUMMYFUNCTION("""COMPUTED_VALUE"""),"Mountable")</f>
        <v>Mountable</v>
      </c>
      <c r="S430" s="251" t="str">
        <f>IFERROR(__xludf.DUMMYFUNCTION("""COMPUTED_VALUE"""),"Underdog")</f>
        <v>Underdog</v>
      </c>
      <c r="T430" s="251" t="str">
        <f>IFERROR(__xludf.DUMMYFUNCTION("""COMPUTED_VALUE"""),"--")</f>
        <v>--</v>
      </c>
      <c r="U430" s="251" t="str">
        <f>IFERROR(__xludf.DUMMYFUNCTION("""COMPUTED_VALUE"""),"--")</f>
        <v>--</v>
      </c>
      <c r="V430" s="251" t="str">
        <f>IFERROR(__xludf.DUMMYFUNCTION("""COMPUTED_VALUE"""),"Tracker")</f>
        <v>Tracker</v>
      </c>
      <c r="W430" s="251" t="str">
        <f>IFERROR(__xludf.DUMMYFUNCTION("""COMPUTED_VALUE"""),"--")</f>
        <v>--</v>
      </c>
      <c r="X430" s="251" t="str">
        <f>IFERROR(__xludf.DUMMYFUNCTION("""COMPUTED_VALUE"""),"--")</f>
        <v>--</v>
      </c>
      <c r="Y430" s="251" t="str">
        <f>IFERROR(__xludf.DUMMYFUNCTION("""COMPUTED_VALUE"""),"--")</f>
        <v>--</v>
      </c>
      <c r="Z430" s="251" t="str">
        <f>IFERROR(__xludf.DUMMYFUNCTION("""COMPUTED_VALUE"""),"--")</f>
        <v>--</v>
      </c>
      <c r="AA430" s="251" t="str">
        <f>IFERROR(__xludf.DUMMYFUNCTION("""COMPUTED_VALUE"""),"--")</f>
        <v>--</v>
      </c>
      <c r="AB430" s="251" t="str">
        <f>IFERROR(__xludf.DUMMYFUNCTION("""COMPUTED_VALUE"""),"--")</f>
        <v>--</v>
      </c>
      <c r="AC430" s="251" t="str">
        <f>IFERROR(__xludf.DUMMYFUNCTION("""COMPUTED_VALUE"""),"--")</f>
        <v>--</v>
      </c>
      <c r="AD430" s="251">
        <f>IFERROR(__xludf.DUMMYFUNCTION("""COMPUTED_VALUE"""),1.0)</f>
        <v>1</v>
      </c>
      <c r="AE430" s="251" t="str">
        <f>IFERROR(__xludf.DUMMYFUNCTION("""COMPUTED_VALUE"""),"Herbivore")</f>
        <v>Herbivore</v>
      </c>
    </row>
    <row r="431">
      <c r="A431" s="251" t="str">
        <f>IFERROR(__xludf.DUMMYFUNCTION("""COMPUTED_VALUE"""),"Rhydon")</f>
        <v>Rhydon</v>
      </c>
      <c r="B431" s="251" t="str">
        <f>IFERROR(__xludf.DUMMYFUNCTION("""COMPUTED_VALUE"""),"Ground")</f>
        <v>Ground</v>
      </c>
      <c r="C431" s="251" t="str">
        <f>IFERROR(__xludf.DUMMYFUNCTION("""COMPUTED_VALUE"""),"Rock")</f>
        <v>Rock</v>
      </c>
      <c r="D431" s="251">
        <f>IFERROR(__xludf.DUMMYFUNCTION("""COMPUTED_VALUE"""),11.0)</f>
        <v>11</v>
      </c>
      <c r="E431" s="251">
        <f>IFERROR(__xludf.DUMMYFUNCTION("""COMPUTED_VALUE"""),13.0)</f>
        <v>13</v>
      </c>
      <c r="F431" s="251">
        <f>IFERROR(__xludf.DUMMYFUNCTION("""COMPUTED_VALUE"""),13.0)</f>
        <v>13</v>
      </c>
      <c r="G431" s="251">
        <f>IFERROR(__xludf.DUMMYFUNCTION("""COMPUTED_VALUE"""),5.0)</f>
        <v>5</v>
      </c>
      <c r="H431" s="251">
        <f>IFERROR(__xludf.DUMMYFUNCTION("""COMPUTED_VALUE"""),5.0)</f>
        <v>5</v>
      </c>
      <c r="I431" s="251">
        <f>IFERROR(__xludf.DUMMYFUNCTION("""COMPUTED_VALUE"""),4.0)</f>
        <v>4</v>
      </c>
      <c r="J431" s="251">
        <f>IFERROR(__xludf.DUMMYFUNCTION("""COMPUTED_VALUE"""),8.0)</f>
        <v>8</v>
      </c>
      <c r="K431" s="251" t="str">
        <f>IFERROR(__xludf.DUMMYFUNCTION("""COMPUTED_VALUE"""),"Large")</f>
        <v>Large</v>
      </c>
      <c r="L431" s="251">
        <f>IFERROR(__xludf.DUMMYFUNCTION("""COMPUTED_VALUE"""),5.0)</f>
        <v>5</v>
      </c>
      <c r="M431" s="251" t="str">
        <f>IFERROR(__xludf.DUMMYFUNCTION("""COMPUTED_VALUE"""),"Mountain")</f>
        <v>Mountain</v>
      </c>
      <c r="N431" s="251" t="str">
        <f>IFERROR(__xludf.DUMMYFUNCTION("""COMPUTED_VALUE"""),"--")</f>
        <v>--</v>
      </c>
      <c r="O431" s="251" t="str">
        <f>IFERROR(__xludf.DUMMYFUNCTION("""COMPUTED_VALUE"""),"--")</f>
        <v>--</v>
      </c>
      <c r="P431" s="251" t="str">
        <f>IFERROR(__xludf.DUMMYFUNCTION("""COMPUTED_VALUE"""),"--")</f>
        <v>--</v>
      </c>
      <c r="Q431" s="251" t="str">
        <f>IFERROR(__xludf.DUMMYFUNCTION("""COMPUTED_VALUE"""),"--")</f>
        <v>--</v>
      </c>
      <c r="R431" s="251" t="str">
        <f>IFERROR(__xludf.DUMMYFUNCTION("""COMPUTED_VALUE"""),"Mountable")</f>
        <v>Mountable</v>
      </c>
      <c r="S431" s="251" t="str">
        <f>IFERROR(__xludf.DUMMYFUNCTION("""COMPUTED_VALUE"""),"--")</f>
        <v>--</v>
      </c>
      <c r="T431" s="251" t="str">
        <f>IFERROR(__xludf.DUMMYFUNCTION("""COMPUTED_VALUE"""),"--")</f>
        <v>--</v>
      </c>
      <c r="U431" s="251" t="str">
        <f>IFERROR(__xludf.DUMMYFUNCTION("""COMPUTED_VALUE"""),"--")</f>
        <v>--</v>
      </c>
      <c r="V431" s="251" t="str">
        <f>IFERROR(__xludf.DUMMYFUNCTION("""COMPUTED_VALUE"""),"Tracker")</f>
        <v>Tracker</v>
      </c>
      <c r="W431" s="251" t="str">
        <f>IFERROR(__xludf.DUMMYFUNCTION("""COMPUTED_VALUE"""),"--")</f>
        <v>--</v>
      </c>
      <c r="X431" s="251" t="str">
        <f>IFERROR(__xludf.DUMMYFUNCTION("""COMPUTED_VALUE"""),"--")</f>
        <v>--</v>
      </c>
      <c r="Y431" s="251" t="str">
        <f>IFERROR(__xludf.DUMMYFUNCTION("""COMPUTED_VALUE"""),"--")</f>
        <v>--</v>
      </c>
      <c r="Z431" s="251" t="str">
        <f>IFERROR(__xludf.DUMMYFUNCTION("""COMPUTED_VALUE"""),"--")</f>
        <v>--</v>
      </c>
      <c r="AA431" s="251" t="str">
        <f>IFERROR(__xludf.DUMMYFUNCTION("""COMPUTED_VALUE"""),"--")</f>
        <v>--</v>
      </c>
      <c r="AB431" s="251" t="str">
        <f>IFERROR(__xludf.DUMMYFUNCTION("""COMPUTED_VALUE"""),"--")</f>
        <v>--</v>
      </c>
      <c r="AC431" s="251" t="str">
        <f>IFERROR(__xludf.DUMMYFUNCTION("""COMPUTED_VALUE"""),"--")</f>
        <v>--</v>
      </c>
      <c r="AD431" s="251">
        <f>IFERROR(__xludf.DUMMYFUNCTION("""COMPUTED_VALUE"""),2.0)</f>
        <v>2</v>
      </c>
      <c r="AE431" s="251" t="str">
        <f>IFERROR(__xludf.DUMMYFUNCTION("""COMPUTED_VALUE"""),"Herbivore")</f>
        <v>Herbivore</v>
      </c>
    </row>
    <row r="432">
      <c r="A432" s="251" t="str">
        <f>IFERROR(__xludf.DUMMYFUNCTION("""COMPUTED_VALUE"""),"Rhyperior")</f>
        <v>Rhyperior</v>
      </c>
      <c r="B432" s="251" t="str">
        <f>IFERROR(__xludf.DUMMYFUNCTION("""COMPUTED_VALUE"""),"Ground")</f>
        <v>Ground</v>
      </c>
      <c r="C432" s="251" t="str">
        <f>IFERROR(__xludf.DUMMYFUNCTION("""COMPUTED_VALUE"""),"Rock")</f>
        <v>Rock</v>
      </c>
      <c r="D432" s="251">
        <f>IFERROR(__xludf.DUMMYFUNCTION("""COMPUTED_VALUE"""),12.0)</f>
        <v>12</v>
      </c>
      <c r="E432" s="251">
        <f>IFERROR(__xludf.DUMMYFUNCTION("""COMPUTED_VALUE"""),14.0)</f>
        <v>14</v>
      </c>
      <c r="F432" s="251">
        <f>IFERROR(__xludf.DUMMYFUNCTION("""COMPUTED_VALUE"""),14.0)</f>
        <v>14</v>
      </c>
      <c r="G432" s="251">
        <f>IFERROR(__xludf.DUMMYFUNCTION("""COMPUTED_VALUE"""),6.0)</f>
        <v>6</v>
      </c>
      <c r="H432" s="251">
        <f>IFERROR(__xludf.DUMMYFUNCTION("""COMPUTED_VALUE"""),6.0)</f>
        <v>6</v>
      </c>
      <c r="I432" s="251">
        <f>IFERROR(__xludf.DUMMYFUNCTION("""COMPUTED_VALUE"""),4.0)</f>
        <v>4</v>
      </c>
      <c r="J432" s="251">
        <f>IFERROR(__xludf.DUMMYFUNCTION("""COMPUTED_VALUE"""),11.0)</f>
        <v>11</v>
      </c>
      <c r="K432" s="251" t="str">
        <f>IFERROR(__xludf.DUMMYFUNCTION("""COMPUTED_VALUE"""),"Large")</f>
        <v>Large</v>
      </c>
      <c r="L432" s="251">
        <f>IFERROR(__xludf.DUMMYFUNCTION("""COMPUTED_VALUE"""),5.0)</f>
        <v>5</v>
      </c>
      <c r="M432" s="251" t="str">
        <f>IFERROR(__xludf.DUMMYFUNCTION("""COMPUTED_VALUE"""),"Mountain")</f>
        <v>Mountain</v>
      </c>
      <c r="N432" s="251" t="str">
        <f>IFERROR(__xludf.DUMMYFUNCTION("""COMPUTED_VALUE"""),"--")</f>
        <v>--</v>
      </c>
      <c r="O432" s="251" t="str">
        <f>IFERROR(__xludf.DUMMYFUNCTION("""COMPUTED_VALUE"""),"--")</f>
        <v>--</v>
      </c>
      <c r="P432" s="251" t="str">
        <f>IFERROR(__xludf.DUMMYFUNCTION("""COMPUTED_VALUE"""),"--")</f>
        <v>--</v>
      </c>
      <c r="Q432" s="251" t="str">
        <f>IFERROR(__xludf.DUMMYFUNCTION("""COMPUTED_VALUE"""),"--")</f>
        <v>--</v>
      </c>
      <c r="R432" s="251" t="str">
        <f>IFERROR(__xludf.DUMMYFUNCTION("""COMPUTED_VALUE"""),"Groundshaper")</f>
        <v>Groundshaper</v>
      </c>
      <c r="S432" s="251" t="str">
        <f>IFERROR(__xludf.DUMMYFUNCTION("""COMPUTED_VALUE"""),"Mountable")</f>
        <v>Mountable</v>
      </c>
      <c r="T432" s="251" t="str">
        <f>IFERROR(__xludf.DUMMYFUNCTION("""COMPUTED_VALUE"""),"--")</f>
        <v>--</v>
      </c>
      <c r="U432" s="251" t="str">
        <f>IFERROR(__xludf.DUMMYFUNCTION("""COMPUTED_VALUE"""),"--")</f>
        <v>--</v>
      </c>
      <c r="V432" s="251" t="str">
        <f>IFERROR(__xludf.DUMMYFUNCTION("""COMPUTED_VALUE"""),"Tracker")</f>
        <v>Tracker</v>
      </c>
      <c r="W432" s="251" t="str">
        <f>IFERROR(__xludf.DUMMYFUNCTION("""COMPUTED_VALUE"""),"--")</f>
        <v>--</v>
      </c>
      <c r="X432" s="251" t="str">
        <f>IFERROR(__xludf.DUMMYFUNCTION("""COMPUTED_VALUE"""),"--")</f>
        <v>--</v>
      </c>
      <c r="Y432" s="251" t="str">
        <f>IFERROR(__xludf.DUMMYFUNCTION("""COMPUTED_VALUE"""),"--")</f>
        <v>--</v>
      </c>
      <c r="Z432" s="251" t="str">
        <f>IFERROR(__xludf.DUMMYFUNCTION("""COMPUTED_VALUE"""),"--")</f>
        <v>--</v>
      </c>
      <c r="AA432" s="251" t="str">
        <f>IFERROR(__xludf.DUMMYFUNCTION("""COMPUTED_VALUE"""),"--")</f>
        <v>--</v>
      </c>
      <c r="AB432" s="251" t="str">
        <f>IFERROR(__xludf.DUMMYFUNCTION("""COMPUTED_VALUE"""),"--")</f>
        <v>--</v>
      </c>
      <c r="AC432" s="251" t="str">
        <f>IFERROR(__xludf.DUMMYFUNCTION("""COMPUTED_VALUE"""),"--")</f>
        <v>--</v>
      </c>
      <c r="AD432" s="251">
        <f>IFERROR(__xludf.DUMMYFUNCTION("""COMPUTED_VALUE"""),3.0)</f>
        <v>3</v>
      </c>
      <c r="AE432" s="251" t="str">
        <f>IFERROR(__xludf.DUMMYFUNCTION("""COMPUTED_VALUE"""),"Herbivore")</f>
        <v>Herbivore</v>
      </c>
    </row>
    <row r="433">
      <c r="A433" s="251" t="str">
        <f>IFERROR(__xludf.DUMMYFUNCTION("""COMPUTED_VALUE"""),"Trapinch")</f>
        <v>Trapinch</v>
      </c>
      <c r="B433" s="251" t="str">
        <f>IFERROR(__xludf.DUMMYFUNCTION("""COMPUTED_VALUE"""),"Ground")</f>
        <v>Ground</v>
      </c>
      <c r="C433" s="251" t="str">
        <f>IFERROR(__xludf.DUMMYFUNCTION("""COMPUTED_VALUE"""),"None")</f>
        <v>None</v>
      </c>
      <c r="D433" s="251">
        <f>IFERROR(__xludf.DUMMYFUNCTION("""COMPUTED_VALUE"""),5.0)</f>
        <v>5</v>
      </c>
      <c r="E433" s="251">
        <f>IFERROR(__xludf.DUMMYFUNCTION("""COMPUTED_VALUE"""),10.0)</f>
        <v>10</v>
      </c>
      <c r="F433" s="251">
        <f>IFERROR(__xludf.DUMMYFUNCTION("""COMPUTED_VALUE"""),5.0)</f>
        <v>5</v>
      </c>
      <c r="G433" s="251">
        <f>IFERROR(__xludf.DUMMYFUNCTION("""COMPUTED_VALUE"""),5.0)</f>
        <v>5</v>
      </c>
      <c r="H433" s="251">
        <f>IFERROR(__xludf.DUMMYFUNCTION("""COMPUTED_VALUE"""),5.0)</f>
        <v>5</v>
      </c>
      <c r="I433" s="251">
        <f>IFERROR(__xludf.DUMMYFUNCTION("""COMPUTED_VALUE"""),1.0)</f>
        <v>1</v>
      </c>
      <c r="J433" s="251">
        <f>IFERROR(__xludf.DUMMYFUNCTION("""COMPUTED_VALUE"""),2.0)</f>
        <v>2</v>
      </c>
      <c r="K433" s="251" t="str">
        <f>IFERROR(__xludf.DUMMYFUNCTION("""COMPUTED_VALUE"""),"Small")</f>
        <v>Small</v>
      </c>
      <c r="L433" s="251">
        <f>IFERROR(__xludf.DUMMYFUNCTION("""COMPUTED_VALUE"""),2.0)</f>
        <v>2</v>
      </c>
      <c r="M433" s="251" t="str">
        <f>IFERROR(__xludf.DUMMYFUNCTION("""COMPUTED_VALUE"""),"Desert")</f>
        <v>Desert</v>
      </c>
      <c r="N433" s="251" t="str">
        <f>IFERROR(__xludf.DUMMYFUNCTION("""COMPUTED_VALUE"""),"Burrower")</f>
        <v>Burrower</v>
      </c>
      <c r="O433" s="251" t="str">
        <f>IFERROR(__xludf.DUMMYFUNCTION("""COMPUTED_VALUE"""),"--")</f>
        <v>--</v>
      </c>
      <c r="P433" s="251" t="str">
        <f>IFERROR(__xludf.DUMMYFUNCTION("""COMPUTED_VALUE"""),"--")</f>
        <v>--</v>
      </c>
      <c r="Q433" s="251" t="str">
        <f>IFERROR(__xludf.DUMMYFUNCTION("""COMPUTED_VALUE"""),"--")</f>
        <v>--</v>
      </c>
      <c r="R433" s="251" t="str">
        <f>IFERROR(__xludf.DUMMYFUNCTION("""COMPUTED_VALUE"""),"Underdog")</f>
        <v>Underdog</v>
      </c>
      <c r="S433" s="251" t="str">
        <f>IFERROR(__xludf.DUMMYFUNCTION("""COMPUTED_VALUE"""),"--")</f>
        <v>--</v>
      </c>
      <c r="T433" s="251" t="str">
        <f>IFERROR(__xludf.DUMMYFUNCTION("""COMPUTED_VALUE"""),"--")</f>
        <v>--</v>
      </c>
      <c r="U433" s="251" t="str">
        <f>IFERROR(__xludf.DUMMYFUNCTION("""COMPUTED_VALUE"""),"--")</f>
        <v>--</v>
      </c>
      <c r="V433" s="251" t="str">
        <f>IFERROR(__xludf.DUMMYFUNCTION("""COMPUTED_VALUE"""),"--")</f>
        <v>--</v>
      </c>
      <c r="W433" s="251" t="str">
        <f>IFERROR(__xludf.DUMMYFUNCTION("""COMPUTED_VALUE"""),"--")</f>
        <v>--</v>
      </c>
      <c r="X433" s="251" t="str">
        <f>IFERROR(__xludf.DUMMYFUNCTION("""COMPUTED_VALUE"""),"--")</f>
        <v>--</v>
      </c>
      <c r="Y433" s="251" t="str">
        <f>IFERROR(__xludf.DUMMYFUNCTION("""COMPUTED_VALUE"""),"--")</f>
        <v>--</v>
      </c>
      <c r="Z433" s="251" t="str">
        <f>IFERROR(__xludf.DUMMYFUNCTION("""COMPUTED_VALUE"""),"--")</f>
        <v>--</v>
      </c>
      <c r="AA433" s="251" t="str">
        <f>IFERROR(__xludf.DUMMYFUNCTION("""COMPUTED_VALUE"""),"--")</f>
        <v>--</v>
      </c>
      <c r="AB433" s="251" t="str">
        <f>IFERROR(__xludf.DUMMYFUNCTION("""COMPUTED_VALUE"""),"--")</f>
        <v>--</v>
      </c>
      <c r="AC433" s="251" t="str">
        <f>IFERROR(__xludf.DUMMYFUNCTION("""COMPUTED_VALUE"""),"--")</f>
        <v>--</v>
      </c>
      <c r="AD433" s="251">
        <f>IFERROR(__xludf.DUMMYFUNCTION("""COMPUTED_VALUE"""),1.0)</f>
        <v>1</v>
      </c>
      <c r="AE433" s="251" t="str">
        <f>IFERROR(__xludf.DUMMYFUNCTION("""COMPUTED_VALUE"""),"Carnivore")</f>
        <v>Carnivore</v>
      </c>
    </row>
    <row r="434">
      <c r="A434" s="251" t="str">
        <f>IFERROR(__xludf.DUMMYFUNCTION("""COMPUTED_VALUE"""),"Vibrava")</f>
        <v>Vibrava</v>
      </c>
      <c r="B434" s="251" t="str">
        <f>IFERROR(__xludf.DUMMYFUNCTION("""COMPUTED_VALUE"""),"Ground")</f>
        <v>Ground</v>
      </c>
      <c r="C434" s="251" t="str">
        <f>IFERROR(__xludf.DUMMYFUNCTION("""COMPUTED_VALUE"""),"Dragon")</f>
        <v>Dragon</v>
      </c>
      <c r="D434" s="251">
        <f>IFERROR(__xludf.DUMMYFUNCTION("""COMPUTED_VALUE"""),6.0)</f>
        <v>6</v>
      </c>
      <c r="E434" s="251">
        <f>IFERROR(__xludf.DUMMYFUNCTION("""COMPUTED_VALUE"""),8.0)</f>
        <v>8</v>
      </c>
      <c r="F434" s="251">
        <f>IFERROR(__xludf.DUMMYFUNCTION("""COMPUTED_VALUE"""),6.0)</f>
        <v>6</v>
      </c>
      <c r="G434" s="251">
        <f>IFERROR(__xludf.DUMMYFUNCTION("""COMPUTED_VALUE"""),6.0)</f>
        <v>6</v>
      </c>
      <c r="H434" s="251">
        <f>IFERROR(__xludf.DUMMYFUNCTION("""COMPUTED_VALUE"""),6.0)</f>
        <v>6</v>
      </c>
      <c r="I434" s="251">
        <f>IFERROR(__xludf.DUMMYFUNCTION("""COMPUTED_VALUE"""),8.0)</f>
        <v>8</v>
      </c>
      <c r="J434" s="251">
        <f>IFERROR(__xludf.DUMMYFUNCTION("""COMPUTED_VALUE"""),2.0)</f>
        <v>2</v>
      </c>
      <c r="K434" s="251" t="str">
        <f>IFERROR(__xludf.DUMMYFUNCTION("""COMPUTED_VALUE"""),"Medium")</f>
        <v>Medium</v>
      </c>
      <c r="L434" s="251">
        <f>IFERROR(__xludf.DUMMYFUNCTION("""COMPUTED_VALUE"""),2.0)</f>
        <v>2</v>
      </c>
      <c r="M434" s="251" t="str">
        <f>IFERROR(__xludf.DUMMYFUNCTION("""COMPUTED_VALUE"""),"Desert")</f>
        <v>Desert</v>
      </c>
      <c r="N434" s="251" t="str">
        <f>IFERROR(__xludf.DUMMYFUNCTION("""COMPUTED_VALUE"""),"Burrower")</f>
        <v>Burrower</v>
      </c>
      <c r="O434" s="251" t="str">
        <f>IFERROR(__xludf.DUMMYFUNCTION("""COMPUTED_VALUE"""),"Flier")</f>
        <v>Flier</v>
      </c>
      <c r="P434" s="251" t="str">
        <f>IFERROR(__xludf.DUMMYFUNCTION("""COMPUTED_VALUE"""),"--")</f>
        <v>--</v>
      </c>
      <c r="Q434" s="251" t="str">
        <f>IFERROR(__xludf.DUMMYFUNCTION("""COMPUTED_VALUE"""),"--")</f>
        <v>--</v>
      </c>
      <c r="R434" s="251" t="str">
        <f>IFERROR(__xludf.DUMMYFUNCTION("""COMPUTED_VALUE"""),"Underdog")</f>
        <v>Underdog</v>
      </c>
      <c r="S434" s="251" t="str">
        <f>IFERROR(__xludf.DUMMYFUNCTION("""COMPUTED_VALUE"""),"--")</f>
        <v>--</v>
      </c>
      <c r="T434" s="251" t="str">
        <f>IFERROR(__xludf.DUMMYFUNCTION("""COMPUTED_VALUE"""),"--")</f>
        <v>--</v>
      </c>
      <c r="U434" s="251" t="str">
        <f>IFERROR(__xludf.DUMMYFUNCTION("""COMPUTED_VALUE"""),"--")</f>
        <v>--</v>
      </c>
      <c r="V434" s="251" t="str">
        <f>IFERROR(__xludf.DUMMYFUNCTION("""COMPUTED_VALUE"""),"--")</f>
        <v>--</v>
      </c>
      <c r="W434" s="251" t="str">
        <f>IFERROR(__xludf.DUMMYFUNCTION("""COMPUTED_VALUE"""),"--")</f>
        <v>--</v>
      </c>
      <c r="X434" s="251" t="str">
        <f>IFERROR(__xludf.DUMMYFUNCTION("""COMPUTED_VALUE"""),"--")</f>
        <v>--</v>
      </c>
      <c r="Y434" s="251" t="str">
        <f>IFERROR(__xludf.DUMMYFUNCTION("""COMPUTED_VALUE"""),"--")</f>
        <v>--</v>
      </c>
      <c r="Z434" s="251" t="str">
        <f>IFERROR(__xludf.DUMMYFUNCTION("""COMPUTED_VALUE"""),"--")</f>
        <v>--</v>
      </c>
      <c r="AA434" s="251" t="str">
        <f>IFERROR(__xludf.DUMMYFUNCTION("""COMPUTED_VALUE"""),"--")</f>
        <v>--</v>
      </c>
      <c r="AB434" s="251" t="str">
        <f>IFERROR(__xludf.DUMMYFUNCTION("""COMPUTED_VALUE"""),"--")</f>
        <v>--</v>
      </c>
      <c r="AC434" s="251" t="str">
        <f>IFERROR(__xludf.DUMMYFUNCTION("""COMPUTED_VALUE"""),"--")</f>
        <v>--</v>
      </c>
      <c r="AD434" s="251">
        <f>IFERROR(__xludf.DUMMYFUNCTION("""COMPUTED_VALUE"""),2.0)</f>
        <v>2</v>
      </c>
      <c r="AE434" s="251" t="str">
        <f>IFERROR(__xludf.DUMMYFUNCTION("""COMPUTED_VALUE"""),"Carnivore")</f>
        <v>Carnivore</v>
      </c>
    </row>
    <row r="435">
      <c r="A435" s="251" t="str">
        <f>IFERROR(__xludf.DUMMYFUNCTION("""COMPUTED_VALUE"""),"Flygon")</f>
        <v>Flygon</v>
      </c>
      <c r="B435" s="251" t="str">
        <f>IFERROR(__xludf.DUMMYFUNCTION("""COMPUTED_VALUE"""),"Ground")</f>
        <v>Ground</v>
      </c>
      <c r="C435" s="251" t="str">
        <f>IFERROR(__xludf.DUMMYFUNCTION("""COMPUTED_VALUE"""),"Dragon")</f>
        <v>Dragon</v>
      </c>
      <c r="D435" s="251">
        <f>IFERROR(__xludf.DUMMYFUNCTION("""COMPUTED_VALUE"""),8.0)</f>
        <v>8</v>
      </c>
      <c r="E435" s="251">
        <f>IFERROR(__xludf.DUMMYFUNCTION("""COMPUTED_VALUE"""),10.0)</f>
        <v>10</v>
      </c>
      <c r="F435" s="251">
        <f>IFERROR(__xludf.DUMMYFUNCTION("""COMPUTED_VALUE"""),8.0)</f>
        <v>8</v>
      </c>
      <c r="G435" s="251">
        <f>IFERROR(__xludf.DUMMYFUNCTION("""COMPUTED_VALUE"""),8.0)</f>
        <v>8</v>
      </c>
      <c r="H435" s="251">
        <f>IFERROR(__xludf.DUMMYFUNCTION("""COMPUTED_VALUE"""),8.0)</f>
        <v>8</v>
      </c>
      <c r="I435" s="251">
        <f>IFERROR(__xludf.DUMMYFUNCTION("""COMPUTED_VALUE"""),10.0)</f>
        <v>10</v>
      </c>
      <c r="J435" s="251">
        <f>IFERROR(__xludf.DUMMYFUNCTION("""COMPUTED_VALUE"""),7.0)</f>
        <v>7</v>
      </c>
      <c r="K435" s="251" t="str">
        <f>IFERROR(__xludf.DUMMYFUNCTION("""COMPUTED_VALUE"""),"Large")</f>
        <v>Large</v>
      </c>
      <c r="L435" s="251">
        <f>IFERROR(__xludf.DUMMYFUNCTION("""COMPUTED_VALUE"""),4.0)</f>
        <v>4</v>
      </c>
      <c r="M435" s="251" t="str">
        <f>IFERROR(__xludf.DUMMYFUNCTION("""COMPUTED_VALUE"""),"Desert")</f>
        <v>Desert</v>
      </c>
      <c r="N435" s="251" t="str">
        <f>IFERROR(__xludf.DUMMYFUNCTION("""COMPUTED_VALUE"""),"Flier")</f>
        <v>Flier</v>
      </c>
      <c r="O435" s="251" t="str">
        <f>IFERROR(__xludf.DUMMYFUNCTION("""COMPUTED_VALUE"""),"--")</f>
        <v>--</v>
      </c>
      <c r="P435" s="251" t="str">
        <f>IFERROR(__xludf.DUMMYFUNCTION("""COMPUTED_VALUE"""),"--")</f>
        <v>--</v>
      </c>
      <c r="Q435" s="251" t="str">
        <f>IFERROR(__xludf.DUMMYFUNCTION("""COMPUTED_VALUE"""),"--")</f>
        <v>--</v>
      </c>
      <c r="R435" s="251" t="str">
        <f>IFERROR(__xludf.DUMMYFUNCTION("""COMPUTED_VALUE"""),"Mountable")</f>
        <v>Mountable</v>
      </c>
      <c r="S435" s="251" t="str">
        <f>IFERROR(__xludf.DUMMYFUNCTION("""COMPUTED_VALUE"""),"--")</f>
        <v>--</v>
      </c>
      <c r="T435" s="251" t="str">
        <f>IFERROR(__xludf.DUMMYFUNCTION("""COMPUTED_VALUE"""),"--")</f>
        <v>--</v>
      </c>
      <c r="U435" s="251" t="str">
        <f>IFERROR(__xludf.DUMMYFUNCTION("""COMPUTED_VALUE"""),"--")</f>
        <v>--</v>
      </c>
      <c r="V435" s="251" t="str">
        <f>IFERROR(__xludf.DUMMYFUNCTION("""COMPUTED_VALUE"""),"--")</f>
        <v>--</v>
      </c>
      <c r="W435" s="251" t="str">
        <f>IFERROR(__xludf.DUMMYFUNCTION("""COMPUTED_VALUE"""),"--")</f>
        <v>--</v>
      </c>
      <c r="X435" s="251" t="str">
        <f>IFERROR(__xludf.DUMMYFUNCTION("""COMPUTED_VALUE"""),"--")</f>
        <v>--</v>
      </c>
      <c r="Y435" s="251" t="str">
        <f>IFERROR(__xludf.DUMMYFUNCTION("""COMPUTED_VALUE"""),"--")</f>
        <v>--</v>
      </c>
      <c r="Z435" s="251" t="str">
        <f>IFERROR(__xludf.DUMMYFUNCTION("""COMPUTED_VALUE"""),"--")</f>
        <v>--</v>
      </c>
      <c r="AA435" s="251" t="str">
        <f>IFERROR(__xludf.DUMMYFUNCTION("""COMPUTED_VALUE"""),"--")</f>
        <v>--</v>
      </c>
      <c r="AB435" s="251" t="str">
        <f>IFERROR(__xludf.DUMMYFUNCTION("""COMPUTED_VALUE"""),"--")</f>
        <v>--</v>
      </c>
      <c r="AC435" s="251" t="str">
        <f>IFERROR(__xludf.DUMMYFUNCTION("""COMPUTED_VALUE"""),"--")</f>
        <v>--</v>
      </c>
      <c r="AD435" s="251">
        <f>IFERROR(__xludf.DUMMYFUNCTION("""COMPUTED_VALUE"""),3.0)</f>
        <v>3</v>
      </c>
      <c r="AE435" s="251" t="str">
        <f>IFERROR(__xludf.DUMMYFUNCTION("""COMPUTED_VALUE"""),"Carnivore")</f>
        <v>Carnivore</v>
      </c>
    </row>
    <row r="436">
      <c r="A436" s="251" t="str">
        <f>IFERROR(__xludf.DUMMYFUNCTION("""COMPUTED_VALUE"""),"Sandile")</f>
        <v>Sandile</v>
      </c>
      <c r="B436" s="251" t="str">
        <f>IFERROR(__xludf.DUMMYFUNCTION("""COMPUTED_VALUE"""),"Ground")</f>
        <v>Ground</v>
      </c>
      <c r="C436" s="251" t="str">
        <f>IFERROR(__xludf.DUMMYFUNCTION("""COMPUTED_VALUE"""),"Dark")</f>
        <v>Dark</v>
      </c>
      <c r="D436" s="251">
        <f>IFERROR(__xludf.DUMMYFUNCTION("""COMPUTED_VALUE"""),5.0)</f>
        <v>5</v>
      </c>
      <c r="E436" s="251">
        <f>IFERROR(__xludf.DUMMYFUNCTION("""COMPUTED_VALUE"""),7.0)</f>
        <v>7</v>
      </c>
      <c r="F436" s="251">
        <f>IFERROR(__xludf.DUMMYFUNCTION("""COMPUTED_VALUE"""),4.0)</f>
        <v>4</v>
      </c>
      <c r="G436" s="251">
        <f>IFERROR(__xludf.DUMMYFUNCTION("""COMPUTED_VALUE"""),4.0)</f>
        <v>4</v>
      </c>
      <c r="H436" s="251">
        <f>IFERROR(__xludf.DUMMYFUNCTION("""COMPUTED_VALUE"""),4.0)</f>
        <v>4</v>
      </c>
      <c r="I436" s="251">
        <f>IFERROR(__xludf.DUMMYFUNCTION("""COMPUTED_VALUE"""),7.0)</f>
        <v>7</v>
      </c>
      <c r="J436" s="251">
        <f>IFERROR(__xludf.DUMMYFUNCTION("""COMPUTED_VALUE"""),3.0)</f>
        <v>3</v>
      </c>
      <c r="K436" s="251" t="str">
        <f>IFERROR(__xludf.DUMMYFUNCTION("""COMPUTED_VALUE"""),"Small")</f>
        <v>Small</v>
      </c>
      <c r="L436" s="251">
        <f>IFERROR(__xludf.DUMMYFUNCTION("""COMPUTED_VALUE"""),2.0)</f>
        <v>2</v>
      </c>
      <c r="M436" s="251" t="str">
        <f>IFERROR(__xludf.DUMMYFUNCTION("""COMPUTED_VALUE"""),"Desert")</f>
        <v>Desert</v>
      </c>
      <c r="N436" s="251" t="str">
        <f>IFERROR(__xludf.DUMMYFUNCTION("""COMPUTED_VALUE"""),"--")</f>
        <v>--</v>
      </c>
      <c r="O436" s="251" t="str">
        <f>IFERROR(__xludf.DUMMYFUNCTION("""COMPUTED_VALUE"""),"--")</f>
        <v>--</v>
      </c>
      <c r="P436" s="251" t="str">
        <f>IFERROR(__xludf.DUMMYFUNCTION("""COMPUTED_VALUE"""),"--")</f>
        <v>--</v>
      </c>
      <c r="Q436" s="251" t="str">
        <f>IFERROR(__xludf.DUMMYFUNCTION("""COMPUTED_VALUE"""),"--")</f>
        <v>--</v>
      </c>
      <c r="R436" s="251" t="str">
        <f>IFERROR(__xludf.DUMMYFUNCTION("""COMPUTED_VALUE"""),"Darkvision")</f>
        <v>Darkvision</v>
      </c>
      <c r="S436" s="251" t="str">
        <f>IFERROR(__xludf.DUMMYFUNCTION("""COMPUTED_VALUE"""),"Underdog")</f>
        <v>Underdog</v>
      </c>
      <c r="T436" s="251" t="str">
        <f>IFERROR(__xludf.DUMMYFUNCTION("""COMPUTED_VALUE"""),"--")</f>
        <v>--</v>
      </c>
      <c r="U436" s="251" t="str">
        <f>IFERROR(__xludf.DUMMYFUNCTION("""COMPUTED_VALUE"""),"--")</f>
        <v>--</v>
      </c>
      <c r="V436" s="251" t="str">
        <f>IFERROR(__xludf.DUMMYFUNCTION("""COMPUTED_VALUE"""),"--")</f>
        <v>--</v>
      </c>
      <c r="W436" s="251" t="str">
        <f>IFERROR(__xludf.DUMMYFUNCTION("""COMPUTED_VALUE"""),"--")</f>
        <v>--</v>
      </c>
      <c r="X436" s="251" t="str">
        <f>IFERROR(__xludf.DUMMYFUNCTION("""COMPUTED_VALUE"""),"--")</f>
        <v>--</v>
      </c>
      <c r="Y436" s="251" t="str">
        <f>IFERROR(__xludf.DUMMYFUNCTION("""COMPUTED_VALUE"""),"--")</f>
        <v>--</v>
      </c>
      <c r="Z436" s="251" t="str">
        <f>IFERROR(__xludf.DUMMYFUNCTION("""COMPUTED_VALUE"""),"--")</f>
        <v>--</v>
      </c>
      <c r="AA436" s="251" t="str">
        <f>IFERROR(__xludf.DUMMYFUNCTION("""COMPUTED_VALUE"""),"--")</f>
        <v>--</v>
      </c>
      <c r="AB436" s="251" t="str">
        <f>IFERROR(__xludf.DUMMYFUNCTION("""COMPUTED_VALUE"""),"--")</f>
        <v>--</v>
      </c>
      <c r="AC436" s="251" t="str">
        <f>IFERROR(__xludf.DUMMYFUNCTION("""COMPUTED_VALUE"""),"--")</f>
        <v>--</v>
      </c>
      <c r="AD436" s="251">
        <f>IFERROR(__xludf.DUMMYFUNCTION("""COMPUTED_VALUE"""),1.0)</f>
        <v>1</v>
      </c>
      <c r="AE436" s="251" t="str">
        <f>IFERROR(__xludf.DUMMYFUNCTION("""COMPUTED_VALUE"""),"Carnivore")</f>
        <v>Carnivore</v>
      </c>
    </row>
    <row r="437">
      <c r="A437" s="251" t="str">
        <f>IFERROR(__xludf.DUMMYFUNCTION("""COMPUTED_VALUE"""),"Krokorok")</f>
        <v>Krokorok</v>
      </c>
      <c r="B437" s="251" t="str">
        <f>IFERROR(__xludf.DUMMYFUNCTION("""COMPUTED_VALUE"""),"Ground")</f>
        <v>Ground</v>
      </c>
      <c r="C437" s="251" t="str">
        <f>IFERROR(__xludf.DUMMYFUNCTION("""COMPUTED_VALUE"""),"Dark")</f>
        <v>Dark</v>
      </c>
      <c r="D437" s="251">
        <f>IFERROR(__xludf.DUMMYFUNCTION("""COMPUTED_VALUE"""),6.0)</f>
        <v>6</v>
      </c>
      <c r="E437" s="251">
        <f>IFERROR(__xludf.DUMMYFUNCTION("""COMPUTED_VALUE"""),8.0)</f>
        <v>8</v>
      </c>
      <c r="F437" s="251">
        <f>IFERROR(__xludf.DUMMYFUNCTION("""COMPUTED_VALUE"""),5.0)</f>
        <v>5</v>
      </c>
      <c r="G437" s="251">
        <f>IFERROR(__xludf.DUMMYFUNCTION("""COMPUTED_VALUE"""),5.0)</f>
        <v>5</v>
      </c>
      <c r="H437" s="251">
        <f>IFERROR(__xludf.DUMMYFUNCTION("""COMPUTED_VALUE"""),5.0)</f>
        <v>5</v>
      </c>
      <c r="I437" s="251">
        <f>IFERROR(__xludf.DUMMYFUNCTION("""COMPUTED_VALUE"""),7.0)</f>
        <v>7</v>
      </c>
      <c r="J437" s="251">
        <f>IFERROR(__xludf.DUMMYFUNCTION("""COMPUTED_VALUE"""),5.0)</f>
        <v>5</v>
      </c>
      <c r="K437" s="251" t="str">
        <f>IFERROR(__xludf.DUMMYFUNCTION("""COMPUTED_VALUE"""),"Medium")</f>
        <v>Medium</v>
      </c>
      <c r="L437" s="251">
        <f>IFERROR(__xludf.DUMMYFUNCTION("""COMPUTED_VALUE"""),3.0)</f>
        <v>3</v>
      </c>
      <c r="M437" s="251" t="str">
        <f>IFERROR(__xludf.DUMMYFUNCTION("""COMPUTED_VALUE"""),"Desert")</f>
        <v>Desert</v>
      </c>
      <c r="N437" s="251" t="str">
        <f>IFERROR(__xludf.DUMMYFUNCTION("""COMPUTED_VALUE"""),"--")</f>
        <v>--</v>
      </c>
      <c r="O437" s="251" t="str">
        <f>IFERROR(__xludf.DUMMYFUNCTION("""COMPUTED_VALUE"""),"--")</f>
        <v>--</v>
      </c>
      <c r="P437" s="251" t="str">
        <f>IFERROR(__xludf.DUMMYFUNCTION("""COMPUTED_VALUE"""),"--")</f>
        <v>--</v>
      </c>
      <c r="Q437" s="251" t="str">
        <f>IFERROR(__xludf.DUMMYFUNCTION("""COMPUTED_VALUE"""),"--")</f>
        <v>--</v>
      </c>
      <c r="R437" s="251" t="str">
        <f>IFERROR(__xludf.DUMMYFUNCTION("""COMPUTED_VALUE"""),"Darkvision")</f>
        <v>Darkvision</v>
      </c>
      <c r="S437" s="251" t="str">
        <f>IFERROR(__xludf.DUMMYFUNCTION("""COMPUTED_VALUE"""),"Underdog")</f>
        <v>Underdog</v>
      </c>
      <c r="T437" s="251" t="str">
        <f>IFERROR(__xludf.DUMMYFUNCTION("""COMPUTED_VALUE"""),"--")</f>
        <v>--</v>
      </c>
      <c r="U437" s="251" t="str">
        <f>IFERROR(__xludf.DUMMYFUNCTION("""COMPUTED_VALUE"""),"--")</f>
        <v>--</v>
      </c>
      <c r="V437" s="251" t="str">
        <f>IFERROR(__xludf.DUMMYFUNCTION("""COMPUTED_VALUE"""),"--")</f>
        <v>--</v>
      </c>
      <c r="W437" s="251" t="str">
        <f>IFERROR(__xludf.DUMMYFUNCTION("""COMPUTED_VALUE"""),"--")</f>
        <v>--</v>
      </c>
      <c r="X437" s="251" t="str">
        <f>IFERROR(__xludf.DUMMYFUNCTION("""COMPUTED_VALUE"""),"--")</f>
        <v>--</v>
      </c>
      <c r="Y437" s="251" t="str">
        <f>IFERROR(__xludf.DUMMYFUNCTION("""COMPUTED_VALUE"""),"--")</f>
        <v>--</v>
      </c>
      <c r="Z437" s="251" t="str">
        <f>IFERROR(__xludf.DUMMYFUNCTION("""COMPUTED_VALUE"""),"--")</f>
        <v>--</v>
      </c>
      <c r="AA437" s="251" t="str">
        <f>IFERROR(__xludf.DUMMYFUNCTION("""COMPUTED_VALUE"""),"--")</f>
        <v>--</v>
      </c>
      <c r="AB437" s="251" t="str">
        <f>IFERROR(__xludf.DUMMYFUNCTION("""COMPUTED_VALUE"""),"--")</f>
        <v>--</v>
      </c>
      <c r="AC437" s="251" t="str">
        <f>IFERROR(__xludf.DUMMYFUNCTION("""COMPUTED_VALUE"""),"--")</f>
        <v>--</v>
      </c>
      <c r="AD437" s="251">
        <f>IFERROR(__xludf.DUMMYFUNCTION("""COMPUTED_VALUE"""),2.0)</f>
        <v>2</v>
      </c>
      <c r="AE437" s="251" t="str">
        <f>IFERROR(__xludf.DUMMYFUNCTION("""COMPUTED_VALUE"""),"Carnivore")</f>
        <v>Carnivore</v>
      </c>
    </row>
    <row r="438">
      <c r="A438" s="251" t="str">
        <f>IFERROR(__xludf.DUMMYFUNCTION("""COMPUTED_VALUE"""),"Krookodile")</f>
        <v>Krookodile</v>
      </c>
      <c r="B438" s="251" t="str">
        <f>IFERROR(__xludf.DUMMYFUNCTION("""COMPUTED_VALUE"""),"Ground")</f>
        <v>Ground</v>
      </c>
      <c r="C438" s="251" t="str">
        <f>IFERROR(__xludf.DUMMYFUNCTION("""COMPUTED_VALUE"""),"Dark")</f>
        <v>Dark</v>
      </c>
      <c r="D438" s="251">
        <f>IFERROR(__xludf.DUMMYFUNCTION("""COMPUTED_VALUE"""),10.0)</f>
        <v>10</v>
      </c>
      <c r="E438" s="251">
        <f>IFERROR(__xludf.DUMMYFUNCTION("""COMPUTED_VALUE"""),12.0)</f>
        <v>12</v>
      </c>
      <c r="F438" s="251">
        <f>IFERROR(__xludf.DUMMYFUNCTION("""COMPUTED_VALUE"""),8.0)</f>
        <v>8</v>
      </c>
      <c r="G438" s="251">
        <f>IFERROR(__xludf.DUMMYFUNCTION("""COMPUTED_VALUE"""),7.0)</f>
        <v>7</v>
      </c>
      <c r="H438" s="251">
        <f>IFERROR(__xludf.DUMMYFUNCTION("""COMPUTED_VALUE"""),7.0)</f>
        <v>7</v>
      </c>
      <c r="I438" s="251">
        <f>IFERROR(__xludf.DUMMYFUNCTION("""COMPUTED_VALUE"""),9.0)</f>
        <v>9</v>
      </c>
      <c r="J438" s="251">
        <f>IFERROR(__xludf.DUMMYFUNCTION("""COMPUTED_VALUE"""),7.0)</f>
        <v>7</v>
      </c>
      <c r="K438" s="251" t="str">
        <f>IFERROR(__xludf.DUMMYFUNCTION("""COMPUTED_VALUE"""),"Medium")</f>
        <v>Medium</v>
      </c>
      <c r="L438" s="251">
        <f>IFERROR(__xludf.DUMMYFUNCTION("""COMPUTED_VALUE"""),4.0)</f>
        <v>4</v>
      </c>
      <c r="M438" s="251" t="str">
        <f>IFERROR(__xludf.DUMMYFUNCTION("""COMPUTED_VALUE"""),"Desert")</f>
        <v>Desert</v>
      </c>
      <c r="N438" s="251" t="str">
        <f>IFERROR(__xludf.DUMMYFUNCTION("""COMPUTED_VALUE"""),"--")</f>
        <v>--</v>
      </c>
      <c r="O438" s="251" t="str">
        <f>IFERROR(__xludf.DUMMYFUNCTION("""COMPUTED_VALUE"""),"--")</f>
        <v>--</v>
      </c>
      <c r="P438" s="251" t="str">
        <f>IFERROR(__xludf.DUMMYFUNCTION("""COMPUTED_VALUE"""),"--")</f>
        <v>--</v>
      </c>
      <c r="Q438" s="251" t="str">
        <f>IFERROR(__xludf.DUMMYFUNCTION("""COMPUTED_VALUE"""),"--")</f>
        <v>--</v>
      </c>
      <c r="R438" s="251" t="str">
        <f>IFERROR(__xludf.DUMMYFUNCTION("""COMPUTED_VALUE"""),"Darkvision")</f>
        <v>Darkvision</v>
      </c>
      <c r="S438" s="251" t="str">
        <f>IFERROR(__xludf.DUMMYFUNCTION("""COMPUTED_VALUE"""),"Groundshaper")</f>
        <v>Groundshaper</v>
      </c>
      <c r="T438" s="251" t="str">
        <f>IFERROR(__xludf.DUMMYFUNCTION("""COMPUTED_VALUE"""),"--")</f>
        <v>--</v>
      </c>
      <c r="U438" s="251" t="str">
        <f>IFERROR(__xludf.DUMMYFUNCTION("""COMPUTED_VALUE"""),"--")</f>
        <v>--</v>
      </c>
      <c r="V438" s="251" t="str">
        <f>IFERROR(__xludf.DUMMYFUNCTION("""COMPUTED_VALUE"""),"--")</f>
        <v>--</v>
      </c>
      <c r="W438" s="251" t="str">
        <f>IFERROR(__xludf.DUMMYFUNCTION("""COMPUTED_VALUE"""),"--")</f>
        <v>--</v>
      </c>
      <c r="X438" s="251" t="str">
        <f>IFERROR(__xludf.DUMMYFUNCTION("""COMPUTED_VALUE"""),"--")</f>
        <v>--</v>
      </c>
      <c r="Y438" s="251" t="str">
        <f>IFERROR(__xludf.DUMMYFUNCTION("""COMPUTED_VALUE"""),"--")</f>
        <v>--</v>
      </c>
      <c r="Z438" s="251" t="str">
        <f>IFERROR(__xludf.DUMMYFUNCTION("""COMPUTED_VALUE"""),"--")</f>
        <v>--</v>
      </c>
      <c r="AA438" s="251" t="str">
        <f>IFERROR(__xludf.DUMMYFUNCTION("""COMPUTED_VALUE"""),"--")</f>
        <v>--</v>
      </c>
      <c r="AB438" s="251" t="str">
        <f>IFERROR(__xludf.DUMMYFUNCTION("""COMPUTED_VALUE"""),"--")</f>
        <v>--</v>
      </c>
      <c r="AC438" s="251" t="str">
        <f>IFERROR(__xludf.DUMMYFUNCTION("""COMPUTED_VALUE"""),"--")</f>
        <v>--</v>
      </c>
      <c r="AD438" s="251">
        <f>IFERROR(__xludf.DUMMYFUNCTION("""COMPUTED_VALUE"""),3.0)</f>
        <v>3</v>
      </c>
      <c r="AE438" s="251" t="str">
        <f>IFERROR(__xludf.DUMMYFUNCTION("""COMPUTED_VALUE"""),"Carnivore")</f>
        <v>Carnivore</v>
      </c>
    </row>
    <row r="439">
      <c r="A439" s="251" t="str">
        <f>IFERROR(__xludf.DUMMYFUNCTION("""COMPUTED_VALUE"""),"Swinub")</f>
        <v>Swinub</v>
      </c>
      <c r="B439" s="251" t="str">
        <f>IFERROR(__xludf.DUMMYFUNCTION("""COMPUTED_VALUE"""),"Ice")</f>
        <v>Ice</v>
      </c>
      <c r="C439" s="251" t="str">
        <f>IFERROR(__xludf.DUMMYFUNCTION("""COMPUTED_VALUE"""),"Ground")</f>
        <v>Ground</v>
      </c>
      <c r="D439" s="251">
        <f>IFERROR(__xludf.DUMMYFUNCTION("""COMPUTED_VALUE"""),7.0)</f>
        <v>7</v>
      </c>
      <c r="E439" s="251">
        <f>IFERROR(__xludf.DUMMYFUNCTION("""COMPUTED_VALUE"""),6.0)</f>
        <v>6</v>
      </c>
      <c r="F439" s="251">
        <f>IFERROR(__xludf.DUMMYFUNCTION("""COMPUTED_VALUE"""),6.0)</f>
        <v>6</v>
      </c>
      <c r="G439" s="251">
        <f>IFERROR(__xludf.DUMMYFUNCTION("""COMPUTED_VALUE"""),3.0)</f>
        <v>3</v>
      </c>
      <c r="H439" s="251">
        <f>IFERROR(__xludf.DUMMYFUNCTION("""COMPUTED_VALUE"""),3.0)</f>
        <v>3</v>
      </c>
      <c r="I439" s="251">
        <f>IFERROR(__xludf.DUMMYFUNCTION("""COMPUTED_VALUE"""),5.0)</f>
        <v>5</v>
      </c>
      <c r="J439" s="251">
        <f>IFERROR(__xludf.DUMMYFUNCTION("""COMPUTED_VALUE"""),1.0)</f>
        <v>1</v>
      </c>
      <c r="K439" s="251" t="str">
        <f>IFERROR(__xludf.DUMMYFUNCTION("""COMPUTED_VALUE"""),"Small")</f>
        <v>Small</v>
      </c>
      <c r="L439" s="251">
        <f>IFERROR(__xludf.DUMMYFUNCTION("""COMPUTED_VALUE"""),1.0)</f>
        <v>1</v>
      </c>
      <c r="M439" s="251" t="str">
        <f>IFERROR(__xludf.DUMMYFUNCTION("""COMPUTED_VALUE"""),"Tundra")</f>
        <v>Tundra</v>
      </c>
      <c r="N439" s="251" t="str">
        <f>IFERROR(__xludf.DUMMYFUNCTION("""COMPUTED_VALUE"""),"Slow")</f>
        <v>Slow</v>
      </c>
      <c r="O439" s="251" t="str">
        <f>IFERROR(__xludf.DUMMYFUNCTION("""COMPUTED_VALUE"""),"--")</f>
        <v>--</v>
      </c>
      <c r="P439" s="251" t="str">
        <f>IFERROR(__xludf.DUMMYFUNCTION("""COMPUTED_VALUE"""),"--")</f>
        <v>--</v>
      </c>
      <c r="Q439" s="251" t="str">
        <f>IFERROR(__xludf.DUMMYFUNCTION("""COMPUTED_VALUE"""),"--")</f>
        <v>--</v>
      </c>
      <c r="R439" s="251" t="str">
        <f>IFERROR(__xludf.DUMMYFUNCTION("""COMPUTED_VALUE"""),"Underdog")</f>
        <v>Underdog</v>
      </c>
      <c r="S439" s="251" t="str">
        <f>IFERROR(__xludf.DUMMYFUNCTION("""COMPUTED_VALUE"""),"--")</f>
        <v>--</v>
      </c>
      <c r="T439" s="251" t="str">
        <f>IFERROR(__xludf.DUMMYFUNCTION("""COMPUTED_VALUE"""),"--")</f>
        <v>--</v>
      </c>
      <c r="U439" s="251" t="str">
        <f>IFERROR(__xludf.DUMMYFUNCTION("""COMPUTED_VALUE"""),"--")</f>
        <v>--</v>
      </c>
      <c r="V439" s="251" t="str">
        <f>IFERROR(__xludf.DUMMYFUNCTION("""COMPUTED_VALUE"""),"Tremorsense")</f>
        <v>Tremorsense</v>
      </c>
      <c r="W439" s="251" t="str">
        <f>IFERROR(__xludf.DUMMYFUNCTION("""COMPUTED_VALUE"""),"--")</f>
        <v>--</v>
      </c>
      <c r="X439" s="251" t="str">
        <f>IFERROR(__xludf.DUMMYFUNCTION("""COMPUTED_VALUE"""),"--")</f>
        <v>--</v>
      </c>
      <c r="Y439" s="251" t="str">
        <f>IFERROR(__xludf.DUMMYFUNCTION("""COMPUTED_VALUE"""),"--")</f>
        <v>--</v>
      </c>
      <c r="Z439" s="251" t="str">
        <f>IFERROR(__xludf.DUMMYFUNCTION("""COMPUTED_VALUE"""),"--")</f>
        <v>--</v>
      </c>
      <c r="AA439" s="251" t="str">
        <f>IFERROR(__xludf.DUMMYFUNCTION("""COMPUTED_VALUE"""),"--")</f>
        <v>--</v>
      </c>
      <c r="AB439" s="251" t="str">
        <f>IFERROR(__xludf.DUMMYFUNCTION("""COMPUTED_VALUE"""),"--")</f>
        <v>--</v>
      </c>
      <c r="AC439" s="251" t="str">
        <f>IFERROR(__xludf.DUMMYFUNCTION("""COMPUTED_VALUE"""),"--")</f>
        <v>--</v>
      </c>
      <c r="AD439" s="251">
        <f>IFERROR(__xludf.DUMMYFUNCTION("""COMPUTED_VALUE"""),1.0)</f>
        <v>1</v>
      </c>
      <c r="AE439" s="251" t="str">
        <f>IFERROR(__xludf.DUMMYFUNCTION("""COMPUTED_VALUE"""),"Herbivore")</f>
        <v>Herbivore</v>
      </c>
    </row>
    <row r="440">
      <c r="A440" s="251" t="str">
        <f>IFERROR(__xludf.DUMMYFUNCTION("""COMPUTED_VALUE"""),"Piloswine")</f>
        <v>Piloswine</v>
      </c>
      <c r="B440" s="251" t="str">
        <f>IFERROR(__xludf.DUMMYFUNCTION("""COMPUTED_VALUE"""),"Ice")</f>
        <v>Ice</v>
      </c>
      <c r="C440" s="251" t="str">
        <f>IFERROR(__xludf.DUMMYFUNCTION("""COMPUTED_VALUE"""),"Ground")</f>
        <v>Ground</v>
      </c>
      <c r="D440" s="251">
        <f>IFERROR(__xludf.DUMMYFUNCTION("""COMPUTED_VALUE"""),10.0)</f>
        <v>10</v>
      </c>
      <c r="E440" s="251">
        <f>IFERROR(__xludf.DUMMYFUNCTION("""COMPUTED_VALUE"""),10.0)</f>
        <v>10</v>
      </c>
      <c r="F440" s="251">
        <f>IFERROR(__xludf.DUMMYFUNCTION("""COMPUTED_VALUE"""),8.0)</f>
        <v>8</v>
      </c>
      <c r="G440" s="251">
        <f>IFERROR(__xludf.DUMMYFUNCTION("""COMPUTED_VALUE"""),6.0)</f>
        <v>6</v>
      </c>
      <c r="H440" s="251">
        <f>IFERROR(__xludf.DUMMYFUNCTION("""COMPUTED_VALUE"""),6.0)</f>
        <v>6</v>
      </c>
      <c r="I440" s="251">
        <f>IFERROR(__xludf.DUMMYFUNCTION("""COMPUTED_VALUE"""),5.0)</f>
        <v>5</v>
      </c>
      <c r="J440" s="251">
        <f>IFERROR(__xludf.DUMMYFUNCTION("""COMPUTED_VALUE"""),4.0)</f>
        <v>4</v>
      </c>
      <c r="K440" s="251" t="str">
        <f>IFERROR(__xludf.DUMMYFUNCTION("""COMPUTED_VALUE"""),"Medium")</f>
        <v>Medium</v>
      </c>
      <c r="L440" s="251">
        <f>IFERROR(__xludf.DUMMYFUNCTION("""COMPUTED_VALUE"""),4.0)</f>
        <v>4</v>
      </c>
      <c r="M440" s="251" t="str">
        <f>IFERROR(__xludf.DUMMYFUNCTION("""COMPUTED_VALUE"""),"Tundra")</f>
        <v>Tundra</v>
      </c>
      <c r="N440" s="251" t="str">
        <f>IFERROR(__xludf.DUMMYFUNCTION("""COMPUTED_VALUE"""),"--")</f>
        <v>--</v>
      </c>
      <c r="O440" s="251" t="str">
        <f>IFERROR(__xludf.DUMMYFUNCTION("""COMPUTED_VALUE"""),"--")</f>
        <v>--</v>
      </c>
      <c r="P440" s="251" t="str">
        <f>IFERROR(__xludf.DUMMYFUNCTION("""COMPUTED_VALUE"""),"--")</f>
        <v>--</v>
      </c>
      <c r="Q440" s="251" t="str">
        <f>IFERROR(__xludf.DUMMYFUNCTION("""COMPUTED_VALUE"""),"--")</f>
        <v>--</v>
      </c>
      <c r="R440" s="251" t="str">
        <f>IFERROR(__xludf.DUMMYFUNCTION("""COMPUTED_VALUE"""),"Mountable")</f>
        <v>Mountable</v>
      </c>
      <c r="S440" s="251" t="str">
        <f>IFERROR(__xludf.DUMMYFUNCTION("""COMPUTED_VALUE"""),"Underdog")</f>
        <v>Underdog</v>
      </c>
      <c r="T440" s="251" t="str">
        <f>IFERROR(__xludf.DUMMYFUNCTION("""COMPUTED_VALUE"""),"--")</f>
        <v>--</v>
      </c>
      <c r="U440" s="251" t="str">
        <f>IFERROR(__xludf.DUMMYFUNCTION("""COMPUTED_VALUE"""),"--")</f>
        <v>--</v>
      </c>
      <c r="V440" s="251" t="str">
        <f>IFERROR(__xludf.DUMMYFUNCTION("""COMPUTED_VALUE"""),"Tremorsense")</f>
        <v>Tremorsense</v>
      </c>
      <c r="W440" s="251" t="str">
        <f>IFERROR(__xludf.DUMMYFUNCTION("""COMPUTED_VALUE"""),"--")</f>
        <v>--</v>
      </c>
      <c r="X440" s="251" t="str">
        <f>IFERROR(__xludf.DUMMYFUNCTION("""COMPUTED_VALUE"""),"--")</f>
        <v>--</v>
      </c>
      <c r="Y440" s="251" t="str">
        <f>IFERROR(__xludf.DUMMYFUNCTION("""COMPUTED_VALUE"""),"--")</f>
        <v>--</v>
      </c>
      <c r="Z440" s="251" t="str">
        <f>IFERROR(__xludf.DUMMYFUNCTION("""COMPUTED_VALUE"""),"--")</f>
        <v>--</v>
      </c>
      <c r="AA440" s="251" t="str">
        <f>IFERROR(__xludf.DUMMYFUNCTION("""COMPUTED_VALUE"""),"--")</f>
        <v>--</v>
      </c>
      <c r="AB440" s="251" t="str">
        <f>IFERROR(__xludf.DUMMYFUNCTION("""COMPUTED_VALUE"""),"--")</f>
        <v>--</v>
      </c>
      <c r="AC440" s="251" t="str">
        <f>IFERROR(__xludf.DUMMYFUNCTION("""COMPUTED_VALUE"""),"--")</f>
        <v>--</v>
      </c>
      <c r="AD440" s="251">
        <f>IFERROR(__xludf.DUMMYFUNCTION("""COMPUTED_VALUE"""),2.0)</f>
        <v>2</v>
      </c>
      <c r="AE440" s="251" t="str">
        <f>IFERROR(__xludf.DUMMYFUNCTION("""COMPUTED_VALUE"""),"Herbivore")</f>
        <v>Herbivore</v>
      </c>
    </row>
    <row r="441">
      <c r="A441" s="251" t="str">
        <f>IFERROR(__xludf.DUMMYFUNCTION("""COMPUTED_VALUE"""),"Mamoswine")</f>
        <v>Mamoswine</v>
      </c>
      <c r="B441" s="251" t="str">
        <f>IFERROR(__xludf.DUMMYFUNCTION("""COMPUTED_VALUE"""),"Ice")</f>
        <v>Ice</v>
      </c>
      <c r="C441" s="251" t="str">
        <f>IFERROR(__xludf.DUMMYFUNCTION("""COMPUTED_VALUE"""),"Ground")</f>
        <v>Ground</v>
      </c>
      <c r="D441" s="251">
        <f>IFERROR(__xludf.DUMMYFUNCTION("""COMPUTED_VALUE"""),11.0)</f>
        <v>11</v>
      </c>
      <c r="E441" s="251">
        <f>IFERROR(__xludf.DUMMYFUNCTION("""COMPUTED_VALUE"""),13.0)</f>
        <v>13</v>
      </c>
      <c r="F441" s="251">
        <f>IFERROR(__xludf.DUMMYFUNCTION("""COMPUTED_VALUE"""),8.0)</f>
        <v>8</v>
      </c>
      <c r="G441" s="251">
        <f>IFERROR(__xludf.DUMMYFUNCTION("""COMPUTED_VALUE"""),7.0)</f>
        <v>7</v>
      </c>
      <c r="H441" s="251">
        <f>IFERROR(__xludf.DUMMYFUNCTION("""COMPUTED_VALUE"""),6.0)</f>
        <v>6</v>
      </c>
      <c r="I441" s="251">
        <f>IFERROR(__xludf.DUMMYFUNCTION("""COMPUTED_VALUE"""),8.0)</f>
        <v>8</v>
      </c>
      <c r="J441" s="251">
        <f>IFERROR(__xludf.DUMMYFUNCTION("""COMPUTED_VALUE"""),10.0)</f>
        <v>10</v>
      </c>
      <c r="K441" s="251" t="str">
        <f>IFERROR(__xludf.DUMMYFUNCTION("""COMPUTED_VALUE"""),"Large")</f>
        <v>Large</v>
      </c>
      <c r="L441" s="251">
        <f>IFERROR(__xludf.DUMMYFUNCTION("""COMPUTED_VALUE"""),6.0)</f>
        <v>6</v>
      </c>
      <c r="M441" s="251" t="str">
        <f>IFERROR(__xludf.DUMMYFUNCTION("""COMPUTED_VALUE"""),"Tundra")</f>
        <v>Tundra</v>
      </c>
      <c r="N441" s="251" t="str">
        <f>IFERROR(__xludf.DUMMYFUNCTION("""COMPUTED_VALUE"""),"--")</f>
        <v>--</v>
      </c>
      <c r="O441" s="251" t="str">
        <f>IFERROR(__xludf.DUMMYFUNCTION("""COMPUTED_VALUE"""),"--")</f>
        <v>--</v>
      </c>
      <c r="P441" s="251" t="str">
        <f>IFERROR(__xludf.DUMMYFUNCTION("""COMPUTED_VALUE"""),"--")</f>
        <v>--</v>
      </c>
      <c r="Q441" s="251" t="str">
        <f>IFERROR(__xludf.DUMMYFUNCTION("""COMPUTED_VALUE"""),"--")</f>
        <v>--</v>
      </c>
      <c r="R441" s="251" t="str">
        <f>IFERROR(__xludf.DUMMYFUNCTION("""COMPUTED_VALUE"""),"Mountable")</f>
        <v>Mountable</v>
      </c>
      <c r="S441" s="251" t="str">
        <f>IFERROR(__xludf.DUMMYFUNCTION("""COMPUTED_VALUE"""),"--")</f>
        <v>--</v>
      </c>
      <c r="T441" s="251" t="str">
        <f>IFERROR(__xludf.DUMMYFUNCTION("""COMPUTED_VALUE"""),"--")</f>
        <v>--</v>
      </c>
      <c r="U441" s="251" t="str">
        <f>IFERROR(__xludf.DUMMYFUNCTION("""COMPUTED_VALUE"""),"--")</f>
        <v>--</v>
      </c>
      <c r="V441" s="251" t="str">
        <f>IFERROR(__xludf.DUMMYFUNCTION("""COMPUTED_VALUE"""),"Tremorsense")</f>
        <v>Tremorsense</v>
      </c>
      <c r="W441" s="251" t="str">
        <f>IFERROR(__xludf.DUMMYFUNCTION("""COMPUTED_VALUE"""),"--")</f>
        <v>--</v>
      </c>
      <c r="X441" s="251" t="str">
        <f>IFERROR(__xludf.DUMMYFUNCTION("""COMPUTED_VALUE"""),"--")</f>
        <v>--</v>
      </c>
      <c r="Y441" s="251" t="str">
        <f>IFERROR(__xludf.DUMMYFUNCTION("""COMPUTED_VALUE"""),"--")</f>
        <v>--</v>
      </c>
      <c r="Z441" s="251" t="str">
        <f>IFERROR(__xludf.DUMMYFUNCTION("""COMPUTED_VALUE"""),"--")</f>
        <v>--</v>
      </c>
      <c r="AA441" s="251" t="str">
        <f>IFERROR(__xludf.DUMMYFUNCTION("""COMPUTED_VALUE"""),"--")</f>
        <v>--</v>
      </c>
      <c r="AB441" s="251" t="str">
        <f>IFERROR(__xludf.DUMMYFUNCTION("""COMPUTED_VALUE"""),"--")</f>
        <v>--</v>
      </c>
      <c r="AC441" s="251" t="str">
        <f>IFERROR(__xludf.DUMMYFUNCTION("""COMPUTED_VALUE"""),"--")</f>
        <v>--</v>
      </c>
      <c r="AD441" s="251">
        <f>IFERROR(__xludf.DUMMYFUNCTION("""COMPUTED_VALUE"""),3.0)</f>
        <v>3</v>
      </c>
      <c r="AE441" s="251" t="str">
        <f>IFERROR(__xludf.DUMMYFUNCTION("""COMPUTED_VALUE"""),"Omnivore")</f>
        <v>Omnivore</v>
      </c>
    </row>
    <row r="442">
      <c r="A442" s="251" t="str">
        <f>IFERROR(__xludf.DUMMYFUNCTION("""COMPUTED_VALUE"""),"Spheal")</f>
        <v>Spheal</v>
      </c>
      <c r="B442" s="251" t="str">
        <f>IFERROR(__xludf.DUMMYFUNCTION("""COMPUTED_VALUE"""),"Ice")</f>
        <v>Ice</v>
      </c>
      <c r="C442" s="251" t="str">
        <f>IFERROR(__xludf.DUMMYFUNCTION("""COMPUTED_VALUE"""),"Water")</f>
        <v>Water</v>
      </c>
      <c r="D442" s="251">
        <f>IFERROR(__xludf.DUMMYFUNCTION("""COMPUTED_VALUE"""),7.0)</f>
        <v>7</v>
      </c>
      <c r="E442" s="251">
        <f>IFERROR(__xludf.DUMMYFUNCTION("""COMPUTED_VALUE"""),4.0)</f>
        <v>4</v>
      </c>
      <c r="F442" s="251">
        <f>IFERROR(__xludf.DUMMYFUNCTION("""COMPUTED_VALUE"""),5.0)</f>
        <v>5</v>
      </c>
      <c r="G442" s="251">
        <f>IFERROR(__xludf.DUMMYFUNCTION("""COMPUTED_VALUE"""),6.0)</f>
        <v>6</v>
      </c>
      <c r="H442" s="251">
        <f>IFERROR(__xludf.DUMMYFUNCTION("""COMPUTED_VALUE"""),5.0)</f>
        <v>5</v>
      </c>
      <c r="I442" s="251">
        <f>IFERROR(__xludf.DUMMYFUNCTION("""COMPUTED_VALUE"""),3.0)</f>
        <v>3</v>
      </c>
      <c r="J442" s="251">
        <f>IFERROR(__xludf.DUMMYFUNCTION("""COMPUTED_VALUE"""),1.0)</f>
        <v>1</v>
      </c>
      <c r="K442" s="251" t="str">
        <f>IFERROR(__xludf.DUMMYFUNCTION("""COMPUTED_VALUE"""),"Small")</f>
        <v>Small</v>
      </c>
      <c r="L442" s="251">
        <f>IFERROR(__xludf.DUMMYFUNCTION("""COMPUTED_VALUE"""),3.0)</f>
        <v>3</v>
      </c>
      <c r="M442" s="251" t="str">
        <f>IFERROR(__xludf.DUMMYFUNCTION("""COMPUTED_VALUE"""),"Ocean, Tundra")</f>
        <v>Ocean, Tundra</v>
      </c>
      <c r="N442" s="251" t="str">
        <f>IFERROR(__xludf.DUMMYFUNCTION("""COMPUTED_VALUE"""),"Swimmer")</f>
        <v>Swimmer</v>
      </c>
      <c r="O442" s="251" t="str">
        <f>IFERROR(__xludf.DUMMYFUNCTION("""COMPUTED_VALUE"""),"--")</f>
        <v>--</v>
      </c>
      <c r="P442" s="251" t="str">
        <f>IFERROR(__xludf.DUMMYFUNCTION("""COMPUTED_VALUE"""),"--")</f>
        <v>--</v>
      </c>
      <c r="Q442" s="251" t="str">
        <f>IFERROR(__xludf.DUMMYFUNCTION("""COMPUTED_VALUE"""),"--")</f>
        <v>--</v>
      </c>
      <c r="R442" s="251" t="str">
        <f>IFERROR(__xludf.DUMMYFUNCTION("""COMPUTED_VALUE"""),"Underdog")</f>
        <v>Underdog</v>
      </c>
      <c r="S442" s="251" t="str">
        <f>IFERROR(__xludf.DUMMYFUNCTION("""COMPUTED_VALUE"""),"--")</f>
        <v>--</v>
      </c>
      <c r="T442" s="251" t="str">
        <f>IFERROR(__xludf.DUMMYFUNCTION("""COMPUTED_VALUE"""),"--")</f>
        <v>--</v>
      </c>
      <c r="U442" s="251" t="str">
        <f>IFERROR(__xludf.DUMMYFUNCTION("""COMPUTED_VALUE"""),"--")</f>
        <v>--</v>
      </c>
      <c r="V442" s="251" t="str">
        <f>IFERROR(__xludf.DUMMYFUNCTION("""COMPUTED_VALUE"""),"--")</f>
        <v>--</v>
      </c>
      <c r="W442" s="251" t="str">
        <f>IFERROR(__xludf.DUMMYFUNCTION("""COMPUTED_VALUE"""),"--")</f>
        <v>--</v>
      </c>
      <c r="X442" s="251" t="str">
        <f>IFERROR(__xludf.DUMMYFUNCTION("""COMPUTED_VALUE"""),"--")</f>
        <v>--</v>
      </c>
      <c r="Y442" s="251" t="str">
        <f>IFERROR(__xludf.DUMMYFUNCTION("""COMPUTED_VALUE"""),"--")</f>
        <v>--</v>
      </c>
      <c r="Z442" s="251" t="str">
        <f>IFERROR(__xludf.DUMMYFUNCTION("""COMPUTED_VALUE"""),"--")</f>
        <v>--</v>
      </c>
      <c r="AA442" s="251" t="str">
        <f>IFERROR(__xludf.DUMMYFUNCTION("""COMPUTED_VALUE"""),"--")</f>
        <v>--</v>
      </c>
      <c r="AB442" s="251" t="str">
        <f>IFERROR(__xludf.DUMMYFUNCTION("""COMPUTED_VALUE"""),"--")</f>
        <v>--</v>
      </c>
      <c r="AC442" s="251" t="str">
        <f>IFERROR(__xludf.DUMMYFUNCTION("""COMPUTED_VALUE"""),"--")</f>
        <v>--</v>
      </c>
      <c r="AD442" s="251">
        <f>IFERROR(__xludf.DUMMYFUNCTION("""COMPUTED_VALUE"""),1.0)</f>
        <v>1</v>
      </c>
      <c r="AE442" s="251" t="str">
        <f>IFERROR(__xludf.DUMMYFUNCTION("""COMPUTED_VALUE"""),"Herbivore")</f>
        <v>Herbivore</v>
      </c>
    </row>
    <row r="443">
      <c r="A443" s="251" t="str">
        <f>IFERROR(__xludf.DUMMYFUNCTION("""COMPUTED_VALUE"""),"Sealeo")</f>
        <v>Sealeo</v>
      </c>
      <c r="B443" s="251" t="str">
        <f>IFERROR(__xludf.DUMMYFUNCTION("""COMPUTED_VALUE"""),"Ice")</f>
        <v>Ice</v>
      </c>
      <c r="C443" s="251" t="str">
        <f>IFERROR(__xludf.DUMMYFUNCTION("""COMPUTED_VALUE"""),"Water")</f>
        <v>Water</v>
      </c>
      <c r="D443" s="251">
        <f>IFERROR(__xludf.DUMMYFUNCTION("""COMPUTED_VALUE"""),9.0)</f>
        <v>9</v>
      </c>
      <c r="E443" s="251">
        <f>IFERROR(__xludf.DUMMYFUNCTION("""COMPUTED_VALUE"""),6.0)</f>
        <v>6</v>
      </c>
      <c r="F443" s="251">
        <f>IFERROR(__xludf.DUMMYFUNCTION("""COMPUTED_VALUE"""),7.0)</f>
        <v>7</v>
      </c>
      <c r="G443" s="251">
        <f>IFERROR(__xludf.DUMMYFUNCTION("""COMPUTED_VALUE"""),8.0)</f>
        <v>8</v>
      </c>
      <c r="H443" s="251">
        <f>IFERROR(__xludf.DUMMYFUNCTION("""COMPUTED_VALUE"""),7.0)</f>
        <v>7</v>
      </c>
      <c r="I443" s="251">
        <f>IFERROR(__xludf.DUMMYFUNCTION("""COMPUTED_VALUE"""),5.0)</f>
        <v>5</v>
      </c>
      <c r="J443" s="251">
        <f>IFERROR(__xludf.DUMMYFUNCTION("""COMPUTED_VALUE"""),4.0)</f>
        <v>4</v>
      </c>
      <c r="K443" s="251" t="str">
        <f>IFERROR(__xludf.DUMMYFUNCTION("""COMPUTED_VALUE"""),"Medium")</f>
        <v>Medium</v>
      </c>
      <c r="L443" s="251">
        <f>IFERROR(__xludf.DUMMYFUNCTION("""COMPUTED_VALUE"""),4.0)</f>
        <v>4</v>
      </c>
      <c r="M443" s="251" t="str">
        <f>IFERROR(__xludf.DUMMYFUNCTION("""COMPUTED_VALUE"""),"Ocean, Tundra")</f>
        <v>Ocean, Tundra</v>
      </c>
      <c r="N443" s="251" t="str">
        <f>IFERROR(__xludf.DUMMYFUNCTION("""COMPUTED_VALUE"""),"Swimmer")</f>
        <v>Swimmer</v>
      </c>
      <c r="O443" s="251" t="str">
        <f>IFERROR(__xludf.DUMMYFUNCTION("""COMPUTED_VALUE"""),"--")</f>
        <v>--</v>
      </c>
      <c r="P443" s="251" t="str">
        <f>IFERROR(__xludf.DUMMYFUNCTION("""COMPUTED_VALUE"""),"--")</f>
        <v>--</v>
      </c>
      <c r="Q443" s="251" t="str">
        <f>IFERROR(__xludf.DUMMYFUNCTION("""COMPUTED_VALUE"""),"--")</f>
        <v>--</v>
      </c>
      <c r="R443" s="251" t="str">
        <f>IFERROR(__xludf.DUMMYFUNCTION("""COMPUTED_VALUE"""),"Underdog")</f>
        <v>Underdog</v>
      </c>
      <c r="S443" s="251" t="str">
        <f>IFERROR(__xludf.DUMMYFUNCTION("""COMPUTED_VALUE"""),"--")</f>
        <v>--</v>
      </c>
      <c r="T443" s="251" t="str">
        <f>IFERROR(__xludf.DUMMYFUNCTION("""COMPUTED_VALUE"""),"--")</f>
        <v>--</v>
      </c>
      <c r="U443" s="251" t="str">
        <f>IFERROR(__xludf.DUMMYFUNCTION("""COMPUTED_VALUE"""),"--")</f>
        <v>--</v>
      </c>
      <c r="V443" s="251" t="str">
        <f>IFERROR(__xludf.DUMMYFUNCTION("""COMPUTED_VALUE"""),"--")</f>
        <v>--</v>
      </c>
      <c r="W443" s="251" t="str">
        <f>IFERROR(__xludf.DUMMYFUNCTION("""COMPUTED_VALUE"""),"--")</f>
        <v>--</v>
      </c>
      <c r="X443" s="251" t="str">
        <f>IFERROR(__xludf.DUMMYFUNCTION("""COMPUTED_VALUE"""),"--")</f>
        <v>--</v>
      </c>
      <c r="Y443" s="251" t="str">
        <f>IFERROR(__xludf.DUMMYFUNCTION("""COMPUTED_VALUE"""),"--")</f>
        <v>--</v>
      </c>
      <c r="Z443" s="251" t="str">
        <f>IFERROR(__xludf.DUMMYFUNCTION("""COMPUTED_VALUE"""),"--")</f>
        <v>--</v>
      </c>
      <c r="AA443" s="251" t="str">
        <f>IFERROR(__xludf.DUMMYFUNCTION("""COMPUTED_VALUE"""),"--")</f>
        <v>--</v>
      </c>
      <c r="AB443" s="251" t="str">
        <f>IFERROR(__xludf.DUMMYFUNCTION("""COMPUTED_VALUE"""),"--")</f>
        <v>--</v>
      </c>
      <c r="AC443" s="251" t="str">
        <f>IFERROR(__xludf.DUMMYFUNCTION("""COMPUTED_VALUE"""),"--")</f>
        <v>--</v>
      </c>
      <c r="AD443" s="251">
        <f>IFERROR(__xludf.DUMMYFUNCTION("""COMPUTED_VALUE"""),2.0)</f>
        <v>2</v>
      </c>
      <c r="AE443" s="251" t="str">
        <f>IFERROR(__xludf.DUMMYFUNCTION("""COMPUTED_VALUE"""),"Herbivore")</f>
        <v>Herbivore</v>
      </c>
    </row>
    <row r="444">
      <c r="A444" s="251" t="str">
        <f>IFERROR(__xludf.DUMMYFUNCTION("""COMPUTED_VALUE"""),"Walrein")</f>
        <v>Walrein</v>
      </c>
      <c r="B444" s="251" t="str">
        <f>IFERROR(__xludf.DUMMYFUNCTION("""COMPUTED_VALUE"""),"Ice")</f>
        <v>Ice</v>
      </c>
      <c r="C444" s="251" t="str">
        <f>IFERROR(__xludf.DUMMYFUNCTION("""COMPUTED_VALUE"""),"Water")</f>
        <v>Water</v>
      </c>
      <c r="D444" s="251">
        <f>IFERROR(__xludf.DUMMYFUNCTION("""COMPUTED_VALUE"""),11.0)</f>
        <v>11</v>
      </c>
      <c r="E444" s="251">
        <f>IFERROR(__xludf.DUMMYFUNCTION("""COMPUTED_VALUE"""),8.0)</f>
        <v>8</v>
      </c>
      <c r="F444" s="251">
        <f>IFERROR(__xludf.DUMMYFUNCTION("""COMPUTED_VALUE"""),9.0)</f>
        <v>9</v>
      </c>
      <c r="G444" s="251">
        <f>IFERROR(__xludf.DUMMYFUNCTION("""COMPUTED_VALUE"""),10.0)</f>
        <v>10</v>
      </c>
      <c r="H444" s="251">
        <f>IFERROR(__xludf.DUMMYFUNCTION("""COMPUTED_VALUE"""),9.0)</f>
        <v>9</v>
      </c>
      <c r="I444" s="251">
        <f>IFERROR(__xludf.DUMMYFUNCTION("""COMPUTED_VALUE"""),7.0)</f>
        <v>7</v>
      </c>
      <c r="J444" s="251">
        <f>IFERROR(__xludf.DUMMYFUNCTION("""COMPUTED_VALUE"""),7.0)</f>
        <v>7</v>
      </c>
      <c r="K444" s="251" t="str">
        <f>IFERROR(__xludf.DUMMYFUNCTION("""COMPUTED_VALUE"""),"Large")</f>
        <v>Large</v>
      </c>
      <c r="L444" s="251">
        <f>IFERROR(__xludf.DUMMYFUNCTION("""COMPUTED_VALUE"""),5.0)</f>
        <v>5</v>
      </c>
      <c r="M444" s="251" t="str">
        <f>IFERROR(__xludf.DUMMYFUNCTION("""COMPUTED_VALUE"""),"Ocean, Tundra")</f>
        <v>Ocean, Tundra</v>
      </c>
      <c r="N444" s="251" t="str">
        <f>IFERROR(__xludf.DUMMYFUNCTION("""COMPUTED_VALUE"""),"Swimmer")</f>
        <v>Swimmer</v>
      </c>
      <c r="O444" s="251" t="str">
        <f>IFERROR(__xludf.DUMMYFUNCTION("""COMPUTED_VALUE"""),"--")</f>
        <v>--</v>
      </c>
      <c r="P444" s="251" t="str">
        <f>IFERROR(__xludf.DUMMYFUNCTION("""COMPUTED_VALUE"""),"--")</f>
        <v>--</v>
      </c>
      <c r="Q444" s="251" t="str">
        <f>IFERROR(__xludf.DUMMYFUNCTION("""COMPUTED_VALUE"""),"--")</f>
        <v>--</v>
      </c>
      <c r="R444" s="251" t="str">
        <f>IFERROR(__xludf.DUMMYFUNCTION("""COMPUTED_VALUE"""),"Mountable")</f>
        <v>Mountable</v>
      </c>
      <c r="S444" s="251" t="str">
        <f>IFERROR(__xludf.DUMMYFUNCTION("""COMPUTED_VALUE"""),"--")</f>
        <v>--</v>
      </c>
      <c r="T444" s="251" t="str">
        <f>IFERROR(__xludf.DUMMYFUNCTION("""COMPUTED_VALUE"""),"--")</f>
        <v>--</v>
      </c>
      <c r="U444" s="251" t="str">
        <f>IFERROR(__xludf.DUMMYFUNCTION("""COMPUTED_VALUE"""),"--")</f>
        <v>--</v>
      </c>
      <c r="V444" s="251" t="str">
        <f>IFERROR(__xludf.DUMMYFUNCTION("""COMPUTED_VALUE"""),"--")</f>
        <v>--</v>
      </c>
      <c r="W444" s="251" t="str">
        <f>IFERROR(__xludf.DUMMYFUNCTION("""COMPUTED_VALUE"""),"--")</f>
        <v>--</v>
      </c>
      <c r="X444" s="251" t="str">
        <f>IFERROR(__xludf.DUMMYFUNCTION("""COMPUTED_VALUE"""),"--")</f>
        <v>--</v>
      </c>
      <c r="Y444" s="251" t="str">
        <f>IFERROR(__xludf.DUMMYFUNCTION("""COMPUTED_VALUE"""),"--")</f>
        <v>--</v>
      </c>
      <c r="Z444" s="251" t="str">
        <f>IFERROR(__xludf.DUMMYFUNCTION("""COMPUTED_VALUE"""),"--")</f>
        <v>--</v>
      </c>
      <c r="AA444" s="251" t="str">
        <f>IFERROR(__xludf.DUMMYFUNCTION("""COMPUTED_VALUE"""),"--")</f>
        <v>--</v>
      </c>
      <c r="AB444" s="251" t="str">
        <f>IFERROR(__xludf.DUMMYFUNCTION("""COMPUTED_VALUE"""),"--")</f>
        <v>--</v>
      </c>
      <c r="AC444" s="251" t="str">
        <f>IFERROR(__xludf.DUMMYFUNCTION("""COMPUTED_VALUE"""),"--")</f>
        <v>--</v>
      </c>
      <c r="AD444" s="251">
        <f>IFERROR(__xludf.DUMMYFUNCTION("""COMPUTED_VALUE"""),3.0)</f>
        <v>3</v>
      </c>
      <c r="AE444" s="251" t="str">
        <f>IFERROR(__xludf.DUMMYFUNCTION("""COMPUTED_VALUE"""),"Omnivore")</f>
        <v>Omnivore</v>
      </c>
    </row>
    <row r="445">
      <c r="A445" s="251" t="str">
        <f>IFERROR(__xludf.DUMMYFUNCTION("""COMPUTED_VALUE"""),"Vanillite")</f>
        <v>Vanillite</v>
      </c>
      <c r="B445" s="251" t="str">
        <f>IFERROR(__xludf.DUMMYFUNCTION("""COMPUTED_VALUE"""),"Ice")</f>
        <v>Ice</v>
      </c>
      <c r="C445" s="251" t="str">
        <f>IFERROR(__xludf.DUMMYFUNCTION("""COMPUTED_VALUE"""),"None")</f>
        <v>None</v>
      </c>
      <c r="D445" s="251">
        <f>IFERROR(__xludf.DUMMYFUNCTION("""COMPUTED_VALUE"""),4.0)</f>
        <v>4</v>
      </c>
      <c r="E445" s="251">
        <f>IFERROR(__xludf.DUMMYFUNCTION("""COMPUTED_VALUE"""),5.0)</f>
        <v>5</v>
      </c>
      <c r="F445" s="251">
        <f>IFERROR(__xludf.DUMMYFUNCTION("""COMPUTED_VALUE"""),5.0)</f>
        <v>5</v>
      </c>
      <c r="G445" s="251">
        <f>IFERROR(__xludf.DUMMYFUNCTION("""COMPUTED_VALUE"""),7.0)</f>
        <v>7</v>
      </c>
      <c r="H445" s="251">
        <f>IFERROR(__xludf.DUMMYFUNCTION("""COMPUTED_VALUE"""),6.0)</f>
        <v>6</v>
      </c>
      <c r="I445" s="251">
        <f>IFERROR(__xludf.DUMMYFUNCTION("""COMPUTED_VALUE"""),5.0)</f>
        <v>5</v>
      </c>
      <c r="J445" s="251">
        <f>IFERROR(__xludf.DUMMYFUNCTION("""COMPUTED_VALUE"""),1.0)</f>
        <v>1</v>
      </c>
      <c r="K445" s="251" t="str">
        <f>IFERROR(__xludf.DUMMYFUNCTION("""COMPUTED_VALUE"""),"Small")</f>
        <v>Small</v>
      </c>
      <c r="L445" s="251">
        <f>IFERROR(__xludf.DUMMYFUNCTION("""COMPUTED_VALUE"""),1.0)</f>
        <v>1</v>
      </c>
      <c r="M445" s="251" t="str">
        <f>IFERROR(__xludf.DUMMYFUNCTION("""COMPUTED_VALUE"""),"Tundra")</f>
        <v>Tundra</v>
      </c>
      <c r="N445" s="251" t="str">
        <f>IFERROR(__xludf.DUMMYFUNCTION("""COMPUTED_VALUE"""),"Flier")</f>
        <v>Flier</v>
      </c>
      <c r="O445" s="251" t="str">
        <f>IFERROR(__xludf.DUMMYFUNCTION("""COMPUTED_VALUE"""),"--")</f>
        <v>--</v>
      </c>
      <c r="P445" s="251" t="str">
        <f>IFERROR(__xludf.DUMMYFUNCTION("""COMPUTED_VALUE"""),"--")</f>
        <v>--</v>
      </c>
      <c r="Q445" s="251" t="str">
        <f>IFERROR(__xludf.DUMMYFUNCTION("""COMPUTED_VALUE"""),"--")</f>
        <v>--</v>
      </c>
      <c r="R445" s="251" t="str">
        <f>IFERROR(__xludf.DUMMYFUNCTION("""COMPUTED_VALUE"""),"Underdog")</f>
        <v>Underdog</v>
      </c>
      <c r="S445" s="251" t="str">
        <f>IFERROR(__xludf.DUMMYFUNCTION("""COMPUTED_VALUE"""),"--")</f>
        <v>--</v>
      </c>
      <c r="T445" s="251" t="str">
        <f>IFERROR(__xludf.DUMMYFUNCTION("""COMPUTED_VALUE"""),"--")</f>
        <v>--</v>
      </c>
      <c r="U445" s="251" t="str">
        <f>IFERROR(__xludf.DUMMYFUNCTION("""COMPUTED_VALUE"""),"--")</f>
        <v>--</v>
      </c>
      <c r="V445" s="251" t="str">
        <f>IFERROR(__xludf.DUMMYFUNCTION("""COMPUTED_VALUE"""),"Chilled")</f>
        <v>Chilled</v>
      </c>
      <c r="W445" s="251" t="str">
        <f>IFERROR(__xludf.DUMMYFUNCTION("""COMPUTED_VALUE"""),"--")</f>
        <v>--</v>
      </c>
      <c r="X445" s="251" t="str">
        <f>IFERROR(__xludf.DUMMYFUNCTION("""COMPUTED_VALUE"""),"--")</f>
        <v>--</v>
      </c>
      <c r="Y445" s="251" t="str">
        <f>IFERROR(__xludf.DUMMYFUNCTION("""COMPUTED_VALUE"""),"--")</f>
        <v>--</v>
      </c>
      <c r="Z445" s="251" t="str">
        <f>IFERROR(__xludf.DUMMYFUNCTION("""COMPUTED_VALUE"""),"--")</f>
        <v>--</v>
      </c>
      <c r="AA445" s="251" t="str">
        <f>IFERROR(__xludf.DUMMYFUNCTION("""COMPUTED_VALUE"""),"--")</f>
        <v>--</v>
      </c>
      <c r="AB445" s="251" t="str">
        <f>IFERROR(__xludf.DUMMYFUNCTION("""COMPUTED_VALUE"""),"--")</f>
        <v>--</v>
      </c>
      <c r="AC445" s="251" t="str">
        <f>IFERROR(__xludf.DUMMYFUNCTION("""COMPUTED_VALUE"""),"--")</f>
        <v>--</v>
      </c>
      <c r="AD445" s="251">
        <f>IFERROR(__xludf.DUMMYFUNCTION("""COMPUTED_VALUE"""),1.0)</f>
        <v>1</v>
      </c>
      <c r="AE445" s="251" t="str">
        <f>IFERROR(__xludf.DUMMYFUNCTION("""COMPUTED_VALUE"""),"Terravore")</f>
        <v>Terravore</v>
      </c>
    </row>
    <row r="446">
      <c r="A446" s="251" t="str">
        <f>IFERROR(__xludf.DUMMYFUNCTION("""COMPUTED_VALUE"""),"Vanillish")</f>
        <v>Vanillish</v>
      </c>
      <c r="B446" s="251" t="str">
        <f>IFERROR(__xludf.DUMMYFUNCTION("""COMPUTED_VALUE"""),"Ice")</f>
        <v>Ice</v>
      </c>
      <c r="C446" s="251" t="str">
        <f>IFERROR(__xludf.DUMMYFUNCTION("""COMPUTED_VALUE"""),"None")</f>
        <v>None</v>
      </c>
      <c r="D446" s="251">
        <f>IFERROR(__xludf.DUMMYFUNCTION("""COMPUTED_VALUE"""),5.0)</f>
        <v>5</v>
      </c>
      <c r="E446" s="251">
        <f>IFERROR(__xludf.DUMMYFUNCTION("""COMPUTED_VALUE"""),7.0)</f>
        <v>7</v>
      </c>
      <c r="F446" s="251">
        <f>IFERROR(__xludf.DUMMYFUNCTION("""COMPUTED_VALUE"""),7.0)</f>
        <v>7</v>
      </c>
      <c r="G446" s="251">
        <f>IFERROR(__xludf.DUMMYFUNCTION("""COMPUTED_VALUE"""),8.0)</f>
        <v>8</v>
      </c>
      <c r="H446" s="251">
        <f>IFERROR(__xludf.DUMMYFUNCTION("""COMPUTED_VALUE"""),8.0)</f>
        <v>8</v>
      </c>
      <c r="I446" s="251">
        <f>IFERROR(__xludf.DUMMYFUNCTION("""COMPUTED_VALUE"""),6.0)</f>
        <v>6</v>
      </c>
      <c r="J446" s="251">
        <f>IFERROR(__xludf.DUMMYFUNCTION("""COMPUTED_VALUE"""),2.0)</f>
        <v>2</v>
      </c>
      <c r="K446" s="251" t="str">
        <f>IFERROR(__xludf.DUMMYFUNCTION("""COMPUTED_VALUE"""),"Medium")</f>
        <v>Medium</v>
      </c>
      <c r="L446" s="251">
        <f>IFERROR(__xludf.DUMMYFUNCTION("""COMPUTED_VALUE"""),3.0)</f>
        <v>3</v>
      </c>
      <c r="M446" s="251" t="str">
        <f>IFERROR(__xludf.DUMMYFUNCTION("""COMPUTED_VALUE"""),"Tundra")</f>
        <v>Tundra</v>
      </c>
      <c r="N446" s="251" t="str">
        <f>IFERROR(__xludf.DUMMYFUNCTION("""COMPUTED_VALUE"""),"Flier")</f>
        <v>Flier</v>
      </c>
      <c r="O446" s="251" t="str">
        <f>IFERROR(__xludf.DUMMYFUNCTION("""COMPUTED_VALUE"""),"--")</f>
        <v>--</v>
      </c>
      <c r="P446" s="251" t="str">
        <f>IFERROR(__xludf.DUMMYFUNCTION("""COMPUTED_VALUE"""),"--")</f>
        <v>--</v>
      </c>
      <c r="Q446" s="251" t="str">
        <f>IFERROR(__xludf.DUMMYFUNCTION("""COMPUTED_VALUE"""),"--")</f>
        <v>--</v>
      </c>
      <c r="R446" s="251" t="str">
        <f>IFERROR(__xludf.DUMMYFUNCTION("""COMPUTED_VALUE"""),"Underdog")</f>
        <v>Underdog</v>
      </c>
      <c r="S446" s="251" t="str">
        <f>IFERROR(__xludf.DUMMYFUNCTION("""COMPUTED_VALUE"""),"--")</f>
        <v>--</v>
      </c>
      <c r="T446" s="251" t="str">
        <f>IFERROR(__xludf.DUMMYFUNCTION("""COMPUTED_VALUE"""),"--")</f>
        <v>--</v>
      </c>
      <c r="U446" s="251" t="str">
        <f>IFERROR(__xludf.DUMMYFUNCTION("""COMPUTED_VALUE"""),"--")</f>
        <v>--</v>
      </c>
      <c r="V446" s="251" t="str">
        <f>IFERROR(__xludf.DUMMYFUNCTION("""COMPUTED_VALUE"""),"Chilled")</f>
        <v>Chilled</v>
      </c>
      <c r="W446" s="251" t="str">
        <f>IFERROR(__xludf.DUMMYFUNCTION("""COMPUTED_VALUE"""),"--")</f>
        <v>--</v>
      </c>
      <c r="X446" s="251" t="str">
        <f>IFERROR(__xludf.DUMMYFUNCTION("""COMPUTED_VALUE"""),"--")</f>
        <v>--</v>
      </c>
      <c r="Y446" s="251" t="str">
        <f>IFERROR(__xludf.DUMMYFUNCTION("""COMPUTED_VALUE"""),"--")</f>
        <v>--</v>
      </c>
      <c r="Z446" s="251" t="str">
        <f>IFERROR(__xludf.DUMMYFUNCTION("""COMPUTED_VALUE"""),"--")</f>
        <v>--</v>
      </c>
      <c r="AA446" s="251" t="str">
        <f>IFERROR(__xludf.DUMMYFUNCTION("""COMPUTED_VALUE"""),"--")</f>
        <v>--</v>
      </c>
      <c r="AB446" s="251" t="str">
        <f>IFERROR(__xludf.DUMMYFUNCTION("""COMPUTED_VALUE"""),"--")</f>
        <v>--</v>
      </c>
      <c r="AC446" s="251" t="str">
        <f>IFERROR(__xludf.DUMMYFUNCTION("""COMPUTED_VALUE"""),"--")</f>
        <v>--</v>
      </c>
      <c r="AD446" s="251">
        <f>IFERROR(__xludf.DUMMYFUNCTION("""COMPUTED_VALUE"""),2.0)</f>
        <v>2</v>
      </c>
      <c r="AE446" s="251" t="str">
        <f>IFERROR(__xludf.DUMMYFUNCTION("""COMPUTED_VALUE"""),"Terravore")</f>
        <v>Terravore</v>
      </c>
    </row>
    <row r="447">
      <c r="A447" s="251" t="str">
        <f>IFERROR(__xludf.DUMMYFUNCTION("""COMPUTED_VALUE"""),"Vanilluxe")</f>
        <v>Vanilluxe</v>
      </c>
      <c r="B447" s="251" t="str">
        <f>IFERROR(__xludf.DUMMYFUNCTION("""COMPUTED_VALUE"""),"Ice")</f>
        <v>Ice</v>
      </c>
      <c r="C447" s="251" t="str">
        <f>IFERROR(__xludf.DUMMYFUNCTION("""COMPUTED_VALUE"""),"None")</f>
        <v>None</v>
      </c>
      <c r="D447" s="251">
        <f>IFERROR(__xludf.DUMMYFUNCTION("""COMPUTED_VALUE"""),7.0)</f>
        <v>7</v>
      </c>
      <c r="E447" s="251">
        <f>IFERROR(__xludf.DUMMYFUNCTION("""COMPUTED_VALUE"""),10.0)</f>
        <v>10</v>
      </c>
      <c r="F447" s="251">
        <f>IFERROR(__xludf.DUMMYFUNCTION("""COMPUTED_VALUE"""),9.0)</f>
        <v>9</v>
      </c>
      <c r="G447" s="251">
        <f>IFERROR(__xludf.DUMMYFUNCTION("""COMPUTED_VALUE"""),11.0)</f>
        <v>11</v>
      </c>
      <c r="H447" s="251">
        <f>IFERROR(__xludf.DUMMYFUNCTION("""COMPUTED_VALUE"""),10.0)</f>
        <v>10</v>
      </c>
      <c r="I447" s="251">
        <f>IFERROR(__xludf.DUMMYFUNCTION("""COMPUTED_VALUE"""),8.0)</f>
        <v>8</v>
      </c>
      <c r="J447" s="251">
        <f>IFERROR(__xludf.DUMMYFUNCTION("""COMPUTED_VALUE"""),3.0)</f>
        <v>3</v>
      </c>
      <c r="K447" s="251" t="str">
        <f>IFERROR(__xludf.DUMMYFUNCTION("""COMPUTED_VALUE"""),"Medium")</f>
        <v>Medium</v>
      </c>
      <c r="L447" s="251">
        <f>IFERROR(__xludf.DUMMYFUNCTION("""COMPUTED_VALUE"""),4.0)</f>
        <v>4</v>
      </c>
      <c r="M447" s="251" t="str">
        <f>IFERROR(__xludf.DUMMYFUNCTION("""COMPUTED_VALUE"""),"Tundra")</f>
        <v>Tundra</v>
      </c>
      <c r="N447" s="251" t="str">
        <f>IFERROR(__xludf.DUMMYFUNCTION("""COMPUTED_VALUE"""),"Flier")</f>
        <v>Flier</v>
      </c>
      <c r="O447" s="251" t="str">
        <f>IFERROR(__xludf.DUMMYFUNCTION("""COMPUTED_VALUE"""),"--")</f>
        <v>--</v>
      </c>
      <c r="P447" s="251" t="str">
        <f>IFERROR(__xludf.DUMMYFUNCTION("""COMPUTED_VALUE"""),"--")</f>
        <v>--</v>
      </c>
      <c r="Q447" s="251" t="str">
        <f>IFERROR(__xludf.DUMMYFUNCTION("""COMPUTED_VALUE"""),"--")</f>
        <v>--</v>
      </c>
      <c r="R447" s="251" t="str">
        <f>IFERROR(__xludf.DUMMYFUNCTION("""COMPUTED_VALUE"""),"--")</f>
        <v>--</v>
      </c>
      <c r="S447" s="251" t="str">
        <f>IFERROR(__xludf.DUMMYFUNCTION("""COMPUTED_VALUE"""),"--")</f>
        <v>--</v>
      </c>
      <c r="T447" s="251" t="str">
        <f>IFERROR(__xludf.DUMMYFUNCTION("""COMPUTED_VALUE"""),"--")</f>
        <v>--</v>
      </c>
      <c r="U447" s="251" t="str">
        <f>IFERROR(__xludf.DUMMYFUNCTION("""COMPUTED_VALUE"""),"--")</f>
        <v>--</v>
      </c>
      <c r="V447" s="251" t="str">
        <f>IFERROR(__xludf.DUMMYFUNCTION("""COMPUTED_VALUE"""),"Chilled")</f>
        <v>Chilled</v>
      </c>
      <c r="W447" s="251" t="str">
        <f>IFERROR(__xludf.DUMMYFUNCTION("""COMPUTED_VALUE"""),"--")</f>
        <v>--</v>
      </c>
      <c r="X447" s="251" t="str">
        <f>IFERROR(__xludf.DUMMYFUNCTION("""COMPUTED_VALUE"""),"--")</f>
        <v>--</v>
      </c>
      <c r="Y447" s="251" t="str">
        <f>IFERROR(__xludf.DUMMYFUNCTION("""COMPUTED_VALUE"""),"--")</f>
        <v>--</v>
      </c>
      <c r="Z447" s="251" t="str">
        <f>IFERROR(__xludf.DUMMYFUNCTION("""COMPUTED_VALUE"""),"--")</f>
        <v>--</v>
      </c>
      <c r="AA447" s="251" t="str">
        <f>IFERROR(__xludf.DUMMYFUNCTION("""COMPUTED_VALUE"""),"--")</f>
        <v>--</v>
      </c>
      <c r="AB447" s="251" t="str">
        <f>IFERROR(__xludf.DUMMYFUNCTION("""COMPUTED_VALUE"""),"--")</f>
        <v>--</v>
      </c>
      <c r="AC447" s="251" t="str">
        <f>IFERROR(__xludf.DUMMYFUNCTION("""COMPUTED_VALUE"""),"--")</f>
        <v>--</v>
      </c>
      <c r="AD447" s="251">
        <f>IFERROR(__xludf.DUMMYFUNCTION("""COMPUTED_VALUE"""),3.0)</f>
        <v>3</v>
      </c>
      <c r="AE447" s="251" t="str">
        <f>IFERROR(__xludf.DUMMYFUNCTION("""COMPUTED_VALUE"""),"Terravore")</f>
        <v>Terravore</v>
      </c>
    </row>
    <row r="448">
      <c r="A448" s="251" t="str">
        <f>IFERROR(__xludf.DUMMYFUNCTION("""COMPUTED_VALUE"""),"Pidgey")</f>
        <v>Pidgey</v>
      </c>
      <c r="B448" s="251" t="str">
        <f>IFERROR(__xludf.DUMMYFUNCTION("""COMPUTED_VALUE"""),"Normal")</f>
        <v>Normal</v>
      </c>
      <c r="C448" s="251" t="str">
        <f>IFERROR(__xludf.DUMMYFUNCTION("""COMPUTED_VALUE"""),"Flying")</f>
        <v>Flying</v>
      </c>
      <c r="D448" s="251">
        <f>IFERROR(__xludf.DUMMYFUNCTION("""COMPUTED_VALUE"""),5.0)</f>
        <v>5</v>
      </c>
      <c r="E448" s="251">
        <f>IFERROR(__xludf.DUMMYFUNCTION("""COMPUTED_VALUE"""),5.0)</f>
        <v>5</v>
      </c>
      <c r="F448" s="251">
        <f>IFERROR(__xludf.DUMMYFUNCTION("""COMPUTED_VALUE"""),4.0)</f>
        <v>4</v>
      </c>
      <c r="G448" s="251">
        <f>IFERROR(__xludf.DUMMYFUNCTION("""COMPUTED_VALUE"""),5.0)</f>
        <v>5</v>
      </c>
      <c r="H448" s="251">
        <f>IFERROR(__xludf.DUMMYFUNCTION("""COMPUTED_VALUE"""),4.0)</f>
        <v>4</v>
      </c>
      <c r="I448" s="251">
        <f>IFERROR(__xludf.DUMMYFUNCTION("""COMPUTED_VALUE"""),7.0)</f>
        <v>7</v>
      </c>
      <c r="J448" s="251">
        <f>IFERROR(__xludf.DUMMYFUNCTION("""COMPUTED_VALUE"""),1.0)</f>
        <v>1</v>
      </c>
      <c r="K448" s="251" t="str">
        <f>IFERROR(__xludf.DUMMYFUNCTION("""COMPUTED_VALUE"""),"Small")</f>
        <v>Small</v>
      </c>
      <c r="L448" s="251">
        <f>IFERROR(__xludf.DUMMYFUNCTION("""COMPUTED_VALUE"""),1.0)</f>
        <v>1</v>
      </c>
      <c r="M448" s="251" t="str">
        <f>IFERROR(__xludf.DUMMYFUNCTION("""COMPUTED_VALUE"""),"Grasslands")</f>
        <v>Grasslands</v>
      </c>
      <c r="N448" s="251" t="str">
        <f>IFERROR(__xludf.DUMMYFUNCTION("""COMPUTED_VALUE"""),"Flier")</f>
        <v>Flier</v>
      </c>
      <c r="O448" s="251" t="str">
        <f>IFERROR(__xludf.DUMMYFUNCTION("""COMPUTED_VALUE"""),"--")</f>
        <v>--</v>
      </c>
      <c r="P448" s="251" t="str">
        <f>IFERROR(__xludf.DUMMYFUNCTION("""COMPUTED_VALUE"""),"--")</f>
        <v>--</v>
      </c>
      <c r="Q448" s="251" t="str">
        <f>IFERROR(__xludf.DUMMYFUNCTION("""COMPUTED_VALUE"""),"--")</f>
        <v>--</v>
      </c>
      <c r="R448" s="251" t="str">
        <f>IFERROR(__xludf.DUMMYFUNCTION("""COMPUTED_VALUE"""),"Underdog")</f>
        <v>Underdog</v>
      </c>
      <c r="S448" s="251" t="str">
        <f>IFERROR(__xludf.DUMMYFUNCTION("""COMPUTED_VALUE"""),"--")</f>
        <v>--</v>
      </c>
      <c r="T448" s="251" t="str">
        <f>IFERROR(__xludf.DUMMYFUNCTION("""COMPUTED_VALUE"""),"--")</f>
        <v>--</v>
      </c>
      <c r="U448" s="251" t="str">
        <f>IFERROR(__xludf.DUMMYFUNCTION("""COMPUTED_VALUE"""),"--")</f>
        <v>--</v>
      </c>
      <c r="V448" s="251" t="str">
        <f>IFERROR(__xludf.DUMMYFUNCTION("""COMPUTED_VALUE"""),"--")</f>
        <v>--</v>
      </c>
      <c r="W448" s="251" t="str">
        <f>IFERROR(__xludf.DUMMYFUNCTION("""COMPUTED_VALUE"""),"--")</f>
        <v>--</v>
      </c>
      <c r="X448" s="251" t="str">
        <f>IFERROR(__xludf.DUMMYFUNCTION("""COMPUTED_VALUE"""),"--")</f>
        <v>--</v>
      </c>
      <c r="Y448" s="251" t="str">
        <f>IFERROR(__xludf.DUMMYFUNCTION("""COMPUTED_VALUE"""),"--")</f>
        <v>--</v>
      </c>
      <c r="Z448" s="251" t="str">
        <f>IFERROR(__xludf.DUMMYFUNCTION("""COMPUTED_VALUE"""),"--")</f>
        <v>--</v>
      </c>
      <c r="AA448" s="251" t="str">
        <f>IFERROR(__xludf.DUMMYFUNCTION("""COMPUTED_VALUE"""),"--")</f>
        <v>--</v>
      </c>
      <c r="AB448" s="251" t="str">
        <f>IFERROR(__xludf.DUMMYFUNCTION("""COMPUTED_VALUE"""),"--")</f>
        <v>--</v>
      </c>
      <c r="AC448" s="251" t="str">
        <f>IFERROR(__xludf.DUMMYFUNCTION("""COMPUTED_VALUE"""),"--")</f>
        <v>--</v>
      </c>
      <c r="AD448" s="251">
        <f>IFERROR(__xludf.DUMMYFUNCTION("""COMPUTED_VALUE"""),1.0)</f>
        <v>1</v>
      </c>
      <c r="AE448" s="251" t="str">
        <f>IFERROR(__xludf.DUMMYFUNCTION("""COMPUTED_VALUE"""),"Omnivore")</f>
        <v>Omnivore</v>
      </c>
    </row>
    <row r="449">
      <c r="A449" s="251" t="str">
        <f>IFERROR(__xludf.DUMMYFUNCTION("""COMPUTED_VALUE"""),"Pidgeotto")</f>
        <v>Pidgeotto</v>
      </c>
      <c r="B449" s="251" t="str">
        <f>IFERROR(__xludf.DUMMYFUNCTION("""COMPUTED_VALUE"""),"Normal")</f>
        <v>Normal</v>
      </c>
      <c r="C449" s="251" t="str">
        <f>IFERROR(__xludf.DUMMYFUNCTION("""COMPUTED_VALUE"""),"Flying")</f>
        <v>Flying</v>
      </c>
      <c r="D449" s="251">
        <f>IFERROR(__xludf.DUMMYFUNCTION("""COMPUTED_VALUE"""),6.0)</f>
        <v>6</v>
      </c>
      <c r="E449" s="251">
        <f>IFERROR(__xludf.DUMMYFUNCTION("""COMPUTED_VALUE"""),6.0)</f>
        <v>6</v>
      </c>
      <c r="F449" s="251">
        <f>IFERROR(__xludf.DUMMYFUNCTION("""COMPUTED_VALUE"""),6.0)</f>
        <v>6</v>
      </c>
      <c r="G449" s="251">
        <f>IFERROR(__xludf.DUMMYFUNCTION("""COMPUTED_VALUE"""),6.0)</f>
        <v>6</v>
      </c>
      <c r="H449" s="251">
        <f>IFERROR(__xludf.DUMMYFUNCTION("""COMPUTED_VALUE"""),5.0)</f>
        <v>5</v>
      </c>
      <c r="I449" s="251">
        <f>IFERROR(__xludf.DUMMYFUNCTION("""COMPUTED_VALUE"""),8.0)</f>
        <v>8</v>
      </c>
      <c r="J449" s="251">
        <f>IFERROR(__xludf.DUMMYFUNCTION("""COMPUTED_VALUE"""),3.0)</f>
        <v>3</v>
      </c>
      <c r="K449" s="251" t="str">
        <f>IFERROR(__xludf.DUMMYFUNCTION("""COMPUTED_VALUE"""),"Medium")</f>
        <v>Medium</v>
      </c>
      <c r="L449" s="251">
        <f>IFERROR(__xludf.DUMMYFUNCTION("""COMPUTED_VALUE"""),3.0)</f>
        <v>3</v>
      </c>
      <c r="M449" s="251" t="str">
        <f>IFERROR(__xludf.DUMMYFUNCTION("""COMPUTED_VALUE"""),"Grasslands")</f>
        <v>Grasslands</v>
      </c>
      <c r="N449" s="251" t="str">
        <f>IFERROR(__xludf.DUMMYFUNCTION("""COMPUTED_VALUE"""),"Flier")</f>
        <v>Flier</v>
      </c>
      <c r="O449" s="251" t="str">
        <f>IFERROR(__xludf.DUMMYFUNCTION("""COMPUTED_VALUE"""),"--")</f>
        <v>--</v>
      </c>
      <c r="P449" s="251" t="str">
        <f>IFERROR(__xludf.DUMMYFUNCTION("""COMPUTED_VALUE"""),"--")</f>
        <v>--</v>
      </c>
      <c r="Q449" s="251" t="str">
        <f>IFERROR(__xludf.DUMMYFUNCTION("""COMPUTED_VALUE"""),"--")</f>
        <v>--</v>
      </c>
      <c r="R449" s="251" t="str">
        <f>IFERROR(__xludf.DUMMYFUNCTION("""COMPUTED_VALUE"""),"Underdog")</f>
        <v>Underdog</v>
      </c>
      <c r="S449" s="251" t="str">
        <f>IFERROR(__xludf.DUMMYFUNCTION("""COMPUTED_VALUE"""),"--")</f>
        <v>--</v>
      </c>
      <c r="T449" s="251" t="str">
        <f>IFERROR(__xludf.DUMMYFUNCTION("""COMPUTED_VALUE"""),"--")</f>
        <v>--</v>
      </c>
      <c r="U449" s="251" t="str">
        <f>IFERROR(__xludf.DUMMYFUNCTION("""COMPUTED_VALUE"""),"--")</f>
        <v>--</v>
      </c>
      <c r="V449" s="251" t="str">
        <f>IFERROR(__xludf.DUMMYFUNCTION("""COMPUTED_VALUE"""),"--")</f>
        <v>--</v>
      </c>
      <c r="W449" s="251" t="str">
        <f>IFERROR(__xludf.DUMMYFUNCTION("""COMPUTED_VALUE"""),"--")</f>
        <v>--</v>
      </c>
      <c r="X449" s="251" t="str">
        <f>IFERROR(__xludf.DUMMYFUNCTION("""COMPUTED_VALUE"""),"--")</f>
        <v>--</v>
      </c>
      <c r="Y449" s="251" t="str">
        <f>IFERROR(__xludf.DUMMYFUNCTION("""COMPUTED_VALUE"""),"--")</f>
        <v>--</v>
      </c>
      <c r="Z449" s="251" t="str">
        <f>IFERROR(__xludf.DUMMYFUNCTION("""COMPUTED_VALUE"""),"--")</f>
        <v>--</v>
      </c>
      <c r="AA449" s="251" t="str">
        <f>IFERROR(__xludf.DUMMYFUNCTION("""COMPUTED_VALUE"""),"--")</f>
        <v>--</v>
      </c>
      <c r="AB449" s="251" t="str">
        <f>IFERROR(__xludf.DUMMYFUNCTION("""COMPUTED_VALUE"""),"--")</f>
        <v>--</v>
      </c>
      <c r="AC449" s="251" t="str">
        <f>IFERROR(__xludf.DUMMYFUNCTION("""COMPUTED_VALUE"""),"--")</f>
        <v>--</v>
      </c>
      <c r="AD449" s="251">
        <f>IFERROR(__xludf.DUMMYFUNCTION("""COMPUTED_VALUE"""),2.0)</f>
        <v>2</v>
      </c>
      <c r="AE449" s="251" t="str">
        <f>IFERROR(__xludf.DUMMYFUNCTION("""COMPUTED_VALUE"""),"Carnivore")</f>
        <v>Carnivore</v>
      </c>
    </row>
    <row r="450">
      <c r="A450" s="251" t="str">
        <f>IFERROR(__xludf.DUMMYFUNCTION("""COMPUTED_VALUE"""),"Pidgeot")</f>
        <v>Pidgeot</v>
      </c>
      <c r="B450" s="251" t="str">
        <f>IFERROR(__xludf.DUMMYFUNCTION("""COMPUTED_VALUE"""),"Normal")</f>
        <v>Normal</v>
      </c>
      <c r="C450" s="251" t="str">
        <f>IFERROR(__xludf.DUMMYFUNCTION("""COMPUTED_VALUE"""),"Flying")</f>
        <v>Flying</v>
      </c>
      <c r="D450" s="251">
        <f>IFERROR(__xludf.DUMMYFUNCTION("""COMPUTED_VALUE"""),8.0)</f>
        <v>8</v>
      </c>
      <c r="E450" s="251">
        <f>IFERROR(__xludf.DUMMYFUNCTION("""COMPUTED_VALUE"""),9.0)</f>
        <v>9</v>
      </c>
      <c r="F450" s="251">
        <f>IFERROR(__xludf.DUMMYFUNCTION("""COMPUTED_VALUE"""),8.0)</f>
        <v>8</v>
      </c>
      <c r="G450" s="251">
        <f>IFERROR(__xludf.DUMMYFUNCTION("""COMPUTED_VALUE"""),9.0)</f>
        <v>9</v>
      </c>
      <c r="H450" s="251">
        <f>IFERROR(__xludf.DUMMYFUNCTION("""COMPUTED_VALUE"""),7.0)</f>
        <v>7</v>
      </c>
      <c r="I450" s="251">
        <f>IFERROR(__xludf.DUMMYFUNCTION("""COMPUTED_VALUE"""),10.0)</f>
        <v>10</v>
      </c>
      <c r="J450" s="251">
        <f>IFERROR(__xludf.DUMMYFUNCTION("""COMPUTED_VALUE"""),5.0)</f>
        <v>5</v>
      </c>
      <c r="K450" s="251" t="str">
        <f>IFERROR(__xludf.DUMMYFUNCTION("""COMPUTED_VALUE"""),"Medium")</f>
        <v>Medium</v>
      </c>
      <c r="L450" s="251">
        <f>IFERROR(__xludf.DUMMYFUNCTION("""COMPUTED_VALUE"""),3.0)</f>
        <v>3</v>
      </c>
      <c r="M450" s="251" t="str">
        <f>IFERROR(__xludf.DUMMYFUNCTION("""COMPUTED_VALUE"""),"Grasslands")</f>
        <v>Grasslands</v>
      </c>
      <c r="N450" s="251" t="str">
        <f>IFERROR(__xludf.DUMMYFUNCTION("""COMPUTED_VALUE"""),"Flier")</f>
        <v>Flier</v>
      </c>
      <c r="O450" s="251" t="str">
        <f>IFERROR(__xludf.DUMMYFUNCTION("""COMPUTED_VALUE"""),"Quick")</f>
        <v>Quick</v>
      </c>
      <c r="P450" s="251" t="str">
        <f>IFERROR(__xludf.DUMMYFUNCTION("""COMPUTED_VALUE"""),"--")</f>
        <v>--</v>
      </c>
      <c r="Q450" s="251" t="str">
        <f>IFERROR(__xludf.DUMMYFUNCTION("""COMPUTED_VALUE"""),"--")</f>
        <v>--</v>
      </c>
      <c r="R450" s="251" t="str">
        <f>IFERROR(__xludf.DUMMYFUNCTION("""COMPUTED_VALUE"""),"Mountable")</f>
        <v>Mountable</v>
      </c>
      <c r="S450" s="251" t="str">
        <f>IFERROR(__xludf.DUMMYFUNCTION("""COMPUTED_VALUE"""),"--")</f>
        <v>--</v>
      </c>
      <c r="T450" s="251" t="str">
        <f>IFERROR(__xludf.DUMMYFUNCTION("""COMPUTED_VALUE"""),"--")</f>
        <v>--</v>
      </c>
      <c r="U450" s="251" t="str">
        <f>IFERROR(__xludf.DUMMYFUNCTION("""COMPUTED_VALUE"""),"--")</f>
        <v>--</v>
      </c>
      <c r="V450" s="251" t="str">
        <f>IFERROR(__xludf.DUMMYFUNCTION("""COMPUTED_VALUE"""),"--")</f>
        <v>--</v>
      </c>
      <c r="W450" s="251" t="str">
        <f>IFERROR(__xludf.DUMMYFUNCTION("""COMPUTED_VALUE"""),"--")</f>
        <v>--</v>
      </c>
      <c r="X450" s="251" t="str">
        <f>IFERROR(__xludf.DUMMYFUNCTION("""COMPUTED_VALUE"""),"--")</f>
        <v>--</v>
      </c>
      <c r="Y450" s="251" t="str">
        <f>IFERROR(__xludf.DUMMYFUNCTION("""COMPUTED_VALUE"""),"--")</f>
        <v>--</v>
      </c>
      <c r="Z450" s="251" t="str">
        <f>IFERROR(__xludf.DUMMYFUNCTION("""COMPUTED_VALUE"""),"--")</f>
        <v>--</v>
      </c>
      <c r="AA450" s="251" t="str">
        <f>IFERROR(__xludf.DUMMYFUNCTION("""COMPUTED_VALUE"""),"--")</f>
        <v>--</v>
      </c>
      <c r="AB450" s="251" t="str">
        <f>IFERROR(__xludf.DUMMYFUNCTION("""COMPUTED_VALUE"""),"--")</f>
        <v>--</v>
      </c>
      <c r="AC450" s="251" t="str">
        <f>IFERROR(__xludf.DUMMYFUNCTION("""COMPUTED_VALUE"""),"--")</f>
        <v>--</v>
      </c>
      <c r="AD450" s="251">
        <f>IFERROR(__xludf.DUMMYFUNCTION("""COMPUTED_VALUE"""),3.0)</f>
        <v>3</v>
      </c>
      <c r="AE450" s="251" t="str">
        <f>IFERROR(__xludf.DUMMYFUNCTION("""COMPUTED_VALUE"""),"Carnivore")</f>
        <v>Carnivore</v>
      </c>
    </row>
    <row r="451">
      <c r="A451" s="251" t="str">
        <f>IFERROR(__xludf.DUMMYFUNCTION("""COMPUTED_VALUE"""),"Igglybuff")</f>
        <v>Igglybuff</v>
      </c>
      <c r="B451" s="251" t="str">
        <f>IFERROR(__xludf.DUMMYFUNCTION("""COMPUTED_VALUE"""),"Normal")</f>
        <v>Normal</v>
      </c>
      <c r="C451" s="251" t="str">
        <f>IFERROR(__xludf.DUMMYFUNCTION("""COMPUTED_VALUE"""),"Fairy")</f>
        <v>Fairy</v>
      </c>
      <c r="D451" s="251">
        <f>IFERROR(__xludf.DUMMYFUNCTION("""COMPUTED_VALUE"""),9.0)</f>
        <v>9</v>
      </c>
      <c r="E451" s="251">
        <f>IFERROR(__xludf.DUMMYFUNCTION("""COMPUTED_VALUE"""),3.0)</f>
        <v>3</v>
      </c>
      <c r="F451" s="251">
        <f>IFERROR(__xludf.DUMMYFUNCTION("""COMPUTED_VALUE"""),2.0)</f>
        <v>2</v>
      </c>
      <c r="G451" s="251">
        <f>IFERROR(__xludf.DUMMYFUNCTION("""COMPUTED_VALUE"""),4.0)</f>
        <v>4</v>
      </c>
      <c r="H451" s="251">
        <f>IFERROR(__xludf.DUMMYFUNCTION("""COMPUTED_VALUE"""),2.0)</f>
        <v>2</v>
      </c>
      <c r="I451" s="251">
        <f>IFERROR(__xludf.DUMMYFUNCTION("""COMPUTED_VALUE"""),2.0)</f>
        <v>2</v>
      </c>
      <c r="J451" s="251">
        <f>IFERROR(__xludf.DUMMYFUNCTION("""COMPUTED_VALUE"""),1.0)</f>
        <v>1</v>
      </c>
      <c r="K451" s="251" t="str">
        <f>IFERROR(__xludf.DUMMYFUNCTION("""COMPUTED_VALUE"""),"Small")</f>
        <v>Small</v>
      </c>
      <c r="L451" s="251">
        <f>IFERROR(__xludf.DUMMYFUNCTION("""COMPUTED_VALUE"""),1.0)</f>
        <v>1</v>
      </c>
      <c r="M451" s="251" t="str">
        <f>IFERROR(__xludf.DUMMYFUNCTION("""COMPUTED_VALUE"""),"Grasslands, Urban")</f>
        <v>Grasslands, Urban</v>
      </c>
      <c r="N451" s="251" t="str">
        <f>IFERROR(__xludf.DUMMYFUNCTION("""COMPUTED_VALUE"""),"Slow")</f>
        <v>Slow</v>
      </c>
      <c r="O451" s="251" t="str">
        <f>IFERROR(__xludf.DUMMYFUNCTION("""COMPUTED_VALUE"""),"--")</f>
        <v>--</v>
      </c>
      <c r="P451" s="251" t="str">
        <f>IFERROR(__xludf.DUMMYFUNCTION("""COMPUTED_VALUE"""),"--")</f>
        <v>--</v>
      </c>
      <c r="Q451" s="251" t="str">
        <f>IFERROR(__xludf.DUMMYFUNCTION("""COMPUTED_VALUE"""),"--")</f>
        <v>--</v>
      </c>
      <c r="R451" s="251" t="str">
        <f>IFERROR(__xludf.DUMMYFUNCTION("""COMPUTED_VALUE"""),"Underdog")</f>
        <v>Underdog</v>
      </c>
      <c r="S451" s="251" t="str">
        <f>IFERROR(__xludf.DUMMYFUNCTION("""COMPUTED_VALUE"""),"--")</f>
        <v>--</v>
      </c>
      <c r="T451" s="251" t="str">
        <f>IFERROR(__xludf.DUMMYFUNCTION("""COMPUTED_VALUE"""),"--")</f>
        <v>--</v>
      </c>
      <c r="U451" s="251" t="str">
        <f>IFERROR(__xludf.DUMMYFUNCTION("""COMPUTED_VALUE"""),"--")</f>
        <v>--</v>
      </c>
      <c r="V451" s="251" t="str">
        <f>IFERROR(__xludf.DUMMYFUNCTION("""COMPUTED_VALUE"""),"--")</f>
        <v>--</v>
      </c>
      <c r="W451" s="251" t="str">
        <f>IFERROR(__xludf.DUMMYFUNCTION("""COMPUTED_VALUE"""),"--")</f>
        <v>--</v>
      </c>
      <c r="X451" s="251" t="str">
        <f>IFERROR(__xludf.DUMMYFUNCTION("""COMPUTED_VALUE"""),"--")</f>
        <v>--</v>
      </c>
      <c r="Y451" s="251" t="str">
        <f>IFERROR(__xludf.DUMMYFUNCTION("""COMPUTED_VALUE"""),"--")</f>
        <v>--</v>
      </c>
      <c r="Z451" s="251" t="str">
        <f>IFERROR(__xludf.DUMMYFUNCTION("""COMPUTED_VALUE"""),"--")</f>
        <v>--</v>
      </c>
      <c r="AA451" s="251" t="str">
        <f>IFERROR(__xludf.DUMMYFUNCTION("""COMPUTED_VALUE"""),"--")</f>
        <v>--</v>
      </c>
      <c r="AB451" s="251" t="str">
        <f>IFERROR(__xludf.DUMMYFUNCTION("""COMPUTED_VALUE"""),"--")</f>
        <v>--</v>
      </c>
      <c r="AC451" s="251" t="str">
        <f>IFERROR(__xludf.DUMMYFUNCTION("""COMPUTED_VALUE"""),"--")</f>
        <v>--</v>
      </c>
      <c r="AD451" s="251">
        <f>IFERROR(__xludf.DUMMYFUNCTION("""COMPUTED_VALUE"""),1.0)</f>
        <v>1</v>
      </c>
      <c r="AE451" s="251" t="str">
        <f>IFERROR(__xludf.DUMMYFUNCTION("""COMPUTED_VALUE"""),"Herbivore")</f>
        <v>Herbivore</v>
      </c>
    </row>
    <row r="452">
      <c r="A452" s="251" t="str">
        <f>IFERROR(__xludf.DUMMYFUNCTION("""COMPUTED_VALUE"""),"Jigglypuff")</f>
        <v>Jigglypuff</v>
      </c>
      <c r="B452" s="251" t="str">
        <f>IFERROR(__xludf.DUMMYFUNCTION("""COMPUTED_VALUE"""),"Normal")</f>
        <v>Normal</v>
      </c>
      <c r="C452" s="251" t="str">
        <f>IFERROR(__xludf.DUMMYFUNCTION("""COMPUTED_VALUE"""),"Fairy")</f>
        <v>Fairy</v>
      </c>
      <c r="D452" s="251">
        <f>IFERROR(__xludf.DUMMYFUNCTION("""COMPUTED_VALUE"""),12.0)</f>
        <v>12</v>
      </c>
      <c r="E452" s="251">
        <f>IFERROR(__xludf.DUMMYFUNCTION("""COMPUTED_VALUE"""),6.0)</f>
        <v>6</v>
      </c>
      <c r="F452" s="251">
        <f>IFERROR(__xludf.DUMMYFUNCTION("""COMPUTED_VALUE"""),3.0)</f>
        <v>3</v>
      </c>
      <c r="G452" s="251">
        <f>IFERROR(__xludf.DUMMYFUNCTION("""COMPUTED_VALUE"""),6.0)</f>
        <v>6</v>
      </c>
      <c r="H452" s="251">
        <f>IFERROR(__xludf.DUMMYFUNCTION("""COMPUTED_VALUE"""),3.0)</f>
        <v>3</v>
      </c>
      <c r="I452" s="251">
        <f>IFERROR(__xludf.DUMMYFUNCTION("""COMPUTED_VALUE"""),3.0)</f>
        <v>3</v>
      </c>
      <c r="J452" s="251">
        <f>IFERROR(__xludf.DUMMYFUNCTION("""COMPUTED_VALUE"""),1.0)</f>
        <v>1</v>
      </c>
      <c r="K452" s="251" t="str">
        <f>IFERROR(__xludf.DUMMYFUNCTION("""COMPUTED_VALUE"""),"Small")</f>
        <v>Small</v>
      </c>
      <c r="L452" s="251">
        <f>IFERROR(__xludf.DUMMYFUNCTION("""COMPUTED_VALUE"""),1.0)</f>
        <v>1</v>
      </c>
      <c r="M452" s="251" t="str">
        <f>IFERROR(__xludf.DUMMYFUNCTION("""COMPUTED_VALUE"""),"Grasslands, Urban")</f>
        <v>Grasslands, Urban</v>
      </c>
      <c r="N452" s="251" t="str">
        <f>IFERROR(__xludf.DUMMYFUNCTION("""COMPUTED_VALUE"""),"--")</f>
        <v>--</v>
      </c>
      <c r="O452" s="251" t="str">
        <f>IFERROR(__xludf.DUMMYFUNCTION("""COMPUTED_VALUE"""),"--")</f>
        <v>--</v>
      </c>
      <c r="P452" s="251" t="str">
        <f>IFERROR(__xludf.DUMMYFUNCTION("""COMPUTED_VALUE"""),"--")</f>
        <v>--</v>
      </c>
      <c r="Q452" s="251" t="str">
        <f>IFERROR(__xludf.DUMMYFUNCTION("""COMPUTED_VALUE"""),"--")</f>
        <v>--</v>
      </c>
      <c r="R452" s="251" t="str">
        <f>IFERROR(__xludf.DUMMYFUNCTION("""COMPUTED_VALUE"""),"Underdog")</f>
        <v>Underdog</v>
      </c>
      <c r="S452" s="251" t="str">
        <f>IFERROR(__xludf.DUMMYFUNCTION("""COMPUTED_VALUE"""),"--")</f>
        <v>--</v>
      </c>
      <c r="T452" s="251" t="str">
        <f>IFERROR(__xludf.DUMMYFUNCTION("""COMPUTED_VALUE"""),"--")</f>
        <v>--</v>
      </c>
      <c r="U452" s="251" t="str">
        <f>IFERROR(__xludf.DUMMYFUNCTION("""COMPUTED_VALUE"""),"--")</f>
        <v>--</v>
      </c>
      <c r="V452" s="251" t="str">
        <f>IFERROR(__xludf.DUMMYFUNCTION("""COMPUTED_VALUE"""),"--")</f>
        <v>--</v>
      </c>
      <c r="W452" s="251" t="str">
        <f>IFERROR(__xludf.DUMMYFUNCTION("""COMPUTED_VALUE"""),"--")</f>
        <v>--</v>
      </c>
      <c r="X452" s="251" t="str">
        <f>IFERROR(__xludf.DUMMYFUNCTION("""COMPUTED_VALUE"""),"--")</f>
        <v>--</v>
      </c>
      <c r="Y452" s="251" t="str">
        <f>IFERROR(__xludf.DUMMYFUNCTION("""COMPUTED_VALUE"""),"--")</f>
        <v>--</v>
      </c>
      <c r="Z452" s="251" t="str">
        <f>IFERROR(__xludf.DUMMYFUNCTION("""COMPUTED_VALUE"""),"--")</f>
        <v>--</v>
      </c>
      <c r="AA452" s="251" t="str">
        <f>IFERROR(__xludf.DUMMYFUNCTION("""COMPUTED_VALUE"""),"--")</f>
        <v>--</v>
      </c>
      <c r="AB452" s="251" t="str">
        <f>IFERROR(__xludf.DUMMYFUNCTION("""COMPUTED_VALUE"""),"--")</f>
        <v>--</v>
      </c>
      <c r="AC452" s="251" t="str">
        <f>IFERROR(__xludf.DUMMYFUNCTION("""COMPUTED_VALUE"""),"--")</f>
        <v>--</v>
      </c>
      <c r="AD452" s="251">
        <f>IFERROR(__xludf.DUMMYFUNCTION("""COMPUTED_VALUE"""),2.0)</f>
        <v>2</v>
      </c>
      <c r="AE452" s="251" t="str">
        <f>IFERROR(__xludf.DUMMYFUNCTION("""COMPUTED_VALUE"""),"Herbivore")</f>
        <v>Herbivore</v>
      </c>
    </row>
    <row r="453">
      <c r="A453" s="251" t="str">
        <f>IFERROR(__xludf.DUMMYFUNCTION("""COMPUTED_VALUE"""),"Wigglytuff")</f>
        <v>Wigglytuff</v>
      </c>
      <c r="B453" s="251" t="str">
        <f>IFERROR(__xludf.DUMMYFUNCTION("""COMPUTED_VALUE"""),"Normal")</f>
        <v>Normal</v>
      </c>
      <c r="C453" s="251" t="str">
        <f>IFERROR(__xludf.DUMMYFUNCTION("""COMPUTED_VALUE"""),"Fairy")</f>
        <v>Fairy</v>
      </c>
      <c r="D453" s="251">
        <f>IFERROR(__xludf.DUMMYFUNCTION("""COMPUTED_VALUE"""),15.0)</f>
        <v>15</v>
      </c>
      <c r="E453" s="251">
        <f>IFERROR(__xludf.DUMMYFUNCTION("""COMPUTED_VALUE"""),8.0)</f>
        <v>8</v>
      </c>
      <c r="F453" s="251">
        <f>IFERROR(__xludf.DUMMYFUNCTION("""COMPUTED_VALUE"""),6.0)</f>
        <v>6</v>
      </c>
      <c r="G453" s="251">
        <f>IFERROR(__xludf.DUMMYFUNCTION("""COMPUTED_VALUE"""),10.0)</f>
        <v>10</v>
      </c>
      <c r="H453" s="251">
        <f>IFERROR(__xludf.DUMMYFUNCTION("""COMPUTED_VALUE"""),6.0)</f>
        <v>6</v>
      </c>
      <c r="I453" s="251">
        <f>IFERROR(__xludf.DUMMYFUNCTION("""COMPUTED_VALUE"""),6.0)</f>
        <v>6</v>
      </c>
      <c r="J453" s="251">
        <f>IFERROR(__xludf.DUMMYFUNCTION("""COMPUTED_VALUE"""),3.0)</f>
        <v>3</v>
      </c>
      <c r="K453" s="251" t="str">
        <f>IFERROR(__xludf.DUMMYFUNCTION("""COMPUTED_VALUE"""),"Medium")</f>
        <v>Medium</v>
      </c>
      <c r="L453" s="251">
        <f>IFERROR(__xludf.DUMMYFUNCTION("""COMPUTED_VALUE"""),2.0)</f>
        <v>2</v>
      </c>
      <c r="M453" s="251" t="str">
        <f>IFERROR(__xludf.DUMMYFUNCTION("""COMPUTED_VALUE"""),"Grasslands, Urban")</f>
        <v>Grasslands, Urban</v>
      </c>
      <c r="N453" s="251" t="str">
        <f>IFERROR(__xludf.DUMMYFUNCTION("""COMPUTED_VALUE"""),"--")</f>
        <v>--</v>
      </c>
      <c r="O453" s="251" t="str">
        <f>IFERROR(__xludf.DUMMYFUNCTION("""COMPUTED_VALUE"""),"--")</f>
        <v>--</v>
      </c>
      <c r="P453" s="251" t="str">
        <f>IFERROR(__xludf.DUMMYFUNCTION("""COMPUTED_VALUE"""),"--")</f>
        <v>--</v>
      </c>
      <c r="Q453" s="251" t="str">
        <f>IFERROR(__xludf.DUMMYFUNCTION("""COMPUTED_VALUE"""),"--")</f>
        <v>--</v>
      </c>
      <c r="R453" s="251" t="str">
        <f>IFERROR(__xludf.DUMMYFUNCTION("""COMPUTED_VALUE"""),"--")</f>
        <v>--</v>
      </c>
      <c r="S453" s="251" t="str">
        <f>IFERROR(__xludf.DUMMYFUNCTION("""COMPUTED_VALUE"""),"--")</f>
        <v>--</v>
      </c>
      <c r="T453" s="251" t="str">
        <f>IFERROR(__xludf.DUMMYFUNCTION("""COMPUTED_VALUE"""),"--")</f>
        <v>--</v>
      </c>
      <c r="U453" s="251" t="str">
        <f>IFERROR(__xludf.DUMMYFUNCTION("""COMPUTED_VALUE"""),"--")</f>
        <v>--</v>
      </c>
      <c r="V453" s="251" t="str">
        <f>IFERROR(__xludf.DUMMYFUNCTION("""COMPUTED_VALUE"""),"--")</f>
        <v>--</v>
      </c>
      <c r="W453" s="251" t="str">
        <f>IFERROR(__xludf.DUMMYFUNCTION("""COMPUTED_VALUE"""),"--")</f>
        <v>--</v>
      </c>
      <c r="X453" s="251" t="str">
        <f>IFERROR(__xludf.DUMMYFUNCTION("""COMPUTED_VALUE"""),"--")</f>
        <v>--</v>
      </c>
      <c r="Y453" s="251" t="str">
        <f>IFERROR(__xludf.DUMMYFUNCTION("""COMPUTED_VALUE"""),"--")</f>
        <v>--</v>
      </c>
      <c r="Z453" s="251" t="str">
        <f>IFERROR(__xludf.DUMMYFUNCTION("""COMPUTED_VALUE"""),"--")</f>
        <v>--</v>
      </c>
      <c r="AA453" s="251" t="str">
        <f>IFERROR(__xludf.DUMMYFUNCTION("""COMPUTED_VALUE"""),"--")</f>
        <v>--</v>
      </c>
      <c r="AB453" s="251" t="str">
        <f>IFERROR(__xludf.DUMMYFUNCTION("""COMPUTED_VALUE"""),"--")</f>
        <v>--</v>
      </c>
      <c r="AC453" s="251" t="str">
        <f>IFERROR(__xludf.DUMMYFUNCTION("""COMPUTED_VALUE"""),"--")</f>
        <v>--</v>
      </c>
      <c r="AD453" s="251">
        <f>IFERROR(__xludf.DUMMYFUNCTION("""COMPUTED_VALUE"""),3.0)</f>
        <v>3</v>
      </c>
      <c r="AE453" s="251" t="str">
        <f>IFERROR(__xludf.DUMMYFUNCTION("""COMPUTED_VALUE"""),"Herbivore")</f>
        <v>Herbivore</v>
      </c>
    </row>
    <row r="454">
      <c r="A454" s="251" t="str">
        <f>IFERROR(__xludf.DUMMYFUNCTION("""COMPUTED_VALUE"""),"Happiny")</f>
        <v>Happiny</v>
      </c>
      <c r="B454" s="251" t="str">
        <f>IFERROR(__xludf.DUMMYFUNCTION("""COMPUTED_VALUE"""),"Normal")</f>
        <v>Normal</v>
      </c>
      <c r="C454" s="251" t="str">
        <f>IFERROR(__xludf.DUMMYFUNCTION("""COMPUTED_VALUE"""),"None")</f>
        <v>None</v>
      </c>
      <c r="D454" s="251">
        <f>IFERROR(__xludf.DUMMYFUNCTION("""COMPUTED_VALUE"""),15.0)</f>
        <v>15</v>
      </c>
      <c r="E454" s="251">
        <f>IFERROR(__xludf.DUMMYFUNCTION("""COMPUTED_VALUE"""),1.0)</f>
        <v>1</v>
      </c>
      <c r="F454" s="251">
        <f>IFERROR(__xludf.DUMMYFUNCTION("""COMPUTED_VALUE"""),1.0)</f>
        <v>1</v>
      </c>
      <c r="G454" s="251">
        <f>IFERROR(__xludf.DUMMYFUNCTION("""COMPUTED_VALUE"""),3.0)</f>
        <v>3</v>
      </c>
      <c r="H454" s="251">
        <f>IFERROR(__xludf.DUMMYFUNCTION("""COMPUTED_VALUE"""),7.0)</f>
        <v>7</v>
      </c>
      <c r="I454" s="251">
        <f>IFERROR(__xludf.DUMMYFUNCTION("""COMPUTED_VALUE"""),3.0)</f>
        <v>3</v>
      </c>
      <c r="J454" s="251">
        <f>IFERROR(__xludf.DUMMYFUNCTION("""COMPUTED_VALUE"""),1.0)</f>
        <v>1</v>
      </c>
      <c r="K454" s="251" t="str">
        <f>IFERROR(__xludf.DUMMYFUNCTION("""COMPUTED_VALUE"""),"Small")</f>
        <v>Small</v>
      </c>
      <c r="L454" s="251">
        <f>IFERROR(__xludf.DUMMYFUNCTION("""COMPUTED_VALUE"""),2.0)</f>
        <v>2</v>
      </c>
      <c r="M454" s="251" t="str">
        <f>IFERROR(__xludf.DUMMYFUNCTION("""COMPUTED_VALUE"""),"Grasslands, Urban")</f>
        <v>Grasslands, Urban</v>
      </c>
      <c r="N454" s="251" t="str">
        <f>IFERROR(__xludf.DUMMYFUNCTION("""COMPUTED_VALUE"""),"Slow")</f>
        <v>Slow</v>
      </c>
      <c r="O454" s="251" t="str">
        <f>IFERROR(__xludf.DUMMYFUNCTION("""COMPUTED_VALUE"""),"--")</f>
        <v>--</v>
      </c>
      <c r="P454" s="251" t="str">
        <f>IFERROR(__xludf.DUMMYFUNCTION("""COMPUTED_VALUE"""),"--")</f>
        <v>--</v>
      </c>
      <c r="Q454" s="251" t="str">
        <f>IFERROR(__xludf.DUMMYFUNCTION("""COMPUTED_VALUE"""),"--")</f>
        <v>--</v>
      </c>
      <c r="R454" s="251" t="str">
        <f>IFERROR(__xludf.DUMMYFUNCTION("""COMPUTED_VALUE"""),"Underdog")</f>
        <v>Underdog</v>
      </c>
      <c r="S454" s="251" t="str">
        <f>IFERROR(__xludf.DUMMYFUNCTION("""COMPUTED_VALUE"""),"--")</f>
        <v>--</v>
      </c>
      <c r="T454" s="251" t="str">
        <f>IFERROR(__xludf.DUMMYFUNCTION("""COMPUTED_VALUE"""),"--")</f>
        <v>--</v>
      </c>
      <c r="U454" s="251" t="str">
        <f>IFERROR(__xludf.DUMMYFUNCTION("""COMPUTED_VALUE"""),"--")</f>
        <v>--</v>
      </c>
      <c r="V454" s="251" t="str">
        <f>IFERROR(__xludf.DUMMYFUNCTION("""COMPUTED_VALUE"""),"--")</f>
        <v>--</v>
      </c>
      <c r="W454" s="251" t="str">
        <f>IFERROR(__xludf.DUMMYFUNCTION("""COMPUTED_VALUE"""),"--")</f>
        <v>--</v>
      </c>
      <c r="X454" s="251" t="str">
        <f>IFERROR(__xludf.DUMMYFUNCTION("""COMPUTED_VALUE"""),"--")</f>
        <v>--</v>
      </c>
      <c r="Y454" s="251" t="str">
        <f>IFERROR(__xludf.DUMMYFUNCTION("""COMPUTED_VALUE"""),"--")</f>
        <v>--</v>
      </c>
      <c r="Z454" s="251" t="str">
        <f>IFERROR(__xludf.DUMMYFUNCTION("""COMPUTED_VALUE"""),"--")</f>
        <v>--</v>
      </c>
      <c r="AA454" s="251" t="str">
        <f>IFERROR(__xludf.DUMMYFUNCTION("""COMPUTED_VALUE"""),"--")</f>
        <v>--</v>
      </c>
      <c r="AB454" s="251" t="str">
        <f>IFERROR(__xludf.DUMMYFUNCTION("""COMPUTED_VALUE"""),"--")</f>
        <v>--</v>
      </c>
      <c r="AC454" s="251" t="str">
        <f>IFERROR(__xludf.DUMMYFUNCTION("""COMPUTED_VALUE"""),"--")</f>
        <v>--</v>
      </c>
      <c r="AD454" s="251">
        <f>IFERROR(__xludf.DUMMYFUNCTION("""COMPUTED_VALUE"""),1.0)</f>
        <v>1</v>
      </c>
      <c r="AE454" s="251" t="str">
        <f>IFERROR(__xludf.DUMMYFUNCTION("""COMPUTED_VALUE"""),"Herbivore")</f>
        <v>Herbivore</v>
      </c>
    </row>
    <row r="455">
      <c r="A455" s="251" t="str">
        <f>IFERROR(__xludf.DUMMYFUNCTION("""COMPUTED_VALUE"""),"Chansey")</f>
        <v>Chansey</v>
      </c>
      <c r="B455" s="251" t="str">
        <f>IFERROR(__xludf.DUMMYFUNCTION("""COMPUTED_VALUE"""),"Normal")</f>
        <v>Normal</v>
      </c>
      <c r="C455" s="251" t="str">
        <f>IFERROR(__xludf.DUMMYFUNCTION("""COMPUTED_VALUE"""),"None")</f>
        <v>None</v>
      </c>
      <c r="D455" s="251">
        <f>IFERROR(__xludf.DUMMYFUNCTION("""COMPUTED_VALUE"""),25.0)</f>
        <v>25</v>
      </c>
      <c r="E455" s="251">
        <f>IFERROR(__xludf.DUMMYFUNCTION("""COMPUTED_VALUE"""),1.0)</f>
        <v>1</v>
      </c>
      <c r="F455" s="251">
        <f>IFERROR(__xludf.DUMMYFUNCTION("""COMPUTED_VALUE"""),1.0)</f>
        <v>1</v>
      </c>
      <c r="G455" s="251">
        <f>IFERROR(__xludf.DUMMYFUNCTION("""COMPUTED_VALUE"""),4.0)</f>
        <v>4</v>
      </c>
      <c r="H455" s="251">
        <f>IFERROR(__xludf.DUMMYFUNCTION("""COMPUTED_VALUE"""),11.0)</f>
        <v>11</v>
      </c>
      <c r="I455" s="251">
        <f>IFERROR(__xludf.DUMMYFUNCTION("""COMPUTED_VALUE"""),5.0)</f>
        <v>5</v>
      </c>
      <c r="J455" s="251">
        <f>IFERROR(__xludf.DUMMYFUNCTION("""COMPUTED_VALUE"""),1.0)</f>
        <v>1</v>
      </c>
      <c r="K455" s="251" t="str">
        <f>IFERROR(__xludf.DUMMYFUNCTION("""COMPUTED_VALUE"""),"Medium")</f>
        <v>Medium</v>
      </c>
      <c r="L455" s="251">
        <f>IFERROR(__xludf.DUMMYFUNCTION("""COMPUTED_VALUE"""),3.0)</f>
        <v>3</v>
      </c>
      <c r="M455" s="251" t="str">
        <f>IFERROR(__xludf.DUMMYFUNCTION("""COMPUTED_VALUE"""),"Grasslands, Urban")</f>
        <v>Grasslands, Urban</v>
      </c>
      <c r="N455" s="251" t="str">
        <f>IFERROR(__xludf.DUMMYFUNCTION("""COMPUTED_VALUE"""),"--")</f>
        <v>--</v>
      </c>
      <c r="O455" s="251" t="str">
        <f>IFERROR(__xludf.DUMMYFUNCTION("""COMPUTED_VALUE"""),"--")</f>
        <v>--</v>
      </c>
      <c r="P455" s="251" t="str">
        <f>IFERROR(__xludf.DUMMYFUNCTION("""COMPUTED_VALUE"""),"--")</f>
        <v>--</v>
      </c>
      <c r="Q455" s="251" t="str">
        <f>IFERROR(__xludf.DUMMYFUNCTION("""COMPUTED_VALUE"""),"--")</f>
        <v>--</v>
      </c>
      <c r="R455" s="251" t="str">
        <f>IFERROR(__xludf.DUMMYFUNCTION("""COMPUTED_VALUE"""),"--")</f>
        <v>--</v>
      </c>
      <c r="S455" s="251" t="str">
        <f>IFERROR(__xludf.DUMMYFUNCTION("""COMPUTED_VALUE"""),"--")</f>
        <v>--</v>
      </c>
      <c r="T455" s="251" t="str">
        <f>IFERROR(__xludf.DUMMYFUNCTION("""COMPUTED_VALUE"""),"--")</f>
        <v>--</v>
      </c>
      <c r="U455" s="251" t="str">
        <f>IFERROR(__xludf.DUMMYFUNCTION("""COMPUTED_VALUE"""),"--")</f>
        <v>--</v>
      </c>
      <c r="V455" s="251" t="str">
        <f>IFERROR(__xludf.DUMMYFUNCTION("""COMPUTED_VALUE"""),"Mender")</f>
        <v>Mender</v>
      </c>
      <c r="W455" s="251" t="str">
        <f>IFERROR(__xludf.DUMMYFUNCTION("""COMPUTED_VALUE"""),"--")</f>
        <v>--</v>
      </c>
      <c r="X455" s="251" t="str">
        <f>IFERROR(__xludf.DUMMYFUNCTION("""COMPUTED_VALUE"""),"--")</f>
        <v>--</v>
      </c>
      <c r="Y455" s="251" t="str">
        <f>IFERROR(__xludf.DUMMYFUNCTION("""COMPUTED_VALUE"""),"--")</f>
        <v>--</v>
      </c>
      <c r="Z455" s="251" t="str">
        <f>IFERROR(__xludf.DUMMYFUNCTION("""COMPUTED_VALUE"""),"--")</f>
        <v>--</v>
      </c>
      <c r="AA455" s="251" t="str">
        <f>IFERROR(__xludf.DUMMYFUNCTION("""COMPUTED_VALUE"""),"--")</f>
        <v>--</v>
      </c>
      <c r="AB455" s="251" t="str">
        <f>IFERROR(__xludf.DUMMYFUNCTION("""COMPUTED_VALUE"""),"--")</f>
        <v>--</v>
      </c>
      <c r="AC455" s="251" t="str">
        <f>IFERROR(__xludf.DUMMYFUNCTION("""COMPUTED_VALUE"""),"--")</f>
        <v>--</v>
      </c>
      <c r="AD455" s="251">
        <f>IFERROR(__xludf.DUMMYFUNCTION("""COMPUTED_VALUE"""),2.0)</f>
        <v>2</v>
      </c>
      <c r="AE455" s="251" t="str">
        <f>IFERROR(__xludf.DUMMYFUNCTION("""COMPUTED_VALUE"""),"Herbivore")</f>
        <v>Herbivore</v>
      </c>
    </row>
    <row r="456">
      <c r="A456" s="251" t="str">
        <f>IFERROR(__xludf.DUMMYFUNCTION("""COMPUTED_VALUE"""),"Blissey")</f>
        <v>Blissey</v>
      </c>
      <c r="B456" s="251" t="str">
        <f>IFERROR(__xludf.DUMMYFUNCTION("""COMPUTED_VALUE"""),"Normal")</f>
        <v>Normal</v>
      </c>
      <c r="C456" s="251" t="str">
        <f>IFERROR(__xludf.DUMMYFUNCTION("""COMPUTED_VALUE"""),"None")</f>
        <v>None</v>
      </c>
      <c r="D456" s="251">
        <f>IFERROR(__xludf.DUMMYFUNCTION("""COMPUTED_VALUE"""),26.0)</f>
        <v>26</v>
      </c>
      <c r="E456" s="251">
        <f>IFERROR(__xludf.DUMMYFUNCTION("""COMPUTED_VALUE"""),1.0)</f>
        <v>1</v>
      </c>
      <c r="F456" s="251">
        <f>IFERROR(__xludf.DUMMYFUNCTION("""COMPUTED_VALUE"""),1.0)</f>
        <v>1</v>
      </c>
      <c r="G456" s="251">
        <f>IFERROR(__xludf.DUMMYFUNCTION("""COMPUTED_VALUE"""),8.0)</f>
        <v>8</v>
      </c>
      <c r="H456" s="251">
        <f>IFERROR(__xludf.DUMMYFUNCTION("""COMPUTED_VALUE"""),14.0)</f>
        <v>14</v>
      </c>
      <c r="I456" s="251">
        <f>IFERROR(__xludf.DUMMYFUNCTION("""COMPUTED_VALUE"""),6.0)</f>
        <v>6</v>
      </c>
      <c r="J456" s="251">
        <f>IFERROR(__xludf.DUMMYFUNCTION("""COMPUTED_VALUE"""),3.0)</f>
        <v>3</v>
      </c>
      <c r="K456" s="251" t="str">
        <f>IFERROR(__xludf.DUMMYFUNCTION("""COMPUTED_VALUE"""),"Medium")</f>
        <v>Medium</v>
      </c>
      <c r="L456" s="251">
        <f>IFERROR(__xludf.DUMMYFUNCTION("""COMPUTED_VALUE"""),3.0)</f>
        <v>3</v>
      </c>
      <c r="M456" s="251" t="str">
        <f>IFERROR(__xludf.DUMMYFUNCTION("""COMPUTED_VALUE"""),"Grasslands, Urban")</f>
        <v>Grasslands, Urban</v>
      </c>
      <c r="N456" s="251" t="str">
        <f>IFERROR(__xludf.DUMMYFUNCTION("""COMPUTED_VALUE"""),"--")</f>
        <v>--</v>
      </c>
      <c r="O456" s="251" t="str">
        <f>IFERROR(__xludf.DUMMYFUNCTION("""COMPUTED_VALUE"""),"--")</f>
        <v>--</v>
      </c>
      <c r="P456" s="251" t="str">
        <f>IFERROR(__xludf.DUMMYFUNCTION("""COMPUTED_VALUE"""),"--")</f>
        <v>--</v>
      </c>
      <c r="Q456" s="251" t="str">
        <f>IFERROR(__xludf.DUMMYFUNCTION("""COMPUTED_VALUE"""),"--")</f>
        <v>--</v>
      </c>
      <c r="R456" s="251" t="str">
        <f>IFERROR(__xludf.DUMMYFUNCTION("""COMPUTED_VALUE"""),"--")</f>
        <v>--</v>
      </c>
      <c r="S456" s="251" t="str">
        <f>IFERROR(__xludf.DUMMYFUNCTION("""COMPUTED_VALUE"""),"--")</f>
        <v>--</v>
      </c>
      <c r="T456" s="251" t="str">
        <f>IFERROR(__xludf.DUMMYFUNCTION("""COMPUTED_VALUE"""),"--")</f>
        <v>--</v>
      </c>
      <c r="U456" s="251" t="str">
        <f>IFERROR(__xludf.DUMMYFUNCTION("""COMPUTED_VALUE"""),"--")</f>
        <v>--</v>
      </c>
      <c r="V456" s="251" t="str">
        <f>IFERROR(__xludf.DUMMYFUNCTION("""COMPUTED_VALUE"""),"Empath")</f>
        <v>Empath</v>
      </c>
      <c r="W456" s="251" t="str">
        <f>IFERROR(__xludf.DUMMYFUNCTION("""COMPUTED_VALUE"""),"Mender")</f>
        <v>Mender</v>
      </c>
      <c r="X456" s="251" t="str">
        <f>IFERROR(__xludf.DUMMYFUNCTION("""COMPUTED_VALUE"""),"--")</f>
        <v>--</v>
      </c>
      <c r="Y456" s="251" t="str">
        <f>IFERROR(__xludf.DUMMYFUNCTION("""COMPUTED_VALUE"""),"--")</f>
        <v>--</v>
      </c>
      <c r="Z456" s="251" t="str">
        <f>IFERROR(__xludf.DUMMYFUNCTION("""COMPUTED_VALUE"""),"--")</f>
        <v>--</v>
      </c>
      <c r="AA456" s="251" t="str">
        <f>IFERROR(__xludf.DUMMYFUNCTION("""COMPUTED_VALUE"""),"--")</f>
        <v>--</v>
      </c>
      <c r="AB456" s="251" t="str">
        <f>IFERROR(__xludf.DUMMYFUNCTION("""COMPUTED_VALUE"""),"--")</f>
        <v>--</v>
      </c>
      <c r="AC456" s="251" t="str">
        <f>IFERROR(__xludf.DUMMYFUNCTION("""COMPUTED_VALUE"""),"--")</f>
        <v>--</v>
      </c>
      <c r="AD456" s="251">
        <f>IFERROR(__xludf.DUMMYFUNCTION("""COMPUTED_VALUE"""),3.0)</f>
        <v>3</v>
      </c>
      <c r="AE456" s="251" t="str">
        <f>IFERROR(__xludf.DUMMYFUNCTION("""COMPUTED_VALUE"""),"Herbivore")</f>
        <v>Herbivore</v>
      </c>
    </row>
    <row r="457">
      <c r="A457" s="251" t="str">
        <f>IFERROR(__xludf.DUMMYFUNCTION("""COMPUTED_VALUE"""),"Porygon")</f>
        <v>Porygon</v>
      </c>
      <c r="B457" s="251" t="str">
        <f>IFERROR(__xludf.DUMMYFUNCTION("""COMPUTED_VALUE"""),"Normal")</f>
        <v>Normal</v>
      </c>
      <c r="C457" s="251" t="str">
        <f>IFERROR(__xludf.DUMMYFUNCTION("""COMPUTED_VALUE"""),"None")</f>
        <v>None</v>
      </c>
      <c r="D457" s="251">
        <f>IFERROR(__xludf.DUMMYFUNCTION("""COMPUTED_VALUE"""),7.0)</f>
        <v>7</v>
      </c>
      <c r="E457" s="251">
        <f>IFERROR(__xludf.DUMMYFUNCTION("""COMPUTED_VALUE"""),6.0)</f>
        <v>6</v>
      </c>
      <c r="F457" s="251">
        <f>IFERROR(__xludf.DUMMYFUNCTION("""COMPUTED_VALUE"""),7.0)</f>
        <v>7</v>
      </c>
      <c r="G457" s="251">
        <f>IFERROR(__xludf.DUMMYFUNCTION("""COMPUTED_VALUE"""),9.0)</f>
        <v>9</v>
      </c>
      <c r="H457" s="251">
        <f>IFERROR(__xludf.DUMMYFUNCTION("""COMPUTED_VALUE"""),8.0)</f>
        <v>8</v>
      </c>
      <c r="I457" s="251">
        <f>IFERROR(__xludf.DUMMYFUNCTION("""COMPUTED_VALUE"""),4.0)</f>
        <v>4</v>
      </c>
      <c r="J457" s="251">
        <f>IFERROR(__xludf.DUMMYFUNCTION("""COMPUTED_VALUE"""),2.0)</f>
        <v>2</v>
      </c>
      <c r="K457" s="251" t="str">
        <f>IFERROR(__xludf.DUMMYFUNCTION("""COMPUTED_VALUE"""),"Small")</f>
        <v>Small</v>
      </c>
      <c r="L457" s="251">
        <f>IFERROR(__xludf.DUMMYFUNCTION("""COMPUTED_VALUE"""),3.0)</f>
        <v>3</v>
      </c>
      <c r="M457" s="251" t="str">
        <f>IFERROR(__xludf.DUMMYFUNCTION("""COMPUTED_VALUE"""),"Urban")</f>
        <v>Urban</v>
      </c>
      <c r="N457" s="251" t="str">
        <f>IFERROR(__xludf.DUMMYFUNCTION("""COMPUTED_VALUE"""),"Flier")</f>
        <v>Flier</v>
      </c>
      <c r="O457" s="251" t="str">
        <f>IFERROR(__xludf.DUMMYFUNCTION("""COMPUTED_VALUE"""),"--")</f>
        <v>--</v>
      </c>
      <c r="P457" s="251" t="str">
        <f>IFERROR(__xludf.DUMMYFUNCTION("""COMPUTED_VALUE"""),"--")</f>
        <v>--</v>
      </c>
      <c r="Q457" s="251" t="str">
        <f>IFERROR(__xludf.DUMMYFUNCTION("""COMPUTED_VALUE"""),"--")</f>
        <v>--</v>
      </c>
      <c r="R457" s="251" t="str">
        <f>IFERROR(__xludf.DUMMYFUNCTION("""COMPUTED_VALUE"""),"Underdog")</f>
        <v>Underdog</v>
      </c>
      <c r="S457" s="251" t="str">
        <f>IFERROR(__xludf.DUMMYFUNCTION("""COMPUTED_VALUE"""),"--")</f>
        <v>--</v>
      </c>
      <c r="T457" s="251" t="str">
        <f>IFERROR(__xludf.DUMMYFUNCTION("""COMPUTED_VALUE"""),"--")</f>
        <v>--</v>
      </c>
      <c r="U457" s="251" t="str">
        <f>IFERROR(__xludf.DUMMYFUNCTION("""COMPUTED_VALUE"""),"--")</f>
        <v>--</v>
      </c>
      <c r="V457" s="251" t="str">
        <f>IFERROR(__xludf.DUMMYFUNCTION("""COMPUTED_VALUE"""),"Breathless")</f>
        <v>Breathless</v>
      </c>
      <c r="W457" s="251" t="str">
        <f>IFERROR(__xludf.DUMMYFUNCTION("""COMPUTED_VALUE"""),"Wired")</f>
        <v>Wired</v>
      </c>
      <c r="X457" s="251" t="str">
        <f>IFERROR(__xludf.DUMMYFUNCTION("""COMPUTED_VALUE"""),"--")</f>
        <v>--</v>
      </c>
      <c r="Y457" s="251" t="str">
        <f>IFERROR(__xludf.DUMMYFUNCTION("""COMPUTED_VALUE"""),"--")</f>
        <v>--</v>
      </c>
      <c r="Z457" s="251" t="str">
        <f>IFERROR(__xludf.DUMMYFUNCTION("""COMPUTED_VALUE"""),"--")</f>
        <v>--</v>
      </c>
      <c r="AA457" s="251" t="str">
        <f>IFERROR(__xludf.DUMMYFUNCTION("""COMPUTED_VALUE"""),"--")</f>
        <v>--</v>
      </c>
      <c r="AB457" s="251" t="str">
        <f>IFERROR(__xludf.DUMMYFUNCTION("""COMPUTED_VALUE"""),"--")</f>
        <v>--</v>
      </c>
      <c r="AC457" s="251" t="str">
        <f>IFERROR(__xludf.DUMMYFUNCTION("""COMPUTED_VALUE"""),"--")</f>
        <v>--</v>
      </c>
      <c r="AD457" s="251">
        <f>IFERROR(__xludf.DUMMYFUNCTION("""COMPUTED_VALUE"""),1.0)</f>
        <v>1</v>
      </c>
      <c r="AE457" s="251" t="str">
        <f>IFERROR(__xludf.DUMMYFUNCTION("""COMPUTED_VALUE"""),"Ergovore")</f>
        <v>Ergovore</v>
      </c>
    </row>
    <row r="458">
      <c r="A458" s="251" t="str">
        <f>IFERROR(__xludf.DUMMYFUNCTION("""COMPUTED_VALUE"""),"Porygon2")</f>
        <v>Porygon2</v>
      </c>
      <c r="B458" s="251" t="str">
        <f>IFERROR(__xludf.DUMMYFUNCTION("""COMPUTED_VALUE"""),"Normal")</f>
        <v>Normal</v>
      </c>
      <c r="C458" s="251" t="str">
        <f>IFERROR(__xludf.DUMMYFUNCTION("""COMPUTED_VALUE"""),"None")</f>
        <v>None</v>
      </c>
      <c r="D458" s="251">
        <f>IFERROR(__xludf.DUMMYFUNCTION("""COMPUTED_VALUE"""),9.0)</f>
        <v>9</v>
      </c>
      <c r="E458" s="251">
        <f>IFERROR(__xludf.DUMMYFUNCTION("""COMPUTED_VALUE"""),8.0)</f>
        <v>8</v>
      </c>
      <c r="F458" s="251">
        <f>IFERROR(__xludf.DUMMYFUNCTION("""COMPUTED_VALUE"""),9.0)</f>
        <v>9</v>
      </c>
      <c r="G458" s="251">
        <f>IFERROR(__xludf.DUMMYFUNCTION("""COMPUTED_VALUE"""),11.0)</f>
        <v>11</v>
      </c>
      <c r="H458" s="251">
        <f>IFERROR(__xludf.DUMMYFUNCTION("""COMPUTED_VALUE"""),10.0)</f>
        <v>10</v>
      </c>
      <c r="I458" s="251">
        <f>IFERROR(__xludf.DUMMYFUNCTION("""COMPUTED_VALUE"""),6.0)</f>
        <v>6</v>
      </c>
      <c r="J458" s="251">
        <f>IFERROR(__xludf.DUMMYFUNCTION("""COMPUTED_VALUE"""),2.0)</f>
        <v>2</v>
      </c>
      <c r="K458" s="251" t="str">
        <f>IFERROR(__xludf.DUMMYFUNCTION("""COMPUTED_VALUE"""),"Small")</f>
        <v>Small</v>
      </c>
      <c r="L458" s="251">
        <f>IFERROR(__xludf.DUMMYFUNCTION("""COMPUTED_VALUE"""),3.0)</f>
        <v>3</v>
      </c>
      <c r="M458" s="251" t="str">
        <f>IFERROR(__xludf.DUMMYFUNCTION("""COMPUTED_VALUE"""),"Urban")</f>
        <v>Urban</v>
      </c>
      <c r="N458" s="251" t="str">
        <f>IFERROR(__xludf.DUMMYFUNCTION("""COMPUTED_VALUE"""),"Flier")</f>
        <v>Flier</v>
      </c>
      <c r="O458" s="251" t="str">
        <f>IFERROR(__xludf.DUMMYFUNCTION("""COMPUTED_VALUE"""),"--")</f>
        <v>--</v>
      </c>
      <c r="P458" s="251" t="str">
        <f>IFERROR(__xludf.DUMMYFUNCTION("""COMPUTED_VALUE"""),"--")</f>
        <v>--</v>
      </c>
      <c r="Q458" s="251" t="str">
        <f>IFERROR(__xludf.DUMMYFUNCTION("""COMPUTED_VALUE"""),"--")</f>
        <v>--</v>
      </c>
      <c r="R458" s="251" t="str">
        <f>IFERROR(__xludf.DUMMYFUNCTION("""COMPUTED_VALUE"""),"--")</f>
        <v>--</v>
      </c>
      <c r="S458" s="251" t="str">
        <f>IFERROR(__xludf.DUMMYFUNCTION("""COMPUTED_VALUE"""),"--")</f>
        <v>--</v>
      </c>
      <c r="T458" s="251" t="str">
        <f>IFERROR(__xludf.DUMMYFUNCTION("""COMPUTED_VALUE"""),"--")</f>
        <v>--</v>
      </c>
      <c r="U458" s="251" t="str">
        <f>IFERROR(__xludf.DUMMYFUNCTION("""COMPUTED_VALUE"""),"--")</f>
        <v>--</v>
      </c>
      <c r="V458" s="251" t="str">
        <f>IFERROR(__xludf.DUMMYFUNCTION("""COMPUTED_VALUE"""),"Breathless")</f>
        <v>Breathless</v>
      </c>
      <c r="W458" s="251" t="str">
        <f>IFERROR(__xludf.DUMMYFUNCTION("""COMPUTED_VALUE"""),"Wired")</f>
        <v>Wired</v>
      </c>
      <c r="X458" s="251" t="str">
        <f>IFERROR(__xludf.DUMMYFUNCTION("""COMPUTED_VALUE"""),"--")</f>
        <v>--</v>
      </c>
      <c r="Y458" s="251" t="str">
        <f>IFERROR(__xludf.DUMMYFUNCTION("""COMPUTED_VALUE"""),"--")</f>
        <v>--</v>
      </c>
      <c r="Z458" s="251" t="str">
        <f>IFERROR(__xludf.DUMMYFUNCTION("""COMPUTED_VALUE"""),"--")</f>
        <v>--</v>
      </c>
      <c r="AA458" s="251" t="str">
        <f>IFERROR(__xludf.DUMMYFUNCTION("""COMPUTED_VALUE"""),"--")</f>
        <v>--</v>
      </c>
      <c r="AB458" s="251" t="str">
        <f>IFERROR(__xludf.DUMMYFUNCTION("""COMPUTED_VALUE"""),"--")</f>
        <v>--</v>
      </c>
      <c r="AC458" s="251" t="str">
        <f>IFERROR(__xludf.DUMMYFUNCTION("""COMPUTED_VALUE"""),"--")</f>
        <v>--</v>
      </c>
      <c r="AD458" s="251">
        <f>IFERROR(__xludf.DUMMYFUNCTION("""COMPUTED_VALUE"""),2.0)</f>
        <v>2</v>
      </c>
      <c r="AE458" s="251" t="str">
        <f>IFERROR(__xludf.DUMMYFUNCTION("""COMPUTED_VALUE"""),"Ergovore")</f>
        <v>Ergovore</v>
      </c>
    </row>
    <row r="459">
      <c r="A459" s="251" t="str">
        <f>IFERROR(__xludf.DUMMYFUNCTION("""COMPUTED_VALUE"""),"Porygon-Z")</f>
        <v>Porygon-Z</v>
      </c>
      <c r="B459" s="251" t="str">
        <f>IFERROR(__xludf.DUMMYFUNCTION("""COMPUTED_VALUE"""),"Normal")</f>
        <v>Normal</v>
      </c>
      <c r="C459" s="251" t="str">
        <f>IFERROR(__xludf.DUMMYFUNCTION("""COMPUTED_VALUE"""),"None")</f>
        <v>None</v>
      </c>
      <c r="D459" s="251">
        <f>IFERROR(__xludf.DUMMYFUNCTION("""COMPUTED_VALUE"""),9.0)</f>
        <v>9</v>
      </c>
      <c r="E459" s="251">
        <f>IFERROR(__xludf.DUMMYFUNCTION("""COMPUTED_VALUE"""),8.0)</f>
        <v>8</v>
      </c>
      <c r="F459" s="251">
        <f>IFERROR(__xludf.DUMMYFUNCTION("""COMPUTED_VALUE"""),7.0)</f>
        <v>7</v>
      </c>
      <c r="G459" s="251">
        <f>IFERROR(__xludf.DUMMYFUNCTION("""COMPUTED_VALUE"""),14.0)</f>
        <v>14</v>
      </c>
      <c r="H459" s="251">
        <f>IFERROR(__xludf.DUMMYFUNCTION("""COMPUTED_VALUE"""),8.0)</f>
        <v>8</v>
      </c>
      <c r="I459" s="251">
        <f>IFERROR(__xludf.DUMMYFUNCTION("""COMPUTED_VALUE"""),9.0)</f>
        <v>9</v>
      </c>
      <c r="J459" s="251">
        <f>IFERROR(__xludf.DUMMYFUNCTION("""COMPUTED_VALUE"""),2.0)</f>
        <v>2</v>
      </c>
      <c r="K459" s="251" t="str">
        <f>IFERROR(__xludf.DUMMYFUNCTION("""COMPUTED_VALUE"""),"Small")</f>
        <v>Small</v>
      </c>
      <c r="L459" s="251">
        <f>IFERROR(__xludf.DUMMYFUNCTION("""COMPUTED_VALUE"""),3.0)</f>
        <v>3</v>
      </c>
      <c r="M459" s="251" t="str">
        <f>IFERROR(__xludf.DUMMYFUNCTION("""COMPUTED_VALUE"""),"Urban")</f>
        <v>Urban</v>
      </c>
      <c r="N459" s="251" t="str">
        <f>IFERROR(__xludf.DUMMYFUNCTION("""COMPUTED_VALUE"""),"Flier")</f>
        <v>Flier</v>
      </c>
      <c r="O459" s="251" t="str">
        <f>IFERROR(__xludf.DUMMYFUNCTION("""COMPUTED_VALUE"""),"--")</f>
        <v>--</v>
      </c>
      <c r="P459" s="251" t="str">
        <f>IFERROR(__xludf.DUMMYFUNCTION("""COMPUTED_VALUE"""),"--")</f>
        <v>--</v>
      </c>
      <c r="Q459" s="251" t="str">
        <f>IFERROR(__xludf.DUMMYFUNCTION("""COMPUTED_VALUE"""),"--")</f>
        <v>--</v>
      </c>
      <c r="R459" s="251" t="str">
        <f>IFERROR(__xludf.DUMMYFUNCTION("""COMPUTED_VALUE"""),"--")</f>
        <v>--</v>
      </c>
      <c r="S459" s="251" t="str">
        <f>IFERROR(__xludf.DUMMYFUNCTION("""COMPUTED_VALUE"""),"--")</f>
        <v>--</v>
      </c>
      <c r="T459" s="251" t="str">
        <f>IFERROR(__xludf.DUMMYFUNCTION("""COMPUTED_VALUE"""),"--")</f>
        <v>--</v>
      </c>
      <c r="U459" s="251" t="str">
        <f>IFERROR(__xludf.DUMMYFUNCTION("""COMPUTED_VALUE"""),"--")</f>
        <v>--</v>
      </c>
      <c r="V459" s="251" t="str">
        <f>IFERROR(__xludf.DUMMYFUNCTION("""COMPUTED_VALUE"""),"Breathless")</f>
        <v>Breathless</v>
      </c>
      <c r="W459" s="251" t="str">
        <f>IFERROR(__xludf.DUMMYFUNCTION("""COMPUTED_VALUE"""),"Wired")</f>
        <v>Wired</v>
      </c>
      <c r="X459" s="251" t="str">
        <f>IFERROR(__xludf.DUMMYFUNCTION("""COMPUTED_VALUE"""),"--")</f>
        <v>--</v>
      </c>
      <c r="Y459" s="251" t="str">
        <f>IFERROR(__xludf.DUMMYFUNCTION("""COMPUTED_VALUE"""),"--")</f>
        <v>--</v>
      </c>
      <c r="Z459" s="251" t="str">
        <f>IFERROR(__xludf.DUMMYFUNCTION("""COMPUTED_VALUE"""),"--")</f>
        <v>--</v>
      </c>
      <c r="AA459" s="251" t="str">
        <f>IFERROR(__xludf.DUMMYFUNCTION("""COMPUTED_VALUE"""),"--")</f>
        <v>--</v>
      </c>
      <c r="AB459" s="251" t="str">
        <f>IFERROR(__xludf.DUMMYFUNCTION("""COMPUTED_VALUE"""),"--")</f>
        <v>--</v>
      </c>
      <c r="AC459" s="251" t="str">
        <f>IFERROR(__xludf.DUMMYFUNCTION("""COMPUTED_VALUE"""),"--")</f>
        <v>--</v>
      </c>
      <c r="AD459" s="251">
        <f>IFERROR(__xludf.DUMMYFUNCTION("""COMPUTED_VALUE"""),3.0)</f>
        <v>3</v>
      </c>
      <c r="AE459" s="251" t="str">
        <f>IFERROR(__xludf.DUMMYFUNCTION("""COMPUTED_VALUE"""),"Ergovore")</f>
        <v>Ergovore</v>
      </c>
    </row>
    <row r="460">
      <c r="A460" s="251" t="str">
        <f>IFERROR(__xludf.DUMMYFUNCTION("""COMPUTED_VALUE"""),"Slakoth")</f>
        <v>Slakoth</v>
      </c>
      <c r="B460" s="251" t="str">
        <f>IFERROR(__xludf.DUMMYFUNCTION("""COMPUTED_VALUE"""),"Normal")</f>
        <v>Normal</v>
      </c>
      <c r="C460" s="251" t="str">
        <f>IFERROR(__xludf.DUMMYFUNCTION("""COMPUTED_VALUE"""),"None")</f>
        <v>None</v>
      </c>
      <c r="D460" s="251">
        <f>IFERROR(__xludf.DUMMYFUNCTION("""COMPUTED_VALUE"""),7.0)</f>
        <v>7</v>
      </c>
      <c r="E460" s="251">
        <f>IFERROR(__xludf.DUMMYFUNCTION("""COMPUTED_VALUE"""),6.0)</f>
        <v>6</v>
      </c>
      <c r="F460" s="251">
        <f>IFERROR(__xludf.DUMMYFUNCTION("""COMPUTED_VALUE"""),6.0)</f>
        <v>6</v>
      </c>
      <c r="G460" s="251">
        <f>IFERROR(__xludf.DUMMYFUNCTION("""COMPUTED_VALUE"""),4.0)</f>
        <v>4</v>
      </c>
      <c r="H460" s="251">
        <f>IFERROR(__xludf.DUMMYFUNCTION("""COMPUTED_VALUE"""),4.0)</f>
        <v>4</v>
      </c>
      <c r="I460" s="251">
        <f>IFERROR(__xludf.DUMMYFUNCTION("""COMPUTED_VALUE"""),3.0)</f>
        <v>3</v>
      </c>
      <c r="J460" s="251">
        <f>IFERROR(__xludf.DUMMYFUNCTION("""COMPUTED_VALUE"""),3.0)</f>
        <v>3</v>
      </c>
      <c r="K460" s="251" t="str">
        <f>IFERROR(__xludf.DUMMYFUNCTION("""COMPUTED_VALUE"""),"Small")</f>
        <v>Small</v>
      </c>
      <c r="L460" s="251">
        <f>IFERROR(__xludf.DUMMYFUNCTION("""COMPUTED_VALUE"""),2.0)</f>
        <v>2</v>
      </c>
      <c r="M460" s="251" t="str">
        <f>IFERROR(__xludf.DUMMYFUNCTION("""COMPUTED_VALUE"""),"Forest")</f>
        <v>Forest</v>
      </c>
      <c r="N460" s="251" t="str">
        <f>IFERROR(__xludf.DUMMYFUNCTION("""COMPUTED_VALUE"""),"Climber")</f>
        <v>Climber</v>
      </c>
      <c r="O460" s="251" t="str">
        <f>IFERROR(__xludf.DUMMYFUNCTION("""COMPUTED_VALUE"""),"Slow")</f>
        <v>Slow</v>
      </c>
      <c r="P460" s="251" t="str">
        <f>IFERROR(__xludf.DUMMYFUNCTION("""COMPUTED_VALUE"""),"--")</f>
        <v>--</v>
      </c>
      <c r="Q460" s="251" t="str">
        <f>IFERROR(__xludf.DUMMYFUNCTION("""COMPUTED_VALUE"""),"--")</f>
        <v>--</v>
      </c>
      <c r="R460" s="251" t="str">
        <f>IFERROR(__xludf.DUMMYFUNCTION("""COMPUTED_VALUE"""),"Truant")</f>
        <v>Truant</v>
      </c>
      <c r="S460" s="251" t="str">
        <f>IFERROR(__xludf.DUMMYFUNCTION("""COMPUTED_VALUE"""),"Underdog")</f>
        <v>Underdog</v>
      </c>
      <c r="T460" s="251" t="str">
        <f>IFERROR(__xludf.DUMMYFUNCTION("""COMPUTED_VALUE"""),"--")</f>
        <v>--</v>
      </c>
      <c r="U460" s="251" t="str">
        <f>IFERROR(__xludf.DUMMYFUNCTION("""COMPUTED_VALUE"""),"--")</f>
        <v>--</v>
      </c>
      <c r="V460" s="251" t="str">
        <f>IFERROR(__xludf.DUMMYFUNCTION("""COMPUTED_VALUE"""),"--")</f>
        <v>--</v>
      </c>
      <c r="W460" s="251" t="str">
        <f>IFERROR(__xludf.DUMMYFUNCTION("""COMPUTED_VALUE"""),"--")</f>
        <v>--</v>
      </c>
      <c r="X460" s="251" t="str">
        <f>IFERROR(__xludf.DUMMYFUNCTION("""COMPUTED_VALUE"""),"--")</f>
        <v>--</v>
      </c>
      <c r="Y460" s="251" t="str">
        <f>IFERROR(__xludf.DUMMYFUNCTION("""COMPUTED_VALUE"""),"--")</f>
        <v>--</v>
      </c>
      <c r="Z460" s="251" t="str">
        <f>IFERROR(__xludf.DUMMYFUNCTION("""COMPUTED_VALUE"""),"--")</f>
        <v>--</v>
      </c>
      <c r="AA460" s="251" t="str">
        <f>IFERROR(__xludf.DUMMYFUNCTION("""COMPUTED_VALUE"""),"--")</f>
        <v>--</v>
      </c>
      <c r="AB460" s="251" t="str">
        <f>IFERROR(__xludf.DUMMYFUNCTION("""COMPUTED_VALUE"""),"--")</f>
        <v>--</v>
      </c>
      <c r="AC460" s="251" t="str">
        <f>IFERROR(__xludf.DUMMYFUNCTION("""COMPUTED_VALUE"""),"--")</f>
        <v>--</v>
      </c>
      <c r="AD460" s="251">
        <f>IFERROR(__xludf.DUMMYFUNCTION("""COMPUTED_VALUE"""),1.0)</f>
        <v>1</v>
      </c>
      <c r="AE460" s="251" t="str">
        <f>IFERROR(__xludf.DUMMYFUNCTION("""COMPUTED_VALUE"""),"Herbivore")</f>
        <v>Herbivore</v>
      </c>
    </row>
    <row r="461">
      <c r="A461" s="251" t="str">
        <f>IFERROR(__xludf.DUMMYFUNCTION("""COMPUTED_VALUE"""),"Vigoroth")</f>
        <v>Vigoroth</v>
      </c>
      <c r="B461" s="251" t="str">
        <f>IFERROR(__xludf.DUMMYFUNCTION("""COMPUTED_VALUE"""),"Normal")</f>
        <v>Normal</v>
      </c>
      <c r="C461" s="251" t="str">
        <f>IFERROR(__xludf.DUMMYFUNCTION("""COMPUTED_VALUE"""),"None")</f>
        <v>None</v>
      </c>
      <c r="D461" s="251">
        <f>IFERROR(__xludf.DUMMYFUNCTION("""COMPUTED_VALUE"""),8.0)</f>
        <v>8</v>
      </c>
      <c r="E461" s="251">
        <f>IFERROR(__xludf.DUMMYFUNCTION("""COMPUTED_VALUE"""),8.0)</f>
        <v>8</v>
      </c>
      <c r="F461" s="251">
        <f>IFERROR(__xludf.DUMMYFUNCTION("""COMPUTED_VALUE"""),8.0)</f>
        <v>8</v>
      </c>
      <c r="G461" s="251">
        <f>IFERROR(__xludf.DUMMYFUNCTION("""COMPUTED_VALUE"""),6.0)</f>
        <v>6</v>
      </c>
      <c r="H461" s="251">
        <f>IFERROR(__xludf.DUMMYFUNCTION("""COMPUTED_VALUE"""),6.0)</f>
        <v>6</v>
      </c>
      <c r="I461" s="251">
        <f>IFERROR(__xludf.DUMMYFUNCTION("""COMPUTED_VALUE"""),9.0)</f>
        <v>9</v>
      </c>
      <c r="J461" s="251">
        <f>IFERROR(__xludf.DUMMYFUNCTION("""COMPUTED_VALUE"""),4.0)</f>
        <v>4</v>
      </c>
      <c r="K461" s="251" t="str">
        <f>IFERROR(__xludf.DUMMYFUNCTION("""COMPUTED_VALUE"""),"Medium")</f>
        <v>Medium</v>
      </c>
      <c r="L461" s="251">
        <f>IFERROR(__xludf.DUMMYFUNCTION("""COMPUTED_VALUE"""),3.0)</f>
        <v>3</v>
      </c>
      <c r="M461" s="251" t="str">
        <f>IFERROR(__xludf.DUMMYFUNCTION("""COMPUTED_VALUE"""),"Forest")</f>
        <v>Forest</v>
      </c>
      <c r="N461" s="251" t="str">
        <f>IFERROR(__xludf.DUMMYFUNCTION("""COMPUTED_VALUE"""),"Climber")</f>
        <v>Climber</v>
      </c>
      <c r="O461" s="251" t="str">
        <f>IFERROR(__xludf.DUMMYFUNCTION("""COMPUTED_VALUE"""),"Quick")</f>
        <v>Quick</v>
      </c>
      <c r="P461" s="251" t="str">
        <f>IFERROR(__xludf.DUMMYFUNCTION("""COMPUTED_VALUE"""),"--")</f>
        <v>--</v>
      </c>
      <c r="Q461" s="251" t="str">
        <f>IFERROR(__xludf.DUMMYFUNCTION("""COMPUTED_VALUE"""),"--")</f>
        <v>--</v>
      </c>
      <c r="R461" s="251" t="str">
        <f>IFERROR(__xludf.DUMMYFUNCTION("""COMPUTED_VALUE"""),"Underdog")</f>
        <v>Underdog</v>
      </c>
      <c r="S461" s="251" t="str">
        <f>IFERROR(__xludf.DUMMYFUNCTION("""COMPUTED_VALUE"""),"--")</f>
        <v>--</v>
      </c>
      <c r="T461" s="251" t="str">
        <f>IFERROR(__xludf.DUMMYFUNCTION("""COMPUTED_VALUE"""),"--")</f>
        <v>--</v>
      </c>
      <c r="U461" s="251" t="str">
        <f>IFERROR(__xludf.DUMMYFUNCTION("""COMPUTED_VALUE"""),"--")</f>
        <v>--</v>
      </c>
      <c r="V461" s="251" t="str">
        <f>IFERROR(__xludf.DUMMYFUNCTION("""COMPUTED_VALUE"""),"--")</f>
        <v>--</v>
      </c>
      <c r="W461" s="251" t="str">
        <f>IFERROR(__xludf.DUMMYFUNCTION("""COMPUTED_VALUE"""),"--")</f>
        <v>--</v>
      </c>
      <c r="X461" s="251" t="str">
        <f>IFERROR(__xludf.DUMMYFUNCTION("""COMPUTED_VALUE"""),"--")</f>
        <v>--</v>
      </c>
      <c r="Y461" s="251" t="str">
        <f>IFERROR(__xludf.DUMMYFUNCTION("""COMPUTED_VALUE"""),"--")</f>
        <v>--</v>
      </c>
      <c r="Z461" s="251" t="str">
        <f>IFERROR(__xludf.DUMMYFUNCTION("""COMPUTED_VALUE"""),"--")</f>
        <v>--</v>
      </c>
      <c r="AA461" s="251" t="str">
        <f>IFERROR(__xludf.DUMMYFUNCTION("""COMPUTED_VALUE"""),"--")</f>
        <v>--</v>
      </c>
      <c r="AB461" s="251" t="str">
        <f>IFERROR(__xludf.DUMMYFUNCTION("""COMPUTED_VALUE"""),"--")</f>
        <v>--</v>
      </c>
      <c r="AC461" s="251" t="str">
        <f>IFERROR(__xludf.DUMMYFUNCTION("""COMPUTED_VALUE"""),"--")</f>
        <v>--</v>
      </c>
      <c r="AD461" s="251">
        <f>IFERROR(__xludf.DUMMYFUNCTION("""COMPUTED_VALUE"""),2.0)</f>
        <v>2</v>
      </c>
      <c r="AE461" s="251" t="str">
        <f>IFERROR(__xludf.DUMMYFUNCTION("""COMPUTED_VALUE"""),"Omnivore")</f>
        <v>Omnivore</v>
      </c>
    </row>
    <row r="462">
      <c r="A462" s="251" t="str">
        <f>IFERROR(__xludf.DUMMYFUNCTION("""COMPUTED_VALUE"""),"Slaking")</f>
        <v>Slaking</v>
      </c>
      <c r="B462" s="251" t="str">
        <f>IFERROR(__xludf.DUMMYFUNCTION("""COMPUTED_VALUE"""),"Normal")</f>
        <v>Normal</v>
      </c>
      <c r="C462" s="251" t="str">
        <f>IFERROR(__xludf.DUMMYFUNCTION("""COMPUTED_VALUE"""),"None")</f>
        <v>None</v>
      </c>
      <c r="D462" s="251">
        <f>IFERROR(__xludf.DUMMYFUNCTION("""COMPUTED_VALUE"""),15.0)</f>
        <v>15</v>
      </c>
      <c r="E462" s="251">
        <f>IFERROR(__xludf.DUMMYFUNCTION("""COMPUTED_VALUE"""),16.0)</f>
        <v>16</v>
      </c>
      <c r="F462" s="251">
        <f>IFERROR(__xludf.DUMMYFUNCTION("""COMPUTED_VALUE"""),10.0)</f>
        <v>10</v>
      </c>
      <c r="G462" s="251">
        <f>IFERROR(__xludf.DUMMYFUNCTION("""COMPUTED_VALUE"""),10.0)</f>
        <v>10</v>
      </c>
      <c r="H462" s="251">
        <f>IFERROR(__xludf.DUMMYFUNCTION("""COMPUTED_VALUE"""),7.0)</f>
        <v>7</v>
      </c>
      <c r="I462" s="251">
        <f>IFERROR(__xludf.DUMMYFUNCTION("""COMPUTED_VALUE"""),10.0)</f>
        <v>10</v>
      </c>
      <c r="J462" s="251">
        <f>IFERROR(__xludf.DUMMYFUNCTION("""COMPUTED_VALUE"""),9.0)</f>
        <v>9</v>
      </c>
      <c r="K462" s="251" t="str">
        <f>IFERROR(__xludf.DUMMYFUNCTION("""COMPUTED_VALUE"""),"Large")</f>
        <v>Large</v>
      </c>
      <c r="L462" s="251">
        <f>IFERROR(__xludf.DUMMYFUNCTION("""COMPUTED_VALUE"""),6.0)</f>
        <v>6</v>
      </c>
      <c r="M462" s="251" t="str">
        <f>IFERROR(__xludf.DUMMYFUNCTION("""COMPUTED_VALUE"""),"Forest")</f>
        <v>Forest</v>
      </c>
      <c r="N462" s="251" t="str">
        <f>IFERROR(__xludf.DUMMYFUNCTION("""COMPUTED_VALUE"""),"--")</f>
        <v>--</v>
      </c>
      <c r="O462" s="251" t="str">
        <f>IFERROR(__xludf.DUMMYFUNCTION("""COMPUTED_VALUE"""),"--")</f>
        <v>--</v>
      </c>
      <c r="P462" s="251" t="str">
        <f>IFERROR(__xludf.DUMMYFUNCTION("""COMPUTED_VALUE"""),"--")</f>
        <v>--</v>
      </c>
      <c r="Q462" s="251" t="str">
        <f>IFERROR(__xludf.DUMMYFUNCTION("""COMPUTED_VALUE"""),"--")</f>
        <v>--</v>
      </c>
      <c r="R462" s="251" t="str">
        <f>IFERROR(__xludf.DUMMYFUNCTION("""COMPUTED_VALUE"""),"Truant")</f>
        <v>Truant</v>
      </c>
      <c r="S462" s="251" t="str">
        <f>IFERROR(__xludf.DUMMYFUNCTION("""COMPUTED_VALUE"""),"--")</f>
        <v>--</v>
      </c>
      <c r="T462" s="251" t="str">
        <f>IFERROR(__xludf.DUMMYFUNCTION("""COMPUTED_VALUE"""),"--")</f>
        <v>--</v>
      </c>
      <c r="U462" s="251" t="str">
        <f>IFERROR(__xludf.DUMMYFUNCTION("""COMPUTED_VALUE"""),"--")</f>
        <v>--</v>
      </c>
      <c r="V462" s="251" t="str">
        <f>IFERROR(__xludf.DUMMYFUNCTION("""COMPUTED_VALUE"""),"--")</f>
        <v>--</v>
      </c>
      <c r="W462" s="251" t="str">
        <f>IFERROR(__xludf.DUMMYFUNCTION("""COMPUTED_VALUE"""),"--")</f>
        <v>--</v>
      </c>
      <c r="X462" s="251" t="str">
        <f>IFERROR(__xludf.DUMMYFUNCTION("""COMPUTED_VALUE"""),"--")</f>
        <v>--</v>
      </c>
      <c r="Y462" s="251" t="str">
        <f>IFERROR(__xludf.DUMMYFUNCTION("""COMPUTED_VALUE"""),"--")</f>
        <v>--</v>
      </c>
      <c r="Z462" s="251" t="str">
        <f>IFERROR(__xludf.DUMMYFUNCTION("""COMPUTED_VALUE"""),"--")</f>
        <v>--</v>
      </c>
      <c r="AA462" s="251" t="str">
        <f>IFERROR(__xludf.DUMMYFUNCTION("""COMPUTED_VALUE"""),"--")</f>
        <v>--</v>
      </c>
      <c r="AB462" s="251" t="str">
        <f>IFERROR(__xludf.DUMMYFUNCTION("""COMPUTED_VALUE"""),"--")</f>
        <v>--</v>
      </c>
      <c r="AC462" s="251" t="str">
        <f>IFERROR(__xludf.DUMMYFUNCTION("""COMPUTED_VALUE"""),"--")</f>
        <v>--</v>
      </c>
      <c r="AD462" s="251">
        <f>IFERROR(__xludf.DUMMYFUNCTION("""COMPUTED_VALUE"""),3.0)</f>
        <v>3</v>
      </c>
      <c r="AE462" s="251" t="str">
        <f>IFERROR(__xludf.DUMMYFUNCTION("""COMPUTED_VALUE"""),"Omnivore")</f>
        <v>Omnivore</v>
      </c>
    </row>
    <row r="463">
      <c r="A463" s="251" t="str">
        <f>IFERROR(__xludf.DUMMYFUNCTION("""COMPUTED_VALUE"""),"Whismur")</f>
        <v>Whismur</v>
      </c>
      <c r="B463" s="251" t="str">
        <f>IFERROR(__xludf.DUMMYFUNCTION("""COMPUTED_VALUE"""),"Normal")</f>
        <v>Normal</v>
      </c>
      <c r="C463" s="251" t="str">
        <f>IFERROR(__xludf.DUMMYFUNCTION("""COMPUTED_VALUE"""),"None")</f>
        <v>None</v>
      </c>
      <c r="D463" s="251">
        <f>IFERROR(__xludf.DUMMYFUNCTION("""COMPUTED_VALUE"""),7.0)</f>
        <v>7</v>
      </c>
      <c r="E463" s="251">
        <f>IFERROR(__xludf.DUMMYFUNCTION("""COMPUTED_VALUE"""),5.0)</f>
        <v>5</v>
      </c>
      <c r="F463" s="251">
        <f>IFERROR(__xludf.DUMMYFUNCTION("""COMPUTED_VALUE"""),5.0)</f>
        <v>5</v>
      </c>
      <c r="G463" s="251">
        <f>IFERROR(__xludf.DUMMYFUNCTION("""COMPUTED_VALUE"""),5.0)</f>
        <v>5</v>
      </c>
      <c r="H463" s="251">
        <f>IFERROR(__xludf.DUMMYFUNCTION("""COMPUTED_VALUE"""),4.0)</f>
        <v>4</v>
      </c>
      <c r="I463" s="251">
        <f>IFERROR(__xludf.DUMMYFUNCTION("""COMPUTED_VALUE"""),4.0)</f>
        <v>4</v>
      </c>
      <c r="J463" s="251">
        <f>IFERROR(__xludf.DUMMYFUNCTION("""COMPUTED_VALUE"""),1.0)</f>
        <v>1</v>
      </c>
      <c r="K463" s="251" t="str">
        <f>IFERROR(__xludf.DUMMYFUNCTION("""COMPUTED_VALUE"""),"Small")</f>
        <v>Small</v>
      </c>
      <c r="L463" s="251">
        <f>IFERROR(__xludf.DUMMYFUNCTION("""COMPUTED_VALUE"""),2.0)</f>
        <v>2</v>
      </c>
      <c r="M463" s="251" t="str">
        <f>IFERROR(__xludf.DUMMYFUNCTION("""COMPUTED_VALUE"""),"Cave")</f>
        <v>Cave</v>
      </c>
      <c r="N463" s="251" t="str">
        <f>IFERROR(__xludf.DUMMYFUNCTION("""COMPUTED_VALUE"""),"Slow")</f>
        <v>Slow</v>
      </c>
      <c r="O463" s="251" t="str">
        <f>IFERROR(__xludf.DUMMYFUNCTION("""COMPUTED_VALUE"""),"--")</f>
        <v>--</v>
      </c>
      <c r="P463" s="251" t="str">
        <f>IFERROR(__xludf.DUMMYFUNCTION("""COMPUTED_VALUE"""),"--")</f>
        <v>--</v>
      </c>
      <c r="Q463" s="251" t="str">
        <f>IFERROR(__xludf.DUMMYFUNCTION("""COMPUTED_VALUE"""),"--")</f>
        <v>--</v>
      </c>
      <c r="R463" s="251" t="str">
        <f>IFERROR(__xludf.DUMMYFUNCTION("""COMPUTED_VALUE"""),"Underdog")</f>
        <v>Underdog</v>
      </c>
      <c r="S463" s="251" t="str">
        <f>IFERROR(__xludf.DUMMYFUNCTION("""COMPUTED_VALUE"""),"--")</f>
        <v>--</v>
      </c>
      <c r="T463" s="251" t="str">
        <f>IFERROR(__xludf.DUMMYFUNCTION("""COMPUTED_VALUE"""),"--")</f>
        <v>--</v>
      </c>
      <c r="U463" s="251" t="str">
        <f>IFERROR(__xludf.DUMMYFUNCTION("""COMPUTED_VALUE"""),"--")</f>
        <v>--</v>
      </c>
      <c r="V463" s="251" t="str">
        <f>IFERROR(__xludf.DUMMYFUNCTION("""COMPUTED_VALUE"""),"--")</f>
        <v>--</v>
      </c>
      <c r="W463" s="251" t="str">
        <f>IFERROR(__xludf.DUMMYFUNCTION("""COMPUTED_VALUE"""),"--")</f>
        <v>--</v>
      </c>
      <c r="X463" s="251" t="str">
        <f>IFERROR(__xludf.DUMMYFUNCTION("""COMPUTED_VALUE"""),"--")</f>
        <v>--</v>
      </c>
      <c r="Y463" s="251" t="str">
        <f>IFERROR(__xludf.DUMMYFUNCTION("""COMPUTED_VALUE"""),"--")</f>
        <v>--</v>
      </c>
      <c r="Z463" s="251" t="str">
        <f>IFERROR(__xludf.DUMMYFUNCTION("""COMPUTED_VALUE"""),"--")</f>
        <v>--</v>
      </c>
      <c r="AA463" s="251" t="str">
        <f>IFERROR(__xludf.DUMMYFUNCTION("""COMPUTED_VALUE"""),"--")</f>
        <v>--</v>
      </c>
      <c r="AB463" s="251" t="str">
        <f>IFERROR(__xludf.DUMMYFUNCTION("""COMPUTED_VALUE"""),"--")</f>
        <v>--</v>
      </c>
      <c r="AC463" s="251" t="str">
        <f>IFERROR(__xludf.DUMMYFUNCTION("""COMPUTED_VALUE"""),"--")</f>
        <v>--</v>
      </c>
      <c r="AD463" s="251">
        <f>IFERROR(__xludf.DUMMYFUNCTION("""COMPUTED_VALUE"""),1.0)</f>
        <v>1</v>
      </c>
      <c r="AE463" s="251" t="str">
        <f>IFERROR(__xludf.DUMMYFUNCTION("""COMPUTED_VALUE"""),"Herbivore")</f>
        <v>Herbivore</v>
      </c>
    </row>
    <row r="464">
      <c r="A464" s="251" t="str">
        <f>IFERROR(__xludf.DUMMYFUNCTION("""COMPUTED_VALUE"""),"Loudred")</f>
        <v>Loudred</v>
      </c>
      <c r="B464" s="251" t="str">
        <f>IFERROR(__xludf.DUMMYFUNCTION("""COMPUTED_VALUE"""),"Normal")</f>
        <v>Normal</v>
      </c>
      <c r="C464" s="251" t="str">
        <f>IFERROR(__xludf.DUMMYFUNCTION("""COMPUTED_VALUE"""),"None")</f>
        <v>None</v>
      </c>
      <c r="D464" s="251">
        <f>IFERROR(__xludf.DUMMYFUNCTION("""COMPUTED_VALUE"""),9.0)</f>
        <v>9</v>
      </c>
      <c r="E464" s="251">
        <f>IFERROR(__xludf.DUMMYFUNCTION("""COMPUTED_VALUE"""),7.0)</f>
        <v>7</v>
      </c>
      <c r="F464" s="251">
        <f>IFERROR(__xludf.DUMMYFUNCTION("""COMPUTED_VALUE"""),5.0)</f>
        <v>5</v>
      </c>
      <c r="G464" s="251">
        <f>IFERROR(__xludf.DUMMYFUNCTION("""COMPUTED_VALUE"""),7.0)</f>
        <v>7</v>
      </c>
      <c r="H464" s="251">
        <f>IFERROR(__xludf.DUMMYFUNCTION("""COMPUTED_VALUE"""),5.0)</f>
        <v>5</v>
      </c>
      <c r="I464" s="251">
        <f>IFERROR(__xludf.DUMMYFUNCTION("""COMPUTED_VALUE"""),5.0)</f>
        <v>5</v>
      </c>
      <c r="J464" s="251">
        <f>IFERROR(__xludf.DUMMYFUNCTION("""COMPUTED_VALUE"""),4.0)</f>
        <v>4</v>
      </c>
      <c r="K464" s="251" t="str">
        <f>IFERROR(__xludf.DUMMYFUNCTION("""COMPUTED_VALUE"""),"Medium")</f>
        <v>Medium</v>
      </c>
      <c r="L464" s="251">
        <f>IFERROR(__xludf.DUMMYFUNCTION("""COMPUTED_VALUE"""),3.0)</f>
        <v>3</v>
      </c>
      <c r="M464" s="251" t="str">
        <f>IFERROR(__xludf.DUMMYFUNCTION("""COMPUTED_VALUE"""),"Cave")</f>
        <v>Cave</v>
      </c>
      <c r="N464" s="251" t="str">
        <f>IFERROR(__xludf.DUMMYFUNCTION("""COMPUTED_VALUE"""),"--")</f>
        <v>--</v>
      </c>
      <c r="O464" s="251" t="str">
        <f>IFERROR(__xludf.DUMMYFUNCTION("""COMPUTED_VALUE"""),"--")</f>
        <v>--</v>
      </c>
      <c r="P464" s="251" t="str">
        <f>IFERROR(__xludf.DUMMYFUNCTION("""COMPUTED_VALUE"""),"--")</f>
        <v>--</v>
      </c>
      <c r="Q464" s="251" t="str">
        <f>IFERROR(__xludf.DUMMYFUNCTION("""COMPUTED_VALUE"""),"--")</f>
        <v>--</v>
      </c>
      <c r="R464" s="251" t="str">
        <f>IFERROR(__xludf.DUMMYFUNCTION("""COMPUTED_VALUE"""),"Underdog")</f>
        <v>Underdog</v>
      </c>
      <c r="S464" s="251" t="str">
        <f>IFERROR(__xludf.DUMMYFUNCTION("""COMPUTED_VALUE"""),"--")</f>
        <v>--</v>
      </c>
      <c r="T464" s="251" t="str">
        <f>IFERROR(__xludf.DUMMYFUNCTION("""COMPUTED_VALUE"""),"--")</f>
        <v>--</v>
      </c>
      <c r="U464" s="251" t="str">
        <f>IFERROR(__xludf.DUMMYFUNCTION("""COMPUTED_VALUE"""),"--")</f>
        <v>--</v>
      </c>
      <c r="V464" s="251" t="str">
        <f>IFERROR(__xludf.DUMMYFUNCTION("""COMPUTED_VALUE"""),"--")</f>
        <v>--</v>
      </c>
      <c r="W464" s="251" t="str">
        <f>IFERROR(__xludf.DUMMYFUNCTION("""COMPUTED_VALUE"""),"--")</f>
        <v>--</v>
      </c>
      <c r="X464" s="251" t="str">
        <f>IFERROR(__xludf.DUMMYFUNCTION("""COMPUTED_VALUE"""),"--")</f>
        <v>--</v>
      </c>
      <c r="Y464" s="251" t="str">
        <f>IFERROR(__xludf.DUMMYFUNCTION("""COMPUTED_VALUE"""),"--")</f>
        <v>--</v>
      </c>
      <c r="Z464" s="251" t="str">
        <f>IFERROR(__xludf.DUMMYFUNCTION("""COMPUTED_VALUE"""),"--")</f>
        <v>--</v>
      </c>
      <c r="AA464" s="251" t="str">
        <f>IFERROR(__xludf.DUMMYFUNCTION("""COMPUTED_VALUE"""),"--")</f>
        <v>--</v>
      </c>
      <c r="AB464" s="251" t="str">
        <f>IFERROR(__xludf.DUMMYFUNCTION("""COMPUTED_VALUE"""),"--")</f>
        <v>--</v>
      </c>
      <c r="AC464" s="251" t="str">
        <f>IFERROR(__xludf.DUMMYFUNCTION("""COMPUTED_VALUE"""),"--")</f>
        <v>--</v>
      </c>
      <c r="AD464" s="251">
        <f>IFERROR(__xludf.DUMMYFUNCTION("""COMPUTED_VALUE"""),2.0)</f>
        <v>2</v>
      </c>
      <c r="AE464" s="251" t="str">
        <f>IFERROR(__xludf.DUMMYFUNCTION("""COMPUTED_VALUE"""),"Herbivore")</f>
        <v>Herbivore</v>
      </c>
    </row>
    <row r="465">
      <c r="A465" s="251" t="str">
        <f>IFERROR(__xludf.DUMMYFUNCTION("""COMPUTED_VALUE"""),"Exploud")</f>
        <v>Exploud</v>
      </c>
      <c r="B465" s="251" t="str">
        <f>IFERROR(__xludf.DUMMYFUNCTION("""COMPUTED_VALUE"""),"Normal")</f>
        <v>Normal</v>
      </c>
      <c r="C465" s="251" t="str">
        <f>IFERROR(__xludf.DUMMYFUNCTION("""COMPUTED_VALUE"""),"None")</f>
        <v>None</v>
      </c>
      <c r="D465" s="251">
        <f>IFERROR(__xludf.DUMMYFUNCTION("""COMPUTED_VALUE"""),10.0)</f>
        <v>10</v>
      </c>
      <c r="E465" s="251">
        <f>IFERROR(__xludf.DUMMYFUNCTION("""COMPUTED_VALUE"""),10.0)</f>
        <v>10</v>
      </c>
      <c r="F465" s="251">
        <f>IFERROR(__xludf.DUMMYFUNCTION("""COMPUTED_VALUE"""),7.0)</f>
        <v>7</v>
      </c>
      <c r="G465" s="251">
        <f>IFERROR(__xludf.DUMMYFUNCTION("""COMPUTED_VALUE"""),10.0)</f>
        <v>10</v>
      </c>
      <c r="H465" s="251">
        <f>IFERROR(__xludf.DUMMYFUNCTION("""COMPUTED_VALUE"""),7.0)</f>
        <v>7</v>
      </c>
      <c r="I465" s="251">
        <f>IFERROR(__xludf.DUMMYFUNCTION("""COMPUTED_VALUE"""),7.0)</f>
        <v>7</v>
      </c>
      <c r="J465" s="251">
        <f>IFERROR(__xludf.DUMMYFUNCTION("""COMPUTED_VALUE"""),6.0)</f>
        <v>6</v>
      </c>
      <c r="K465" s="251" t="str">
        <f>IFERROR(__xludf.DUMMYFUNCTION("""COMPUTED_VALUE"""),"Medium")</f>
        <v>Medium</v>
      </c>
      <c r="L465" s="251">
        <f>IFERROR(__xludf.DUMMYFUNCTION("""COMPUTED_VALUE"""),4.0)</f>
        <v>4</v>
      </c>
      <c r="M465" s="251" t="str">
        <f>IFERROR(__xludf.DUMMYFUNCTION("""COMPUTED_VALUE"""),"Cave")</f>
        <v>Cave</v>
      </c>
      <c r="N465" s="251" t="str">
        <f>IFERROR(__xludf.DUMMYFUNCTION("""COMPUTED_VALUE"""),"--")</f>
        <v>--</v>
      </c>
      <c r="O465" s="251" t="str">
        <f>IFERROR(__xludf.DUMMYFUNCTION("""COMPUTED_VALUE"""),"--")</f>
        <v>--</v>
      </c>
      <c r="P465" s="251" t="str">
        <f>IFERROR(__xludf.DUMMYFUNCTION("""COMPUTED_VALUE"""),"--")</f>
        <v>--</v>
      </c>
      <c r="Q465" s="251" t="str">
        <f>IFERROR(__xludf.DUMMYFUNCTION("""COMPUTED_VALUE"""),"--")</f>
        <v>--</v>
      </c>
      <c r="R465" s="251" t="str">
        <f>IFERROR(__xludf.DUMMYFUNCTION("""COMPUTED_VALUE"""),"--")</f>
        <v>--</v>
      </c>
      <c r="S465" s="251" t="str">
        <f>IFERROR(__xludf.DUMMYFUNCTION("""COMPUTED_VALUE"""),"--")</f>
        <v>--</v>
      </c>
      <c r="T465" s="251" t="str">
        <f>IFERROR(__xludf.DUMMYFUNCTION("""COMPUTED_VALUE"""),"--")</f>
        <v>--</v>
      </c>
      <c r="U465" s="251" t="str">
        <f>IFERROR(__xludf.DUMMYFUNCTION("""COMPUTED_VALUE"""),"--")</f>
        <v>--</v>
      </c>
      <c r="V465" s="251" t="str">
        <f>IFERROR(__xludf.DUMMYFUNCTION("""COMPUTED_VALUE"""),"--")</f>
        <v>--</v>
      </c>
      <c r="W465" s="251" t="str">
        <f>IFERROR(__xludf.DUMMYFUNCTION("""COMPUTED_VALUE"""),"--")</f>
        <v>--</v>
      </c>
      <c r="X465" s="251" t="str">
        <f>IFERROR(__xludf.DUMMYFUNCTION("""COMPUTED_VALUE"""),"--")</f>
        <v>--</v>
      </c>
      <c r="Y465" s="251" t="str">
        <f>IFERROR(__xludf.DUMMYFUNCTION("""COMPUTED_VALUE"""),"--")</f>
        <v>--</v>
      </c>
      <c r="Z465" s="251" t="str">
        <f>IFERROR(__xludf.DUMMYFUNCTION("""COMPUTED_VALUE"""),"--")</f>
        <v>--</v>
      </c>
      <c r="AA465" s="251" t="str">
        <f>IFERROR(__xludf.DUMMYFUNCTION("""COMPUTED_VALUE"""),"--")</f>
        <v>--</v>
      </c>
      <c r="AB465" s="251" t="str">
        <f>IFERROR(__xludf.DUMMYFUNCTION("""COMPUTED_VALUE"""),"--")</f>
        <v>--</v>
      </c>
      <c r="AC465" s="251" t="str">
        <f>IFERROR(__xludf.DUMMYFUNCTION("""COMPUTED_VALUE"""),"--")</f>
        <v>--</v>
      </c>
      <c r="AD465" s="251">
        <f>IFERROR(__xludf.DUMMYFUNCTION("""COMPUTED_VALUE"""),3.0)</f>
        <v>3</v>
      </c>
      <c r="AE465" s="251" t="str">
        <f>IFERROR(__xludf.DUMMYFUNCTION("""COMPUTED_VALUE"""),"Herbivore")</f>
        <v>Herbivore</v>
      </c>
    </row>
    <row r="466">
      <c r="A466" s="251" t="str">
        <f>IFERROR(__xludf.DUMMYFUNCTION("""COMPUTED_VALUE"""),"Starly")</f>
        <v>Starly</v>
      </c>
      <c r="B466" s="251" t="str">
        <f>IFERROR(__xludf.DUMMYFUNCTION("""COMPUTED_VALUE"""),"Normal")</f>
        <v>Normal</v>
      </c>
      <c r="C466" s="251" t="str">
        <f>IFERROR(__xludf.DUMMYFUNCTION("""COMPUTED_VALUE"""),"Flying")</f>
        <v>Flying</v>
      </c>
      <c r="D466" s="251">
        <f>IFERROR(__xludf.DUMMYFUNCTION("""COMPUTED_VALUE"""),5.0)</f>
        <v>5</v>
      </c>
      <c r="E466" s="251">
        <f>IFERROR(__xludf.DUMMYFUNCTION("""COMPUTED_VALUE"""),7.0)</f>
        <v>7</v>
      </c>
      <c r="F466" s="251">
        <f>IFERROR(__xludf.DUMMYFUNCTION("""COMPUTED_VALUE"""),4.0)</f>
        <v>4</v>
      </c>
      <c r="G466" s="251">
        <f>IFERROR(__xludf.DUMMYFUNCTION("""COMPUTED_VALUE"""),4.0)</f>
        <v>4</v>
      </c>
      <c r="H466" s="251">
        <f>IFERROR(__xludf.DUMMYFUNCTION("""COMPUTED_VALUE"""),4.0)</f>
        <v>4</v>
      </c>
      <c r="I466" s="251">
        <f>IFERROR(__xludf.DUMMYFUNCTION("""COMPUTED_VALUE"""),6.0)</f>
        <v>6</v>
      </c>
      <c r="J466" s="251">
        <f>IFERROR(__xludf.DUMMYFUNCTION("""COMPUTED_VALUE"""),1.0)</f>
        <v>1</v>
      </c>
      <c r="K466" s="251" t="str">
        <f>IFERROR(__xludf.DUMMYFUNCTION("""COMPUTED_VALUE"""),"Small")</f>
        <v>Small</v>
      </c>
      <c r="L466" s="251">
        <f>IFERROR(__xludf.DUMMYFUNCTION("""COMPUTED_VALUE"""),1.0)</f>
        <v>1</v>
      </c>
      <c r="M466" s="251" t="str">
        <f>IFERROR(__xludf.DUMMYFUNCTION("""COMPUTED_VALUE"""),"Grasslands")</f>
        <v>Grasslands</v>
      </c>
      <c r="N466" s="251" t="str">
        <f>IFERROR(__xludf.DUMMYFUNCTION("""COMPUTED_VALUE"""),"Flier")</f>
        <v>Flier</v>
      </c>
      <c r="O466" s="251" t="str">
        <f>IFERROR(__xludf.DUMMYFUNCTION("""COMPUTED_VALUE"""),"--")</f>
        <v>--</v>
      </c>
      <c r="P466" s="251" t="str">
        <f>IFERROR(__xludf.DUMMYFUNCTION("""COMPUTED_VALUE"""),"--")</f>
        <v>--</v>
      </c>
      <c r="Q466" s="251" t="str">
        <f>IFERROR(__xludf.DUMMYFUNCTION("""COMPUTED_VALUE"""),"--")</f>
        <v>--</v>
      </c>
      <c r="R466" s="251" t="str">
        <f>IFERROR(__xludf.DUMMYFUNCTION("""COMPUTED_VALUE"""),"Underdog")</f>
        <v>Underdog</v>
      </c>
      <c r="S466" s="251" t="str">
        <f>IFERROR(__xludf.DUMMYFUNCTION("""COMPUTED_VALUE"""),"--")</f>
        <v>--</v>
      </c>
      <c r="T466" s="251" t="str">
        <f>IFERROR(__xludf.DUMMYFUNCTION("""COMPUTED_VALUE"""),"--")</f>
        <v>--</v>
      </c>
      <c r="U466" s="251" t="str">
        <f>IFERROR(__xludf.DUMMYFUNCTION("""COMPUTED_VALUE"""),"--")</f>
        <v>--</v>
      </c>
      <c r="V466" s="251" t="str">
        <f>IFERROR(__xludf.DUMMYFUNCTION("""COMPUTED_VALUE"""),"--")</f>
        <v>--</v>
      </c>
      <c r="W466" s="251" t="str">
        <f>IFERROR(__xludf.DUMMYFUNCTION("""COMPUTED_VALUE"""),"--")</f>
        <v>--</v>
      </c>
      <c r="X466" s="251" t="str">
        <f>IFERROR(__xludf.DUMMYFUNCTION("""COMPUTED_VALUE"""),"--")</f>
        <v>--</v>
      </c>
      <c r="Y466" s="251" t="str">
        <f>IFERROR(__xludf.DUMMYFUNCTION("""COMPUTED_VALUE"""),"--")</f>
        <v>--</v>
      </c>
      <c r="Z466" s="251" t="str">
        <f>IFERROR(__xludf.DUMMYFUNCTION("""COMPUTED_VALUE"""),"--")</f>
        <v>--</v>
      </c>
      <c r="AA466" s="251" t="str">
        <f>IFERROR(__xludf.DUMMYFUNCTION("""COMPUTED_VALUE"""),"--")</f>
        <v>--</v>
      </c>
      <c r="AB466" s="251" t="str">
        <f>IFERROR(__xludf.DUMMYFUNCTION("""COMPUTED_VALUE"""),"--")</f>
        <v>--</v>
      </c>
      <c r="AC466" s="251" t="str">
        <f>IFERROR(__xludf.DUMMYFUNCTION("""COMPUTED_VALUE"""),"--")</f>
        <v>--</v>
      </c>
      <c r="AD466" s="251">
        <f>IFERROR(__xludf.DUMMYFUNCTION("""COMPUTED_VALUE"""),1.0)</f>
        <v>1</v>
      </c>
      <c r="AE466" s="251" t="str">
        <f>IFERROR(__xludf.DUMMYFUNCTION("""COMPUTED_VALUE"""),"Herbivore")</f>
        <v>Herbivore</v>
      </c>
    </row>
    <row r="467">
      <c r="A467" s="251" t="str">
        <f>IFERROR(__xludf.DUMMYFUNCTION("""COMPUTED_VALUE"""),"Staravia")</f>
        <v>Staravia</v>
      </c>
      <c r="B467" s="251" t="str">
        <f>IFERROR(__xludf.DUMMYFUNCTION("""COMPUTED_VALUE"""),"Normal")</f>
        <v>Normal</v>
      </c>
      <c r="C467" s="251" t="str">
        <f>IFERROR(__xludf.DUMMYFUNCTION("""COMPUTED_VALUE"""),"Flying")</f>
        <v>Flying</v>
      </c>
      <c r="D467" s="251">
        <f>IFERROR(__xludf.DUMMYFUNCTION("""COMPUTED_VALUE"""),7.0)</f>
        <v>7</v>
      </c>
      <c r="E467" s="251">
        <f>IFERROR(__xludf.DUMMYFUNCTION("""COMPUTED_VALUE"""),9.0)</f>
        <v>9</v>
      </c>
      <c r="F467" s="251">
        <f>IFERROR(__xludf.DUMMYFUNCTION("""COMPUTED_VALUE"""),6.0)</f>
        <v>6</v>
      </c>
      <c r="G467" s="251">
        <f>IFERROR(__xludf.DUMMYFUNCTION("""COMPUTED_VALUE"""),4.0)</f>
        <v>4</v>
      </c>
      <c r="H467" s="251">
        <f>IFERROR(__xludf.DUMMYFUNCTION("""COMPUTED_VALUE"""),4.0)</f>
        <v>4</v>
      </c>
      <c r="I467" s="251">
        <f>IFERROR(__xludf.DUMMYFUNCTION("""COMPUTED_VALUE"""),8.0)</f>
        <v>8</v>
      </c>
      <c r="J467" s="251">
        <f>IFERROR(__xludf.DUMMYFUNCTION("""COMPUTED_VALUE"""),3.0)</f>
        <v>3</v>
      </c>
      <c r="K467" s="251" t="str">
        <f>IFERROR(__xludf.DUMMYFUNCTION("""COMPUTED_VALUE"""),"Small")</f>
        <v>Small</v>
      </c>
      <c r="L467" s="251">
        <f>IFERROR(__xludf.DUMMYFUNCTION("""COMPUTED_VALUE"""),2.0)</f>
        <v>2</v>
      </c>
      <c r="M467" s="251" t="str">
        <f>IFERROR(__xludf.DUMMYFUNCTION("""COMPUTED_VALUE"""),"Grasslands")</f>
        <v>Grasslands</v>
      </c>
      <c r="N467" s="251" t="str">
        <f>IFERROR(__xludf.DUMMYFUNCTION("""COMPUTED_VALUE"""),"Flier")</f>
        <v>Flier</v>
      </c>
      <c r="O467" s="251" t="str">
        <f>IFERROR(__xludf.DUMMYFUNCTION("""COMPUTED_VALUE"""),"Quick")</f>
        <v>Quick</v>
      </c>
      <c r="P467" s="251" t="str">
        <f>IFERROR(__xludf.DUMMYFUNCTION("""COMPUTED_VALUE"""),"--")</f>
        <v>--</v>
      </c>
      <c r="Q467" s="251" t="str">
        <f>IFERROR(__xludf.DUMMYFUNCTION("""COMPUTED_VALUE"""),"--")</f>
        <v>--</v>
      </c>
      <c r="R467" s="251" t="str">
        <f>IFERROR(__xludf.DUMMYFUNCTION("""COMPUTED_VALUE"""),"Underdog")</f>
        <v>Underdog</v>
      </c>
      <c r="S467" s="251" t="str">
        <f>IFERROR(__xludf.DUMMYFUNCTION("""COMPUTED_VALUE"""),"--")</f>
        <v>--</v>
      </c>
      <c r="T467" s="251" t="str">
        <f>IFERROR(__xludf.DUMMYFUNCTION("""COMPUTED_VALUE"""),"--")</f>
        <v>--</v>
      </c>
      <c r="U467" s="251" t="str">
        <f>IFERROR(__xludf.DUMMYFUNCTION("""COMPUTED_VALUE"""),"--")</f>
        <v>--</v>
      </c>
      <c r="V467" s="251" t="str">
        <f>IFERROR(__xludf.DUMMYFUNCTION("""COMPUTED_VALUE"""),"--")</f>
        <v>--</v>
      </c>
      <c r="W467" s="251" t="str">
        <f>IFERROR(__xludf.DUMMYFUNCTION("""COMPUTED_VALUE"""),"--")</f>
        <v>--</v>
      </c>
      <c r="X467" s="251" t="str">
        <f>IFERROR(__xludf.DUMMYFUNCTION("""COMPUTED_VALUE"""),"--")</f>
        <v>--</v>
      </c>
      <c r="Y467" s="251" t="str">
        <f>IFERROR(__xludf.DUMMYFUNCTION("""COMPUTED_VALUE"""),"--")</f>
        <v>--</v>
      </c>
      <c r="Z467" s="251" t="str">
        <f>IFERROR(__xludf.DUMMYFUNCTION("""COMPUTED_VALUE"""),"--")</f>
        <v>--</v>
      </c>
      <c r="AA467" s="251" t="str">
        <f>IFERROR(__xludf.DUMMYFUNCTION("""COMPUTED_VALUE"""),"--")</f>
        <v>--</v>
      </c>
      <c r="AB467" s="251" t="str">
        <f>IFERROR(__xludf.DUMMYFUNCTION("""COMPUTED_VALUE"""),"--")</f>
        <v>--</v>
      </c>
      <c r="AC467" s="251" t="str">
        <f>IFERROR(__xludf.DUMMYFUNCTION("""COMPUTED_VALUE"""),"--")</f>
        <v>--</v>
      </c>
      <c r="AD467" s="251">
        <f>IFERROR(__xludf.DUMMYFUNCTION("""COMPUTED_VALUE"""),2.0)</f>
        <v>2</v>
      </c>
      <c r="AE467" s="251" t="str">
        <f>IFERROR(__xludf.DUMMYFUNCTION("""COMPUTED_VALUE"""),"Carnivore")</f>
        <v>Carnivore</v>
      </c>
    </row>
    <row r="468">
      <c r="A468" s="251" t="str">
        <f>IFERROR(__xludf.DUMMYFUNCTION("""COMPUTED_VALUE"""),"Staraptor")</f>
        <v>Staraptor</v>
      </c>
      <c r="B468" s="251" t="str">
        <f>IFERROR(__xludf.DUMMYFUNCTION("""COMPUTED_VALUE"""),"Normal")</f>
        <v>Normal</v>
      </c>
      <c r="C468" s="251" t="str">
        <f>IFERROR(__xludf.DUMMYFUNCTION("""COMPUTED_VALUE"""),"Flying")</f>
        <v>Flying</v>
      </c>
      <c r="D468" s="251">
        <f>IFERROR(__xludf.DUMMYFUNCTION("""COMPUTED_VALUE"""),9.0)</f>
        <v>9</v>
      </c>
      <c r="E468" s="251">
        <f>IFERROR(__xludf.DUMMYFUNCTION("""COMPUTED_VALUE"""),12.0)</f>
        <v>12</v>
      </c>
      <c r="F468" s="251">
        <f>IFERROR(__xludf.DUMMYFUNCTION("""COMPUTED_VALUE"""),9.0)</f>
        <v>9</v>
      </c>
      <c r="G468" s="251">
        <f>IFERROR(__xludf.DUMMYFUNCTION("""COMPUTED_VALUE"""),5.0)</f>
        <v>5</v>
      </c>
      <c r="H468" s="251">
        <f>IFERROR(__xludf.DUMMYFUNCTION("""COMPUTED_VALUE"""),6.0)</f>
        <v>6</v>
      </c>
      <c r="I468" s="251">
        <f>IFERROR(__xludf.DUMMYFUNCTION("""COMPUTED_VALUE"""),10.0)</f>
        <v>10</v>
      </c>
      <c r="J468" s="251">
        <f>IFERROR(__xludf.DUMMYFUNCTION("""COMPUTED_VALUE"""),5.0)</f>
        <v>5</v>
      </c>
      <c r="K468" s="251" t="str">
        <f>IFERROR(__xludf.DUMMYFUNCTION("""COMPUTED_VALUE"""),"Medium")</f>
        <v>Medium</v>
      </c>
      <c r="L468" s="251">
        <f>IFERROR(__xludf.DUMMYFUNCTION("""COMPUTED_VALUE"""),2.0)</f>
        <v>2</v>
      </c>
      <c r="M468" s="251" t="str">
        <f>IFERROR(__xludf.DUMMYFUNCTION("""COMPUTED_VALUE"""),"Grasslands")</f>
        <v>Grasslands</v>
      </c>
      <c r="N468" s="251" t="str">
        <f>IFERROR(__xludf.DUMMYFUNCTION("""COMPUTED_VALUE"""),"Flier")</f>
        <v>Flier</v>
      </c>
      <c r="O468" s="251" t="str">
        <f>IFERROR(__xludf.DUMMYFUNCTION("""COMPUTED_VALUE"""),"Quick")</f>
        <v>Quick</v>
      </c>
      <c r="P468" s="251" t="str">
        <f>IFERROR(__xludf.DUMMYFUNCTION("""COMPUTED_VALUE"""),"--")</f>
        <v>--</v>
      </c>
      <c r="Q468" s="251" t="str">
        <f>IFERROR(__xludf.DUMMYFUNCTION("""COMPUTED_VALUE"""),"--")</f>
        <v>--</v>
      </c>
      <c r="R468" s="251" t="str">
        <f>IFERROR(__xludf.DUMMYFUNCTION("""COMPUTED_VALUE"""),"Mountable")</f>
        <v>Mountable</v>
      </c>
      <c r="S468" s="251" t="str">
        <f>IFERROR(__xludf.DUMMYFUNCTION("""COMPUTED_VALUE"""),"--")</f>
        <v>--</v>
      </c>
      <c r="T468" s="251" t="str">
        <f>IFERROR(__xludf.DUMMYFUNCTION("""COMPUTED_VALUE"""),"--")</f>
        <v>--</v>
      </c>
      <c r="U468" s="251" t="str">
        <f>IFERROR(__xludf.DUMMYFUNCTION("""COMPUTED_VALUE"""),"--")</f>
        <v>--</v>
      </c>
      <c r="V468" s="251" t="str">
        <f>IFERROR(__xludf.DUMMYFUNCTION("""COMPUTED_VALUE"""),"--")</f>
        <v>--</v>
      </c>
      <c r="W468" s="251" t="str">
        <f>IFERROR(__xludf.DUMMYFUNCTION("""COMPUTED_VALUE"""),"--")</f>
        <v>--</v>
      </c>
      <c r="X468" s="251" t="str">
        <f>IFERROR(__xludf.DUMMYFUNCTION("""COMPUTED_VALUE"""),"--")</f>
        <v>--</v>
      </c>
      <c r="Y468" s="251" t="str">
        <f>IFERROR(__xludf.DUMMYFUNCTION("""COMPUTED_VALUE"""),"--")</f>
        <v>--</v>
      </c>
      <c r="Z468" s="251" t="str">
        <f>IFERROR(__xludf.DUMMYFUNCTION("""COMPUTED_VALUE"""),"--")</f>
        <v>--</v>
      </c>
      <c r="AA468" s="251" t="str">
        <f>IFERROR(__xludf.DUMMYFUNCTION("""COMPUTED_VALUE"""),"--")</f>
        <v>--</v>
      </c>
      <c r="AB468" s="251" t="str">
        <f>IFERROR(__xludf.DUMMYFUNCTION("""COMPUTED_VALUE"""),"--")</f>
        <v>--</v>
      </c>
      <c r="AC468" s="251" t="str">
        <f>IFERROR(__xludf.DUMMYFUNCTION("""COMPUTED_VALUE"""),"--")</f>
        <v>--</v>
      </c>
      <c r="AD468" s="251">
        <f>IFERROR(__xludf.DUMMYFUNCTION("""COMPUTED_VALUE"""),3.0)</f>
        <v>3</v>
      </c>
      <c r="AE468" s="251" t="str">
        <f>IFERROR(__xludf.DUMMYFUNCTION("""COMPUTED_VALUE"""),"Carnivore")</f>
        <v>Carnivore</v>
      </c>
    </row>
    <row r="469">
      <c r="A469" s="251" t="str">
        <f>IFERROR(__xludf.DUMMYFUNCTION("""COMPUTED_VALUE"""),"Lillipup")</f>
        <v>Lillipup</v>
      </c>
      <c r="B469" s="251" t="str">
        <f>IFERROR(__xludf.DUMMYFUNCTION("""COMPUTED_VALUE"""),"Normal")</f>
        <v>Normal</v>
      </c>
      <c r="C469" s="251" t="str">
        <f>IFERROR(__xludf.DUMMYFUNCTION("""COMPUTED_VALUE"""),"None")</f>
        <v>None</v>
      </c>
      <c r="D469" s="251">
        <f>IFERROR(__xludf.DUMMYFUNCTION("""COMPUTED_VALUE"""),5.0)</f>
        <v>5</v>
      </c>
      <c r="E469" s="251">
        <f>IFERROR(__xludf.DUMMYFUNCTION("""COMPUTED_VALUE"""),6.0)</f>
        <v>6</v>
      </c>
      <c r="F469" s="251">
        <f>IFERROR(__xludf.DUMMYFUNCTION("""COMPUTED_VALUE"""),5.0)</f>
        <v>5</v>
      </c>
      <c r="G469" s="251">
        <f>IFERROR(__xludf.DUMMYFUNCTION("""COMPUTED_VALUE"""),3.0)</f>
        <v>3</v>
      </c>
      <c r="H469" s="251">
        <f>IFERROR(__xludf.DUMMYFUNCTION("""COMPUTED_VALUE"""),5.0)</f>
        <v>5</v>
      </c>
      <c r="I469" s="251">
        <f>IFERROR(__xludf.DUMMYFUNCTION("""COMPUTED_VALUE"""),6.0)</f>
        <v>6</v>
      </c>
      <c r="J469" s="251">
        <f>IFERROR(__xludf.DUMMYFUNCTION("""COMPUTED_VALUE"""),2.0)</f>
        <v>2</v>
      </c>
      <c r="K469" s="251" t="str">
        <f>IFERROR(__xludf.DUMMYFUNCTION("""COMPUTED_VALUE"""),"Small")</f>
        <v>Small</v>
      </c>
      <c r="L469" s="251">
        <f>IFERROR(__xludf.DUMMYFUNCTION("""COMPUTED_VALUE"""),1.0)</f>
        <v>1</v>
      </c>
      <c r="M469" s="251" t="str">
        <f>IFERROR(__xludf.DUMMYFUNCTION("""COMPUTED_VALUE"""),"Grasslands, Urban")</f>
        <v>Grasslands, Urban</v>
      </c>
      <c r="N469" s="251" t="str">
        <f>IFERROR(__xludf.DUMMYFUNCTION("""COMPUTED_VALUE"""),"--")</f>
        <v>--</v>
      </c>
      <c r="O469" s="251" t="str">
        <f>IFERROR(__xludf.DUMMYFUNCTION("""COMPUTED_VALUE"""),"--")</f>
        <v>--</v>
      </c>
      <c r="P469" s="251" t="str">
        <f>IFERROR(__xludf.DUMMYFUNCTION("""COMPUTED_VALUE"""),"--")</f>
        <v>--</v>
      </c>
      <c r="Q469" s="251" t="str">
        <f>IFERROR(__xludf.DUMMYFUNCTION("""COMPUTED_VALUE"""),"--")</f>
        <v>--</v>
      </c>
      <c r="R469" s="251" t="str">
        <f>IFERROR(__xludf.DUMMYFUNCTION("""COMPUTED_VALUE"""),"Underdog")</f>
        <v>Underdog</v>
      </c>
      <c r="S469" s="251" t="str">
        <f>IFERROR(__xludf.DUMMYFUNCTION("""COMPUTED_VALUE"""),"--")</f>
        <v>--</v>
      </c>
      <c r="T469" s="251" t="str">
        <f>IFERROR(__xludf.DUMMYFUNCTION("""COMPUTED_VALUE"""),"--")</f>
        <v>--</v>
      </c>
      <c r="U469" s="251" t="str">
        <f>IFERROR(__xludf.DUMMYFUNCTION("""COMPUTED_VALUE"""),"--")</f>
        <v>--</v>
      </c>
      <c r="V469" s="251" t="str">
        <f>IFERROR(__xludf.DUMMYFUNCTION("""COMPUTED_VALUE"""),"Tracker")</f>
        <v>Tracker</v>
      </c>
      <c r="W469" s="251" t="str">
        <f>IFERROR(__xludf.DUMMYFUNCTION("""COMPUTED_VALUE"""),"--")</f>
        <v>--</v>
      </c>
      <c r="X469" s="251" t="str">
        <f>IFERROR(__xludf.DUMMYFUNCTION("""COMPUTED_VALUE"""),"--")</f>
        <v>--</v>
      </c>
      <c r="Y469" s="251" t="str">
        <f>IFERROR(__xludf.DUMMYFUNCTION("""COMPUTED_VALUE"""),"--")</f>
        <v>--</v>
      </c>
      <c r="Z469" s="251" t="str">
        <f>IFERROR(__xludf.DUMMYFUNCTION("""COMPUTED_VALUE"""),"--")</f>
        <v>--</v>
      </c>
      <c r="AA469" s="251" t="str">
        <f>IFERROR(__xludf.DUMMYFUNCTION("""COMPUTED_VALUE"""),"--")</f>
        <v>--</v>
      </c>
      <c r="AB469" s="251" t="str">
        <f>IFERROR(__xludf.DUMMYFUNCTION("""COMPUTED_VALUE"""),"--")</f>
        <v>--</v>
      </c>
      <c r="AC469" s="251" t="str">
        <f>IFERROR(__xludf.DUMMYFUNCTION("""COMPUTED_VALUE"""),"--")</f>
        <v>--</v>
      </c>
      <c r="AD469" s="251">
        <f>IFERROR(__xludf.DUMMYFUNCTION("""COMPUTED_VALUE"""),1.0)</f>
        <v>1</v>
      </c>
      <c r="AE469" s="251" t="str">
        <f>IFERROR(__xludf.DUMMYFUNCTION("""COMPUTED_VALUE"""),"Omnivore")</f>
        <v>Omnivore</v>
      </c>
    </row>
    <row r="470">
      <c r="A470" s="251" t="str">
        <f>IFERROR(__xludf.DUMMYFUNCTION("""COMPUTED_VALUE"""),"Herdier")</f>
        <v>Herdier</v>
      </c>
      <c r="B470" s="251" t="str">
        <f>IFERROR(__xludf.DUMMYFUNCTION("""COMPUTED_VALUE"""),"Normal")</f>
        <v>Normal</v>
      </c>
      <c r="C470" s="251" t="str">
        <f>IFERROR(__xludf.DUMMYFUNCTION("""COMPUTED_VALUE"""),"None")</f>
        <v>None</v>
      </c>
      <c r="D470" s="251">
        <f>IFERROR(__xludf.DUMMYFUNCTION("""COMPUTED_VALUE"""),7.0)</f>
        <v>7</v>
      </c>
      <c r="E470" s="251">
        <f>IFERROR(__xludf.DUMMYFUNCTION("""COMPUTED_VALUE"""),8.0)</f>
        <v>8</v>
      </c>
      <c r="F470" s="251">
        <f>IFERROR(__xludf.DUMMYFUNCTION("""COMPUTED_VALUE"""),7.0)</f>
        <v>7</v>
      </c>
      <c r="G470" s="251">
        <f>IFERROR(__xludf.DUMMYFUNCTION("""COMPUTED_VALUE"""),4.0)</f>
        <v>4</v>
      </c>
      <c r="H470" s="251">
        <f>IFERROR(__xludf.DUMMYFUNCTION("""COMPUTED_VALUE"""),7.0)</f>
        <v>7</v>
      </c>
      <c r="I470" s="251">
        <f>IFERROR(__xludf.DUMMYFUNCTION("""COMPUTED_VALUE"""),6.0)</f>
        <v>6</v>
      </c>
      <c r="J470" s="251">
        <f>IFERROR(__xludf.DUMMYFUNCTION("""COMPUTED_VALUE"""),4.0)</f>
        <v>4</v>
      </c>
      <c r="K470" s="251" t="str">
        <f>IFERROR(__xludf.DUMMYFUNCTION("""COMPUTED_VALUE"""),"Small")</f>
        <v>Small</v>
      </c>
      <c r="L470" s="251">
        <f>IFERROR(__xludf.DUMMYFUNCTION("""COMPUTED_VALUE"""),2.0)</f>
        <v>2</v>
      </c>
      <c r="M470" s="251" t="str">
        <f>IFERROR(__xludf.DUMMYFUNCTION("""COMPUTED_VALUE"""),"Grasslands, Urban")</f>
        <v>Grasslands, Urban</v>
      </c>
      <c r="N470" s="251" t="str">
        <f>IFERROR(__xludf.DUMMYFUNCTION("""COMPUTED_VALUE"""),"--")</f>
        <v>--</v>
      </c>
      <c r="O470" s="251" t="str">
        <f>IFERROR(__xludf.DUMMYFUNCTION("""COMPUTED_VALUE"""),"--")</f>
        <v>--</v>
      </c>
      <c r="P470" s="251" t="str">
        <f>IFERROR(__xludf.DUMMYFUNCTION("""COMPUTED_VALUE"""),"--")</f>
        <v>--</v>
      </c>
      <c r="Q470" s="251" t="str">
        <f>IFERROR(__xludf.DUMMYFUNCTION("""COMPUTED_VALUE"""),"--")</f>
        <v>--</v>
      </c>
      <c r="R470" s="251" t="str">
        <f>IFERROR(__xludf.DUMMYFUNCTION("""COMPUTED_VALUE"""),"Underdog")</f>
        <v>Underdog</v>
      </c>
      <c r="S470" s="251" t="str">
        <f>IFERROR(__xludf.DUMMYFUNCTION("""COMPUTED_VALUE"""),"--")</f>
        <v>--</v>
      </c>
      <c r="T470" s="251" t="str">
        <f>IFERROR(__xludf.DUMMYFUNCTION("""COMPUTED_VALUE"""),"--")</f>
        <v>--</v>
      </c>
      <c r="U470" s="251" t="str">
        <f>IFERROR(__xludf.DUMMYFUNCTION("""COMPUTED_VALUE"""),"--")</f>
        <v>--</v>
      </c>
      <c r="V470" s="251" t="str">
        <f>IFERROR(__xludf.DUMMYFUNCTION("""COMPUTED_VALUE"""),"Tracker")</f>
        <v>Tracker</v>
      </c>
      <c r="W470" s="251" t="str">
        <f>IFERROR(__xludf.DUMMYFUNCTION("""COMPUTED_VALUE"""),"--")</f>
        <v>--</v>
      </c>
      <c r="X470" s="251" t="str">
        <f>IFERROR(__xludf.DUMMYFUNCTION("""COMPUTED_VALUE"""),"--")</f>
        <v>--</v>
      </c>
      <c r="Y470" s="251" t="str">
        <f>IFERROR(__xludf.DUMMYFUNCTION("""COMPUTED_VALUE"""),"--")</f>
        <v>--</v>
      </c>
      <c r="Z470" s="251" t="str">
        <f>IFERROR(__xludf.DUMMYFUNCTION("""COMPUTED_VALUE"""),"--")</f>
        <v>--</v>
      </c>
      <c r="AA470" s="251" t="str">
        <f>IFERROR(__xludf.DUMMYFUNCTION("""COMPUTED_VALUE"""),"--")</f>
        <v>--</v>
      </c>
      <c r="AB470" s="251" t="str">
        <f>IFERROR(__xludf.DUMMYFUNCTION("""COMPUTED_VALUE"""),"--")</f>
        <v>--</v>
      </c>
      <c r="AC470" s="251" t="str">
        <f>IFERROR(__xludf.DUMMYFUNCTION("""COMPUTED_VALUE"""),"--")</f>
        <v>--</v>
      </c>
      <c r="AD470" s="251">
        <f>IFERROR(__xludf.DUMMYFUNCTION("""COMPUTED_VALUE"""),2.0)</f>
        <v>2</v>
      </c>
      <c r="AE470" s="251" t="str">
        <f>IFERROR(__xludf.DUMMYFUNCTION("""COMPUTED_VALUE"""),"Omnivore")</f>
        <v>Omnivore</v>
      </c>
    </row>
    <row r="471">
      <c r="A471" s="251" t="str">
        <f>IFERROR(__xludf.DUMMYFUNCTION("""COMPUTED_VALUE"""),"Stoutland")</f>
        <v>Stoutland</v>
      </c>
      <c r="B471" s="251" t="str">
        <f>IFERROR(__xludf.DUMMYFUNCTION("""COMPUTED_VALUE"""),"Normal")</f>
        <v>Normal</v>
      </c>
      <c r="C471" s="251" t="str">
        <f>IFERROR(__xludf.DUMMYFUNCTION("""COMPUTED_VALUE"""),"None")</f>
        <v>None</v>
      </c>
      <c r="D471" s="251">
        <f>IFERROR(__xludf.DUMMYFUNCTION("""COMPUTED_VALUE"""),9.0)</f>
        <v>9</v>
      </c>
      <c r="E471" s="251">
        <f>IFERROR(__xludf.DUMMYFUNCTION("""COMPUTED_VALUE"""),11.0)</f>
        <v>11</v>
      </c>
      <c r="F471" s="251">
        <f>IFERROR(__xludf.DUMMYFUNCTION("""COMPUTED_VALUE"""),9.0)</f>
        <v>9</v>
      </c>
      <c r="G471" s="251">
        <f>IFERROR(__xludf.DUMMYFUNCTION("""COMPUTED_VALUE"""),5.0)</f>
        <v>5</v>
      </c>
      <c r="H471" s="251">
        <f>IFERROR(__xludf.DUMMYFUNCTION("""COMPUTED_VALUE"""),9.0)</f>
        <v>9</v>
      </c>
      <c r="I471" s="251">
        <f>IFERROR(__xludf.DUMMYFUNCTION("""COMPUTED_VALUE"""),8.0)</f>
        <v>8</v>
      </c>
      <c r="J471" s="251">
        <f>IFERROR(__xludf.DUMMYFUNCTION("""COMPUTED_VALUE"""),5.0)</f>
        <v>5</v>
      </c>
      <c r="K471" s="251" t="str">
        <f>IFERROR(__xludf.DUMMYFUNCTION("""COMPUTED_VALUE"""),"Medium")</f>
        <v>Medium</v>
      </c>
      <c r="L471" s="251">
        <f>IFERROR(__xludf.DUMMYFUNCTION("""COMPUTED_VALUE"""),4.0)</f>
        <v>4</v>
      </c>
      <c r="M471" s="251" t="str">
        <f>IFERROR(__xludf.DUMMYFUNCTION("""COMPUTED_VALUE"""),"Grasslands, Urban")</f>
        <v>Grasslands, Urban</v>
      </c>
      <c r="N471" s="251" t="str">
        <f>IFERROR(__xludf.DUMMYFUNCTION("""COMPUTED_VALUE"""),"--")</f>
        <v>--</v>
      </c>
      <c r="O471" s="251" t="str">
        <f>IFERROR(__xludf.DUMMYFUNCTION("""COMPUTED_VALUE"""),"--")</f>
        <v>--</v>
      </c>
      <c r="P471" s="251" t="str">
        <f>IFERROR(__xludf.DUMMYFUNCTION("""COMPUTED_VALUE"""),"--")</f>
        <v>--</v>
      </c>
      <c r="Q471" s="251" t="str">
        <f>IFERROR(__xludf.DUMMYFUNCTION("""COMPUTED_VALUE"""),"--")</f>
        <v>--</v>
      </c>
      <c r="R471" s="251" t="str">
        <f>IFERROR(__xludf.DUMMYFUNCTION("""COMPUTED_VALUE"""),"Mountable")</f>
        <v>Mountable</v>
      </c>
      <c r="S471" s="251" t="str">
        <f>IFERROR(__xludf.DUMMYFUNCTION("""COMPUTED_VALUE"""),"--")</f>
        <v>--</v>
      </c>
      <c r="T471" s="251" t="str">
        <f>IFERROR(__xludf.DUMMYFUNCTION("""COMPUTED_VALUE"""),"--")</f>
        <v>--</v>
      </c>
      <c r="U471" s="251" t="str">
        <f>IFERROR(__xludf.DUMMYFUNCTION("""COMPUTED_VALUE"""),"--")</f>
        <v>--</v>
      </c>
      <c r="V471" s="251" t="str">
        <f>IFERROR(__xludf.DUMMYFUNCTION("""COMPUTED_VALUE"""),"Tracker")</f>
        <v>Tracker</v>
      </c>
      <c r="W471" s="251" t="str">
        <f>IFERROR(__xludf.DUMMYFUNCTION("""COMPUTED_VALUE"""),"--")</f>
        <v>--</v>
      </c>
      <c r="X471" s="251" t="str">
        <f>IFERROR(__xludf.DUMMYFUNCTION("""COMPUTED_VALUE"""),"--")</f>
        <v>--</v>
      </c>
      <c r="Y471" s="251" t="str">
        <f>IFERROR(__xludf.DUMMYFUNCTION("""COMPUTED_VALUE"""),"--")</f>
        <v>--</v>
      </c>
      <c r="Z471" s="251" t="str">
        <f>IFERROR(__xludf.DUMMYFUNCTION("""COMPUTED_VALUE"""),"--")</f>
        <v>--</v>
      </c>
      <c r="AA471" s="251" t="str">
        <f>IFERROR(__xludf.DUMMYFUNCTION("""COMPUTED_VALUE"""),"--")</f>
        <v>--</v>
      </c>
      <c r="AB471" s="251" t="str">
        <f>IFERROR(__xludf.DUMMYFUNCTION("""COMPUTED_VALUE"""),"--")</f>
        <v>--</v>
      </c>
      <c r="AC471" s="251" t="str">
        <f>IFERROR(__xludf.DUMMYFUNCTION("""COMPUTED_VALUE"""),"--")</f>
        <v>--</v>
      </c>
      <c r="AD471" s="251">
        <f>IFERROR(__xludf.DUMMYFUNCTION("""COMPUTED_VALUE"""),3.0)</f>
        <v>3</v>
      </c>
      <c r="AE471" s="251" t="str">
        <f>IFERROR(__xludf.DUMMYFUNCTION("""COMPUTED_VALUE"""),"Omnivore")</f>
        <v>Omnivore</v>
      </c>
    </row>
    <row r="472">
      <c r="A472" s="251" t="str">
        <f>IFERROR(__xludf.DUMMYFUNCTION("""COMPUTED_VALUE"""),"Pidove")</f>
        <v>Pidove</v>
      </c>
      <c r="B472" s="251" t="str">
        <f>IFERROR(__xludf.DUMMYFUNCTION("""COMPUTED_VALUE"""),"Normal")</f>
        <v>Normal</v>
      </c>
      <c r="C472" s="251" t="str">
        <f>IFERROR(__xludf.DUMMYFUNCTION("""COMPUTED_VALUE"""),"Flying")</f>
        <v>Flying</v>
      </c>
      <c r="D472" s="251">
        <f>IFERROR(__xludf.DUMMYFUNCTION("""COMPUTED_VALUE"""),6.0)</f>
        <v>6</v>
      </c>
      <c r="E472" s="251">
        <f>IFERROR(__xludf.DUMMYFUNCTION("""COMPUTED_VALUE"""),6.0)</f>
        <v>6</v>
      </c>
      <c r="F472" s="251">
        <f>IFERROR(__xludf.DUMMYFUNCTION("""COMPUTED_VALUE"""),5.0)</f>
        <v>5</v>
      </c>
      <c r="G472" s="251">
        <f>IFERROR(__xludf.DUMMYFUNCTION("""COMPUTED_VALUE"""),4.0)</f>
        <v>4</v>
      </c>
      <c r="H472" s="251">
        <f>IFERROR(__xludf.DUMMYFUNCTION("""COMPUTED_VALUE"""),3.0)</f>
        <v>3</v>
      </c>
      <c r="I472" s="251">
        <f>IFERROR(__xludf.DUMMYFUNCTION("""COMPUTED_VALUE"""),6.0)</f>
        <v>6</v>
      </c>
      <c r="J472" s="251">
        <f>IFERROR(__xludf.DUMMYFUNCTION("""COMPUTED_VALUE"""),1.0)</f>
        <v>1</v>
      </c>
      <c r="K472" s="251" t="str">
        <f>IFERROR(__xludf.DUMMYFUNCTION("""COMPUTED_VALUE"""),"Small")</f>
        <v>Small</v>
      </c>
      <c r="L472" s="251">
        <f>IFERROR(__xludf.DUMMYFUNCTION("""COMPUTED_VALUE"""),1.0)</f>
        <v>1</v>
      </c>
      <c r="M472" s="251" t="str">
        <f>IFERROR(__xludf.DUMMYFUNCTION("""COMPUTED_VALUE"""),"Urban")</f>
        <v>Urban</v>
      </c>
      <c r="N472" s="251" t="str">
        <f>IFERROR(__xludf.DUMMYFUNCTION("""COMPUTED_VALUE"""),"Flier")</f>
        <v>Flier</v>
      </c>
      <c r="O472" s="251" t="str">
        <f>IFERROR(__xludf.DUMMYFUNCTION("""COMPUTED_VALUE"""),"--")</f>
        <v>--</v>
      </c>
      <c r="P472" s="251" t="str">
        <f>IFERROR(__xludf.DUMMYFUNCTION("""COMPUTED_VALUE"""),"--")</f>
        <v>--</v>
      </c>
      <c r="Q472" s="251" t="str">
        <f>IFERROR(__xludf.DUMMYFUNCTION("""COMPUTED_VALUE"""),"--")</f>
        <v>--</v>
      </c>
      <c r="R472" s="251" t="str">
        <f>IFERROR(__xludf.DUMMYFUNCTION("""COMPUTED_VALUE"""),"Underdog")</f>
        <v>Underdog</v>
      </c>
      <c r="S472" s="251" t="str">
        <f>IFERROR(__xludf.DUMMYFUNCTION("""COMPUTED_VALUE"""),"--")</f>
        <v>--</v>
      </c>
      <c r="T472" s="251" t="str">
        <f>IFERROR(__xludf.DUMMYFUNCTION("""COMPUTED_VALUE"""),"--")</f>
        <v>--</v>
      </c>
      <c r="U472" s="251" t="str">
        <f>IFERROR(__xludf.DUMMYFUNCTION("""COMPUTED_VALUE"""),"--")</f>
        <v>--</v>
      </c>
      <c r="V472" s="251" t="str">
        <f>IFERROR(__xludf.DUMMYFUNCTION("""COMPUTED_VALUE"""),"--")</f>
        <v>--</v>
      </c>
      <c r="W472" s="251" t="str">
        <f>IFERROR(__xludf.DUMMYFUNCTION("""COMPUTED_VALUE"""),"--")</f>
        <v>--</v>
      </c>
      <c r="X472" s="251" t="str">
        <f>IFERROR(__xludf.DUMMYFUNCTION("""COMPUTED_VALUE"""),"--")</f>
        <v>--</v>
      </c>
      <c r="Y472" s="251" t="str">
        <f>IFERROR(__xludf.DUMMYFUNCTION("""COMPUTED_VALUE"""),"--")</f>
        <v>--</v>
      </c>
      <c r="Z472" s="251" t="str">
        <f>IFERROR(__xludf.DUMMYFUNCTION("""COMPUTED_VALUE"""),"--")</f>
        <v>--</v>
      </c>
      <c r="AA472" s="251" t="str">
        <f>IFERROR(__xludf.DUMMYFUNCTION("""COMPUTED_VALUE"""),"--")</f>
        <v>--</v>
      </c>
      <c r="AB472" s="251" t="str">
        <f>IFERROR(__xludf.DUMMYFUNCTION("""COMPUTED_VALUE"""),"--")</f>
        <v>--</v>
      </c>
      <c r="AC472" s="251" t="str">
        <f>IFERROR(__xludf.DUMMYFUNCTION("""COMPUTED_VALUE"""),"--")</f>
        <v>--</v>
      </c>
      <c r="AD472" s="251">
        <f>IFERROR(__xludf.DUMMYFUNCTION("""COMPUTED_VALUE"""),1.0)</f>
        <v>1</v>
      </c>
      <c r="AE472" s="251" t="str">
        <f>IFERROR(__xludf.DUMMYFUNCTION("""COMPUTED_VALUE"""),"Herbivore")</f>
        <v>Herbivore</v>
      </c>
    </row>
    <row r="473">
      <c r="A473" s="251" t="str">
        <f>IFERROR(__xludf.DUMMYFUNCTION("""COMPUTED_VALUE"""),"Tranquill")</f>
        <v>Tranquill</v>
      </c>
      <c r="B473" s="251" t="str">
        <f>IFERROR(__xludf.DUMMYFUNCTION("""COMPUTED_VALUE"""),"Normal")</f>
        <v>Normal</v>
      </c>
      <c r="C473" s="251" t="str">
        <f>IFERROR(__xludf.DUMMYFUNCTION("""COMPUTED_VALUE"""),"Flying")</f>
        <v>Flying</v>
      </c>
      <c r="D473" s="251">
        <f>IFERROR(__xludf.DUMMYFUNCTION("""COMPUTED_VALUE"""),7.0)</f>
        <v>7</v>
      </c>
      <c r="E473" s="251">
        <f>IFERROR(__xludf.DUMMYFUNCTION("""COMPUTED_VALUE"""),8.0)</f>
        <v>8</v>
      </c>
      <c r="F473" s="251">
        <f>IFERROR(__xludf.DUMMYFUNCTION("""COMPUTED_VALUE"""),6.0)</f>
        <v>6</v>
      </c>
      <c r="G473" s="251">
        <f>IFERROR(__xludf.DUMMYFUNCTION("""COMPUTED_VALUE"""),5.0)</f>
        <v>5</v>
      </c>
      <c r="H473" s="251">
        <f>IFERROR(__xludf.DUMMYFUNCTION("""COMPUTED_VALUE"""),4.0)</f>
        <v>4</v>
      </c>
      <c r="I473" s="251">
        <f>IFERROR(__xludf.DUMMYFUNCTION("""COMPUTED_VALUE"""),7.0)</f>
        <v>7</v>
      </c>
      <c r="J473" s="251">
        <f>IFERROR(__xludf.DUMMYFUNCTION("""COMPUTED_VALUE"""),3.0)</f>
        <v>3</v>
      </c>
      <c r="K473" s="251" t="str">
        <f>IFERROR(__xludf.DUMMYFUNCTION("""COMPUTED_VALUE"""),"Small")</f>
        <v>Small</v>
      </c>
      <c r="L473" s="251">
        <f>IFERROR(__xludf.DUMMYFUNCTION("""COMPUTED_VALUE"""),2.0)</f>
        <v>2</v>
      </c>
      <c r="M473" s="251" t="str">
        <f>IFERROR(__xludf.DUMMYFUNCTION("""COMPUTED_VALUE"""),"Urban")</f>
        <v>Urban</v>
      </c>
      <c r="N473" s="251" t="str">
        <f>IFERROR(__xludf.DUMMYFUNCTION("""COMPUTED_VALUE"""),"Flier")</f>
        <v>Flier</v>
      </c>
      <c r="O473" s="251" t="str">
        <f>IFERROR(__xludf.DUMMYFUNCTION("""COMPUTED_VALUE"""),"--")</f>
        <v>--</v>
      </c>
      <c r="P473" s="251" t="str">
        <f>IFERROR(__xludf.DUMMYFUNCTION("""COMPUTED_VALUE"""),"--")</f>
        <v>--</v>
      </c>
      <c r="Q473" s="251" t="str">
        <f>IFERROR(__xludf.DUMMYFUNCTION("""COMPUTED_VALUE"""),"--")</f>
        <v>--</v>
      </c>
      <c r="R473" s="251" t="str">
        <f>IFERROR(__xludf.DUMMYFUNCTION("""COMPUTED_VALUE"""),"Underdog")</f>
        <v>Underdog</v>
      </c>
      <c r="S473" s="251" t="str">
        <f>IFERROR(__xludf.DUMMYFUNCTION("""COMPUTED_VALUE"""),"--")</f>
        <v>--</v>
      </c>
      <c r="T473" s="251" t="str">
        <f>IFERROR(__xludf.DUMMYFUNCTION("""COMPUTED_VALUE"""),"--")</f>
        <v>--</v>
      </c>
      <c r="U473" s="251" t="str">
        <f>IFERROR(__xludf.DUMMYFUNCTION("""COMPUTED_VALUE"""),"--")</f>
        <v>--</v>
      </c>
      <c r="V473" s="251" t="str">
        <f>IFERROR(__xludf.DUMMYFUNCTION("""COMPUTED_VALUE"""),"--")</f>
        <v>--</v>
      </c>
      <c r="W473" s="251" t="str">
        <f>IFERROR(__xludf.DUMMYFUNCTION("""COMPUTED_VALUE"""),"--")</f>
        <v>--</v>
      </c>
      <c r="X473" s="251" t="str">
        <f>IFERROR(__xludf.DUMMYFUNCTION("""COMPUTED_VALUE"""),"--")</f>
        <v>--</v>
      </c>
      <c r="Y473" s="251" t="str">
        <f>IFERROR(__xludf.DUMMYFUNCTION("""COMPUTED_VALUE"""),"--")</f>
        <v>--</v>
      </c>
      <c r="Z473" s="251" t="str">
        <f>IFERROR(__xludf.DUMMYFUNCTION("""COMPUTED_VALUE"""),"--")</f>
        <v>--</v>
      </c>
      <c r="AA473" s="251" t="str">
        <f>IFERROR(__xludf.DUMMYFUNCTION("""COMPUTED_VALUE"""),"--")</f>
        <v>--</v>
      </c>
      <c r="AB473" s="251" t="str">
        <f>IFERROR(__xludf.DUMMYFUNCTION("""COMPUTED_VALUE"""),"--")</f>
        <v>--</v>
      </c>
      <c r="AC473" s="251" t="str">
        <f>IFERROR(__xludf.DUMMYFUNCTION("""COMPUTED_VALUE"""),"--")</f>
        <v>--</v>
      </c>
      <c r="AD473" s="251">
        <f>IFERROR(__xludf.DUMMYFUNCTION("""COMPUTED_VALUE"""),2.0)</f>
        <v>2</v>
      </c>
      <c r="AE473" s="251" t="str">
        <f>IFERROR(__xludf.DUMMYFUNCTION("""COMPUTED_VALUE"""),"Carnivore")</f>
        <v>Carnivore</v>
      </c>
    </row>
    <row r="474">
      <c r="A474" s="251" t="str">
        <f>IFERROR(__xludf.DUMMYFUNCTION("""COMPUTED_VALUE"""),"Unfezant")</f>
        <v>Unfezant</v>
      </c>
      <c r="B474" s="251" t="str">
        <f>IFERROR(__xludf.DUMMYFUNCTION("""COMPUTED_VALUE"""),"Normal")</f>
        <v>Normal</v>
      </c>
      <c r="C474" s="251" t="str">
        <f>IFERROR(__xludf.DUMMYFUNCTION("""COMPUTED_VALUE"""),"Flying")</f>
        <v>Flying</v>
      </c>
      <c r="D474" s="251">
        <f>IFERROR(__xludf.DUMMYFUNCTION("""COMPUTED_VALUE"""),8.0)</f>
        <v>8</v>
      </c>
      <c r="E474" s="251">
        <f>IFERROR(__xludf.DUMMYFUNCTION("""COMPUTED_VALUE"""),12.0)</f>
        <v>12</v>
      </c>
      <c r="F474" s="251">
        <f>IFERROR(__xludf.DUMMYFUNCTION("""COMPUTED_VALUE"""),8.0)</f>
        <v>8</v>
      </c>
      <c r="G474" s="251">
        <f>IFERROR(__xludf.DUMMYFUNCTION("""COMPUTED_VALUE"""),8.0)</f>
        <v>8</v>
      </c>
      <c r="H474" s="251">
        <f>IFERROR(__xludf.DUMMYFUNCTION("""COMPUTED_VALUE"""),6.0)</f>
        <v>6</v>
      </c>
      <c r="I474" s="251">
        <f>IFERROR(__xludf.DUMMYFUNCTION("""COMPUTED_VALUE"""),9.0)</f>
        <v>9</v>
      </c>
      <c r="J474" s="251">
        <f>IFERROR(__xludf.DUMMYFUNCTION("""COMPUTED_VALUE"""),5.0)</f>
        <v>5</v>
      </c>
      <c r="K474" s="251" t="str">
        <f>IFERROR(__xludf.DUMMYFUNCTION("""COMPUTED_VALUE"""),"Medium")</f>
        <v>Medium</v>
      </c>
      <c r="L474" s="251">
        <f>IFERROR(__xludf.DUMMYFUNCTION("""COMPUTED_VALUE"""),3.0)</f>
        <v>3</v>
      </c>
      <c r="M474" s="251" t="str">
        <f>IFERROR(__xludf.DUMMYFUNCTION("""COMPUTED_VALUE"""),"Urban")</f>
        <v>Urban</v>
      </c>
      <c r="N474" s="251" t="str">
        <f>IFERROR(__xludf.DUMMYFUNCTION("""COMPUTED_VALUE"""),"Flier")</f>
        <v>Flier</v>
      </c>
      <c r="O474" s="251" t="str">
        <f>IFERROR(__xludf.DUMMYFUNCTION("""COMPUTED_VALUE"""),"Quick")</f>
        <v>Quick</v>
      </c>
      <c r="P474" s="251" t="str">
        <f>IFERROR(__xludf.DUMMYFUNCTION("""COMPUTED_VALUE"""),"--")</f>
        <v>--</v>
      </c>
      <c r="Q474" s="251" t="str">
        <f>IFERROR(__xludf.DUMMYFUNCTION("""COMPUTED_VALUE"""),"--")</f>
        <v>--</v>
      </c>
      <c r="R474" s="251" t="str">
        <f>IFERROR(__xludf.DUMMYFUNCTION("""COMPUTED_VALUE"""),"--")</f>
        <v>--</v>
      </c>
      <c r="S474" s="251" t="str">
        <f>IFERROR(__xludf.DUMMYFUNCTION("""COMPUTED_VALUE"""),"--")</f>
        <v>--</v>
      </c>
      <c r="T474" s="251" t="str">
        <f>IFERROR(__xludf.DUMMYFUNCTION("""COMPUTED_VALUE"""),"--")</f>
        <v>--</v>
      </c>
      <c r="U474" s="251" t="str">
        <f>IFERROR(__xludf.DUMMYFUNCTION("""COMPUTED_VALUE"""),"--")</f>
        <v>--</v>
      </c>
      <c r="V474" s="251" t="str">
        <f>IFERROR(__xludf.DUMMYFUNCTION("""COMPUTED_VALUE"""),"--")</f>
        <v>--</v>
      </c>
      <c r="W474" s="251" t="str">
        <f>IFERROR(__xludf.DUMMYFUNCTION("""COMPUTED_VALUE"""),"--")</f>
        <v>--</v>
      </c>
      <c r="X474" s="251" t="str">
        <f>IFERROR(__xludf.DUMMYFUNCTION("""COMPUTED_VALUE"""),"--")</f>
        <v>--</v>
      </c>
      <c r="Y474" s="251" t="str">
        <f>IFERROR(__xludf.DUMMYFUNCTION("""COMPUTED_VALUE"""),"--")</f>
        <v>--</v>
      </c>
      <c r="Z474" s="251" t="str">
        <f>IFERROR(__xludf.DUMMYFUNCTION("""COMPUTED_VALUE"""),"--")</f>
        <v>--</v>
      </c>
      <c r="AA474" s="251" t="str">
        <f>IFERROR(__xludf.DUMMYFUNCTION("""COMPUTED_VALUE"""),"--")</f>
        <v>--</v>
      </c>
      <c r="AB474" s="251" t="str">
        <f>IFERROR(__xludf.DUMMYFUNCTION("""COMPUTED_VALUE"""),"--")</f>
        <v>--</v>
      </c>
      <c r="AC474" s="251" t="str">
        <f>IFERROR(__xludf.DUMMYFUNCTION("""COMPUTED_VALUE"""),"--")</f>
        <v>--</v>
      </c>
      <c r="AD474" s="251">
        <f>IFERROR(__xludf.DUMMYFUNCTION("""COMPUTED_VALUE"""),3.0)</f>
        <v>3</v>
      </c>
      <c r="AE474" s="251" t="str">
        <f>IFERROR(__xludf.DUMMYFUNCTION("""COMPUTED_VALUE"""),"Carnivore")</f>
        <v>Carnivore</v>
      </c>
    </row>
    <row r="475">
      <c r="A475" s="251" t="str">
        <f>IFERROR(__xludf.DUMMYFUNCTION("""COMPUTED_VALUE"""),"Pikipek")</f>
        <v>Pikipek</v>
      </c>
      <c r="B475" s="251" t="str">
        <f>IFERROR(__xludf.DUMMYFUNCTION("""COMPUTED_VALUE"""),"Normal")</f>
        <v>Normal</v>
      </c>
      <c r="C475" s="251" t="str">
        <f>IFERROR(__xludf.DUMMYFUNCTION("""COMPUTED_VALUE"""),"Flying")</f>
        <v>Flying</v>
      </c>
      <c r="D475" s="251">
        <f>IFERROR(__xludf.DUMMYFUNCTION("""COMPUTED_VALUE"""),5.0)</f>
        <v>5</v>
      </c>
      <c r="E475" s="251">
        <f>IFERROR(__xludf.DUMMYFUNCTION("""COMPUTED_VALUE"""),8.0)</f>
        <v>8</v>
      </c>
      <c r="F475" s="251">
        <f>IFERROR(__xludf.DUMMYFUNCTION("""COMPUTED_VALUE"""),4.0)</f>
        <v>4</v>
      </c>
      <c r="G475" s="251">
        <f>IFERROR(__xludf.DUMMYFUNCTION("""COMPUTED_VALUE"""),3.0)</f>
        <v>3</v>
      </c>
      <c r="H475" s="251">
        <f>IFERROR(__xludf.DUMMYFUNCTION("""COMPUTED_VALUE"""),3.0)</f>
        <v>3</v>
      </c>
      <c r="I475" s="251">
        <f>IFERROR(__xludf.DUMMYFUNCTION("""COMPUTED_VALUE"""),7.0)</f>
        <v>7</v>
      </c>
      <c r="J475" s="251">
        <f>IFERROR(__xludf.DUMMYFUNCTION("""COMPUTED_VALUE"""),1.0)</f>
        <v>1</v>
      </c>
      <c r="K475" s="251" t="str">
        <f>IFERROR(__xludf.DUMMYFUNCTION("""COMPUTED_VALUE"""),"Small")</f>
        <v>Small</v>
      </c>
      <c r="L475" s="251">
        <f>IFERROR(__xludf.DUMMYFUNCTION("""COMPUTED_VALUE"""),1.0)</f>
        <v>1</v>
      </c>
      <c r="M475" s="251" t="str">
        <f>IFERROR(__xludf.DUMMYFUNCTION("""COMPUTED_VALUE"""),"Grasslands")</f>
        <v>Grasslands</v>
      </c>
      <c r="N475" s="251" t="str">
        <f>IFERROR(__xludf.DUMMYFUNCTION("""COMPUTED_VALUE"""),"Flier")</f>
        <v>Flier</v>
      </c>
      <c r="O475" s="251" t="str">
        <f>IFERROR(__xludf.DUMMYFUNCTION("""COMPUTED_VALUE"""),"--")</f>
        <v>--</v>
      </c>
      <c r="P475" s="251" t="str">
        <f>IFERROR(__xludf.DUMMYFUNCTION("""COMPUTED_VALUE"""),"--")</f>
        <v>--</v>
      </c>
      <c r="Q475" s="251" t="str">
        <f>IFERROR(__xludf.DUMMYFUNCTION("""COMPUTED_VALUE"""),"--")</f>
        <v>--</v>
      </c>
      <c r="R475" s="251" t="str">
        <f>IFERROR(__xludf.DUMMYFUNCTION("""COMPUTED_VALUE"""),"Underdog")</f>
        <v>Underdog</v>
      </c>
      <c r="S475" s="251" t="str">
        <f>IFERROR(__xludf.DUMMYFUNCTION("""COMPUTED_VALUE"""),"--")</f>
        <v>--</v>
      </c>
      <c r="T475" s="251" t="str">
        <f>IFERROR(__xludf.DUMMYFUNCTION("""COMPUTED_VALUE"""),"--")</f>
        <v>--</v>
      </c>
      <c r="U475" s="251" t="str">
        <f>IFERROR(__xludf.DUMMYFUNCTION("""COMPUTED_VALUE"""),"--")</f>
        <v>--</v>
      </c>
      <c r="V475" s="251" t="str">
        <f>IFERROR(__xludf.DUMMYFUNCTION("""COMPUTED_VALUE"""),"--")</f>
        <v>--</v>
      </c>
      <c r="W475" s="251" t="str">
        <f>IFERROR(__xludf.DUMMYFUNCTION("""COMPUTED_VALUE"""),"--")</f>
        <v>--</v>
      </c>
      <c r="X475" s="251" t="str">
        <f>IFERROR(__xludf.DUMMYFUNCTION("""COMPUTED_VALUE"""),"--")</f>
        <v>--</v>
      </c>
      <c r="Y475" s="251" t="str">
        <f>IFERROR(__xludf.DUMMYFUNCTION("""COMPUTED_VALUE"""),"--")</f>
        <v>--</v>
      </c>
      <c r="Z475" s="251" t="str">
        <f>IFERROR(__xludf.DUMMYFUNCTION("""COMPUTED_VALUE"""),"--")</f>
        <v>--</v>
      </c>
      <c r="AA475" s="251" t="str">
        <f>IFERROR(__xludf.DUMMYFUNCTION("""COMPUTED_VALUE"""),"--")</f>
        <v>--</v>
      </c>
      <c r="AB475" s="251" t="str">
        <f>IFERROR(__xludf.DUMMYFUNCTION("""COMPUTED_VALUE"""),"--")</f>
        <v>--</v>
      </c>
      <c r="AC475" s="251" t="str">
        <f>IFERROR(__xludf.DUMMYFUNCTION("""COMPUTED_VALUE"""),"--")</f>
        <v>--</v>
      </c>
      <c r="AD475" s="251">
        <f>IFERROR(__xludf.DUMMYFUNCTION("""COMPUTED_VALUE"""),1.0)</f>
        <v>1</v>
      </c>
      <c r="AE475" s="251" t="str">
        <f>IFERROR(__xludf.DUMMYFUNCTION("""COMPUTED_VALUE"""),"Herbivore")</f>
        <v>Herbivore</v>
      </c>
    </row>
    <row r="476">
      <c r="A476" s="251" t="str">
        <f>IFERROR(__xludf.DUMMYFUNCTION("""COMPUTED_VALUE"""),"Trumbeak")</f>
        <v>Trumbeak</v>
      </c>
      <c r="B476" s="251" t="str">
        <f>IFERROR(__xludf.DUMMYFUNCTION("""COMPUTED_VALUE"""),"Normal")</f>
        <v>Normal</v>
      </c>
      <c r="C476" s="251" t="str">
        <f>IFERROR(__xludf.DUMMYFUNCTION("""COMPUTED_VALUE"""),"Flying")</f>
        <v>Flying</v>
      </c>
      <c r="D476" s="251">
        <f>IFERROR(__xludf.DUMMYFUNCTION("""COMPUTED_VALUE"""),6.0)</f>
        <v>6</v>
      </c>
      <c r="E476" s="251">
        <f>IFERROR(__xludf.DUMMYFUNCTION("""COMPUTED_VALUE"""),9.0)</f>
        <v>9</v>
      </c>
      <c r="F476" s="251">
        <f>IFERROR(__xludf.DUMMYFUNCTION("""COMPUTED_VALUE"""),5.0)</f>
        <v>5</v>
      </c>
      <c r="G476" s="251">
        <f>IFERROR(__xludf.DUMMYFUNCTION("""COMPUTED_VALUE"""),4.0)</f>
        <v>4</v>
      </c>
      <c r="H476" s="251">
        <f>IFERROR(__xludf.DUMMYFUNCTION("""COMPUTED_VALUE"""),5.0)</f>
        <v>5</v>
      </c>
      <c r="I476" s="251">
        <f>IFERROR(__xludf.DUMMYFUNCTION("""COMPUTED_VALUE"""),8.0)</f>
        <v>8</v>
      </c>
      <c r="J476" s="251">
        <f>IFERROR(__xludf.DUMMYFUNCTION("""COMPUTED_VALUE"""),2.0)</f>
        <v>2</v>
      </c>
      <c r="K476" s="251" t="str">
        <f>IFERROR(__xludf.DUMMYFUNCTION("""COMPUTED_VALUE"""),"Small")</f>
        <v>Small</v>
      </c>
      <c r="L476" s="251">
        <f>IFERROR(__xludf.DUMMYFUNCTION("""COMPUTED_VALUE"""),2.0)</f>
        <v>2</v>
      </c>
      <c r="M476" s="251" t="str">
        <f>IFERROR(__xludf.DUMMYFUNCTION("""COMPUTED_VALUE"""),"Grasslands")</f>
        <v>Grasslands</v>
      </c>
      <c r="N476" s="251" t="str">
        <f>IFERROR(__xludf.DUMMYFUNCTION("""COMPUTED_VALUE"""),"Flier")</f>
        <v>Flier</v>
      </c>
      <c r="O476" s="251" t="str">
        <f>IFERROR(__xludf.DUMMYFUNCTION("""COMPUTED_VALUE"""),"--")</f>
        <v>--</v>
      </c>
      <c r="P476" s="251" t="str">
        <f>IFERROR(__xludf.DUMMYFUNCTION("""COMPUTED_VALUE"""),"--")</f>
        <v>--</v>
      </c>
      <c r="Q476" s="251" t="str">
        <f>IFERROR(__xludf.DUMMYFUNCTION("""COMPUTED_VALUE"""),"--")</f>
        <v>--</v>
      </c>
      <c r="R476" s="251" t="str">
        <f>IFERROR(__xludf.DUMMYFUNCTION("""COMPUTED_VALUE"""),"Underdog")</f>
        <v>Underdog</v>
      </c>
      <c r="S476" s="251" t="str">
        <f>IFERROR(__xludf.DUMMYFUNCTION("""COMPUTED_VALUE"""),"--")</f>
        <v>--</v>
      </c>
      <c r="T476" s="251" t="str">
        <f>IFERROR(__xludf.DUMMYFUNCTION("""COMPUTED_VALUE"""),"--")</f>
        <v>--</v>
      </c>
      <c r="U476" s="251" t="str">
        <f>IFERROR(__xludf.DUMMYFUNCTION("""COMPUTED_VALUE"""),"--")</f>
        <v>--</v>
      </c>
      <c r="V476" s="251" t="str">
        <f>IFERROR(__xludf.DUMMYFUNCTION("""COMPUTED_VALUE"""),"--")</f>
        <v>--</v>
      </c>
      <c r="W476" s="251" t="str">
        <f>IFERROR(__xludf.DUMMYFUNCTION("""COMPUTED_VALUE"""),"--")</f>
        <v>--</v>
      </c>
      <c r="X476" s="251" t="str">
        <f>IFERROR(__xludf.DUMMYFUNCTION("""COMPUTED_VALUE"""),"--")</f>
        <v>--</v>
      </c>
      <c r="Y476" s="251" t="str">
        <f>IFERROR(__xludf.DUMMYFUNCTION("""COMPUTED_VALUE"""),"--")</f>
        <v>--</v>
      </c>
      <c r="Z476" s="251" t="str">
        <f>IFERROR(__xludf.DUMMYFUNCTION("""COMPUTED_VALUE"""),"--")</f>
        <v>--</v>
      </c>
      <c r="AA476" s="251" t="str">
        <f>IFERROR(__xludf.DUMMYFUNCTION("""COMPUTED_VALUE"""),"--")</f>
        <v>--</v>
      </c>
      <c r="AB476" s="251" t="str">
        <f>IFERROR(__xludf.DUMMYFUNCTION("""COMPUTED_VALUE"""),"--")</f>
        <v>--</v>
      </c>
      <c r="AC476" s="251" t="str">
        <f>IFERROR(__xludf.DUMMYFUNCTION("""COMPUTED_VALUE"""),"--")</f>
        <v>--</v>
      </c>
      <c r="AD476" s="251">
        <f>IFERROR(__xludf.DUMMYFUNCTION("""COMPUTED_VALUE"""),2.0)</f>
        <v>2</v>
      </c>
      <c r="AE476" s="251" t="str">
        <f>IFERROR(__xludf.DUMMYFUNCTION("""COMPUTED_VALUE"""),"Herbivore")</f>
        <v>Herbivore</v>
      </c>
    </row>
    <row r="477">
      <c r="A477" s="251" t="str">
        <f>IFERROR(__xludf.DUMMYFUNCTION("""COMPUTED_VALUE"""),"Toucannon")</f>
        <v>Toucannon</v>
      </c>
      <c r="B477" s="251" t="str">
        <f>IFERROR(__xludf.DUMMYFUNCTION("""COMPUTED_VALUE"""),"Normal")</f>
        <v>Normal</v>
      </c>
      <c r="C477" s="251" t="str">
        <f>IFERROR(__xludf.DUMMYFUNCTION("""COMPUTED_VALUE"""),"Flying")</f>
        <v>Flying</v>
      </c>
      <c r="D477" s="251">
        <f>IFERROR(__xludf.DUMMYFUNCTION("""COMPUTED_VALUE"""),8.0)</f>
        <v>8</v>
      </c>
      <c r="E477" s="251">
        <f>IFERROR(__xludf.DUMMYFUNCTION("""COMPUTED_VALUE"""),12.0)</f>
        <v>12</v>
      </c>
      <c r="F477" s="251">
        <f>IFERROR(__xludf.DUMMYFUNCTION("""COMPUTED_VALUE"""),8.0)</f>
        <v>8</v>
      </c>
      <c r="G477" s="251">
        <f>IFERROR(__xludf.DUMMYFUNCTION("""COMPUTED_VALUE"""),8.0)</f>
        <v>8</v>
      </c>
      <c r="H477" s="251">
        <f>IFERROR(__xludf.DUMMYFUNCTION("""COMPUTED_VALUE"""),8.0)</f>
        <v>8</v>
      </c>
      <c r="I477" s="251">
        <f>IFERROR(__xludf.DUMMYFUNCTION("""COMPUTED_VALUE"""),7.0)</f>
        <v>7</v>
      </c>
      <c r="J477" s="251">
        <f>IFERROR(__xludf.DUMMYFUNCTION("""COMPUTED_VALUE"""),4.0)</f>
        <v>4</v>
      </c>
      <c r="K477" s="251" t="str">
        <f>IFERROR(__xludf.DUMMYFUNCTION("""COMPUTED_VALUE"""),"Medium")</f>
        <v>Medium</v>
      </c>
      <c r="L477" s="251">
        <f>IFERROR(__xludf.DUMMYFUNCTION("""COMPUTED_VALUE"""),3.0)</f>
        <v>3</v>
      </c>
      <c r="M477" s="251" t="str">
        <f>IFERROR(__xludf.DUMMYFUNCTION("""COMPUTED_VALUE"""),"Grasslands")</f>
        <v>Grasslands</v>
      </c>
      <c r="N477" s="251" t="str">
        <f>IFERROR(__xludf.DUMMYFUNCTION("""COMPUTED_VALUE"""),"Flier")</f>
        <v>Flier</v>
      </c>
      <c r="O477" s="251" t="str">
        <f>IFERROR(__xludf.DUMMYFUNCTION("""COMPUTED_VALUE"""),"--")</f>
        <v>--</v>
      </c>
      <c r="P477" s="251" t="str">
        <f>IFERROR(__xludf.DUMMYFUNCTION("""COMPUTED_VALUE"""),"--")</f>
        <v>--</v>
      </c>
      <c r="Q477" s="251" t="str">
        <f>IFERROR(__xludf.DUMMYFUNCTION("""COMPUTED_VALUE"""),"--")</f>
        <v>--</v>
      </c>
      <c r="R477" s="251" t="str">
        <f>IFERROR(__xludf.DUMMYFUNCTION("""COMPUTED_VALUE"""),"--")</f>
        <v>--</v>
      </c>
      <c r="S477" s="251" t="str">
        <f>IFERROR(__xludf.DUMMYFUNCTION("""COMPUTED_VALUE"""),"--")</f>
        <v>--</v>
      </c>
      <c r="T477" s="251" t="str">
        <f>IFERROR(__xludf.DUMMYFUNCTION("""COMPUTED_VALUE"""),"--")</f>
        <v>--</v>
      </c>
      <c r="U477" s="251" t="str">
        <f>IFERROR(__xludf.DUMMYFUNCTION("""COMPUTED_VALUE"""),"--")</f>
        <v>--</v>
      </c>
      <c r="V477" s="251" t="str">
        <f>IFERROR(__xludf.DUMMYFUNCTION("""COMPUTED_VALUE"""),"--")</f>
        <v>--</v>
      </c>
      <c r="W477" s="251" t="str">
        <f>IFERROR(__xludf.DUMMYFUNCTION("""COMPUTED_VALUE"""),"--")</f>
        <v>--</v>
      </c>
      <c r="X477" s="251" t="str">
        <f>IFERROR(__xludf.DUMMYFUNCTION("""COMPUTED_VALUE"""),"--")</f>
        <v>--</v>
      </c>
      <c r="Y477" s="251" t="str">
        <f>IFERROR(__xludf.DUMMYFUNCTION("""COMPUTED_VALUE"""),"--")</f>
        <v>--</v>
      </c>
      <c r="Z477" s="251" t="str">
        <f>IFERROR(__xludf.DUMMYFUNCTION("""COMPUTED_VALUE"""),"--")</f>
        <v>--</v>
      </c>
      <c r="AA477" s="251" t="str">
        <f>IFERROR(__xludf.DUMMYFUNCTION("""COMPUTED_VALUE"""),"--")</f>
        <v>--</v>
      </c>
      <c r="AB477" s="251" t="str">
        <f>IFERROR(__xludf.DUMMYFUNCTION("""COMPUTED_VALUE"""),"--")</f>
        <v>--</v>
      </c>
      <c r="AC477" s="251" t="str">
        <f>IFERROR(__xludf.DUMMYFUNCTION("""COMPUTED_VALUE"""),"--")</f>
        <v>--</v>
      </c>
      <c r="AD477" s="251">
        <f>IFERROR(__xludf.DUMMYFUNCTION("""COMPUTED_VALUE"""),3.0)</f>
        <v>3</v>
      </c>
      <c r="AE477" s="251" t="str">
        <f>IFERROR(__xludf.DUMMYFUNCTION("""COMPUTED_VALUE"""),"Herbivore")</f>
        <v>Herbivore</v>
      </c>
    </row>
    <row r="478">
      <c r="A478" s="251" t="str">
        <f>IFERROR(__xludf.DUMMYFUNCTION("""COMPUTED_VALUE"""),"Nidoran F")</f>
        <v>Nidoran F</v>
      </c>
      <c r="B478" s="251" t="str">
        <f>IFERROR(__xludf.DUMMYFUNCTION("""COMPUTED_VALUE"""),"Poison")</f>
        <v>Poison</v>
      </c>
      <c r="C478" s="251" t="str">
        <f>IFERROR(__xludf.DUMMYFUNCTION("""COMPUTED_VALUE"""),"None")</f>
        <v>None</v>
      </c>
      <c r="D478" s="251">
        <f>IFERROR(__xludf.DUMMYFUNCTION("""COMPUTED_VALUE"""),6.0)</f>
        <v>6</v>
      </c>
      <c r="E478" s="251">
        <f>IFERROR(__xludf.DUMMYFUNCTION("""COMPUTED_VALUE"""),5.0)</f>
        <v>5</v>
      </c>
      <c r="F478" s="251">
        <f>IFERROR(__xludf.DUMMYFUNCTION("""COMPUTED_VALUE"""),5.0)</f>
        <v>5</v>
      </c>
      <c r="G478" s="251">
        <f>IFERROR(__xludf.DUMMYFUNCTION("""COMPUTED_VALUE"""),5.0)</f>
        <v>5</v>
      </c>
      <c r="H478" s="251">
        <f>IFERROR(__xludf.DUMMYFUNCTION("""COMPUTED_VALUE"""),5.0)</f>
        <v>5</v>
      </c>
      <c r="I478" s="251">
        <f>IFERROR(__xludf.DUMMYFUNCTION("""COMPUTED_VALUE"""),4.0)</f>
        <v>4</v>
      </c>
      <c r="J478" s="251">
        <f>IFERROR(__xludf.DUMMYFUNCTION("""COMPUTED_VALUE"""),2.0)</f>
        <v>2</v>
      </c>
      <c r="K478" s="251" t="str">
        <f>IFERROR(__xludf.DUMMYFUNCTION("""COMPUTED_VALUE"""),"Small")</f>
        <v>Small</v>
      </c>
      <c r="L478" s="251">
        <f>IFERROR(__xludf.DUMMYFUNCTION("""COMPUTED_VALUE"""),1.0)</f>
        <v>1</v>
      </c>
      <c r="M478" s="251" t="str">
        <f>IFERROR(__xludf.DUMMYFUNCTION("""COMPUTED_VALUE"""),"Grasslands")</f>
        <v>Grasslands</v>
      </c>
      <c r="N478" s="251" t="str">
        <f>IFERROR(__xludf.DUMMYFUNCTION("""COMPUTED_VALUE"""),"--")</f>
        <v>--</v>
      </c>
      <c r="O478" s="251" t="str">
        <f>IFERROR(__xludf.DUMMYFUNCTION("""COMPUTED_VALUE"""),"--")</f>
        <v>--</v>
      </c>
      <c r="P478" s="251" t="str">
        <f>IFERROR(__xludf.DUMMYFUNCTION("""COMPUTED_VALUE"""),"--")</f>
        <v>--</v>
      </c>
      <c r="Q478" s="251" t="str">
        <f>IFERROR(__xludf.DUMMYFUNCTION("""COMPUTED_VALUE"""),"--")</f>
        <v>--</v>
      </c>
      <c r="R478" s="251" t="str">
        <f>IFERROR(__xludf.DUMMYFUNCTION("""COMPUTED_VALUE"""),"Underdog")</f>
        <v>Underdog</v>
      </c>
      <c r="S478" s="251" t="str">
        <f>IFERROR(__xludf.DUMMYFUNCTION("""COMPUTED_VALUE"""),"--")</f>
        <v>--</v>
      </c>
      <c r="T478" s="251" t="str">
        <f>IFERROR(__xludf.DUMMYFUNCTION("""COMPUTED_VALUE"""),"--")</f>
        <v>--</v>
      </c>
      <c r="U478" s="251" t="str">
        <f>IFERROR(__xludf.DUMMYFUNCTION("""COMPUTED_VALUE"""),"--")</f>
        <v>--</v>
      </c>
      <c r="V478" s="251" t="str">
        <f>IFERROR(__xludf.DUMMYFUNCTION("""COMPUTED_VALUE"""),"--")</f>
        <v>--</v>
      </c>
      <c r="W478" s="251" t="str">
        <f>IFERROR(__xludf.DUMMYFUNCTION("""COMPUTED_VALUE"""),"--")</f>
        <v>--</v>
      </c>
      <c r="X478" s="251" t="str">
        <f>IFERROR(__xludf.DUMMYFUNCTION("""COMPUTED_VALUE"""),"--")</f>
        <v>--</v>
      </c>
      <c r="Y478" s="251" t="str">
        <f>IFERROR(__xludf.DUMMYFUNCTION("""COMPUTED_VALUE"""),"--")</f>
        <v>--</v>
      </c>
      <c r="Z478" s="251" t="str">
        <f>IFERROR(__xludf.DUMMYFUNCTION("""COMPUTED_VALUE"""),"--")</f>
        <v>--</v>
      </c>
      <c r="AA478" s="251" t="str">
        <f>IFERROR(__xludf.DUMMYFUNCTION("""COMPUTED_VALUE"""),"--")</f>
        <v>--</v>
      </c>
      <c r="AB478" s="251" t="str">
        <f>IFERROR(__xludf.DUMMYFUNCTION("""COMPUTED_VALUE"""),"--")</f>
        <v>--</v>
      </c>
      <c r="AC478" s="251" t="str">
        <f>IFERROR(__xludf.DUMMYFUNCTION("""COMPUTED_VALUE"""),"--")</f>
        <v>--</v>
      </c>
      <c r="AD478" s="251">
        <f>IFERROR(__xludf.DUMMYFUNCTION("""COMPUTED_VALUE"""),1.0)</f>
        <v>1</v>
      </c>
      <c r="AE478" s="251" t="str">
        <f>IFERROR(__xludf.DUMMYFUNCTION("""COMPUTED_VALUE"""),"Herbivore")</f>
        <v>Herbivore</v>
      </c>
    </row>
    <row r="479">
      <c r="A479" s="251" t="str">
        <f>IFERROR(__xludf.DUMMYFUNCTION("""COMPUTED_VALUE"""),"Nidorina")</f>
        <v>Nidorina</v>
      </c>
      <c r="B479" s="251" t="str">
        <f>IFERROR(__xludf.DUMMYFUNCTION("""COMPUTED_VALUE"""),"Poison")</f>
        <v>Poison</v>
      </c>
      <c r="C479" s="251" t="str">
        <f>IFERROR(__xludf.DUMMYFUNCTION("""COMPUTED_VALUE"""),"None")</f>
        <v>None</v>
      </c>
      <c r="D479" s="251">
        <f>IFERROR(__xludf.DUMMYFUNCTION("""COMPUTED_VALUE"""),7.0)</f>
        <v>7</v>
      </c>
      <c r="E479" s="251">
        <f>IFERROR(__xludf.DUMMYFUNCTION("""COMPUTED_VALUE"""),6.0)</f>
        <v>6</v>
      </c>
      <c r="F479" s="251">
        <f>IFERROR(__xludf.DUMMYFUNCTION("""COMPUTED_VALUE"""),7.0)</f>
        <v>7</v>
      </c>
      <c r="G479" s="251">
        <f>IFERROR(__xludf.DUMMYFUNCTION("""COMPUTED_VALUE"""),6.0)</f>
        <v>6</v>
      </c>
      <c r="H479" s="251">
        <f>IFERROR(__xludf.DUMMYFUNCTION("""COMPUTED_VALUE"""),6.0)</f>
        <v>6</v>
      </c>
      <c r="I479" s="251">
        <f>IFERROR(__xludf.DUMMYFUNCTION("""COMPUTED_VALUE"""),6.0)</f>
        <v>6</v>
      </c>
      <c r="J479" s="251">
        <f>IFERROR(__xludf.DUMMYFUNCTION("""COMPUTED_VALUE"""),5.0)</f>
        <v>5</v>
      </c>
      <c r="K479" s="251" t="str">
        <f>IFERROR(__xludf.DUMMYFUNCTION("""COMPUTED_VALUE"""),"Small")</f>
        <v>Small</v>
      </c>
      <c r="L479" s="251">
        <f>IFERROR(__xludf.DUMMYFUNCTION("""COMPUTED_VALUE"""),2.0)</f>
        <v>2</v>
      </c>
      <c r="M479" s="251" t="str">
        <f>IFERROR(__xludf.DUMMYFUNCTION("""COMPUTED_VALUE"""),"Grasslands")</f>
        <v>Grasslands</v>
      </c>
      <c r="N479" s="251" t="str">
        <f>IFERROR(__xludf.DUMMYFUNCTION("""COMPUTED_VALUE"""),"--")</f>
        <v>--</v>
      </c>
      <c r="O479" s="251" t="str">
        <f>IFERROR(__xludf.DUMMYFUNCTION("""COMPUTED_VALUE"""),"--")</f>
        <v>--</v>
      </c>
      <c r="P479" s="251" t="str">
        <f>IFERROR(__xludf.DUMMYFUNCTION("""COMPUTED_VALUE"""),"--")</f>
        <v>--</v>
      </c>
      <c r="Q479" s="251" t="str">
        <f>IFERROR(__xludf.DUMMYFUNCTION("""COMPUTED_VALUE"""),"--")</f>
        <v>--</v>
      </c>
      <c r="R479" s="251" t="str">
        <f>IFERROR(__xludf.DUMMYFUNCTION("""COMPUTED_VALUE"""),"Underdog")</f>
        <v>Underdog</v>
      </c>
      <c r="S479" s="251" t="str">
        <f>IFERROR(__xludf.DUMMYFUNCTION("""COMPUTED_VALUE"""),"--")</f>
        <v>--</v>
      </c>
      <c r="T479" s="251" t="str">
        <f>IFERROR(__xludf.DUMMYFUNCTION("""COMPUTED_VALUE"""),"--")</f>
        <v>--</v>
      </c>
      <c r="U479" s="251" t="str">
        <f>IFERROR(__xludf.DUMMYFUNCTION("""COMPUTED_VALUE"""),"--")</f>
        <v>--</v>
      </c>
      <c r="V479" s="251" t="str">
        <f>IFERROR(__xludf.DUMMYFUNCTION("""COMPUTED_VALUE"""),"--")</f>
        <v>--</v>
      </c>
      <c r="W479" s="251" t="str">
        <f>IFERROR(__xludf.DUMMYFUNCTION("""COMPUTED_VALUE"""),"--")</f>
        <v>--</v>
      </c>
      <c r="X479" s="251" t="str">
        <f>IFERROR(__xludf.DUMMYFUNCTION("""COMPUTED_VALUE"""),"--")</f>
        <v>--</v>
      </c>
      <c r="Y479" s="251" t="str">
        <f>IFERROR(__xludf.DUMMYFUNCTION("""COMPUTED_VALUE"""),"--")</f>
        <v>--</v>
      </c>
      <c r="Z479" s="251" t="str">
        <f>IFERROR(__xludf.DUMMYFUNCTION("""COMPUTED_VALUE"""),"--")</f>
        <v>--</v>
      </c>
      <c r="AA479" s="251" t="str">
        <f>IFERROR(__xludf.DUMMYFUNCTION("""COMPUTED_VALUE"""),"--")</f>
        <v>--</v>
      </c>
      <c r="AB479" s="251" t="str">
        <f>IFERROR(__xludf.DUMMYFUNCTION("""COMPUTED_VALUE"""),"--")</f>
        <v>--</v>
      </c>
      <c r="AC479" s="251" t="str">
        <f>IFERROR(__xludf.DUMMYFUNCTION("""COMPUTED_VALUE"""),"--")</f>
        <v>--</v>
      </c>
      <c r="AD479" s="251">
        <f>IFERROR(__xludf.DUMMYFUNCTION("""COMPUTED_VALUE"""),2.0)</f>
        <v>2</v>
      </c>
      <c r="AE479" s="251" t="str">
        <f>IFERROR(__xludf.DUMMYFUNCTION("""COMPUTED_VALUE"""),"Herbivore")</f>
        <v>Herbivore</v>
      </c>
    </row>
    <row r="480">
      <c r="A480" s="251" t="str">
        <f>IFERROR(__xludf.DUMMYFUNCTION("""COMPUTED_VALUE"""),"Nidoqueen")</f>
        <v>Nidoqueen</v>
      </c>
      <c r="B480" s="251" t="str">
        <f>IFERROR(__xludf.DUMMYFUNCTION("""COMPUTED_VALUE"""),"Poison")</f>
        <v>Poison</v>
      </c>
      <c r="C480" s="251" t="str">
        <f>IFERROR(__xludf.DUMMYFUNCTION("""COMPUTED_VALUE"""),"Ground")</f>
        <v>Ground</v>
      </c>
      <c r="D480" s="251">
        <f>IFERROR(__xludf.DUMMYFUNCTION("""COMPUTED_VALUE"""),9.0)</f>
        <v>9</v>
      </c>
      <c r="E480" s="251">
        <f>IFERROR(__xludf.DUMMYFUNCTION("""COMPUTED_VALUE"""),9.0)</f>
        <v>9</v>
      </c>
      <c r="F480" s="251">
        <f>IFERROR(__xludf.DUMMYFUNCTION("""COMPUTED_VALUE"""),9.0)</f>
        <v>9</v>
      </c>
      <c r="G480" s="251">
        <f>IFERROR(__xludf.DUMMYFUNCTION("""COMPUTED_VALUE"""),8.0)</f>
        <v>8</v>
      </c>
      <c r="H480" s="251">
        <f>IFERROR(__xludf.DUMMYFUNCTION("""COMPUTED_VALUE"""),9.0)</f>
        <v>9</v>
      </c>
      <c r="I480" s="251">
        <f>IFERROR(__xludf.DUMMYFUNCTION("""COMPUTED_VALUE"""),8.0)</f>
        <v>8</v>
      </c>
      <c r="J480" s="251">
        <f>IFERROR(__xludf.DUMMYFUNCTION("""COMPUTED_VALUE"""),8.0)</f>
        <v>8</v>
      </c>
      <c r="K480" s="251" t="str">
        <f>IFERROR(__xludf.DUMMYFUNCTION("""COMPUTED_VALUE"""),"Medium")</f>
        <v>Medium</v>
      </c>
      <c r="L480" s="251">
        <f>IFERROR(__xludf.DUMMYFUNCTION("""COMPUTED_VALUE"""),4.0)</f>
        <v>4</v>
      </c>
      <c r="M480" s="251" t="str">
        <f>IFERROR(__xludf.DUMMYFUNCTION("""COMPUTED_VALUE"""),"Grasslands")</f>
        <v>Grasslands</v>
      </c>
      <c r="N480" s="251" t="str">
        <f>IFERROR(__xludf.DUMMYFUNCTION("""COMPUTED_VALUE"""),"--")</f>
        <v>--</v>
      </c>
      <c r="O480" s="251" t="str">
        <f>IFERROR(__xludf.DUMMYFUNCTION("""COMPUTED_VALUE"""),"--")</f>
        <v>--</v>
      </c>
      <c r="P480" s="251" t="str">
        <f>IFERROR(__xludf.DUMMYFUNCTION("""COMPUTED_VALUE"""),"--")</f>
        <v>--</v>
      </c>
      <c r="Q480" s="251" t="str">
        <f>IFERROR(__xludf.DUMMYFUNCTION("""COMPUTED_VALUE"""),"--")</f>
        <v>--</v>
      </c>
      <c r="R480" s="251" t="str">
        <f>IFERROR(__xludf.DUMMYFUNCTION("""COMPUTED_VALUE"""),"Groundshaper")</f>
        <v>Groundshaper</v>
      </c>
      <c r="S480" s="251" t="str">
        <f>IFERROR(__xludf.DUMMYFUNCTION("""COMPUTED_VALUE"""),"Mountable")</f>
        <v>Mountable</v>
      </c>
      <c r="T480" s="251" t="str">
        <f>IFERROR(__xludf.DUMMYFUNCTION("""COMPUTED_VALUE"""),"--")</f>
        <v>--</v>
      </c>
      <c r="U480" s="251" t="str">
        <f>IFERROR(__xludf.DUMMYFUNCTION("""COMPUTED_VALUE"""),"--")</f>
        <v>--</v>
      </c>
      <c r="V480" s="251" t="str">
        <f>IFERROR(__xludf.DUMMYFUNCTION("""COMPUTED_VALUE"""),"Pack Mon")</f>
        <v>Pack Mon</v>
      </c>
      <c r="W480" s="251" t="str">
        <f>IFERROR(__xludf.DUMMYFUNCTION("""COMPUTED_VALUE"""),"--")</f>
        <v>--</v>
      </c>
      <c r="X480" s="251" t="str">
        <f>IFERROR(__xludf.DUMMYFUNCTION("""COMPUTED_VALUE"""),"--")</f>
        <v>--</v>
      </c>
      <c r="Y480" s="251" t="str">
        <f>IFERROR(__xludf.DUMMYFUNCTION("""COMPUTED_VALUE"""),"--")</f>
        <v>--</v>
      </c>
      <c r="Z480" s="251" t="str">
        <f>IFERROR(__xludf.DUMMYFUNCTION("""COMPUTED_VALUE"""),"--")</f>
        <v>--</v>
      </c>
      <c r="AA480" s="251" t="str">
        <f>IFERROR(__xludf.DUMMYFUNCTION("""COMPUTED_VALUE"""),"--")</f>
        <v>--</v>
      </c>
      <c r="AB480" s="251" t="str">
        <f>IFERROR(__xludf.DUMMYFUNCTION("""COMPUTED_VALUE"""),"--")</f>
        <v>--</v>
      </c>
      <c r="AC480" s="251" t="str">
        <f>IFERROR(__xludf.DUMMYFUNCTION("""COMPUTED_VALUE"""),"--")</f>
        <v>--</v>
      </c>
      <c r="AD480" s="251">
        <f>IFERROR(__xludf.DUMMYFUNCTION("""COMPUTED_VALUE"""),3.0)</f>
        <v>3</v>
      </c>
      <c r="AE480" s="251" t="str">
        <f>IFERROR(__xludf.DUMMYFUNCTION("""COMPUTED_VALUE"""),"Omnivore")</f>
        <v>Omnivore</v>
      </c>
    </row>
    <row r="481">
      <c r="A481" s="251" t="str">
        <f>IFERROR(__xludf.DUMMYFUNCTION("""COMPUTED_VALUE"""),"Nidoran M")</f>
        <v>Nidoran M</v>
      </c>
      <c r="B481" s="251" t="str">
        <f>IFERROR(__xludf.DUMMYFUNCTION("""COMPUTED_VALUE"""),"Poison")</f>
        <v>Poison</v>
      </c>
      <c r="C481" s="251" t="str">
        <f>IFERROR(__xludf.DUMMYFUNCTION("""COMPUTED_VALUE"""),"None")</f>
        <v>None</v>
      </c>
      <c r="D481" s="251">
        <f>IFERROR(__xludf.DUMMYFUNCTION("""COMPUTED_VALUE"""),5.0)</f>
        <v>5</v>
      </c>
      <c r="E481" s="251">
        <f>IFERROR(__xludf.DUMMYFUNCTION("""COMPUTED_VALUE"""),6.0)</f>
        <v>6</v>
      </c>
      <c r="F481" s="251">
        <f>IFERROR(__xludf.DUMMYFUNCTION("""COMPUTED_VALUE"""),4.0)</f>
        <v>4</v>
      </c>
      <c r="G481" s="251">
        <f>IFERROR(__xludf.DUMMYFUNCTION("""COMPUTED_VALUE"""),5.0)</f>
        <v>5</v>
      </c>
      <c r="H481" s="251">
        <f>IFERROR(__xludf.DUMMYFUNCTION("""COMPUTED_VALUE"""),4.0)</f>
        <v>4</v>
      </c>
      <c r="I481" s="251">
        <f>IFERROR(__xludf.DUMMYFUNCTION("""COMPUTED_VALUE"""),6.0)</f>
        <v>6</v>
      </c>
      <c r="J481" s="251">
        <f>IFERROR(__xludf.DUMMYFUNCTION("""COMPUTED_VALUE"""),2.0)</f>
        <v>2</v>
      </c>
      <c r="K481" s="251" t="str">
        <f>IFERROR(__xludf.DUMMYFUNCTION("""COMPUTED_VALUE"""),"Small")</f>
        <v>Small</v>
      </c>
      <c r="L481" s="251">
        <f>IFERROR(__xludf.DUMMYFUNCTION("""COMPUTED_VALUE"""),1.0)</f>
        <v>1</v>
      </c>
      <c r="M481" s="251" t="str">
        <f>IFERROR(__xludf.DUMMYFUNCTION("""COMPUTED_VALUE"""),"Grasslands")</f>
        <v>Grasslands</v>
      </c>
      <c r="N481" s="251" t="str">
        <f>IFERROR(__xludf.DUMMYFUNCTION("""COMPUTED_VALUE"""),"--")</f>
        <v>--</v>
      </c>
      <c r="O481" s="251" t="str">
        <f>IFERROR(__xludf.DUMMYFUNCTION("""COMPUTED_VALUE"""),"--")</f>
        <v>--</v>
      </c>
      <c r="P481" s="251" t="str">
        <f>IFERROR(__xludf.DUMMYFUNCTION("""COMPUTED_VALUE"""),"--")</f>
        <v>--</v>
      </c>
      <c r="Q481" s="251" t="str">
        <f>IFERROR(__xludf.DUMMYFUNCTION("""COMPUTED_VALUE"""),"--")</f>
        <v>--</v>
      </c>
      <c r="R481" s="251" t="str">
        <f>IFERROR(__xludf.DUMMYFUNCTION("""COMPUTED_VALUE"""),"Underdog")</f>
        <v>Underdog</v>
      </c>
      <c r="S481" s="251" t="str">
        <f>IFERROR(__xludf.DUMMYFUNCTION("""COMPUTED_VALUE"""),"--")</f>
        <v>--</v>
      </c>
      <c r="T481" s="251" t="str">
        <f>IFERROR(__xludf.DUMMYFUNCTION("""COMPUTED_VALUE"""),"--")</f>
        <v>--</v>
      </c>
      <c r="U481" s="251" t="str">
        <f>IFERROR(__xludf.DUMMYFUNCTION("""COMPUTED_VALUE"""),"--")</f>
        <v>--</v>
      </c>
      <c r="V481" s="251" t="str">
        <f>IFERROR(__xludf.DUMMYFUNCTION("""COMPUTED_VALUE"""),"--")</f>
        <v>--</v>
      </c>
      <c r="W481" s="251" t="str">
        <f>IFERROR(__xludf.DUMMYFUNCTION("""COMPUTED_VALUE"""),"--")</f>
        <v>--</v>
      </c>
      <c r="X481" s="251" t="str">
        <f>IFERROR(__xludf.DUMMYFUNCTION("""COMPUTED_VALUE"""),"--")</f>
        <v>--</v>
      </c>
      <c r="Y481" s="251" t="str">
        <f>IFERROR(__xludf.DUMMYFUNCTION("""COMPUTED_VALUE"""),"--")</f>
        <v>--</v>
      </c>
      <c r="Z481" s="251" t="str">
        <f>IFERROR(__xludf.DUMMYFUNCTION("""COMPUTED_VALUE"""),"--")</f>
        <v>--</v>
      </c>
      <c r="AA481" s="251" t="str">
        <f>IFERROR(__xludf.DUMMYFUNCTION("""COMPUTED_VALUE"""),"--")</f>
        <v>--</v>
      </c>
      <c r="AB481" s="251" t="str">
        <f>IFERROR(__xludf.DUMMYFUNCTION("""COMPUTED_VALUE"""),"--")</f>
        <v>--</v>
      </c>
      <c r="AC481" s="251" t="str">
        <f>IFERROR(__xludf.DUMMYFUNCTION("""COMPUTED_VALUE"""),"--")</f>
        <v>--</v>
      </c>
      <c r="AD481" s="251">
        <f>IFERROR(__xludf.DUMMYFUNCTION("""COMPUTED_VALUE"""),1.0)</f>
        <v>1</v>
      </c>
      <c r="AE481" s="251" t="str">
        <f>IFERROR(__xludf.DUMMYFUNCTION("""COMPUTED_VALUE"""),"Herbivore")</f>
        <v>Herbivore</v>
      </c>
    </row>
    <row r="482">
      <c r="A482" s="251" t="str">
        <f>IFERROR(__xludf.DUMMYFUNCTION("""COMPUTED_VALUE"""),"Nidorino")</f>
        <v>Nidorino</v>
      </c>
      <c r="B482" s="251" t="str">
        <f>IFERROR(__xludf.DUMMYFUNCTION("""COMPUTED_VALUE"""),"Poison")</f>
        <v>Poison</v>
      </c>
      <c r="C482" s="251" t="str">
        <f>IFERROR(__xludf.DUMMYFUNCTION("""COMPUTED_VALUE"""),"None")</f>
        <v>None</v>
      </c>
      <c r="D482" s="251">
        <f>IFERROR(__xludf.DUMMYFUNCTION("""COMPUTED_VALUE"""),6.0)</f>
        <v>6</v>
      </c>
      <c r="E482" s="251">
        <f>IFERROR(__xludf.DUMMYFUNCTION("""COMPUTED_VALUE"""),7.0)</f>
        <v>7</v>
      </c>
      <c r="F482" s="251">
        <f>IFERROR(__xludf.DUMMYFUNCTION("""COMPUTED_VALUE"""),6.0)</f>
        <v>6</v>
      </c>
      <c r="G482" s="251">
        <f>IFERROR(__xludf.DUMMYFUNCTION("""COMPUTED_VALUE"""),6.0)</f>
        <v>6</v>
      </c>
      <c r="H482" s="251">
        <f>IFERROR(__xludf.DUMMYFUNCTION("""COMPUTED_VALUE"""),6.0)</f>
        <v>6</v>
      </c>
      <c r="I482" s="251">
        <f>IFERROR(__xludf.DUMMYFUNCTION("""COMPUTED_VALUE"""),7.0)</f>
        <v>7</v>
      </c>
      <c r="J482" s="251">
        <f>IFERROR(__xludf.DUMMYFUNCTION("""COMPUTED_VALUE"""),5.0)</f>
        <v>5</v>
      </c>
      <c r="K482" s="251" t="str">
        <f>IFERROR(__xludf.DUMMYFUNCTION("""COMPUTED_VALUE"""),"Small")</f>
        <v>Small</v>
      </c>
      <c r="L482" s="251">
        <f>IFERROR(__xludf.DUMMYFUNCTION("""COMPUTED_VALUE"""),2.0)</f>
        <v>2</v>
      </c>
      <c r="M482" s="251" t="str">
        <f>IFERROR(__xludf.DUMMYFUNCTION("""COMPUTED_VALUE"""),"Grasslands")</f>
        <v>Grasslands</v>
      </c>
      <c r="N482" s="251" t="str">
        <f>IFERROR(__xludf.DUMMYFUNCTION("""COMPUTED_VALUE"""),"--")</f>
        <v>--</v>
      </c>
      <c r="O482" s="251" t="str">
        <f>IFERROR(__xludf.DUMMYFUNCTION("""COMPUTED_VALUE"""),"--")</f>
        <v>--</v>
      </c>
      <c r="P482" s="251" t="str">
        <f>IFERROR(__xludf.DUMMYFUNCTION("""COMPUTED_VALUE"""),"--")</f>
        <v>--</v>
      </c>
      <c r="Q482" s="251" t="str">
        <f>IFERROR(__xludf.DUMMYFUNCTION("""COMPUTED_VALUE"""),"--")</f>
        <v>--</v>
      </c>
      <c r="R482" s="251" t="str">
        <f>IFERROR(__xludf.DUMMYFUNCTION("""COMPUTED_VALUE"""),"Underdog")</f>
        <v>Underdog</v>
      </c>
      <c r="S482" s="251" t="str">
        <f>IFERROR(__xludf.DUMMYFUNCTION("""COMPUTED_VALUE"""),"--")</f>
        <v>--</v>
      </c>
      <c r="T482" s="251" t="str">
        <f>IFERROR(__xludf.DUMMYFUNCTION("""COMPUTED_VALUE"""),"--")</f>
        <v>--</v>
      </c>
      <c r="U482" s="251" t="str">
        <f>IFERROR(__xludf.DUMMYFUNCTION("""COMPUTED_VALUE"""),"--")</f>
        <v>--</v>
      </c>
      <c r="V482" s="251" t="str">
        <f>IFERROR(__xludf.DUMMYFUNCTION("""COMPUTED_VALUE"""),"--")</f>
        <v>--</v>
      </c>
      <c r="W482" s="251" t="str">
        <f>IFERROR(__xludf.DUMMYFUNCTION("""COMPUTED_VALUE"""),"--")</f>
        <v>--</v>
      </c>
      <c r="X482" s="251" t="str">
        <f>IFERROR(__xludf.DUMMYFUNCTION("""COMPUTED_VALUE"""),"--")</f>
        <v>--</v>
      </c>
      <c r="Y482" s="251" t="str">
        <f>IFERROR(__xludf.DUMMYFUNCTION("""COMPUTED_VALUE"""),"--")</f>
        <v>--</v>
      </c>
      <c r="Z482" s="251" t="str">
        <f>IFERROR(__xludf.DUMMYFUNCTION("""COMPUTED_VALUE"""),"--")</f>
        <v>--</v>
      </c>
      <c r="AA482" s="251" t="str">
        <f>IFERROR(__xludf.DUMMYFUNCTION("""COMPUTED_VALUE"""),"--")</f>
        <v>--</v>
      </c>
      <c r="AB482" s="251" t="str">
        <f>IFERROR(__xludf.DUMMYFUNCTION("""COMPUTED_VALUE"""),"--")</f>
        <v>--</v>
      </c>
      <c r="AC482" s="251" t="str">
        <f>IFERROR(__xludf.DUMMYFUNCTION("""COMPUTED_VALUE"""),"--")</f>
        <v>--</v>
      </c>
      <c r="AD482" s="251">
        <f>IFERROR(__xludf.DUMMYFUNCTION("""COMPUTED_VALUE"""),2.0)</f>
        <v>2</v>
      </c>
      <c r="AE482" s="251" t="str">
        <f>IFERROR(__xludf.DUMMYFUNCTION("""COMPUTED_VALUE"""),"Omnivore")</f>
        <v>Omnivore</v>
      </c>
    </row>
    <row r="483">
      <c r="A483" s="251" t="str">
        <f>IFERROR(__xludf.DUMMYFUNCTION("""COMPUTED_VALUE"""),"Nidoking")</f>
        <v>Nidoking</v>
      </c>
      <c r="B483" s="251" t="str">
        <f>IFERROR(__xludf.DUMMYFUNCTION("""COMPUTED_VALUE"""),"Poison")</f>
        <v>Poison</v>
      </c>
      <c r="C483" s="251" t="str">
        <f>IFERROR(__xludf.DUMMYFUNCTION("""COMPUTED_VALUE"""),"Ground")</f>
        <v>Ground</v>
      </c>
      <c r="D483" s="251">
        <f>IFERROR(__xludf.DUMMYFUNCTION("""COMPUTED_VALUE"""),8.0)</f>
        <v>8</v>
      </c>
      <c r="E483" s="251">
        <f>IFERROR(__xludf.DUMMYFUNCTION("""COMPUTED_VALUE"""),10.0)</f>
        <v>10</v>
      </c>
      <c r="F483" s="251">
        <f>IFERROR(__xludf.DUMMYFUNCTION("""COMPUTED_VALUE"""),8.0)</f>
        <v>8</v>
      </c>
      <c r="G483" s="251">
        <f>IFERROR(__xludf.DUMMYFUNCTION("""COMPUTED_VALUE"""),9.0)</f>
        <v>9</v>
      </c>
      <c r="H483" s="251">
        <f>IFERROR(__xludf.DUMMYFUNCTION("""COMPUTED_VALUE"""),8.0)</f>
        <v>8</v>
      </c>
      <c r="I483" s="251">
        <f>IFERROR(__xludf.DUMMYFUNCTION("""COMPUTED_VALUE"""),9.0)</f>
        <v>9</v>
      </c>
      <c r="J483" s="251">
        <f>IFERROR(__xludf.DUMMYFUNCTION("""COMPUTED_VALUE"""),9.0)</f>
        <v>9</v>
      </c>
      <c r="K483" s="251" t="str">
        <f>IFERROR(__xludf.DUMMYFUNCTION("""COMPUTED_VALUE"""),"Medium")</f>
        <v>Medium</v>
      </c>
      <c r="L483" s="251">
        <f>IFERROR(__xludf.DUMMYFUNCTION("""COMPUTED_VALUE"""),4.0)</f>
        <v>4</v>
      </c>
      <c r="M483" s="251" t="str">
        <f>IFERROR(__xludf.DUMMYFUNCTION("""COMPUTED_VALUE"""),"Grasslands")</f>
        <v>Grasslands</v>
      </c>
      <c r="N483" s="251" t="str">
        <f>IFERROR(__xludf.DUMMYFUNCTION("""COMPUTED_VALUE"""),"--")</f>
        <v>--</v>
      </c>
      <c r="O483" s="251" t="str">
        <f>IFERROR(__xludf.DUMMYFUNCTION("""COMPUTED_VALUE"""),"--")</f>
        <v>--</v>
      </c>
      <c r="P483" s="251" t="str">
        <f>IFERROR(__xludf.DUMMYFUNCTION("""COMPUTED_VALUE"""),"--")</f>
        <v>--</v>
      </c>
      <c r="Q483" s="251" t="str">
        <f>IFERROR(__xludf.DUMMYFUNCTION("""COMPUTED_VALUE"""),"--")</f>
        <v>--</v>
      </c>
      <c r="R483" s="251" t="str">
        <f>IFERROR(__xludf.DUMMYFUNCTION("""COMPUTED_VALUE"""),"Groundshaper")</f>
        <v>Groundshaper</v>
      </c>
      <c r="S483" s="251" t="str">
        <f>IFERROR(__xludf.DUMMYFUNCTION("""COMPUTED_VALUE"""),"Mountable")</f>
        <v>Mountable</v>
      </c>
      <c r="T483" s="251" t="str">
        <f>IFERROR(__xludf.DUMMYFUNCTION("""COMPUTED_VALUE"""),"--")</f>
        <v>--</v>
      </c>
      <c r="U483" s="251" t="str">
        <f>IFERROR(__xludf.DUMMYFUNCTION("""COMPUTED_VALUE"""),"--")</f>
        <v>--</v>
      </c>
      <c r="V483" s="251" t="str">
        <f>IFERROR(__xludf.DUMMYFUNCTION("""COMPUTED_VALUE"""),"Pack Mon")</f>
        <v>Pack Mon</v>
      </c>
      <c r="W483" s="251" t="str">
        <f>IFERROR(__xludf.DUMMYFUNCTION("""COMPUTED_VALUE"""),"--")</f>
        <v>--</v>
      </c>
      <c r="X483" s="251" t="str">
        <f>IFERROR(__xludf.DUMMYFUNCTION("""COMPUTED_VALUE"""),"--")</f>
        <v>--</v>
      </c>
      <c r="Y483" s="251" t="str">
        <f>IFERROR(__xludf.DUMMYFUNCTION("""COMPUTED_VALUE"""),"--")</f>
        <v>--</v>
      </c>
      <c r="Z483" s="251" t="str">
        <f>IFERROR(__xludf.DUMMYFUNCTION("""COMPUTED_VALUE"""),"--")</f>
        <v>--</v>
      </c>
      <c r="AA483" s="251" t="str">
        <f>IFERROR(__xludf.DUMMYFUNCTION("""COMPUTED_VALUE"""),"--")</f>
        <v>--</v>
      </c>
      <c r="AB483" s="251" t="str">
        <f>IFERROR(__xludf.DUMMYFUNCTION("""COMPUTED_VALUE"""),"--")</f>
        <v>--</v>
      </c>
      <c r="AC483" s="251" t="str">
        <f>IFERROR(__xludf.DUMMYFUNCTION("""COMPUTED_VALUE"""),"--")</f>
        <v>--</v>
      </c>
      <c r="AD483" s="251">
        <f>IFERROR(__xludf.DUMMYFUNCTION("""COMPUTED_VALUE"""),3.0)</f>
        <v>3</v>
      </c>
      <c r="AE483" s="251" t="str">
        <f>IFERROR(__xludf.DUMMYFUNCTION("""COMPUTED_VALUE"""),"Omnivore")</f>
        <v>Omnivore</v>
      </c>
    </row>
    <row r="484">
      <c r="A484" s="251" t="str">
        <f>IFERROR(__xludf.DUMMYFUNCTION("""COMPUTED_VALUE"""),"Zubat")</f>
        <v>Zubat</v>
      </c>
      <c r="B484" s="251" t="str">
        <f>IFERROR(__xludf.DUMMYFUNCTION("""COMPUTED_VALUE"""),"Poison")</f>
        <v>Poison</v>
      </c>
      <c r="C484" s="251" t="str">
        <f>IFERROR(__xludf.DUMMYFUNCTION("""COMPUTED_VALUE"""),"Flying")</f>
        <v>Flying</v>
      </c>
      <c r="D484" s="251">
        <f>IFERROR(__xludf.DUMMYFUNCTION("""COMPUTED_VALUE"""),5.0)</f>
        <v>5</v>
      </c>
      <c r="E484" s="251">
        <f>IFERROR(__xludf.DUMMYFUNCTION("""COMPUTED_VALUE"""),6.0)</f>
        <v>6</v>
      </c>
      <c r="F484" s="251">
        <f>IFERROR(__xludf.DUMMYFUNCTION("""COMPUTED_VALUE"""),4.0)</f>
        <v>4</v>
      </c>
      <c r="G484" s="251">
        <f>IFERROR(__xludf.DUMMYFUNCTION("""COMPUTED_VALUE"""),3.0)</f>
        <v>3</v>
      </c>
      <c r="H484" s="251">
        <f>IFERROR(__xludf.DUMMYFUNCTION("""COMPUTED_VALUE"""),4.0)</f>
        <v>4</v>
      </c>
      <c r="I484" s="251">
        <f>IFERROR(__xludf.DUMMYFUNCTION("""COMPUTED_VALUE"""),8.0)</f>
        <v>8</v>
      </c>
      <c r="J484" s="251">
        <f>IFERROR(__xludf.DUMMYFUNCTION("""COMPUTED_VALUE"""),1.0)</f>
        <v>1</v>
      </c>
      <c r="K484" s="251" t="str">
        <f>IFERROR(__xludf.DUMMYFUNCTION("""COMPUTED_VALUE"""),"Small")</f>
        <v>Small</v>
      </c>
      <c r="L484" s="251">
        <f>IFERROR(__xludf.DUMMYFUNCTION("""COMPUTED_VALUE"""),1.0)</f>
        <v>1</v>
      </c>
      <c r="M484" s="251" t="str">
        <f>IFERROR(__xludf.DUMMYFUNCTION("""COMPUTED_VALUE"""),"Cave")</f>
        <v>Cave</v>
      </c>
      <c r="N484" s="251" t="str">
        <f>IFERROR(__xludf.DUMMYFUNCTION("""COMPUTED_VALUE"""),"Flier")</f>
        <v>Flier</v>
      </c>
      <c r="O484" s="251" t="str">
        <f>IFERROR(__xludf.DUMMYFUNCTION("""COMPUTED_VALUE"""),"--")</f>
        <v>--</v>
      </c>
      <c r="P484" s="251" t="str">
        <f>IFERROR(__xludf.DUMMYFUNCTION("""COMPUTED_VALUE"""),"--")</f>
        <v>--</v>
      </c>
      <c r="Q484" s="251" t="str">
        <f>IFERROR(__xludf.DUMMYFUNCTION("""COMPUTED_VALUE"""),"--")</f>
        <v>--</v>
      </c>
      <c r="R484" s="251" t="str">
        <f>IFERROR(__xludf.DUMMYFUNCTION("""COMPUTED_VALUE"""),"Blindsense")</f>
        <v>Blindsense</v>
      </c>
      <c r="S484" s="251" t="str">
        <f>IFERROR(__xludf.DUMMYFUNCTION("""COMPUTED_VALUE"""),"Underdog")</f>
        <v>Underdog</v>
      </c>
      <c r="T484" s="251" t="str">
        <f>IFERROR(__xludf.DUMMYFUNCTION("""COMPUTED_VALUE"""),"--")</f>
        <v>--</v>
      </c>
      <c r="U484" s="251" t="str">
        <f>IFERROR(__xludf.DUMMYFUNCTION("""COMPUTED_VALUE"""),"--")</f>
        <v>--</v>
      </c>
      <c r="V484" s="251" t="str">
        <f>IFERROR(__xludf.DUMMYFUNCTION("""COMPUTED_VALUE"""),"Tracker")</f>
        <v>Tracker</v>
      </c>
      <c r="W484" s="251" t="str">
        <f>IFERROR(__xludf.DUMMYFUNCTION("""COMPUTED_VALUE"""),"--")</f>
        <v>--</v>
      </c>
      <c r="X484" s="251" t="str">
        <f>IFERROR(__xludf.DUMMYFUNCTION("""COMPUTED_VALUE"""),"--")</f>
        <v>--</v>
      </c>
      <c r="Y484" s="251" t="str">
        <f>IFERROR(__xludf.DUMMYFUNCTION("""COMPUTED_VALUE"""),"--")</f>
        <v>--</v>
      </c>
      <c r="Z484" s="251" t="str">
        <f>IFERROR(__xludf.DUMMYFUNCTION("""COMPUTED_VALUE"""),"--")</f>
        <v>--</v>
      </c>
      <c r="AA484" s="251" t="str">
        <f>IFERROR(__xludf.DUMMYFUNCTION("""COMPUTED_VALUE"""),"--")</f>
        <v>--</v>
      </c>
      <c r="AB484" s="251" t="str">
        <f>IFERROR(__xludf.DUMMYFUNCTION("""COMPUTED_VALUE"""),"--")</f>
        <v>--</v>
      </c>
      <c r="AC484" s="251" t="str">
        <f>IFERROR(__xludf.DUMMYFUNCTION("""COMPUTED_VALUE"""),"--")</f>
        <v>--</v>
      </c>
      <c r="AD484" s="251">
        <f>IFERROR(__xludf.DUMMYFUNCTION("""COMPUTED_VALUE"""),1.0)</f>
        <v>1</v>
      </c>
      <c r="AE484" s="251" t="str">
        <f>IFERROR(__xludf.DUMMYFUNCTION("""COMPUTED_VALUE"""),"Carnivore")</f>
        <v>Carnivore</v>
      </c>
    </row>
    <row r="485">
      <c r="A485" s="251" t="str">
        <f>IFERROR(__xludf.DUMMYFUNCTION("""COMPUTED_VALUE"""),"Golbat")</f>
        <v>Golbat</v>
      </c>
      <c r="B485" s="251" t="str">
        <f>IFERROR(__xludf.DUMMYFUNCTION("""COMPUTED_VALUE"""),"Poison")</f>
        <v>Poison</v>
      </c>
      <c r="C485" s="251" t="str">
        <f>IFERROR(__xludf.DUMMYFUNCTION("""COMPUTED_VALUE"""),"Flying")</f>
        <v>Flying</v>
      </c>
      <c r="D485" s="251">
        <f>IFERROR(__xludf.DUMMYFUNCTION("""COMPUTED_VALUE"""),8.0)</f>
        <v>8</v>
      </c>
      <c r="E485" s="251">
        <f>IFERROR(__xludf.DUMMYFUNCTION("""COMPUTED_VALUE"""),8.0)</f>
        <v>8</v>
      </c>
      <c r="F485" s="251">
        <f>IFERROR(__xludf.DUMMYFUNCTION("""COMPUTED_VALUE"""),7.0)</f>
        <v>7</v>
      </c>
      <c r="G485" s="251">
        <f>IFERROR(__xludf.DUMMYFUNCTION("""COMPUTED_VALUE"""),7.0)</f>
        <v>7</v>
      </c>
      <c r="H485" s="251">
        <f>IFERROR(__xludf.DUMMYFUNCTION("""COMPUTED_VALUE"""),8.0)</f>
        <v>8</v>
      </c>
      <c r="I485" s="251">
        <f>IFERROR(__xludf.DUMMYFUNCTION("""COMPUTED_VALUE"""),9.0)</f>
        <v>9</v>
      </c>
      <c r="J485" s="251">
        <f>IFERROR(__xludf.DUMMYFUNCTION("""COMPUTED_VALUE"""),3.0)</f>
        <v>3</v>
      </c>
      <c r="K485" s="251" t="str">
        <f>IFERROR(__xludf.DUMMYFUNCTION("""COMPUTED_VALUE"""),"Medium")</f>
        <v>Medium</v>
      </c>
      <c r="L485" s="251">
        <f>IFERROR(__xludf.DUMMYFUNCTION("""COMPUTED_VALUE"""),4.0)</f>
        <v>4</v>
      </c>
      <c r="M485" s="251" t="str">
        <f>IFERROR(__xludf.DUMMYFUNCTION("""COMPUTED_VALUE"""),"Cave")</f>
        <v>Cave</v>
      </c>
      <c r="N485" s="251" t="str">
        <f>IFERROR(__xludf.DUMMYFUNCTION("""COMPUTED_VALUE"""),"Flier")</f>
        <v>Flier</v>
      </c>
      <c r="O485" s="251" t="str">
        <f>IFERROR(__xludf.DUMMYFUNCTION("""COMPUTED_VALUE"""),"--")</f>
        <v>--</v>
      </c>
      <c r="P485" s="251" t="str">
        <f>IFERROR(__xludf.DUMMYFUNCTION("""COMPUTED_VALUE"""),"--")</f>
        <v>--</v>
      </c>
      <c r="Q485" s="251" t="str">
        <f>IFERROR(__xludf.DUMMYFUNCTION("""COMPUTED_VALUE"""),"--")</f>
        <v>--</v>
      </c>
      <c r="R485" s="251" t="str">
        <f>IFERROR(__xludf.DUMMYFUNCTION("""COMPUTED_VALUE"""),"Darkvision")</f>
        <v>Darkvision</v>
      </c>
      <c r="S485" s="251" t="str">
        <f>IFERROR(__xludf.DUMMYFUNCTION("""COMPUTED_VALUE"""),"--")</f>
        <v>--</v>
      </c>
      <c r="T485" s="251" t="str">
        <f>IFERROR(__xludf.DUMMYFUNCTION("""COMPUTED_VALUE"""),"--")</f>
        <v>--</v>
      </c>
      <c r="U485" s="251" t="str">
        <f>IFERROR(__xludf.DUMMYFUNCTION("""COMPUTED_VALUE"""),"--")</f>
        <v>--</v>
      </c>
      <c r="V485" s="251" t="str">
        <f>IFERROR(__xludf.DUMMYFUNCTION("""COMPUTED_VALUE"""),"Tracker")</f>
        <v>Tracker</v>
      </c>
      <c r="W485" s="251" t="str">
        <f>IFERROR(__xludf.DUMMYFUNCTION("""COMPUTED_VALUE"""),"--")</f>
        <v>--</v>
      </c>
      <c r="X485" s="251" t="str">
        <f>IFERROR(__xludf.DUMMYFUNCTION("""COMPUTED_VALUE"""),"--")</f>
        <v>--</v>
      </c>
      <c r="Y485" s="251" t="str">
        <f>IFERROR(__xludf.DUMMYFUNCTION("""COMPUTED_VALUE"""),"--")</f>
        <v>--</v>
      </c>
      <c r="Z485" s="251" t="str">
        <f>IFERROR(__xludf.DUMMYFUNCTION("""COMPUTED_VALUE"""),"--")</f>
        <v>--</v>
      </c>
      <c r="AA485" s="251" t="str">
        <f>IFERROR(__xludf.DUMMYFUNCTION("""COMPUTED_VALUE"""),"--")</f>
        <v>--</v>
      </c>
      <c r="AB485" s="251" t="str">
        <f>IFERROR(__xludf.DUMMYFUNCTION("""COMPUTED_VALUE"""),"--")</f>
        <v>--</v>
      </c>
      <c r="AC485" s="251" t="str">
        <f>IFERROR(__xludf.DUMMYFUNCTION("""COMPUTED_VALUE"""),"--")</f>
        <v>--</v>
      </c>
      <c r="AD485" s="251">
        <f>IFERROR(__xludf.DUMMYFUNCTION("""COMPUTED_VALUE"""),2.0)</f>
        <v>2</v>
      </c>
      <c r="AE485" s="251" t="str">
        <f>IFERROR(__xludf.DUMMYFUNCTION("""COMPUTED_VALUE"""),"Carnivore")</f>
        <v>Carnivore</v>
      </c>
    </row>
    <row r="486">
      <c r="A486" s="251" t="str">
        <f>IFERROR(__xludf.DUMMYFUNCTION("""COMPUTED_VALUE"""),"Crobat")</f>
        <v>Crobat</v>
      </c>
      <c r="B486" s="251" t="str">
        <f>IFERROR(__xludf.DUMMYFUNCTION("""COMPUTED_VALUE"""),"Poison")</f>
        <v>Poison</v>
      </c>
      <c r="C486" s="251" t="str">
        <f>IFERROR(__xludf.DUMMYFUNCTION("""COMPUTED_VALUE"""),"Flying")</f>
        <v>Flying</v>
      </c>
      <c r="D486" s="251">
        <f>IFERROR(__xludf.DUMMYFUNCTION("""COMPUTED_VALUE"""),9.0)</f>
        <v>9</v>
      </c>
      <c r="E486" s="251">
        <f>IFERROR(__xludf.DUMMYFUNCTION("""COMPUTED_VALUE"""),9.0)</f>
        <v>9</v>
      </c>
      <c r="F486" s="251">
        <f>IFERROR(__xludf.DUMMYFUNCTION("""COMPUTED_VALUE"""),8.0)</f>
        <v>8</v>
      </c>
      <c r="G486" s="251">
        <f>IFERROR(__xludf.DUMMYFUNCTION("""COMPUTED_VALUE"""),7.0)</f>
        <v>7</v>
      </c>
      <c r="H486" s="251">
        <f>IFERROR(__xludf.DUMMYFUNCTION("""COMPUTED_VALUE"""),8.0)</f>
        <v>8</v>
      </c>
      <c r="I486" s="251">
        <f>IFERROR(__xludf.DUMMYFUNCTION("""COMPUTED_VALUE"""),13.0)</f>
        <v>13</v>
      </c>
      <c r="J486" s="251">
        <f>IFERROR(__xludf.DUMMYFUNCTION("""COMPUTED_VALUE"""),5.0)</f>
        <v>5</v>
      </c>
      <c r="K486" s="251" t="str">
        <f>IFERROR(__xludf.DUMMYFUNCTION("""COMPUTED_VALUE"""),"Medium")</f>
        <v>Medium</v>
      </c>
      <c r="L486" s="251">
        <f>IFERROR(__xludf.DUMMYFUNCTION("""COMPUTED_VALUE"""),4.0)</f>
        <v>4</v>
      </c>
      <c r="M486" s="251" t="str">
        <f>IFERROR(__xludf.DUMMYFUNCTION("""COMPUTED_VALUE"""),"Cave")</f>
        <v>Cave</v>
      </c>
      <c r="N486" s="251" t="str">
        <f>IFERROR(__xludf.DUMMYFUNCTION("""COMPUTED_VALUE"""),"Flier")</f>
        <v>Flier</v>
      </c>
      <c r="O486" s="251" t="str">
        <f>IFERROR(__xludf.DUMMYFUNCTION("""COMPUTED_VALUE"""),"Quick")</f>
        <v>Quick</v>
      </c>
      <c r="P486" s="251" t="str">
        <f>IFERROR(__xludf.DUMMYFUNCTION("""COMPUTED_VALUE"""),"--")</f>
        <v>--</v>
      </c>
      <c r="Q486" s="251" t="str">
        <f>IFERROR(__xludf.DUMMYFUNCTION("""COMPUTED_VALUE"""),"--")</f>
        <v>--</v>
      </c>
      <c r="R486" s="251" t="str">
        <f>IFERROR(__xludf.DUMMYFUNCTION("""COMPUTED_VALUE"""),"Darkvision")</f>
        <v>Darkvision</v>
      </c>
      <c r="S486" s="251" t="str">
        <f>IFERROR(__xludf.DUMMYFUNCTION("""COMPUTED_VALUE"""),"--")</f>
        <v>--</v>
      </c>
      <c r="T486" s="251" t="str">
        <f>IFERROR(__xludf.DUMMYFUNCTION("""COMPUTED_VALUE"""),"--")</f>
        <v>--</v>
      </c>
      <c r="U486" s="251" t="str">
        <f>IFERROR(__xludf.DUMMYFUNCTION("""COMPUTED_VALUE"""),"--")</f>
        <v>--</v>
      </c>
      <c r="V486" s="251" t="str">
        <f>IFERROR(__xludf.DUMMYFUNCTION("""COMPUTED_VALUE"""),"Tracker")</f>
        <v>Tracker</v>
      </c>
      <c r="W486" s="251" t="str">
        <f>IFERROR(__xludf.DUMMYFUNCTION("""COMPUTED_VALUE"""),"--")</f>
        <v>--</v>
      </c>
      <c r="X486" s="251" t="str">
        <f>IFERROR(__xludf.DUMMYFUNCTION("""COMPUTED_VALUE"""),"--")</f>
        <v>--</v>
      </c>
      <c r="Y486" s="251" t="str">
        <f>IFERROR(__xludf.DUMMYFUNCTION("""COMPUTED_VALUE"""),"--")</f>
        <v>--</v>
      </c>
      <c r="Z486" s="251" t="str">
        <f>IFERROR(__xludf.DUMMYFUNCTION("""COMPUTED_VALUE"""),"--")</f>
        <v>--</v>
      </c>
      <c r="AA486" s="251" t="str">
        <f>IFERROR(__xludf.DUMMYFUNCTION("""COMPUTED_VALUE"""),"--")</f>
        <v>--</v>
      </c>
      <c r="AB486" s="251" t="str">
        <f>IFERROR(__xludf.DUMMYFUNCTION("""COMPUTED_VALUE"""),"--")</f>
        <v>--</v>
      </c>
      <c r="AC486" s="251" t="str">
        <f>IFERROR(__xludf.DUMMYFUNCTION("""COMPUTED_VALUE"""),"--")</f>
        <v>--</v>
      </c>
      <c r="AD486" s="251">
        <f>IFERROR(__xludf.DUMMYFUNCTION("""COMPUTED_VALUE"""),3.0)</f>
        <v>3</v>
      </c>
      <c r="AE486" s="251" t="str">
        <f>IFERROR(__xludf.DUMMYFUNCTION("""COMPUTED_VALUE"""),"Carnivore")</f>
        <v>Carnivore</v>
      </c>
    </row>
    <row r="487">
      <c r="A487" s="251" t="str">
        <f>IFERROR(__xludf.DUMMYFUNCTION("""COMPUTED_VALUE"""),"Abra")</f>
        <v>Abra</v>
      </c>
      <c r="B487" s="251" t="str">
        <f>IFERROR(__xludf.DUMMYFUNCTION("""COMPUTED_VALUE"""),"Psychic")</f>
        <v>Psychic</v>
      </c>
      <c r="C487" s="251" t="str">
        <f>IFERROR(__xludf.DUMMYFUNCTION("""COMPUTED_VALUE"""),"None")</f>
        <v>None</v>
      </c>
      <c r="D487" s="251">
        <f>IFERROR(__xludf.DUMMYFUNCTION("""COMPUTED_VALUE"""),3.0)</f>
        <v>3</v>
      </c>
      <c r="E487" s="251">
        <f>IFERROR(__xludf.DUMMYFUNCTION("""COMPUTED_VALUE"""),2.0)</f>
        <v>2</v>
      </c>
      <c r="F487" s="251">
        <f>IFERROR(__xludf.DUMMYFUNCTION("""COMPUTED_VALUE"""),2.0)</f>
        <v>2</v>
      </c>
      <c r="G487" s="251">
        <f>IFERROR(__xludf.DUMMYFUNCTION("""COMPUTED_VALUE"""),11.0)</f>
        <v>11</v>
      </c>
      <c r="H487" s="251">
        <f>IFERROR(__xludf.DUMMYFUNCTION("""COMPUTED_VALUE"""),6.0)</f>
        <v>6</v>
      </c>
      <c r="I487" s="251">
        <f>IFERROR(__xludf.DUMMYFUNCTION("""COMPUTED_VALUE"""),9.0)</f>
        <v>9</v>
      </c>
      <c r="J487" s="251">
        <f>IFERROR(__xludf.DUMMYFUNCTION("""COMPUTED_VALUE"""),2.0)</f>
        <v>2</v>
      </c>
      <c r="K487" s="251" t="str">
        <f>IFERROR(__xludf.DUMMYFUNCTION("""COMPUTED_VALUE"""),"Small")</f>
        <v>Small</v>
      </c>
      <c r="L487" s="251">
        <f>IFERROR(__xludf.DUMMYFUNCTION("""COMPUTED_VALUE"""),2.0)</f>
        <v>2</v>
      </c>
      <c r="M487" s="251" t="str">
        <f>IFERROR(__xludf.DUMMYFUNCTION("""COMPUTED_VALUE"""),"Urban")</f>
        <v>Urban</v>
      </c>
      <c r="N487" s="251" t="str">
        <f>IFERROR(__xludf.DUMMYFUNCTION("""COMPUTED_VALUE"""),"Slow")</f>
        <v>Slow</v>
      </c>
      <c r="O487" s="251" t="str">
        <f>IFERROR(__xludf.DUMMYFUNCTION("""COMPUTED_VALUE"""),"Teleporter")</f>
        <v>Teleporter</v>
      </c>
      <c r="P487" s="251" t="str">
        <f>IFERROR(__xludf.DUMMYFUNCTION("""COMPUTED_VALUE"""),"--")</f>
        <v>--</v>
      </c>
      <c r="Q487" s="251" t="str">
        <f>IFERROR(__xludf.DUMMYFUNCTION("""COMPUTED_VALUE"""),"--")</f>
        <v>--</v>
      </c>
      <c r="R487" s="251" t="str">
        <f>IFERROR(__xludf.DUMMYFUNCTION("""COMPUTED_VALUE"""),"Telekinetic")</f>
        <v>Telekinetic</v>
      </c>
      <c r="S487" s="251" t="str">
        <f>IFERROR(__xludf.DUMMYFUNCTION("""COMPUTED_VALUE"""),"Underdog")</f>
        <v>Underdog</v>
      </c>
      <c r="T487" s="251" t="str">
        <f>IFERROR(__xludf.DUMMYFUNCTION("""COMPUTED_VALUE"""),"--")</f>
        <v>--</v>
      </c>
      <c r="U487" s="251" t="str">
        <f>IFERROR(__xludf.DUMMYFUNCTION("""COMPUTED_VALUE"""),"--")</f>
        <v>--</v>
      </c>
      <c r="V487" s="251" t="str">
        <f>IFERROR(__xludf.DUMMYFUNCTION("""COMPUTED_VALUE"""),"Telepath")</f>
        <v>Telepath</v>
      </c>
      <c r="W487" s="251" t="str">
        <f>IFERROR(__xludf.DUMMYFUNCTION("""COMPUTED_VALUE"""),"--")</f>
        <v>--</v>
      </c>
      <c r="X487" s="251" t="str">
        <f>IFERROR(__xludf.DUMMYFUNCTION("""COMPUTED_VALUE"""),"--")</f>
        <v>--</v>
      </c>
      <c r="Y487" s="251" t="str">
        <f>IFERROR(__xludf.DUMMYFUNCTION("""COMPUTED_VALUE"""),"--")</f>
        <v>--</v>
      </c>
      <c r="Z487" s="251" t="str">
        <f>IFERROR(__xludf.DUMMYFUNCTION("""COMPUTED_VALUE"""),"--")</f>
        <v>--</v>
      </c>
      <c r="AA487" s="251" t="str">
        <f>IFERROR(__xludf.DUMMYFUNCTION("""COMPUTED_VALUE"""),"--")</f>
        <v>--</v>
      </c>
      <c r="AB487" s="251" t="str">
        <f>IFERROR(__xludf.DUMMYFUNCTION("""COMPUTED_VALUE"""),"--")</f>
        <v>--</v>
      </c>
      <c r="AC487" s="251" t="str">
        <f>IFERROR(__xludf.DUMMYFUNCTION("""COMPUTED_VALUE"""),"--")</f>
        <v>--</v>
      </c>
      <c r="AD487" s="251">
        <f>IFERROR(__xludf.DUMMYFUNCTION("""COMPUTED_VALUE"""),1.0)</f>
        <v>1</v>
      </c>
      <c r="AE487" s="251" t="str">
        <f>IFERROR(__xludf.DUMMYFUNCTION("""COMPUTED_VALUE"""),"Omnivore")</f>
        <v>Omnivore</v>
      </c>
    </row>
    <row r="488">
      <c r="A488" s="251" t="str">
        <f>IFERROR(__xludf.DUMMYFUNCTION("""COMPUTED_VALUE"""),"Kadabra")</f>
        <v>Kadabra</v>
      </c>
      <c r="B488" s="251" t="str">
        <f>IFERROR(__xludf.DUMMYFUNCTION("""COMPUTED_VALUE"""),"Psychic")</f>
        <v>Psychic</v>
      </c>
      <c r="C488" s="251" t="str">
        <f>IFERROR(__xludf.DUMMYFUNCTION("""COMPUTED_VALUE"""),"None")</f>
        <v>None</v>
      </c>
      <c r="D488" s="251">
        <f>IFERROR(__xludf.DUMMYFUNCTION("""COMPUTED_VALUE"""),4.0)</f>
        <v>4</v>
      </c>
      <c r="E488" s="251">
        <f>IFERROR(__xludf.DUMMYFUNCTION("""COMPUTED_VALUE"""),4.0)</f>
        <v>4</v>
      </c>
      <c r="F488" s="251">
        <f>IFERROR(__xludf.DUMMYFUNCTION("""COMPUTED_VALUE"""),3.0)</f>
        <v>3</v>
      </c>
      <c r="G488" s="251">
        <f>IFERROR(__xludf.DUMMYFUNCTION("""COMPUTED_VALUE"""),12.0)</f>
        <v>12</v>
      </c>
      <c r="H488" s="251">
        <f>IFERROR(__xludf.DUMMYFUNCTION("""COMPUTED_VALUE"""),7.0)</f>
        <v>7</v>
      </c>
      <c r="I488" s="251">
        <f>IFERROR(__xludf.DUMMYFUNCTION("""COMPUTED_VALUE"""),11.0)</f>
        <v>11</v>
      </c>
      <c r="J488" s="251">
        <f>IFERROR(__xludf.DUMMYFUNCTION("""COMPUTED_VALUE"""),3.0)</f>
        <v>3</v>
      </c>
      <c r="K488" s="251" t="str">
        <f>IFERROR(__xludf.DUMMYFUNCTION("""COMPUTED_VALUE"""),"Medium")</f>
        <v>Medium</v>
      </c>
      <c r="L488" s="251">
        <f>IFERROR(__xludf.DUMMYFUNCTION("""COMPUTED_VALUE"""),4.0)</f>
        <v>4</v>
      </c>
      <c r="M488" s="251" t="str">
        <f>IFERROR(__xludf.DUMMYFUNCTION("""COMPUTED_VALUE"""),"Urban")</f>
        <v>Urban</v>
      </c>
      <c r="N488" s="251" t="str">
        <f>IFERROR(__xludf.DUMMYFUNCTION("""COMPUTED_VALUE"""),"Teleporter")</f>
        <v>Teleporter</v>
      </c>
      <c r="O488" s="251" t="str">
        <f>IFERROR(__xludf.DUMMYFUNCTION("""COMPUTED_VALUE"""),"--")</f>
        <v>--</v>
      </c>
      <c r="P488" s="251" t="str">
        <f>IFERROR(__xludf.DUMMYFUNCTION("""COMPUTED_VALUE"""),"--")</f>
        <v>--</v>
      </c>
      <c r="Q488" s="251" t="str">
        <f>IFERROR(__xludf.DUMMYFUNCTION("""COMPUTED_VALUE"""),"--")</f>
        <v>--</v>
      </c>
      <c r="R488" s="251" t="str">
        <f>IFERROR(__xludf.DUMMYFUNCTION("""COMPUTED_VALUE"""),"Telekinetic")</f>
        <v>Telekinetic</v>
      </c>
      <c r="S488" s="251" t="str">
        <f>IFERROR(__xludf.DUMMYFUNCTION("""COMPUTED_VALUE"""),"Underdog")</f>
        <v>Underdog</v>
      </c>
      <c r="T488" s="251" t="str">
        <f>IFERROR(__xludf.DUMMYFUNCTION("""COMPUTED_VALUE"""),"Wielder (Arcane)")</f>
        <v>Wielder (Arcane)</v>
      </c>
      <c r="U488" s="251" t="str">
        <f>IFERROR(__xludf.DUMMYFUNCTION("""COMPUTED_VALUE"""),"--")</f>
        <v>--</v>
      </c>
      <c r="V488" s="251" t="str">
        <f>IFERROR(__xludf.DUMMYFUNCTION("""COMPUTED_VALUE"""),"Telepath")</f>
        <v>Telepath</v>
      </c>
      <c r="W488" s="251" t="str">
        <f>IFERROR(__xludf.DUMMYFUNCTION("""COMPUTED_VALUE"""),"--")</f>
        <v>--</v>
      </c>
      <c r="X488" s="251" t="str">
        <f>IFERROR(__xludf.DUMMYFUNCTION("""COMPUTED_VALUE"""),"--")</f>
        <v>--</v>
      </c>
      <c r="Y488" s="251" t="str">
        <f>IFERROR(__xludf.DUMMYFUNCTION("""COMPUTED_VALUE"""),"--")</f>
        <v>--</v>
      </c>
      <c r="Z488" s="251" t="str">
        <f>IFERROR(__xludf.DUMMYFUNCTION("""COMPUTED_VALUE"""),"--")</f>
        <v>--</v>
      </c>
      <c r="AA488" s="251" t="str">
        <f>IFERROR(__xludf.DUMMYFUNCTION("""COMPUTED_VALUE"""),"--")</f>
        <v>--</v>
      </c>
      <c r="AB488" s="251" t="str">
        <f>IFERROR(__xludf.DUMMYFUNCTION("""COMPUTED_VALUE"""),"--")</f>
        <v>--</v>
      </c>
      <c r="AC488" s="251" t="str">
        <f>IFERROR(__xludf.DUMMYFUNCTION("""COMPUTED_VALUE"""),"--")</f>
        <v>--</v>
      </c>
      <c r="AD488" s="251">
        <f>IFERROR(__xludf.DUMMYFUNCTION("""COMPUTED_VALUE"""),2.0)</f>
        <v>2</v>
      </c>
      <c r="AE488" s="251" t="str">
        <f>IFERROR(__xludf.DUMMYFUNCTION("""COMPUTED_VALUE"""),"Omnivore")</f>
        <v>Omnivore</v>
      </c>
    </row>
    <row r="489">
      <c r="A489" s="251" t="str">
        <f>IFERROR(__xludf.DUMMYFUNCTION("""COMPUTED_VALUE"""),"Alakazam")</f>
        <v>Alakazam</v>
      </c>
      <c r="B489" s="251" t="str">
        <f>IFERROR(__xludf.DUMMYFUNCTION("""COMPUTED_VALUE"""),"Psychic")</f>
        <v>Psychic</v>
      </c>
      <c r="C489" s="251" t="str">
        <f>IFERROR(__xludf.DUMMYFUNCTION("""COMPUTED_VALUE"""),"None")</f>
        <v>None</v>
      </c>
      <c r="D489" s="251">
        <f>IFERROR(__xludf.DUMMYFUNCTION("""COMPUTED_VALUE"""),6.0)</f>
        <v>6</v>
      </c>
      <c r="E489" s="251">
        <f>IFERROR(__xludf.DUMMYFUNCTION("""COMPUTED_VALUE"""),5.0)</f>
        <v>5</v>
      </c>
      <c r="F489" s="251">
        <f>IFERROR(__xludf.DUMMYFUNCTION("""COMPUTED_VALUE"""),5.0)</f>
        <v>5</v>
      </c>
      <c r="G489" s="251">
        <f>IFERROR(__xludf.DUMMYFUNCTION("""COMPUTED_VALUE"""),14.0)</f>
        <v>14</v>
      </c>
      <c r="H489" s="251">
        <f>IFERROR(__xludf.DUMMYFUNCTION("""COMPUTED_VALUE"""),10.0)</f>
        <v>10</v>
      </c>
      <c r="I489" s="251">
        <f>IFERROR(__xludf.DUMMYFUNCTION("""COMPUTED_VALUE"""),12.0)</f>
        <v>12</v>
      </c>
      <c r="J489" s="251">
        <f>IFERROR(__xludf.DUMMYFUNCTION("""COMPUTED_VALUE"""),4.0)</f>
        <v>4</v>
      </c>
      <c r="K489" s="251" t="str">
        <f>IFERROR(__xludf.DUMMYFUNCTION("""COMPUTED_VALUE"""),"Medium")</f>
        <v>Medium</v>
      </c>
      <c r="L489" s="251">
        <f>IFERROR(__xludf.DUMMYFUNCTION("""COMPUTED_VALUE"""),3.0)</f>
        <v>3</v>
      </c>
      <c r="M489" s="251" t="str">
        <f>IFERROR(__xludf.DUMMYFUNCTION("""COMPUTED_VALUE"""),"Urban")</f>
        <v>Urban</v>
      </c>
      <c r="N489" s="251" t="str">
        <f>IFERROR(__xludf.DUMMYFUNCTION("""COMPUTED_VALUE"""),"Teleporter")</f>
        <v>Teleporter</v>
      </c>
      <c r="O489" s="251" t="str">
        <f>IFERROR(__xludf.DUMMYFUNCTION("""COMPUTED_VALUE"""),"--")</f>
        <v>--</v>
      </c>
      <c r="P489" s="251" t="str">
        <f>IFERROR(__xludf.DUMMYFUNCTION("""COMPUTED_VALUE"""),"--")</f>
        <v>--</v>
      </c>
      <c r="Q489" s="251" t="str">
        <f>IFERROR(__xludf.DUMMYFUNCTION("""COMPUTED_VALUE"""),"--")</f>
        <v>--</v>
      </c>
      <c r="R489" s="251" t="str">
        <f>IFERROR(__xludf.DUMMYFUNCTION("""COMPUTED_VALUE"""),"Telekinetic")</f>
        <v>Telekinetic</v>
      </c>
      <c r="S489" s="251" t="str">
        <f>IFERROR(__xludf.DUMMYFUNCTION("""COMPUTED_VALUE"""),"Wielder (Arcane)")</f>
        <v>Wielder (Arcane)</v>
      </c>
      <c r="T489" s="251" t="str">
        <f>IFERROR(__xludf.DUMMYFUNCTION("""COMPUTED_VALUE"""),"--")</f>
        <v>--</v>
      </c>
      <c r="U489" s="251" t="str">
        <f>IFERROR(__xludf.DUMMYFUNCTION("""COMPUTED_VALUE"""),"--")</f>
        <v>--</v>
      </c>
      <c r="V489" s="251" t="str">
        <f>IFERROR(__xludf.DUMMYFUNCTION("""COMPUTED_VALUE"""),"Telepath")</f>
        <v>Telepath</v>
      </c>
      <c r="W489" s="251" t="str">
        <f>IFERROR(__xludf.DUMMYFUNCTION("""COMPUTED_VALUE"""),"--")</f>
        <v>--</v>
      </c>
      <c r="X489" s="251" t="str">
        <f>IFERROR(__xludf.DUMMYFUNCTION("""COMPUTED_VALUE"""),"--")</f>
        <v>--</v>
      </c>
      <c r="Y489" s="251" t="str">
        <f>IFERROR(__xludf.DUMMYFUNCTION("""COMPUTED_VALUE"""),"--")</f>
        <v>--</v>
      </c>
      <c r="Z489" s="251" t="str">
        <f>IFERROR(__xludf.DUMMYFUNCTION("""COMPUTED_VALUE"""),"--")</f>
        <v>--</v>
      </c>
      <c r="AA489" s="251" t="str">
        <f>IFERROR(__xludf.DUMMYFUNCTION("""COMPUTED_VALUE"""),"--")</f>
        <v>--</v>
      </c>
      <c r="AB489" s="251" t="str">
        <f>IFERROR(__xludf.DUMMYFUNCTION("""COMPUTED_VALUE"""),"--")</f>
        <v>--</v>
      </c>
      <c r="AC489" s="251" t="str">
        <f>IFERROR(__xludf.DUMMYFUNCTION("""COMPUTED_VALUE"""),"--")</f>
        <v>--</v>
      </c>
      <c r="AD489" s="251">
        <f>IFERROR(__xludf.DUMMYFUNCTION("""COMPUTED_VALUE"""),3.0)</f>
        <v>3</v>
      </c>
      <c r="AE489" s="251" t="str">
        <f>IFERROR(__xludf.DUMMYFUNCTION("""COMPUTED_VALUE"""),"Omnivore")</f>
        <v>Omnivore</v>
      </c>
    </row>
    <row r="490">
      <c r="A490" s="251" t="str">
        <f>IFERROR(__xludf.DUMMYFUNCTION("""COMPUTED_VALUE"""),"Ralts")</f>
        <v>Ralts</v>
      </c>
      <c r="B490" s="251" t="str">
        <f>IFERROR(__xludf.DUMMYFUNCTION("""COMPUTED_VALUE"""),"Psychic")</f>
        <v>Psychic</v>
      </c>
      <c r="C490" s="251" t="str">
        <f>IFERROR(__xludf.DUMMYFUNCTION("""COMPUTED_VALUE"""),"Fairy")</f>
        <v>Fairy</v>
      </c>
      <c r="D490" s="251">
        <f>IFERROR(__xludf.DUMMYFUNCTION("""COMPUTED_VALUE"""),4.0)</f>
        <v>4</v>
      </c>
      <c r="E490" s="251">
        <f>IFERROR(__xludf.DUMMYFUNCTION("""COMPUTED_VALUE"""),4.0)</f>
        <v>4</v>
      </c>
      <c r="F490" s="251">
        <f>IFERROR(__xludf.DUMMYFUNCTION("""COMPUTED_VALUE"""),4.0)</f>
        <v>4</v>
      </c>
      <c r="G490" s="251">
        <f>IFERROR(__xludf.DUMMYFUNCTION("""COMPUTED_VALUE"""),7.0)</f>
        <v>7</v>
      </c>
      <c r="H490" s="251">
        <f>IFERROR(__xludf.DUMMYFUNCTION("""COMPUTED_VALUE"""),6.0)</f>
        <v>6</v>
      </c>
      <c r="I490" s="251">
        <f>IFERROR(__xludf.DUMMYFUNCTION("""COMPUTED_VALUE"""),5.0)</f>
        <v>5</v>
      </c>
      <c r="J490" s="251">
        <f>IFERROR(__xludf.DUMMYFUNCTION("""COMPUTED_VALUE"""),1.0)</f>
        <v>1</v>
      </c>
      <c r="K490" s="251" t="str">
        <f>IFERROR(__xludf.DUMMYFUNCTION("""COMPUTED_VALUE"""),"Small")</f>
        <v>Small</v>
      </c>
      <c r="L490" s="251">
        <f>IFERROR(__xludf.DUMMYFUNCTION("""COMPUTED_VALUE"""),1.0)</f>
        <v>1</v>
      </c>
      <c r="M490" s="251" t="str">
        <f>IFERROR(__xludf.DUMMYFUNCTION("""COMPUTED_VALUE"""),"Urban")</f>
        <v>Urban</v>
      </c>
      <c r="N490" s="251" t="str">
        <f>IFERROR(__xludf.DUMMYFUNCTION("""COMPUTED_VALUE"""),"Slow")</f>
        <v>Slow</v>
      </c>
      <c r="O490" s="251" t="str">
        <f>IFERROR(__xludf.DUMMYFUNCTION("""COMPUTED_VALUE"""),"Teleporter")</f>
        <v>Teleporter</v>
      </c>
      <c r="P490" s="251" t="str">
        <f>IFERROR(__xludf.DUMMYFUNCTION("""COMPUTED_VALUE"""),"--")</f>
        <v>--</v>
      </c>
      <c r="Q490" s="251" t="str">
        <f>IFERROR(__xludf.DUMMYFUNCTION("""COMPUTED_VALUE"""),"--")</f>
        <v>--</v>
      </c>
      <c r="R490" s="251" t="str">
        <f>IFERROR(__xludf.DUMMYFUNCTION("""COMPUTED_VALUE"""),"Telekinetic")</f>
        <v>Telekinetic</v>
      </c>
      <c r="S490" s="251" t="str">
        <f>IFERROR(__xludf.DUMMYFUNCTION("""COMPUTED_VALUE"""),"Underdog")</f>
        <v>Underdog</v>
      </c>
      <c r="T490" s="251" t="str">
        <f>IFERROR(__xludf.DUMMYFUNCTION("""COMPUTED_VALUE"""),"--")</f>
        <v>--</v>
      </c>
      <c r="U490" s="251" t="str">
        <f>IFERROR(__xludf.DUMMYFUNCTION("""COMPUTED_VALUE"""),"--")</f>
        <v>--</v>
      </c>
      <c r="V490" s="251" t="str">
        <f>IFERROR(__xludf.DUMMYFUNCTION("""COMPUTED_VALUE"""),"Empath")</f>
        <v>Empath</v>
      </c>
      <c r="W490" s="251" t="str">
        <f>IFERROR(__xludf.DUMMYFUNCTION("""COMPUTED_VALUE"""),"Telepath")</f>
        <v>Telepath</v>
      </c>
      <c r="X490" s="251" t="str">
        <f>IFERROR(__xludf.DUMMYFUNCTION("""COMPUTED_VALUE"""),"--")</f>
        <v>--</v>
      </c>
      <c r="Y490" s="251" t="str">
        <f>IFERROR(__xludf.DUMMYFUNCTION("""COMPUTED_VALUE"""),"--")</f>
        <v>--</v>
      </c>
      <c r="Z490" s="251" t="str">
        <f>IFERROR(__xludf.DUMMYFUNCTION("""COMPUTED_VALUE"""),"--")</f>
        <v>--</v>
      </c>
      <c r="AA490" s="251" t="str">
        <f>IFERROR(__xludf.DUMMYFUNCTION("""COMPUTED_VALUE"""),"--")</f>
        <v>--</v>
      </c>
      <c r="AB490" s="251" t="str">
        <f>IFERROR(__xludf.DUMMYFUNCTION("""COMPUTED_VALUE"""),"--")</f>
        <v>--</v>
      </c>
      <c r="AC490" s="251" t="str">
        <f>IFERROR(__xludf.DUMMYFUNCTION("""COMPUTED_VALUE"""),"--")</f>
        <v>--</v>
      </c>
      <c r="AD490" s="251">
        <f>IFERROR(__xludf.DUMMYFUNCTION("""COMPUTED_VALUE"""),1.0)</f>
        <v>1</v>
      </c>
      <c r="AE490" s="251" t="str">
        <f>IFERROR(__xludf.DUMMYFUNCTION("""COMPUTED_VALUE"""),"Omnivore")</f>
        <v>Omnivore</v>
      </c>
    </row>
    <row r="491">
      <c r="A491" s="251" t="str">
        <f>IFERROR(__xludf.DUMMYFUNCTION("""COMPUTED_VALUE"""),"Kirlia")</f>
        <v>Kirlia</v>
      </c>
      <c r="B491" s="251" t="str">
        <f>IFERROR(__xludf.DUMMYFUNCTION("""COMPUTED_VALUE"""),"Psychic")</f>
        <v>Psychic</v>
      </c>
      <c r="C491" s="251" t="str">
        <f>IFERROR(__xludf.DUMMYFUNCTION("""COMPUTED_VALUE"""),"Fairy")</f>
        <v>Fairy</v>
      </c>
      <c r="D491" s="251">
        <f>IFERROR(__xludf.DUMMYFUNCTION("""COMPUTED_VALUE"""),5.0)</f>
        <v>5</v>
      </c>
      <c r="E491" s="251">
        <f>IFERROR(__xludf.DUMMYFUNCTION("""COMPUTED_VALUE"""),5.0)</f>
        <v>5</v>
      </c>
      <c r="F491" s="251">
        <f>IFERROR(__xludf.DUMMYFUNCTION("""COMPUTED_VALUE"""),5.0)</f>
        <v>5</v>
      </c>
      <c r="G491" s="251">
        <f>IFERROR(__xludf.DUMMYFUNCTION("""COMPUTED_VALUE"""),9.0)</f>
        <v>9</v>
      </c>
      <c r="H491" s="251">
        <f>IFERROR(__xludf.DUMMYFUNCTION("""COMPUTED_VALUE"""),8.0)</f>
        <v>8</v>
      </c>
      <c r="I491" s="251">
        <f>IFERROR(__xludf.DUMMYFUNCTION("""COMPUTED_VALUE"""),6.0)</f>
        <v>6</v>
      </c>
      <c r="J491" s="251">
        <f>IFERROR(__xludf.DUMMYFUNCTION("""COMPUTED_VALUE"""),2.0)</f>
        <v>2</v>
      </c>
      <c r="K491" s="251" t="str">
        <f>IFERROR(__xludf.DUMMYFUNCTION("""COMPUTED_VALUE"""),"Small")</f>
        <v>Small</v>
      </c>
      <c r="L491" s="251">
        <f>IFERROR(__xludf.DUMMYFUNCTION("""COMPUTED_VALUE"""),2.0)</f>
        <v>2</v>
      </c>
      <c r="M491" s="251" t="str">
        <f>IFERROR(__xludf.DUMMYFUNCTION("""COMPUTED_VALUE"""),"Urban")</f>
        <v>Urban</v>
      </c>
      <c r="N491" s="251" t="str">
        <f>IFERROR(__xludf.DUMMYFUNCTION("""COMPUTED_VALUE"""),"Teleporter")</f>
        <v>Teleporter</v>
      </c>
      <c r="O491" s="251" t="str">
        <f>IFERROR(__xludf.DUMMYFUNCTION("""COMPUTED_VALUE"""),"--")</f>
        <v>--</v>
      </c>
      <c r="P491" s="251" t="str">
        <f>IFERROR(__xludf.DUMMYFUNCTION("""COMPUTED_VALUE"""),"--")</f>
        <v>--</v>
      </c>
      <c r="Q491" s="251" t="str">
        <f>IFERROR(__xludf.DUMMYFUNCTION("""COMPUTED_VALUE"""),"--")</f>
        <v>--</v>
      </c>
      <c r="R491" s="251" t="str">
        <f>IFERROR(__xludf.DUMMYFUNCTION("""COMPUTED_VALUE"""),"Telekinetic")</f>
        <v>Telekinetic</v>
      </c>
      <c r="S491" s="251" t="str">
        <f>IFERROR(__xludf.DUMMYFUNCTION("""COMPUTED_VALUE"""),"Underdog")</f>
        <v>Underdog</v>
      </c>
      <c r="T491" s="251" t="str">
        <f>IFERROR(__xludf.DUMMYFUNCTION("""COMPUTED_VALUE"""),"--")</f>
        <v>--</v>
      </c>
      <c r="U491" s="251" t="str">
        <f>IFERROR(__xludf.DUMMYFUNCTION("""COMPUTED_VALUE"""),"--")</f>
        <v>--</v>
      </c>
      <c r="V491" s="251" t="str">
        <f>IFERROR(__xludf.DUMMYFUNCTION("""COMPUTED_VALUE"""),"Empath")</f>
        <v>Empath</v>
      </c>
      <c r="W491" s="251" t="str">
        <f>IFERROR(__xludf.DUMMYFUNCTION("""COMPUTED_VALUE"""),"Premonition")</f>
        <v>Premonition</v>
      </c>
      <c r="X491" s="251" t="str">
        <f>IFERROR(__xludf.DUMMYFUNCTION("""COMPUTED_VALUE"""),"Telepath")</f>
        <v>Telepath</v>
      </c>
      <c r="Y491" s="251" t="str">
        <f>IFERROR(__xludf.DUMMYFUNCTION("""COMPUTED_VALUE"""),"--")</f>
        <v>--</v>
      </c>
      <c r="Z491" s="251" t="str">
        <f>IFERROR(__xludf.DUMMYFUNCTION("""COMPUTED_VALUE"""),"--")</f>
        <v>--</v>
      </c>
      <c r="AA491" s="251" t="str">
        <f>IFERROR(__xludf.DUMMYFUNCTION("""COMPUTED_VALUE"""),"--")</f>
        <v>--</v>
      </c>
      <c r="AB491" s="251" t="str">
        <f>IFERROR(__xludf.DUMMYFUNCTION("""COMPUTED_VALUE"""),"--")</f>
        <v>--</v>
      </c>
      <c r="AC491" s="251" t="str">
        <f>IFERROR(__xludf.DUMMYFUNCTION("""COMPUTED_VALUE"""),"--")</f>
        <v>--</v>
      </c>
      <c r="AD491" s="251">
        <f>IFERROR(__xludf.DUMMYFUNCTION("""COMPUTED_VALUE"""),2.0)</f>
        <v>2</v>
      </c>
      <c r="AE491" s="251" t="str">
        <f>IFERROR(__xludf.DUMMYFUNCTION("""COMPUTED_VALUE"""),"Omnivore")</f>
        <v>Omnivore</v>
      </c>
    </row>
    <row r="492">
      <c r="A492" s="251" t="str">
        <f>IFERROR(__xludf.DUMMYFUNCTION("""COMPUTED_VALUE"""),"Gardevoir")</f>
        <v>Gardevoir</v>
      </c>
      <c r="B492" s="251" t="str">
        <f>IFERROR(__xludf.DUMMYFUNCTION("""COMPUTED_VALUE"""),"Psychic")</f>
        <v>Psychic</v>
      </c>
      <c r="C492" s="251" t="str">
        <f>IFERROR(__xludf.DUMMYFUNCTION("""COMPUTED_VALUE"""),"Fairy")</f>
        <v>Fairy</v>
      </c>
      <c r="D492" s="251">
        <f>IFERROR(__xludf.DUMMYFUNCTION("""COMPUTED_VALUE"""),7.0)</f>
        <v>7</v>
      </c>
      <c r="E492" s="251">
        <f>IFERROR(__xludf.DUMMYFUNCTION("""COMPUTED_VALUE"""),7.0)</f>
        <v>7</v>
      </c>
      <c r="F492" s="251">
        <f>IFERROR(__xludf.DUMMYFUNCTION("""COMPUTED_VALUE"""),7.0)</f>
        <v>7</v>
      </c>
      <c r="G492" s="251">
        <f>IFERROR(__xludf.DUMMYFUNCTION("""COMPUTED_VALUE"""),13.0)</f>
        <v>13</v>
      </c>
      <c r="H492" s="251">
        <f>IFERROR(__xludf.DUMMYFUNCTION("""COMPUTED_VALUE"""),12.0)</f>
        <v>12</v>
      </c>
      <c r="I492" s="251">
        <f>IFERROR(__xludf.DUMMYFUNCTION("""COMPUTED_VALUE"""),8.0)</f>
        <v>8</v>
      </c>
      <c r="J492" s="251">
        <f>IFERROR(__xludf.DUMMYFUNCTION("""COMPUTED_VALUE"""),4.0)</f>
        <v>4</v>
      </c>
      <c r="K492" s="251" t="str">
        <f>IFERROR(__xludf.DUMMYFUNCTION("""COMPUTED_VALUE"""),"Medium")</f>
        <v>Medium</v>
      </c>
      <c r="L492" s="251">
        <f>IFERROR(__xludf.DUMMYFUNCTION("""COMPUTED_VALUE"""),3.0)</f>
        <v>3</v>
      </c>
      <c r="M492" s="251" t="str">
        <f>IFERROR(__xludf.DUMMYFUNCTION("""COMPUTED_VALUE"""),"Urban")</f>
        <v>Urban</v>
      </c>
      <c r="N492" s="251" t="str">
        <f>IFERROR(__xludf.DUMMYFUNCTION("""COMPUTED_VALUE"""),"Teleporter")</f>
        <v>Teleporter</v>
      </c>
      <c r="O492" s="251" t="str">
        <f>IFERROR(__xludf.DUMMYFUNCTION("""COMPUTED_VALUE"""),"--")</f>
        <v>--</v>
      </c>
      <c r="P492" s="251" t="str">
        <f>IFERROR(__xludf.DUMMYFUNCTION("""COMPUTED_VALUE"""),"--")</f>
        <v>--</v>
      </c>
      <c r="Q492" s="251" t="str">
        <f>IFERROR(__xludf.DUMMYFUNCTION("""COMPUTED_VALUE"""),"--")</f>
        <v>--</v>
      </c>
      <c r="R492" s="251" t="str">
        <f>IFERROR(__xludf.DUMMYFUNCTION("""COMPUTED_VALUE"""),"Telekinetic")</f>
        <v>Telekinetic</v>
      </c>
      <c r="S492" s="251" t="str">
        <f>IFERROR(__xludf.DUMMYFUNCTION("""COMPUTED_VALUE"""),"--")</f>
        <v>--</v>
      </c>
      <c r="T492" s="251" t="str">
        <f>IFERROR(__xludf.DUMMYFUNCTION("""COMPUTED_VALUE"""),"--")</f>
        <v>--</v>
      </c>
      <c r="U492" s="251" t="str">
        <f>IFERROR(__xludf.DUMMYFUNCTION("""COMPUTED_VALUE"""),"--")</f>
        <v>--</v>
      </c>
      <c r="V492" s="251" t="str">
        <f>IFERROR(__xludf.DUMMYFUNCTION("""COMPUTED_VALUE"""),"Empath")</f>
        <v>Empath</v>
      </c>
      <c r="W492" s="251" t="str">
        <f>IFERROR(__xludf.DUMMYFUNCTION("""COMPUTED_VALUE"""),"Premonition")</f>
        <v>Premonition</v>
      </c>
      <c r="X492" s="251" t="str">
        <f>IFERROR(__xludf.DUMMYFUNCTION("""COMPUTED_VALUE"""),"Telepath")</f>
        <v>Telepath</v>
      </c>
      <c r="Y492" s="251" t="str">
        <f>IFERROR(__xludf.DUMMYFUNCTION("""COMPUTED_VALUE"""),"--")</f>
        <v>--</v>
      </c>
      <c r="Z492" s="251" t="str">
        <f>IFERROR(__xludf.DUMMYFUNCTION("""COMPUTED_VALUE"""),"--")</f>
        <v>--</v>
      </c>
      <c r="AA492" s="251" t="str">
        <f>IFERROR(__xludf.DUMMYFUNCTION("""COMPUTED_VALUE"""),"--")</f>
        <v>--</v>
      </c>
      <c r="AB492" s="251" t="str">
        <f>IFERROR(__xludf.DUMMYFUNCTION("""COMPUTED_VALUE"""),"--")</f>
        <v>--</v>
      </c>
      <c r="AC492" s="251" t="str">
        <f>IFERROR(__xludf.DUMMYFUNCTION("""COMPUTED_VALUE"""),"--")</f>
        <v>--</v>
      </c>
      <c r="AD492" s="251">
        <f>IFERROR(__xludf.DUMMYFUNCTION("""COMPUTED_VALUE"""),3.0)</f>
        <v>3</v>
      </c>
      <c r="AE492" s="251" t="str">
        <f>IFERROR(__xludf.DUMMYFUNCTION("""COMPUTED_VALUE"""),"Omnivore")</f>
        <v>Omnivore</v>
      </c>
    </row>
    <row r="493">
      <c r="A493" s="251" t="str">
        <f>IFERROR(__xludf.DUMMYFUNCTION("""COMPUTED_VALUE"""),"Gallade")</f>
        <v>Gallade</v>
      </c>
      <c r="B493" s="251" t="str">
        <f>IFERROR(__xludf.DUMMYFUNCTION("""COMPUTED_VALUE"""),"Psychic")</f>
        <v>Psychic</v>
      </c>
      <c r="C493" s="251" t="str">
        <f>IFERROR(__xludf.DUMMYFUNCTION("""COMPUTED_VALUE"""),"Fighting")</f>
        <v>Fighting</v>
      </c>
      <c r="D493" s="251">
        <f>IFERROR(__xludf.DUMMYFUNCTION("""COMPUTED_VALUE"""),7.0)</f>
        <v>7</v>
      </c>
      <c r="E493" s="251">
        <f>IFERROR(__xludf.DUMMYFUNCTION("""COMPUTED_VALUE"""),13.0)</f>
        <v>13</v>
      </c>
      <c r="F493" s="251">
        <f>IFERROR(__xludf.DUMMYFUNCTION("""COMPUTED_VALUE"""),7.0)</f>
        <v>7</v>
      </c>
      <c r="G493" s="251">
        <f>IFERROR(__xludf.DUMMYFUNCTION("""COMPUTED_VALUE"""),7.0)</f>
        <v>7</v>
      </c>
      <c r="H493" s="251">
        <f>IFERROR(__xludf.DUMMYFUNCTION("""COMPUTED_VALUE"""),12.0)</f>
        <v>12</v>
      </c>
      <c r="I493" s="251">
        <f>IFERROR(__xludf.DUMMYFUNCTION("""COMPUTED_VALUE"""),8.0)</f>
        <v>8</v>
      </c>
      <c r="J493" s="251">
        <f>IFERROR(__xludf.DUMMYFUNCTION("""COMPUTED_VALUE"""),7.0)</f>
        <v>7</v>
      </c>
      <c r="K493" s="251" t="str">
        <f>IFERROR(__xludf.DUMMYFUNCTION("""COMPUTED_VALUE"""),"Medium")</f>
        <v>Medium</v>
      </c>
      <c r="L493" s="251">
        <f>IFERROR(__xludf.DUMMYFUNCTION("""COMPUTED_VALUE"""),4.0)</f>
        <v>4</v>
      </c>
      <c r="M493" s="251" t="str">
        <f>IFERROR(__xludf.DUMMYFUNCTION("""COMPUTED_VALUE"""),"Urban")</f>
        <v>Urban</v>
      </c>
      <c r="N493" s="251" t="str">
        <f>IFERROR(__xludf.DUMMYFUNCTION("""COMPUTED_VALUE"""),"Quick")</f>
        <v>Quick</v>
      </c>
      <c r="O493" s="251" t="str">
        <f>IFERROR(__xludf.DUMMYFUNCTION("""COMPUTED_VALUE"""),"Teleporter")</f>
        <v>Teleporter</v>
      </c>
      <c r="P493" s="251" t="str">
        <f>IFERROR(__xludf.DUMMYFUNCTION("""COMPUTED_VALUE"""),"--")</f>
        <v>--</v>
      </c>
      <c r="Q493" s="251" t="str">
        <f>IFERROR(__xludf.DUMMYFUNCTION("""COMPUTED_VALUE"""),"--")</f>
        <v>--</v>
      </c>
      <c r="R493" s="251" t="str">
        <f>IFERROR(__xludf.DUMMYFUNCTION("""COMPUTED_VALUE"""),"Telekinetic")</f>
        <v>Telekinetic</v>
      </c>
      <c r="S493" s="251" t="str">
        <f>IFERROR(__xludf.DUMMYFUNCTION("""COMPUTED_VALUE"""),"--")</f>
        <v>--</v>
      </c>
      <c r="T493" s="251" t="str">
        <f>IFERROR(__xludf.DUMMYFUNCTION("""COMPUTED_VALUE"""),"--")</f>
        <v>--</v>
      </c>
      <c r="U493" s="251" t="str">
        <f>IFERROR(__xludf.DUMMYFUNCTION("""COMPUTED_VALUE"""),"--")</f>
        <v>--</v>
      </c>
      <c r="V493" s="251" t="str">
        <f>IFERROR(__xludf.DUMMYFUNCTION("""COMPUTED_VALUE"""),"Aura Reader")</f>
        <v>Aura Reader</v>
      </c>
      <c r="W493" s="251" t="str">
        <f>IFERROR(__xludf.DUMMYFUNCTION("""COMPUTED_VALUE"""),"Empath")</f>
        <v>Empath</v>
      </c>
      <c r="X493" s="251" t="str">
        <f>IFERROR(__xludf.DUMMYFUNCTION("""COMPUTED_VALUE"""),"Telepath")</f>
        <v>Telepath</v>
      </c>
      <c r="Y493" s="251" t="str">
        <f>IFERROR(__xludf.DUMMYFUNCTION("""COMPUTED_VALUE"""),"--")</f>
        <v>--</v>
      </c>
      <c r="Z493" s="251" t="str">
        <f>IFERROR(__xludf.DUMMYFUNCTION("""COMPUTED_VALUE"""),"--")</f>
        <v>--</v>
      </c>
      <c r="AA493" s="251" t="str">
        <f>IFERROR(__xludf.DUMMYFUNCTION("""COMPUTED_VALUE"""),"--")</f>
        <v>--</v>
      </c>
      <c r="AB493" s="251" t="str">
        <f>IFERROR(__xludf.DUMMYFUNCTION("""COMPUTED_VALUE"""),"--")</f>
        <v>--</v>
      </c>
      <c r="AC493" s="251" t="str">
        <f>IFERROR(__xludf.DUMMYFUNCTION("""COMPUTED_VALUE"""),"--")</f>
        <v>--</v>
      </c>
      <c r="AD493" s="251">
        <f>IFERROR(__xludf.DUMMYFUNCTION("""COMPUTED_VALUE"""),3.0)</f>
        <v>3</v>
      </c>
      <c r="AE493" s="251" t="str">
        <f>IFERROR(__xludf.DUMMYFUNCTION("""COMPUTED_VALUE"""),"Omnivore")</f>
        <v>Omnivore</v>
      </c>
    </row>
    <row r="494">
      <c r="A494" s="251" t="str">
        <f>IFERROR(__xludf.DUMMYFUNCTION("""COMPUTED_VALUE"""),"Gothita")</f>
        <v>Gothita</v>
      </c>
      <c r="B494" s="251" t="str">
        <f>IFERROR(__xludf.DUMMYFUNCTION("""COMPUTED_VALUE"""),"Psychic")</f>
        <v>Psychic</v>
      </c>
      <c r="C494" s="251" t="str">
        <f>IFERROR(__xludf.DUMMYFUNCTION("""COMPUTED_VALUE"""),"None")</f>
        <v>None</v>
      </c>
      <c r="D494" s="251">
        <f>IFERROR(__xludf.DUMMYFUNCTION("""COMPUTED_VALUE"""),5.0)</f>
        <v>5</v>
      </c>
      <c r="E494" s="251">
        <f>IFERROR(__xludf.DUMMYFUNCTION("""COMPUTED_VALUE"""),3.0)</f>
        <v>3</v>
      </c>
      <c r="F494" s="251">
        <f>IFERROR(__xludf.DUMMYFUNCTION("""COMPUTED_VALUE"""),5.0)</f>
        <v>5</v>
      </c>
      <c r="G494" s="251">
        <f>IFERROR(__xludf.DUMMYFUNCTION("""COMPUTED_VALUE"""),6.0)</f>
        <v>6</v>
      </c>
      <c r="H494" s="251">
        <f>IFERROR(__xludf.DUMMYFUNCTION("""COMPUTED_VALUE"""),7.0)</f>
        <v>7</v>
      </c>
      <c r="I494" s="251">
        <f>IFERROR(__xludf.DUMMYFUNCTION("""COMPUTED_VALUE"""),5.0)</f>
        <v>5</v>
      </c>
      <c r="J494" s="251">
        <f>IFERROR(__xludf.DUMMYFUNCTION("""COMPUTED_VALUE"""),1.0)</f>
        <v>1</v>
      </c>
      <c r="K494" s="251" t="str">
        <f>IFERROR(__xludf.DUMMYFUNCTION("""COMPUTED_VALUE"""),"Small")</f>
        <v>Small</v>
      </c>
      <c r="L494" s="251">
        <f>IFERROR(__xludf.DUMMYFUNCTION("""COMPUTED_VALUE"""),1.0)</f>
        <v>1</v>
      </c>
      <c r="M494" s="251" t="str">
        <f>IFERROR(__xludf.DUMMYFUNCTION("""COMPUTED_VALUE"""),"Urban")</f>
        <v>Urban</v>
      </c>
      <c r="N494" s="251" t="str">
        <f>IFERROR(__xludf.DUMMYFUNCTION("""COMPUTED_VALUE"""),"Slow")</f>
        <v>Slow</v>
      </c>
      <c r="O494" s="251" t="str">
        <f>IFERROR(__xludf.DUMMYFUNCTION("""COMPUTED_VALUE"""),"--")</f>
        <v>--</v>
      </c>
      <c r="P494" s="251" t="str">
        <f>IFERROR(__xludf.DUMMYFUNCTION("""COMPUTED_VALUE"""),"--")</f>
        <v>--</v>
      </c>
      <c r="Q494" s="251" t="str">
        <f>IFERROR(__xludf.DUMMYFUNCTION("""COMPUTED_VALUE"""),"--")</f>
        <v>--</v>
      </c>
      <c r="R494" s="251" t="str">
        <f>IFERROR(__xludf.DUMMYFUNCTION("""COMPUTED_VALUE"""),"Telekinetic")</f>
        <v>Telekinetic</v>
      </c>
      <c r="S494" s="251" t="str">
        <f>IFERROR(__xludf.DUMMYFUNCTION("""COMPUTED_VALUE"""),"Underdog")</f>
        <v>Underdog</v>
      </c>
      <c r="T494" s="251" t="str">
        <f>IFERROR(__xludf.DUMMYFUNCTION("""COMPUTED_VALUE"""),"--")</f>
        <v>--</v>
      </c>
      <c r="U494" s="251" t="str">
        <f>IFERROR(__xludf.DUMMYFUNCTION("""COMPUTED_VALUE"""),"--")</f>
        <v>--</v>
      </c>
      <c r="V494" s="251" t="str">
        <f>IFERROR(__xludf.DUMMYFUNCTION("""COMPUTED_VALUE"""),"Telepath")</f>
        <v>Telepath</v>
      </c>
      <c r="W494" s="251" t="str">
        <f>IFERROR(__xludf.DUMMYFUNCTION("""COMPUTED_VALUE"""),"True Sight")</f>
        <v>True Sight</v>
      </c>
      <c r="X494" s="251" t="str">
        <f>IFERROR(__xludf.DUMMYFUNCTION("""COMPUTED_VALUE"""),"--")</f>
        <v>--</v>
      </c>
      <c r="Y494" s="251" t="str">
        <f>IFERROR(__xludf.DUMMYFUNCTION("""COMPUTED_VALUE"""),"--")</f>
        <v>--</v>
      </c>
      <c r="Z494" s="251" t="str">
        <f>IFERROR(__xludf.DUMMYFUNCTION("""COMPUTED_VALUE"""),"--")</f>
        <v>--</v>
      </c>
      <c r="AA494" s="251" t="str">
        <f>IFERROR(__xludf.DUMMYFUNCTION("""COMPUTED_VALUE"""),"--")</f>
        <v>--</v>
      </c>
      <c r="AB494" s="251" t="str">
        <f>IFERROR(__xludf.DUMMYFUNCTION("""COMPUTED_VALUE"""),"--")</f>
        <v>--</v>
      </c>
      <c r="AC494" s="251" t="str">
        <f>IFERROR(__xludf.DUMMYFUNCTION("""COMPUTED_VALUE"""),"--")</f>
        <v>--</v>
      </c>
      <c r="AD494" s="251">
        <f>IFERROR(__xludf.DUMMYFUNCTION("""COMPUTED_VALUE"""),1.0)</f>
        <v>1</v>
      </c>
      <c r="AE494" s="251" t="str">
        <f>IFERROR(__xludf.DUMMYFUNCTION("""COMPUTED_VALUE"""),"Herbivore")</f>
        <v>Herbivore</v>
      </c>
    </row>
    <row r="495">
      <c r="A495" s="251" t="str">
        <f>IFERROR(__xludf.DUMMYFUNCTION("""COMPUTED_VALUE"""),"Gothorita")</f>
        <v>Gothorita</v>
      </c>
      <c r="B495" s="251" t="str">
        <f>IFERROR(__xludf.DUMMYFUNCTION("""COMPUTED_VALUE"""),"Psychic")</f>
        <v>Psychic</v>
      </c>
      <c r="C495" s="251" t="str">
        <f>IFERROR(__xludf.DUMMYFUNCTION("""COMPUTED_VALUE"""),"None")</f>
        <v>None</v>
      </c>
      <c r="D495" s="251">
        <f>IFERROR(__xludf.DUMMYFUNCTION("""COMPUTED_VALUE"""),6.0)</f>
        <v>6</v>
      </c>
      <c r="E495" s="251">
        <f>IFERROR(__xludf.DUMMYFUNCTION("""COMPUTED_VALUE"""),5.0)</f>
        <v>5</v>
      </c>
      <c r="F495" s="251">
        <f>IFERROR(__xludf.DUMMYFUNCTION("""COMPUTED_VALUE"""),7.0)</f>
        <v>7</v>
      </c>
      <c r="G495" s="251">
        <f>IFERROR(__xludf.DUMMYFUNCTION("""COMPUTED_VALUE"""),8.0)</f>
        <v>8</v>
      </c>
      <c r="H495" s="251">
        <f>IFERROR(__xludf.DUMMYFUNCTION("""COMPUTED_VALUE"""),9.0)</f>
        <v>9</v>
      </c>
      <c r="I495" s="251">
        <f>IFERROR(__xludf.DUMMYFUNCTION("""COMPUTED_VALUE"""),6.0)</f>
        <v>6</v>
      </c>
      <c r="J495" s="251">
        <f>IFERROR(__xludf.DUMMYFUNCTION("""COMPUTED_VALUE"""),3.0)</f>
        <v>3</v>
      </c>
      <c r="K495" s="251" t="str">
        <f>IFERROR(__xludf.DUMMYFUNCTION("""COMPUTED_VALUE"""),"Small")</f>
        <v>Small</v>
      </c>
      <c r="L495" s="251">
        <f>IFERROR(__xludf.DUMMYFUNCTION("""COMPUTED_VALUE"""),2.0)</f>
        <v>2</v>
      </c>
      <c r="M495" s="251" t="str">
        <f>IFERROR(__xludf.DUMMYFUNCTION("""COMPUTED_VALUE"""),"Urban")</f>
        <v>Urban</v>
      </c>
      <c r="N495" s="251" t="str">
        <f>IFERROR(__xludf.DUMMYFUNCTION("""COMPUTED_VALUE"""),"--")</f>
        <v>--</v>
      </c>
      <c r="O495" s="251" t="str">
        <f>IFERROR(__xludf.DUMMYFUNCTION("""COMPUTED_VALUE"""),"--")</f>
        <v>--</v>
      </c>
      <c r="P495" s="251" t="str">
        <f>IFERROR(__xludf.DUMMYFUNCTION("""COMPUTED_VALUE"""),"--")</f>
        <v>--</v>
      </c>
      <c r="Q495" s="251" t="str">
        <f>IFERROR(__xludf.DUMMYFUNCTION("""COMPUTED_VALUE"""),"--")</f>
        <v>--</v>
      </c>
      <c r="R495" s="251" t="str">
        <f>IFERROR(__xludf.DUMMYFUNCTION("""COMPUTED_VALUE"""),"Telekinetic")</f>
        <v>Telekinetic</v>
      </c>
      <c r="S495" s="251" t="str">
        <f>IFERROR(__xludf.DUMMYFUNCTION("""COMPUTED_VALUE"""),"Underdog")</f>
        <v>Underdog</v>
      </c>
      <c r="T495" s="251" t="str">
        <f>IFERROR(__xludf.DUMMYFUNCTION("""COMPUTED_VALUE"""),"--")</f>
        <v>--</v>
      </c>
      <c r="U495" s="251" t="str">
        <f>IFERROR(__xludf.DUMMYFUNCTION("""COMPUTED_VALUE"""),"--")</f>
        <v>--</v>
      </c>
      <c r="V495" s="251" t="str">
        <f>IFERROR(__xludf.DUMMYFUNCTION("""COMPUTED_VALUE"""),"Telepath")</f>
        <v>Telepath</v>
      </c>
      <c r="W495" s="251" t="str">
        <f>IFERROR(__xludf.DUMMYFUNCTION("""COMPUTED_VALUE"""),"True Sight")</f>
        <v>True Sight</v>
      </c>
      <c r="X495" s="251" t="str">
        <f>IFERROR(__xludf.DUMMYFUNCTION("""COMPUTED_VALUE"""),"--")</f>
        <v>--</v>
      </c>
      <c r="Y495" s="251" t="str">
        <f>IFERROR(__xludf.DUMMYFUNCTION("""COMPUTED_VALUE"""),"--")</f>
        <v>--</v>
      </c>
      <c r="Z495" s="251" t="str">
        <f>IFERROR(__xludf.DUMMYFUNCTION("""COMPUTED_VALUE"""),"--")</f>
        <v>--</v>
      </c>
      <c r="AA495" s="251" t="str">
        <f>IFERROR(__xludf.DUMMYFUNCTION("""COMPUTED_VALUE"""),"--")</f>
        <v>--</v>
      </c>
      <c r="AB495" s="251" t="str">
        <f>IFERROR(__xludf.DUMMYFUNCTION("""COMPUTED_VALUE"""),"--")</f>
        <v>--</v>
      </c>
      <c r="AC495" s="251" t="str">
        <f>IFERROR(__xludf.DUMMYFUNCTION("""COMPUTED_VALUE"""),"--")</f>
        <v>--</v>
      </c>
      <c r="AD495" s="251">
        <f>IFERROR(__xludf.DUMMYFUNCTION("""COMPUTED_VALUE"""),2.0)</f>
        <v>2</v>
      </c>
      <c r="AE495" s="251" t="str">
        <f>IFERROR(__xludf.DUMMYFUNCTION("""COMPUTED_VALUE"""),"Herbivore")</f>
        <v>Herbivore</v>
      </c>
    </row>
    <row r="496">
      <c r="A496" s="251" t="str">
        <f>IFERROR(__xludf.DUMMYFUNCTION("""COMPUTED_VALUE"""),"Gothitelle")</f>
        <v>Gothitelle</v>
      </c>
      <c r="B496" s="251" t="str">
        <f>IFERROR(__xludf.DUMMYFUNCTION("""COMPUTED_VALUE"""),"Psychic")</f>
        <v>Psychic</v>
      </c>
      <c r="C496" s="251" t="str">
        <f>IFERROR(__xludf.DUMMYFUNCTION("""COMPUTED_VALUE"""),"None")</f>
        <v>None</v>
      </c>
      <c r="D496" s="251">
        <f>IFERROR(__xludf.DUMMYFUNCTION("""COMPUTED_VALUE"""),7.0)</f>
        <v>7</v>
      </c>
      <c r="E496" s="251">
        <f>IFERROR(__xludf.DUMMYFUNCTION("""COMPUTED_VALUE"""),6.0)</f>
        <v>6</v>
      </c>
      <c r="F496" s="251">
        <f>IFERROR(__xludf.DUMMYFUNCTION("""COMPUTED_VALUE"""),10.0)</f>
        <v>10</v>
      </c>
      <c r="G496" s="251">
        <f>IFERROR(__xludf.DUMMYFUNCTION("""COMPUTED_VALUE"""),10.0)</f>
        <v>10</v>
      </c>
      <c r="H496" s="251">
        <f>IFERROR(__xludf.DUMMYFUNCTION("""COMPUTED_VALUE"""),11.0)</f>
        <v>11</v>
      </c>
      <c r="I496" s="251">
        <f>IFERROR(__xludf.DUMMYFUNCTION("""COMPUTED_VALUE"""),7.0)</f>
        <v>7</v>
      </c>
      <c r="J496" s="251">
        <f>IFERROR(__xludf.DUMMYFUNCTION("""COMPUTED_VALUE"""),4.0)</f>
        <v>4</v>
      </c>
      <c r="K496" s="251" t="str">
        <f>IFERROR(__xludf.DUMMYFUNCTION("""COMPUTED_VALUE"""),"Medium")</f>
        <v>Medium</v>
      </c>
      <c r="L496" s="251">
        <f>IFERROR(__xludf.DUMMYFUNCTION("""COMPUTED_VALUE"""),2.0)</f>
        <v>2</v>
      </c>
      <c r="M496" s="251" t="str">
        <f>IFERROR(__xludf.DUMMYFUNCTION("""COMPUTED_VALUE"""),"Urban")</f>
        <v>Urban</v>
      </c>
      <c r="N496" s="251" t="str">
        <f>IFERROR(__xludf.DUMMYFUNCTION("""COMPUTED_VALUE"""),"--")</f>
        <v>--</v>
      </c>
      <c r="O496" s="251" t="str">
        <f>IFERROR(__xludf.DUMMYFUNCTION("""COMPUTED_VALUE"""),"--")</f>
        <v>--</v>
      </c>
      <c r="P496" s="251" t="str">
        <f>IFERROR(__xludf.DUMMYFUNCTION("""COMPUTED_VALUE"""),"--")</f>
        <v>--</v>
      </c>
      <c r="Q496" s="251" t="str">
        <f>IFERROR(__xludf.DUMMYFUNCTION("""COMPUTED_VALUE"""),"--")</f>
        <v>--</v>
      </c>
      <c r="R496" s="251" t="str">
        <f>IFERROR(__xludf.DUMMYFUNCTION("""COMPUTED_VALUE"""),"Telekinetic")</f>
        <v>Telekinetic</v>
      </c>
      <c r="S496" s="251" t="str">
        <f>IFERROR(__xludf.DUMMYFUNCTION("""COMPUTED_VALUE"""),"--")</f>
        <v>--</v>
      </c>
      <c r="T496" s="251" t="str">
        <f>IFERROR(__xludf.DUMMYFUNCTION("""COMPUTED_VALUE"""),"--")</f>
        <v>--</v>
      </c>
      <c r="U496" s="251" t="str">
        <f>IFERROR(__xludf.DUMMYFUNCTION("""COMPUTED_VALUE"""),"--")</f>
        <v>--</v>
      </c>
      <c r="V496" s="251" t="str">
        <f>IFERROR(__xludf.DUMMYFUNCTION("""COMPUTED_VALUE"""),"Premonition")</f>
        <v>Premonition</v>
      </c>
      <c r="W496" s="251" t="str">
        <f>IFERROR(__xludf.DUMMYFUNCTION("""COMPUTED_VALUE"""),"Telepath")</f>
        <v>Telepath</v>
      </c>
      <c r="X496" s="251" t="str">
        <f>IFERROR(__xludf.DUMMYFUNCTION("""COMPUTED_VALUE"""),"True Sight")</f>
        <v>True Sight</v>
      </c>
      <c r="Y496" s="251" t="str">
        <f>IFERROR(__xludf.DUMMYFUNCTION("""COMPUTED_VALUE"""),"--")</f>
        <v>--</v>
      </c>
      <c r="Z496" s="251" t="str">
        <f>IFERROR(__xludf.DUMMYFUNCTION("""COMPUTED_VALUE"""),"--")</f>
        <v>--</v>
      </c>
      <c r="AA496" s="251" t="str">
        <f>IFERROR(__xludf.DUMMYFUNCTION("""COMPUTED_VALUE"""),"--")</f>
        <v>--</v>
      </c>
      <c r="AB496" s="251" t="str">
        <f>IFERROR(__xludf.DUMMYFUNCTION("""COMPUTED_VALUE"""),"--")</f>
        <v>--</v>
      </c>
      <c r="AC496" s="251" t="str">
        <f>IFERROR(__xludf.DUMMYFUNCTION("""COMPUTED_VALUE"""),"--")</f>
        <v>--</v>
      </c>
      <c r="AD496" s="251">
        <f>IFERROR(__xludf.DUMMYFUNCTION("""COMPUTED_VALUE"""),3.0)</f>
        <v>3</v>
      </c>
      <c r="AE496" s="251" t="str">
        <f>IFERROR(__xludf.DUMMYFUNCTION("""COMPUTED_VALUE"""),"Herbivore")</f>
        <v>Herbivore</v>
      </c>
    </row>
    <row r="497">
      <c r="A497" s="251" t="str">
        <f>IFERROR(__xludf.DUMMYFUNCTION("""COMPUTED_VALUE"""),"Solosis")</f>
        <v>Solosis</v>
      </c>
      <c r="B497" s="251" t="str">
        <f>IFERROR(__xludf.DUMMYFUNCTION("""COMPUTED_VALUE"""),"Psychic")</f>
        <v>Psychic</v>
      </c>
      <c r="C497" s="251" t="str">
        <f>IFERROR(__xludf.DUMMYFUNCTION("""COMPUTED_VALUE"""),"None")</f>
        <v>None</v>
      </c>
      <c r="D497" s="251">
        <f>IFERROR(__xludf.DUMMYFUNCTION("""COMPUTED_VALUE"""),5.0)</f>
        <v>5</v>
      </c>
      <c r="E497" s="251">
        <f>IFERROR(__xludf.DUMMYFUNCTION("""COMPUTED_VALUE"""),3.0)</f>
        <v>3</v>
      </c>
      <c r="F497" s="251">
        <f>IFERROR(__xludf.DUMMYFUNCTION("""COMPUTED_VALUE"""),4.0)</f>
        <v>4</v>
      </c>
      <c r="G497" s="251">
        <f>IFERROR(__xludf.DUMMYFUNCTION("""COMPUTED_VALUE"""),11.0)</f>
        <v>11</v>
      </c>
      <c r="H497" s="251">
        <f>IFERROR(__xludf.DUMMYFUNCTION("""COMPUTED_VALUE"""),5.0)</f>
        <v>5</v>
      </c>
      <c r="I497" s="251">
        <f>IFERROR(__xludf.DUMMYFUNCTION("""COMPUTED_VALUE"""),2.0)</f>
        <v>2</v>
      </c>
      <c r="J497" s="251">
        <f>IFERROR(__xludf.DUMMYFUNCTION("""COMPUTED_VALUE"""),1.0)</f>
        <v>1</v>
      </c>
      <c r="K497" s="251" t="str">
        <f>IFERROR(__xludf.DUMMYFUNCTION("""COMPUTED_VALUE"""),"Small")</f>
        <v>Small</v>
      </c>
      <c r="L497" s="251">
        <f>IFERROR(__xludf.DUMMYFUNCTION("""COMPUTED_VALUE"""),1.0)</f>
        <v>1</v>
      </c>
      <c r="M497" s="251" t="str">
        <f>IFERROR(__xludf.DUMMYFUNCTION("""COMPUTED_VALUE"""),"Space, Urban")</f>
        <v>Space, Urban</v>
      </c>
      <c r="N497" s="251" t="str">
        <f>IFERROR(__xludf.DUMMYFUNCTION("""COMPUTED_VALUE"""),"Flier")</f>
        <v>Flier</v>
      </c>
      <c r="O497" s="251" t="str">
        <f>IFERROR(__xludf.DUMMYFUNCTION("""COMPUTED_VALUE"""),"--")</f>
        <v>--</v>
      </c>
      <c r="P497" s="251" t="str">
        <f>IFERROR(__xludf.DUMMYFUNCTION("""COMPUTED_VALUE"""),"--")</f>
        <v>--</v>
      </c>
      <c r="Q497" s="251" t="str">
        <f>IFERROR(__xludf.DUMMYFUNCTION("""COMPUTED_VALUE"""),"--")</f>
        <v>--</v>
      </c>
      <c r="R497" s="251" t="str">
        <f>IFERROR(__xludf.DUMMYFUNCTION("""COMPUTED_VALUE"""),"Telekinetic")</f>
        <v>Telekinetic</v>
      </c>
      <c r="S497" s="251" t="str">
        <f>IFERROR(__xludf.DUMMYFUNCTION("""COMPUTED_VALUE"""),"Underdog")</f>
        <v>Underdog</v>
      </c>
      <c r="T497" s="251" t="str">
        <f>IFERROR(__xludf.DUMMYFUNCTION("""COMPUTED_VALUE"""),"--")</f>
        <v>--</v>
      </c>
      <c r="U497" s="251" t="str">
        <f>IFERROR(__xludf.DUMMYFUNCTION("""COMPUTED_VALUE"""),"--")</f>
        <v>--</v>
      </c>
      <c r="V497" s="251" t="str">
        <f>IFERROR(__xludf.DUMMYFUNCTION("""COMPUTED_VALUE"""),"Amorphous")</f>
        <v>Amorphous</v>
      </c>
      <c r="W497" s="251" t="str">
        <f>IFERROR(__xludf.DUMMYFUNCTION("""COMPUTED_VALUE"""),"Telepath")</f>
        <v>Telepath</v>
      </c>
      <c r="X497" s="251" t="str">
        <f>IFERROR(__xludf.DUMMYFUNCTION("""COMPUTED_VALUE"""),"--")</f>
        <v>--</v>
      </c>
      <c r="Y497" s="251" t="str">
        <f>IFERROR(__xludf.DUMMYFUNCTION("""COMPUTED_VALUE"""),"--")</f>
        <v>--</v>
      </c>
      <c r="Z497" s="251" t="str">
        <f>IFERROR(__xludf.DUMMYFUNCTION("""COMPUTED_VALUE"""),"--")</f>
        <v>--</v>
      </c>
      <c r="AA497" s="251" t="str">
        <f>IFERROR(__xludf.DUMMYFUNCTION("""COMPUTED_VALUE"""),"--")</f>
        <v>--</v>
      </c>
      <c r="AB497" s="251" t="str">
        <f>IFERROR(__xludf.DUMMYFUNCTION("""COMPUTED_VALUE"""),"--")</f>
        <v>--</v>
      </c>
      <c r="AC497" s="251" t="str">
        <f>IFERROR(__xludf.DUMMYFUNCTION("""COMPUTED_VALUE"""),"--")</f>
        <v>--</v>
      </c>
      <c r="AD497" s="251">
        <f>IFERROR(__xludf.DUMMYFUNCTION("""COMPUTED_VALUE"""),1.0)</f>
        <v>1</v>
      </c>
      <c r="AE497" s="251" t="str">
        <f>IFERROR(__xludf.DUMMYFUNCTION("""COMPUTED_VALUE"""),"Herbivore")</f>
        <v>Herbivore</v>
      </c>
    </row>
    <row r="498">
      <c r="A498" s="251" t="str">
        <f>IFERROR(__xludf.DUMMYFUNCTION("""COMPUTED_VALUE"""),"Duosion")</f>
        <v>Duosion</v>
      </c>
      <c r="B498" s="251" t="str">
        <f>IFERROR(__xludf.DUMMYFUNCTION("""COMPUTED_VALUE"""),"Psychic")</f>
        <v>Psychic</v>
      </c>
      <c r="C498" s="251" t="str">
        <f>IFERROR(__xludf.DUMMYFUNCTION("""COMPUTED_VALUE"""),"None")</f>
        <v>None</v>
      </c>
      <c r="D498" s="251">
        <f>IFERROR(__xludf.DUMMYFUNCTION("""COMPUTED_VALUE"""),7.0)</f>
        <v>7</v>
      </c>
      <c r="E498" s="251">
        <f>IFERROR(__xludf.DUMMYFUNCTION("""COMPUTED_VALUE"""),4.0)</f>
        <v>4</v>
      </c>
      <c r="F498" s="251">
        <f>IFERROR(__xludf.DUMMYFUNCTION("""COMPUTED_VALUE"""),5.0)</f>
        <v>5</v>
      </c>
      <c r="G498" s="251">
        <f>IFERROR(__xludf.DUMMYFUNCTION("""COMPUTED_VALUE"""),13.0)</f>
        <v>13</v>
      </c>
      <c r="H498" s="251">
        <f>IFERROR(__xludf.DUMMYFUNCTION("""COMPUTED_VALUE"""),6.0)</f>
        <v>6</v>
      </c>
      <c r="I498" s="251">
        <f>IFERROR(__xludf.DUMMYFUNCTION("""COMPUTED_VALUE"""),3.0)</f>
        <v>3</v>
      </c>
      <c r="J498" s="251">
        <f>IFERROR(__xludf.DUMMYFUNCTION("""COMPUTED_VALUE"""),2.0)</f>
        <v>2</v>
      </c>
      <c r="K498" s="251" t="str">
        <f>IFERROR(__xludf.DUMMYFUNCTION("""COMPUTED_VALUE"""),"Small")</f>
        <v>Small</v>
      </c>
      <c r="L498" s="251">
        <f>IFERROR(__xludf.DUMMYFUNCTION("""COMPUTED_VALUE"""),1.0)</f>
        <v>1</v>
      </c>
      <c r="M498" s="251" t="str">
        <f>IFERROR(__xludf.DUMMYFUNCTION("""COMPUTED_VALUE"""),"Space, Urban")</f>
        <v>Space, Urban</v>
      </c>
      <c r="N498" s="251" t="str">
        <f>IFERROR(__xludf.DUMMYFUNCTION("""COMPUTED_VALUE"""),"Flier")</f>
        <v>Flier</v>
      </c>
      <c r="O498" s="251" t="str">
        <f>IFERROR(__xludf.DUMMYFUNCTION("""COMPUTED_VALUE"""),"--")</f>
        <v>--</v>
      </c>
      <c r="P498" s="251" t="str">
        <f>IFERROR(__xludf.DUMMYFUNCTION("""COMPUTED_VALUE"""),"--")</f>
        <v>--</v>
      </c>
      <c r="Q498" s="251" t="str">
        <f>IFERROR(__xludf.DUMMYFUNCTION("""COMPUTED_VALUE"""),"--")</f>
        <v>--</v>
      </c>
      <c r="R498" s="251" t="str">
        <f>IFERROR(__xludf.DUMMYFUNCTION("""COMPUTED_VALUE"""),"Telekinetic")</f>
        <v>Telekinetic</v>
      </c>
      <c r="S498" s="251" t="str">
        <f>IFERROR(__xludf.DUMMYFUNCTION("""COMPUTED_VALUE"""),"Underdog")</f>
        <v>Underdog</v>
      </c>
      <c r="T498" s="251" t="str">
        <f>IFERROR(__xludf.DUMMYFUNCTION("""COMPUTED_VALUE"""),"--")</f>
        <v>--</v>
      </c>
      <c r="U498" s="251" t="str">
        <f>IFERROR(__xludf.DUMMYFUNCTION("""COMPUTED_VALUE"""),"--")</f>
        <v>--</v>
      </c>
      <c r="V498" s="251" t="str">
        <f>IFERROR(__xludf.DUMMYFUNCTION("""COMPUTED_VALUE"""),"Amorphous")</f>
        <v>Amorphous</v>
      </c>
      <c r="W498" s="251" t="str">
        <f>IFERROR(__xludf.DUMMYFUNCTION("""COMPUTED_VALUE"""),"Telepath")</f>
        <v>Telepath</v>
      </c>
      <c r="X498" s="251" t="str">
        <f>IFERROR(__xludf.DUMMYFUNCTION("""COMPUTED_VALUE"""),"--")</f>
        <v>--</v>
      </c>
      <c r="Y498" s="251" t="str">
        <f>IFERROR(__xludf.DUMMYFUNCTION("""COMPUTED_VALUE"""),"--")</f>
        <v>--</v>
      </c>
      <c r="Z498" s="251" t="str">
        <f>IFERROR(__xludf.DUMMYFUNCTION("""COMPUTED_VALUE"""),"--")</f>
        <v>--</v>
      </c>
      <c r="AA498" s="251" t="str">
        <f>IFERROR(__xludf.DUMMYFUNCTION("""COMPUTED_VALUE"""),"--")</f>
        <v>--</v>
      </c>
      <c r="AB498" s="251" t="str">
        <f>IFERROR(__xludf.DUMMYFUNCTION("""COMPUTED_VALUE"""),"--")</f>
        <v>--</v>
      </c>
      <c r="AC498" s="251" t="str">
        <f>IFERROR(__xludf.DUMMYFUNCTION("""COMPUTED_VALUE"""),"--")</f>
        <v>--</v>
      </c>
      <c r="AD498" s="251">
        <f>IFERROR(__xludf.DUMMYFUNCTION("""COMPUTED_VALUE"""),2.0)</f>
        <v>2</v>
      </c>
      <c r="AE498" s="251" t="str">
        <f>IFERROR(__xludf.DUMMYFUNCTION("""COMPUTED_VALUE"""),"Omnivore")</f>
        <v>Omnivore</v>
      </c>
    </row>
    <row r="499">
      <c r="A499" s="251" t="str">
        <f>IFERROR(__xludf.DUMMYFUNCTION("""COMPUTED_VALUE"""),"Reuniclus")</f>
        <v>Reuniclus</v>
      </c>
      <c r="B499" s="251" t="str">
        <f>IFERROR(__xludf.DUMMYFUNCTION("""COMPUTED_VALUE"""),"Psychic")</f>
        <v>Psychic</v>
      </c>
      <c r="C499" s="251" t="str">
        <f>IFERROR(__xludf.DUMMYFUNCTION("""COMPUTED_VALUE"""),"None")</f>
        <v>None</v>
      </c>
      <c r="D499" s="251">
        <f>IFERROR(__xludf.DUMMYFUNCTION("""COMPUTED_VALUE"""),11.0)</f>
        <v>11</v>
      </c>
      <c r="E499" s="251">
        <f>IFERROR(__xludf.DUMMYFUNCTION("""COMPUTED_VALUE"""),7.0)</f>
        <v>7</v>
      </c>
      <c r="F499" s="251">
        <f>IFERROR(__xludf.DUMMYFUNCTION("""COMPUTED_VALUE"""),8.0)</f>
        <v>8</v>
      </c>
      <c r="G499" s="251">
        <f>IFERROR(__xludf.DUMMYFUNCTION("""COMPUTED_VALUE"""),13.0)</f>
        <v>13</v>
      </c>
      <c r="H499" s="251">
        <f>IFERROR(__xludf.DUMMYFUNCTION("""COMPUTED_VALUE"""),9.0)</f>
        <v>9</v>
      </c>
      <c r="I499" s="251">
        <f>IFERROR(__xludf.DUMMYFUNCTION("""COMPUTED_VALUE"""),3.0)</f>
        <v>3</v>
      </c>
      <c r="J499" s="251">
        <f>IFERROR(__xludf.DUMMYFUNCTION("""COMPUTED_VALUE"""),7.0)</f>
        <v>7</v>
      </c>
      <c r="K499" s="251" t="str">
        <f>IFERROR(__xludf.DUMMYFUNCTION("""COMPUTED_VALUE"""),"Medium")</f>
        <v>Medium</v>
      </c>
      <c r="L499" s="251">
        <f>IFERROR(__xludf.DUMMYFUNCTION("""COMPUTED_VALUE"""),2.0)</f>
        <v>2</v>
      </c>
      <c r="M499" s="251" t="str">
        <f>IFERROR(__xludf.DUMMYFUNCTION("""COMPUTED_VALUE"""),"Space, Urban")</f>
        <v>Space, Urban</v>
      </c>
      <c r="N499" s="251" t="str">
        <f>IFERROR(__xludf.DUMMYFUNCTION("""COMPUTED_VALUE"""),"Flier")</f>
        <v>Flier</v>
      </c>
      <c r="O499" s="251" t="str">
        <f>IFERROR(__xludf.DUMMYFUNCTION("""COMPUTED_VALUE"""),"--")</f>
        <v>--</v>
      </c>
      <c r="P499" s="251" t="str">
        <f>IFERROR(__xludf.DUMMYFUNCTION("""COMPUTED_VALUE"""),"--")</f>
        <v>--</v>
      </c>
      <c r="Q499" s="251" t="str">
        <f>IFERROR(__xludf.DUMMYFUNCTION("""COMPUTED_VALUE"""),"--")</f>
        <v>--</v>
      </c>
      <c r="R499" s="251" t="str">
        <f>IFERROR(__xludf.DUMMYFUNCTION("""COMPUTED_VALUE"""),"Telekinetic")</f>
        <v>Telekinetic</v>
      </c>
      <c r="S499" s="251" t="str">
        <f>IFERROR(__xludf.DUMMYFUNCTION("""COMPUTED_VALUE"""),"--")</f>
        <v>--</v>
      </c>
      <c r="T499" s="251" t="str">
        <f>IFERROR(__xludf.DUMMYFUNCTION("""COMPUTED_VALUE"""),"--")</f>
        <v>--</v>
      </c>
      <c r="U499" s="251" t="str">
        <f>IFERROR(__xludf.DUMMYFUNCTION("""COMPUTED_VALUE"""),"--")</f>
        <v>--</v>
      </c>
      <c r="V499" s="251" t="str">
        <f>IFERROR(__xludf.DUMMYFUNCTION("""COMPUTED_VALUE"""),"Amorphous")</f>
        <v>Amorphous</v>
      </c>
      <c r="W499" s="251" t="str">
        <f>IFERROR(__xludf.DUMMYFUNCTION("""COMPUTED_VALUE"""),"Telepath")</f>
        <v>Telepath</v>
      </c>
      <c r="X499" s="251" t="str">
        <f>IFERROR(__xludf.DUMMYFUNCTION("""COMPUTED_VALUE"""),"--")</f>
        <v>--</v>
      </c>
      <c r="Y499" s="251" t="str">
        <f>IFERROR(__xludf.DUMMYFUNCTION("""COMPUTED_VALUE"""),"--")</f>
        <v>--</v>
      </c>
      <c r="Z499" s="251" t="str">
        <f>IFERROR(__xludf.DUMMYFUNCTION("""COMPUTED_VALUE"""),"--")</f>
        <v>--</v>
      </c>
      <c r="AA499" s="251" t="str">
        <f>IFERROR(__xludf.DUMMYFUNCTION("""COMPUTED_VALUE"""),"--")</f>
        <v>--</v>
      </c>
      <c r="AB499" s="251" t="str">
        <f>IFERROR(__xludf.DUMMYFUNCTION("""COMPUTED_VALUE"""),"--")</f>
        <v>--</v>
      </c>
      <c r="AC499" s="251" t="str">
        <f>IFERROR(__xludf.DUMMYFUNCTION("""COMPUTED_VALUE"""),"--")</f>
        <v>--</v>
      </c>
      <c r="AD499" s="251">
        <f>IFERROR(__xludf.DUMMYFUNCTION("""COMPUTED_VALUE"""),3.0)</f>
        <v>3</v>
      </c>
      <c r="AE499" s="251" t="str">
        <f>IFERROR(__xludf.DUMMYFUNCTION("""COMPUTED_VALUE"""),"Omnivore")</f>
        <v>Omnivore</v>
      </c>
    </row>
    <row r="500">
      <c r="A500" s="251" t="str">
        <f>IFERROR(__xludf.DUMMYFUNCTION("""COMPUTED_VALUE"""),"Hatenna")</f>
        <v>Hatenna</v>
      </c>
      <c r="B500" s="251" t="str">
        <f>IFERROR(__xludf.DUMMYFUNCTION("""COMPUTED_VALUE"""),"Psychic")</f>
        <v>Psychic</v>
      </c>
      <c r="C500" s="251" t="str">
        <f>IFERROR(__xludf.DUMMYFUNCTION("""COMPUTED_VALUE"""),"None")</f>
        <v>None</v>
      </c>
      <c r="D500" s="251">
        <f>IFERROR(__xludf.DUMMYFUNCTION("""COMPUTED_VALUE"""),5.0)</f>
        <v>5</v>
      </c>
      <c r="E500" s="251">
        <f>IFERROR(__xludf.DUMMYFUNCTION("""COMPUTED_VALUE"""),3.0)</f>
        <v>3</v>
      </c>
      <c r="F500" s="251">
        <f>IFERROR(__xludf.DUMMYFUNCTION("""COMPUTED_VALUE"""),6.0)</f>
        <v>6</v>
      </c>
      <c r="G500" s="251">
        <f>IFERROR(__xludf.DUMMYFUNCTION("""COMPUTED_VALUE"""),6.0)</f>
        <v>6</v>
      </c>
      <c r="H500" s="251">
        <f>IFERROR(__xludf.DUMMYFUNCTION("""COMPUTED_VALUE"""),6.0)</f>
        <v>6</v>
      </c>
      <c r="I500" s="251">
        <f>IFERROR(__xludf.DUMMYFUNCTION("""COMPUTED_VALUE"""),4.0)</f>
        <v>4</v>
      </c>
      <c r="J500" s="251">
        <f>IFERROR(__xludf.DUMMYFUNCTION("""COMPUTED_VALUE"""),1.0)</f>
        <v>1</v>
      </c>
      <c r="K500" s="251" t="str">
        <f>IFERROR(__xludf.DUMMYFUNCTION("""COMPUTED_VALUE"""),"Small")</f>
        <v>Small</v>
      </c>
      <c r="L500" s="251">
        <f>IFERROR(__xludf.DUMMYFUNCTION("""COMPUTED_VALUE"""),1.0)</f>
        <v>1</v>
      </c>
      <c r="M500" s="251" t="str">
        <f>IFERROR(__xludf.DUMMYFUNCTION("""COMPUTED_VALUE"""),"Forest")</f>
        <v>Forest</v>
      </c>
      <c r="N500" s="251" t="str">
        <f>IFERROR(__xludf.DUMMYFUNCTION("""COMPUTED_VALUE"""),"--")</f>
        <v>--</v>
      </c>
      <c r="O500" s="251" t="str">
        <f>IFERROR(__xludf.DUMMYFUNCTION("""COMPUTED_VALUE"""),"--")</f>
        <v>--</v>
      </c>
      <c r="P500" s="251" t="str">
        <f>IFERROR(__xludf.DUMMYFUNCTION("""COMPUTED_VALUE"""),"--")</f>
        <v>--</v>
      </c>
      <c r="Q500" s="251" t="str">
        <f>IFERROR(__xludf.DUMMYFUNCTION("""COMPUTED_VALUE"""),"--")</f>
        <v>--</v>
      </c>
      <c r="R500" s="251" t="str">
        <f>IFERROR(__xludf.DUMMYFUNCTION("""COMPUTED_VALUE"""),"Telekinetic")</f>
        <v>Telekinetic</v>
      </c>
      <c r="S500" s="251" t="str">
        <f>IFERROR(__xludf.DUMMYFUNCTION("""COMPUTED_VALUE"""),"Underdog")</f>
        <v>Underdog</v>
      </c>
      <c r="T500" s="251" t="str">
        <f>IFERROR(__xludf.DUMMYFUNCTION("""COMPUTED_VALUE"""),"--")</f>
        <v>--</v>
      </c>
      <c r="U500" s="251" t="str">
        <f>IFERROR(__xludf.DUMMYFUNCTION("""COMPUTED_VALUE"""),"--")</f>
        <v>--</v>
      </c>
      <c r="V500" s="251" t="str">
        <f>IFERROR(__xludf.DUMMYFUNCTION("""COMPUTED_VALUE"""),"Empath")</f>
        <v>Empath</v>
      </c>
      <c r="W500" s="251" t="str">
        <f>IFERROR(__xludf.DUMMYFUNCTION("""COMPUTED_VALUE"""),"Telepath")</f>
        <v>Telepath</v>
      </c>
      <c r="X500" s="251" t="str">
        <f>IFERROR(__xludf.DUMMYFUNCTION("""COMPUTED_VALUE"""),"--")</f>
        <v>--</v>
      </c>
      <c r="Y500" s="251" t="str">
        <f>IFERROR(__xludf.DUMMYFUNCTION("""COMPUTED_VALUE"""),"--")</f>
        <v>--</v>
      </c>
      <c r="Z500" s="251" t="str">
        <f>IFERROR(__xludf.DUMMYFUNCTION("""COMPUTED_VALUE"""),"--")</f>
        <v>--</v>
      </c>
      <c r="AA500" s="251" t="str">
        <f>IFERROR(__xludf.DUMMYFUNCTION("""COMPUTED_VALUE"""),"--")</f>
        <v>--</v>
      </c>
      <c r="AB500" s="251" t="str">
        <f>IFERROR(__xludf.DUMMYFUNCTION("""COMPUTED_VALUE"""),"--")</f>
        <v>--</v>
      </c>
      <c r="AC500" s="251" t="str">
        <f>IFERROR(__xludf.DUMMYFUNCTION("""COMPUTED_VALUE"""),"--")</f>
        <v>--</v>
      </c>
      <c r="AD500" s="251">
        <f>IFERROR(__xludf.DUMMYFUNCTION("""COMPUTED_VALUE"""),1.0)</f>
        <v>1</v>
      </c>
      <c r="AE500" s="251" t="str">
        <f>IFERROR(__xludf.DUMMYFUNCTION("""COMPUTED_VALUE"""),"Herbivore")</f>
        <v>Herbivore</v>
      </c>
    </row>
    <row r="501">
      <c r="A501" s="251" t="str">
        <f>IFERROR(__xludf.DUMMYFUNCTION("""COMPUTED_VALUE"""),"Hattrem")</f>
        <v>Hattrem</v>
      </c>
      <c r="B501" s="251" t="str">
        <f>IFERROR(__xludf.DUMMYFUNCTION("""COMPUTED_VALUE"""),"Psychic")</f>
        <v>Psychic</v>
      </c>
      <c r="C501" s="251" t="str">
        <f>IFERROR(__xludf.DUMMYFUNCTION("""COMPUTED_VALUE"""),"None")</f>
        <v>None</v>
      </c>
      <c r="D501" s="251">
        <f>IFERROR(__xludf.DUMMYFUNCTION("""COMPUTED_VALUE"""),6.0)</f>
        <v>6</v>
      </c>
      <c r="E501" s="251">
        <f>IFERROR(__xludf.DUMMYFUNCTION("""COMPUTED_VALUE"""),4.0)</f>
        <v>4</v>
      </c>
      <c r="F501" s="251">
        <f>IFERROR(__xludf.DUMMYFUNCTION("""COMPUTED_VALUE"""),7.0)</f>
        <v>7</v>
      </c>
      <c r="G501" s="251">
        <f>IFERROR(__xludf.DUMMYFUNCTION("""COMPUTED_VALUE"""),9.0)</f>
        <v>9</v>
      </c>
      <c r="H501" s="251">
        <f>IFERROR(__xludf.DUMMYFUNCTION("""COMPUTED_VALUE"""),7.0)</f>
        <v>7</v>
      </c>
      <c r="I501" s="251">
        <f>IFERROR(__xludf.DUMMYFUNCTION("""COMPUTED_VALUE"""),5.0)</f>
        <v>5</v>
      </c>
      <c r="J501" s="251">
        <f>IFERROR(__xludf.DUMMYFUNCTION("""COMPUTED_VALUE"""),1.0)</f>
        <v>1</v>
      </c>
      <c r="K501" s="251" t="str">
        <f>IFERROR(__xludf.DUMMYFUNCTION("""COMPUTED_VALUE"""),"Small")</f>
        <v>Small</v>
      </c>
      <c r="L501" s="251">
        <f>IFERROR(__xludf.DUMMYFUNCTION("""COMPUTED_VALUE"""),1.0)</f>
        <v>1</v>
      </c>
      <c r="M501" s="251" t="str">
        <f>IFERROR(__xludf.DUMMYFUNCTION("""COMPUTED_VALUE"""),"Forest")</f>
        <v>Forest</v>
      </c>
      <c r="N501" s="251" t="str">
        <f>IFERROR(__xludf.DUMMYFUNCTION("""COMPUTED_VALUE"""),"--")</f>
        <v>--</v>
      </c>
      <c r="O501" s="251" t="str">
        <f>IFERROR(__xludf.DUMMYFUNCTION("""COMPUTED_VALUE"""),"--")</f>
        <v>--</v>
      </c>
      <c r="P501" s="251" t="str">
        <f>IFERROR(__xludf.DUMMYFUNCTION("""COMPUTED_VALUE"""),"--")</f>
        <v>--</v>
      </c>
      <c r="Q501" s="251" t="str">
        <f>IFERROR(__xludf.DUMMYFUNCTION("""COMPUTED_VALUE"""),"--")</f>
        <v>--</v>
      </c>
      <c r="R501" s="251" t="str">
        <f>IFERROR(__xludf.DUMMYFUNCTION("""COMPUTED_VALUE"""),"Telekinetic")</f>
        <v>Telekinetic</v>
      </c>
      <c r="S501" s="251" t="str">
        <f>IFERROR(__xludf.DUMMYFUNCTION("""COMPUTED_VALUE"""),"Underdog")</f>
        <v>Underdog</v>
      </c>
      <c r="T501" s="251" t="str">
        <f>IFERROR(__xludf.DUMMYFUNCTION("""COMPUTED_VALUE"""),"--")</f>
        <v>--</v>
      </c>
      <c r="U501" s="251" t="str">
        <f>IFERROR(__xludf.DUMMYFUNCTION("""COMPUTED_VALUE"""),"--")</f>
        <v>--</v>
      </c>
      <c r="V501" s="251" t="str">
        <f>IFERROR(__xludf.DUMMYFUNCTION("""COMPUTED_VALUE"""),"Empath")</f>
        <v>Empath</v>
      </c>
      <c r="W501" s="251" t="str">
        <f>IFERROR(__xludf.DUMMYFUNCTION("""COMPUTED_VALUE"""),"Telepath")</f>
        <v>Telepath</v>
      </c>
      <c r="X501" s="251" t="str">
        <f>IFERROR(__xludf.DUMMYFUNCTION("""COMPUTED_VALUE"""),"--")</f>
        <v>--</v>
      </c>
      <c r="Y501" s="251" t="str">
        <f>IFERROR(__xludf.DUMMYFUNCTION("""COMPUTED_VALUE"""),"--")</f>
        <v>--</v>
      </c>
      <c r="Z501" s="251" t="str">
        <f>IFERROR(__xludf.DUMMYFUNCTION("""COMPUTED_VALUE"""),"--")</f>
        <v>--</v>
      </c>
      <c r="AA501" s="251" t="str">
        <f>IFERROR(__xludf.DUMMYFUNCTION("""COMPUTED_VALUE"""),"--")</f>
        <v>--</v>
      </c>
      <c r="AB501" s="251" t="str">
        <f>IFERROR(__xludf.DUMMYFUNCTION("""COMPUTED_VALUE"""),"--")</f>
        <v>--</v>
      </c>
      <c r="AC501" s="251" t="str">
        <f>IFERROR(__xludf.DUMMYFUNCTION("""COMPUTED_VALUE"""),"--")</f>
        <v>--</v>
      </c>
      <c r="AD501" s="251">
        <f>IFERROR(__xludf.DUMMYFUNCTION("""COMPUTED_VALUE"""),2.0)</f>
        <v>2</v>
      </c>
      <c r="AE501" s="251" t="str">
        <f>IFERROR(__xludf.DUMMYFUNCTION("""COMPUTED_VALUE"""),"Herbivore")</f>
        <v>Herbivore</v>
      </c>
    </row>
    <row r="502">
      <c r="A502" s="251" t="str">
        <f>IFERROR(__xludf.DUMMYFUNCTION("""COMPUTED_VALUE"""),"Hatterene")</f>
        <v>Hatterene</v>
      </c>
      <c r="B502" s="251" t="str">
        <f>IFERROR(__xludf.DUMMYFUNCTION("""COMPUTED_VALUE"""),"Psychic")</f>
        <v>Psychic</v>
      </c>
      <c r="C502" s="251" t="str">
        <f>IFERROR(__xludf.DUMMYFUNCTION("""COMPUTED_VALUE"""),"Fairy")</f>
        <v>Fairy</v>
      </c>
      <c r="D502" s="251">
        <f>IFERROR(__xludf.DUMMYFUNCTION("""COMPUTED_VALUE"""),6.0)</f>
        <v>6</v>
      </c>
      <c r="E502" s="251">
        <f>IFERROR(__xludf.DUMMYFUNCTION("""COMPUTED_VALUE"""),9.0)</f>
        <v>9</v>
      </c>
      <c r="F502" s="251">
        <f>IFERROR(__xludf.DUMMYFUNCTION("""COMPUTED_VALUE"""),10.0)</f>
        <v>10</v>
      </c>
      <c r="G502" s="251">
        <f>IFERROR(__xludf.DUMMYFUNCTION("""COMPUTED_VALUE"""),14.0)</f>
        <v>14</v>
      </c>
      <c r="H502" s="251">
        <f>IFERROR(__xludf.DUMMYFUNCTION("""COMPUTED_VALUE"""),10.0)</f>
        <v>10</v>
      </c>
      <c r="I502" s="251">
        <f>IFERROR(__xludf.DUMMYFUNCTION("""COMPUTED_VALUE"""),3.0)</f>
        <v>3</v>
      </c>
      <c r="J502" s="251">
        <f>IFERROR(__xludf.DUMMYFUNCTION("""COMPUTED_VALUE"""),3.0)</f>
        <v>3</v>
      </c>
      <c r="K502" s="251" t="str">
        <f>IFERROR(__xludf.DUMMYFUNCTION("""COMPUTED_VALUE"""),"Large")</f>
        <v>Large</v>
      </c>
      <c r="L502" s="251">
        <f>IFERROR(__xludf.DUMMYFUNCTION("""COMPUTED_VALUE"""),1.0)</f>
        <v>1</v>
      </c>
      <c r="M502" s="251" t="str">
        <f>IFERROR(__xludf.DUMMYFUNCTION("""COMPUTED_VALUE"""),"Forest")</f>
        <v>Forest</v>
      </c>
      <c r="N502" s="251" t="str">
        <f>IFERROR(__xludf.DUMMYFUNCTION("""COMPUTED_VALUE"""),"Flier")</f>
        <v>Flier</v>
      </c>
      <c r="O502" s="251" t="str">
        <f>IFERROR(__xludf.DUMMYFUNCTION("""COMPUTED_VALUE"""),"Slow")</f>
        <v>Slow</v>
      </c>
      <c r="P502" s="251" t="str">
        <f>IFERROR(__xludf.DUMMYFUNCTION("""COMPUTED_VALUE"""),"Teleporter")</f>
        <v>Teleporter</v>
      </c>
      <c r="Q502" s="251" t="str">
        <f>IFERROR(__xludf.DUMMYFUNCTION("""COMPUTED_VALUE"""),"--")</f>
        <v>--</v>
      </c>
      <c r="R502" s="251" t="str">
        <f>IFERROR(__xludf.DUMMYFUNCTION("""COMPUTED_VALUE"""),"Telekinetic")</f>
        <v>Telekinetic</v>
      </c>
      <c r="S502" s="251" t="str">
        <f>IFERROR(__xludf.DUMMYFUNCTION("""COMPUTED_VALUE"""),"--")</f>
        <v>--</v>
      </c>
      <c r="T502" s="251" t="str">
        <f>IFERROR(__xludf.DUMMYFUNCTION("""COMPUTED_VALUE"""),"--")</f>
        <v>--</v>
      </c>
      <c r="U502" s="251" t="str">
        <f>IFERROR(__xludf.DUMMYFUNCTION("""COMPUTED_VALUE"""),"--")</f>
        <v>--</v>
      </c>
      <c r="V502" s="251" t="str">
        <f>IFERROR(__xludf.DUMMYFUNCTION("""COMPUTED_VALUE"""),"Empath")</f>
        <v>Empath</v>
      </c>
      <c r="W502" s="251" t="str">
        <f>IFERROR(__xludf.DUMMYFUNCTION("""COMPUTED_VALUE"""),"Illusionist")</f>
        <v>Illusionist</v>
      </c>
      <c r="X502" s="251" t="str">
        <f>IFERROR(__xludf.DUMMYFUNCTION("""COMPUTED_VALUE"""),"Telepath")</f>
        <v>Telepath</v>
      </c>
      <c r="Y502" s="251" t="str">
        <f>IFERROR(__xludf.DUMMYFUNCTION("""COMPUTED_VALUE"""),"--")</f>
        <v>--</v>
      </c>
      <c r="Z502" s="251" t="str">
        <f>IFERROR(__xludf.DUMMYFUNCTION("""COMPUTED_VALUE"""),"--")</f>
        <v>--</v>
      </c>
      <c r="AA502" s="251" t="str">
        <f>IFERROR(__xludf.DUMMYFUNCTION("""COMPUTED_VALUE"""),"--")</f>
        <v>--</v>
      </c>
      <c r="AB502" s="251" t="str">
        <f>IFERROR(__xludf.DUMMYFUNCTION("""COMPUTED_VALUE"""),"--")</f>
        <v>--</v>
      </c>
      <c r="AC502" s="251" t="str">
        <f>IFERROR(__xludf.DUMMYFUNCTION("""COMPUTED_VALUE"""),"--")</f>
        <v>--</v>
      </c>
      <c r="AD502" s="251">
        <f>IFERROR(__xludf.DUMMYFUNCTION("""COMPUTED_VALUE"""),3.0)</f>
        <v>3</v>
      </c>
      <c r="AE502" s="251" t="str">
        <f>IFERROR(__xludf.DUMMYFUNCTION("""COMPUTED_VALUE"""),"Herbivore")</f>
        <v>Herbivore</v>
      </c>
    </row>
    <row r="503">
      <c r="A503" s="251" t="str">
        <f>IFERROR(__xludf.DUMMYFUNCTION("""COMPUTED_VALUE"""),"Geodude")</f>
        <v>Geodude</v>
      </c>
      <c r="B503" s="251" t="str">
        <f>IFERROR(__xludf.DUMMYFUNCTION("""COMPUTED_VALUE"""),"Rock")</f>
        <v>Rock</v>
      </c>
      <c r="C503" s="251" t="str">
        <f>IFERROR(__xludf.DUMMYFUNCTION("""COMPUTED_VALUE"""),"Ground")</f>
        <v>Ground</v>
      </c>
      <c r="D503" s="251">
        <f>IFERROR(__xludf.DUMMYFUNCTION("""COMPUTED_VALUE"""),4.0)</f>
        <v>4</v>
      </c>
      <c r="E503" s="251">
        <f>IFERROR(__xludf.DUMMYFUNCTION("""COMPUTED_VALUE"""),8.0)</f>
        <v>8</v>
      </c>
      <c r="F503" s="251">
        <f>IFERROR(__xludf.DUMMYFUNCTION("""COMPUTED_VALUE"""),10.0)</f>
        <v>10</v>
      </c>
      <c r="G503" s="251">
        <f>IFERROR(__xludf.DUMMYFUNCTION("""COMPUTED_VALUE"""),3.0)</f>
        <v>3</v>
      </c>
      <c r="H503" s="251">
        <f>IFERROR(__xludf.DUMMYFUNCTION("""COMPUTED_VALUE"""),3.0)</f>
        <v>3</v>
      </c>
      <c r="I503" s="251">
        <f>IFERROR(__xludf.DUMMYFUNCTION("""COMPUTED_VALUE"""),2.0)</f>
        <v>2</v>
      </c>
      <c r="J503" s="251">
        <f>IFERROR(__xludf.DUMMYFUNCTION("""COMPUTED_VALUE"""),3.0)</f>
        <v>3</v>
      </c>
      <c r="K503" s="251" t="str">
        <f>IFERROR(__xludf.DUMMYFUNCTION("""COMPUTED_VALUE"""),"Small")</f>
        <v>Small</v>
      </c>
      <c r="L503" s="251">
        <f>IFERROR(__xludf.DUMMYFUNCTION("""COMPUTED_VALUE"""),2.0)</f>
        <v>2</v>
      </c>
      <c r="M503" s="251" t="str">
        <f>IFERROR(__xludf.DUMMYFUNCTION("""COMPUTED_VALUE"""),"Cave, Mountain")</f>
        <v>Cave, Mountain</v>
      </c>
      <c r="N503" s="251" t="str">
        <f>IFERROR(__xludf.DUMMYFUNCTION("""COMPUTED_VALUE"""),"Flier")</f>
        <v>Flier</v>
      </c>
      <c r="O503" s="251" t="str">
        <f>IFERROR(__xludf.DUMMYFUNCTION("""COMPUTED_VALUE"""),"--")</f>
        <v>--</v>
      </c>
      <c r="P503" s="251" t="str">
        <f>IFERROR(__xludf.DUMMYFUNCTION("""COMPUTED_VALUE"""),"--")</f>
        <v>--</v>
      </c>
      <c r="Q503" s="251" t="str">
        <f>IFERROR(__xludf.DUMMYFUNCTION("""COMPUTED_VALUE"""),"--")</f>
        <v>--</v>
      </c>
      <c r="R503" s="251" t="str">
        <f>IFERROR(__xludf.DUMMYFUNCTION("""COMPUTED_VALUE"""),"Underdog")</f>
        <v>Underdog</v>
      </c>
      <c r="S503" s="251" t="str">
        <f>IFERROR(__xludf.DUMMYFUNCTION("""COMPUTED_VALUE"""),"--")</f>
        <v>--</v>
      </c>
      <c r="T503" s="251" t="str">
        <f>IFERROR(__xludf.DUMMYFUNCTION("""COMPUTED_VALUE"""),"--")</f>
        <v>--</v>
      </c>
      <c r="U503" s="251" t="str">
        <f>IFERROR(__xludf.DUMMYFUNCTION("""COMPUTED_VALUE"""),"--")</f>
        <v>--</v>
      </c>
      <c r="V503" s="251" t="str">
        <f>IFERROR(__xludf.DUMMYFUNCTION("""COMPUTED_VALUE"""),"--")</f>
        <v>--</v>
      </c>
      <c r="W503" s="251" t="str">
        <f>IFERROR(__xludf.DUMMYFUNCTION("""COMPUTED_VALUE"""),"--")</f>
        <v>--</v>
      </c>
      <c r="X503" s="251" t="str">
        <f>IFERROR(__xludf.DUMMYFUNCTION("""COMPUTED_VALUE"""),"--")</f>
        <v>--</v>
      </c>
      <c r="Y503" s="251" t="str">
        <f>IFERROR(__xludf.DUMMYFUNCTION("""COMPUTED_VALUE"""),"--")</f>
        <v>--</v>
      </c>
      <c r="Z503" s="251" t="str">
        <f>IFERROR(__xludf.DUMMYFUNCTION("""COMPUTED_VALUE"""),"--")</f>
        <v>--</v>
      </c>
      <c r="AA503" s="251" t="str">
        <f>IFERROR(__xludf.DUMMYFUNCTION("""COMPUTED_VALUE"""),"--")</f>
        <v>--</v>
      </c>
      <c r="AB503" s="251" t="str">
        <f>IFERROR(__xludf.DUMMYFUNCTION("""COMPUTED_VALUE"""),"--")</f>
        <v>--</v>
      </c>
      <c r="AC503" s="251" t="str">
        <f>IFERROR(__xludf.DUMMYFUNCTION("""COMPUTED_VALUE"""),"--")</f>
        <v>--</v>
      </c>
      <c r="AD503" s="251">
        <f>IFERROR(__xludf.DUMMYFUNCTION("""COMPUTED_VALUE"""),1.0)</f>
        <v>1</v>
      </c>
      <c r="AE503" s="251" t="str">
        <f>IFERROR(__xludf.DUMMYFUNCTION("""COMPUTED_VALUE"""),"Terravore")</f>
        <v>Terravore</v>
      </c>
    </row>
    <row r="504">
      <c r="A504" s="251" t="str">
        <f>IFERROR(__xludf.DUMMYFUNCTION("""COMPUTED_VALUE"""),"Graveler")</f>
        <v>Graveler</v>
      </c>
      <c r="B504" s="251" t="str">
        <f>IFERROR(__xludf.DUMMYFUNCTION("""COMPUTED_VALUE"""),"Rock")</f>
        <v>Rock</v>
      </c>
      <c r="C504" s="251" t="str">
        <f>IFERROR(__xludf.DUMMYFUNCTION("""COMPUTED_VALUE"""),"Ground")</f>
        <v>Ground</v>
      </c>
      <c r="D504" s="251">
        <f>IFERROR(__xludf.DUMMYFUNCTION("""COMPUTED_VALUE"""),6.0)</f>
        <v>6</v>
      </c>
      <c r="E504" s="251">
        <f>IFERROR(__xludf.DUMMYFUNCTION("""COMPUTED_VALUE"""),10.0)</f>
        <v>10</v>
      </c>
      <c r="F504" s="251">
        <f>IFERROR(__xludf.DUMMYFUNCTION("""COMPUTED_VALUE"""),12.0)</f>
        <v>12</v>
      </c>
      <c r="G504" s="251">
        <f>IFERROR(__xludf.DUMMYFUNCTION("""COMPUTED_VALUE"""),5.0)</f>
        <v>5</v>
      </c>
      <c r="H504" s="251">
        <f>IFERROR(__xludf.DUMMYFUNCTION("""COMPUTED_VALUE"""),5.0)</f>
        <v>5</v>
      </c>
      <c r="I504" s="251">
        <f>IFERROR(__xludf.DUMMYFUNCTION("""COMPUTED_VALUE"""),4.0)</f>
        <v>4</v>
      </c>
      <c r="J504" s="251">
        <f>IFERROR(__xludf.DUMMYFUNCTION("""COMPUTED_VALUE"""),8.0)</f>
        <v>8</v>
      </c>
      <c r="K504" s="251" t="str">
        <f>IFERROR(__xludf.DUMMYFUNCTION("""COMPUTED_VALUE"""),"Medium")</f>
        <v>Medium</v>
      </c>
      <c r="L504" s="251">
        <f>IFERROR(__xludf.DUMMYFUNCTION("""COMPUTED_VALUE"""),5.0)</f>
        <v>5</v>
      </c>
      <c r="M504" s="251" t="str">
        <f>IFERROR(__xludf.DUMMYFUNCTION("""COMPUTED_VALUE"""),"Cave, Mountain")</f>
        <v>Cave, Mountain</v>
      </c>
      <c r="N504" s="251" t="str">
        <f>IFERROR(__xludf.DUMMYFUNCTION("""COMPUTED_VALUE"""),"Burrower")</f>
        <v>Burrower</v>
      </c>
      <c r="O504" s="251" t="str">
        <f>IFERROR(__xludf.DUMMYFUNCTION("""COMPUTED_VALUE"""),"--")</f>
        <v>--</v>
      </c>
      <c r="P504" s="251" t="str">
        <f>IFERROR(__xludf.DUMMYFUNCTION("""COMPUTED_VALUE"""),"--")</f>
        <v>--</v>
      </c>
      <c r="Q504" s="251" t="str">
        <f>IFERROR(__xludf.DUMMYFUNCTION("""COMPUTED_VALUE"""),"--")</f>
        <v>--</v>
      </c>
      <c r="R504" s="251" t="str">
        <f>IFERROR(__xludf.DUMMYFUNCTION("""COMPUTED_VALUE"""),"Underdog")</f>
        <v>Underdog</v>
      </c>
      <c r="S504" s="251" t="str">
        <f>IFERROR(__xludf.DUMMYFUNCTION("""COMPUTED_VALUE"""),"--")</f>
        <v>--</v>
      </c>
      <c r="T504" s="251" t="str">
        <f>IFERROR(__xludf.DUMMYFUNCTION("""COMPUTED_VALUE"""),"--")</f>
        <v>--</v>
      </c>
      <c r="U504" s="251" t="str">
        <f>IFERROR(__xludf.DUMMYFUNCTION("""COMPUTED_VALUE"""),"--")</f>
        <v>--</v>
      </c>
      <c r="V504" s="251" t="str">
        <f>IFERROR(__xludf.DUMMYFUNCTION("""COMPUTED_VALUE"""),"--")</f>
        <v>--</v>
      </c>
      <c r="W504" s="251" t="str">
        <f>IFERROR(__xludf.DUMMYFUNCTION("""COMPUTED_VALUE"""),"--")</f>
        <v>--</v>
      </c>
      <c r="X504" s="251" t="str">
        <f>IFERROR(__xludf.DUMMYFUNCTION("""COMPUTED_VALUE"""),"--")</f>
        <v>--</v>
      </c>
      <c r="Y504" s="251" t="str">
        <f>IFERROR(__xludf.DUMMYFUNCTION("""COMPUTED_VALUE"""),"--")</f>
        <v>--</v>
      </c>
      <c r="Z504" s="251" t="str">
        <f>IFERROR(__xludf.DUMMYFUNCTION("""COMPUTED_VALUE"""),"--")</f>
        <v>--</v>
      </c>
      <c r="AA504" s="251" t="str">
        <f>IFERROR(__xludf.DUMMYFUNCTION("""COMPUTED_VALUE"""),"--")</f>
        <v>--</v>
      </c>
      <c r="AB504" s="251" t="str">
        <f>IFERROR(__xludf.DUMMYFUNCTION("""COMPUTED_VALUE"""),"--")</f>
        <v>--</v>
      </c>
      <c r="AC504" s="251" t="str">
        <f>IFERROR(__xludf.DUMMYFUNCTION("""COMPUTED_VALUE"""),"--")</f>
        <v>--</v>
      </c>
      <c r="AD504" s="251">
        <f>IFERROR(__xludf.DUMMYFUNCTION("""COMPUTED_VALUE"""),2.0)</f>
        <v>2</v>
      </c>
      <c r="AE504" s="251" t="str">
        <f>IFERROR(__xludf.DUMMYFUNCTION("""COMPUTED_VALUE"""),"Terravore")</f>
        <v>Terravore</v>
      </c>
    </row>
    <row r="505">
      <c r="A505" s="251" t="str">
        <f>IFERROR(__xludf.DUMMYFUNCTION("""COMPUTED_VALUE"""),"Golem")</f>
        <v>Golem</v>
      </c>
      <c r="B505" s="251" t="str">
        <f>IFERROR(__xludf.DUMMYFUNCTION("""COMPUTED_VALUE"""),"Rock")</f>
        <v>Rock</v>
      </c>
      <c r="C505" s="251" t="str">
        <f>IFERROR(__xludf.DUMMYFUNCTION("""COMPUTED_VALUE"""),"Ground")</f>
        <v>Ground</v>
      </c>
      <c r="D505" s="251">
        <f>IFERROR(__xludf.DUMMYFUNCTION("""COMPUTED_VALUE"""),8.0)</f>
        <v>8</v>
      </c>
      <c r="E505" s="251">
        <f>IFERROR(__xludf.DUMMYFUNCTION("""COMPUTED_VALUE"""),12.0)</f>
        <v>12</v>
      </c>
      <c r="F505" s="251">
        <f>IFERROR(__xludf.DUMMYFUNCTION("""COMPUTED_VALUE"""),13.0)</f>
        <v>13</v>
      </c>
      <c r="G505" s="251">
        <f>IFERROR(__xludf.DUMMYFUNCTION("""COMPUTED_VALUE"""),6.0)</f>
        <v>6</v>
      </c>
      <c r="H505" s="251">
        <f>IFERROR(__xludf.DUMMYFUNCTION("""COMPUTED_VALUE"""),7.0)</f>
        <v>7</v>
      </c>
      <c r="I505" s="251">
        <f>IFERROR(__xludf.DUMMYFUNCTION("""COMPUTED_VALUE"""),5.0)</f>
        <v>5</v>
      </c>
      <c r="J505" s="251">
        <f>IFERROR(__xludf.DUMMYFUNCTION("""COMPUTED_VALUE"""),10.0)</f>
        <v>10</v>
      </c>
      <c r="K505" s="251" t="str">
        <f>IFERROR(__xludf.DUMMYFUNCTION("""COMPUTED_VALUE"""),"Medium")</f>
        <v>Medium</v>
      </c>
      <c r="L505" s="251">
        <f>IFERROR(__xludf.DUMMYFUNCTION("""COMPUTED_VALUE"""),6.0)</f>
        <v>6</v>
      </c>
      <c r="M505" s="251" t="str">
        <f>IFERROR(__xludf.DUMMYFUNCTION("""COMPUTED_VALUE"""),"Cave, Mountain")</f>
        <v>Cave, Mountain</v>
      </c>
      <c r="N505" s="251" t="str">
        <f>IFERROR(__xludf.DUMMYFUNCTION("""COMPUTED_VALUE"""),"Burrower")</f>
        <v>Burrower</v>
      </c>
      <c r="O505" s="251" t="str">
        <f>IFERROR(__xludf.DUMMYFUNCTION("""COMPUTED_VALUE"""),"--")</f>
        <v>--</v>
      </c>
      <c r="P505" s="251" t="str">
        <f>IFERROR(__xludf.DUMMYFUNCTION("""COMPUTED_VALUE"""),"--")</f>
        <v>--</v>
      </c>
      <c r="Q505" s="251" t="str">
        <f>IFERROR(__xludf.DUMMYFUNCTION("""COMPUTED_VALUE"""),"--")</f>
        <v>--</v>
      </c>
      <c r="R505" s="251" t="str">
        <f>IFERROR(__xludf.DUMMYFUNCTION("""COMPUTED_VALUE"""),"Groundshaper")</f>
        <v>Groundshaper</v>
      </c>
      <c r="S505" s="251" t="str">
        <f>IFERROR(__xludf.DUMMYFUNCTION("""COMPUTED_VALUE"""),"--")</f>
        <v>--</v>
      </c>
      <c r="T505" s="251" t="str">
        <f>IFERROR(__xludf.DUMMYFUNCTION("""COMPUTED_VALUE"""),"--")</f>
        <v>--</v>
      </c>
      <c r="U505" s="251" t="str">
        <f>IFERROR(__xludf.DUMMYFUNCTION("""COMPUTED_VALUE"""),"--")</f>
        <v>--</v>
      </c>
      <c r="V505" s="251" t="str">
        <f>IFERROR(__xludf.DUMMYFUNCTION("""COMPUTED_VALUE"""),"--")</f>
        <v>--</v>
      </c>
      <c r="W505" s="251" t="str">
        <f>IFERROR(__xludf.DUMMYFUNCTION("""COMPUTED_VALUE"""),"--")</f>
        <v>--</v>
      </c>
      <c r="X505" s="251" t="str">
        <f>IFERROR(__xludf.DUMMYFUNCTION("""COMPUTED_VALUE"""),"--")</f>
        <v>--</v>
      </c>
      <c r="Y505" s="251" t="str">
        <f>IFERROR(__xludf.DUMMYFUNCTION("""COMPUTED_VALUE"""),"--")</f>
        <v>--</v>
      </c>
      <c r="Z505" s="251" t="str">
        <f>IFERROR(__xludf.DUMMYFUNCTION("""COMPUTED_VALUE"""),"--")</f>
        <v>--</v>
      </c>
      <c r="AA505" s="251" t="str">
        <f>IFERROR(__xludf.DUMMYFUNCTION("""COMPUTED_VALUE"""),"--")</f>
        <v>--</v>
      </c>
      <c r="AB505" s="251" t="str">
        <f>IFERROR(__xludf.DUMMYFUNCTION("""COMPUTED_VALUE"""),"--")</f>
        <v>--</v>
      </c>
      <c r="AC505" s="251" t="str">
        <f>IFERROR(__xludf.DUMMYFUNCTION("""COMPUTED_VALUE"""),"--")</f>
        <v>--</v>
      </c>
      <c r="AD505" s="251">
        <f>IFERROR(__xludf.DUMMYFUNCTION("""COMPUTED_VALUE"""),3.0)</f>
        <v>3</v>
      </c>
      <c r="AE505" s="251" t="str">
        <f>IFERROR(__xludf.DUMMYFUNCTION("""COMPUTED_VALUE"""),"Terravore")</f>
        <v>Terravore</v>
      </c>
    </row>
    <row r="506">
      <c r="A506" s="251" t="str">
        <f>IFERROR(__xludf.DUMMYFUNCTION("""COMPUTED_VALUE"""),"Larvitar")</f>
        <v>Larvitar</v>
      </c>
      <c r="B506" s="251" t="str">
        <f>IFERROR(__xludf.DUMMYFUNCTION("""COMPUTED_VALUE"""),"Rock")</f>
        <v>Rock</v>
      </c>
      <c r="C506" s="251" t="str">
        <f>IFERROR(__xludf.DUMMYFUNCTION("""COMPUTED_VALUE"""),"Ground")</f>
        <v>Ground</v>
      </c>
      <c r="D506" s="251">
        <f>IFERROR(__xludf.DUMMYFUNCTION("""COMPUTED_VALUE"""),5.0)</f>
        <v>5</v>
      </c>
      <c r="E506" s="251">
        <f>IFERROR(__xludf.DUMMYFUNCTION("""COMPUTED_VALUE"""),6.0)</f>
        <v>6</v>
      </c>
      <c r="F506" s="251">
        <f>IFERROR(__xludf.DUMMYFUNCTION("""COMPUTED_VALUE"""),5.0)</f>
        <v>5</v>
      </c>
      <c r="G506" s="251">
        <f>IFERROR(__xludf.DUMMYFUNCTION("""COMPUTED_VALUE"""),5.0)</f>
        <v>5</v>
      </c>
      <c r="H506" s="251">
        <f>IFERROR(__xludf.DUMMYFUNCTION("""COMPUTED_VALUE"""),5.0)</f>
        <v>5</v>
      </c>
      <c r="I506" s="251">
        <f>IFERROR(__xludf.DUMMYFUNCTION("""COMPUTED_VALUE"""),4.0)</f>
        <v>4</v>
      </c>
      <c r="J506" s="251">
        <f>IFERROR(__xludf.DUMMYFUNCTION("""COMPUTED_VALUE"""),7.0)</f>
        <v>7</v>
      </c>
      <c r="K506" s="251" t="str">
        <f>IFERROR(__xludf.DUMMYFUNCTION("""COMPUTED_VALUE"""),"Small")</f>
        <v>Small</v>
      </c>
      <c r="L506" s="251">
        <f>IFERROR(__xludf.DUMMYFUNCTION("""COMPUTED_VALUE"""),4.0)</f>
        <v>4</v>
      </c>
      <c r="M506" s="251" t="str">
        <f>IFERROR(__xludf.DUMMYFUNCTION("""COMPUTED_VALUE"""),"Cave, Mountain")</f>
        <v>Cave, Mountain</v>
      </c>
      <c r="N506" s="251" t="str">
        <f>IFERROR(__xludf.DUMMYFUNCTION("""COMPUTED_VALUE"""),"Burrower")</f>
        <v>Burrower</v>
      </c>
      <c r="O506" s="251" t="str">
        <f>IFERROR(__xludf.DUMMYFUNCTION("""COMPUTED_VALUE"""),"Slow")</f>
        <v>Slow</v>
      </c>
      <c r="P506" s="251" t="str">
        <f>IFERROR(__xludf.DUMMYFUNCTION("""COMPUTED_VALUE"""),"--")</f>
        <v>--</v>
      </c>
      <c r="Q506" s="251" t="str">
        <f>IFERROR(__xludf.DUMMYFUNCTION("""COMPUTED_VALUE"""),"--")</f>
        <v>--</v>
      </c>
      <c r="R506" s="251" t="str">
        <f>IFERROR(__xludf.DUMMYFUNCTION("""COMPUTED_VALUE"""),"Darkvision")</f>
        <v>Darkvision</v>
      </c>
      <c r="S506" s="251" t="str">
        <f>IFERROR(__xludf.DUMMYFUNCTION("""COMPUTED_VALUE"""),"Underdog")</f>
        <v>Underdog</v>
      </c>
      <c r="T506" s="251" t="str">
        <f>IFERROR(__xludf.DUMMYFUNCTION("""COMPUTED_VALUE"""),"--")</f>
        <v>--</v>
      </c>
      <c r="U506" s="251" t="str">
        <f>IFERROR(__xludf.DUMMYFUNCTION("""COMPUTED_VALUE"""),"--")</f>
        <v>--</v>
      </c>
      <c r="V506" s="251" t="str">
        <f>IFERROR(__xludf.DUMMYFUNCTION("""COMPUTED_VALUE"""),"--")</f>
        <v>--</v>
      </c>
      <c r="W506" s="251" t="str">
        <f>IFERROR(__xludf.DUMMYFUNCTION("""COMPUTED_VALUE"""),"--")</f>
        <v>--</v>
      </c>
      <c r="X506" s="251" t="str">
        <f>IFERROR(__xludf.DUMMYFUNCTION("""COMPUTED_VALUE"""),"--")</f>
        <v>--</v>
      </c>
      <c r="Y506" s="251" t="str">
        <f>IFERROR(__xludf.DUMMYFUNCTION("""COMPUTED_VALUE"""),"--")</f>
        <v>--</v>
      </c>
      <c r="Z506" s="251" t="str">
        <f>IFERROR(__xludf.DUMMYFUNCTION("""COMPUTED_VALUE"""),"--")</f>
        <v>--</v>
      </c>
      <c r="AA506" s="251" t="str">
        <f>IFERROR(__xludf.DUMMYFUNCTION("""COMPUTED_VALUE"""),"--")</f>
        <v>--</v>
      </c>
      <c r="AB506" s="251" t="str">
        <f>IFERROR(__xludf.DUMMYFUNCTION("""COMPUTED_VALUE"""),"--")</f>
        <v>--</v>
      </c>
      <c r="AC506" s="251" t="str">
        <f>IFERROR(__xludf.DUMMYFUNCTION("""COMPUTED_VALUE"""),"--")</f>
        <v>--</v>
      </c>
      <c r="AD506" s="251">
        <f>IFERROR(__xludf.DUMMYFUNCTION("""COMPUTED_VALUE"""),1.0)</f>
        <v>1</v>
      </c>
      <c r="AE506" s="251" t="str">
        <f>IFERROR(__xludf.DUMMYFUNCTION("""COMPUTED_VALUE"""),"Terravore")</f>
        <v>Terravore</v>
      </c>
    </row>
    <row r="507">
      <c r="A507" s="251" t="str">
        <f>IFERROR(__xludf.DUMMYFUNCTION("""COMPUTED_VALUE"""),"Pupitar")</f>
        <v>Pupitar</v>
      </c>
      <c r="B507" s="251" t="str">
        <f>IFERROR(__xludf.DUMMYFUNCTION("""COMPUTED_VALUE"""),"Rock")</f>
        <v>Rock</v>
      </c>
      <c r="C507" s="251" t="str">
        <f>IFERROR(__xludf.DUMMYFUNCTION("""COMPUTED_VALUE"""),"Ground")</f>
        <v>Ground</v>
      </c>
      <c r="D507" s="251">
        <f>IFERROR(__xludf.DUMMYFUNCTION("""COMPUTED_VALUE"""),7.0)</f>
        <v>7</v>
      </c>
      <c r="E507" s="251">
        <f>IFERROR(__xludf.DUMMYFUNCTION("""COMPUTED_VALUE"""),8.0)</f>
        <v>8</v>
      </c>
      <c r="F507" s="251">
        <f>IFERROR(__xludf.DUMMYFUNCTION("""COMPUTED_VALUE"""),7.0)</f>
        <v>7</v>
      </c>
      <c r="G507" s="251">
        <f>IFERROR(__xludf.DUMMYFUNCTION("""COMPUTED_VALUE"""),7.0)</f>
        <v>7</v>
      </c>
      <c r="H507" s="251">
        <f>IFERROR(__xludf.DUMMYFUNCTION("""COMPUTED_VALUE"""),7.0)</f>
        <v>7</v>
      </c>
      <c r="I507" s="251">
        <f>IFERROR(__xludf.DUMMYFUNCTION("""COMPUTED_VALUE"""),5.0)</f>
        <v>5</v>
      </c>
      <c r="J507" s="251">
        <f>IFERROR(__xludf.DUMMYFUNCTION("""COMPUTED_VALUE"""),8.0)</f>
        <v>8</v>
      </c>
      <c r="K507" s="251" t="str">
        <f>IFERROR(__xludf.DUMMYFUNCTION("""COMPUTED_VALUE"""),"Medium")</f>
        <v>Medium</v>
      </c>
      <c r="L507" s="251">
        <f>IFERROR(__xludf.DUMMYFUNCTION("""COMPUTED_VALUE"""),5.0)</f>
        <v>5</v>
      </c>
      <c r="M507" s="251" t="str">
        <f>IFERROR(__xludf.DUMMYFUNCTION("""COMPUTED_VALUE"""),"Cave, Mountain")</f>
        <v>Cave, Mountain</v>
      </c>
      <c r="N507" s="251" t="str">
        <f>IFERROR(__xludf.DUMMYFUNCTION("""COMPUTED_VALUE"""),"Burrower")</f>
        <v>Burrower</v>
      </c>
      <c r="O507" s="251" t="str">
        <f>IFERROR(__xludf.DUMMYFUNCTION("""COMPUTED_VALUE"""),"Slow")</f>
        <v>Slow</v>
      </c>
      <c r="P507" s="251" t="str">
        <f>IFERROR(__xludf.DUMMYFUNCTION("""COMPUTED_VALUE"""),"--")</f>
        <v>--</v>
      </c>
      <c r="Q507" s="251" t="str">
        <f>IFERROR(__xludf.DUMMYFUNCTION("""COMPUTED_VALUE"""),"--")</f>
        <v>--</v>
      </c>
      <c r="R507" s="251" t="str">
        <f>IFERROR(__xludf.DUMMYFUNCTION("""COMPUTED_VALUE"""),"Darkvision")</f>
        <v>Darkvision</v>
      </c>
      <c r="S507" s="251" t="str">
        <f>IFERROR(__xludf.DUMMYFUNCTION("""COMPUTED_VALUE"""),"Underdog")</f>
        <v>Underdog</v>
      </c>
      <c r="T507" s="251" t="str">
        <f>IFERROR(__xludf.DUMMYFUNCTION("""COMPUTED_VALUE"""),"--")</f>
        <v>--</v>
      </c>
      <c r="U507" s="251" t="str">
        <f>IFERROR(__xludf.DUMMYFUNCTION("""COMPUTED_VALUE"""),"--")</f>
        <v>--</v>
      </c>
      <c r="V507" s="251" t="str">
        <f>IFERROR(__xludf.DUMMYFUNCTION("""COMPUTED_VALUE"""),"--")</f>
        <v>--</v>
      </c>
      <c r="W507" s="251" t="str">
        <f>IFERROR(__xludf.DUMMYFUNCTION("""COMPUTED_VALUE"""),"--")</f>
        <v>--</v>
      </c>
      <c r="X507" s="251" t="str">
        <f>IFERROR(__xludf.DUMMYFUNCTION("""COMPUTED_VALUE"""),"--")</f>
        <v>--</v>
      </c>
      <c r="Y507" s="251" t="str">
        <f>IFERROR(__xludf.DUMMYFUNCTION("""COMPUTED_VALUE"""),"--")</f>
        <v>--</v>
      </c>
      <c r="Z507" s="251" t="str">
        <f>IFERROR(__xludf.DUMMYFUNCTION("""COMPUTED_VALUE"""),"--")</f>
        <v>--</v>
      </c>
      <c r="AA507" s="251" t="str">
        <f>IFERROR(__xludf.DUMMYFUNCTION("""COMPUTED_VALUE"""),"--")</f>
        <v>--</v>
      </c>
      <c r="AB507" s="251" t="str">
        <f>IFERROR(__xludf.DUMMYFUNCTION("""COMPUTED_VALUE"""),"--")</f>
        <v>--</v>
      </c>
      <c r="AC507" s="251" t="str">
        <f>IFERROR(__xludf.DUMMYFUNCTION("""COMPUTED_VALUE"""),"--")</f>
        <v>--</v>
      </c>
      <c r="AD507" s="251">
        <f>IFERROR(__xludf.DUMMYFUNCTION("""COMPUTED_VALUE"""),2.0)</f>
        <v>2</v>
      </c>
      <c r="AE507" s="251" t="str">
        <f>IFERROR(__xludf.DUMMYFUNCTION("""COMPUTED_VALUE"""),"Terravore")</f>
        <v>Terravore</v>
      </c>
    </row>
    <row r="508">
      <c r="A508" s="251" t="str">
        <f>IFERROR(__xludf.DUMMYFUNCTION("""COMPUTED_VALUE"""),"Tyranitar")</f>
        <v>Tyranitar</v>
      </c>
      <c r="B508" s="251" t="str">
        <f>IFERROR(__xludf.DUMMYFUNCTION("""COMPUTED_VALUE"""),"Rock")</f>
        <v>Rock</v>
      </c>
      <c r="C508" s="251" t="str">
        <f>IFERROR(__xludf.DUMMYFUNCTION("""COMPUTED_VALUE"""),"Dark")</f>
        <v>Dark</v>
      </c>
      <c r="D508" s="251">
        <f>IFERROR(__xludf.DUMMYFUNCTION("""COMPUTED_VALUE"""),10.0)</f>
        <v>10</v>
      </c>
      <c r="E508" s="251">
        <f>IFERROR(__xludf.DUMMYFUNCTION("""COMPUTED_VALUE"""),13.0)</f>
        <v>13</v>
      </c>
      <c r="F508" s="251">
        <f>IFERROR(__xludf.DUMMYFUNCTION("""COMPUTED_VALUE"""),11.0)</f>
        <v>11</v>
      </c>
      <c r="G508" s="251">
        <f>IFERROR(__xludf.DUMMYFUNCTION("""COMPUTED_VALUE"""),10.0)</f>
        <v>10</v>
      </c>
      <c r="H508" s="251">
        <f>IFERROR(__xludf.DUMMYFUNCTION("""COMPUTED_VALUE"""),10.0)</f>
        <v>10</v>
      </c>
      <c r="I508" s="251">
        <f>IFERROR(__xludf.DUMMYFUNCTION("""COMPUTED_VALUE"""),6.0)</f>
        <v>6</v>
      </c>
      <c r="J508" s="251">
        <f>IFERROR(__xludf.DUMMYFUNCTION("""COMPUTED_VALUE"""),11.0)</f>
        <v>11</v>
      </c>
      <c r="K508" s="251" t="str">
        <f>IFERROR(__xludf.DUMMYFUNCTION("""COMPUTED_VALUE"""),"Large")</f>
        <v>Large</v>
      </c>
      <c r="L508" s="251">
        <f>IFERROR(__xludf.DUMMYFUNCTION("""COMPUTED_VALUE"""),6.0)</f>
        <v>6</v>
      </c>
      <c r="M508" s="251" t="str">
        <f>IFERROR(__xludf.DUMMYFUNCTION("""COMPUTED_VALUE"""),"Cave, Mountain")</f>
        <v>Cave, Mountain</v>
      </c>
      <c r="N508" s="251" t="str">
        <f>IFERROR(__xludf.DUMMYFUNCTION("""COMPUTED_VALUE"""),"--")</f>
        <v>--</v>
      </c>
      <c r="O508" s="251" t="str">
        <f>IFERROR(__xludf.DUMMYFUNCTION("""COMPUTED_VALUE"""),"--")</f>
        <v>--</v>
      </c>
      <c r="P508" s="251" t="str">
        <f>IFERROR(__xludf.DUMMYFUNCTION("""COMPUTED_VALUE"""),"--")</f>
        <v>--</v>
      </c>
      <c r="Q508" s="251" t="str">
        <f>IFERROR(__xludf.DUMMYFUNCTION("""COMPUTED_VALUE"""),"--")</f>
        <v>--</v>
      </c>
      <c r="R508" s="251" t="str">
        <f>IFERROR(__xludf.DUMMYFUNCTION("""COMPUTED_VALUE"""),"Darkvision")</f>
        <v>Darkvision</v>
      </c>
      <c r="S508" s="251" t="str">
        <f>IFERROR(__xludf.DUMMYFUNCTION("""COMPUTED_VALUE"""),"--")</f>
        <v>--</v>
      </c>
      <c r="T508" s="251" t="str">
        <f>IFERROR(__xludf.DUMMYFUNCTION("""COMPUTED_VALUE"""),"--")</f>
        <v>--</v>
      </c>
      <c r="U508" s="251" t="str">
        <f>IFERROR(__xludf.DUMMYFUNCTION("""COMPUTED_VALUE"""),"--")</f>
        <v>--</v>
      </c>
      <c r="V508" s="251" t="str">
        <f>IFERROR(__xludf.DUMMYFUNCTION("""COMPUTED_VALUE"""),"--")</f>
        <v>--</v>
      </c>
      <c r="W508" s="251" t="str">
        <f>IFERROR(__xludf.DUMMYFUNCTION("""COMPUTED_VALUE"""),"--")</f>
        <v>--</v>
      </c>
      <c r="X508" s="251" t="str">
        <f>IFERROR(__xludf.DUMMYFUNCTION("""COMPUTED_VALUE"""),"--")</f>
        <v>--</v>
      </c>
      <c r="Y508" s="251" t="str">
        <f>IFERROR(__xludf.DUMMYFUNCTION("""COMPUTED_VALUE"""),"--")</f>
        <v>--</v>
      </c>
      <c r="Z508" s="251" t="str">
        <f>IFERROR(__xludf.DUMMYFUNCTION("""COMPUTED_VALUE"""),"--")</f>
        <v>--</v>
      </c>
      <c r="AA508" s="251" t="str">
        <f>IFERROR(__xludf.DUMMYFUNCTION("""COMPUTED_VALUE"""),"--")</f>
        <v>--</v>
      </c>
      <c r="AB508" s="251" t="str">
        <f>IFERROR(__xludf.DUMMYFUNCTION("""COMPUTED_VALUE"""),"--")</f>
        <v>--</v>
      </c>
      <c r="AC508" s="251" t="str">
        <f>IFERROR(__xludf.DUMMYFUNCTION("""COMPUTED_VALUE"""),"--")</f>
        <v>--</v>
      </c>
      <c r="AD508" s="251">
        <f>IFERROR(__xludf.DUMMYFUNCTION("""COMPUTED_VALUE"""),3.0)</f>
        <v>3</v>
      </c>
      <c r="AE508" s="251" t="str">
        <f>IFERROR(__xludf.DUMMYFUNCTION("""COMPUTED_VALUE"""),"Carnivore, Terravore")</f>
        <v>Carnivore, Terravore</v>
      </c>
    </row>
    <row r="509">
      <c r="A509" s="251" t="str">
        <f>IFERROR(__xludf.DUMMYFUNCTION("""COMPUTED_VALUE"""),"Roggenrola")</f>
        <v>Roggenrola</v>
      </c>
      <c r="B509" s="251" t="str">
        <f>IFERROR(__xludf.DUMMYFUNCTION("""COMPUTED_VALUE"""),"Rock")</f>
        <v>Rock</v>
      </c>
      <c r="C509" s="251" t="str">
        <f>IFERROR(__xludf.DUMMYFUNCTION("""COMPUTED_VALUE"""),"None")</f>
        <v>None</v>
      </c>
      <c r="D509" s="251">
        <f>IFERROR(__xludf.DUMMYFUNCTION("""COMPUTED_VALUE"""),6.0)</f>
        <v>6</v>
      </c>
      <c r="E509" s="251">
        <f>IFERROR(__xludf.DUMMYFUNCTION("""COMPUTED_VALUE"""),8.0)</f>
        <v>8</v>
      </c>
      <c r="F509" s="251">
        <f>IFERROR(__xludf.DUMMYFUNCTION("""COMPUTED_VALUE"""),9.0)</f>
        <v>9</v>
      </c>
      <c r="G509" s="251">
        <f>IFERROR(__xludf.DUMMYFUNCTION("""COMPUTED_VALUE"""),3.0)</f>
        <v>3</v>
      </c>
      <c r="H509" s="251">
        <f>IFERROR(__xludf.DUMMYFUNCTION("""COMPUTED_VALUE"""),3.0)</f>
        <v>3</v>
      </c>
      <c r="I509" s="251">
        <f>IFERROR(__xludf.DUMMYFUNCTION("""COMPUTED_VALUE"""),2.0)</f>
        <v>2</v>
      </c>
      <c r="J509" s="251">
        <f>IFERROR(__xludf.DUMMYFUNCTION("""COMPUTED_VALUE"""),3.0)</f>
        <v>3</v>
      </c>
      <c r="K509" s="251" t="str">
        <f>IFERROR(__xludf.DUMMYFUNCTION("""COMPUTED_VALUE"""),"Small")</f>
        <v>Small</v>
      </c>
      <c r="L509" s="251">
        <f>IFERROR(__xludf.DUMMYFUNCTION("""COMPUTED_VALUE"""),2.0)</f>
        <v>2</v>
      </c>
      <c r="M509" s="251" t="str">
        <f>IFERROR(__xludf.DUMMYFUNCTION("""COMPUTED_VALUE"""),"Cave, Mountain")</f>
        <v>Cave, Mountain</v>
      </c>
      <c r="N509" s="251" t="str">
        <f>IFERROR(__xludf.DUMMYFUNCTION("""COMPUTED_VALUE"""),"Slow")</f>
        <v>Slow</v>
      </c>
      <c r="O509" s="251" t="str">
        <f>IFERROR(__xludf.DUMMYFUNCTION("""COMPUTED_VALUE"""),"--")</f>
        <v>--</v>
      </c>
      <c r="P509" s="251" t="str">
        <f>IFERROR(__xludf.DUMMYFUNCTION("""COMPUTED_VALUE"""),"--")</f>
        <v>--</v>
      </c>
      <c r="Q509" s="251" t="str">
        <f>IFERROR(__xludf.DUMMYFUNCTION("""COMPUTED_VALUE"""),"--")</f>
        <v>--</v>
      </c>
      <c r="R509" s="251" t="str">
        <f>IFERROR(__xludf.DUMMYFUNCTION("""COMPUTED_VALUE"""),"Underdog")</f>
        <v>Underdog</v>
      </c>
      <c r="S509" s="251" t="str">
        <f>IFERROR(__xludf.DUMMYFUNCTION("""COMPUTED_VALUE"""),"--")</f>
        <v>--</v>
      </c>
      <c r="T509" s="251" t="str">
        <f>IFERROR(__xludf.DUMMYFUNCTION("""COMPUTED_VALUE"""),"--")</f>
        <v>--</v>
      </c>
      <c r="U509" s="251" t="str">
        <f>IFERROR(__xludf.DUMMYFUNCTION("""COMPUTED_VALUE"""),"--")</f>
        <v>--</v>
      </c>
      <c r="V509" s="251" t="str">
        <f>IFERROR(__xludf.DUMMYFUNCTION("""COMPUTED_VALUE"""),"--")</f>
        <v>--</v>
      </c>
      <c r="W509" s="251" t="str">
        <f>IFERROR(__xludf.DUMMYFUNCTION("""COMPUTED_VALUE"""),"--")</f>
        <v>--</v>
      </c>
      <c r="X509" s="251" t="str">
        <f>IFERROR(__xludf.DUMMYFUNCTION("""COMPUTED_VALUE"""),"--")</f>
        <v>--</v>
      </c>
      <c r="Y509" s="251" t="str">
        <f>IFERROR(__xludf.DUMMYFUNCTION("""COMPUTED_VALUE"""),"--")</f>
        <v>--</v>
      </c>
      <c r="Z509" s="251" t="str">
        <f>IFERROR(__xludf.DUMMYFUNCTION("""COMPUTED_VALUE"""),"--")</f>
        <v>--</v>
      </c>
      <c r="AA509" s="251" t="str">
        <f>IFERROR(__xludf.DUMMYFUNCTION("""COMPUTED_VALUE"""),"--")</f>
        <v>--</v>
      </c>
      <c r="AB509" s="251" t="str">
        <f>IFERROR(__xludf.DUMMYFUNCTION("""COMPUTED_VALUE"""),"--")</f>
        <v>--</v>
      </c>
      <c r="AC509" s="251" t="str">
        <f>IFERROR(__xludf.DUMMYFUNCTION("""COMPUTED_VALUE"""),"--")</f>
        <v>--</v>
      </c>
      <c r="AD509" s="251">
        <f>IFERROR(__xludf.DUMMYFUNCTION("""COMPUTED_VALUE"""),1.0)</f>
        <v>1</v>
      </c>
      <c r="AE509" s="251" t="str">
        <f>IFERROR(__xludf.DUMMYFUNCTION("""COMPUTED_VALUE"""),"Terravore")</f>
        <v>Terravore</v>
      </c>
    </row>
    <row r="510">
      <c r="A510" s="251" t="str">
        <f>IFERROR(__xludf.DUMMYFUNCTION("""COMPUTED_VALUE"""),"Boldore")</f>
        <v>Boldore</v>
      </c>
      <c r="B510" s="251" t="str">
        <f>IFERROR(__xludf.DUMMYFUNCTION("""COMPUTED_VALUE"""),"Rock")</f>
        <v>Rock</v>
      </c>
      <c r="C510" s="251" t="str">
        <f>IFERROR(__xludf.DUMMYFUNCTION("""COMPUTED_VALUE"""),"None")</f>
        <v>None</v>
      </c>
      <c r="D510" s="251">
        <f>IFERROR(__xludf.DUMMYFUNCTION("""COMPUTED_VALUE"""),7.0)</f>
        <v>7</v>
      </c>
      <c r="E510" s="251">
        <f>IFERROR(__xludf.DUMMYFUNCTION("""COMPUTED_VALUE"""),11.0)</f>
        <v>11</v>
      </c>
      <c r="F510" s="251">
        <f>IFERROR(__xludf.DUMMYFUNCTION("""COMPUTED_VALUE"""),11.0)</f>
        <v>11</v>
      </c>
      <c r="G510" s="251">
        <f>IFERROR(__xludf.DUMMYFUNCTION("""COMPUTED_VALUE"""),5.0)</f>
        <v>5</v>
      </c>
      <c r="H510" s="251">
        <f>IFERROR(__xludf.DUMMYFUNCTION("""COMPUTED_VALUE"""),4.0)</f>
        <v>4</v>
      </c>
      <c r="I510" s="251">
        <f>IFERROR(__xludf.DUMMYFUNCTION("""COMPUTED_VALUE"""),2.0)</f>
        <v>2</v>
      </c>
      <c r="J510" s="251">
        <f>IFERROR(__xludf.DUMMYFUNCTION("""COMPUTED_VALUE"""),8.0)</f>
        <v>8</v>
      </c>
      <c r="K510" s="251" t="str">
        <f>IFERROR(__xludf.DUMMYFUNCTION("""COMPUTED_VALUE"""),"Medium")</f>
        <v>Medium</v>
      </c>
      <c r="L510" s="251">
        <f>IFERROR(__xludf.DUMMYFUNCTION("""COMPUTED_VALUE"""),5.0)</f>
        <v>5</v>
      </c>
      <c r="M510" s="251" t="str">
        <f>IFERROR(__xludf.DUMMYFUNCTION("""COMPUTED_VALUE"""),"Cave, Mountain")</f>
        <v>Cave, Mountain</v>
      </c>
      <c r="N510" s="251" t="str">
        <f>IFERROR(__xludf.DUMMYFUNCTION("""COMPUTED_VALUE"""),"--")</f>
        <v>--</v>
      </c>
      <c r="O510" s="251" t="str">
        <f>IFERROR(__xludf.DUMMYFUNCTION("""COMPUTED_VALUE"""),"--")</f>
        <v>--</v>
      </c>
      <c r="P510" s="251" t="str">
        <f>IFERROR(__xludf.DUMMYFUNCTION("""COMPUTED_VALUE"""),"--")</f>
        <v>--</v>
      </c>
      <c r="Q510" s="251" t="str">
        <f>IFERROR(__xludf.DUMMYFUNCTION("""COMPUTED_VALUE"""),"--")</f>
        <v>--</v>
      </c>
      <c r="R510" s="251" t="str">
        <f>IFERROR(__xludf.DUMMYFUNCTION("""COMPUTED_VALUE"""),"Underdog")</f>
        <v>Underdog</v>
      </c>
      <c r="S510" s="251" t="str">
        <f>IFERROR(__xludf.DUMMYFUNCTION("""COMPUTED_VALUE"""),"--")</f>
        <v>--</v>
      </c>
      <c r="T510" s="251" t="str">
        <f>IFERROR(__xludf.DUMMYFUNCTION("""COMPUTED_VALUE"""),"--")</f>
        <v>--</v>
      </c>
      <c r="U510" s="251" t="str">
        <f>IFERROR(__xludf.DUMMYFUNCTION("""COMPUTED_VALUE"""),"--")</f>
        <v>--</v>
      </c>
      <c r="V510" s="251" t="str">
        <f>IFERROR(__xludf.DUMMYFUNCTION("""COMPUTED_VALUE"""),"--")</f>
        <v>--</v>
      </c>
      <c r="W510" s="251" t="str">
        <f>IFERROR(__xludf.DUMMYFUNCTION("""COMPUTED_VALUE"""),"--")</f>
        <v>--</v>
      </c>
      <c r="X510" s="251" t="str">
        <f>IFERROR(__xludf.DUMMYFUNCTION("""COMPUTED_VALUE"""),"--")</f>
        <v>--</v>
      </c>
      <c r="Y510" s="251" t="str">
        <f>IFERROR(__xludf.DUMMYFUNCTION("""COMPUTED_VALUE"""),"--")</f>
        <v>--</v>
      </c>
      <c r="Z510" s="251" t="str">
        <f>IFERROR(__xludf.DUMMYFUNCTION("""COMPUTED_VALUE"""),"--")</f>
        <v>--</v>
      </c>
      <c r="AA510" s="251" t="str">
        <f>IFERROR(__xludf.DUMMYFUNCTION("""COMPUTED_VALUE"""),"--")</f>
        <v>--</v>
      </c>
      <c r="AB510" s="251" t="str">
        <f>IFERROR(__xludf.DUMMYFUNCTION("""COMPUTED_VALUE"""),"--")</f>
        <v>--</v>
      </c>
      <c r="AC510" s="251" t="str">
        <f>IFERROR(__xludf.DUMMYFUNCTION("""COMPUTED_VALUE"""),"--")</f>
        <v>--</v>
      </c>
      <c r="AD510" s="251">
        <f>IFERROR(__xludf.DUMMYFUNCTION("""COMPUTED_VALUE"""),2.0)</f>
        <v>2</v>
      </c>
      <c r="AE510" s="251" t="str">
        <f>IFERROR(__xludf.DUMMYFUNCTION("""COMPUTED_VALUE"""),"Terravore")</f>
        <v>Terravore</v>
      </c>
    </row>
    <row r="511">
      <c r="A511" s="251" t="str">
        <f>IFERROR(__xludf.DUMMYFUNCTION("""COMPUTED_VALUE"""),"Gigalith")</f>
        <v>Gigalith</v>
      </c>
      <c r="B511" s="251" t="str">
        <f>IFERROR(__xludf.DUMMYFUNCTION("""COMPUTED_VALUE"""),"Rock")</f>
        <v>Rock</v>
      </c>
      <c r="C511" s="251" t="str">
        <f>IFERROR(__xludf.DUMMYFUNCTION("""COMPUTED_VALUE"""),"None")</f>
        <v>None</v>
      </c>
      <c r="D511" s="251">
        <f>IFERROR(__xludf.DUMMYFUNCTION("""COMPUTED_VALUE"""),9.0)</f>
        <v>9</v>
      </c>
      <c r="E511" s="251">
        <f>IFERROR(__xludf.DUMMYFUNCTION("""COMPUTED_VALUE"""),14.0)</f>
        <v>14</v>
      </c>
      <c r="F511" s="251">
        <f>IFERROR(__xludf.DUMMYFUNCTION("""COMPUTED_VALUE"""),13.0)</f>
        <v>13</v>
      </c>
      <c r="G511" s="251">
        <f>IFERROR(__xludf.DUMMYFUNCTION("""COMPUTED_VALUE"""),6.0)</f>
        <v>6</v>
      </c>
      <c r="H511" s="251">
        <f>IFERROR(__xludf.DUMMYFUNCTION("""COMPUTED_VALUE"""),8.0)</f>
        <v>8</v>
      </c>
      <c r="I511" s="251">
        <f>IFERROR(__xludf.DUMMYFUNCTION("""COMPUTED_VALUE"""),3.0)</f>
        <v>3</v>
      </c>
      <c r="J511" s="251">
        <f>IFERROR(__xludf.DUMMYFUNCTION("""COMPUTED_VALUE"""),12.0)</f>
        <v>12</v>
      </c>
      <c r="K511" s="251" t="str">
        <f>IFERROR(__xludf.DUMMYFUNCTION("""COMPUTED_VALUE"""),"Large")</f>
        <v>Large</v>
      </c>
      <c r="L511" s="251">
        <f>IFERROR(__xludf.DUMMYFUNCTION("""COMPUTED_VALUE"""),6.0)</f>
        <v>6</v>
      </c>
      <c r="M511" s="251" t="str">
        <f>IFERROR(__xludf.DUMMYFUNCTION("""COMPUTED_VALUE"""),"Cave, Mountain")</f>
        <v>Cave, Mountain</v>
      </c>
      <c r="N511" s="251" t="str">
        <f>IFERROR(__xludf.DUMMYFUNCTION("""COMPUTED_VALUE"""),"--")</f>
        <v>--</v>
      </c>
      <c r="O511" s="251" t="str">
        <f>IFERROR(__xludf.DUMMYFUNCTION("""COMPUTED_VALUE"""),"--")</f>
        <v>--</v>
      </c>
      <c r="P511" s="251" t="str">
        <f>IFERROR(__xludf.DUMMYFUNCTION("""COMPUTED_VALUE"""),"--")</f>
        <v>--</v>
      </c>
      <c r="Q511" s="251" t="str">
        <f>IFERROR(__xludf.DUMMYFUNCTION("""COMPUTED_VALUE"""),"--")</f>
        <v>--</v>
      </c>
      <c r="R511" s="251" t="str">
        <f>IFERROR(__xludf.DUMMYFUNCTION("""COMPUTED_VALUE"""),"--")</f>
        <v>--</v>
      </c>
      <c r="S511" s="251" t="str">
        <f>IFERROR(__xludf.DUMMYFUNCTION("""COMPUTED_VALUE"""),"--")</f>
        <v>--</v>
      </c>
      <c r="T511" s="251" t="str">
        <f>IFERROR(__xludf.DUMMYFUNCTION("""COMPUTED_VALUE"""),"--")</f>
        <v>--</v>
      </c>
      <c r="U511" s="251" t="str">
        <f>IFERROR(__xludf.DUMMYFUNCTION("""COMPUTED_VALUE"""),"--")</f>
        <v>--</v>
      </c>
      <c r="V511" s="251" t="str">
        <f>IFERROR(__xludf.DUMMYFUNCTION("""COMPUTED_VALUE"""),"--")</f>
        <v>--</v>
      </c>
      <c r="W511" s="251" t="str">
        <f>IFERROR(__xludf.DUMMYFUNCTION("""COMPUTED_VALUE"""),"--")</f>
        <v>--</v>
      </c>
      <c r="X511" s="251" t="str">
        <f>IFERROR(__xludf.DUMMYFUNCTION("""COMPUTED_VALUE"""),"--")</f>
        <v>--</v>
      </c>
      <c r="Y511" s="251" t="str">
        <f>IFERROR(__xludf.DUMMYFUNCTION("""COMPUTED_VALUE"""),"--")</f>
        <v>--</v>
      </c>
      <c r="Z511" s="251" t="str">
        <f>IFERROR(__xludf.DUMMYFUNCTION("""COMPUTED_VALUE"""),"--")</f>
        <v>--</v>
      </c>
      <c r="AA511" s="251" t="str">
        <f>IFERROR(__xludf.DUMMYFUNCTION("""COMPUTED_VALUE"""),"--")</f>
        <v>--</v>
      </c>
      <c r="AB511" s="251" t="str">
        <f>IFERROR(__xludf.DUMMYFUNCTION("""COMPUTED_VALUE"""),"--")</f>
        <v>--</v>
      </c>
      <c r="AC511" s="251" t="str">
        <f>IFERROR(__xludf.DUMMYFUNCTION("""COMPUTED_VALUE"""),"--")</f>
        <v>--</v>
      </c>
      <c r="AD511" s="251">
        <f>IFERROR(__xludf.DUMMYFUNCTION("""COMPUTED_VALUE"""),3.0)</f>
        <v>3</v>
      </c>
      <c r="AE511" s="251" t="str">
        <f>IFERROR(__xludf.DUMMYFUNCTION("""COMPUTED_VALUE"""),"Terravore")</f>
        <v>Terravore</v>
      </c>
    </row>
    <row r="512">
      <c r="A512" s="251" t="str">
        <f>IFERROR(__xludf.DUMMYFUNCTION("""COMPUTED_VALUE"""),"Rolycoly")</f>
        <v>Rolycoly</v>
      </c>
      <c r="B512" s="251" t="str">
        <f>IFERROR(__xludf.DUMMYFUNCTION("""COMPUTED_VALUE"""),"Rock")</f>
        <v>Rock</v>
      </c>
      <c r="C512" s="251" t="str">
        <f>IFERROR(__xludf.DUMMYFUNCTION("""COMPUTED_VALUE"""),"None")</f>
        <v>None</v>
      </c>
      <c r="D512" s="251">
        <f>IFERROR(__xludf.DUMMYFUNCTION("""COMPUTED_VALUE"""),4.0)</f>
        <v>4</v>
      </c>
      <c r="E512" s="251">
        <f>IFERROR(__xludf.DUMMYFUNCTION("""COMPUTED_VALUE"""),5.0)</f>
        <v>5</v>
      </c>
      <c r="F512" s="251">
        <f>IFERROR(__xludf.DUMMYFUNCTION("""COMPUTED_VALUE"""),7.0)</f>
        <v>7</v>
      </c>
      <c r="G512" s="251">
        <f>IFERROR(__xludf.DUMMYFUNCTION("""COMPUTED_VALUE"""),5.0)</f>
        <v>5</v>
      </c>
      <c r="H512" s="251">
        <f>IFERROR(__xludf.DUMMYFUNCTION("""COMPUTED_VALUE"""),5.0)</f>
        <v>5</v>
      </c>
      <c r="I512" s="251">
        <f>IFERROR(__xludf.DUMMYFUNCTION("""COMPUTED_VALUE"""),4.0)</f>
        <v>4</v>
      </c>
      <c r="J512" s="251">
        <f>IFERROR(__xludf.DUMMYFUNCTION("""COMPUTED_VALUE"""),3.0)</f>
        <v>3</v>
      </c>
      <c r="K512" s="251" t="str">
        <f>IFERROR(__xludf.DUMMYFUNCTION("""COMPUTED_VALUE"""),"Small")</f>
        <v>Small</v>
      </c>
      <c r="L512" s="251">
        <f>IFERROR(__xludf.DUMMYFUNCTION("""COMPUTED_VALUE"""),2.0)</f>
        <v>2</v>
      </c>
      <c r="M512" s="251" t="str">
        <f>IFERROR(__xludf.DUMMYFUNCTION("""COMPUTED_VALUE"""),"Cave")</f>
        <v>Cave</v>
      </c>
      <c r="N512" s="251" t="str">
        <f>IFERROR(__xludf.DUMMYFUNCTION("""COMPUTED_VALUE"""),"--")</f>
        <v>--</v>
      </c>
      <c r="O512" s="251" t="str">
        <f>IFERROR(__xludf.DUMMYFUNCTION("""COMPUTED_VALUE"""),"--")</f>
        <v>--</v>
      </c>
      <c r="P512" s="251" t="str">
        <f>IFERROR(__xludf.DUMMYFUNCTION("""COMPUTED_VALUE"""),"--")</f>
        <v>--</v>
      </c>
      <c r="Q512" s="251" t="str">
        <f>IFERROR(__xludf.DUMMYFUNCTION("""COMPUTED_VALUE"""),"--")</f>
        <v>--</v>
      </c>
      <c r="R512" s="251" t="str">
        <f>IFERROR(__xludf.DUMMYFUNCTION("""COMPUTED_VALUE"""),"Darkvision")</f>
        <v>Darkvision</v>
      </c>
      <c r="S512" s="251" t="str">
        <f>IFERROR(__xludf.DUMMYFUNCTION("""COMPUTED_VALUE"""),"Underdog")</f>
        <v>Underdog</v>
      </c>
      <c r="T512" s="251" t="str">
        <f>IFERROR(__xludf.DUMMYFUNCTION("""COMPUTED_VALUE"""),"--")</f>
        <v>--</v>
      </c>
      <c r="U512" s="251" t="str">
        <f>IFERROR(__xludf.DUMMYFUNCTION("""COMPUTED_VALUE"""),"--")</f>
        <v>--</v>
      </c>
      <c r="V512" s="251" t="str">
        <f>IFERROR(__xludf.DUMMYFUNCTION("""COMPUTED_VALUE"""),"--")</f>
        <v>--</v>
      </c>
      <c r="W512" s="251" t="str">
        <f>IFERROR(__xludf.DUMMYFUNCTION("""COMPUTED_VALUE"""),"--")</f>
        <v>--</v>
      </c>
      <c r="X512" s="251" t="str">
        <f>IFERROR(__xludf.DUMMYFUNCTION("""COMPUTED_VALUE"""),"--")</f>
        <v>--</v>
      </c>
      <c r="Y512" s="251" t="str">
        <f>IFERROR(__xludf.DUMMYFUNCTION("""COMPUTED_VALUE"""),"--")</f>
        <v>--</v>
      </c>
      <c r="Z512" s="251" t="str">
        <f>IFERROR(__xludf.DUMMYFUNCTION("""COMPUTED_VALUE"""),"--")</f>
        <v>--</v>
      </c>
      <c r="AA512" s="251" t="str">
        <f>IFERROR(__xludf.DUMMYFUNCTION("""COMPUTED_VALUE"""),"--")</f>
        <v>--</v>
      </c>
      <c r="AB512" s="251" t="str">
        <f>IFERROR(__xludf.DUMMYFUNCTION("""COMPUTED_VALUE"""),"--")</f>
        <v>--</v>
      </c>
      <c r="AC512" s="251" t="str">
        <f>IFERROR(__xludf.DUMMYFUNCTION("""COMPUTED_VALUE"""),"--")</f>
        <v>--</v>
      </c>
      <c r="AD512" s="251">
        <f>IFERROR(__xludf.DUMMYFUNCTION("""COMPUTED_VALUE"""),1.0)</f>
        <v>1</v>
      </c>
      <c r="AE512" s="251" t="str">
        <f>IFERROR(__xludf.DUMMYFUNCTION("""COMPUTED_VALUE"""),"Terravore")</f>
        <v>Terravore</v>
      </c>
    </row>
    <row r="513">
      <c r="A513" s="251" t="str">
        <f>IFERROR(__xludf.DUMMYFUNCTION("""COMPUTED_VALUE"""),"Carkol")</f>
        <v>Carkol</v>
      </c>
      <c r="B513" s="251" t="str">
        <f>IFERROR(__xludf.DUMMYFUNCTION("""COMPUTED_VALUE"""),"Rock")</f>
        <v>Rock</v>
      </c>
      <c r="C513" s="251" t="str">
        <f>IFERROR(__xludf.DUMMYFUNCTION("""COMPUTED_VALUE"""),"Fire")</f>
        <v>Fire</v>
      </c>
      <c r="D513" s="251">
        <f>IFERROR(__xludf.DUMMYFUNCTION("""COMPUTED_VALUE"""),8.0)</f>
        <v>8</v>
      </c>
      <c r="E513" s="251">
        <f>IFERROR(__xludf.DUMMYFUNCTION("""COMPUTED_VALUE"""),6.0)</f>
        <v>6</v>
      </c>
      <c r="F513" s="251">
        <f>IFERROR(__xludf.DUMMYFUNCTION("""COMPUTED_VALUE"""),9.0)</f>
        <v>9</v>
      </c>
      <c r="G513" s="251">
        <f>IFERROR(__xludf.DUMMYFUNCTION("""COMPUTED_VALUE"""),6.0)</f>
        <v>6</v>
      </c>
      <c r="H513" s="251">
        <f>IFERROR(__xludf.DUMMYFUNCTION("""COMPUTED_VALUE"""),7.0)</f>
        <v>7</v>
      </c>
      <c r="I513" s="251">
        <f>IFERROR(__xludf.DUMMYFUNCTION("""COMPUTED_VALUE"""),5.0)</f>
        <v>5</v>
      </c>
      <c r="J513" s="251">
        <f>IFERROR(__xludf.DUMMYFUNCTION("""COMPUTED_VALUE"""),5.0)</f>
        <v>5</v>
      </c>
      <c r="K513" s="251" t="str">
        <f>IFERROR(__xludf.DUMMYFUNCTION("""COMPUTED_VALUE"""),"Medium")</f>
        <v>Medium</v>
      </c>
      <c r="L513" s="251">
        <f>IFERROR(__xludf.DUMMYFUNCTION("""COMPUTED_VALUE"""),4.0)</f>
        <v>4</v>
      </c>
      <c r="M513" s="251" t="str">
        <f>IFERROR(__xludf.DUMMYFUNCTION("""COMPUTED_VALUE"""),"Cave")</f>
        <v>Cave</v>
      </c>
      <c r="N513" s="251" t="str">
        <f>IFERROR(__xludf.DUMMYFUNCTION("""COMPUTED_VALUE"""),"--")</f>
        <v>--</v>
      </c>
      <c r="O513" s="251" t="str">
        <f>IFERROR(__xludf.DUMMYFUNCTION("""COMPUTED_VALUE"""),"--")</f>
        <v>--</v>
      </c>
      <c r="P513" s="251" t="str">
        <f>IFERROR(__xludf.DUMMYFUNCTION("""COMPUTED_VALUE"""),"--")</f>
        <v>--</v>
      </c>
      <c r="Q513" s="251" t="str">
        <f>IFERROR(__xludf.DUMMYFUNCTION("""COMPUTED_VALUE"""),"--")</f>
        <v>--</v>
      </c>
      <c r="R513" s="251" t="str">
        <f>IFERROR(__xludf.DUMMYFUNCTION("""COMPUTED_VALUE"""),"Darkvision")</f>
        <v>Darkvision</v>
      </c>
      <c r="S513" s="251" t="str">
        <f>IFERROR(__xludf.DUMMYFUNCTION("""COMPUTED_VALUE"""),"Underdog")</f>
        <v>Underdog</v>
      </c>
      <c r="T513" s="251" t="str">
        <f>IFERROR(__xludf.DUMMYFUNCTION("""COMPUTED_VALUE"""),"--")</f>
        <v>--</v>
      </c>
      <c r="U513" s="251" t="str">
        <f>IFERROR(__xludf.DUMMYFUNCTION("""COMPUTED_VALUE"""),"--")</f>
        <v>--</v>
      </c>
      <c r="V513" s="251" t="str">
        <f>IFERROR(__xludf.DUMMYFUNCTION("""COMPUTED_VALUE"""),"Glow")</f>
        <v>Glow</v>
      </c>
      <c r="W513" s="251" t="str">
        <f>IFERROR(__xludf.DUMMYFUNCTION("""COMPUTED_VALUE"""),"Heater")</f>
        <v>Heater</v>
      </c>
      <c r="X513" s="251" t="str">
        <f>IFERROR(__xludf.DUMMYFUNCTION("""COMPUTED_VALUE"""),"--")</f>
        <v>--</v>
      </c>
      <c r="Y513" s="251" t="str">
        <f>IFERROR(__xludf.DUMMYFUNCTION("""COMPUTED_VALUE"""),"--")</f>
        <v>--</v>
      </c>
      <c r="Z513" s="251" t="str">
        <f>IFERROR(__xludf.DUMMYFUNCTION("""COMPUTED_VALUE"""),"--")</f>
        <v>--</v>
      </c>
      <c r="AA513" s="251" t="str">
        <f>IFERROR(__xludf.DUMMYFUNCTION("""COMPUTED_VALUE"""),"--")</f>
        <v>--</v>
      </c>
      <c r="AB513" s="251" t="str">
        <f>IFERROR(__xludf.DUMMYFUNCTION("""COMPUTED_VALUE"""),"--")</f>
        <v>--</v>
      </c>
      <c r="AC513" s="251" t="str">
        <f>IFERROR(__xludf.DUMMYFUNCTION("""COMPUTED_VALUE"""),"--")</f>
        <v>--</v>
      </c>
      <c r="AD513" s="251">
        <f>IFERROR(__xludf.DUMMYFUNCTION("""COMPUTED_VALUE"""),2.0)</f>
        <v>2</v>
      </c>
      <c r="AE513" s="251" t="str">
        <f>IFERROR(__xludf.DUMMYFUNCTION("""COMPUTED_VALUE"""),"Terravore")</f>
        <v>Terravore</v>
      </c>
    </row>
    <row r="514">
      <c r="A514" s="251" t="str">
        <f>IFERROR(__xludf.DUMMYFUNCTION("""COMPUTED_VALUE"""),"Coalossal")</f>
        <v>Coalossal</v>
      </c>
      <c r="B514" s="251" t="str">
        <f>IFERROR(__xludf.DUMMYFUNCTION("""COMPUTED_VALUE"""),"Rock")</f>
        <v>Rock</v>
      </c>
      <c r="C514" s="251" t="str">
        <f>IFERROR(__xludf.DUMMYFUNCTION("""COMPUTED_VALUE"""),"Fire")</f>
        <v>Fire</v>
      </c>
      <c r="D514" s="251">
        <f>IFERROR(__xludf.DUMMYFUNCTION("""COMPUTED_VALUE"""),11.0)</f>
        <v>11</v>
      </c>
      <c r="E514" s="251">
        <f>IFERROR(__xludf.DUMMYFUNCTION("""COMPUTED_VALUE"""),8.0)</f>
        <v>8</v>
      </c>
      <c r="F514" s="251">
        <f>IFERROR(__xludf.DUMMYFUNCTION("""COMPUTED_VALUE"""),12.0)</f>
        <v>12</v>
      </c>
      <c r="G514" s="251">
        <f>IFERROR(__xludf.DUMMYFUNCTION("""COMPUTED_VALUE"""),8.0)</f>
        <v>8</v>
      </c>
      <c r="H514" s="251">
        <f>IFERROR(__xludf.DUMMYFUNCTION("""COMPUTED_VALUE"""),9.0)</f>
        <v>9</v>
      </c>
      <c r="I514" s="251">
        <f>IFERROR(__xludf.DUMMYFUNCTION("""COMPUTED_VALUE"""),3.0)</f>
        <v>3</v>
      </c>
      <c r="J514" s="251">
        <f>IFERROR(__xludf.DUMMYFUNCTION("""COMPUTED_VALUE"""),10.0)</f>
        <v>10</v>
      </c>
      <c r="K514" s="251" t="str">
        <f>IFERROR(__xludf.DUMMYFUNCTION("""COMPUTED_VALUE"""),"Huge")</f>
        <v>Huge</v>
      </c>
      <c r="L514" s="251">
        <f>IFERROR(__xludf.DUMMYFUNCTION("""COMPUTED_VALUE"""),6.0)</f>
        <v>6</v>
      </c>
      <c r="M514" s="251" t="str">
        <f>IFERROR(__xludf.DUMMYFUNCTION("""COMPUTED_VALUE"""),"Cave")</f>
        <v>Cave</v>
      </c>
      <c r="N514" s="251" t="str">
        <f>IFERROR(__xludf.DUMMYFUNCTION("""COMPUTED_VALUE"""),"--")</f>
        <v>--</v>
      </c>
      <c r="O514" s="251" t="str">
        <f>IFERROR(__xludf.DUMMYFUNCTION("""COMPUTED_VALUE"""),"--")</f>
        <v>--</v>
      </c>
      <c r="P514" s="251" t="str">
        <f>IFERROR(__xludf.DUMMYFUNCTION("""COMPUTED_VALUE"""),"--")</f>
        <v>--</v>
      </c>
      <c r="Q514" s="251" t="str">
        <f>IFERROR(__xludf.DUMMYFUNCTION("""COMPUTED_VALUE"""),"--")</f>
        <v>--</v>
      </c>
      <c r="R514" s="251" t="str">
        <f>IFERROR(__xludf.DUMMYFUNCTION("""COMPUTED_VALUE"""),"Darkvision")</f>
        <v>Darkvision</v>
      </c>
      <c r="S514" s="251" t="str">
        <f>IFERROR(__xludf.DUMMYFUNCTION("""COMPUTED_VALUE"""),"--")</f>
        <v>--</v>
      </c>
      <c r="T514" s="251" t="str">
        <f>IFERROR(__xludf.DUMMYFUNCTION("""COMPUTED_VALUE"""),"--")</f>
        <v>--</v>
      </c>
      <c r="U514" s="251" t="str">
        <f>IFERROR(__xludf.DUMMYFUNCTION("""COMPUTED_VALUE"""),"--")</f>
        <v>--</v>
      </c>
      <c r="V514" s="251" t="str">
        <f>IFERROR(__xludf.DUMMYFUNCTION("""COMPUTED_VALUE"""),"Glow")</f>
        <v>Glow</v>
      </c>
      <c r="W514" s="251" t="str">
        <f>IFERROR(__xludf.DUMMYFUNCTION("""COMPUTED_VALUE"""),"Heater")</f>
        <v>Heater</v>
      </c>
      <c r="X514" s="251" t="str">
        <f>IFERROR(__xludf.DUMMYFUNCTION("""COMPUTED_VALUE"""),"--")</f>
        <v>--</v>
      </c>
      <c r="Y514" s="251" t="str">
        <f>IFERROR(__xludf.DUMMYFUNCTION("""COMPUTED_VALUE"""),"--")</f>
        <v>--</v>
      </c>
      <c r="Z514" s="251" t="str">
        <f>IFERROR(__xludf.DUMMYFUNCTION("""COMPUTED_VALUE"""),"--")</f>
        <v>--</v>
      </c>
      <c r="AA514" s="251" t="str">
        <f>IFERROR(__xludf.DUMMYFUNCTION("""COMPUTED_VALUE"""),"--")</f>
        <v>--</v>
      </c>
      <c r="AB514" s="251" t="str">
        <f>IFERROR(__xludf.DUMMYFUNCTION("""COMPUTED_VALUE"""),"--")</f>
        <v>--</v>
      </c>
      <c r="AC514" s="251" t="str">
        <f>IFERROR(__xludf.DUMMYFUNCTION("""COMPUTED_VALUE"""),"--")</f>
        <v>--</v>
      </c>
      <c r="AD514" s="251">
        <f>IFERROR(__xludf.DUMMYFUNCTION("""COMPUTED_VALUE"""),3.0)</f>
        <v>3</v>
      </c>
      <c r="AE514" s="251" t="str">
        <f>IFERROR(__xludf.DUMMYFUNCTION("""COMPUTED_VALUE"""),"Terravore")</f>
        <v>Terravore</v>
      </c>
    </row>
    <row r="515">
      <c r="A515" s="251" t="str">
        <f>IFERROR(__xludf.DUMMYFUNCTION("""COMPUTED_VALUE"""),"Nacli")</f>
        <v>Nacli</v>
      </c>
      <c r="B515" s="251" t="str">
        <f>IFERROR(__xludf.DUMMYFUNCTION("""COMPUTED_VALUE"""),"Rock")</f>
        <v>Rock</v>
      </c>
      <c r="C515" s="251" t="str">
        <f>IFERROR(__xludf.DUMMYFUNCTION("""COMPUTED_VALUE"""),"None")</f>
        <v>None</v>
      </c>
      <c r="D515" s="251">
        <f>IFERROR(__xludf.DUMMYFUNCTION("""COMPUTED_VALUE"""),6.0)</f>
        <v>6</v>
      </c>
      <c r="E515" s="251">
        <f>IFERROR(__xludf.DUMMYFUNCTION("""COMPUTED_VALUE"""),6.0)</f>
        <v>6</v>
      </c>
      <c r="F515" s="251">
        <f>IFERROR(__xludf.DUMMYFUNCTION("""COMPUTED_VALUE"""),8.0)</f>
        <v>8</v>
      </c>
      <c r="G515" s="251">
        <f>IFERROR(__xludf.DUMMYFUNCTION("""COMPUTED_VALUE"""),4.0)</f>
        <v>4</v>
      </c>
      <c r="H515" s="251">
        <f>IFERROR(__xludf.DUMMYFUNCTION("""COMPUTED_VALUE"""),4.0)</f>
        <v>4</v>
      </c>
      <c r="I515" s="251">
        <f>IFERROR(__xludf.DUMMYFUNCTION("""COMPUTED_VALUE"""),3.0)</f>
        <v>3</v>
      </c>
      <c r="J515" s="251">
        <f>IFERROR(__xludf.DUMMYFUNCTION("""COMPUTED_VALUE"""),3.0)</f>
        <v>3</v>
      </c>
      <c r="K515" s="251" t="str">
        <f>IFERROR(__xludf.DUMMYFUNCTION("""COMPUTED_VALUE"""),"Small")</f>
        <v>Small</v>
      </c>
      <c r="L515" s="251">
        <f>IFERROR(__xludf.DUMMYFUNCTION("""COMPUTED_VALUE"""),2.0)</f>
        <v>2</v>
      </c>
      <c r="M515" s="251" t="str">
        <f>IFERROR(__xludf.DUMMYFUNCTION("""COMPUTED_VALUE"""),"Cave, Mountain")</f>
        <v>Cave, Mountain</v>
      </c>
      <c r="N515" s="251" t="str">
        <f>IFERROR(__xludf.DUMMYFUNCTION("""COMPUTED_VALUE"""),"Burrower")</f>
        <v>Burrower</v>
      </c>
      <c r="O515" s="251" t="str">
        <f>IFERROR(__xludf.DUMMYFUNCTION("""COMPUTED_VALUE"""),"Slow")</f>
        <v>Slow</v>
      </c>
      <c r="P515" s="251" t="str">
        <f>IFERROR(__xludf.DUMMYFUNCTION("""COMPUTED_VALUE"""),"--")</f>
        <v>--</v>
      </c>
      <c r="Q515" s="251" t="str">
        <f>IFERROR(__xludf.DUMMYFUNCTION("""COMPUTED_VALUE"""),"--")</f>
        <v>--</v>
      </c>
      <c r="R515" s="251" t="str">
        <f>IFERROR(__xludf.DUMMYFUNCTION("""COMPUTED_VALUE"""),"Underdog")</f>
        <v>Underdog</v>
      </c>
      <c r="S515" s="251" t="str">
        <f>IFERROR(__xludf.DUMMYFUNCTION("""COMPUTED_VALUE"""),"--")</f>
        <v>--</v>
      </c>
      <c r="T515" s="251" t="str">
        <f>IFERROR(__xludf.DUMMYFUNCTION("""COMPUTED_VALUE"""),"--")</f>
        <v>--</v>
      </c>
      <c r="U515" s="251" t="str">
        <f>IFERROR(__xludf.DUMMYFUNCTION("""COMPUTED_VALUE"""),"--")</f>
        <v>--</v>
      </c>
      <c r="V515" s="251" t="str">
        <f>IFERROR(__xludf.DUMMYFUNCTION("""COMPUTED_VALUE"""),"Breathless")</f>
        <v>Breathless</v>
      </c>
      <c r="W515" s="251" t="str">
        <f>IFERROR(__xludf.DUMMYFUNCTION("""COMPUTED_VALUE"""),"--")</f>
        <v>--</v>
      </c>
      <c r="X515" s="251" t="str">
        <f>IFERROR(__xludf.DUMMYFUNCTION("""COMPUTED_VALUE"""),"--")</f>
        <v>--</v>
      </c>
      <c r="Y515" s="251" t="str">
        <f>IFERROR(__xludf.DUMMYFUNCTION("""COMPUTED_VALUE"""),"--")</f>
        <v>--</v>
      </c>
      <c r="Z515" s="251" t="str">
        <f>IFERROR(__xludf.DUMMYFUNCTION("""COMPUTED_VALUE"""),"--")</f>
        <v>--</v>
      </c>
      <c r="AA515" s="251" t="str">
        <f>IFERROR(__xludf.DUMMYFUNCTION("""COMPUTED_VALUE"""),"--")</f>
        <v>--</v>
      </c>
      <c r="AB515" s="251" t="str">
        <f>IFERROR(__xludf.DUMMYFUNCTION("""COMPUTED_VALUE"""),"--")</f>
        <v>--</v>
      </c>
      <c r="AC515" s="251" t="str">
        <f>IFERROR(__xludf.DUMMYFUNCTION("""COMPUTED_VALUE"""),"--")</f>
        <v>--</v>
      </c>
      <c r="AD515" s="251">
        <f>IFERROR(__xludf.DUMMYFUNCTION("""COMPUTED_VALUE"""),1.0)</f>
        <v>1</v>
      </c>
      <c r="AE515" s="251" t="str">
        <f>IFERROR(__xludf.DUMMYFUNCTION("""COMPUTED_VALUE"""),"Terravore")</f>
        <v>Terravore</v>
      </c>
    </row>
    <row r="516">
      <c r="A516" s="251" t="str">
        <f>IFERROR(__xludf.DUMMYFUNCTION("""COMPUTED_VALUE"""),"Naclstack")</f>
        <v>Naclstack</v>
      </c>
      <c r="B516" s="251" t="str">
        <f>IFERROR(__xludf.DUMMYFUNCTION("""COMPUTED_VALUE"""),"Rock")</f>
        <v>Rock</v>
      </c>
      <c r="C516" s="251" t="str">
        <f>IFERROR(__xludf.DUMMYFUNCTION("""COMPUTED_VALUE"""),"None")</f>
        <v>None</v>
      </c>
      <c r="D516" s="251">
        <f>IFERROR(__xludf.DUMMYFUNCTION("""COMPUTED_VALUE"""),6.0)</f>
        <v>6</v>
      </c>
      <c r="E516" s="251">
        <f>IFERROR(__xludf.DUMMYFUNCTION("""COMPUTED_VALUE"""),6.0)</f>
        <v>6</v>
      </c>
      <c r="F516" s="251">
        <f>IFERROR(__xludf.DUMMYFUNCTION("""COMPUTED_VALUE"""),10.0)</f>
        <v>10</v>
      </c>
      <c r="G516" s="251">
        <f>IFERROR(__xludf.DUMMYFUNCTION("""COMPUTED_VALUE"""),4.0)</f>
        <v>4</v>
      </c>
      <c r="H516" s="251">
        <f>IFERROR(__xludf.DUMMYFUNCTION("""COMPUTED_VALUE"""),7.0)</f>
        <v>7</v>
      </c>
      <c r="I516" s="251">
        <f>IFERROR(__xludf.DUMMYFUNCTION("""COMPUTED_VALUE"""),4.0)</f>
        <v>4</v>
      </c>
      <c r="J516" s="251">
        <f>IFERROR(__xludf.DUMMYFUNCTION("""COMPUTED_VALUE"""),8.0)</f>
        <v>8</v>
      </c>
      <c r="K516" s="251" t="str">
        <f>IFERROR(__xludf.DUMMYFUNCTION("""COMPUTED_VALUE"""),"Small")</f>
        <v>Small</v>
      </c>
      <c r="L516" s="251">
        <f>IFERROR(__xludf.DUMMYFUNCTION("""COMPUTED_VALUE"""),5.0)</f>
        <v>5</v>
      </c>
      <c r="M516" s="251" t="str">
        <f>IFERROR(__xludf.DUMMYFUNCTION("""COMPUTED_VALUE"""),"Cave, Mountain")</f>
        <v>Cave, Mountain</v>
      </c>
      <c r="N516" s="251" t="str">
        <f>IFERROR(__xludf.DUMMYFUNCTION("""COMPUTED_VALUE"""),"Burrower")</f>
        <v>Burrower</v>
      </c>
      <c r="O516" s="251" t="str">
        <f>IFERROR(__xludf.DUMMYFUNCTION("""COMPUTED_VALUE"""),"--")</f>
        <v>--</v>
      </c>
      <c r="P516" s="251" t="str">
        <f>IFERROR(__xludf.DUMMYFUNCTION("""COMPUTED_VALUE"""),"--")</f>
        <v>--</v>
      </c>
      <c r="Q516" s="251" t="str">
        <f>IFERROR(__xludf.DUMMYFUNCTION("""COMPUTED_VALUE"""),"--")</f>
        <v>--</v>
      </c>
      <c r="R516" s="251" t="str">
        <f>IFERROR(__xludf.DUMMYFUNCTION("""COMPUTED_VALUE"""),"Underdog")</f>
        <v>Underdog</v>
      </c>
      <c r="S516" s="251" t="str">
        <f>IFERROR(__xludf.DUMMYFUNCTION("""COMPUTED_VALUE"""),"--")</f>
        <v>--</v>
      </c>
      <c r="T516" s="251" t="str">
        <f>IFERROR(__xludf.DUMMYFUNCTION("""COMPUTED_VALUE"""),"--")</f>
        <v>--</v>
      </c>
      <c r="U516" s="251" t="str">
        <f>IFERROR(__xludf.DUMMYFUNCTION("""COMPUTED_VALUE"""),"--")</f>
        <v>--</v>
      </c>
      <c r="V516" s="251" t="str">
        <f>IFERROR(__xludf.DUMMYFUNCTION("""COMPUTED_VALUE"""),"Breathless")</f>
        <v>Breathless</v>
      </c>
      <c r="W516" s="251" t="str">
        <f>IFERROR(__xludf.DUMMYFUNCTION("""COMPUTED_VALUE"""),"--")</f>
        <v>--</v>
      </c>
      <c r="X516" s="251" t="str">
        <f>IFERROR(__xludf.DUMMYFUNCTION("""COMPUTED_VALUE"""),"--")</f>
        <v>--</v>
      </c>
      <c r="Y516" s="251" t="str">
        <f>IFERROR(__xludf.DUMMYFUNCTION("""COMPUTED_VALUE"""),"--")</f>
        <v>--</v>
      </c>
      <c r="Z516" s="251" t="str">
        <f>IFERROR(__xludf.DUMMYFUNCTION("""COMPUTED_VALUE"""),"--")</f>
        <v>--</v>
      </c>
      <c r="AA516" s="251" t="str">
        <f>IFERROR(__xludf.DUMMYFUNCTION("""COMPUTED_VALUE"""),"--")</f>
        <v>--</v>
      </c>
      <c r="AB516" s="251" t="str">
        <f>IFERROR(__xludf.DUMMYFUNCTION("""COMPUTED_VALUE"""),"--")</f>
        <v>--</v>
      </c>
      <c r="AC516" s="251" t="str">
        <f>IFERROR(__xludf.DUMMYFUNCTION("""COMPUTED_VALUE"""),"--")</f>
        <v>--</v>
      </c>
      <c r="AD516" s="251">
        <f>IFERROR(__xludf.DUMMYFUNCTION("""COMPUTED_VALUE"""),2.0)</f>
        <v>2</v>
      </c>
      <c r="AE516" s="251" t="str">
        <f>IFERROR(__xludf.DUMMYFUNCTION("""COMPUTED_VALUE"""),"Terravore")</f>
        <v>Terravore</v>
      </c>
    </row>
    <row r="517">
      <c r="A517" s="251" t="str">
        <f>IFERROR(__xludf.DUMMYFUNCTION("""COMPUTED_VALUE"""),"Garganacl")</f>
        <v>Garganacl</v>
      </c>
      <c r="B517" s="251" t="str">
        <f>IFERROR(__xludf.DUMMYFUNCTION("""COMPUTED_VALUE"""),"Rock")</f>
        <v>Rock</v>
      </c>
      <c r="C517" s="251" t="str">
        <f>IFERROR(__xludf.DUMMYFUNCTION("""COMPUTED_VALUE"""),"None")</f>
        <v>None</v>
      </c>
      <c r="D517" s="251">
        <f>IFERROR(__xludf.DUMMYFUNCTION("""COMPUTED_VALUE"""),10.0)</f>
        <v>10</v>
      </c>
      <c r="E517" s="251">
        <f>IFERROR(__xludf.DUMMYFUNCTION("""COMPUTED_VALUE"""),10.0)</f>
        <v>10</v>
      </c>
      <c r="F517" s="251">
        <f>IFERROR(__xludf.DUMMYFUNCTION("""COMPUTED_VALUE"""),13.0)</f>
        <v>13</v>
      </c>
      <c r="G517" s="251">
        <f>IFERROR(__xludf.DUMMYFUNCTION("""COMPUTED_VALUE"""),5.0)</f>
        <v>5</v>
      </c>
      <c r="H517" s="251">
        <f>IFERROR(__xludf.DUMMYFUNCTION("""COMPUTED_VALUE"""),9.0)</f>
        <v>9</v>
      </c>
      <c r="I517" s="251">
        <f>IFERROR(__xludf.DUMMYFUNCTION("""COMPUTED_VALUE"""),4.0)</f>
        <v>4</v>
      </c>
      <c r="J517" s="251">
        <f>IFERROR(__xludf.DUMMYFUNCTION("""COMPUTED_VALUE"""),12.0)</f>
        <v>12</v>
      </c>
      <c r="K517" s="251" t="str">
        <f>IFERROR(__xludf.DUMMYFUNCTION("""COMPUTED_VALUE"""),"Large")</f>
        <v>Large</v>
      </c>
      <c r="L517" s="251">
        <f>IFERROR(__xludf.DUMMYFUNCTION("""COMPUTED_VALUE"""),6.0)</f>
        <v>6</v>
      </c>
      <c r="M517" s="251" t="str">
        <f>IFERROR(__xludf.DUMMYFUNCTION("""COMPUTED_VALUE"""),"Cave, Mountain")</f>
        <v>Cave, Mountain</v>
      </c>
      <c r="N517" s="251" t="str">
        <f>IFERROR(__xludf.DUMMYFUNCTION("""COMPUTED_VALUE"""),"Burrower")</f>
        <v>Burrower</v>
      </c>
      <c r="O517" s="251" t="str">
        <f>IFERROR(__xludf.DUMMYFUNCTION("""COMPUTED_VALUE"""),"--")</f>
        <v>--</v>
      </c>
      <c r="P517" s="251" t="str">
        <f>IFERROR(__xludf.DUMMYFUNCTION("""COMPUTED_VALUE"""),"--")</f>
        <v>--</v>
      </c>
      <c r="Q517" s="251" t="str">
        <f>IFERROR(__xludf.DUMMYFUNCTION("""COMPUTED_VALUE"""),"--")</f>
        <v>--</v>
      </c>
      <c r="R517" s="251" t="str">
        <f>IFERROR(__xludf.DUMMYFUNCTION("""COMPUTED_VALUE"""),"--")</f>
        <v>--</v>
      </c>
      <c r="S517" s="251" t="str">
        <f>IFERROR(__xludf.DUMMYFUNCTION("""COMPUTED_VALUE"""),"--")</f>
        <v>--</v>
      </c>
      <c r="T517" s="251" t="str">
        <f>IFERROR(__xludf.DUMMYFUNCTION("""COMPUTED_VALUE"""),"--")</f>
        <v>--</v>
      </c>
      <c r="U517" s="251" t="str">
        <f>IFERROR(__xludf.DUMMYFUNCTION("""COMPUTED_VALUE"""),"--")</f>
        <v>--</v>
      </c>
      <c r="V517" s="251" t="str">
        <f>IFERROR(__xludf.DUMMYFUNCTION("""COMPUTED_VALUE"""),"Breathless")</f>
        <v>Breathless</v>
      </c>
      <c r="W517" s="251" t="str">
        <f>IFERROR(__xludf.DUMMYFUNCTION("""COMPUTED_VALUE"""),"--")</f>
        <v>--</v>
      </c>
      <c r="X517" s="251" t="str">
        <f>IFERROR(__xludf.DUMMYFUNCTION("""COMPUTED_VALUE"""),"--")</f>
        <v>--</v>
      </c>
      <c r="Y517" s="251" t="str">
        <f>IFERROR(__xludf.DUMMYFUNCTION("""COMPUTED_VALUE"""),"--")</f>
        <v>--</v>
      </c>
      <c r="Z517" s="251" t="str">
        <f>IFERROR(__xludf.DUMMYFUNCTION("""COMPUTED_VALUE"""),"--")</f>
        <v>--</v>
      </c>
      <c r="AA517" s="251" t="str">
        <f>IFERROR(__xludf.DUMMYFUNCTION("""COMPUTED_VALUE"""),"--")</f>
        <v>--</v>
      </c>
      <c r="AB517" s="251" t="str">
        <f>IFERROR(__xludf.DUMMYFUNCTION("""COMPUTED_VALUE"""),"--")</f>
        <v>--</v>
      </c>
      <c r="AC517" s="251" t="str">
        <f>IFERROR(__xludf.DUMMYFUNCTION("""COMPUTED_VALUE"""),"--")</f>
        <v>--</v>
      </c>
      <c r="AD517" s="251">
        <f>IFERROR(__xludf.DUMMYFUNCTION("""COMPUTED_VALUE"""),3.0)</f>
        <v>3</v>
      </c>
      <c r="AE517" s="251" t="str">
        <f>IFERROR(__xludf.DUMMYFUNCTION("""COMPUTED_VALUE"""),"Terravore")</f>
        <v>Terravore</v>
      </c>
    </row>
    <row r="518">
      <c r="A518" s="251" t="str">
        <f>IFERROR(__xludf.DUMMYFUNCTION("""COMPUTED_VALUE"""),"Aron")</f>
        <v>Aron</v>
      </c>
      <c r="B518" s="251" t="str">
        <f>IFERROR(__xludf.DUMMYFUNCTION("""COMPUTED_VALUE"""),"Steel")</f>
        <v>Steel</v>
      </c>
      <c r="C518" s="251" t="str">
        <f>IFERROR(__xludf.DUMMYFUNCTION("""COMPUTED_VALUE"""),"Rock")</f>
        <v>Rock</v>
      </c>
      <c r="D518" s="251">
        <f>IFERROR(__xludf.DUMMYFUNCTION("""COMPUTED_VALUE"""),5.0)</f>
        <v>5</v>
      </c>
      <c r="E518" s="251">
        <f>IFERROR(__xludf.DUMMYFUNCTION("""COMPUTED_VALUE"""),7.0)</f>
        <v>7</v>
      </c>
      <c r="F518" s="251">
        <f>IFERROR(__xludf.DUMMYFUNCTION("""COMPUTED_VALUE"""),10.0)</f>
        <v>10</v>
      </c>
      <c r="G518" s="251">
        <f>IFERROR(__xludf.DUMMYFUNCTION("""COMPUTED_VALUE"""),4.0)</f>
        <v>4</v>
      </c>
      <c r="H518" s="251">
        <f>IFERROR(__xludf.DUMMYFUNCTION("""COMPUTED_VALUE"""),4.0)</f>
        <v>4</v>
      </c>
      <c r="I518" s="251">
        <f>IFERROR(__xludf.DUMMYFUNCTION("""COMPUTED_VALUE"""),3.0)</f>
        <v>3</v>
      </c>
      <c r="J518" s="251">
        <f>IFERROR(__xludf.DUMMYFUNCTION("""COMPUTED_VALUE"""),5.0)</f>
        <v>5</v>
      </c>
      <c r="K518" s="251" t="str">
        <f>IFERROR(__xludf.DUMMYFUNCTION("""COMPUTED_VALUE"""),"Small")</f>
        <v>Small</v>
      </c>
      <c r="L518" s="251">
        <f>IFERROR(__xludf.DUMMYFUNCTION("""COMPUTED_VALUE"""),4.0)</f>
        <v>4</v>
      </c>
      <c r="M518" s="251" t="str">
        <f>IFERROR(__xludf.DUMMYFUNCTION("""COMPUTED_VALUE"""),"Cave, Mountain")</f>
        <v>Cave, Mountain</v>
      </c>
      <c r="N518" s="251" t="str">
        <f>IFERROR(__xludf.DUMMYFUNCTION("""COMPUTED_VALUE"""),"Slow")</f>
        <v>Slow</v>
      </c>
      <c r="O518" s="251" t="str">
        <f>IFERROR(__xludf.DUMMYFUNCTION("""COMPUTED_VALUE"""),"--")</f>
        <v>--</v>
      </c>
      <c r="P518" s="251" t="str">
        <f>IFERROR(__xludf.DUMMYFUNCTION("""COMPUTED_VALUE"""),"--")</f>
        <v>--</v>
      </c>
      <c r="Q518" s="251" t="str">
        <f>IFERROR(__xludf.DUMMYFUNCTION("""COMPUTED_VALUE"""),"--")</f>
        <v>--</v>
      </c>
      <c r="R518" s="251" t="str">
        <f>IFERROR(__xludf.DUMMYFUNCTION("""COMPUTED_VALUE"""),"Underdog")</f>
        <v>Underdog</v>
      </c>
      <c r="S518" s="251" t="str">
        <f>IFERROR(__xludf.DUMMYFUNCTION("""COMPUTED_VALUE"""),"--")</f>
        <v>--</v>
      </c>
      <c r="T518" s="251" t="str">
        <f>IFERROR(__xludf.DUMMYFUNCTION("""COMPUTED_VALUE"""),"--")</f>
        <v>--</v>
      </c>
      <c r="U518" s="251" t="str">
        <f>IFERROR(__xludf.DUMMYFUNCTION("""COMPUTED_VALUE"""),"--")</f>
        <v>--</v>
      </c>
      <c r="V518" s="251" t="str">
        <f>IFERROR(__xludf.DUMMYFUNCTION("""COMPUTED_VALUE"""),"--")</f>
        <v>--</v>
      </c>
      <c r="W518" s="251" t="str">
        <f>IFERROR(__xludf.DUMMYFUNCTION("""COMPUTED_VALUE"""),"--")</f>
        <v>--</v>
      </c>
      <c r="X518" s="251" t="str">
        <f>IFERROR(__xludf.DUMMYFUNCTION("""COMPUTED_VALUE"""),"--")</f>
        <v>--</v>
      </c>
      <c r="Y518" s="251" t="str">
        <f>IFERROR(__xludf.DUMMYFUNCTION("""COMPUTED_VALUE"""),"--")</f>
        <v>--</v>
      </c>
      <c r="Z518" s="251" t="str">
        <f>IFERROR(__xludf.DUMMYFUNCTION("""COMPUTED_VALUE"""),"--")</f>
        <v>--</v>
      </c>
      <c r="AA518" s="251" t="str">
        <f>IFERROR(__xludf.DUMMYFUNCTION("""COMPUTED_VALUE"""),"--")</f>
        <v>--</v>
      </c>
      <c r="AB518" s="251" t="str">
        <f>IFERROR(__xludf.DUMMYFUNCTION("""COMPUTED_VALUE"""),"--")</f>
        <v>--</v>
      </c>
      <c r="AC518" s="251" t="str">
        <f>IFERROR(__xludf.DUMMYFUNCTION("""COMPUTED_VALUE"""),"--")</f>
        <v>--</v>
      </c>
      <c r="AD518" s="251">
        <f>IFERROR(__xludf.DUMMYFUNCTION("""COMPUTED_VALUE"""),1.0)</f>
        <v>1</v>
      </c>
      <c r="AE518" s="251" t="str">
        <f>IFERROR(__xludf.DUMMYFUNCTION("""COMPUTED_VALUE"""),"Terravore")</f>
        <v>Terravore</v>
      </c>
    </row>
    <row r="519">
      <c r="A519" s="251" t="str">
        <f>IFERROR(__xludf.DUMMYFUNCTION("""COMPUTED_VALUE"""),"Lairon")</f>
        <v>Lairon</v>
      </c>
      <c r="B519" s="251" t="str">
        <f>IFERROR(__xludf.DUMMYFUNCTION("""COMPUTED_VALUE"""),"Steel")</f>
        <v>Steel</v>
      </c>
      <c r="C519" s="251" t="str">
        <f>IFERROR(__xludf.DUMMYFUNCTION("""COMPUTED_VALUE"""),"Rock")</f>
        <v>Rock</v>
      </c>
      <c r="D519" s="251">
        <f>IFERROR(__xludf.DUMMYFUNCTION("""COMPUTED_VALUE"""),6.0)</f>
        <v>6</v>
      </c>
      <c r="E519" s="251">
        <f>IFERROR(__xludf.DUMMYFUNCTION("""COMPUTED_VALUE"""),9.0)</f>
        <v>9</v>
      </c>
      <c r="F519" s="251">
        <f>IFERROR(__xludf.DUMMYFUNCTION("""COMPUTED_VALUE"""),14.0)</f>
        <v>14</v>
      </c>
      <c r="G519" s="251">
        <f>IFERROR(__xludf.DUMMYFUNCTION("""COMPUTED_VALUE"""),5.0)</f>
        <v>5</v>
      </c>
      <c r="H519" s="251">
        <f>IFERROR(__xludf.DUMMYFUNCTION("""COMPUTED_VALUE"""),5.0)</f>
        <v>5</v>
      </c>
      <c r="I519" s="251">
        <f>IFERROR(__xludf.DUMMYFUNCTION("""COMPUTED_VALUE"""),4.0)</f>
        <v>4</v>
      </c>
      <c r="J519" s="251">
        <f>IFERROR(__xludf.DUMMYFUNCTION("""COMPUTED_VALUE"""),9.0)</f>
        <v>9</v>
      </c>
      <c r="K519" s="251" t="str">
        <f>IFERROR(__xludf.DUMMYFUNCTION("""COMPUTED_VALUE"""),"Medium")</f>
        <v>Medium</v>
      </c>
      <c r="L519" s="251">
        <f>IFERROR(__xludf.DUMMYFUNCTION("""COMPUTED_VALUE"""),5.0)</f>
        <v>5</v>
      </c>
      <c r="M519" s="251" t="str">
        <f>IFERROR(__xludf.DUMMYFUNCTION("""COMPUTED_VALUE"""),"Cave, Mountain")</f>
        <v>Cave, Mountain</v>
      </c>
      <c r="N519" s="251" t="str">
        <f>IFERROR(__xludf.DUMMYFUNCTION("""COMPUTED_VALUE"""),"--")</f>
        <v>--</v>
      </c>
      <c r="O519" s="251" t="str">
        <f>IFERROR(__xludf.DUMMYFUNCTION("""COMPUTED_VALUE"""),"--")</f>
        <v>--</v>
      </c>
      <c r="P519" s="251" t="str">
        <f>IFERROR(__xludf.DUMMYFUNCTION("""COMPUTED_VALUE"""),"--")</f>
        <v>--</v>
      </c>
      <c r="Q519" s="251" t="str">
        <f>IFERROR(__xludf.DUMMYFUNCTION("""COMPUTED_VALUE"""),"--")</f>
        <v>--</v>
      </c>
      <c r="R519" s="251" t="str">
        <f>IFERROR(__xludf.DUMMYFUNCTION("""COMPUTED_VALUE"""),"Underdog")</f>
        <v>Underdog</v>
      </c>
      <c r="S519" s="251" t="str">
        <f>IFERROR(__xludf.DUMMYFUNCTION("""COMPUTED_VALUE"""),"--")</f>
        <v>--</v>
      </c>
      <c r="T519" s="251" t="str">
        <f>IFERROR(__xludf.DUMMYFUNCTION("""COMPUTED_VALUE"""),"--")</f>
        <v>--</v>
      </c>
      <c r="U519" s="251" t="str">
        <f>IFERROR(__xludf.DUMMYFUNCTION("""COMPUTED_VALUE"""),"--")</f>
        <v>--</v>
      </c>
      <c r="V519" s="251" t="str">
        <f>IFERROR(__xludf.DUMMYFUNCTION("""COMPUTED_VALUE"""),"--")</f>
        <v>--</v>
      </c>
      <c r="W519" s="251" t="str">
        <f>IFERROR(__xludf.DUMMYFUNCTION("""COMPUTED_VALUE"""),"--")</f>
        <v>--</v>
      </c>
      <c r="X519" s="251" t="str">
        <f>IFERROR(__xludf.DUMMYFUNCTION("""COMPUTED_VALUE"""),"--")</f>
        <v>--</v>
      </c>
      <c r="Y519" s="251" t="str">
        <f>IFERROR(__xludf.DUMMYFUNCTION("""COMPUTED_VALUE"""),"--")</f>
        <v>--</v>
      </c>
      <c r="Z519" s="251" t="str">
        <f>IFERROR(__xludf.DUMMYFUNCTION("""COMPUTED_VALUE"""),"--")</f>
        <v>--</v>
      </c>
      <c r="AA519" s="251" t="str">
        <f>IFERROR(__xludf.DUMMYFUNCTION("""COMPUTED_VALUE"""),"--")</f>
        <v>--</v>
      </c>
      <c r="AB519" s="251" t="str">
        <f>IFERROR(__xludf.DUMMYFUNCTION("""COMPUTED_VALUE"""),"--")</f>
        <v>--</v>
      </c>
      <c r="AC519" s="251" t="str">
        <f>IFERROR(__xludf.DUMMYFUNCTION("""COMPUTED_VALUE"""),"--")</f>
        <v>--</v>
      </c>
      <c r="AD519" s="251">
        <f>IFERROR(__xludf.DUMMYFUNCTION("""COMPUTED_VALUE"""),2.0)</f>
        <v>2</v>
      </c>
      <c r="AE519" s="251" t="str">
        <f>IFERROR(__xludf.DUMMYFUNCTION("""COMPUTED_VALUE"""),"Terravore")</f>
        <v>Terravore</v>
      </c>
    </row>
    <row r="520">
      <c r="A520" s="251" t="str">
        <f>IFERROR(__xludf.DUMMYFUNCTION("""COMPUTED_VALUE"""),"Aggron")</f>
        <v>Aggron</v>
      </c>
      <c r="B520" s="251" t="str">
        <f>IFERROR(__xludf.DUMMYFUNCTION("""COMPUTED_VALUE"""),"Steel")</f>
        <v>Steel</v>
      </c>
      <c r="C520" s="251" t="str">
        <f>IFERROR(__xludf.DUMMYFUNCTION("""COMPUTED_VALUE"""),"Rock")</f>
        <v>Rock</v>
      </c>
      <c r="D520" s="251">
        <f>IFERROR(__xludf.DUMMYFUNCTION("""COMPUTED_VALUE"""),7.0)</f>
        <v>7</v>
      </c>
      <c r="E520" s="251">
        <f>IFERROR(__xludf.DUMMYFUNCTION("""COMPUTED_VALUE"""),11.0)</f>
        <v>11</v>
      </c>
      <c r="F520" s="251">
        <f>IFERROR(__xludf.DUMMYFUNCTION("""COMPUTED_VALUE"""),18.0)</f>
        <v>18</v>
      </c>
      <c r="G520" s="251">
        <f>IFERROR(__xludf.DUMMYFUNCTION("""COMPUTED_VALUE"""),6.0)</f>
        <v>6</v>
      </c>
      <c r="H520" s="251">
        <f>IFERROR(__xludf.DUMMYFUNCTION("""COMPUTED_VALUE"""),6.0)</f>
        <v>6</v>
      </c>
      <c r="I520" s="251">
        <f>IFERROR(__xludf.DUMMYFUNCTION("""COMPUTED_VALUE"""),5.0)</f>
        <v>5</v>
      </c>
      <c r="J520" s="251">
        <f>IFERROR(__xludf.DUMMYFUNCTION("""COMPUTED_VALUE"""),13.0)</f>
        <v>13</v>
      </c>
      <c r="K520" s="251" t="str">
        <f>IFERROR(__xludf.DUMMYFUNCTION("""COMPUTED_VALUE"""),"Large")</f>
        <v>Large</v>
      </c>
      <c r="L520" s="251">
        <f>IFERROR(__xludf.DUMMYFUNCTION("""COMPUTED_VALUE"""),6.0)</f>
        <v>6</v>
      </c>
      <c r="M520" s="251" t="str">
        <f>IFERROR(__xludf.DUMMYFUNCTION("""COMPUTED_VALUE"""),"Cave, Mountain")</f>
        <v>Cave, Mountain</v>
      </c>
      <c r="N520" s="251" t="str">
        <f>IFERROR(__xludf.DUMMYFUNCTION("""COMPUTED_VALUE"""),"--")</f>
        <v>--</v>
      </c>
      <c r="O520" s="251" t="str">
        <f>IFERROR(__xludf.DUMMYFUNCTION("""COMPUTED_VALUE"""),"--")</f>
        <v>--</v>
      </c>
      <c r="P520" s="251" t="str">
        <f>IFERROR(__xludf.DUMMYFUNCTION("""COMPUTED_VALUE"""),"--")</f>
        <v>--</v>
      </c>
      <c r="Q520" s="251" t="str">
        <f>IFERROR(__xludf.DUMMYFUNCTION("""COMPUTED_VALUE"""),"--")</f>
        <v>--</v>
      </c>
      <c r="R520" s="251" t="str">
        <f>IFERROR(__xludf.DUMMYFUNCTION("""COMPUTED_VALUE"""),"--")</f>
        <v>--</v>
      </c>
      <c r="S520" s="251" t="str">
        <f>IFERROR(__xludf.DUMMYFUNCTION("""COMPUTED_VALUE"""),"--")</f>
        <v>--</v>
      </c>
      <c r="T520" s="251" t="str">
        <f>IFERROR(__xludf.DUMMYFUNCTION("""COMPUTED_VALUE"""),"--")</f>
        <v>--</v>
      </c>
      <c r="U520" s="251" t="str">
        <f>IFERROR(__xludf.DUMMYFUNCTION("""COMPUTED_VALUE"""),"--")</f>
        <v>--</v>
      </c>
      <c r="V520" s="251" t="str">
        <f>IFERROR(__xludf.DUMMYFUNCTION("""COMPUTED_VALUE"""),"--")</f>
        <v>--</v>
      </c>
      <c r="W520" s="251" t="str">
        <f>IFERROR(__xludf.DUMMYFUNCTION("""COMPUTED_VALUE"""),"--")</f>
        <v>--</v>
      </c>
      <c r="X520" s="251" t="str">
        <f>IFERROR(__xludf.DUMMYFUNCTION("""COMPUTED_VALUE"""),"--")</f>
        <v>--</v>
      </c>
      <c r="Y520" s="251" t="str">
        <f>IFERROR(__xludf.DUMMYFUNCTION("""COMPUTED_VALUE"""),"--")</f>
        <v>--</v>
      </c>
      <c r="Z520" s="251" t="str">
        <f>IFERROR(__xludf.DUMMYFUNCTION("""COMPUTED_VALUE"""),"--")</f>
        <v>--</v>
      </c>
      <c r="AA520" s="251" t="str">
        <f>IFERROR(__xludf.DUMMYFUNCTION("""COMPUTED_VALUE"""),"--")</f>
        <v>--</v>
      </c>
      <c r="AB520" s="251" t="str">
        <f>IFERROR(__xludf.DUMMYFUNCTION("""COMPUTED_VALUE"""),"--")</f>
        <v>--</v>
      </c>
      <c r="AC520" s="251" t="str">
        <f>IFERROR(__xludf.DUMMYFUNCTION("""COMPUTED_VALUE"""),"--")</f>
        <v>--</v>
      </c>
      <c r="AD520" s="251">
        <f>IFERROR(__xludf.DUMMYFUNCTION("""COMPUTED_VALUE"""),3.0)</f>
        <v>3</v>
      </c>
      <c r="AE520" s="251" t="str">
        <f>IFERROR(__xludf.DUMMYFUNCTION("""COMPUTED_VALUE"""),"Terravore")</f>
        <v>Terravore</v>
      </c>
    </row>
    <row r="521">
      <c r="A521" s="251" t="str">
        <f>IFERROR(__xludf.DUMMYFUNCTION("""COMPUTED_VALUE"""),"Beldum")</f>
        <v>Beldum</v>
      </c>
      <c r="B521" s="251" t="str">
        <f>IFERROR(__xludf.DUMMYFUNCTION("""COMPUTED_VALUE"""),"Steel")</f>
        <v>Steel</v>
      </c>
      <c r="C521" s="251" t="str">
        <f>IFERROR(__xludf.DUMMYFUNCTION("""COMPUTED_VALUE"""),"Psychic")</f>
        <v>Psychic</v>
      </c>
      <c r="D521" s="251">
        <f>IFERROR(__xludf.DUMMYFUNCTION("""COMPUTED_VALUE"""),4.0)</f>
        <v>4</v>
      </c>
      <c r="E521" s="251">
        <f>IFERROR(__xludf.DUMMYFUNCTION("""COMPUTED_VALUE"""),6.0)</f>
        <v>6</v>
      </c>
      <c r="F521" s="251">
        <f>IFERROR(__xludf.DUMMYFUNCTION("""COMPUTED_VALUE"""),8.0)</f>
        <v>8</v>
      </c>
      <c r="G521" s="251">
        <f>IFERROR(__xludf.DUMMYFUNCTION("""COMPUTED_VALUE"""),4.0)</f>
        <v>4</v>
      </c>
      <c r="H521" s="251">
        <f>IFERROR(__xludf.DUMMYFUNCTION("""COMPUTED_VALUE"""),6.0)</f>
        <v>6</v>
      </c>
      <c r="I521" s="251">
        <f>IFERROR(__xludf.DUMMYFUNCTION("""COMPUTED_VALUE"""),3.0)</f>
        <v>3</v>
      </c>
      <c r="J521" s="251">
        <f>IFERROR(__xludf.DUMMYFUNCTION("""COMPUTED_VALUE"""),5.0)</f>
        <v>5</v>
      </c>
      <c r="K521" s="251" t="str">
        <f>IFERROR(__xludf.DUMMYFUNCTION("""COMPUTED_VALUE"""),"Small")</f>
        <v>Small</v>
      </c>
      <c r="L521" s="251">
        <f>IFERROR(__xludf.DUMMYFUNCTION("""COMPUTED_VALUE"""),4.0)</f>
        <v>4</v>
      </c>
      <c r="M521" s="251" t="str">
        <f>IFERROR(__xludf.DUMMYFUNCTION("""COMPUTED_VALUE"""),"Urban")</f>
        <v>Urban</v>
      </c>
      <c r="N521" s="251" t="str">
        <f>IFERROR(__xludf.DUMMYFUNCTION("""COMPUTED_VALUE"""),"Climber")</f>
        <v>Climber</v>
      </c>
      <c r="O521" s="251" t="str">
        <f>IFERROR(__xludf.DUMMYFUNCTION("""COMPUTED_VALUE"""),"Flier")</f>
        <v>Flier</v>
      </c>
      <c r="P521" s="251" t="str">
        <f>IFERROR(__xludf.DUMMYFUNCTION("""COMPUTED_VALUE"""),"--")</f>
        <v>--</v>
      </c>
      <c r="Q521" s="251" t="str">
        <f>IFERROR(__xludf.DUMMYFUNCTION("""COMPUTED_VALUE"""),"--")</f>
        <v>--</v>
      </c>
      <c r="R521" s="251" t="str">
        <f>IFERROR(__xludf.DUMMYFUNCTION("""COMPUTED_VALUE"""),"Underdog")</f>
        <v>Underdog</v>
      </c>
      <c r="S521" s="251" t="str">
        <f>IFERROR(__xludf.DUMMYFUNCTION("""COMPUTED_VALUE"""),"--")</f>
        <v>--</v>
      </c>
      <c r="T521" s="251" t="str">
        <f>IFERROR(__xludf.DUMMYFUNCTION("""COMPUTED_VALUE"""),"--")</f>
        <v>--</v>
      </c>
      <c r="U521" s="251" t="str">
        <f>IFERROR(__xludf.DUMMYFUNCTION("""COMPUTED_VALUE"""),"--")</f>
        <v>--</v>
      </c>
      <c r="V521" s="251" t="str">
        <f>IFERROR(__xludf.DUMMYFUNCTION("""COMPUTED_VALUE"""),"Breathless")</f>
        <v>Breathless</v>
      </c>
      <c r="W521" s="251" t="str">
        <f>IFERROR(__xludf.DUMMYFUNCTION("""COMPUTED_VALUE"""),"Magnetic")</f>
        <v>Magnetic</v>
      </c>
      <c r="X521" s="251" t="str">
        <f>IFERROR(__xludf.DUMMYFUNCTION("""COMPUTED_VALUE"""),"--")</f>
        <v>--</v>
      </c>
      <c r="Y521" s="251" t="str">
        <f>IFERROR(__xludf.DUMMYFUNCTION("""COMPUTED_VALUE"""),"--")</f>
        <v>--</v>
      </c>
      <c r="Z521" s="251" t="str">
        <f>IFERROR(__xludf.DUMMYFUNCTION("""COMPUTED_VALUE"""),"--")</f>
        <v>--</v>
      </c>
      <c r="AA521" s="251" t="str">
        <f>IFERROR(__xludf.DUMMYFUNCTION("""COMPUTED_VALUE"""),"--")</f>
        <v>--</v>
      </c>
      <c r="AB521" s="251" t="str">
        <f>IFERROR(__xludf.DUMMYFUNCTION("""COMPUTED_VALUE"""),"--")</f>
        <v>--</v>
      </c>
      <c r="AC521" s="251" t="str">
        <f>IFERROR(__xludf.DUMMYFUNCTION("""COMPUTED_VALUE"""),"--")</f>
        <v>--</v>
      </c>
      <c r="AD521" s="251">
        <f>IFERROR(__xludf.DUMMYFUNCTION("""COMPUTED_VALUE"""),1.0)</f>
        <v>1</v>
      </c>
      <c r="AE521" s="251" t="str">
        <f>IFERROR(__xludf.DUMMYFUNCTION("""COMPUTED_VALUE"""),"Omnivore")</f>
        <v>Omnivore</v>
      </c>
    </row>
    <row r="522">
      <c r="A522" s="251" t="str">
        <f>IFERROR(__xludf.DUMMYFUNCTION("""COMPUTED_VALUE"""),"Metang")</f>
        <v>Metang</v>
      </c>
      <c r="B522" s="251" t="str">
        <f>IFERROR(__xludf.DUMMYFUNCTION("""COMPUTED_VALUE"""),"Steel")</f>
        <v>Steel</v>
      </c>
      <c r="C522" s="251" t="str">
        <f>IFERROR(__xludf.DUMMYFUNCTION("""COMPUTED_VALUE"""),"Psychic")</f>
        <v>Psychic</v>
      </c>
      <c r="D522" s="251">
        <f>IFERROR(__xludf.DUMMYFUNCTION("""COMPUTED_VALUE"""),6.0)</f>
        <v>6</v>
      </c>
      <c r="E522" s="251">
        <f>IFERROR(__xludf.DUMMYFUNCTION("""COMPUTED_VALUE"""),8.0)</f>
        <v>8</v>
      </c>
      <c r="F522" s="251">
        <f>IFERROR(__xludf.DUMMYFUNCTION("""COMPUTED_VALUE"""),10.0)</f>
        <v>10</v>
      </c>
      <c r="G522" s="251">
        <f>IFERROR(__xludf.DUMMYFUNCTION("""COMPUTED_VALUE"""),6.0)</f>
        <v>6</v>
      </c>
      <c r="H522" s="251">
        <f>IFERROR(__xludf.DUMMYFUNCTION("""COMPUTED_VALUE"""),8.0)</f>
        <v>8</v>
      </c>
      <c r="I522" s="251">
        <f>IFERROR(__xludf.DUMMYFUNCTION("""COMPUTED_VALUE"""),5.0)</f>
        <v>5</v>
      </c>
      <c r="J522" s="251">
        <f>IFERROR(__xludf.DUMMYFUNCTION("""COMPUTED_VALUE"""),9.0)</f>
        <v>9</v>
      </c>
      <c r="K522" s="251" t="str">
        <f>IFERROR(__xludf.DUMMYFUNCTION("""COMPUTED_VALUE"""),"Medium")</f>
        <v>Medium</v>
      </c>
      <c r="L522" s="251">
        <f>IFERROR(__xludf.DUMMYFUNCTION("""COMPUTED_VALUE"""),6.0)</f>
        <v>6</v>
      </c>
      <c r="M522" s="251" t="str">
        <f>IFERROR(__xludf.DUMMYFUNCTION("""COMPUTED_VALUE"""),"Urban")</f>
        <v>Urban</v>
      </c>
      <c r="N522" s="251" t="str">
        <f>IFERROR(__xludf.DUMMYFUNCTION("""COMPUTED_VALUE"""),"Climber")</f>
        <v>Climber</v>
      </c>
      <c r="O522" s="251" t="str">
        <f>IFERROR(__xludf.DUMMYFUNCTION("""COMPUTED_VALUE"""),"Flier")</f>
        <v>Flier</v>
      </c>
      <c r="P522" s="251" t="str">
        <f>IFERROR(__xludf.DUMMYFUNCTION("""COMPUTED_VALUE"""),"--")</f>
        <v>--</v>
      </c>
      <c r="Q522" s="251" t="str">
        <f>IFERROR(__xludf.DUMMYFUNCTION("""COMPUTED_VALUE"""),"--")</f>
        <v>--</v>
      </c>
      <c r="R522" s="251" t="str">
        <f>IFERROR(__xludf.DUMMYFUNCTION("""COMPUTED_VALUE"""),"Mountable")</f>
        <v>Mountable</v>
      </c>
      <c r="S522" s="251" t="str">
        <f>IFERROR(__xludf.DUMMYFUNCTION("""COMPUTED_VALUE"""),"Underdog")</f>
        <v>Underdog</v>
      </c>
      <c r="T522" s="251" t="str">
        <f>IFERROR(__xludf.DUMMYFUNCTION("""COMPUTED_VALUE"""),"--")</f>
        <v>--</v>
      </c>
      <c r="U522" s="251" t="str">
        <f>IFERROR(__xludf.DUMMYFUNCTION("""COMPUTED_VALUE"""),"--")</f>
        <v>--</v>
      </c>
      <c r="V522" s="251" t="str">
        <f>IFERROR(__xludf.DUMMYFUNCTION("""COMPUTED_VALUE"""),"Breathless")</f>
        <v>Breathless</v>
      </c>
      <c r="W522" s="251" t="str">
        <f>IFERROR(__xludf.DUMMYFUNCTION("""COMPUTED_VALUE"""),"Magnetic")</f>
        <v>Magnetic</v>
      </c>
      <c r="X522" s="251" t="str">
        <f>IFERROR(__xludf.DUMMYFUNCTION("""COMPUTED_VALUE"""),"--")</f>
        <v>--</v>
      </c>
      <c r="Y522" s="251" t="str">
        <f>IFERROR(__xludf.DUMMYFUNCTION("""COMPUTED_VALUE"""),"--")</f>
        <v>--</v>
      </c>
      <c r="Z522" s="251" t="str">
        <f>IFERROR(__xludf.DUMMYFUNCTION("""COMPUTED_VALUE"""),"--")</f>
        <v>--</v>
      </c>
      <c r="AA522" s="251" t="str">
        <f>IFERROR(__xludf.DUMMYFUNCTION("""COMPUTED_VALUE"""),"--")</f>
        <v>--</v>
      </c>
      <c r="AB522" s="251" t="str">
        <f>IFERROR(__xludf.DUMMYFUNCTION("""COMPUTED_VALUE"""),"--")</f>
        <v>--</v>
      </c>
      <c r="AC522" s="251" t="str">
        <f>IFERROR(__xludf.DUMMYFUNCTION("""COMPUTED_VALUE"""),"--")</f>
        <v>--</v>
      </c>
      <c r="AD522" s="251">
        <f>IFERROR(__xludf.DUMMYFUNCTION("""COMPUTED_VALUE"""),2.0)</f>
        <v>2</v>
      </c>
      <c r="AE522" s="251" t="str">
        <f>IFERROR(__xludf.DUMMYFUNCTION("""COMPUTED_VALUE"""),"Omnivore")</f>
        <v>Omnivore</v>
      </c>
    </row>
    <row r="523">
      <c r="A523" s="251" t="str">
        <f>IFERROR(__xludf.DUMMYFUNCTION("""COMPUTED_VALUE"""),"Metagross")</f>
        <v>Metagross</v>
      </c>
      <c r="B523" s="251" t="str">
        <f>IFERROR(__xludf.DUMMYFUNCTION("""COMPUTED_VALUE"""),"Steel")</f>
        <v>Steel</v>
      </c>
      <c r="C523" s="251" t="str">
        <f>IFERROR(__xludf.DUMMYFUNCTION("""COMPUTED_VALUE"""),"Psychic")</f>
        <v>Psychic</v>
      </c>
      <c r="D523" s="251">
        <f>IFERROR(__xludf.DUMMYFUNCTION("""COMPUTED_VALUE"""),8.0)</f>
        <v>8</v>
      </c>
      <c r="E523" s="251">
        <f>IFERROR(__xludf.DUMMYFUNCTION("""COMPUTED_VALUE"""),14.0)</f>
        <v>14</v>
      </c>
      <c r="F523" s="251">
        <f>IFERROR(__xludf.DUMMYFUNCTION("""COMPUTED_VALUE"""),13.0)</f>
        <v>13</v>
      </c>
      <c r="G523" s="251">
        <f>IFERROR(__xludf.DUMMYFUNCTION("""COMPUTED_VALUE"""),10.0)</f>
        <v>10</v>
      </c>
      <c r="H523" s="251">
        <f>IFERROR(__xludf.DUMMYFUNCTION("""COMPUTED_VALUE"""),9.0)</f>
        <v>9</v>
      </c>
      <c r="I523" s="251">
        <f>IFERROR(__xludf.DUMMYFUNCTION("""COMPUTED_VALUE"""),7.0)</f>
        <v>7</v>
      </c>
      <c r="J523" s="251">
        <f>IFERROR(__xludf.DUMMYFUNCTION("""COMPUTED_VALUE"""),14.0)</f>
        <v>14</v>
      </c>
      <c r="K523" s="251" t="str">
        <f>IFERROR(__xludf.DUMMYFUNCTION("""COMPUTED_VALUE"""),"Large")</f>
        <v>Large</v>
      </c>
      <c r="L523" s="251">
        <f>IFERROR(__xludf.DUMMYFUNCTION("""COMPUTED_VALUE"""),6.0)</f>
        <v>6</v>
      </c>
      <c r="M523" s="251" t="str">
        <f>IFERROR(__xludf.DUMMYFUNCTION("""COMPUTED_VALUE"""),"Tundra, Urban")</f>
        <v>Tundra, Urban</v>
      </c>
      <c r="N523" s="251" t="str">
        <f>IFERROR(__xludf.DUMMYFUNCTION("""COMPUTED_VALUE"""),"Climber")</f>
        <v>Climber</v>
      </c>
      <c r="O523" s="251" t="str">
        <f>IFERROR(__xludf.DUMMYFUNCTION("""COMPUTED_VALUE"""),"Flier")</f>
        <v>Flier</v>
      </c>
      <c r="P523" s="251" t="str">
        <f>IFERROR(__xludf.DUMMYFUNCTION("""COMPUTED_VALUE"""),"--")</f>
        <v>--</v>
      </c>
      <c r="Q523" s="251" t="str">
        <f>IFERROR(__xludf.DUMMYFUNCTION("""COMPUTED_VALUE"""),"--")</f>
        <v>--</v>
      </c>
      <c r="R523" s="251" t="str">
        <f>IFERROR(__xludf.DUMMYFUNCTION("""COMPUTED_VALUE"""),"Mountable")</f>
        <v>Mountable</v>
      </c>
      <c r="S523" s="251" t="str">
        <f>IFERROR(__xludf.DUMMYFUNCTION("""COMPUTED_VALUE"""),"--")</f>
        <v>--</v>
      </c>
      <c r="T523" s="251" t="str">
        <f>IFERROR(__xludf.DUMMYFUNCTION("""COMPUTED_VALUE"""),"--")</f>
        <v>--</v>
      </c>
      <c r="U523" s="251" t="str">
        <f>IFERROR(__xludf.DUMMYFUNCTION("""COMPUTED_VALUE"""),"--")</f>
        <v>--</v>
      </c>
      <c r="V523" s="251" t="str">
        <f>IFERROR(__xludf.DUMMYFUNCTION("""COMPUTED_VALUE"""),"Breathless")</f>
        <v>Breathless</v>
      </c>
      <c r="W523" s="251" t="str">
        <f>IFERROR(__xludf.DUMMYFUNCTION("""COMPUTED_VALUE"""),"Magnetic")</f>
        <v>Magnetic</v>
      </c>
      <c r="X523" s="251" t="str">
        <f>IFERROR(__xludf.DUMMYFUNCTION("""COMPUTED_VALUE"""),"--")</f>
        <v>--</v>
      </c>
      <c r="Y523" s="251" t="str">
        <f>IFERROR(__xludf.DUMMYFUNCTION("""COMPUTED_VALUE"""),"--")</f>
        <v>--</v>
      </c>
      <c r="Z523" s="251" t="str">
        <f>IFERROR(__xludf.DUMMYFUNCTION("""COMPUTED_VALUE"""),"--")</f>
        <v>--</v>
      </c>
      <c r="AA523" s="251" t="str">
        <f>IFERROR(__xludf.DUMMYFUNCTION("""COMPUTED_VALUE"""),"--")</f>
        <v>--</v>
      </c>
      <c r="AB523" s="251" t="str">
        <f>IFERROR(__xludf.DUMMYFUNCTION("""COMPUTED_VALUE"""),"--")</f>
        <v>--</v>
      </c>
      <c r="AC523" s="251" t="str">
        <f>IFERROR(__xludf.DUMMYFUNCTION("""COMPUTED_VALUE"""),"--")</f>
        <v>--</v>
      </c>
      <c r="AD523" s="251">
        <f>IFERROR(__xludf.DUMMYFUNCTION("""COMPUTED_VALUE"""),3.0)</f>
        <v>3</v>
      </c>
      <c r="AE523" s="251" t="str">
        <f>IFERROR(__xludf.DUMMYFUNCTION("""COMPUTED_VALUE"""),"Omnivore")</f>
        <v>Omnivore</v>
      </c>
    </row>
    <row r="524">
      <c r="A524" s="251" t="str">
        <f>IFERROR(__xludf.DUMMYFUNCTION("""COMPUTED_VALUE"""),"Klink")</f>
        <v>Klink</v>
      </c>
      <c r="B524" s="251" t="str">
        <f>IFERROR(__xludf.DUMMYFUNCTION("""COMPUTED_VALUE"""),"Steel")</f>
        <v>Steel</v>
      </c>
      <c r="C524" s="251" t="str">
        <f>IFERROR(__xludf.DUMMYFUNCTION("""COMPUTED_VALUE"""),"None")</f>
        <v>None</v>
      </c>
      <c r="D524" s="251">
        <f>IFERROR(__xludf.DUMMYFUNCTION("""COMPUTED_VALUE"""),4.0)</f>
        <v>4</v>
      </c>
      <c r="E524" s="251">
        <f>IFERROR(__xludf.DUMMYFUNCTION("""COMPUTED_VALUE"""),6.0)</f>
        <v>6</v>
      </c>
      <c r="F524" s="251">
        <f>IFERROR(__xludf.DUMMYFUNCTION("""COMPUTED_VALUE"""),7.0)</f>
        <v>7</v>
      </c>
      <c r="G524" s="251">
        <f>IFERROR(__xludf.DUMMYFUNCTION("""COMPUTED_VALUE"""),5.0)</f>
        <v>5</v>
      </c>
      <c r="H524" s="251">
        <f>IFERROR(__xludf.DUMMYFUNCTION("""COMPUTED_VALUE"""),6.0)</f>
        <v>6</v>
      </c>
      <c r="I524" s="251">
        <f>IFERROR(__xludf.DUMMYFUNCTION("""COMPUTED_VALUE"""),3.0)</f>
        <v>3</v>
      </c>
      <c r="J524" s="251">
        <f>IFERROR(__xludf.DUMMYFUNCTION("""COMPUTED_VALUE"""),3.0)</f>
        <v>3</v>
      </c>
      <c r="K524" s="251" t="str">
        <f>IFERROR(__xludf.DUMMYFUNCTION("""COMPUTED_VALUE"""),"Small")</f>
        <v>Small</v>
      </c>
      <c r="L524" s="251">
        <f>IFERROR(__xludf.DUMMYFUNCTION("""COMPUTED_VALUE"""),2.0)</f>
        <v>2</v>
      </c>
      <c r="M524" s="251" t="str">
        <f>IFERROR(__xludf.DUMMYFUNCTION("""COMPUTED_VALUE"""),"Urban")</f>
        <v>Urban</v>
      </c>
      <c r="N524" s="251" t="str">
        <f>IFERROR(__xludf.DUMMYFUNCTION("""COMPUTED_VALUE"""),"Flier")</f>
        <v>Flier</v>
      </c>
      <c r="O524" s="251" t="str">
        <f>IFERROR(__xludf.DUMMYFUNCTION("""COMPUTED_VALUE"""),"Slow")</f>
        <v>Slow</v>
      </c>
      <c r="P524" s="251" t="str">
        <f>IFERROR(__xludf.DUMMYFUNCTION("""COMPUTED_VALUE"""),"--")</f>
        <v>--</v>
      </c>
      <c r="Q524" s="251" t="str">
        <f>IFERROR(__xludf.DUMMYFUNCTION("""COMPUTED_VALUE"""),"--")</f>
        <v>--</v>
      </c>
      <c r="R524" s="251" t="str">
        <f>IFERROR(__xludf.DUMMYFUNCTION("""COMPUTED_VALUE"""),"Underdog")</f>
        <v>Underdog</v>
      </c>
      <c r="S524" s="251" t="str">
        <f>IFERROR(__xludf.DUMMYFUNCTION("""COMPUTED_VALUE"""),"--")</f>
        <v>--</v>
      </c>
      <c r="T524" s="251" t="str">
        <f>IFERROR(__xludf.DUMMYFUNCTION("""COMPUTED_VALUE"""),"--")</f>
        <v>--</v>
      </c>
      <c r="U524" s="251" t="str">
        <f>IFERROR(__xludf.DUMMYFUNCTION("""COMPUTED_VALUE"""),"--")</f>
        <v>--</v>
      </c>
      <c r="V524" s="251" t="str">
        <f>IFERROR(__xludf.DUMMYFUNCTION("""COMPUTED_VALUE"""),"Breathless")</f>
        <v>Breathless</v>
      </c>
      <c r="W524" s="251" t="str">
        <f>IFERROR(__xludf.DUMMYFUNCTION("""COMPUTED_VALUE"""),"--")</f>
        <v>--</v>
      </c>
      <c r="X524" s="251" t="str">
        <f>IFERROR(__xludf.DUMMYFUNCTION("""COMPUTED_VALUE"""),"--")</f>
        <v>--</v>
      </c>
      <c r="Y524" s="251" t="str">
        <f>IFERROR(__xludf.DUMMYFUNCTION("""COMPUTED_VALUE"""),"--")</f>
        <v>--</v>
      </c>
      <c r="Z524" s="251" t="str">
        <f>IFERROR(__xludf.DUMMYFUNCTION("""COMPUTED_VALUE"""),"--")</f>
        <v>--</v>
      </c>
      <c r="AA524" s="251" t="str">
        <f>IFERROR(__xludf.DUMMYFUNCTION("""COMPUTED_VALUE"""),"--")</f>
        <v>--</v>
      </c>
      <c r="AB524" s="251" t="str">
        <f>IFERROR(__xludf.DUMMYFUNCTION("""COMPUTED_VALUE"""),"--")</f>
        <v>--</v>
      </c>
      <c r="AC524" s="251" t="str">
        <f>IFERROR(__xludf.DUMMYFUNCTION("""COMPUTED_VALUE"""),"--")</f>
        <v>--</v>
      </c>
      <c r="AD524" s="251">
        <f>IFERROR(__xludf.DUMMYFUNCTION("""COMPUTED_VALUE"""),1.0)</f>
        <v>1</v>
      </c>
      <c r="AE524" s="251" t="str">
        <f>IFERROR(__xludf.DUMMYFUNCTION("""COMPUTED_VALUE"""),"Terravore")</f>
        <v>Terravore</v>
      </c>
    </row>
    <row r="525">
      <c r="A525" s="251" t="str">
        <f>IFERROR(__xludf.DUMMYFUNCTION("""COMPUTED_VALUE"""),"Klang")</f>
        <v>Klang</v>
      </c>
      <c r="B525" s="251" t="str">
        <f>IFERROR(__xludf.DUMMYFUNCTION("""COMPUTED_VALUE"""),"Steel")</f>
        <v>Steel</v>
      </c>
      <c r="C525" s="251" t="str">
        <f>IFERROR(__xludf.DUMMYFUNCTION("""COMPUTED_VALUE"""),"None")</f>
        <v>None</v>
      </c>
      <c r="D525" s="251">
        <f>IFERROR(__xludf.DUMMYFUNCTION("""COMPUTED_VALUE"""),6.0)</f>
        <v>6</v>
      </c>
      <c r="E525" s="251">
        <f>IFERROR(__xludf.DUMMYFUNCTION("""COMPUTED_VALUE"""),8.0)</f>
        <v>8</v>
      </c>
      <c r="F525" s="251">
        <f>IFERROR(__xludf.DUMMYFUNCTION("""COMPUTED_VALUE"""),10.0)</f>
        <v>10</v>
      </c>
      <c r="G525" s="251">
        <f>IFERROR(__xludf.DUMMYFUNCTION("""COMPUTED_VALUE"""),7.0)</f>
        <v>7</v>
      </c>
      <c r="H525" s="251">
        <f>IFERROR(__xludf.DUMMYFUNCTION("""COMPUTED_VALUE"""),9.0)</f>
        <v>9</v>
      </c>
      <c r="I525" s="251">
        <f>IFERROR(__xludf.DUMMYFUNCTION("""COMPUTED_VALUE"""),5.0)</f>
        <v>5</v>
      </c>
      <c r="J525" s="251">
        <f>IFERROR(__xludf.DUMMYFUNCTION("""COMPUTED_VALUE"""),5.0)</f>
        <v>5</v>
      </c>
      <c r="K525" s="251" t="str">
        <f>IFERROR(__xludf.DUMMYFUNCTION("""COMPUTED_VALUE"""),"Small")</f>
        <v>Small</v>
      </c>
      <c r="L525" s="251">
        <f>IFERROR(__xludf.DUMMYFUNCTION("""COMPUTED_VALUE"""),4.0)</f>
        <v>4</v>
      </c>
      <c r="M525" s="251" t="str">
        <f>IFERROR(__xludf.DUMMYFUNCTION("""COMPUTED_VALUE"""),"Urban")</f>
        <v>Urban</v>
      </c>
      <c r="N525" s="251" t="str">
        <f>IFERROR(__xludf.DUMMYFUNCTION("""COMPUTED_VALUE"""),"Flier")</f>
        <v>Flier</v>
      </c>
      <c r="O525" s="251" t="str">
        <f>IFERROR(__xludf.DUMMYFUNCTION("""COMPUTED_VALUE"""),"--")</f>
        <v>--</v>
      </c>
      <c r="P525" s="251" t="str">
        <f>IFERROR(__xludf.DUMMYFUNCTION("""COMPUTED_VALUE"""),"--")</f>
        <v>--</v>
      </c>
      <c r="Q525" s="251" t="str">
        <f>IFERROR(__xludf.DUMMYFUNCTION("""COMPUTED_VALUE"""),"--")</f>
        <v>--</v>
      </c>
      <c r="R525" s="251" t="str">
        <f>IFERROR(__xludf.DUMMYFUNCTION("""COMPUTED_VALUE"""),"Underdog")</f>
        <v>Underdog</v>
      </c>
      <c r="S525" s="251" t="str">
        <f>IFERROR(__xludf.DUMMYFUNCTION("""COMPUTED_VALUE"""),"--")</f>
        <v>--</v>
      </c>
      <c r="T525" s="251" t="str">
        <f>IFERROR(__xludf.DUMMYFUNCTION("""COMPUTED_VALUE"""),"--")</f>
        <v>--</v>
      </c>
      <c r="U525" s="251" t="str">
        <f>IFERROR(__xludf.DUMMYFUNCTION("""COMPUTED_VALUE"""),"--")</f>
        <v>--</v>
      </c>
      <c r="V525" s="251" t="str">
        <f>IFERROR(__xludf.DUMMYFUNCTION("""COMPUTED_VALUE"""),"Breathless")</f>
        <v>Breathless</v>
      </c>
      <c r="W525" s="251" t="str">
        <f>IFERROR(__xludf.DUMMYFUNCTION("""COMPUTED_VALUE"""),"--")</f>
        <v>--</v>
      </c>
      <c r="X525" s="251" t="str">
        <f>IFERROR(__xludf.DUMMYFUNCTION("""COMPUTED_VALUE"""),"--")</f>
        <v>--</v>
      </c>
      <c r="Y525" s="251" t="str">
        <f>IFERROR(__xludf.DUMMYFUNCTION("""COMPUTED_VALUE"""),"--")</f>
        <v>--</v>
      </c>
      <c r="Z525" s="251" t="str">
        <f>IFERROR(__xludf.DUMMYFUNCTION("""COMPUTED_VALUE"""),"--")</f>
        <v>--</v>
      </c>
      <c r="AA525" s="251" t="str">
        <f>IFERROR(__xludf.DUMMYFUNCTION("""COMPUTED_VALUE"""),"--")</f>
        <v>--</v>
      </c>
      <c r="AB525" s="251" t="str">
        <f>IFERROR(__xludf.DUMMYFUNCTION("""COMPUTED_VALUE"""),"--")</f>
        <v>--</v>
      </c>
      <c r="AC525" s="251" t="str">
        <f>IFERROR(__xludf.DUMMYFUNCTION("""COMPUTED_VALUE"""),"--")</f>
        <v>--</v>
      </c>
      <c r="AD525" s="251">
        <f>IFERROR(__xludf.DUMMYFUNCTION("""COMPUTED_VALUE"""),2.0)</f>
        <v>2</v>
      </c>
      <c r="AE525" s="251" t="str">
        <f>IFERROR(__xludf.DUMMYFUNCTION("""COMPUTED_VALUE"""),"Terravore")</f>
        <v>Terravore</v>
      </c>
    </row>
    <row r="526">
      <c r="A526" s="251" t="str">
        <f>IFERROR(__xludf.DUMMYFUNCTION("""COMPUTED_VALUE"""),"Klinklang")</f>
        <v>Klinklang</v>
      </c>
      <c r="B526" s="251" t="str">
        <f>IFERROR(__xludf.DUMMYFUNCTION("""COMPUTED_VALUE"""),"Steel")</f>
        <v>Steel</v>
      </c>
      <c r="C526" s="251" t="str">
        <f>IFERROR(__xludf.DUMMYFUNCTION("""COMPUTED_VALUE"""),"None")</f>
        <v>None</v>
      </c>
      <c r="D526" s="251">
        <f>IFERROR(__xludf.DUMMYFUNCTION("""COMPUTED_VALUE"""),6.0)</f>
        <v>6</v>
      </c>
      <c r="E526" s="251">
        <f>IFERROR(__xludf.DUMMYFUNCTION("""COMPUTED_VALUE"""),10.0)</f>
        <v>10</v>
      </c>
      <c r="F526" s="251">
        <f>IFERROR(__xludf.DUMMYFUNCTION("""COMPUTED_VALUE"""),12.0)</f>
        <v>12</v>
      </c>
      <c r="G526" s="251">
        <f>IFERROR(__xludf.DUMMYFUNCTION("""COMPUTED_VALUE"""),8.0)</f>
        <v>8</v>
      </c>
      <c r="H526" s="251">
        <f>IFERROR(__xludf.DUMMYFUNCTION("""COMPUTED_VALUE"""),9.0)</f>
        <v>9</v>
      </c>
      <c r="I526" s="251">
        <f>IFERROR(__xludf.DUMMYFUNCTION("""COMPUTED_VALUE"""),9.0)</f>
        <v>9</v>
      </c>
      <c r="J526" s="251">
        <f>IFERROR(__xludf.DUMMYFUNCTION("""COMPUTED_VALUE"""),7.0)</f>
        <v>7</v>
      </c>
      <c r="K526" s="251" t="str">
        <f>IFERROR(__xludf.DUMMYFUNCTION("""COMPUTED_VALUE"""),"Small")</f>
        <v>Small</v>
      </c>
      <c r="L526" s="251">
        <f>IFERROR(__xludf.DUMMYFUNCTION("""COMPUTED_VALUE"""),4.0)</f>
        <v>4</v>
      </c>
      <c r="M526" s="251" t="str">
        <f>IFERROR(__xludf.DUMMYFUNCTION("""COMPUTED_VALUE"""),"Urban")</f>
        <v>Urban</v>
      </c>
      <c r="N526" s="251" t="str">
        <f>IFERROR(__xludf.DUMMYFUNCTION("""COMPUTED_VALUE"""),"Flier")</f>
        <v>Flier</v>
      </c>
      <c r="O526" s="251" t="str">
        <f>IFERROR(__xludf.DUMMYFUNCTION("""COMPUTED_VALUE"""),"--")</f>
        <v>--</v>
      </c>
      <c r="P526" s="251" t="str">
        <f>IFERROR(__xludf.DUMMYFUNCTION("""COMPUTED_VALUE"""),"--")</f>
        <v>--</v>
      </c>
      <c r="Q526" s="251" t="str">
        <f>IFERROR(__xludf.DUMMYFUNCTION("""COMPUTED_VALUE"""),"--")</f>
        <v>--</v>
      </c>
      <c r="R526" s="251" t="str">
        <f>IFERROR(__xludf.DUMMYFUNCTION("""COMPUTED_VALUE"""),"--")</f>
        <v>--</v>
      </c>
      <c r="S526" s="251" t="str">
        <f>IFERROR(__xludf.DUMMYFUNCTION("""COMPUTED_VALUE"""),"--")</f>
        <v>--</v>
      </c>
      <c r="T526" s="251" t="str">
        <f>IFERROR(__xludf.DUMMYFUNCTION("""COMPUTED_VALUE"""),"--")</f>
        <v>--</v>
      </c>
      <c r="U526" s="251" t="str">
        <f>IFERROR(__xludf.DUMMYFUNCTION("""COMPUTED_VALUE"""),"--")</f>
        <v>--</v>
      </c>
      <c r="V526" s="251" t="str">
        <f>IFERROR(__xludf.DUMMYFUNCTION("""COMPUTED_VALUE"""),"Breathless")</f>
        <v>Breathless</v>
      </c>
      <c r="W526" s="251" t="str">
        <f>IFERROR(__xludf.DUMMYFUNCTION("""COMPUTED_VALUE"""),"--")</f>
        <v>--</v>
      </c>
      <c r="X526" s="251" t="str">
        <f>IFERROR(__xludf.DUMMYFUNCTION("""COMPUTED_VALUE"""),"--")</f>
        <v>--</v>
      </c>
      <c r="Y526" s="251" t="str">
        <f>IFERROR(__xludf.DUMMYFUNCTION("""COMPUTED_VALUE"""),"--")</f>
        <v>--</v>
      </c>
      <c r="Z526" s="251" t="str">
        <f>IFERROR(__xludf.DUMMYFUNCTION("""COMPUTED_VALUE"""),"--")</f>
        <v>--</v>
      </c>
      <c r="AA526" s="251" t="str">
        <f>IFERROR(__xludf.DUMMYFUNCTION("""COMPUTED_VALUE"""),"--")</f>
        <v>--</v>
      </c>
      <c r="AB526" s="251" t="str">
        <f>IFERROR(__xludf.DUMMYFUNCTION("""COMPUTED_VALUE"""),"--")</f>
        <v>--</v>
      </c>
      <c r="AC526" s="251" t="str">
        <f>IFERROR(__xludf.DUMMYFUNCTION("""COMPUTED_VALUE"""),"--")</f>
        <v>--</v>
      </c>
      <c r="AD526" s="251">
        <f>IFERROR(__xludf.DUMMYFUNCTION("""COMPUTED_VALUE"""),3.0)</f>
        <v>3</v>
      </c>
      <c r="AE526" s="251" t="str">
        <f>IFERROR(__xludf.DUMMYFUNCTION("""COMPUTED_VALUE"""),"Terravore")</f>
        <v>Terravore</v>
      </c>
    </row>
    <row r="527">
      <c r="A527" s="251" t="str">
        <f>IFERROR(__xludf.DUMMYFUNCTION("""COMPUTED_VALUE"""),"Honedge")</f>
        <v>Honedge</v>
      </c>
      <c r="B527" s="251" t="str">
        <f>IFERROR(__xludf.DUMMYFUNCTION("""COMPUTED_VALUE"""),"Steel")</f>
        <v>Steel</v>
      </c>
      <c r="C527" s="251" t="str">
        <f>IFERROR(__xludf.DUMMYFUNCTION("""COMPUTED_VALUE"""),"Ghost")</f>
        <v>Ghost</v>
      </c>
      <c r="D527" s="251">
        <f>IFERROR(__xludf.DUMMYFUNCTION("""COMPUTED_VALUE"""),5.0)</f>
        <v>5</v>
      </c>
      <c r="E527" s="251">
        <f>IFERROR(__xludf.DUMMYFUNCTION("""COMPUTED_VALUE"""),8.0)</f>
        <v>8</v>
      </c>
      <c r="F527" s="251">
        <f>IFERROR(__xludf.DUMMYFUNCTION("""COMPUTED_VALUE"""),10.0)</f>
        <v>10</v>
      </c>
      <c r="G527" s="251">
        <f>IFERROR(__xludf.DUMMYFUNCTION("""COMPUTED_VALUE"""),4.0)</f>
        <v>4</v>
      </c>
      <c r="H527" s="251">
        <f>IFERROR(__xludf.DUMMYFUNCTION("""COMPUTED_VALUE"""),4.0)</f>
        <v>4</v>
      </c>
      <c r="I527" s="251">
        <f>IFERROR(__xludf.DUMMYFUNCTION("""COMPUTED_VALUE"""),3.0)</f>
        <v>3</v>
      </c>
      <c r="J527" s="251">
        <f>IFERROR(__xludf.DUMMYFUNCTION("""COMPUTED_VALUE"""),2.0)</f>
        <v>2</v>
      </c>
      <c r="K527" s="251" t="str">
        <f>IFERROR(__xludf.DUMMYFUNCTION("""COMPUTED_VALUE"""),"Small")</f>
        <v>Small</v>
      </c>
      <c r="L527" s="251">
        <f>IFERROR(__xludf.DUMMYFUNCTION("""COMPUTED_VALUE"""),1.0)</f>
        <v>1</v>
      </c>
      <c r="M527" s="251" t="str">
        <f>IFERROR(__xludf.DUMMYFUNCTION("""COMPUTED_VALUE"""),"Urban")</f>
        <v>Urban</v>
      </c>
      <c r="N527" s="251" t="str">
        <f>IFERROR(__xludf.DUMMYFUNCTION("""COMPUTED_VALUE"""),"Flier")</f>
        <v>Flier</v>
      </c>
      <c r="O527" s="251" t="str">
        <f>IFERROR(__xludf.DUMMYFUNCTION("""COMPUTED_VALUE"""),"Phaser")</f>
        <v>Phaser</v>
      </c>
      <c r="P527" s="251" t="str">
        <f>IFERROR(__xludf.DUMMYFUNCTION("""COMPUTED_VALUE"""),"--")</f>
        <v>--</v>
      </c>
      <c r="Q527" s="251" t="str">
        <f>IFERROR(__xludf.DUMMYFUNCTION("""COMPUTED_VALUE"""),"--")</f>
        <v>--</v>
      </c>
      <c r="R527" s="251" t="str">
        <f>IFERROR(__xludf.DUMMYFUNCTION("""COMPUTED_VALUE"""),"Invisibility")</f>
        <v>Invisibility</v>
      </c>
      <c r="S527" s="251" t="str">
        <f>IFERROR(__xludf.DUMMYFUNCTION("""COMPUTED_VALUE"""),"Living Weapon")</f>
        <v>Living Weapon</v>
      </c>
      <c r="T527" s="251" t="str">
        <f>IFERROR(__xludf.DUMMYFUNCTION("""COMPUTED_VALUE"""),"Underdog")</f>
        <v>Underdog</v>
      </c>
      <c r="U527" s="251" t="str">
        <f>IFERROR(__xludf.DUMMYFUNCTION("""COMPUTED_VALUE"""),"--")</f>
        <v>--</v>
      </c>
      <c r="V527" s="251" t="str">
        <f>IFERROR(__xludf.DUMMYFUNCTION("""COMPUTED_VALUE"""),"Breathless")</f>
        <v>Breathless</v>
      </c>
      <c r="W527" s="251" t="str">
        <f>IFERROR(__xludf.DUMMYFUNCTION("""COMPUTED_VALUE"""),"Dead Silent")</f>
        <v>Dead Silent</v>
      </c>
      <c r="X527" s="251" t="str">
        <f>IFERROR(__xludf.DUMMYFUNCTION("""COMPUTED_VALUE"""),"--")</f>
        <v>--</v>
      </c>
      <c r="Y527" s="251" t="str">
        <f>IFERROR(__xludf.DUMMYFUNCTION("""COMPUTED_VALUE"""),"--")</f>
        <v>--</v>
      </c>
      <c r="Z527" s="251" t="str">
        <f>IFERROR(__xludf.DUMMYFUNCTION("""COMPUTED_VALUE"""),"--")</f>
        <v>--</v>
      </c>
      <c r="AA527" s="251" t="str">
        <f>IFERROR(__xludf.DUMMYFUNCTION("""COMPUTED_VALUE"""),"--")</f>
        <v>--</v>
      </c>
      <c r="AB527" s="251" t="str">
        <f>IFERROR(__xludf.DUMMYFUNCTION("""COMPUTED_VALUE"""),"--")</f>
        <v>--</v>
      </c>
      <c r="AC527" s="251" t="str">
        <f>IFERROR(__xludf.DUMMYFUNCTION("""COMPUTED_VALUE"""),"--")</f>
        <v>--</v>
      </c>
      <c r="AD527" s="251">
        <f>IFERROR(__xludf.DUMMYFUNCTION("""COMPUTED_VALUE"""),1.0)</f>
        <v>1</v>
      </c>
      <c r="AE527" s="251" t="str">
        <f>IFERROR(__xludf.DUMMYFUNCTION("""COMPUTED_VALUE"""),"Nullivore")</f>
        <v>Nullivore</v>
      </c>
    </row>
    <row r="528">
      <c r="A528" s="251" t="str">
        <f>IFERROR(__xludf.DUMMYFUNCTION("""COMPUTED_VALUE"""),"Doublade")</f>
        <v>Doublade</v>
      </c>
      <c r="B528" s="251" t="str">
        <f>IFERROR(__xludf.DUMMYFUNCTION("""COMPUTED_VALUE"""),"Steel")</f>
        <v>Steel</v>
      </c>
      <c r="C528" s="251" t="str">
        <f>IFERROR(__xludf.DUMMYFUNCTION("""COMPUTED_VALUE"""),"Ghost")</f>
        <v>Ghost</v>
      </c>
      <c r="D528" s="251">
        <f>IFERROR(__xludf.DUMMYFUNCTION("""COMPUTED_VALUE"""),6.0)</f>
        <v>6</v>
      </c>
      <c r="E528" s="251">
        <f>IFERROR(__xludf.DUMMYFUNCTION("""COMPUTED_VALUE"""),11.0)</f>
        <v>11</v>
      </c>
      <c r="F528" s="251">
        <f>IFERROR(__xludf.DUMMYFUNCTION("""COMPUTED_VALUE"""),15.0)</f>
        <v>15</v>
      </c>
      <c r="G528" s="251">
        <f>IFERROR(__xludf.DUMMYFUNCTION("""COMPUTED_VALUE"""),5.0)</f>
        <v>5</v>
      </c>
      <c r="H528" s="251">
        <f>IFERROR(__xludf.DUMMYFUNCTION("""COMPUTED_VALUE"""),5.0)</f>
        <v>5</v>
      </c>
      <c r="I528" s="251">
        <f>IFERROR(__xludf.DUMMYFUNCTION("""COMPUTED_VALUE"""),3.0)</f>
        <v>3</v>
      </c>
      <c r="J528" s="251">
        <f>IFERROR(__xludf.DUMMYFUNCTION("""COMPUTED_VALUE"""),3.0)</f>
        <v>3</v>
      </c>
      <c r="K528" s="251" t="str">
        <f>IFERROR(__xludf.DUMMYFUNCTION("""COMPUTED_VALUE"""),"Small")</f>
        <v>Small</v>
      </c>
      <c r="L528" s="251">
        <f>IFERROR(__xludf.DUMMYFUNCTION("""COMPUTED_VALUE"""),1.0)</f>
        <v>1</v>
      </c>
      <c r="M528" s="251" t="str">
        <f>IFERROR(__xludf.DUMMYFUNCTION("""COMPUTED_VALUE"""),"Urban")</f>
        <v>Urban</v>
      </c>
      <c r="N528" s="251" t="str">
        <f>IFERROR(__xludf.DUMMYFUNCTION("""COMPUTED_VALUE"""),"Flier")</f>
        <v>Flier</v>
      </c>
      <c r="O528" s="251" t="str">
        <f>IFERROR(__xludf.DUMMYFUNCTION("""COMPUTED_VALUE"""),"Phaser")</f>
        <v>Phaser</v>
      </c>
      <c r="P528" s="251" t="str">
        <f>IFERROR(__xludf.DUMMYFUNCTION("""COMPUTED_VALUE"""),"--")</f>
        <v>--</v>
      </c>
      <c r="Q528" s="251" t="str">
        <f>IFERROR(__xludf.DUMMYFUNCTION("""COMPUTED_VALUE"""),"--")</f>
        <v>--</v>
      </c>
      <c r="R528" s="251" t="str">
        <f>IFERROR(__xludf.DUMMYFUNCTION("""COMPUTED_VALUE"""),"Invisibility")</f>
        <v>Invisibility</v>
      </c>
      <c r="S528" s="251" t="str">
        <f>IFERROR(__xludf.DUMMYFUNCTION("""COMPUTED_VALUE"""),"Living Weapon")</f>
        <v>Living Weapon</v>
      </c>
      <c r="T528" s="251" t="str">
        <f>IFERROR(__xludf.DUMMYFUNCTION("""COMPUTED_VALUE"""),"Underdog")</f>
        <v>Underdog</v>
      </c>
      <c r="U528" s="251" t="str">
        <f>IFERROR(__xludf.DUMMYFUNCTION("""COMPUTED_VALUE"""),"--")</f>
        <v>--</v>
      </c>
      <c r="V528" s="251" t="str">
        <f>IFERROR(__xludf.DUMMYFUNCTION("""COMPUTED_VALUE"""),"Breathless")</f>
        <v>Breathless</v>
      </c>
      <c r="W528" s="251" t="str">
        <f>IFERROR(__xludf.DUMMYFUNCTION("""COMPUTED_VALUE"""),"Dead Silent")</f>
        <v>Dead Silent</v>
      </c>
      <c r="X528" s="251" t="str">
        <f>IFERROR(__xludf.DUMMYFUNCTION("""COMPUTED_VALUE"""),"--")</f>
        <v>--</v>
      </c>
      <c r="Y528" s="251" t="str">
        <f>IFERROR(__xludf.DUMMYFUNCTION("""COMPUTED_VALUE"""),"--")</f>
        <v>--</v>
      </c>
      <c r="Z528" s="251" t="str">
        <f>IFERROR(__xludf.DUMMYFUNCTION("""COMPUTED_VALUE"""),"--")</f>
        <v>--</v>
      </c>
      <c r="AA528" s="251" t="str">
        <f>IFERROR(__xludf.DUMMYFUNCTION("""COMPUTED_VALUE"""),"--")</f>
        <v>--</v>
      </c>
      <c r="AB528" s="251" t="str">
        <f>IFERROR(__xludf.DUMMYFUNCTION("""COMPUTED_VALUE"""),"--")</f>
        <v>--</v>
      </c>
      <c r="AC528" s="251" t="str">
        <f>IFERROR(__xludf.DUMMYFUNCTION("""COMPUTED_VALUE"""),"--")</f>
        <v>--</v>
      </c>
      <c r="AD528" s="251">
        <f>IFERROR(__xludf.DUMMYFUNCTION("""COMPUTED_VALUE"""),2.0)</f>
        <v>2</v>
      </c>
      <c r="AE528" s="251" t="str">
        <f>IFERROR(__xludf.DUMMYFUNCTION("""COMPUTED_VALUE"""),"Nullivore")</f>
        <v>Nullivore</v>
      </c>
    </row>
    <row r="529">
      <c r="A529" s="251" t="str">
        <f>IFERROR(__xludf.DUMMYFUNCTION("""COMPUTED_VALUE"""),"Aegislash")</f>
        <v>Aegislash</v>
      </c>
      <c r="B529" s="251" t="str">
        <f>IFERROR(__xludf.DUMMYFUNCTION("""COMPUTED_VALUE"""),"Steel")</f>
        <v>Steel</v>
      </c>
      <c r="C529" s="251" t="str">
        <f>IFERROR(__xludf.DUMMYFUNCTION("""COMPUTED_VALUE"""),"Ghost")</f>
        <v>Ghost</v>
      </c>
      <c r="D529" s="251">
        <f>IFERROR(__xludf.DUMMYFUNCTION("""COMPUTED_VALUE"""),6.0)</f>
        <v>6</v>
      </c>
      <c r="E529" s="251">
        <f>IFERROR(__xludf.DUMMYFUNCTION("""COMPUTED_VALUE"""),5.0)</f>
        <v>5</v>
      </c>
      <c r="F529" s="251">
        <f>IFERROR(__xludf.DUMMYFUNCTION("""COMPUTED_VALUE"""),15.0)</f>
        <v>15</v>
      </c>
      <c r="G529" s="251">
        <f>IFERROR(__xludf.DUMMYFUNCTION("""COMPUTED_VALUE"""),5.0)</f>
        <v>5</v>
      </c>
      <c r="H529" s="251">
        <f>IFERROR(__xludf.DUMMYFUNCTION("""COMPUTED_VALUE"""),15.0)</f>
        <v>15</v>
      </c>
      <c r="I529" s="251">
        <f>IFERROR(__xludf.DUMMYFUNCTION("""COMPUTED_VALUE"""),6.0)</f>
        <v>6</v>
      </c>
      <c r="J529" s="251">
        <f>IFERROR(__xludf.DUMMYFUNCTION("""COMPUTED_VALUE"""),5.0)</f>
        <v>5</v>
      </c>
      <c r="K529" s="251" t="str">
        <f>IFERROR(__xludf.DUMMYFUNCTION("""COMPUTED_VALUE"""),"Medium")</f>
        <v>Medium</v>
      </c>
      <c r="L529" s="251">
        <f>IFERROR(__xludf.DUMMYFUNCTION("""COMPUTED_VALUE"""),4.0)</f>
        <v>4</v>
      </c>
      <c r="M529" s="251" t="str">
        <f>IFERROR(__xludf.DUMMYFUNCTION("""COMPUTED_VALUE"""),"Urban")</f>
        <v>Urban</v>
      </c>
      <c r="N529" s="251" t="str">
        <f>IFERROR(__xludf.DUMMYFUNCTION("""COMPUTED_VALUE"""),"Flier")</f>
        <v>Flier</v>
      </c>
      <c r="O529" s="251" t="str">
        <f>IFERROR(__xludf.DUMMYFUNCTION("""COMPUTED_VALUE"""),"Phaser")</f>
        <v>Phaser</v>
      </c>
      <c r="P529" s="251" t="str">
        <f>IFERROR(__xludf.DUMMYFUNCTION("""COMPUTED_VALUE"""),"--")</f>
        <v>--</v>
      </c>
      <c r="Q529" s="251" t="str">
        <f>IFERROR(__xludf.DUMMYFUNCTION("""COMPUTED_VALUE"""),"--")</f>
        <v>--</v>
      </c>
      <c r="R529" s="251" t="str">
        <f>IFERROR(__xludf.DUMMYFUNCTION("""COMPUTED_VALUE"""),"Invisibility")</f>
        <v>Invisibility</v>
      </c>
      <c r="S529" s="251" t="str">
        <f>IFERROR(__xludf.DUMMYFUNCTION("""COMPUTED_VALUE"""),"Living Weapon")</f>
        <v>Living Weapon</v>
      </c>
      <c r="T529" s="251" t="str">
        <f>IFERROR(__xludf.DUMMYFUNCTION("""COMPUTED_VALUE"""),"--")</f>
        <v>--</v>
      </c>
      <c r="U529" s="251" t="str">
        <f>IFERROR(__xludf.DUMMYFUNCTION("""COMPUTED_VALUE"""),"--")</f>
        <v>--</v>
      </c>
      <c r="V529" s="251" t="str">
        <f>IFERROR(__xludf.DUMMYFUNCTION("""COMPUTED_VALUE"""),"Breathless")</f>
        <v>Breathless</v>
      </c>
      <c r="W529" s="251" t="str">
        <f>IFERROR(__xludf.DUMMYFUNCTION("""COMPUTED_VALUE"""),"Dead Silent")</f>
        <v>Dead Silent</v>
      </c>
      <c r="X529" s="251" t="str">
        <f>IFERROR(__xludf.DUMMYFUNCTION("""COMPUTED_VALUE"""),"--")</f>
        <v>--</v>
      </c>
      <c r="Y529" s="251" t="str">
        <f>IFERROR(__xludf.DUMMYFUNCTION("""COMPUTED_VALUE"""),"--")</f>
        <v>--</v>
      </c>
      <c r="Z529" s="251" t="str">
        <f>IFERROR(__xludf.DUMMYFUNCTION("""COMPUTED_VALUE"""),"--")</f>
        <v>--</v>
      </c>
      <c r="AA529" s="251" t="str">
        <f>IFERROR(__xludf.DUMMYFUNCTION("""COMPUTED_VALUE"""),"--")</f>
        <v>--</v>
      </c>
      <c r="AB529" s="251" t="str">
        <f>IFERROR(__xludf.DUMMYFUNCTION("""COMPUTED_VALUE"""),"--")</f>
        <v>--</v>
      </c>
      <c r="AC529" s="251" t="str">
        <f>IFERROR(__xludf.DUMMYFUNCTION("""COMPUTED_VALUE"""),"--")</f>
        <v>--</v>
      </c>
      <c r="AD529" s="251">
        <f>IFERROR(__xludf.DUMMYFUNCTION("""COMPUTED_VALUE"""),3.0)</f>
        <v>3</v>
      </c>
      <c r="AE529" s="251" t="str">
        <f>IFERROR(__xludf.DUMMYFUNCTION("""COMPUTED_VALUE"""),"Nullivore")</f>
        <v>Nullivore</v>
      </c>
    </row>
    <row r="530">
      <c r="A530" s="251" t="str">
        <f>IFERROR(__xludf.DUMMYFUNCTION("""COMPUTED_VALUE"""),"Poliwag")</f>
        <v>Poliwag</v>
      </c>
      <c r="B530" s="251" t="str">
        <f>IFERROR(__xludf.DUMMYFUNCTION("""COMPUTED_VALUE"""),"Water")</f>
        <v>Water</v>
      </c>
      <c r="C530" s="251" t="str">
        <f>IFERROR(__xludf.DUMMYFUNCTION("""COMPUTED_VALUE"""),"None")</f>
        <v>None</v>
      </c>
      <c r="D530" s="251">
        <f>IFERROR(__xludf.DUMMYFUNCTION("""COMPUTED_VALUE"""),4.0)</f>
        <v>4</v>
      </c>
      <c r="E530" s="251">
        <f>IFERROR(__xludf.DUMMYFUNCTION("""COMPUTED_VALUE"""),5.0)</f>
        <v>5</v>
      </c>
      <c r="F530" s="251">
        <f>IFERROR(__xludf.DUMMYFUNCTION("""COMPUTED_VALUE"""),4.0)</f>
        <v>4</v>
      </c>
      <c r="G530" s="251">
        <f>IFERROR(__xludf.DUMMYFUNCTION("""COMPUTED_VALUE"""),4.0)</f>
        <v>4</v>
      </c>
      <c r="H530" s="251">
        <f>IFERROR(__xludf.DUMMYFUNCTION("""COMPUTED_VALUE"""),4.0)</f>
        <v>4</v>
      </c>
      <c r="I530" s="251">
        <f>IFERROR(__xludf.DUMMYFUNCTION("""COMPUTED_VALUE"""),9.0)</f>
        <v>9</v>
      </c>
      <c r="J530" s="251">
        <f>IFERROR(__xludf.DUMMYFUNCTION("""COMPUTED_VALUE"""),2.0)</f>
        <v>2</v>
      </c>
      <c r="K530" s="251" t="str">
        <f>IFERROR(__xludf.DUMMYFUNCTION("""COMPUTED_VALUE"""),"Small")</f>
        <v>Small</v>
      </c>
      <c r="L530" s="251">
        <f>IFERROR(__xludf.DUMMYFUNCTION("""COMPUTED_VALUE"""),2.0)</f>
        <v>2</v>
      </c>
      <c r="M530" s="251" t="str">
        <f>IFERROR(__xludf.DUMMYFUNCTION("""COMPUTED_VALUE"""),"Wetlands")</f>
        <v>Wetlands</v>
      </c>
      <c r="N530" s="251" t="str">
        <f>IFERROR(__xludf.DUMMYFUNCTION("""COMPUTED_VALUE"""),"Slow")</f>
        <v>Slow</v>
      </c>
      <c r="O530" s="251" t="str">
        <f>IFERROR(__xludf.DUMMYFUNCTION("""COMPUTED_VALUE"""),"Swimmer")</f>
        <v>Swimmer</v>
      </c>
      <c r="P530" s="251" t="str">
        <f>IFERROR(__xludf.DUMMYFUNCTION("""COMPUTED_VALUE"""),"--")</f>
        <v>--</v>
      </c>
      <c r="Q530" s="251" t="str">
        <f>IFERROR(__xludf.DUMMYFUNCTION("""COMPUTED_VALUE"""),"--")</f>
        <v>--</v>
      </c>
      <c r="R530" s="251" t="str">
        <f>IFERROR(__xludf.DUMMYFUNCTION("""COMPUTED_VALUE"""),"Underdog")</f>
        <v>Underdog</v>
      </c>
      <c r="S530" s="251" t="str">
        <f>IFERROR(__xludf.DUMMYFUNCTION("""COMPUTED_VALUE"""),"--")</f>
        <v>--</v>
      </c>
      <c r="T530" s="251" t="str">
        <f>IFERROR(__xludf.DUMMYFUNCTION("""COMPUTED_VALUE"""),"--")</f>
        <v>--</v>
      </c>
      <c r="U530" s="251" t="str">
        <f>IFERROR(__xludf.DUMMYFUNCTION("""COMPUTED_VALUE"""),"--")</f>
        <v>--</v>
      </c>
      <c r="V530" s="251" t="str">
        <f>IFERROR(__xludf.DUMMYFUNCTION("""COMPUTED_VALUE"""),"Gilled")</f>
        <v>Gilled</v>
      </c>
      <c r="W530" s="251" t="str">
        <f>IFERROR(__xludf.DUMMYFUNCTION("""COMPUTED_VALUE"""),"--")</f>
        <v>--</v>
      </c>
      <c r="X530" s="251" t="str">
        <f>IFERROR(__xludf.DUMMYFUNCTION("""COMPUTED_VALUE"""),"--")</f>
        <v>--</v>
      </c>
      <c r="Y530" s="251" t="str">
        <f>IFERROR(__xludf.DUMMYFUNCTION("""COMPUTED_VALUE"""),"--")</f>
        <v>--</v>
      </c>
      <c r="Z530" s="251" t="str">
        <f>IFERROR(__xludf.DUMMYFUNCTION("""COMPUTED_VALUE"""),"--")</f>
        <v>--</v>
      </c>
      <c r="AA530" s="251" t="str">
        <f>IFERROR(__xludf.DUMMYFUNCTION("""COMPUTED_VALUE"""),"--")</f>
        <v>--</v>
      </c>
      <c r="AB530" s="251" t="str">
        <f>IFERROR(__xludf.DUMMYFUNCTION("""COMPUTED_VALUE"""),"--")</f>
        <v>--</v>
      </c>
      <c r="AC530" s="251" t="str">
        <f>IFERROR(__xludf.DUMMYFUNCTION("""COMPUTED_VALUE"""),"--")</f>
        <v>--</v>
      </c>
      <c r="AD530" s="251">
        <f>IFERROR(__xludf.DUMMYFUNCTION("""COMPUTED_VALUE"""),1.0)</f>
        <v>1</v>
      </c>
      <c r="AE530" s="251" t="str">
        <f>IFERROR(__xludf.DUMMYFUNCTION("""COMPUTED_VALUE"""),"Herbivore")</f>
        <v>Herbivore</v>
      </c>
    </row>
    <row r="531">
      <c r="A531" s="251" t="str">
        <f>IFERROR(__xludf.DUMMYFUNCTION("""COMPUTED_VALUE"""),"Poliwhirl")</f>
        <v>Poliwhirl</v>
      </c>
      <c r="B531" s="251" t="str">
        <f>IFERROR(__xludf.DUMMYFUNCTION("""COMPUTED_VALUE"""),"Water")</f>
        <v>Water</v>
      </c>
      <c r="C531" s="251" t="str">
        <f>IFERROR(__xludf.DUMMYFUNCTION("""COMPUTED_VALUE"""),"None")</f>
        <v>None</v>
      </c>
      <c r="D531" s="251">
        <f>IFERROR(__xludf.DUMMYFUNCTION("""COMPUTED_VALUE"""),7.0)</f>
        <v>7</v>
      </c>
      <c r="E531" s="251">
        <f>IFERROR(__xludf.DUMMYFUNCTION("""COMPUTED_VALUE"""),7.0)</f>
        <v>7</v>
      </c>
      <c r="F531" s="251">
        <f>IFERROR(__xludf.DUMMYFUNCTION("""COMPUTED_VALUE"""),7.0)</f>
        <v>7</v>
      </c>
      <c r="G531" s="251">
        <f>IFERROR(__xludf.DUMMYFUNCTION("""COMPUTED_VALUE"""),5.0)</f>
        <v>5</v>
      </c>
      <c r="H531" s="251">
        <f>IFERROR(__xludf.DUMMYFUNCTION("""COMPUTED_VALUE"""),5.0)</f>
        <v>5</v>
      </c>
      <c r="I531" s="251">
        <f>IFERROR(__xludf.DUMMYFUNCTION("""COMPUTED_VALUE"""),9.0)</f>
        <v>9</v>
      </c>
      <c r="J531" s="251">
        <f>IFERROR(__xludf.DUMMYFUNCTION("""COMPUTED_VALUE"""),4.0)</f>
        <v>4</v>
      </c>
      <c r="K531" s="251" t="str">
        <f>IFERROR(__xludf.DUMMYFUNCTION("""COMPUTED_VALUE"""),"Medium")</f>
        <v>Medium</v>
      </c>
      <c r="L531" s="251">
        <f>IFERROR(__xludf.DUMMYFUNCTION("""COMPUTED_VALUE"""),2.0)</f>
        <v>2</v>
      </c>
      <c r="M531" s="251" t="str">
        <f>IFERROR(__xludf.DUMMYFUNCTION("""COMPUTED_VALUE"""),"Wetlands")</f>
        <v>Wetlands</v>
      </c>
      <c r="N531" s="251" t="str">
        <f>IFERROR(__xludf.DUMMYFUNCTION("""COMPUTED_VALUE"""),"Swimmer")</f>
        <v>Swimmer</v>
      </c>
      <c r="O531" s="251" t="str">
        <f>IFERROR(__xludf.DUMMYFUNCTION("""COMPUTED_VALUE"""),"--")</f>
        <v>--</v>
      </c>
      <c r="P531" s="251" t="str">
        <f>IFERROR(__xludf.DUMMYFUNCTION("""COMPUTED_VALUE"""),"--")</f>
        <v>--</v>
      </c>
      <c r="Q531" s="251" t="str">
        <f>IFERROR(__xludf.DUMMYFUNCTION("""COMPUTED_VALUE"""),"--")</f>
        <v>--</v>
      </c>
      <c r="R531" s="251" t="str">
        <f>IFERROR(__xludf.DUMMYFUNCTION("""COMPUTED_VALUE"""),"Underdog")</f>
        <v>Underdog</v>
      </c>
      <c r="S531" s="251" t="str">
        <f>IFERROR(__xludf.DUMMYFUNCTION("""COMPUTED_VALUE"""),"--")</f>
        <v>--</v>
      </c>
      <c r="T531" s="251" t="str">
        <f>IFERROR(__xludf.DUMMYFUNCTION("""COMPUTED_VALUE"""),"--")</f>
        <v>--</v>
      </c>
      <c r="U531" s="251" t="str">
        <f>IFERROR(__xludf.DUMMYFUNCTION("""COMPUTED_VALUE"""),"--")</f>
        <v>--</v>
      </c>
      <c r="V531" s="251" t="str">
        <f>IFERROR(__xludf.DUMMYFUNCTION("""COMPUTED_VALUE"""),"Gilled")</f>
        <v>Gilled</v>
      </c>
      <c r="W531" s="251" t="str">
        <f>IFERROR(__xludf.DUMMYFUNCTION("""COMPUTED_VALUE"""),"--")</f>
        <v>--</v>
      </c>
      <c r="X531" s="251" t="str">
        <f>IFERROR(__xludf.DUMMYFUNCTION("""COMPUTED_VALUE"""),"--")</f>
        <v>--</v>
      </c>
      <c r="Y531" s="251" t="str">
        <f>IFERROR(__xludf.DUMMYFUNCTION("""COMPUTED_VALUE"""),"--")</f>
        <v>--</v>
      </c>
      <c r="Z531" s="251" t="str">
        <f>IFERROR(__xludf.DUMMYFUNCTION("""COMPUTED_VALUE"""),"--")</f>
        <v>--</v>
      </c>
      <c r="AA531" s="251" t="str">
        <f>IFERROR(__xludf.DUMMYFUNCTION("""COMPUTED_VALUE"""),"--")</f>
        <v>--</v>
      </c>
      <c r="AB531" s="251" t="str">
        <f>IFERROR(__xludf.DUMMYFUNCTION("""COMPUTED_VALUE"""),"--")</f>
        <v>--</v>
      </c>
      <c r="AC531" s="251" t="str">
        <f>IFERROR(__xludf.DUMMYFUNCTION("""COMPUTED_VALUE"""),"--")</f>
        <v>--</v>
      </c>
      <c r="AD531" s="251">
        <f>IFERROR(__xludf.DUMMYFUNCTION("""COMPUTED_VALUE"""),2.0)</f>
        <v>2</v>
      </c>
      <c r="AE531" s="251" t="str">
        <f>IFERROR(__xludf.DUMMYFUNCTION("""COMPUTED_VALUE"""),"Omnivore")</f>
        <v>Omnivore</v>
      </c>
    </row>
    <row r="532">
      <c r="A532" s="251" t="str">
        <f>IFERROR(__xludf.DUMMYFUNCTION("""COMPUTED_VALUE"""),"Poliwrath")</f>
        <v>Poliwrath</v>
      </c>
      <c r="B532" s="251" t="str">
        <f>IFERROR(__xludf.DUMMYFUNCTION("""COMPUTED_VALUE"""),"Water")</f>
        <v>Water</v>
      </c>
      <c r="C532" s="251" t="str">
        <f>IFERROR(__xludf.DUMMYFUNCTION("""COMPUTED_VALUE"""),"Fighting")</f>
        <v>Fighting</v>
      </c>
      <c r="D532" s="251">
        <f>IFERROR(__xludf.DUMMYFUNCTION("""COMPUTED_VALUE"""),9.0)</f>
        <v>9</v>
      </c>
      <c r="E532" s="251">
        <f>IFERROR(__xludf.DUMMYFUNCTION("""COMPUTED_VALUE"""),10.0)</f>
        <v>10</v>
      </c>
      <c r="F532" s="251">
        <f>IFERROR(__xludf.DUMMYFUNCTION("""COMPUTED_VALUE"""),10.0)</f>
        <v>10</v>
      </c>
      <c r="G532" s="251">
        <f>IFERROR(__xludf.DUMMYFUNCTION("""COMPUTED_VALUE"""),7.0)</f>
        <v>7</v>
      </c>
      <c r="H532" s="251">
        <f>IFERROR(__xludf.DUMMYFUNCTION("""COMPUTED_VALUE"""),9.0)</f>
        <v>9</v>
      </c>
      <c r="I532" s="251">
        <f>IFERROR(__xludf.DUMMYFUNCTION("""COMPUTED_VALUE"""),7.0)</f>
        <v>7</v>
      </c>
      <c r="J532" s="251">
        <f>IFERROR(__xludf.DUMMYFUNCTION("""COMPUTED_VALUE"""),5.0)</f>
        <v>5</v>
      </c>
      <c r="K532" s="251" t="str">
        <f>IFERROR(__xludf.DUMMYFUNCTION("""COMPUTED_VALUE"""),"Medium")</f>
        <v>Medium</v>
      </c>
      <c r="L532" s="251">
        <f>IFERROR(__xludf.DUMMYFUNCTION("""COMPUTED_VALUE"""),4.0)</f>
        <v>4</v>
      </c>
      <c r="M532" s="251" t="str">
        <f>IFERROR(__xludf.DUMMYFUNCTION("""COMPUTED_VALUE"""),"Wetlands")</f>
        <v>Wetlands</v>
      </c>
      <c r="N532" s="251" t="str">
        <f>IFERROR(__xludf.DUMMYFUNCTION("""COMPUTED_VALUE"""),"Swimmer")</f>
        <v>Swimmer</v>
      </c>
      <c r="O532" s="251" t="str">
        <f>IFERROR(__xludf.DUMMYFUNCTION("""COMPUTED_VALUE"""),"--")</f>
        <v>--</v>
      </c>
      <c r="P532" s="251" t="str">
        <f>IFERROR(__xludf.DUMMYFUNCTION("""COMPUTED_VALUE"""),"--")</f>
        <v>--</v>
      </c>
      <c r="Q532" s="251" t="str">
        <f>IFERROR(__xludf.DUMMYFUNCTION("""COMPUTED_VALUE"""),"--")</f>
        <v>--</v>
      </c>
      <c r="R532" s="251" t="str">
        <f>IFERROR(__xludf.DUMMYFUNCTION("""COMPUTED_VALUE"""),"--")</f>
        <v>--</v>
      </c>
      <c r="S532" s="251" t="str">
        <f>IFERROR(__xludf.DUMMYFUNCTION("""COMPUTED_VALUE"""),"--")</f>
        <v>--</v>
      </c>
      <c r="T532" s="251" t="str">
        <f>IFERROR(__xludf.DUMMYFUNCTION("""COMPUTED_VALUE"""),"--")</f>
        <v>--</v>
      </c>
      <c r="U532" s="251" t="str">
        <f>IFERROR(__xludf.DUMMYFUNCTION("""COMPUTED_VALUE"""),"--")</f>
        <v>--</v>
      </c>
      <c r="V532" s="251" t="str">
        <f>IFERROR(__xludf.DUMMYFUNCTION("""COMPUTED_VALUE"""),"Gilled")</f>
        <v>Gilled</v>
      </c>
      <c r="W532" s="251" t="str">
        <f>IFERROR(__xludf.DUMMYFUNCTION("""COMPUTED_VALUE"""),"--")</f>
        <v>--</v>
      </c>
      <c r="X532" s="251" t="str">
        <f>IFERROR(__xludf.DUMMYFUNCTION("""COMPUTED_VALUE"""),"--")</f>
        <v>--</v>
      </c>
      <c r="Y532" s="251" t="str">
        <f>IFERROR(__xludf.DUMMYFUNCTION("""COMPUTED_VALUE"""),"--")</f>
        <v>--</v>
      </c>
      <c r="Z532" s="251" t="str">
        <f>IFERROR(__xludf.DUMMYFUNCTION("""COMPUTED_VALUE"""),"--")</f>
        <v>--</v>
      </c>
      <c r="AA532" s="251" t="str">
        <f>IFERROR(__xludf.DUMMYFUNCTION("""COMPUTED_VALUE"""),"--")</f>
        <v>--</v>
      </c>
      <c r="AB532" s="251" t="str">
        <f>IFERROR(__xludf.DUMMYFUNCTION("""COMPUTED_VALUE"""),"--")</f>
        <v>--</v>
      </c>
      <c r="AC532" s="251" t="str">
        <f>IFERROR(__xludf.DUMMYFUNCTION("""COMPUTED_VALUE"""),"--")</f>
        <v>--</v>
      </c>
      <c r="AD532" s="251">
        <f>IFERROR(__xludf.DUMMYFUNCTION("""COMPUTED_VALUE"""),3.0)</f>
        <v>3</v>
      </c>
      <c r="AE532" s="251" t="str">
        <f>IFERROR(__xludf.DUMMYFUNCTION("""COMPUTED_VALUE"""),"Omnivore")</f>
        <v>Omnivore</v>
      </c>
    </row>
    <row r="533">
      <c r="A533" s="251" t="str">
        <f>IFERROR(__xludf.DUMMYFUNCTION("""COMPUTED_VALUE"""),"Politoed")</f>
        <v>Politoed</v>
      </c>
      <c r="B533" s="251" t="str">
        <f>IFERROR(__xludf.DUMMYFUNCTION("""COMPUTED_VALUE"""),"Water")</f>
        <v>Water</v>
      </c>
      <c r="C533" s="251" t="str">
        <f>IFERROR(__xludf.DUMMYFUNCTION("""COMPUTED_VALUE"""),"None")</f>
        <v>None</v>
      </c>
      <c r="D533" s="251">
        <f>IFERROR(__xludf.DUMMYFUNCTION("""COMPUTED_VALUE"""),9.0)</f>
        <v>9</v>
      </c>
      <c r="E533" s="251">
        <f>IFERROR(__xludf.DUMMYFUNCTION("""COMPUTED_VALUE"""),8.0)</f>
        <v>8</v>
      </c>
      <c r="F533" s="251">
        <f>IFERROR(__xludf.DUMMYFUNCTION("""COMPUTED_VALUE"""),8.0)</f>
        <v>8</v>
      </c>
      <c r="G533" s="251">
        <f>IFERROR(__xludf.DUMMYFUNCTION("""COMPUTED_VALUE"""),9.0)</f>
        <v>9</v>
      </c>
      <c r="H533" s="251">
        <f>IFERROR(__xludf.DUMMYFUNCTION("""COMPUTED_VALUE"""),10.0)</f>
        <v>10</v>
      </c>
      <c r="I533" s="251">
        <f>IFERROR(__xludf.DUMMYFUNCTION("""COMPUTED_VALUE"""),7.0)</f>
        <v>7</v>
      </c>
      <c r="J533" s="251">
        <f>IFERROR(__xludf.DUMMYFUNCTION("""COMPUTED_VALUE"""),4.0)</f>
        <v>4</v>
      </c>
      <c r="K533" s="251" t="str">
        <f>IFERROR(__xludf.DUMMYFUNCTION("""COMPUTED_VALUE"""),"Medium")</f>
        <v>Medium</v>
      </c>
      <c r="L533" s="251">
        <f>IFERROR(__xludf.DUMMYFUNCTION("""COMPUTED_VALUE"""),2.0)</f>
        <v>2</v>
      </c>
      <c r="M533" s="251" t="str">
        <f>IFERROR(__xludf.DUMMYFUNCTION("""COMPUTED_VALUE"""),"Wetlands")</f>
        <v>Wetlands</v>
      </c>
      <c r="N533" s="251" t="str">
        <f>IFERROR(__xludf.DUMMYFUNCTION("""COMPUTED_VALUE"""),"Jumper")</f>
        <v>Jumper</v>
      </c>
      <c r="O533" s="251" t="str">
        <f>IFERROR(__xludf.DUMMYFUNCTION("""COMPUTED_VALUE"""),"Swimmer")</f>
        <v>Swimmer</v>
      </c>
      <c r="P533" s="251" t="str">
        <f>IFERROR(__xludf.DUMMYFUNCTION("""COMPUTED_VALUE"""),"--")</f>
        <v>--</v>
      </c>
      <c r="Q533" s="251" t="str">
        <f>IFERROR(__xludf.DUMMYFUNCTION("""COMPUTED_VALUE"""),"--")</f>
        <v>--</v>
      </c>
      <c r="R533" s="251" t="str">
        <f>IFERROR(__xludf.DUMMYFUNCTION("""COMPUTED_VALUE"""),"--")</f>
        <v>--</v>
      </c>
      <c r="S533" s="251" t="str">
        <f>IFERROR(__xludf.DUMMYFUNCTION("""COMPUTED_VALUE"""),"--")</f>
        <v>--</v>
      </c>
      <c r="T533" s="251" t="str">
        <f>IFERROR(__xludf.DUMMYFUNCTION("""COMPUTED_VALUE"""),"--")</f>
        <v>--</v>
      </c>
      <c r="U533" s="251" t="str">
        <f>IFERROR(__xludf.DUMMYFUNCTION("""COMPUTED_VALUE"""),"--")</f>
        <v>--</v>
      </c>
      <c r="V533" s="251" t="str">
        <f>IFERROR(__xludf.DUMMYFUNCTION("""COMPUTED_VALUE"""),"Gilled")</f>
        <v>Gilled</v>
      </c>
      <c r="W533" s="251" t="str">
        <f>IFERROR(__xludf.DUMMYFUNCTION("""COMPUTED_VALUE"""),"--")</f>
        <v>--</v>
      </c>
      <c r="X533" s="251" t="str">
        <f>IFERROR(__xludf.DUMMYFUNCTION("""COMPUTED_VALUE"""),"--")</f>
        <v>--</v>
      </c>
      <c r="Y533" s="251" t="str">
        <f>IFERROR(__xludf.DUMMYFUNCTION("""COMPUTED_VALUE"""),"--")</f>
        <v>--</v>
      </c>
      <c r="Z533" s="251" t="str">
        <f>IFERROR(__xludf.DUMMYFUNCTION("""COMPUTED_VALUE"""),"--")</f>
        <v>--</v>
      </c>
      <c r="AA533" s="251" t="str">
        <f>IFERROR(__xludf.DUMMYFUNCTION("""COMPUTED_VALUE"""),"--")</f>
        <v>--</v>
      </c>
      <c r="AB533" s="251" t="str">
        <f>IFERROR(__xludf.DUMMYFUNCTION("""COMPUTED_VALUE"""),"--")</f>
        <v>--</v>
      </c>
      <c r="AC533" s="251" t="str">
        <f>IFERROR(__xludf.DUMMYFUNCTION("""COMPUTED_VALUE"""),"--")</f>
        <v>--</v>
      </c>
      <c r="AD533" s="251">
        <f>IFERROR(__xludf.DUMMYFUNCTION("""COMPUTED_VALUE"""),3.0)</f>
        <v>3</v>
      </c>
      <c r="AE533" s="251" t="str">
        <f>IFERROR(__xludf.DUMMYFUNCTION("""COMPUTED_VALUE"""),"Omnivore")</f>
        <v>Omnivore</v>
      </c>
    </row>
    <row r="534">
      <c r="A534" s="251" t="str">
        <f>IFERROR(__xludf.DUMMYFUNCTION("""COMPUTED_VALUE"""),"Horsea")</f>
        <v>Horsea</v>
      </c>
      <c r="B534" s="251" t="str">
        <f>IFERROR(__xludf.DUMMYFUNCTION("""COMPUTED_VALUE"""),"Water")</f>
        <v>Water</v>
      </c>
      <c r="C534" s="251" t="str">
        <f>IFERROR(__xludf.DUMMYFUNCTION("""COMPUTED_VALUE"""),"None")</f>
        <v>None</v>
      </c>
      <c r="D534" s="251">
        <f>IFERROR(__xludf.DUMMYFUNCTION("""COMPUTED_VALUE"""),3.0)</f>
        <v>3</v>
      </c>
      <c r="E534" s="251">
        <f>IFERROR(__xludf.DUMMYFUNCTION("""COMPUTED_VALUE"""),4.0)</f>
        <v>4</v>
      </c>
      <c r="F534" s="251">
        <f>IFERROR(__xludf.DUMMYFUNCTION("""COMPUTED_VALUE"""),7.0)</f>
        <v>7</v>
      </c>
      <c r="G534" s="251">
        <f>IFERROR(__xludf.DUMMYFUNCTION("""COMPUTED_VALUE"""),7.0)</f>
        <v>7</v>
      </c>
      <c r="H534" s="251">
        <f>IFERROR(__xludf.DUMMYFUNCTION("""COMPUTED_VALUE"""),3.0)</f>
        <v>3</v>
      </c>
      <c r="I534" s="251">
        <f>IFERROR(__xludf.DUMMYFUNCTION("""COMPUTED_VALUE"""),6.0)</f>
        <v>6</v>
      </c>
      <c r="J534" s="251">
        <f>IFERROR(__xludf.DUMMYFUNCTION("""COMPUTED_VALUE"""),1.0)</f>
        <v>1</v>
      </c>
      <c r="K534" s="251" t="str">
        <f>IFERROR(__xludf.DUMMYFUNCTION("""COMPUTED_VALUE"""),"Small")</f>
        <v>Small</v>
      </c>
      <c r="L534" s="251">
        <f>IFERROR(__xludf.DUMMYFUNCTION("""COMPUTED_VALUE"""),1.0)</f>
        <v>1</v>
      </c>
      <c r="M534" s="251" t="str">
        <f>IFERROR(__xludf.DUMMYFUNCTION("""COMPUTED_VALUE"""),"Wetlands")</f>
        <v>Wetlands</v>
      </c>
      <c r="N534" s="251" t="str">
        <f>IFERROR(__xludf.DUMMYFUNCTION("""COMPUTED_VALUE"""),"Swimmer")</f>
        <v>Swimmer</v>
      </c>
      <c r="O534" s="251" t="str">
        <f>IFERROR(__xludf.DUMMYFUNCTION("""COMPUTED_VALUE"""),"--")</f>
        <v>--</v>
      </c>
      <c r="P534" s="251" t="str">
        <f>IFERROR(__xludf.DUMMYFUNCTION("""COMPUTED_VALUE"""),"--")</f>
        <v>--</v>
      </c>
      <c r="Q534" s="251" t="str">
        <f>IFERROR(__xludf.DUMMYFUNCTION("""COMPUTED_VALUE"""),"--")</f>
        <v>--</v>
      </c>
      <c r="R534" s="251" t="str">
        <f>IFERROR(__xludf.DUMMYFUNCTION("""COMPUTED_VALUE"""),"Underdog")</f>
        <v>Underdog</v>
      </c>
      <c r="S534" s="251" t="str">
        <f>IFERROR(__xludf.DUMMYFUNCTION("""COMPUTED_VALUE"""),"--")</f>
        <v>--</v>
      </c>
      <c r="T534" s="251" t="str">
        <f>IFERROR(__xludf.DUMMYFUNCTION("""COMPUTED_VALUE"""),"--")</f>
        <v>--</v>
      </c>
      <c r="U534" s="251" t="str">
        <f>IFERROR(__xludf.DUMMYFUNCTION("""COMPUTED_VALUE"""),"--")</f>
        <v>--</v>
      </c>
      <c r="V534" s="251" t="str">
        <f>IFERROR(__xludf.DUMMYFUNCTION("""COMPUTED_VALUE"""),"Gilled")</f>
        <v>Gilled</v>
      </c>
      <c r="W534" s="251" t="str">
        <f>IFERROR(__xludf.DUMMYFUNCTION("""COMPUTED_VALUE"""),"--")</f>
        <v>--</v>
      </c>
      <c r="X534" s="251" t="str">
        <f>IFERROR(__xludf.DUMMYFUNCTION("""COMPUTED_VALUE"""),"--")</f>
        <v>--</v>
      </c>
      <c r="Y534" s="251" t="str">
        <f>IFERROR(__xludf.DUMMYFUNCTION("""COMPUTED_VALUE"""),"--")</f>
        <v>--</v>
      </c>
      <c r="Z534" s="251" t="str">
        <f>IFERROR(__xludf.DUMMYFUNCTION("""COMPUTED_VALUE"""),"--")</f>
        <v>--</v>
      </c>
      <c r="AA534" s="251" t="str">
        <f>IFERROR(__xludf.DUMMYFUNCTION("""COMPUTED_VALUE"""),"--")</f>
        <v>--</v>
      </c>
      <c r="AB534" s="251" t="str">
        <f>IFERROR(__xludf.DUMMYFUNCTION("""COMPUTED_VALUE"""),"--")</f>
        <v>--</v>
      </c>
      <c r="AC534" s="251" t="str">
        <f>IFERROR(__xludf.DUMMYFUNCTION("""COMPUTED_VALUE"""),"--")</f>
        <v>--</v>
      </c>
      <c r="AD534" s="251">
        <f>IFERROR(__xludf.DUMMYFUNCTION("""COMPUTED_VALUE"""),1.0)</f>
        <v>1</v>
      </c>
      <c r="AE534" s="251" t="str">
        <f>IFERROR(__xludf.DUMMYFUNCTION("""COMPUTED_VALUE"""),"Omnivore")</f>
        <v>Omnivore</v>
      </c>
    </row>
    <row r="535">
      <c r="A535" s="251" t="str">
        <f>IFERROR(__xludf.DUMMYFUNCTION("""COMPUTED_VALUE"""),"Seadra")</f>
        <v>Seadra</v>
      </c>
      <c r="B535" s="251" t="str">
        <f>IFERROR(__xludf.DUMMYFUNCTION("""COMPUTED_VALUE"""),"Water")</f>
        <v>Water</v>
      </c>
      <c r="C535" s="251" t="str">
        <f>IFERROR(__xludf.DUMMYFUNCTION("""COMPUTED_VALUE"""),"None")</f>
        <v>None</v>
      </c>
      <c r="D535" s="251">
        <f>IFERROR(__xludf.DUMMYFUNCTION("""COMPUTED_VALUE"""),6.0)</f>
        <v>6</v>
      </c>
      <c r="E535" s="251">
        <f>IFERROR(__xludf.DUMMYFUNCTION("""COMPUTED_VALUE"""),7.0)</f>
        <v>7</v>
      </c>
      <c r="F535" s="251">
        <f>IFERROR(__xludf.DUMMYFUNCTION("""COMPUTED_VALUE"""),10.0)</f>
        <v>10</v>
      </c>
      <c r="G535" s="251">
        <f>IFERROR(__xludf.DUMMYFUNCTION("""COMPUTED_VALUE"""),10.0)</f>
        <v>10</v>
      </c>
      <c r="H535" s="251">
        <f>IFERROR(__xludf.DUMMYFUNCTION("""COMPUTED_VALUE"""),5.0)</f>
        <v>5</v>
      </c>
      <c r="I535" s="251">
        <f>IFERROR(__xludf.DUMMYFUNCTION("""COMPUTED_VALUE"""),7.0)</f>
        <v>7</v>
      </c>
      <c r="J535" s="251">
        <f>IFERROR(__xludf.DUMMYFUNCTION("""COMPUTED_VALUE"""),3.0)</f>
        <v>3</v>
      </c>
      <c r="K535" s="251" t="str">
        <f>IFERROR(__xludf.DUMMYFUNCTION("""COMPUTED_VALUE"""),"Medium")</f>
        <v>Medium</v>
      </c>
      <c r="L535" s="251">
        <f>IFERROR(__xludf.DUMMYFUNCTION("""COMPUTED_VALUE"""),2.0)</f>
        <v>2</v>
      </c>
      <c r="M535" s="251" t="str">
        <f>IFERROR(__xludf.DUMMYFUNCTION("""COMPUTED_VALUE"""),"Wetlands")</f>
        <v>Wetlands</v>
      </c>
      <c r="N535" s="251" t="str">
        <f>IFERROR(__xludf.DUMMYFUNCTION("""COMPUTED_VALUE"""),"Swimmer")</f>
        <v>Swimmer</v>
      </c>
      <c r="O535" s="251" t="str">
        <f>IFERROR(__xludf.DUMMYFUNCTION("""COMPUTED_VALUE"""),"--")</f>
        <v>--</v>
      </c>
      <c r="P535" s="251" t="str">
        <f>IFERROR(__xludf.DUMMYFUNCTION("""COMPUTED_VALUE"""),"--")</f>
        <v>--</v>
      </c>
      <c r="Q535" s="251" t="str">
        <f>IFERROR(__xludf.DUMMYFUNCTION("""COMPUTED_VALUE"""),"--")</f>
        <v>--</v>
      </c>
      <c r="R535" s="251" t="str">
        <f>IFERROR(__xludf.DUMMYFUNCTION("""COMPUTED_VALUE"""),"Underdog")</f>
        <v>Underdog</v>
      </c>
      <c r="S535" s="251" t="str">
        <f>IFERROR(__xludf.DUMMYFUNCTION("""COMPUTED_VALUE"""),"--")</f>
        <v>--</v>
      </c>
      <c r="T535" s="251" t="str">
        <f>IFERROR(__xludf.DUMMYFUNCTION("""COMPUTED_VALUE"""),"--")</f>
        <v>--</v>
      </c>
      <c r="U535" s="251" t="str">
        <f>IFERROR(__xludf.DUMMYFUNCTION("""COMPUTED_VALUE"""),"--")</f>
        <v>--</v>
      </c>
      <c r="V535" s="251" t="str">
        <f>IFERROR(__xludf.DUMMYFUNCTION("""COMPUTED_VALUE"""),"Gilled")</f>
        <v>Gilled</v>
      </c>
      <c r="W535" s="251" t="str">
        <f>IFERROR(__xludf.DUMMYFUNCTION("""COMPUTED_VALUE"""),"--")</f>
        <v>--</v>
      </c>
      <c r="X535" s="251" t="str">
        <f>IFERROR(__xludf.DUMMYFUNCTION("""COMPUTED_VALUE"""),"--")</f>
        <v>--</v>
      </c>
      <c r="Y535" s="251" t="str">
        <f>IFERROR(__xludf.DUMMYFUNCTION("""COMPUTED_VALUE"""),"--")</f>
        <v>--</v>
      </c>
      <c r="Z535" s="251" t="str">
        <f>IFERROR(__xludf.DUMMYFUNCTION("""COMPUTED_VALUE"""),"--")</f>
        <v>--</v>
      </c>
      <c r="AA535" s="251" t="str">
        <f>IFERROR(__xludf.DUMMYFUNCTION("""COMPUTED_VALUE"""),"--")</f>
        <v>--</v>
      </c>
      <c r="AB535" s="251" t="str">
        <f>IFERROR(__xludf.DUMMYFUNCTION("""COMPUTED_VALUE"""),"--")</f>
        <v>--</v>
      </c>
      <c r="AC535" s="251" t="str">
        <f>IFERROR(__xludf.DUMMYFUNCTION("""COMPUTED_VALUE"""),"--")</f>
        <v>--</v>
      </c>
      <c r="AD535" s="251">
        <f>IFERROR(__xludf.DUMMYFUNCTION("""COMPUTED_VALUE"""),2.0)</f>
        <v>2</v>
      </c>
      <c r="AE535" s="251" t="str">
        <f>IFERROR(__xludf.DUMMYFUNCTION("""COMPUTED_VALUE"""),"Omnivore")</f>
        <v>Omnivore</v>
      </c>
    </row>
    <row r="536">
      <c r="A536" s="251" t="str">
        <f>IFERROR(__xludf.DUMMYFUNCTION("""COMPUTED_VALUE"""),"Kingdra")</f>
        <v>Kingdra</v>
      </c>
      <c r="B536" s="251" t="str">
        <f>IFERROR(__xludf.DUMMYFUNCTION("""COMPUTED_VALUE"""),"Water")</f>
        <v>Water</v>
      </c>
      <c r="C536" s="251" t="str">
        <f>IFERROR(__xludf.DUMMYFUNCTION("""COMPUTED_VALUE"""),"Dragon")</f>
        <v>Dragon</v>
      </c>
      <c r="D536" s="251">
        <f>IFERROR(__xludf.DUMMYFUNCTION("""COMPUTED_VALUE"""),8.0)</f>
        <v>8</v>
      </c>
      <c r="E536" s="251">
        <f>IFERROR(__xludf.DUMMYFUNCTION("""COMPUTED_VALUE"""),10.0)</f>
        <v>10</v>
      </c>
      <c r="F536" s="251">
        <f>IFERROR(__xludf.DUMMYFUNCTION("""COMPUTED_VALUE"""),10.0)</f>
        <v>10</v>
      </c>
      <c r="G536" s="251">
        <f>IFERROR(__xludf.DUMMYFUNCTION("""COMPUTED_VALUE"""),10.0)</f>
        <v>10</v>
      </c>
      <c r="H536" s="251">
        <f>IFERROR(__xludf.DUMMYFUNCTION("""COMPUTED_VALUE"""),10.0)</f>
        <v>10</v>
      </c>
      <c r="I536" s="251">
        <f>IFERROR(__xludf.DUMMYFUNCTION("""COMPUTED_VALUE"""),9.0)</f>
        <v>9</v>
      </c>
      <c r="J536" s="251">
        <f>IFERROR(__xludf.DUMMYFUNCTION("""COMPUTED_VALUE"""),6.0)</f>
        <v>6</v>
      </c>
      <c r="K536" s="251" t="str">
        <f>IFERROR(__xludf.DUMMYFUNCTION("""COMPUTED_VALUE"""),"Medium")</f>
        <v>Medium</v>
      </c>
      <c r="L536" s="251">
        <f>IFERROR(__xludf.DUMMYFUNCTION("""COMPUTED_VALUE"""),5.0)</f>
        <v>5</v>
      </c>
      <c r="M536" s="251" t="str">
        <f>IFERROR(__xludf.DUMMYFUNCTION("""COMPUTED_VALUE"""),"Wetlands")</f>
        <v>Wetlands</v>
      </c>
      <c r="N536" s="251" t="str">
        <f>IFERROR(__xludf.DUMMYFUNCTION("""COMPUTED_VALUE"""),"Quick")</f>
        <v>Quick</v>
      </c>
      <c r="O536" s="251" t="str">
        <f>IFERROR(__xludf.DUMMYFUNCTION("""COMPUTED_VALUE"""),"Swimmer")</f>
        <v>Swimmer</v>
      </c>
      <c r="P536" s="251" t="str">
        <f>IFERROR(__xludf.DUMMYFUNCTION("""COMPUTED_VALUE"""),"--")</f>
        <v>--</v>
      </c>
      <c r="Q536" s="251" t="str">
        <f>IFERROR(__xludf.DUMMYFUNCTION("""COMPUTED_VALUE"""),"--")</f>
        <v>--</v>
      </c>
      <c r="R536" s="251" t="str">
        <f>IFERROR(__xludf.DUMMYFUNCTION("""COMPUTED_VALUE"""),"Mountable")</f>
        <v>Mountable</v>
      </c>
      <c r="S536" s="251" t="str">
        <f>IFERROR(__xludf.DUMMYFUNCTION("""COMPUTED_VALUE"""),"--")</f>
        <v>--</v>
      </c>
      <c r="T536" s="251" t="str">
        <f>IFERROR(__xludf.DUMMYFUNCTION("""COMPUTED_VALUE"""),"--")</f>
        <v>--</v>
      </c>
      <c r="U536" s="251" t="str">
        <f>IFERROR(__xludf.DUMMYFUNCTION("""COMPUTED_VALUE"""),"--")</f>
        <v>--</v>
      </c>
      <c r="V536" s="251" t="str">
        <f>IFERROR(__xludf.DUMMYFUNCTION("""COMPUTED_VALUE"""),"Gilled")</f>
        <v>Gilled</v>
      </c>
      <c r="W536" s="251" t="str">
        <f>IFERROR(__xludf.DUMMYFUNCTION("""COMPUTED_VALUE"""),"--")</f>
        <v>--</v>
      </c>
      <c r="X536" s="251" t="str">
        <f>IFERROR(__xludf.DUMMYFUNCTION("""COMPUTED_VALUE"""),"--")</f>
        <v>--</v>
      </c>
      <c r="Y536" s="251" t="str">
        <f>IFERROR(__xludf.DUMMYFUNCTION("""COMPUTED_VALUE"""),"--")</f>
        <v>--</v>
      </c>
      <c r="Z536" s="251" t="str">
        <f>IFERROR(__xludf.DUMMYFUNCTION("""COMPUTED_VALUE"""),"--")</f>
        <v>--</v>
      </c>
      <c r="AA536" s="251" t="str">
        <f>IFERROR(__xludf.DUMMYFUNCTION("""COMPUTED_VALUE"""),"--")</f>
        <v>--</v>
      </c>
      <c r="AB536" s="251" t="str">
        <f>IFERROR(__xludf.DUMMYFUNCTION("""COMPUTED_VALUE"""),"--")</f>
        <v>--</v>
      </c>
      <c r="AC536" s="251" t="str">
        <f>IFERROR(__xludf.DUMMYFUNCTION("""COMPUTED_VALUE"""),"--")</f>
        <v>--</v>
      </c>
      <c r="AD536" s="251">
        <f>IFERROR(__xludf.DUMMYFUNCTION("""COMPUTED_VALUE"""),3.0)</f>
        <v>3</v>
      </c>
      <c r="AE536" s="251" t="str">
        <f>IFERROR(__xludf.DUMMYFUNCTION("""COMPUTED_VALUE"""),"Omnivore")</f>
        <v>Omnivore</v>
      </c>
    </row>
    <row r="537">
      <c r="A537" s="251" t="str">
        <f>IFERROR(__xludf.DUMMYFUNCTION("""COMPUTED_VALUE"""),"Azurill")</f>
        <v>Azurill</v>
      </c>
      <c r="B537" s="251" t="str">
        <f>IFERROR(__xludf.DUMMYFUNCTION("""COMPUTED_VALUE"""),"Normal")</f>
        <v>Normal</v>
      </c>
      <c r="C537" s="251" t="str">
        <f>IFERROR(__xludf.DUMMYFUNCTION("""COMPUTED_VALUE"""),"Fairy")</f>
        <v>Fairy</v>
      </c>
      <c r="D537" s="251">
        <f>IFERROR(__xludf.DUMMYFUNCTION("""COMPUTED_VALUE"""),5.0)</f>
        <v>5</v>
      </c>
      <c r="E537" s="251">
        <f>IFERROR(__xludf.DUMMYFUNCTION("""COMPUTED_VALUE"""),2.0)</f>
        <v>2</v>
      </c>
      <c r="F537" s="251">
        <f>IFERROR(__xludf.DUMMYFUNCTION("""COMPUTED_VALUE"""),4.0)</f>
        <v>4</v>
      </c>
      <c r="G537" s="251">
        <f>IFERROR(__xludf.DUMMYFUNCTION("""COMPUTED_VALUE"""),2.0)</f>
        <v>2</v>
      </c>
      <c r="H537" s="251">
        <f>IFERROR(__xludf.DUMMYFUNCTION("""COMPUTED_VALUE"""),4.0)</f>
        <v>4</v>
      </c>
      <c r="I537" s="251">
        <f>IFERROR(__xludf.DUMMYFUNCTION("""COMPUTED_VALUE"""),2.0)</f>
        <v>2</v>
      </c>
      <c r="J537" s="251">
        <f>IFERROR(__xludf.DUMMYFUNCTION("""COMPUTED_VALUE"""),1.0)</f>
        <v>1</v>
      </c>
      <c r="K537" s="251" t="str">
        <f>IFERROR(__xludf.DUMMYFUNCTION("""COMPUTED_VALUE"""),"Small")</f>
        <v>Small</v>
      </c>
      <c r="L537" s="251">
        <f>IFERROR(__xludf.DUMMYFUNCTION("""COMPUTED_VALUE"""),1.0)</f>
        <v>1</v>
      </c>
      <c r="M537" s="251" t="str">
        <f>IFERROR(__xludf.DUMMYFUNCTION("""COMPUTED_VALUE"""),"Wetlands")</f>
        <v>Wetlands</v>
      </c>
      <c r="N537" s="251" t="str">
        <f>IFERROR(__xludf.DUMMYFUNCTION("""COMPUTED_VALUE"""),"Jumper")</f>
        <v>Jumper</v>
      </c>
      <c r="O537" s="251" t="str">
        <f>IFERROR(__xludf.DUMMYFUNCTION("""COMPUTED_VALUE"""),"Slow")</f>
        <v>Slow</v>
      </c>
      <c r="P537" s="251" t="str">
        <f>IFERROR(__xludf.DUMMYFUNCTION("""COMPUTED_VALUE"""),"Swimmer")</f>
        <v>Swimmer</v>
      </c>
      <c r="Q537" s="251" t="str">
        <f>IFERROR(__xludf.DUMMYFUNCTION("""COMPUTED_VALUE"""),"--")</f>
        <v>--</v>
      </c>
      <c r="R537" s="251" t="str">
        <f>IFERROR(__xludf.DUMMYFUNCTION("""COMPUTED_VALUE"""),"Underdog")</f>
        <v>Underdog</v>
      </c>
      <c r="S537" s="251" t="str">
        <f>IFERROR(__xludf.DUMMYFUNCTION("""COMPUTED_VALUE"""),"--")</f>
        <v>--</v>
      </c>
      <c r="T537" s="251" t="str">
        <f>IFERROR(__xludf.DUMMYFUNCTION("""COMPUTED_VALUE"""),"--")</f>
        <v>--</v>
      </c>
      <c r="U537" s="251" t="str">
        <f>IFERROR(__xludf.DUMMYFUNCTION("""COMPUTED_VALUE"""),"--")</f>
        <v>--</v>
      </c>
      <c r="V537" s="251" t="str">
        <f>IFERROR(__xludf.DUMMYFUNCTION("""COMPUTED_VALUE"""),"--")</f>
        <v>--</v>
      </c>
      <c r="W537" s="251" t="str">
        <f>IFERROR(__xludf.DUMMYFUNCTION("""COMPUTED_VALUE"""),"--")</f>
        <v>--</v>
      </c>
      <c r="X537" s="251" t="str">
        <f>IFERROR(__xludf.DUMMYFUNCTION("""COMPUTED_VALUE"""),"--")</f>
        <v>--</v>
      </c>
      <c r="Y537" s="251" t="str">
        <f>IFERROR(__xludf.DUMMYFUNCTION("""COMPUTED_VALUE"""),"--")</f>
        <v>--</v>
      </c>
      <c r="Z537" s="251" t="str">
        <f>IFERROR(__xludf.DUMMYFUNCTION("""COMPUTED_VALUE"""),"--")</f>
        <v>--</v>
      </c>
      <c r="AA537" s="251" t="str">
        <f>IFERROR(__xludf.DUMMYFUNCTION("""COMPUTED_VALUE"""),"--")</f>
        <v>--</v>
      </c>
      <c r="AB537" s="251" t="str">
        <f>IFERROR(__xludf.DUMMYFUNCTION("""COMPUTED_VALUE"""),"--")</f>
        <v>--</v>
      </c>
      <c r="AC537" s="251" t="str">
        <f>IFERROR(__xludf.DUMMYFUNCTION("""COMPUTED_VALUE"""),"--")</f>
        <v>--</v>
      </c>
      <c r="AD537" s="251">
        <f>IFERROR(__xludf.DUMMYFUNCTION("""COMPUTED_VALUE"""),1.0)</f>
        <v>1</v>
      </c>
      <c r="AE537" s="251" t="str">
        <f>IFERROR(__xludf.DUMMYFUNCTION("""COMPUTED_VALUE"""),"Herbivore")</f>
        <v>Herbivore</v>
      </c>
    </row>
    <row r="538">
      <c r="A538" s="251" t="str">
        <f>IFERROR(__xludf.DUMMYFUNCTION("""COMPUTED_VALUE"""),"Marill")</f>
        <v>Marill</v>
      </c>
      <c r="B538" s="251" t="str">
        <f>IFERROR(__xludf.DUMMYFUNCTION("""COMPUTED_VALUE"""),"Water")</f>
        <v>Water</v>
      </c>
      <c r="C538" s="251" t="str">
        <f>IFERROR(__xludf.DUMMYFUNCTION("""COMPUTED_VALUE"""),"Fairy")</f>
        <v>Fairy</v>
      </c>
      <c r="D538" s="251">
        <f>IFERROR(__xludf.DUMMYFUNCTION("""COMPUTED_VALUE"""),7.0)</f>
        <v>7</v>
      </c>
      <c r="E538" s="251">
        <f>IFERROR(__xludf.DUMMYFUNCTION("""COMPUTED_VALUE"""),3.0)</f>
        <v>3</v>
      </c>
      <c r="F538" s="251">
        <f>IFERROR(__xludf.DUMMYFUNCTION("""COMPUTED_VALUE"""),6.0)</f>
        <v>6</v>
      </c>
      <c r="G538" s="251">
        <f>IFERROR(__xludf.DUMMYFUNCTION("""COMPUTED_VALUE"""),3.0)</f>
        <v>3</v>
      </c>
      <c r="H538" s="251">
        <f>IFERROR(__xludf.DUMMYFUNCTION("""COMPUTED_VALUE"""),6.0)</f>
        <v>6</v>
      </c>
      <c r="I538" s="251">
        <f>IFERROR(__xludf.DUMMYFUNCTION("""COMPUTED_VALUE"""),5.0)</f>
        <v>5</v>
      </c>
      <c r="J538" s="251">
        <f>IFERROR(__xludf.DUMMYFUNCTION("""COMPUTED_VALUE"""),2.0)</f>
        <v>2</v>
      </c>
      <c r="K538" s="251" t="str">
        <f>IFERROR(__xludf.DUMMYFUNCTION("""COMPUTED_VALUE"""),"Small")</f>
        <v>Small</v>
      </c>
      <c r="L538" s="251">
        <f>IFERROR(__xludf.DUMMYFUNCTION("""COMPUTED_VALUE"""),1.0)</f>
        <v>1</v>
      </c>
      <c r="M538" s="251" t="str">
        <f>IFERROR(__xludf.DUMMYFUNCTION("""COMPUTED_VALUE"""),"Wetlands")</f>
        <v>Wetlands</v>
      </c>
      <c r="N538" s="251" t="str">
        <f>IFERROR(__xludf.DUMMYFUNCTION("""COMPUTED_VALUE"""),"Jumper")</f>
        <v>Jumper</v>
      </c>
      <c r="O538" s="251" t="str">
        <f>IFERROR(__xludf.DUMMYFUNCTION("""COMPUTED_VALUE"""),"Swimmer")</f>
        <v>Swimmer</v>
      </c>
      <c r="P538" s="251" t="str">
        <f>IFERROR(__xludf.DUMMYFUNCTION("""COMPUTED_VALUE"""),"--")</f>
        <v>--</v>
      </c>
      <c r="Q538" s="251" t="str">
        <f>IFERROR(__xludf.DUMMYFUNCTION("""COMPUTED_VALUE"""),"--")</f>
        <v>--</v>
      </c>
      <c r="R538" s="251" t="str">
        <f>IFERROR(__xludf.DUMMYFUNCTION("""COMPUTED_VALUE"""),"Underdog")</f>
        <v>Underdog</v>
      </c>
      <c r="S538" s="251" t="str">
        <f>IFERROR(__xludf.DUMMYFUNCTION("""COMPUTED_VALUE"""),"--")</f>
        <v>--</v>
      </c>
      <c r="T538" s="251" t="str">
        <f>IFERROR(__xludf.DUMMYFUNCTION("""COMPUTED_VALUE"""),"--")</f>
        <v>--</v>
      </c>
      <c r="U538" s="251" t="str">
        <f>IFERROR(__xludf.DUMMYFUNCTION("""COMPUTED_VALUE"""),"--")</f>
        <v>--</v>
      </c>
      <c r="V538" s="251" t="str">
        <f>IFERROR(__xludf.DUMMYFUNCTION("""COMPUTED_VALUE"""),"--")</f>
        <v>--</v>
      </c>
      <c r="W538" s="251" t="str">
        <f>IFERROR(__xludf.DUMMYFUNCTION("""COMPUTED_VALUE"""),"--")</f>
        <v>--</v>
      </c>
      <c r="X538" s="251" t="str">
        <f>IFERROR(__xludf.DUMMYFUNCTION("""COMPUTED_VALUE"""),"--")</f>
        <v>--</v>
      </c>
      <c r="Y538" s="251" t="str">
        <f>IFERROR(__xludf.DUMMYFUNCTION("""COMPUTED_VALUE"""),"--")</f>
        <v>--</v>
      </c>
      <c r="Z538" s="251" t="str">
        <f>IFERROR(__xludf.DUMMYFUNCTION("""COMPUTED_VALUE"""),"--")</f>
        <v>--</v>
      </c>
      <c r="AA538" s="251" t="str">
        <f>IFERROR(__xludf.DUMMYFUNCTION("""COMPUTED_VALUE"""),"--")</f>
        <v>--</v>
      </c>
      <c r="AB538" s="251" t="str">
        <f>IFERROR(__xludf.DUMMYFUNCTION("""COMPUTED_VALUE"""),"--")</f>
        <v>--</v>
      </c>
      <c r="AC538" s="251" t="str">
        <f>IFERROR(__xludf.DUMMYFUNCTION("""COMPUTED_VALUE"""),"--")</f>
        <v>--</v>
      </c>
      <c r="AD538" s="251">
        <f>IFERROR(__xludf.DUMMYFUNCTION("""COMPUTED_VALUE"""),2.0)</f>
        <v>2</v>
      </c>
      <c r="AE538" s="251" t="str">
        <f>IFERROR(__xludf.DUMMYFUNCTION("""COMPUTED_VALUE"""),"Herbivore")</f>
        <v>Herbivore</v>
      </c>
    </row>
    <row r="539">
      <c r="A539" s="251" t="str">
        <f>IFERROR(__xludf.DUMMYFUNCTION("""COMPUTED_VALUE"""),"Azumarill")</f>
        <v>Azumarill</v>
      </c>
      <c r="B539" s="251" t="str">
        <f>IFERROR(__xludf.DUMMYFUNCTION("""COMPUTED_VALUE"""),"Water")</f>
        <v>Water</v>
      </c>
      <c r="C539" s="251" t="str">
        <f>IFERROR(__xludf.DUMMYFUNCTION("""COMPUTED_VALUE"""),"Fairy")</f>
        <v>Fairy</v>
      </c>
      <c r="D539" s="251">
        <f>IFERROR(__xludf.DUMMYFUNCTION("""COMPUTED_VALUE"""),10.0)</f>
        <v>10</v>
      </c>
      <c r="E539" s="251">
        <f>IFERROR(__xludf.DUMMYFUNCTION("""COMPUTED_VALUE"""),5.0)</f>
        <v>5</v>
      </c>
      <c r="F539" s="251">
        <f>IFERROR(__xludf.DUMMYFUNCTION("""COMPUTED_VALUE"""),8.0)</f>
        <v>8</v>
      </c>
      <c r="G539" s="251">
        <f>IFERROR(__xludf.DUMMYFUNCTION("""COMPUTED_VALUE"""),6.0)</f>
        <v>6</v>
      </c>
      <c r="H539" s="251">
        <f>IFERROR(__xludf.DUMMYFUNCTION("""COMPUTED_VALUE"""),8.0)</f>
        <v>8</v>
      </c>
      <c r="I539" s="251">
        <f>IFERROR(__xludf.DUMMYFUNCTION("""COMPUTED_VALUE"""),5.0)</f>
        <v>5</v>
      </c>
      <c r="J539" s="251">
        <f>IFERROR(__xludf.DUMMYFUNCTION("""COMPUTED_VALUE"""),2.0)</f>
        <v>2</v>
      </c>
      <c r="K539" s="251" t="str">
        <f>IFERROR(__xludf.DUMMYFUNCTION("""COMPUTED_VALUE"""),"Small")</f>
        <v>Small</v>
      </c>
      <c r="L539" s="251">
        <f>IFERROR(__xludf.DUMMYFUNCTION("""COMPUTED_VALUE"""),3.0)</f>
        <v>3</v>
      </c>
      <c r="M539" s="251" t="str">
        <f>IFERROR(__xludf.DUMMYFUNCTION("""COMPUTED_VALUE"""),"Wetlands")</f>
        <v>Wetlands</v>
      </c>
      <c r="N539" s="251" t="str">
        <f>IFERROR(__xludf.DUMMYFUNCTION("""COMPUTED_VALUE"""),"Jumper")</f>
        <v>Jumper</v>
      </c>
      <c r="O539" s="251" t="str">
        <f>IFERROR(__xludf.DUMMYFUNCTION("""COMPUTED_VALUE"""),"Swimmer")</f>
        <v>Swimmer</v>
      </c>
      <c r="P539" s="251" t="str">
        <f>IFERROR(__xludf.DUMMYFUNCTION("""COMPUTED_VALUE"""),"--")</f>
        <v>--</v>
      </c>
      <c r="Q539" s="251" t="str">
        <f>IFERROR(__xludf.DUMMYFUNCTION("""COMPUTED_VALUE"""),"--")</f>
        <v>--</v>
      </c>
      <c r="R539" s="251" t="str">
        <f>IFERROR(__xludf.DUMMYFUNCTION("""COMPUTED_VALUE"""),"Underdog")</f>
        <v>Underdog</v>
      </c>
      <c r="S539" s="251" t="str">
        <f>IFERROR(__xludf.DUMMYFUNCTION("""COMPUTED_VALUE"""),"--")</f>
        <v>--</v>
      </c>
      <c r="T539" s="251" t="str">
        <f>IFERROR(__xludf.DUMMYFUNCTION("""COMPUTED_VALUE"""),"--")</f>
        <v>--</v>
      </c>
      <c r="U539" s="251" t="str">
        <f>IFERROR(__xludf.DUMMYFUNCTION("""COMPUTED_VALUE"""),"--")</f>
        <v>--</v>
      </c>
      <c r="V539" s="251" t="str">
        <f>IFERROR(__xludf.DUMMYFUNCTION("""COMPUTED_VALUE"""),"--")</f>
        <v>--</v>
      </c>
      <c r="W539" s="251" t="str">
        <f>IFERROR(__xludf.DUMMYFUNCTION("""COMPUTED_VALUE"""),"--")</f>
        <v>--</v>
      </c>
      <c r="X539" s="251" t="str">
        <f>IFERROR(__xludf.DUMMYFUNCTION("""COMPUTED_VALUE"""),"--")</f>
        <v>--</v>
      </c>
      <c r="Y539" s="251" t="str">
        <f>IFERROR(__xludf.DUMMYFUNCTION("""COMPUTED_VALUE"""),"--")</f>
        <v>--</v>
      </c>
      <c r="Z539" s="251" t="str">
        <f>IFERROR(__xludf.DUMMYFUNCTION("""COMPUTED_VALUE"""),"--")</f>
        <v>--</v>
      </c>
      <c r="AA539" s="251" t="str">
        <f>IFERROR(__xludf.DUMMYFUNCTION("""COMPUTED_VALUE"""),"--")</f>
        <v>--</v>
      </c>
      <c r="AB539" s="251" t="str">
        <f>IFERROR(__xludf.DUMMYFUNCTION("""COMPUTED_VALUE"""),"--")</f>
        <v>--</v>
      </c>
      <c r="AC539" s="251" t="str">
        <f>IFERROR(__xludf.DUMMYFUNCTION("""COMPUTED_VALUE"""),"--")</f>
        <v>--</v>
      </c>
      <c r="AD539" s="251">
        <f>IFERROR(__xludf.DUMMYFUNCTION("""COMPUTED_VALUE"""),3.0)</f>
        <v>3</v>
      </c>
      <c r="AE539" s="251" t="str">
        <f>IFERROR(__xludf.DUMMYFUNCTION("""COMPUTED_VALUE"""),"Herbivore")</f>
        <v>Herbivore</v>
      </c>
    </row>
    <row r="540">
      <c r="A540" s="251" t="str">
        <f>IFERROR(__xludf.DUMMYFUNCTION("""COMPUTED_VALUE"""),"Lotad")</f>
        <v>Lotad</v>
      </c>
      <c r="B540" s="251" t="str">
        <f>IFERROR(__xludf.DUMMYFUNCTION("""COMPUTED_VALUE"""),"Water")</f>
        <v>Water</v>
      </c>
      <c r="C540" s="251" t="str">
        <f>IFERROR(__xludf.DUMMYFUNCTION("""COMPUTED_VALUE"""),"Grass")</f>
        <v>Grass</v>
      </c>
      <c r="D540" s="251">
        <f>IFERROR(__xludf.DUMMYFUNCTION("""COMPUTED_VALUE"""),6.0)</f>
        <v>6</v>
      </c>
      <c r="E540" s="251">
        <f>IFERROR(__xludf.DUMMYFUNCTION("""COMPUTED_VALUE"""),4.0)</f>
        <v>4</v>
      </c>
      <c r="F540" s="251">
        <f>IFERROR(__xludf.DUMMYFUNCTION("""COMPUTED_VALUE"""),4.0)</f>
        <v>4</v>
      </c>
      <c r="G540" s="251">
        <f>IFERROR(__xludf.DUMMYFUNCTION("""COMPUTED_VALUE"""),6.0)</f>
        <v>6</v>
      </c>
      <c r="H540" s="251">
        <f>IFERROR(__xludf.DUMMYFUNCTION("""COMPUTED_VALUE"""),6.0)</f>
        <v>6</v>
      </c>
      <c r="I540" s="251">
        <f>IFERROR(__xludf.DUMMYFUNCTION("""COMPUTED_VALUE"""),4.0)</f>
        <v>4</v>
      </c>
      <c r="J540" s="251">
        <f>IFERROR(__xludf.DUMMYFUNCTION("""COMPUTED_VALUE"""),1.0)</f>
        <v>1</v>
      </c>
      <c r="K540" s="251" t="str">
        <f>IFERROR(__xludf.DUMMYFUNCTION("""COMPUTED_VALUE"""),"Small")</f>
        <v>Small</v>
      </c>
      <c r="L540" s="251">
        <f>IFERROR(__xludf.DUMMYFUNCTION("""COMPUTED_VALUE"""),1.0)</f>
        <v>1</v>
      </c>
      <c r="M540" s="251" t="str">
        <f>IFERROR(__xludf.DUMMYFUNCTION("""COMPUTED_VALUE"""),"Forest, Wetlands")</f>
        <v>Forest, Wetlands</v>
      </c>
      <c r="N540" s="251" t="str">
        <f>IFERROR(__xludf.DUMMYFUNCTION("""COMPUTED_VALUE"""),"Swimmer")</f>
        <v>Swimmer</v>
      </c>
      <c r="O540" s="251" t="str">
        <f>IFERROR(__xludf.DUMMYFUNCTION("""COMPUTED_VALUE"""),"--")</f>
        <v>--</v>
      </c>
      <c r="P540" s="251" t="str">
        <f>IFERROR(__xludf.DUMMYFUNCTION("""COMPUTED_VALUE"""),"--")</f>
        <v>--</v>
      </c>
      <c r="Q540" s="251" t="str">
        <f>IFERROR(__xludf.DUMMYFUNCTION("""COMPUTED_VALUE"""),"--")</f>
        <v>--</v>
      </c>
      <c r="R540" s="251" t="str">
        <f>IFERROR(__xludf.DUMMYFUNCTION("""COMPUTED_VALUE"""),"Underdog")</f>
        <v>Underdog</v>
      </c>
      <c r="S540" s="251" t="str">
        <f>IFERROR(__xludf.DUMMYFUNCTION("""COMPUTED_VALUE"""),"--")</f>
        <v>--</v>
      </c>
      <c r="T540" s="251" t="str">
        <f>IFERROR(__xludf.DUMMYFUNCTION("""COMPUTED_VALUE"""),"--")</f>
        <v>--</v>
      </c>
      <c r="U540" s="251" t="str">
        <f>IFERROR(__xludf.DUMMYFUNCTION("""COMPUTED_VALUE"""),"--")</f>
        <v>--</v>
      </c>
      <c r="V540" s="251" t="str">
        <f>IFERROR(__xludf.DUMMYFUNCTION("""COMPUTED_VALUE"""),"--")</f>
        <v>--</v>
      </c>
      <c r="W540" s="251" t="str">
        <f>IFERROR(__xludf.DUMMYFUNCTION("""COMPUTED_VALUE"""),"--")</f>
        <v>--</v>
      </c>
      <c r="X540" s="251" t="str">
        <f>IFERROR(__xludf.DUMMYFUNCTION("""COMPUTED_VALUE"""),"--")</f>
        <v>--</v>
      </c>
      <c r="Y540" s="251" t="str">
        <f>IFERROR(__xludf.DUMMYFUNCTION("""COMPUTED_VALUE"""),"--")</f>
        <v>--</v>
      </c>
      <c r="Z540" s="251" t="str">
        <f>IFERROR(__xludf.DUMMYFUNCTION("""COMPUTED_VALUE"""),"--")</f>
        <v>--</v>
      </c>
      <c r="AA540" s="251" t="str">
        <f>IFERROR(__xludf.DUMMYFUNCTION("""COMPUTED_VALUE"""),"--")</f>
        <v>--</v>
      </c>
      <c r="AB540" s="251" t="str">
        <f>IFERROR(__xludf.DUMMYFUNCTION("""COMPUTED_VALUE"""),"--")</f>
        <v>--</v>
      </c>
      <c r="AC540" s="251" t="str">
        <f>IFERROR(__xludf.DUMMYFUNCTION("""COMPUTED_VALUE"""),"--")</f>
        <v>--</v>
      </c>
      <c r="AD540" s="251">
        <f>IFERROR(__xludf.DUMMYFUNCTION("""COMPUTED_VALUE"""),1.0)</f>
        <v>1</v>
      </c>
      <c r="AE540" s="251" t="str">
        <f>IFERROR(__xludf.DUMMYFUNCTION("""COMPUTED_VALUE"""),"Herbivore")</f>
        <v>Herbivore</v>
      </c>
    </row>
    <row r="541">
      <c r="A541" s="251" t="str">
        <f>IFERROR(__xludf.DUMMYFUNCTION("""COMPUTED_VALUE"""),"Lombre")</f>
        <v>Lombre</v>
      </c>
      <c r="B541" s="251" t="str">
        <f>IFERROR(__xludf.DUMMYFUNCTION("""COMPUTED_VALUE"""),"Water")</f>
        <v>Water</v>
      </c>
      <c r="C541" s="251" t="str">
        <f>IFERROR(__xludf.DUMMYFUNCTION("""COMPUTED_VALUE"""),"Grass")</f>
        <v>Grass</v>
      </c>
      <c r="D541" s="251">
        <f>IFERROR(__xludf.DUMMYFUNCTION("""COMPUTED_VALUE"""),7.0)</f>
        <v>7</v>
      </c>
      <c r="E541" s="251">
        <f>IFERROR(__xludf.DUMMYFUNCTION("""COMPUTED_VALUE"""),6.0)</f>
        <v>6</v>
      </c>
      <c r="F541" s="251">
        <f>IFERROR(__xludf.DUMMYFUNCTION("""COMPUTED_VALUE"""),5.0)</f>
        <v>5</v>
      </c>
      <c r="G541" s="251">
        <f>IFERROR(__xludf.DUMMYFUNCTION("""COMPUTED_VALUE"""),8.0)</f>
        <v>8</v>
      </c>
      <c r="H541" s="251">
        <f>IFERROR(__xludf.DUMMYFUNCTION("""COMPUTED_VALUE"""),7.0)</f>
        <v>7</v>
      </c>
      <c r="I541" s="251">
        <f>IFERROR(__xludf.DUMMYFUNCTION("""COMPUTED_VALUE"""),5.0)</f>
        <v>5</v>
      </c>
      <c r="J541" s="251">
        <f>IFERROR(__xludf.DUMMYFUNCTION("""COMPUTED_VALUE"""),3.0)</f>
        <v>3</v>
      </c>
      <c r="K541" s="251" t="str">
        <f>IFERROR(__xludf.DUMMYFUNCTION("""COMPUTED_VALUE"""),"Medium")</f>
        <v>Medium</v>
      </c>
      <c r="L541" s="251">
        <f>IFERROR(__xludf.DUMMYFUNCTION("""COMPUTED_VALUE"""),3.0)</f>
        <v>3</v>
      </c>
      <c r="M541" s="251" t="str">
        <f>IFERROR(__xludf.DUMMYFUNCTION("""COMPUTED_VALUE"""),"Forest, Wetlands")</f>
        <v>Forest, Wetlands</v>
      </c>
      <c r="N541" s="251" t="str">
        <f>IFERROR(__xludf.DUMMYFUNCTION("""COMPUTED_VALUE"""),"Swimmer")</f>
        <v>Swimmer</v>
      </c>
      <c r="O541" s="251" t="str">
        <f>IFERROR(__xludf.DUMMYFUNCTION("""COMPUTED_VALUE"""),"--")</f>
        <v>--</v>
      </c>
      <c r="P541" s="251" t="str">
        <f>IFERROR(__xludf.DUMMYFUNCTION("""COMPUTED_VALUE"""),"--")</f>
        <v>--</v>
      </c>
      <c r="Q541" s="251" t="str">
        <f>IFERROR(__xludf.DUMMYFUNCTION("""COMPUTED_VALUE"""),"--")</f>
        <v>--</v>
      </c>
      <c r="R541" s="251" t="str">
        <f>IFERROR(__xludf.DUMMYFUNCTION("""COMPUTED_VALUE"""),"Underdog")</f>
        <v>Underdog</v>
      </c>
      <c r="S541" s="251" t="str">
        <f>IFERROR(__xludf.DUMMYFUNCTION("""COMPUTED_VALUE"""),"--")</f>
        <v>--</v>
      </c>
      <c r="T541" s="251" t="str">
        <f>IFERROR(__xludf.DUMMYFUNCTION("""COMPUTED_VALUE"""),"--")</f>
        <v>--</v>
      </c>
      <c r="U541" s="251" t="str">
        <f>IFERROR(__xludf.DUMMYFUNCTION("""COMPUTED_VALUE"""),"--")</f>
        <v>--</v>
      </c>
      <c r="V541" s="251" t="str">
        <f>IFERROR(__xludf.DUMMYFUNCTION("""COMPUTED_VALUE"""),"--")</f>
        <v>--</v>
      </c>
      <c r="W541" s="251" t="str">
        <f>IFERROR(__xludf.DUMMYFUNCTION("""COMPUTED_VALUE"""),"--")</f>
        <v>--</v>
      </c>
      <c r="X541" s="251" t="str">
        <f>IFERROR(__xludf.DUMMYFUNCTION("""COMPUTED_VALUE"""),"--")</f>
        <v>--</v>
      </c>
      <c r="Y541" s="251" t="str">
        <f>IFERROR(__xludf.DUMMYFUNCTION("""COMPUTED_VALUE"""),"--")</f>
        <v>--</v>
      </c>
      <c r="Z541" s="251" t="str">
        <f>IFERROR(__xludf.DUMMYFUNCTION("""COMPUTED_VALUE"""),"--")</f>
        <v>--</v>
      </c>
      <c r="AA541" s="251" t="str">
        <f>IFERROR(__xludf.DUMMYFUNCTION("""COMPUTED_VALUE"""),"--")</f>
        <v>--</v>
      </c>
      <c r="AB541" s="251" t="str">
        <f>IFERROR(__xludf.DUMMYFUNCTION("""COMPUTED_VALUE"""),"--")</f>
        <v>--</v>
      </c>
      <c r="AC541" s="251" t="str">
        <f>IFERROR(__xludf.DUMMYFUNCTION("""COMPUTED_VALUE"""),"--")</f>
        <v>--</v>
      </c>
      <c r="AD541" s="251">
        <f>IFERROR(__xludf.DUMMYFUNCTION("""COMPUTED_VALUE"""),2.0)</f>
        <v>2</v>
      </c>
      <c r="AE541" s="251" t="str">
        <f>IFERROR(__xludf.DUMMYFUNCTION("""COMPUTED_VALUE"""),"Herbivore")</f>
        <v>Herbivore</v>
      </c>
    </row>
    <row r="542">
      <c r="A542" s="251" t="str">
        <f>IFERROR(__xludf.DUMMYFUNCTION("""COMPUTED_VALUE"""),"Ludicolo")</f>
        <v>Ludicolo</v>
      </c>
      <c r="B542" s="251" t="str">
        <f>IFERROR(__xludf.DUMMYFUNCTION("""COMPUTED_VALUE"""),"Water")</f>
        <v>Water</v>
      </c>
      <c r="C542" s="251" t="str">
        <f>IFERROR(__xludf.DUMMYFUNCTION("""COMPUTED_VALUE"""),"Grass")</f>
        <v>Grass</v>
      </c>
      <c r="D542" s="251">
        <f>IFERROR(__xludf.DUMMYFUNCTION("""COMPUTED_VALUE"""),8.0)</f>
        <v>8</v>
      </c>
      <c r="E542" s="251">
        <f>IFERROR(__xludf.DUMMYFUNCTION("""COMPUTED_VALUE"""),7.0)</f>
        <v>7</v>
      </c>
      <c r="F542" s="251">
        <f>IFERROR(__xludf.DUMMYFUNCTION("""COMPUTED_VALUE"""),8.0)</f>
        <v>8</v>
      </c>
      <c r="G542" s="251">
        <f>IFERROR(__xludf.DUMMYFUNCTION("""COMPUTED_VALUE"""),10.0)</f>
        <v>10</v>
      </c>
      <c r="H542" s="251">
        <f>IFERROR(__xludf.DUMMYFUNCTION("""COMPUTED_VALUE"""),11.0)</f>
        <v>11</v>
      </c>
      <c r="I542" s="251">
        <f>IFERROR(__xludf.DUMMYFUNCTION("""COMPUTED_VALUE"""),7.0)</f>
        <v>7</v>
      </c>
      <c r="J542" s="251">
        <f>IFERROR(__xludf.DUMMYFUNCTION("""COMPUTED_VALUE"""),5.0)</f>
        <v>5</v>
      </c>
      <c r="K542" s="251" t="str">
        <f>IFERROR(__xludf.DUMMYFUNCTION("""COMPUTED_VALUE"""),"Medium")</f>
        <v>Medium</v>
      </c>
      <c r="L542" s="251">
        <f>IFERROR(__xludf.DUMMYFUNCTION("""COMPUTED_VALUE"""),4.0)</f>
        <v>4</v>
      </c>
      <c r="M542" s="251" t="str">
        <f>IFERROR(__xludf.DUMMYFUNCTION("""COMPUTED_VALUE"""),"Forest, Wetlands")</f>
        <v>Forest, Wetlands</v>
      </c>
      <c r="N542" s="251" t="str">
        <f>IFERROR(__xludf.DUMMYFUNCTION("""COMPUTED_VALUE"""),"Swimmer")</f>
        <v>Swimmer</v>
      </c>
      <c r="O542" s="251" t="str">
        <f>IFERROR(__xludf.DUMMYFUNCTION("""COMPUTED_VALUE"""),"--")</f>
        <v>--</v>
      </c>
      <c r="P542" s="251" t="str">
        <f>IFERROR(__xludf.DUMMYFUNCTION("""COMPUTED_VALUE"""),"--")</f>
        <v>--</v>
      </c>
      <c r="Q542" s="251" t="str">
        <f>IFERROR(__xludf.DUMMYFUNCTION("""COMPUTED_VALUE"""),"--")</f>
        <v>--</v>
      </c>
      <c r="R542" s="251" t="str">
        <f>IFERROR(__xludf.DUMMYFUNCTION("""COMPUTED_VALUE"""),"--")</f>
        <v>--</v>
      </c>
      <c r="S542" s="251" t="str">
        <f>IFERROR(__xludf.DUMMYFUNCTION("""COMPUTED_VALUE"""),"--")</f>
        <v>--</v>
      </c>
      <c r="T542" s="251" t="str">
        <f>IFERROR(__xludf.DUMMYFUNCTION("""COMPUTED_VALUE"""),"--")</f>
        <v>--</v>
      </c>
      <c r="U542" s="251" t="str">
        <f>IFERROR(__xludf.DUMMYFUNCTION("""COMPUTED_VALUE"""),"--")</f>
        <v>--</v>
      </c>
      <c r="V542" s="251" t="str">
        <f>IFERROR(__xludf.DUMMYFUNCTION("""COMPUTED_VALUE"""),"--")</f>
        <v>--</v>
      </c>
      <c r="W542" s="251" t="str">
        <f>IFERROR(__xludf.DUMMYFUNCTION("""COMPUTED_VALUE"""),"--")</f>
        <v>--</v>
      </c>
      <c r="X542" s="251" t="str">
        <f>IFERROR(__xludf.DUMMYFUNCTION("""COMPUTED_VALUE"""),"--")</f>
        <v>--</v>
      </c>
      <c r="Y542" s="251" t="str">
        <f>IFERROR(__xludf.DUMMYFUNCTION("""COMPUTED_VALUE"""),"--")</f>
        <v>--</v>
      </c>
      <c r="Z542" s="251" t="str">
        <f>IFERROR(__xludf.DUMMYFUNCTION("""COMPUTED_VALUE"""),"--")</f>
        <v>--</v>
      </c>
      <c r="AA542" s="251" t="str">
        <f>IFERROR(__xludf.DUMMYFUNCTION("""COMPUTED_VALUE"""),"--")</f>
        <v>--</v>
      </c>
      <c r="AB542" s="251" t="str">
        <f>IFERROR(__xludf.DUMMYFUNCTION("""COMPUTED_VALUE"""),"--")</f>
        <v>--</v>
      </c>
      <c r="AC542" s="251" t="str">
        <f>IFERROR(__xludf.DUMMYFUNCTION("""COMPUTED_VALUE"""),"--")</f>
        <v>--</v>
      </c>
      <c r="AD542" s="251">
        <f>IFERROR(__xludf.DUMMYFUNCTION("""COMPUTED_VALUE"""),3.0)</f>
        <v>3</v>
      </c>
      <c r="AE542" s="251" t="str">
        <f>IFERROR(__xludf.DUMMYFUNCTION("""COMPUTED_VALUE"""),"Herbivore")</f>
        <v>Herbivore</v>
      </c>
    </row>
    <row r="543">
      <c r="A543" s="251" t="str">
        <f>IFERROR(__xludf.DUMMYFUNCTION("""COMPUTED_VALUE"""),"Tympole")</f>
        <v>Tympole</v>
      </c>
      <c r="B543" s="251" t="str">
        <f>IFERROR(__xludf.DUMMYFUNCTION("""COMPUTED_VALUE"""),"Water")</f>
        <v>Water</v>
      </c>
      <c r="C543" s="251" t="str">
        <f>IFERROR(__xludf.DUMMYFUNCTION("""COMPUTED_VALUE"""),"None")</f>
        <v>None</v>
      </c>
      <c r="D543" s="251">
        <f>IFERROR(__xludf.DUMMYFUNCTION("""COMPUTED_VALUE"""),6.0)</f>
        <v>6</v>
      </c>
      <c r="E543" s="251">
        <f>IFERROR(__xludf.DUMMYFUNCTION("""COMPUTED_VALUE"""),5.0)</f>
        <v>5</v>
      </c>
      <c r="F543" s="251">
        <f>IFERROR(__xludf.DUMMYFUNCTION("""COMPUTED_VALUE"""),4.0)</f>
        <v>4</v>
      </c>
      <c r="G543" s="251">
        <f>IFERROR(__xludf.DUMMYFUNCTION("""COMPUTED_VALUE"""),5.0)</f>
        <v>5</v>
      </c>
      <c r="H543" s="251">
        <f>IFERROR(__xludf.DUMMYFUNCTION("""COMPUTED_VALUE"""),4.0)</f>
        <v>4</v>
      </c>
      <c r="I543" s="251">
        <f>IFERROR(__xludf.DUMMYFUNCTION("""COMPUTED_VALUE"""),6.0)</f>
        <v>6</v>
      </c>
      <c r="J543" s="251">
        <f>IFERROR(__xludf.DUMMYFUNCTION("""COMPUTED_VALUE"""),1.0)</f>
        <v>1</v>
      </c>
      <c r="K543" s="251" t="str">
        <f>IFERROR(__xludf.DUMMYFUNCTION("""COMPUTED_VALUE"""),"Small")</f>
        <v>Small</v>
      </c>
      <c r="L543" s="251">
        <f>IFERROR(__xludf.DUMMYFUNCTION("""COMPUTED_VALUE"""),1.0)</f>
        <v>1</v>
      </c>
      <c r="M543" s="251" t="str">
        <f>IFERROR(__xludf.DUMMYFUNCTION("""COMPUTED_VALUE"""),"Wetlands")</f>
        <v>Wetlands</v>
      </c>
      <c r="N543" s="251" t="str">
        <f>IFERROR(__xludf.DUMMYFUNCTION("""COMPUTED_VALUE"""),"Slow")</f>
        <v>Slow</v>
      </c>
      <c r="O543" s="251" t="str">
        <f>IFERROR(__xludf.DUMMYFUNCTION("""COMPUTED_VALUE"""),"Swimmer")</f>
        <v>Swimmer</v>
      </c>
      <c r="P543" s="251" t="str">
        <f>IFERROR(__xludf.DUMMYFUNCTION("""COMPUTED_VALUE"""),"--")</f>
        <v>--</v>
      </c>
      <c r="Q543" s="251" t="str">
        <f>IFERROR(__xludf.DUMMYFUNCTION("""COMPUTED_VALUE"""),"--")</f>
        <v>--</v>
      </c>
      <c r="R543" s="251" t="str">
        <f>IFERROR(__xludf.DUMMYFUNCTION("""COMPUTED_VALUE"""),"Underdog")</f>
        <v>Underdog</v>
      </c>
      <c r="S543" s="251" t="str">
        <f>IFERROR(__xludf.DUMMYFUNCTION("""COMPUTED_VALUE"""),"--")</f>
        <v>--</v>
      </c>
      <c r="T543" s="251" t="str">
        <f>IFERROR(__xludf.DUMMYFUNCTION("""COMPUTED_VALUE"""),"--")</f>
        <v>--</v>
      </c>
      <c r="U543" s="251" t="str">
        <f>IFERROR(__xludf.DUMMYFUNCTION("""COMPUTED_VALUE"""),"--")</f>
        <v>--</v>
      </c>
      <c r="V543" s="251" t="str">
        <f>IFERROR(__xludf.DUMMYFUNCTION("""COMPUTED_VALUE"""),"Gilled")</f>
        <v>Gilled</v>
      </c>
      <c r="W543" s="251" t="str">
        <f>IFERROR(__xludf.DUMMYFUNCTION("""COMPUTED_VALUE"""),"--")</f>
        <v>--</v>
      </c>
      <c r="X543" s="251" t="str">
        <f>IFERROR(__xludf.DUMMYFUNCTION("""COMPUTED_VALUE"""),"--")</f>
        <v>--</v>
      </c>
      <c r="Y543" s="251" t="str">
        <f>IFERROR(__xludf.DUMMYFUNCTION("""COMPUTED_VALUE"""),"--")</f>
        <v>--</v>
      </c>
      <c r="Z543" s="251" t="str">
        <f>IFERROR(__xludf.DUMMYFUNCTION("""COMPUTED_VALUE"""),"--")</f>
        <v>--</v>
      </c>
      <c r="AA543" s="251" t="str">
        <f>IFERROR(__xludf.DUMMYFUNCTION("""COMPUTED_VALUE"""),"--")</f>
        <v>--</v>
      </c>
      <c r="AB543" s="251" t="str">
        <f>IFERROR(__xludf.DUMMYFUNCTION("""COMPUTED_VALUE"""),"--")</f>
        <v>--</v>
      </c>
      <c r="AC543" s="251" t="str">
        <f>IFERROR(__xludf.DUMMYFUNCTION("""COMPUTED_VALUE"""),"--")</f>
        <v>--</v>
      </c>
      <c r="AD543" s="251">
        <f>IFERROR(__xludf.DUMMYFUNCTION("""COMPUTED_VALUE"""),1.0)</f>
        <v>1</v>
      </c>
      <c r="AE543" s="251" t="str">
        <f>IFERROR(__xludf.DUMMYFUNCTION("""COMPUTED_VALUE"""),"Herbivore")</f>
        <v>Herbivore</v>
      </c>
    </row>
    <row r="544">
      <c r="A544" s="251" t="str">
        <f>IFERROR(__xludf.DUMMYFUNCTION("""COMPUTED_VALUE"""),"Palpitoad")</f>
        <v>Palpitoad</v>
      </c>
      <c r="B544" s="251" t="str">
        <f>IFERROR(__xludf.DUMMYFUNCTION("""COMPUTED_VALUE"""),"Water")</f>
        <v>Water</v>
      </c>
      <c r="C544" s="251" t="str">
        <f>IFERROR(__xludf.DUMMYFUNCTION("""COMPUTED_VALUE"""),"Ground")</f>
        <v>Ground</v>
      </c>
      <c r="D544" s="251">
        <f>IFERROR(__xludf.DUMMYFUNCTION("""COMPUTED_VALUE"""),8.0)</f>
        <v>8</v>
      </c>
      <c r="E544" s="251">
        <f>IFERROR(__xludf.DUMMYFUNCTION("""COMPUTED_VALUE"""),7.0)</f>
        <v>7</v>
      </c>
      <c r="F544" s="251">
        <f>IFERROR(__xludf.DUMMYFUNCTION("""COMPUTED_VALUE"""),6.0)</f>
        <v>6</v>
      </c>
      <c r="G544" s="251">
        <f>IFERROR(__xludf.DUMMYFUNCTION("""COMPUTED_VALUE"""),7.0)</f>
        <v>7</v>
      </c>
      <c r="H544" s="251">
        <f>IFERROR(__xludf.DUMMYFUNCTION("""COMPUTED_VALUE"""),6.0)</f>
        <v>6</v>
      </c>
      <c r="I544" s="251">
        <f>IFERROR(__xludf.DUMMYFUNCTION("""COMPUTED_VALUE"""),7.0)</f>
        <v>7</v>
      </c>
      <c r="J544" s="251">
        <f>IFERROR(__xludf.DUMMYFUNCTION("""COMPUTED_VALUE"""),3.0)</f>
        <v>3</v>
      </c>
      <c r="K544" s="251" t="str">
        <f>IFERROR(__xludf.DUMMYFUNCTION("""COMPUTED_VALUE"""),"Small")</f>
        <v>Small</v>
      </c>
      <c r="L544" s="251">
        <f>IFERROR(__xludf.DUMMYFUNCTION("""COMPUTED_VALUE"""),2.0)</f>
        <v>2</v>
      </c>
      <c r="M544" s="251" t="str">
        <f>IFERROR(__xludf.DUMMYFUNCTION("""COMPUTED_VALUE"""),"Wetlands")</f>
        <v>Wetlands</v>
      </c>
      <c r="N544" s="251" t="str">
        <f>IFERROR(__xludf.DUMMYFUNCTION("""COMPUTED_VALUE"""),"Swimmer")</f>
        <v>Swimmer</v>
      </c>
      <c r="O544" s="251" t="str">
        <f>IFERROR(__xludf.DUMMYFUNCTION("""COMPUTED_VALUE"""),"--")</f>
        <v>--</v>
      </c>
      <c r="P544" s="251" t="str">
        <f>IFERROR(__xludf.DUMMYFUNCTION("""COMPUTED_VALUE"""),"--")</f>
        <v>--</v>
      </c>
      <c r="Q544" s="251" t="str">
        <f>IFERROR(__xludf.DUMMYFUNCTION("""COMPUTED_VALUE"""),"--")</f>
        <v>--</v>
      </c>
      <c r="R544" s="251" t="str">
        <f>IFERROR(__xludf.DUMMYFUNCTION("""COMPUTED_VALUE"""),"Underdog")</f>
        <v>Underdog</v>
      </c>
      <c r="S544" s="251" t="str">
        <f>IFERROR(__xludf.DUMMYFUNCTION("""COMPUTED_VALUE"""),"--")</f>
        <v>--</v>
      </c>
      <c r="T544" s="251" t="str">
        <f>IFERROR(__xludf.DUMMYFUNCTION("""COMPUTED_VALUE"""),"--")</f>
        <v>--</v>
      </c>
      <c r="U544" s="251" t="str">
        <f>IFERROR(__xludf.DUMMYFUNCTION("""COMPUTED_VALUE"""),"--")</f>
        <v>--</v>
      </c>
      <c r="V544" s="251" t="str">
        <f>IFERROR(__xludf.DUMMYFUNCTION("""COMPUTED_VALUE"""),"Gilled")</f>
        <v>Gilled</v>
      </c>
      <c r="W544" s="251" t="str">
        <f>IFERROR(__xludf.DUMMYFUNCTION("""COMPUTED_VALUE"""),"--")</f>
        <v>--</v>
      </c>
      <c r="X544" s="251" t="str">
        <f>IFERROR(__xludf.DUMMYFUNCTION("""COMPUTED_VALUE"""),"--")</f>
        <v>--</v>
      </c>
      <c r="Y544" s="251" t="str">
        <f>IFERROR(__xludf.DUMMYFUNCTION("""COMPUTED_VALUE"""),"--")</f>
        <v>--</v>
      </c>
      <c r="Z544" s="251" t="str">
        <f>IFERROR(__xludf.DUMMYFUNCTION("""COMPUTED_VALUE"""),"--")</f>
        <v>--</v>
      </c>
      <c r="AA544" s="251" t="str">
        <f>IFERROR(__xludf.DUMMYFUNCTION("""COMPUTED_VALUE"""),"--")</f>
        <v>--</v>
      </c>
      <c r="AB544" s="251" t="str">
        <f>IFERROR(__xludf.DUMMYFUNCTION("""COMPUTED_VALUE"""),"--")</f>
        <v>--</v>
      </c>
      <c r="AC544" s="251" t="str">
        <f>IFERROR(__xludf.DUMMYFUNCTION("""COMPUTED_VALUE"""),"--")</f>
        <v>--</v>
      </c>
      <c r="AD544" s="251">
        <f>IFERROR(__xludf.DUMMYFUNCTION("""COMPUTED_VALUE"""),2.0)</f>
        <v>2</v>
      </c>
      <c r="AE544" s="251" t="str">
        <f>IFERROR(__xludf.DUMMYFUNCTION("""COMPUTED_VALUE"""),"Omnivore")</f>
        <v>Omnivore</v>
      </c>
    </row>
    <row r="545">
      <c r="A545" s="251" t="str">
        <f>IFERROR(__xludf.DUMMYFUNCTION("""COMPUTED_VALUE"""),"Seismitoad")</f>
        <v>Seismitoad</v>
      </c>
      <c r="B545" s="251" t="str">
        <f>IFERROR(__xludf.DUMMYFUNCTION("""COMPUTED_VALUE"""),"Water")</f>
        <v>Water</v>
      </c>
      <c r="C545" s="251" t="str">
        <f>IFERROR(__xludf.DUMMYFUNCTION("""COMPUTED_VALUE"""),"Ground")</f>
        <v>Ground</v>
      </c>
      <c r="D545" s="251">
        <f>IFERROR(__xludf.DUMMYFUNCTION("""COMPUTED_VALUE"""),11.0)</f>
        <v>11</v>
      </c>
      <c r="E545" s="251">
        <f>IFERROR(__xludf.DUMMYFUNCTION("""COMPUTED_VALUE"""),10.0)</f>
        <v>10</v>
      </c>
      <c r="F545" s="251">
        <f>IFERROR(__xludf.DUMMYFUNCTION("""COMPUTED_VALUE"""),8.0)</f>
        <v>8</v>
      </c>
      <c r="G545" s="251">
        <f>IFERROR(__xludf.DUMMYFUNCTION("""COMPUTED_VALUE"""),9.0)</f>
        <v>9</v>
      </c>
      <c r="H545" s="251">
        <f>IFERROR(__xludf.DUMMYFUNCTION("""COMPUTED_VALUE"""),8.0)</f>
        <v>8</v>
      </c>
      <c r="I545" s="251">
        <f>IFERROR(__xludf.DUMMYFUNCTION("""COMPUTED_VALUE"""),7.0)</f>
        <v>7</v>
      </c>
      <c r="J545" s="251">
        <f>IFERROR(__xludf.DUMMYFUNCTION("""COMPUTED_VALUE"""),6.0)</f>
        <v>6</v>
      </c>
      <c r="K545" s="251" t="str">
        <f>IFERROR(__xludf.DUMMYFUNCTION("""COMPUTED_VALUE"""),"Medium")</f>
        <v>Medium</v>
      </c>
      <c r="L545" s="251">
        <f>IFERROR(__xludf.DUMMYFUNCTION("""COMPUTED_VALUE"""),4.0)</f>
        <v>4</v>
      </c>
      <c r="M545" s="251" t="str">
        <f>IFERROR(__xludf.DUMMYFUNCTION("""COMPUTED_VALUE"""),"Wetlands")</f>
        <v>Wetlands</v>
      </c>
      <c r="N545" s="251" t="str">
        <f>IFERROR(__xludf.DUMMYFUNCTION("""COMPUTED_VALUE"""),"Swimmer")</f>
        <v>Swimmer</v>
      </c>
      <c r="O545" s="251" t="str">
        <f>IFERROR(__xludf.DUMMYFUNCTION("""COMPUTED_VALUE"""),"--")</f>
        <v>--</v>
      </c>
      <c r="P545" s="251" t="str">
        <f>IFERROR(__xludf.DUMMYFUNCTION("""COMPUTED_VALUE"""),"--")</f>
        <v>--</v>
      </c>
      <c r="Q545" s="251" t="str">
        <f>IFERROR(__xludf.DUMMYFUNCTION("""COMPUTED_VALUE"""),"--")</f>
        <v>--</v>
      </c>
      <c r="R545" s="251" t="str">
        <f>IFERROR(__xludf.DUMMYFUNCTION("""COMPUTED_VALUE"""),"Groundshaper")</f>
        <v>Groundshaper</v>
      </c>
      <c r="S545" s="251" t="str">
        <f>IFERROR(__xludf.DUMMYFUNCTION("""COMPUTED_VALUE"""),"--")</f>
        <v>--</v>
      </c>
      <c r="T545" s="251" t="str">
        <f>IFERROR(__xludf.DUMMYFUNCTION("""COMPUTED_VALUE"""),"--")</f>
        <v>--</v>
      </c>
      <c r="U545" s="251" t="str">
        <f>IFERROR(__xludf.DUMMYFUNCTION("""COMPUTED_VALUE"""),"--")</f>
        <v>--</v>
      </c>
      <c r="V545" s="251" t="str">
        <f>IFERROR(__xludf.DUMMYFUNCTION("""COMPUTED_VALUE"""),"Gilled")</f>
        <v>Gilled</v>
      </c>
      <c r="W545" s="251" t="str">
        <f>IFERROR(__xludf.DUMMYFUNCTION("""COMPUTED_VALUE"""),"--")</f>
        <v>--</v>
      </c>
      <c r="X545" s="251" t="str">
        <f>IFERROR(__xludf.DUMMYFUNCTION("""COMPUTED_VALUE"""),"--")</f>
        <v>--</v>
      </c>
      <c r="Y545" s="251" t="str">
        <f>IFERROR(__xludf.DUMMYFUNCTION("""COMPUTED_VALUE"""),"--")</f>
        <v>--</v>
      </c>
      <c r="Z545" s="251" t="str">
        <f>IFERROR(__xludf.DUMMYFUNCTION("""COMPUTED_VALUE"""),"--")</f>
        <v>--</v>
      </c>
      <c r="AA545" s="251" t="str">
        <f>IFERROR(__xludf.DUMMYFUNCTION("""COMPUTED_VALUE"""),"--")</f>
        <v>--</v>
      </c>
      <c r="AB545" s="251" t="str">
        <f>IFERROR(__xludf.DUMMYFUNCTION("""COMPUTED_VALUE"""),"--")</f>
        <v>--</v>
      </c>
      <c r="AC545" s="251" t="str">
        <f>IFERROR(__xludf.DUMMYFUNCTION("""COMPUTED_VALUE"""),"--")</f>
        <v>--</v>
      </c>
      <c r="AD545" s="251">
        <f>IFERROR(__xludf.DUMMYFUNCTION("""COMPUTED_VALUE"""),3.0)</f>
        <v>3</v>
      </c>
      <c r="AE545" s="251" t="str">
        <f>IFERROR(__xludf.DUMMYFUNCTION("""COMPUTED_VALUE"""),"Omnivore")</f>
        <v>Omnivore</v>
      </c>
    </row>
    <row r="546">
      <c r="A546" s="251" t="str">
        <f>IFERROR(__xludf.DUMMYFUNCTION("""COMPUTED_VALUE"""),"Paras")</f>
        <v>Paras</v>
      </c>
      <c r="B546" s="251" t="str">
        <f>IFERROR(__xludf.DUMMYFUNCTION("""COMPUTED_VALUE"""),"Bug")</f>
        <v>Bug</v>
      </c>
      <c r="C546" s="251" t="str">
        <f>IFERROR(__xludf.DUMMYFUNCTION("""COMPUTED_VALUE"""),"Grass")</f>
        <v>Grass</v>
      </c>
      <c r="D546" s="251">
        <f>IFERROR(__xludf.DUMMYFUNCTION("""COMPUTED_VALUE"""),4.0)</f>
        <v>4</v>
      </c>
      <c r="E546" s="251">
        <f>IFERROR(__xludf.DUMMYFUNCTION("""COMPUTED_VALUE"""),7.0)</f>
        <v>7</v>
      </c>
      <c r="F546" s="251">
        <f>IFERROR(__xludf.DUMMYFUNCTION("""COMPUTED_VALUE"""),6.0)</f>
        <v>6</v>
      </c>
      <c r="G546" s="251">
        <f>IFERROR(__xludf.DUMMYFUNCTION("""COMPUTED_VALUE"""),5.0)</f>
        <v>5</v>
      </c>
      <c r="H546" s="251">
        <f>IFERROR(__xludf.DUMMYFUNCTION("""COMPUTED_VALUE"""),6.0)</f>
        <v>6</v>
      </c>
      <c r="I546" s="251">
        <f>IFERROR(__xludf.DUMMYFUNCTION("""COMPUTED_VALUE"""),3.0)</f>
        <v>3</v>
      </c>
      <c r="J546" s="251">
        <f>IFERROR(__xludf.DUMMYFUNCTION("""COMPUTED_VALUE"""),1.0)</f>
        <v>1</v>
      </c>
      <c r="K546" s="251" t="str">
        <f>IFERROR(__xludf.DUMMYFUNCTION("""COMPUTED_VALUE"""),"Small")</f>
        <v>Small</v>
      </c>
      <c r="L546" s="251">
        <f>IFERROR(__xludf.DUMMYFUNCTION("""COMPUTED_VALUE"""),1.0)</f>
        <v>1</v>
      </c>
      <c r="M546" s="251" t="str">
        <f>IFERROR(__xludf.DUMMYFUNCTION("""COMPUTED_VALUE"""),"Cave, Forest")</f>
        <v>Cave, Forest</v>
      </c>
      <c r="N546" s="251" t="str">
        <f>IFERROR(__xludf.DUMMYFUNCTION("""COMPUTED_VALUE"""),"Climber")</f>
        <v>Climber</v>
      </c>
      <c r="O546" s="251" t="str">
        <f>IFERROR(__xludf.DUMMYFUNCTION("""COMPUTED_VALUE"""),"Slow")</f>
        <v>Slow</v>
      </c>
      <c r="P546" s="251" t="str">
        <f>IFERROR(__xludf.DUMMYFUNCTION("""COMPUTED_VALUE"""),"--")</f>
        <v>--</v>
      </c>
      <c r="Q546" s="251" t="str">
        <f>IFERROR(__xludf.DUMMYFUNCTION("""COMPUTED_VALUE"""),"--")</f>
        <v>--</v>
      </c>
      <c r="R546" s="251" t="str">
        <f>IFERROR(__xludf.DUMMYFUNCTION("""COMPUTED_VALUE"""),"Darkvision")</f>
        <v>Darkvision</v>
      </c>
      <c r="S546" s="251" t="str">
        <f>IFERROR(__xludf.DUMMYFUNCTION("""COMPUTED_VALUE"""),"Underdog")</f>
        <v>Underdog</v>
      </c>
      <c r="T546" s="251" t="str">
        <f>IFERROR(__xludf.DUMMYFUNCTION("""COMPUTED_VALUE"""),"--")</f>
        <v>--</v>
      </c>
      <c r="U546" s="251" t="str">
        <f>IFERROR(__xludf.DUMMYFUNCTION("""COMPUTED_VALUE"""),"--")</f>
        <v>--</v>
      </c>
      <c r="V546" s="251" t="str">
        <f>IFERROR(__xludf.DUMMYFUNCTION("""COMPUTED_VALUE"""),"--")</f>
        <v>--</v>
      </c>
      <c r="W546" s="251" t="str">
        <f>IFERROR(__xludf.DUMMYFUNCTION("""COMPUTED_VALUE"""),"--")</f>
        <v>--</v>
      </c>
      <c r="X546" s="251" t="str">
        <f>IFERROR(__xludf.DUMMYFUNCTION("""COMPUTED_VALUE"""),"--")</f>
        <v>--</v>
      </c>
      <c r="Y546" s="251" t="str">
        <f>IFERROR(__xludf.DUMMYFUNCTION("""COMPUTED_VALUE"""),"--")</f>
        <v>--</v>
      </c>
      <c r="Z546" s="251" t="str">
        <f>IFERROR(__xludf.DUMMYFUNCTION("""COMPUTED_VALUE"""),"--")</f>
        <v>--</v>
      </c>
      <c r="AA546" s="251" t="str">
        <f>IFERROR(__xludf.DUMMYFUNCTION("""COMPUTED_VALUE"""),"--")</f>
        <v>--</v>
      </c>
      <c r="AB546" s="251" t="str">
        <f>IFERROR(__xludf.DUMMYFUNCTION("""COMPUTED_VALUE"""),"--")</f>
        <v>--</v>
      </c>
      <c r="AC546" s="251" t="str">
        <f>IFERROR(__xludf.DUMMYFUNCTION("""COMPUTED_VALUE"""),"--")</f>
        <v>--</v>
      </c>
      <c r="AD546" s="251">
        <f>IFERROR(__xludf.DUMMYFUNCTION("""COMPUTED_VALUE"""),2.0)</f>
        <v>2</v>
      </c>
      <c r="AE546" s="251" t="str">
        <f>IFERROR(__xludf.DUMMYFUNCTION("""COMPUTED_VALUE"""),"Herbivore, Phototroph")</f>
        <v>Herbivore, Phototroph</v>
      </c>
    </row>
    <row r="547">
      <c r="A547" s="251" t="str">
        <f>IFERROR(__xludf.DUMMYFUNCTION("""COMPUTED_VALUE"""),"Parasect")</f>
        <v>Parasect</v>
      </c>
      <c r="B547" s="251" t="str">
        <f>IFERROR(__xludf.DUMMYFUNCTION("""COMPUTED_VALUE"""),"Bug")</f>
        <v>Bug</v>
      </c>
      <c r="C547" s="251" t="str">
        <f>IFERROR(__xludf.DUMMYFUNCTION("""COMPUTED_VALUE"""),"Grass")</f>
        <v>Grass</v>
      </c>
      <c r="D547" s="251">
        <f>IFERROR(__xludf.DUMMYFUNCTION("""COMPUTED_VALUE"""),6.0)</f>
        <v>6</v>
      </c>
      <c r="E547" s="251">
        <f>IFERROR(__xludf.DUMMYFUNCTION("""COMPUTED_VALUE"""),10.0)</f>
        <v>10</v>
      </c>
      <c r="F547" s="251">
        <f>IFERROR(__xludf.DUMMYFUNCTION("""COMPUTED_VALUE"""),8.0)</f>
        <v>8</v>
      </c>
      <c r="G547" s="251">
        <f>IFERROR(__xludf.DUMMYFUNCTION("""COMPUTED_VALUE"""),9.0)</f>
        <v>9</v>
      </c>
      <c r="H547" s="251">
        <f>IFERROR(__xludf.DUMMYFUNCTION("""COMPUTED_VALUE"""),8.0)</f>
        <v>8</v>
      </c>
      <c r="I547" s="251">
        <f>IFERROR(__xludf.DUMMYFUNCTION("""COMPUTED_VALUE"""),3.0)</f>
        <v>3</v>
      </c>
      <c r="J547" s="251">
        <f>IFERROR(__xludf.DUMMYFUNCTION("""COMPUTED_VALUE"""),3.0)</f>
        <v>3</v>
      </c>
      <c r="K547" s="251" t="str">
        <f>IFERROR(__xludf.DUMMYFUNCTION("""COMPUTED_VALUE"""),"Medium")</f>
        <v>Medium</v>
      </c>
      <c r="L547" s="251">
        <f>IFERROR(__xludf.DUMMYFUNCTION("""COMPUTED_VALUE"""),3.0)</f>
        <v>3</v>
      </c>
      <c r="M547" s="251" t="str">
        <f>IFERROR(__xludf.DUMMYFUNCTION("""COMPUTED_VALUE"""),"Cave, Forest")</f>
        <v>Cave, Forest</v>
      </c>
      <c r="N547" s="251" t="str">
        <f>IFERROR(__xludf.DUMMYFUNCTION("""COMPUTED_VALUE"""),"Climber")</f>
        <v>Climber</v>
      </c>
      <c r="O547" s="251" t="str">
        <f>IFERROR(__xludf.DUMMYFUNCTION("""COMPUTED_VALUE"""),"--")</f>
        <v>--</v>
      </c>
      <c r="P547" s="251" t="str">
        <f>IFERROR(__xludf.DUMMYFUNCTION("""COMPUTED_VALUE"""),"--")</f>
        <v>--</v>
      </c>
      <c r="Q547" s="251" t="str">
        <f>IFERROR(__xludf.DUMMYFUNCTION("""COMPUTED_VALUE"""),"--")</f>
        <v>--</v>
      </c>
      <c r="R547" s="251" t="str">
        <f>IFERROR(__xludf.DUMMYFUNCTION("""COMPUTED_VALUE"""),"Darkvision")</f>
        <v>Darkvision</v>
      </c>
      <c r="S547" s="251" t="str">
        <f>IFERROR(__xludf.DUMMYFUNCTION("""COMPUTED_VALUE"""),"Underdog")</f>
        <v>Underdog</v>
      </c>
      <c r="T547" s="251" t="str">
        <f>IFERROR(__xludf.DUMMYFUNCTION("""COMPUTED_VALUE"""),"--")</f>
        <v>--</v>
      </c>
      <c r="U547" s="251" t="str">
        <f>IFERROR(__xludf.DUMMYFUNCTION("""COMPUTED_VALUE"""),"--")</f>
        <v>--</v>
      </c>
      <c r="V547" s="251" t="str">
        <f>IFERROR(__xludf.DUMMYFUNCTION("""COMPUTED_VALUE"""),"Mindlock")</f>
        <v>Mindlock</v>
      </c>
      <c r="W547" s="251" t="str">
        <f>IFERROR(__xludf.DUMMYFUNCTION("""COMPUTED_VALUE"""),"--")</f>
        <v>--</v>
      </c>
      <c r="X547" s="251" t="str">
        <f>IFERROR(__xludf.DUMMYFUNCTION("""COMPUTED_VALUE"""),"--")</f>
        <v>--</v>
      </c>
      <c r="Y547" s="251" t="str">
        <f>IFERROR(__xludf.DUMMYFUNCTION("""COMPUTED_VALUE"""),"--")</f>
        <v>--</v>
      </c>
      <c r="Z547" s="251" t="str">
        <f>IFERROR(__xludf.DUMMYFUNCTION("""COMPUTED_VALUE"""),"--")</f>
        <v>--</v>
      </c>
      <c r="AA547" s="251" t="str">
        <f>IFERROR(__xludf.DUMMYFUNCTION("""COMPUTED_VALUE"""),"--")</f>
        <v>--</v>
      </c>
      <c r="AB547" s="251" t="str">
        <f>IFERROR(__xludf.DUMMYFUNCTION("""COMPUTED_VALUE"""),"--")</f>
        <v>--</v>
      </c>
      <c r="AC547" s="251" t="str">
        <f>IFERROR(__xludf.DUMMYFUNCTION("""COMPUTED_VALUE"""),"--")</f>
        <v>--</v>
      </c>
      <c r="AD547" s="251">
        <f>IFERROR(__xludf.DUMMYFUNCTION("""COMPUTED_VALUE"""),3.0)</f>
        <v>3</v>
      </c>
      <c r="AE547" s="251" t="str">
        <f>IFERROR(__xludf.DUMMYFUNCTION("""COMPUTED_VALUE"""),"Herbivore, Phototroph")</f>
        <v>Herbivore, Phototroph</v>
      </c>
    </row>
    <row r="548">
      <c r="A548" s="251" t="str">
        <f>IFERROR(__xludf.DUMMYFUNCTION("""COMPUTED_VALUE"""),"Venonat")</f>
        <v>Venonat</v>
      </c>
      <c r="B548" s="251" t="str">
        <f>IFERROR(__xludf.DUMMYFUNCTION("""COMPUTED_VALUE"""),"Bug")</f>
        <v>Bug</v>
      </c>
      <c r="C548" s="251" t="str">
        <f>IFERROR(__xludf.DUMMYFUNCTION("""COMPUTED_VALUE"""),"Poison")</f>
        <v>Poison</v>
      </c>
      <c r="D548" s="251">
        <f>IFERROR(__xludf.DUMMYFUNCTION("""COMPUTED_VALUE"""),6.0)</f>
        <v>6</v>
      </c>
      <c r="E548" s="251">
        <f>IFERROR(__xludf.DUMMYFUNCTION("""COMPUTED_VALUE"""),6.0)</f>
        <v>6</v>
      </c>
      <c r="F548" s="251">
        <f>IFERROR(__xludf.DUMMYFUNCTION("""COMPUTED_VALUE"""),5.0)</f>
        <v>5</v>
      </c>
      <c r="G548" s="251">
        <f>IFERROR(__xludf.DUMMYFUNCTION("""COMPUTED_VALUE"""),4.0)</f>
        <v>4</v>
      </c>
      <c r="H548" s="251">
        <f>IFERROR(__xludf.DUMMYFUNCTION("""COMPUTED_VALUE"""),6.0)</f>
        <v>6</v>
      </c>
      <c r="I548" s="251">
        <f>IFERROR(__xludf.DUMMYFUNCTION("""COMPUTED_VALUE"""),5.0)</f>
        <v>5</v>
      </c>
      <c r="J548" s="251">
        <f>IFERROR(__xludf.DUMMYFUNCTION("""COMPUTED_VALUE"""),1.0)</f>
        <v>1</v>
      </c>
      <c r="K548" s="251" t="str">
        <f>IFERROR(__xludf.DUMMYFUNCTION("""COMPUTED_VALUE"""),"Medium")</f>
        <v>Medium</v>
      </c>
      <c r="L548" s="251">
        <f>IFERROR(__xludf.DUMMYFUNCTION("""COMPUTED_VALUE"""),3.0)</f>
        <v>3</v>
      </c>
      <c r="M548" s="251" t="str">
        <f>IFERROR(__xludf.DUMMYFUNCTION("""COMPUTED_VALUE"""),"Forest")</f>
        <v>Forest</v>
      </c>
      <c r="N548" s="251" t="str">
        <f>IFERROR(__xludf.DUMMYFUNCTION("""COMPUTED_VALUE"""),"--")</f>
        <v>--</v>
      </c>
      <c r="O548" s="251" t="str">
        <f>IFERROR(__xludf.DUMMYFUNCTION("""COMPUTED_VALUE"""),"--")</f>
        <v>--</v>
      </c>
      <c r="P548" s="251" t="str">
        <f>IFERROR(__xludf.DUMMYFUNCTION("""COMPUTED_VALUE"""),"--")</f>
        <v>--</v>
      </c>
      <c r="Q548" s="251" t="str">
        <f>IFERROR(__xludf.DUMMYFUNCTION("""COMPUTED_VALUE"""),"--")</f>
        <v>--</v>
      </c>
      <c r="R548" s="251" t="str">
        <f>IFERROR(__xludf.DUMMYFUNCTION("""COMPUTED_VALUE"""),"Underdog")</f>
        <v>Underdog</v>
      </c>
      <c r="S548" s="251" t="str">
        <f>IFERROR(__xludf.DUMMYFUNCTION("""COMPUTED_VALUE"""),"--")</f>
        <v>--</v>
      </c>
      <c r="T548" s="251" t="str">
        <f>IFERROR(__xludf.DUMMYFUNCTION("""COMPUTED_VALUE"""),"--")</f>
        <v>--</v>
      </c>
      <c r="U548" s="251" t="str">
        <f>IFERROR(__xludf.DUMMYFUNCTION("""COMPUTED_VALUE"""),"--")</f>
        <v>--</v>
      </c>
      <c r="V548" s="251" t="str">
        <f>IFERROR(__xludf.DUMMYFUNCTION("""COMPUTED_VALUE"""),"--")</f>
        <v>--</v>
      </c>
      <c r="W548" s="251" t="str">
        <f>IFERROR(__xludf.DUMMYFUNCTION("""COMPUTED_VALUE"""),"--")</f>
        <v>--</v>
      </c>
      <c r="X548" s="251" t="str">
        <f>IFERROR(__xludf.DUMMYFUNCTION("""COMPUTED_VALUE"""),"--")</f>
        <v>--</v>
      </c>
      <c r="Y548" s="251" t="str">
        <f>IFERROR(__xludf.DUMMYFUNCTION("""COMPUTED_VALUE"""),"--")</f>
        <v>--</v>
      </c>
      <c r="Z548" s="251" t="str">
        <f>IFERROR(__xludf.DUMMYFUNCTION("""COMPUTED_VALUE"""),"--")</f>
        <v>--</v>
      </c>
      <c r="AA548" s="251" t="str">
        <f>IFERROR(__xludf.DUMMYFUNCTION("""COMPUTED_VALUE"""),"--")</f>
        <v>--</v>
      </c>
      <c r="AB548" s="251" t="str">
        <f>IFERROR(__xludf.DUMMYFUNCTION("""COMPUTED_VALUE"""),"--")</f>
        <v>--</v>
      </c>
      <c r="AC548" s="251" t="str">
        <f>IFERROR(__xludf.DUMMYFUNCTION("""COMPUTED_VALUE"""),"--")</f>
        <v>--</v>
      </c>
      <c r="AD548" s="251">
        <f>IFERROR(__xludf.DUMMYFUNCTION("""COMPUTED_VALUE"""),2.0)</f>
        <v>2</v>
      </c>
      <c r="AE548" s="251" t="str">
        <f>IFERROR(__xludf.DUMMYFUNCTION("""COMPUTED_VALUE"""),"Herbivore")</f>
        <v>Herbivore</v>
      </c>
    </row>
    <row r="549">
      <c r="A549" s="251" t="str">
        <f>IFERROR(__xludf.DUMMYFUNCTION("""COMPUTED_VALUE"""),"Venomoth")</f>
        <v>Venomoth</v>
      </c>
      <c r="B549" s="251" t="str">
        <f>IFERROR(__xludf.DUMMYFUNCTION("""COMPUTED_VALUE"""),"Bug")</f>
        <v>Bug</v>
      </c>
      <c r="C549" s="251" t="str">
        <f>IFERROR(__xludf.DUMMYFUNCTION("""COMPUTED_VALUE"""),"Poison")</f>
        <v>Poison</v>
      </c>
      <c r="D549" s="251">
        <f>IFERROR(__xludf.DUMMYFUNCTION("""COMPUTED_VALUE"""),8.0)</f>
        <v>8</v>
      </c>
      <c r="E549" s="251">
        <f>IFERROR(__xludf.DUMMYFUNCTION("""COMPUTED_VALUE"""),7.0)</f>
        <v>7</v>
      </c>
      <c r="F549" s="251">
        <f>IFERROR(__xludf.DUMMYFUNCTION("""COMPUTED_VALUE"""),7.0)</f>
        <v>7</v>
      </c>
      <c r="G549" s="251">
        <f>IFERROR(__xludf.DUMMYFUNCTION("""COMPUTED_VALUE"""),10.0)</f>
        <v>10</v>
      </c>
      <c r="H549" s="251">
        <f>IFERROR(__xludf.DUMMYFUNCTION("""COMPUTED_VALUE"""),9.0)</f>
        <v>9</v>
      </c>
      <c r="I549" s="251">
        <f>IFERROR(__xludf.DUMMYFUNCTION("""COMPUTED_VALUE"""),10.0)</f>
        <v>10</v>
      </c>
      <c r="J549" s="251">
        <f>IFERROR(__xludf.DUMMYFUNCTION("""COMPUTED_VALUE"""),2.0)</f>
        <v>2</v>
      </c>
      <c r="K549" s="251" t="str">
        <f>IFERROR(__xludf.DUMMYFUNCTION("""COMPUTED_VALUE"""),"Medium")</f>
        <v>Medium</v>
      </c>
      <c r="L549" s="251">
        <f>IFERROR(__xludf.DUMMYFUNCTION("""COMPUTED_VALUE"""),2.0)</f>
        <v>2</v>
      </c>
      <c r="M549" s="251" t="str">
        <f>IFERROR(__xludf.DUMMYFUNCTION("""COMPUTED_VALUE"""),"Forest")</f>
        <v>Forest</v>
      </c>
      <c r="N549" s="251" t="str">
        <f>IFERROR(__xludf.DUMMYFUNCTION("""COMPUTED_VALUE"""),"Flier")</f>
        <v>Flier</v>
      </c>
      <c r="O549" s="251" t="str">
        <f>IFERROR(__xludf.DUMMYFUNCTION("""COMPUTED_VALUE"""),"--")</f>
        <v>--</v>
      </c>
      <c r="P549" s="251" t="str">
        <f>IFERROR(__xludf.DUMMYFUNCTION("""COMPUTED_VALUE"""),"--")</f>
        <v>--</v>
      </c>
      <c r="Q549" s="251" t="str">
        <f>IFERROR(__xludf.DUMMYFUNCTION("""COMPUTED_VALUE"""),"--")</f>
        <v>--</v>
      </c>
      <c r="R549" s="251" t="str">
        <f>IFERROR(__xludf.DUMMYFUNCTION("""COMPUTED_VALUE"""),"--")</f>
        <v>--</v>
      </c>
      <c r="S549" s="251" t="str">
        <f>IFERROR(__xludf.DUMMYFUNCTION("""COMPUTED_VALUE"""),"--")</f>
        <v>--</v>
      </c>
      <c r="T549" s="251" t="str">
        <f>IFERROR(__xludf.DUMMYFUNCTION("""COMPUTED_VALUE"""),"--")</f>
        <v>--</v>
      </c>
      <c r="U549" s="251" t="str">
        <f>IFERROR(__xludf.DUMMYFUNCTION("""COMPUTED_VALUE"""),"--")</f>
        <v>--</v>
      </c>
      <c r="V549" s="251" t="str">
        <f>IFERROR(__xludf.DUMMYFUNCTION("""COMPUTED_VALUE"""),"--")</f>
        <v>--</v>
      </c>
      <c r="W549" s="251" t="str">
        <f>IFERROR(__xludf.DUMMYFUNCTION("""COMPUTED_VALUE"""),"--")</f>
        <v>--</v>
      </c>
      <c r="X549" s="251" t="str">
        <f>IFERROR(__xludf.DUMMYFUNCTION("""COMPUTED_VALUE"""),"--")</f>
        <v>--</v>
      </c>
      <c r="Y549" s="251" t="str">
        <f>IFERROR(__xludf.DUMMYFUNCTION("""COMPUTED_VALUE"""),"--")</f>
        <v>--</v>
      </c>
      <c r="Z549" s="251" t="str">
        <f>IFERROR(__xludf.DUMMYFUNCTION("""COMPUTED_VALUE"""),"--")</f>
        <v>--</v>
      </c>
      <c r="AA549" s="251" t="str">
        <f>IFERROR(__xludf.DUMMYFUNCTION("""COMPUTED_VALUE"""),"--")</f>
        <v>--</v>
      </c>
      <c r="AB549" s="251" t="str">
        <f>IFERROR(__xludf.DUMMYFUNCTION("""COMPUTED_VALUE"""),"--")</f>
        <v>--</v>
      </c>
      <c r="AC549" s="251" t="str">
        <f>IFERROR(__xludf.DUMMYFUNCTION("""COMPUTED_VALUE"""),"--")</f>
        <v>--</v>
      </c>
      <c r="AD549" s="251">
        <f>IFERROR(__xludf.DUMMYFUNCTION("""COMPUTED_VALUE"""),3.0)</f>
        <v>3</v>
      </c>
      <c r="AE549" s="251" t="str">
        <f>IFERROR(__xludf.DUMMYFUNCTION("""COMPUTED_VALUE"""),"Herbivore")</f>
        <v>Herbivore</v>
      </c>
    </row>
    <row r="550">
      <c r="A550" s="251" t="str">
        <f>IFERROR(__xludf.DUMMYFUNCTION("""COMPUTED_VALUE"""),"Scyther")</f>
        <v>Scyther</v>
      </c>
      <c r="B550" s="251" t="str">
        <f>IFERROR(__xludf.DUMMYFUNCTION("""COMPUTED_VALUE"""),"Bug")</f>
        <v>Bug</v>
      </c>
      <c r="C550" s="251" t="str">
        <f>IFERROR(__xludf.DUMMYFUNCTION("""COMPUTED_VALUE"""),"Flying")</f>
        <v>Flying</v>
      </c>
      <c r="D550" s="251">
        <f>IFERROR(__xludf.DUMMYFUNCTION("""COMPUTED_VALUE"""),7.0)</f>
        <v>7</v>
      </c>
      <c r="E550" s="251">
        <f>IFERROR(__xludf.DUMMYFUNCTION("""COMPUTED_VALUE"""),11.0)</f>
        <v>11</v>
      </c>
      <c r="F550" s="251">
        <f>IFERROR(__xludf.DUMMYFUNCTION("""COMPUTED_VALUE"""),8.0)</f>
        <v>8</v>
      </c>
      <c r="G550" s="251">
        <f>IFERROR(__xludf.DUMMYFUNCTION("""COMPUTED_VALUE"""),6.0)</f>
        <v>6</v>
      </c>
      <c r="H550" s="251">
        <f>IFERROR(__xludf.DUMMYFUNCTION("""COMPUTED_VALUE"""),8.0)</f>
        <v>8</v>
      </c>
      <c r="I550" s="251">
        <f>IFERROR(__xludf.DUMMYFUNCTION("""COMPUTED_VALUE"""),11.0)</f>
        <v>11</v>
      </c>
      <c r="J550" s="251">
        <f>IFERROR(__xludf.DUMMYFUNCTION("""COMPUTED_VALUE"""),6.0)</f>
        <v>6</v>
      </c>
      <c r="K550" s="251" t="str">
        <f>IFERROR(__xludf.DUMMYFUNCTION("""COMPUTED_VALUE"""),"Medium")</f>
        <v>Medium</v>
      </c>
      <c r="L550" s="251">
        <f>IFERROR(__xludf.DUMMYFUNCTION("""COMPUTED_VALUE"""),4.0)</f>
        <v>4</v>
      </c>
      <c r="M550" s="251" t="str">
        <f>IFERROR(__xludf.DUMMYFUNCTION("""COMPUTED_VALUE"""),"Forest, Grasslands")</f>
        <v>Forest, Grasslands</v>
      </c>
      <c r="N550" s="251" t="str">
        <f>IFERROR(__xludf.DUMMYFUNCTION("""COMPUTED_VALUE"""),"Flier")</f>
        <v>Flier</v>
      </c>
      <c r="O550" s="251" t="str">
        <f>IFERROR(__xludf.DUMMYFUNCTION("""COMPUTED_VALUE"""),"Jumper")</f>
        <v>Jumper</v>
      </c>
      <c r="P550" s="251" t="str">
        <f>IFERROR(__xludf.DUMMYFUNCTION("""COMPUTED_VALUE"""),"Quick")</f>
        <v>Quick</v>
      </c>
      <c r="Q550" s="251" t="str">
        <f>IFERROR(__xludf.DUMMYFUNCTION("""COMPUTED_VALUE"""),"--")</f>
        <v>--</v>
      </c>
      <c r="R550" s="251" t="str">
        <f>IFERROR(__xludf.DUMMYFUNCTION("""COMPUTED_VALUE"""),"--")</f>
        <v>--</v>
      </c>
      <c r="S550" s="251" t="str">
        <f>IFERROR(__xludf.DUMMYFUNCTION("""COMPUTED_VALUE"""),"--")</f>
        <v>--</v>
      </c>
      <c r="T550" s="251" t="str">
        <f>IFERROR(__xludf.DUMMYFUNCTION("""COMPUTED_VALUE"""),"--")</f>
        <v>--</v>
      </c>
      <c r="U550" s="251" t="str">
        <f>IFERROR(__xludf.DUMMYFUNCTION("""COMPUTED_VALUE"""),"--")</f>
        <v>--</v>
      </c>
      <c r="V550" s="251" t="str">
        <f>IFERROR(__xludf.DUMMYFUNCTION("""COMPUTED_VALUE"""),"--")</f>
        <v>--</v>
      </c>
      <c r="W550" s="251" t="str">
        <f>IFERROR(__xludf.DUMMYFUNCTION("""COMPUTED_VALUE"""),"--")</f>
        <v>--</v>
      </c>
      <c r="X550" s="251" t="str">
        <f>IFERROR(__xludf.DUMMYFUNCTION("""COMPUTED_VALUE"""),"--")</f>
        <v>--</v>
      </c>
      <c r="Y550" s="251" t="str">
        <f>IFERROR(__xludf.DUMMYFUNCTION("""COMPUTED_VALUE"""),"--")</f>
        <v>--</v>
      </c>
      <c r="Z550" s="251" t="str">
        <f>IFERROR(__xludf.DUMMYFUNCTION("""COMPUTED_VALUE"""),"--")</f>
        <v>--</v>
      </c>
      <c r="AA550" s="251" t="str">
        <f>IFERROR(__xludf.DUMMYFUNCTION("""COMPUTED_VALUE"""),"--")</f>
        <v>--</v>
      </c>
      <c r="AB550" s="251" t="str">
        <f>IFERROR(__xludf.DUMMYFUNCTION("""COMPUTED_VALUE"""),"--")</f>
        <v>--</v>
      </c>
      <c r="AC550" s="251" t="str">
        <f>IFERROR(__xludf.DUMMYFUNCTION("""COMPUTED_VALUE"""),"--")</f>
        <v>--</v>
      </c>
      <c r="AD550" s="251">
        <f>IFERROR(__xludf.DUMMYFUNCTION("""COMPUTED_VALUE"""),2.0)</f>
        <v>2</v>
      </c>
      <c r="AE550" s="251" t="str">
        <f>IFERROR(__xludf.DUMMYFUNCTION("""COMPUTED_VALUE"""),"Carnivore")</f>
        <v>Carnivore</v>
      </c>
    </row>
    <row r="551">
      <c r="A551" s="251" t="str">
        <f>IFERROR(__xludf.DUMMYFUNCTION("""COMPUTED_VALUE"""),"Scizor")</f>
        <v>Scizor</v>
      </c>
      <c r="B551" s="251" t="str">
        <f>IFERROR(__xludf.DUMMYFUNCTION("""COMPUTED_VALUE"""),"Bug")</f>
        <v>Bug</v>
      </c>
      <c r="C551" s="251" t="str">
        <f>IFERROR(__xludf.DUMMYFUNCTION("""COMPUTED_VALUE"""),"Steel")</f>
        <v>Steel</v>
      </c>
      <c r="D551" s="251">
        <f>IFERROR(__xludf.DUMMYFUNCTION("""COMPUTED_VALUE"""),7.0)</f>
        <v>7</v>
      </c>
      <c r="E551" s="251">
        <f>IFERROR(__xludf.DUMMYFUNCTION("""COMPUTED_VALUE"""),13.0)</f>
        <v>13</v>
      </c>
      <c r="F551" s="251">
        <f>IFERROR(__xludf.DUMMYFUNCTION("""COMPUTED_VALUE"""),10.0)</f>
        <v>10</v>
      </c>
      <c r="G551" s="251">
        <f>IFERROR(__xludf.DUMMYFUNCTION("""COMPUTED_VALUE"""),6.0)</f>
        <v>6</v>
      </c>
      <c r="H551" s="251">
        <f>IFERROR(__xludf.DUMMYFUNCTION("""COMPUTED_VALUE"""),8.0)</f>
        <v>8</v>
      </c>
      <c r="I551" s="251">
        <f>IFERROR(__xludf.DUMMYFUNCTION("""COMPUTED_VALUE"""),7.0)</f>
        <v>7</v>
      </c>
      <c r="J551" s="251">
        <f>IFERROR(__xludf.DUMMYFUNCTION("""COMPUTED_VALUE"""),6.0)</f>
        <v>6</v>
      </c>
      <c r="K551" s="251" t="str">
        <f>IFERROR(__xludf.DUMMYFUNCTION("""COMPUTED_VALUE"""),"Medium")</f>
        <v>Medium</v>
      </c>
      <c r="L551" s="251">
        <f>IFERROR(__xludf.DUMMYFUNCTION("""COMPUTED_VALUE"""),5.0)</f>
        <v>5</v>
      </c>
      <c r="M551" s="251" t="str">
        <f>IFERROR(__xludf.DUMMYFUNCTION("""COMPUTED_VALUE"""),"Forest, Grasslands")</f>
        <v>Forest, Grasslands</v>
      </c>
      <c r="N551" s="251" t="str">
        <f>IFERROR(__xludf.DUMMYFUNCTION("""COMPUTED_VALUE"""),"Flier")</f>
        <v>Flier</v>
      </c>
      <c r="O551" s="251" t="str">
        <f>IFERROR(__xludf.DUMMYFUNCTION("""COMPUTED_VALUE"""),"Jumper")</f>
        <v>Jumper</v>
      </c>
      <c r="P551" s="251" t="str">
        <f>IFERROR(__xludf.DUMMYFUNCTION("""COMPUTED_VALUE"""),"Quick")</f>
        <v>Quick</v>
      </c>
      <c r="Q551" s="251" t="str">
        <f>IFERROR(__xludf.DUMMYFUNCTION("""COMPUTED_VALUE"""),"--")</f>
        <v>--</v>
      </c>
      <c r="R551" s="251" t="str">
        <f>IFERROR(__xludf.DUMMYFUNCTION("""COMPUTED_VALUE"""),"--")</f>
        <v>--</v>
      </c>
      <c r="S551" s="251" t="str">
        <f>IFERROR(__xludf.DUMMYFUNCTION("""COMPUTED_VALUE"""),"--")</f>
        <v>--</v>
      </c>
      <c r="T551" s="251" t="str">
        <f>IFERROR(__xludf.DUMMYFUNCTION("""COMPUTED_VALUE"""),"--")</f>
        <v>--</v>
      </c>
      <c r="U551" s="251" t="str">
        <f>IFERROR(__xludf.DUMMYFUNCTION("""COMPUTED_VALUE"""),"--")</f>
        <v>--</v>
      </c>
      <c r="V551" s="251" t="str">
        <f>IFERROR(__xludf.DUMMYFUNCTION("""COMPUTED_VALUE"""),"--")</f>
        <v>--</v>
      </c>
      <c r="W551" s="251" t="str">
        <f>IFERROR(__xludf.DUMMYFUNCTION("""COMPUTED_VALUE"""),"--")</f>
        <v>--</v>
      </c>
      <c r="X551" s="251" t="str">
        <f>IFERROR(__xludf.DUMMYFUNCTION("""COMPUTED_VALUE"""),"--")</f>
        <v>--</v>
      </c>
      <c r="Y551" s="251" t="str">
        <f>IFERROR(__xludf.DUMMYFUNCTION("""COMPUTED_VALUE"""),"--")</f>
        <v>--</v>
      </c>
      <c r="Z551" s="251" t="str">
        <f>IFERROR(__xludf.DUMMYFUNCTION("""COMPUTED_VALUE"""),"--")</f>
        <v>--</v>
      </c>
      <c r="AA551" s="251" t="str">
        <f>IFERROR(__xludf.DUMMYFUNCTION("""COMPUTED_VALUE"""),"--")</f>
        <v>--</v>
      </c>
      <c r="AB551" s="251" t="str">
        <f>IFERROR(__xludf.DUMMYFUNCTION("""COMPUTED_VALUE"""),"--")</f>
        <v>--</v>
      </c>
      <c r="AC551" s="251" t="str">
        <f>IFERROR(__xludf.DUMMYFUNCTION("""COMPUTED_VALUE"""),"--")</f>
        <v>--</v>
      </c>
      <c r="AD551" s="251">
        <f>IFERROR(__xludf.DUMMYFUNCTION("""COMPUTED_VALUE"""),3.0)</f>
        <v>3</v>
      </c>
      <c r="AE551" s="251" t="str">
        <f>IFERROR(__xludf.DUMMYFUNCTION("""COMPUTED_VALUE"""),"Carnivore")</f>
        <v>Carnivore</v>
      </c>
    </row>
    <row r="552">
      <c r="A552" s="251" t="str">
        <f>IFERROR(__xludf.DUMMYFUNCTION("""COMPUTED_VALUE"""),"Kleavor")</f>
        <v>Kleavor</v>
      </c>
      <c r="B552" s="251" t="str">
        <f>IFERROR(__xludf.DUMMYFUNCTION("""COMPUTED_VALUE"""),"Bug")</f>
        <v>Bug</v>
      </c>
      <c r="C552" s="251" t="str">
        <f>IFERROR(__xludf.DUMMYFUNCTION("""COMPUTED_VALUE"""),"Rock")</f>
        <v>Rock</v>
      </c>
      <c r="D552" s="251">
        <f>IFERROR(__xludf.DUMMYFUNCTION("""COMPUTED_VALUE"""),7.0)</f>
        <v>7</v>
      </c>
      <c r="E552" s="251">
        <f>IFERROR(__xludf.DUMMYFUNCTION("""COMPUTED_VALUE"""),13.0)</f>
        <v>13</v>
      </c>
      <c r="F552" s="251">
        <f>IFERROR(__xludf.DUMMYFUNCTION("""COMPUTED_VALUE"""),10.0)</f>
        <v>10</v>
      </c>
      <c r="G552" s="251">
        <f>IFERROR(__xludf.DUMMYFUNCTION("""COMPUTED_VALUE"""),6.0)</f>
        <v>6</v>
      </c>
      <c r="H552" s="251">
        <f>IFERROR(__xludf.DUMMYFUNCTION("""COMPUTED_VALUE"""),7.0)</f>
        <v>7</v>
      </c>
      <c r="I552" s="251">
        <f>IFERROR(__xludf.DUMMYFUNCTION("""COMPUTED_VALUE"""),8.0)</f>
        <v>8</v>
      </c>
      <c r="J552" s="251">
        <f>IFERROR(__xludf.DUMMYFUNCTION("""COMPUTED_VALUE"""),6.0)</f>
        <v>6</v>
      </c>
      <c r="K552" s="251" t="str">
        <f>IFERROR(__xludf.DUMMYFUNCTION("""COMPUTED_VALUE"""),"Medium")</f>
        <v>Medium</v>
      </c>
      <c r="L552" s="251">
        <f>IFERROR(__xludf.DUMMYFUNCTION("""COMPUTED_VALUE"""),4.0)</f>
        <v>4</v>
      </c>
      <c r="M552" s="251" t="str">
        <f>IFERROR(__xludf.DUMMYFUNCTION("""COMPUTED_VALUE"""),"Forest, Grasslands")</f>
        <v>Forest, Grasslands</v>
      </c>
      <c r="N552" s="251" t="str">
        <f>IFERROR(__xludf.DUMMYFUNCTION("""COMPUTED_VALUE"""),"Jumper")</f>
        <v>Jumper</v>
      </c>
      <c r="O552" s="251" t="str">
        <f>IFERROR(__xludf.DUMMYFUNCTION("""COMPUTED_VALUE"""),"Quick")</f>
        <v>Quick</v>
      </c>
      <c r="P552" s="251" t="str">
        <f>IFERROR(__xludf.DUMMYFUNCTION("""COMPUTED_VALUE"""),"--")</f>
        <v>--</v>
      </c>
      <c r="Q552" s="251" t="str">
        <f>IFERROR(__xludf.DUMMYFUNCTION("""COMPUTED_VALUE"""),"--")</f>
        <v>--</v>
      </c>
      <c r="R552" s="251" t="str">
        <f>IFERROR(__xludf.DUMMYFUNCTION("""COMPUTED_VALUE"""),"--")</f>
        <v>--</v>
      </c>
      <c r="S552" s="251" t="str">
        <f>IFERROR(__xludf.DUMMYFUNCTION("""COMPUTED_VALUE"""),"--")</f>
        <v>--</v>
      </c>
      <c r="T552" s="251" t="str">
        <f>IFERROR(__xludf.DUMMYFUNCTION("""COMPUTED_VALUE"""),"--")</f>
        <v>--</v>
      </c>
      <c r="U552" s="251" t="str">
        <f>IFERROR(__xludf.DUMMYFUNCTION("""COMPUTED_VALUE"""),"--")</f>
        <v>--</v>
      </c>
      <c r="V552" s="251" t="str">
        <f>IFERROR(__xludf.DUMMYFUNCTION("""COMPUTED_VALUE"""),"--")</f>
        <v>--</v>
      </c>
      <c r="W552" s="251" t="str">
        <f>IFERROR(__xludf.DUMMYFUNCTION("""COMPUTED_VALUE"""),"--")</f>
        <v>--</v>
      </c>
      <c r="X552" s="251" t="str">
        <f>IFERROR(__xludf.DUMMYFUNCTION("""COMPUTED_VALUE"""),"--")</f>
        <v>--</v>
      </c>
      <c r="Y552" s="251" t="str">
        <f>IFERROR(__xludf.DUMMYFUNCTION("""COMPUTED_VALUE"""),"--")</f>
        <v>--</v>
      </c>
      <c r="Z552" s="251" t="str">
        <f>IFERROR(__xludf.DUMMYFUNCTION("""COMPUTED_VALUE"""),"--")</f>
        <v>--</v>
      </c>
      <c r="AA552" s="251" t="str">
        <f>IFERROR(__xludf.DUMMYFUNCTION("""COMPUTED_VALUE"""),"--")</f>
        <v>--</v>
      </c>
      <c r="AB552" s="251" t="str">
        <f>IFERROR(__xludf.DUMMYFUNCTION("""COMPUTED_VALUE"""),"--")</f>
        <v>--</v>
      </c>
      <c r="AC552" s="251" t="str">
        <f>IFERROR(__xludf.DUMMYFUNCTION("""COMPUTED_VALUE"""),"--")</f>
        <v>--</v>
      </c>
      <c r="AD552" s="251">
        <f>IFERROR(__xludf.DUMMYFUNCTION("""COMPUTED_VALUE"""),3.0)</f>
        <v>3</v>
      </c>
      <c r="AE552" s="251" t="str">
        <f>IFERROR(__xludf.DUMMYFUNCTION("""COMPUTED_VALUE"""),"Carnivore")</f>
        <v>Carnivore</v>
      </c>
    </row>
    <row r="553">
      <c r="A553" s="251" t="str">
        <f>IFERROR(__xludf.DUMMYFUNCTION("""COMPUTED_VALUE"""),"Ledyba")</f>
        <v>Ledyba</v>
      </c>
      <c r="B553" s="251" t="str">
        <f>IFERROR(__xludf.DUMMYFUNCTION("""COMPUTED_VALUE"""),"Bug")</f>
        <v>Bug</v>
      </c>
      <c r="C553" s="251" t="str">
        <f>IFERROR(__xludf.DUMMYFUNCTION("""COMPUTED_VALUE"""),"Flying")</f>
        <v>Flying</v>
      </c>
      <c r="D553" s="251">
        <f>IFERROR(__xludf.DUMMYFUNCTION("""COMPUTED_VALUE"""),5.0)</f>
        <v>5</v>
      </c>
      <c r="E553" s="251">
        <f>IFERROR(__xludf.DUMMYFUNCTION("""COMPUTED_VALUE"""),3.0)</f>
        <v>3</v>
      </c>
      <c r="F553" s="251">
        <f>IFERROR(__xludf.DUMMYFUNCTION("""COMPUTED_VALUE"""),3.0)</f>
        <v>3</v>
      </c>
      <c r="G553" s="251">
        <f>IFERROR(__xludf.DUMMYFUNCTION("""COMPUTED_VALUE"""),5.0)</f>
        <v>5</v>
      </c>
      <c r="H553" s="251">
        <f>IFERROR(__xludf.DUMMYFUNCTION("""COMPUTED_VALUE"""),8.0)</f>
        <v>8</v>
      </c>
      <c r="I553" s="251">
        <f>IFERROR(__xludf.DUMMYFUNCTION("""COMPUTED_VALUE"""),6.0)</f>
        <v>6</v>
      </c>
      <c r="J553" s="251">
        <f>IFERROR(__xludf.DUMMYFUNCTION("""COMPUTED_VALUE"""),2.0)</f>
        <v>2</v>
      </c>
      <c r="K553" s="251" t="str">
        <f>IFERROR(__xludf.DUMMYFUNCTION("""COMPUTED_VALUE"""),"Medium")</f>
        <v>Medium</v>
      </c>
      <c r="L553" s="251">
        <f>IFERROR(__xludf.DUMMYFUNCTION("""COMPUTED_VALUE"""),1.0)</f>
        <v>1</v>
      </c>
      <c r="M553" s="251" t="str">
        <f>IFERROR(__xludf.DUMMYFUNCTION("""COMPUTED_VALUE"""),"Forest")</f>
        <v>Forest</v>
      </c>
      <c r="N553" s="251" t="str">
        <f>IFERROR(__xludf.DUMMYFUNCTION("""COMPUTED_VALUE"""),"Climber")</f>
        <v>Climber</v>
      </c>
      <c r="O553" s="251" t="str">
        <f>IFERROR(__xludf.DUMMYFUNCTION("""COMPUTED_VALUE"""),"Flier")</f>
        <v>Flier</v>
      </c>
      <c r="P553" s="251" t="str">
        <f>IFERROR(__xludf.DUMMYFUNCTION("""COMPUTED_VALUE"""),"--")</f>
        <v>--</v>
      </c>
      <c r="Q553" s="251" t="str">
        <f>IFERROR(__xludf.DUMMYFUNCTION("""COMPUTED_VALUE"""),"--")</f>
        <v>--</v>
      </c>
      <c r="R553" s="251" t="str">
        <f>IFERROR(__xludf.DUMMYFUNCTION("""COMPUTED_VALUE"""),"Underdog")</f>
        <v>Underdog</v>
      </c>
      <c r="S553" s="251" t="str">
        <f>IFERROR(__xludf.DUMMYFUNCTION("""COMPUTED_VALUE"""),"--")</f>
        <v>--</v>
      </c>
      <c r="T553" s="251" t="str">
        <f>IFERROR(__xludf.DUMMYFUNCTION("""COMPUTED_VALUE"""),"--")</f>
        <v>--</v>
      </c>
      <c r="U553" s="251" t="str">
        <f>IFERROR(__xludf.DUMMYFUNCTION("""COMPUTED_VALUE"""),"--")</f>
        <v>--</v>
      </c>
      <c r="V553" s="251" t="str">
        <f>IFERROR(__xludf.DUMMYFUNCTION("""COMPUTED_VALUE"""),"--")</f>
        <v>--</v>
      </c>
      <c r="W553" s="251" t="str">
        <f>IFERROR(__xludf.DUMMYFUNCTION("""COMPUTED_VALUE"""),"--")</f>
        <v>--</v>
      </c>
      <c r="X553" s="251" t="str">
        <f>IFERROR(__xludf.DUMMYFUNCTION("""COMPUTED_VALUE"""),"--")</f>
        <v>--</v>
      </c>
      <c r="Y553" s="251" t="str">
        <f>IFERROR(__xludf.DUMMYFUNCTION("""COMPUTED_VALUE"""),"--")</f>
        <v>--</v>
      </c>
      <c r="Z553" s="251" t="str">
        <f>IFERROR(__xludf.DUMMYFUNCTION("""COMPUTED_VALUE"""),"--")</f>
        <v>--</v>
      </c>
      <c r="AA553" s="251" t="str">
        <f>IFERROR(__xludf.DUMMYFUNCTION("""COMPUTED_VALUE"""),"--")</f>
        <v>--</v>
      </c>
      <c r="AB553" s="251" t="str">
        <f>IFERROR(__xludf.DUMMYFUNCTION("""COMPUTED_VALUE"""),"--")</f>
        <v>--</v>
      </c>
      <c r="AC553" s="251" t="str">
        <f>IFERROR(__xludf.DUMMYFUNCTION("""COMPUTED_VALUE"""),"--")</f>
        <v>--</v>
      </c>
      <c r="AD553" s="251">
        <f>IFERROR(__xludf.DUMMYFUNCTION("""COMPUTED_VALUE"""),2.0)</f>
        <v>2</v>
      </c>
      <c r="AE553" s="251" t="str">
        <f>IFERROR(__xludf.DUMMYFUNCTION("""COMPUTED_VALUE"""),"Herbivore")</f>
        <v>Herbivore</v>
      </c>
    </row>
    <row r="554">
      <c r="A554" s="251" t="str">
        <f>IFERROR(__xludf.DUMMYFUNCTION("""COMPUTED_VALUE"""),"Ledian")</f>
        <v>Ledian</v>
      </c>
      <c r="B554" s="251" t="str">
        <f>IFERROR(__xludf.DUMMYFUNCTION("""COMPUTED_VALUE"""),"Bug")</f>
        <v>Bug</v>
      </c>
      <c r="C554" s="251" t="str">
        <f>IFERROR(__xludf.DUMMYFUNCTION("""COMPUTED_VALUE"""),"Flying")</f>
        <v>Flying</v>
      </c>
      <c r="D554" s="251">
        <f>IFERROR(__xludf.DUMMYFUNCTION("""COMPUTED_VALUE"""),6.0)</f>
        <v>6</v>
      </c>
      <c r="E554" s="251">
        <f>IFERROR(__xludf.DUMMYFUNCTION("""COMPUTED_VALUE"""),4.0)</f>
        <v>4</v>
      </c>
      <c r="F554" s="251">
        <f>IFERROR(__xludf.DUMMYFUNCTION("""COMPUTED_VALUE"""),5.0)</f>
        <v>5</v>
      </c>
      <c r="G554" s="251">
        <f>IFERROR(__xludf.DUMMYFUNCTION("""COMPUTED_VALUE"""),6.0)</f>
        <v>6</v>
      </c>
      <c r="H554" s="251">
        <f>IFERROR(__xludf.DUMMYFUNCTION("""COMPUTED_VALUE"""),11.0)</f>
        <v>11</v>
      </c>
      <c r="I554" s="251">
        <f>IFERROR(__xludf.DUMMYFUNCTION("""COMPUTED_VALUE"""),9.0)</f>
        <v>9</v>
      </c>
      <c r="J554" s="251">
        <f>IFERROR(__xludf.DUMMYFUNCTION("""COMPUTED_VALUE"""),4.0)</f>
        <v>4</v>
      </c>
      <c r="K554" s="251" t="str">
        <f>IFERROR(__xludf.DUMMYFUNCTION("""COMPUTED_VALUE"""),"Medium")</f>
        <v>Medium</v>
      </c>
      <c r="L554" s="251">
        <f>IFERROR(__xludf.DUMMYFUNCTION("""COMPUTED_VALUE"""),3.0)</f>
        <v>3</v>
      </c>
      <c r="M554" s="251" t="str">
        <f>IFERROR(__xludf.DUMMYFUNCTION("""COMPUTED_VALUE"""),"Forest")</f>
        <v>Forest</v>
      </c>
      <c r="N554" s="251" t="str">
        <f>IFERROR(__xludf.DUMMYFUNCTION("""COMPUTED_VALUE"""),"Climber")</f>
        <v>Climber</v>
      </c>
      <c r="O554" s="251" t="str">
        <f>IFERROR(__xludf.DUMMYFUNCTION("""COMPUTED_VALUE"""),"Flier")</f>
        <v>Flier</v>
      </c>
      <c r="P554" s="251" t="str">
        <f>IFERROR(__xludf.DUMMYFUNCTION("""COMPUTED_VALUE"""),"--")</f>
        <v>--</v>
      </c>
      <c r="Q554" s="251" t="str">
        <f>IFERROR(__xludf.DUMMYFUNCTION("""COMPUTED_VALUE"""),"--")</f>
        <v>--</v>
      </c>
      <c r="R554" s="251" t="str">
        <f>IFERROR(__xludf.DUMMYFUNCTION("""COMPUTED_VALUE"""),"Underdog")</f>
        <v>Underdog</v>
      </c>
      <c r="S554" s="251" t="str">
        <f>IFERROR(__xludf.DUMMYFUNCTION("""COMPUTED_VALUE"""),"--")</f>
        <v>--</v>
      </c>
      <c r="T554" s="251" t="str">
        <f>IFERROR(__xludf.DUMMYFUNCTION("""COMPUTED_VALUE"""),"--")</f>
        <v>--</v>
      </c>
      <c r="U554" s="251" t="str">
        <f>IFERROR(__xludf.DUMMYFUNCTION("""COMPUTED_VALUE"""),"--")</f>
        <v>--</v>
      </c>
      <c r="V554" s="251" t="str">
        <f>IFERROR(__xludf.DUMMYFUNCTION("""COMPUTED_VALUE"""),"--")</f>
        <v>--</v>
      </c>
      <c r="W554" s="251" t="str">
        <f>IFERROR(__xludf.DUMMYFUNCTION("""COMPUTED_VALUE"""),"--")</f>
        <v>--</v>
      </c>
      <c r="X554" s="251" t="str">
        <f>IFERROR(__xludf.DUMMYFUNCTION("""COMPUTED_VALUE"""),"--")</f>
        <v>--</v>
      </c>
      <c r="Y554" s="251" t="str">
        <f>IFERROR(__xludf.DUMMYFUNCTION("""COMPUTED_VALUE"""),"--")</f>
        <v>--</v>
      </c>
      <c r="Z554" s="251" t="str">
        <f>IFERROR(__xludf.DUMMYFUNCTION("""COMPUTED_VALUE"""),"--")</f>
        <v>--</v>
      </c>
      <c r="AA554" s="251" t="str">
        <f>IFERROR(__xludf.DUMMYFUNCTION("""COMPUTED_VALUE"""),"--")</f>
        <v>--</v>
      </c>
      <c r="AB554" s="251" t="str">
        <f>IFERROR(__xludf.DUMMYFUNCTION("""COMPUTED_VALUE"""),"--")</f>
        <v>--</v>
      </c>
      <c r="AC554" s="251" t="str">
        <f>IFERROR(__xludf.DUMMYFUNCTION("""COMPUTED_VALUE"""),"--")</f>
        <v>--</v>
      </c>
      <c r="AD554" s="251">
        <f>IFERROR(__xludf.DUMMYFUNCTION("""COMPUTED_VALUE"""),3.0)</f>
        <v>3</v>
      </c>
      <c r="AE554" s="251" t="str">
        <f>IFERROR(__xludf.DUMMYFUNCTION("""COMPUTED_VALUE"""),"Herbivore")</f>
        <v>Herbivore</v>
      </c>
    </row>
    <row r="555">
      <c r="A555" s="251" t="str">
        <f>IFERROR(__xludf.DUMMYFUNCTION("""COMPUTED_VALUE"""),"Spinarak")</f>
        <v>Spinarak</v>
      </c>
      <c r="B555" s="251" t="str">
        <f>IFERROR(__xludf.DUMMYFUNCTION("""COMPUTED_VALUE"""),"Bug")</f>
        <v>Bug</v>
      </c>
      <c r="C555" s="251" t="str">
        <f>IFERROR(__xludf.DUMMYFUNCTION("""COMPUTED_VALUE"""),"Poison")</f>
        <v>Poison</v>
      </c>
      <c r="D555" s="251">
        <f>IFERROR(__xludf.DUMMYFUNCTION("""COMPUTED_VALUE"""),5.0)</f>
        <v>5</v>
      </c>
      <c r="E555" s="251">
        <f>IFERROR(__xludf.DUMMYFUNCTION("""COMPUTED_VALUE"""),6.0)</f>
        <v>6</v>
      </c>
      <c r="F555" s="251">
        <f>IFERROR(__xludf.DUMMYFUNCTION("""COMPUTED_VALUE"""),5.0)</f>
        <v>5</v>
      </c>
      <c r="G555" s="251">
        <f>IFERROR(__xludf.DUMMYFUNCTION("""COMPUTED_VALUE"""),4.0)</f>
        <v>4</v>
      </c>
      <c r="H555" s="251">
        <f>IFERROR(__xludf.DUMMYFUNCTION("""COMPUTED_VALUE"""),5.0)</f>
        <v>5</v>
      </c>
      <c r="I555" s="251">
        <f>IFERROR(__xludf.DUMMYFUNCTION("""COMPUTED_VALUE"""),5.0)</f>
        <v>5</v>
      </c>
      <c r="J555" s="251">
        <f>IFERROR(__xludf.DUMMYFUNCTION("""COMPUTED_VALUE"""),1.0)</f>
        <v>1</v>
      </c>
      <c r="K555" s="251" t="str">
        <f>IFERROR(__xludf.DUMMYFUNCTION("""COMPUTED_VALUE"""),"Small")</f>
        <v>Small</v>
      </c>
      <c r="L555" s="251">
        <f>IFERROR(__xludf.DUMMYFUNCTION("""COMPUTED_VALUE"""),1.0)</f>
        <v>1</v>
      </c>
      <c r="M555" s="251" t="str">
        <f>IFERROR(__xludf.DUMMYFUNCTION("""COMPUTED_VALUE"""),"Forest")</f>
        <v>Forest</v>
      </c>
      <c r="N555" s="251" t="str">
        <f>IFERROR(__xludf.DUMMYFUNCTION("""COMPUTED_VALUE"""),"Climber")</f>
        <v>Climber</v>
      </c>
      <c r="O555" s="251" t="str">
        <f>IFERROR(__xludf.DUMMYFUNCTION("""COMPUTED_VALUE"""),"Slow")</f>
        <v>Slow</v>
      </c>
      <c r="P555" s="251" t="str">
        <f>IFERROR(__xludf.DUMMYFUNCTION("""COMPUTED_VALUE"""),"--")</f>
        <v>--</v>
      </c>
      <c r="Q555" s="251" t="str">
        <f>IFERROR(__xludf.DUMMYFUNCTION("""COMPUTED_VALUE"""),"--")</f>
        <v>--</v>
      </c>
      <c r="R555" s="251" t="str">
        <f>IFERROR(__xludf.DUMMYFUNCTION("""COMPUTED_VALUE"""),"Darkvision")</f>
        <v>Darkvision</v>
      </c>
      <c r="S555" s="251" t="str">
        <f>IFERROR(__xludf.DUMMYFUNCTION("""COMPUTED_VALUE"""),"Threaded")</f>
        <v>Threaded</v>
      </c>
      <c r="T555" s="251" t="str">
        <f>IFERROR(__xludf.DUMMYFUNCTION("""COMPUTED_VALUE"""),"Underdog")</f>
        <v>Underdog</v>
      </c>
      <c r="U555" s="251" t="str">
        <f>IFERROR(__xludf.DUMMYFUNCTION("""COMPUTED_VALUE"""),"--")</f>
        <v>--</v>
      </c>
      <c r="V555" s="251" t="str">
        <f>IFERROR(__xludf.DUMMYFUNCTION("""COMPUTED_VALUE"""),"--")</f>
        <v>--</v>
      </c>
      <c r="W555" s="251" t="str">
        <f>IFERROR(__xludf.DUMMYFUNCTION("""COMPUTED_VALUE"""),"--")</f>
        <v>--</v>
      </c>
      <c r="X555" s="251" t="str">
        <f>IFERROR(__xludf.DUMMYFUNCTION("""COMPUTED_VALUE"""),"--")</f>
        <v>--</v>
      </c>
      <c r="Y555" s="251" t="str">
        <f>IFERROR(__xludf.DUMMYFUNCTION("""COMPUTED_VALUE"""),"--")</f>
        <v>--</v>
      </c>
      <c r="Z555" s="251" t="str">
        <f>IFERROR(__xludf.DUMMYFUNCTION("""COMPUTED_VALUE"""),"--")</f>
        <v>--</v>
      </c>
      <c r="AA555" s="251" t="str">
        <f>IFERROR(__xludf.DUMMYFUNCTION("""COMPUTED_VALUE"""),"--")</f>
        <v>--</v>
      </c>
      <c r="AB555" s="251" t="str">
        <f>IFERROR(__xludf.DUMMYFUNCTION("""COMPUTED_VALUE"""),"--")</f>
        <v>--</v>
      </c>
      <c r="AC555" s="251" t="str">
        <f>IFERROR(__xludf.DUMMYFUNCTION("""COMPUTED_VALUE"""),"--")</f>
        <v>--</v>
      </c>
      <c r="AD555" s="251">
        <f>IFERROR(__xludf.DUMMYFUNCTION("""COMPUTED_VALUE"""),2.0)</f>
        <v>2</v>
      </c>
      <c r="AE555" s="251" t="str">
        <f>IFERROR(__xludf.DUMMYFUNCTION("""COMPUTED_VALUE"""),"Carnivore")</f>
        <v>Carnivore</v>
      </c>
    </row>
    <row r="556">
      <c r="A556" s="251" t="str">
        <f>IFERROR(__xludf.DUMMYFUNCTION("""COMPUTED_VALUE"""),"Ariados")</f>
        <v>Ariados</v>
      </c>
      <c r="B556" s="251" t="str">
        <f>IFERROR(__xludf.DUMMYFUNCTION("""COMPUTED_VALUE"""),"Bug")</f>
        <v>Bug</v>
      </c>
      <c r="C556" s="251" t="str">
        <f>IFERROR(__xludf.DUMMYFUNCTION("""COMPUTED_VALUE"""),"Poison")</f>
        <v>Poison</v>
      </c>
      <c r="D556" s="251">
        <f>IFERROR(__xludf.DUMMYFUNCTION("""COMPUTED_VALUE"""),7.0)</f>
        <v>7</v>
      </c>
      <c r="E556" s="251">
        <f>IFERROR(__xludf.DUMMYFUNCTION("""COMPUTED_VALUE"""),9.0)</f>
        <v>9</v>
      </c>
      <c r="F556" s="251">
        <f>IFERROR(__xludf.DUMMYFUNCTION("""COMPUTED_VALUE"""),7.0)</f>
        <v>7</v>
      </c>
      <c r="G556" s="251">
        <f>IFERROR(__xludf.DUMMYFUNCTION("""COMPUTED_VALUE"""),6.0)</f>
        <v>6</v>
      </c>
      <c r="H556" s="251">
        <f>IFERROR(__xludf.DUMMYFUNCTION("""COMPUTED_VALUE"""),7.0)</f>
        <v>7</v>
      </c>
      <c r="I556" s="251">
        <f>IFERROR(__xludf.DUMMYFUNCTION("""COMPUTED_VALUE"""),4.0)</f>
        <v>4</v>
      </c>
      <c r="J556" s="251">
        <f>IFERROR(__xludf.DUMMYFUNCTION("""COMPUTED_VALUE"""),3.0)</f>
        <v>3</v>
      </c>
      <c r="K556" s="251" t="str">
        <f>IFERROR(__xludf.DUMMYFUNCTION("""COMPUTED_VALUE"""),"Medium")</f>
        <v>Medium</v>
      </c>
      <c r="L556" s="251">
        <f>IFERROR(__xludf.DUMMYFUNCTION("""COMPUTED_VALUE"""),3.0)</f>
        <v>3</v>
      </c>
      <c r="M556" s="251" t="str">
        <f>IFERROR(__xludf.DUMMYFUNCTION("""COMPUTED_VALUE"""),"Forest")</f>
        <v>Forest</v>
      </c>
      <c r="N556" s="251" t="str">
        <f>IFERROR(__xludf.DUMMYFUNCTION("""COMPUTED_VALUE"""),"Climber")</f>
        <v>Climber</v>
      </c>
      <c r="O556" s="251" t="str">
        <f>IFERROR(__xludf.DUMMYFUNCTION("""COMPUTED_VALUE"""),"--")</f>
        <v>--</v>
      </c>
      <c r="P556" s="251" t="str">
        <f>IFERROR(__xludf.DUMMYFUNCTION("""COMPUTED_VALUE"""),"--")</f>
        <v>--</v>
      </c>
      <c r="Q556" s="251" t="str">
        <f>IFERROR(__xludf.DUMMYFUNCTION("""COMPUTED_VALUE"""),"--")</f>
        <v>--</v>
      </c>
      <c r="R556" s="251" t="str">
        <f>IFERROR(__xludf.DUMMYFUNCTION("""COMPUTED_VALUE"""),"Darkvision")</f>
        <v>Darkvision</v>
      </c>
      <c r="S556" s="251" t="str">
        <f>IFERROR(__xludf.DUMMYFUNCTION("""COMPUTED_VALUE"""),"Threaded")</f>
        <v>Threaded</v>
      </c>
      <c r="T556" s="251" t="str">
        <f>IFERROR(__xludf.DUMMYFUNCTION("""COMPUTED_VALUE"""),"Underdog")</f>
        <v>Underdog</v>
      </c>
      <c r="U556" s="251" t="str">
        <f>IFERROR(__xludf.DUMMYFUNCTION("""COMPUTED_VALUE"""),"--")</f>
        <v>--</v>
      </c>
      <c r="V556" s="251" t="str">
        <f>IFERROR(__xludf.DUMMYFUNCTION("""COMPUTED_VALUE"""),"--")</f>
        <v>--</v>
      </c>
      <c r="W556" s="251" t="str">
        <f>IFERROR(__xludf.DUMMYFUNCTION("""COMPUTED_VALUE"""),"--")</f>
        <v>--</v>
      </c>
      <c r="X556" s="251" t="str">
        <f>IFERROR(__xludf.DUMMYFUNCTION("""COMPUTED_VALUE"""),"--")</f>
        <v>--</v>
      </c>
      <c r="Y556" s="251" t="str">
        <f>IFERROR(__xludf.DUMMYFUNCTION("""COMPUTED_VALUE"""),"--")</f>
        <v>--</v>
      </c>
      <c r="Z556" s="251" t="str">
        <f>IFERROR(__xludf.DUMMYFUNCTION("""COMPUTED_VALUE"""),"--")</f>
        <v>--</v>
      </c>
      <c r="AA556" s="251" t="str">
        <f>IFERROR(__xludf.DUMMYFUNCTION("""COMPUTED_VALUE"""),"--")</f>
        <v>--</v>
      </c>
      <c r="AB556" s="251" t="str">
        <f>IFERROR(__xludf.DUMMYFUNCTION("""COMPUTED_VALUE"""),"--")</f>
        <v>--</v>
      </c>
      <c r="AC556" s="251" t="str">
        <f>IFERROR(__xludf.DUMMYFUNCTION("""COMPUTED_VALUE"""),"--")</f>
        <v>--</v>
      </c>
      <c r="AD556" s="251">
        <f>IFERROR(__xludf.DUMMYFUNCTION("""COMPUTED_VALUE"""),3.0)</f>
        <v>3</v>
      </c>
      <c r="AE556" s="251" t="str">
        <f>IFERROR(__xludf.DUMMYFUNCTION("""COMPUTED_VALUE"""),"Carnivore")</f>
        <v>Carnivore</v>
      </c>
    </row>
    <row r="557">
      <c r="A557" s="251" t="str">
        <f>IFERROR(__xludf.DUMMYFUNCTION("""COMPUTED_VALUE"""),"Yanma")</f>
        <v>Yanma</v>
      </c>
      <c r="B557" s="251" t="str">
        <f>IFERROR(__xludf.DUMMYFUNCTION("""COMPUTED_VALUE"""),"Bug")</f>
        <v>Bug</v>
      </c>
      <c r="C557" s="251" t="str">
        <f>IFERROR(__xludf.DUMMYFUNCTION("""COMPUTED_VALUE"""),"Flying")</f>
        <v>Flying</v>
      </c>
      <c r="D557" s="251">
        <f>IFERROR(__xludf.DUMMYFUNCTION("""COMPUTED_VALUE"""),7.0)</f>
        <v>7</v>
      </c>
      <c r="E557" s="251">
        <f>IFERROR(__xludf.DUMMYFUNCTION("""COMPUTED_VALUE"""),7.0)</f>
        <v>7</v>
      </c>
      <c r="F557" s="251">
        <f>IFERROR(__xludf.DUMMYFUNCTION("""COMPUTED_VALUE"""),5.0)</f>
        <v>5</v>
      </c>
      <c r="G557" s="251">
        <f>IFERROR(__xludf.DUMMYFUNCTION("""COMPUTED_VALUE"""),8.0)</f>
        <v>8</v>
      </c>
      <c r="H557" s="251">
        <f>IFERROR(__xludf.DUMMYFUNCTION("""COMPUTED_VALUE"""),5.0)</f>
        <v>5</v>
      </c>
      <c r="I557" s="251">
        <f>IFERROR(__xludf.DUMMYFUNCTION("""COMPUTED_VALUE"""),10.0)</f>
        <v>10</v>
      </c>
      <c r="J557" s="251">
        <f>IFERROR(__xludf.DUMMYFUNCTION("""COMPUTED_VALUE"""),3.0)</f>
        <v>3</v>
      </c>
      <c r="K557" s="251" t="str">
        <f>IFERROR(__xludf.DUMMYFUNCTION("""COMPUTED_VALUE"""),"Medium")</f>
        <v>Medium</v>
      </c>
      <c r="L557" s="251">
        <f>IFERROR(__xludf.DUMMYFUNCTION("""COMPUTED_VALUE"""),3.0)</f>
        <v>3</v>
      </c>
      <c r="M557" s="251" t="str">
        <f>IFERROR(__xludf.DUMMYFUNCTION("""COMPUTED_VALUE"""),"Forest, Wetlands")</f>
        <v>Forest, Wetlands</v>
      </c>
      <c r="N557" s="251" t="str">
        <f>IFERROR(__xludf.DUMMYFUNCTION("""COMPUTED_VALUE"""),"Climber")</f>
        <v>Climber</v>
      </c>
      <c r="O557" s="251" t="str">
        <f>IFERROR(__xludf.DUMMYFUNCTION("""COMPUTED_VALUE"""),"Flier")</f>
        <v>Flier</v>
      </c>
      <c r="P557" s="251" t="str">
        <f>IFERROR(__xludf.DUMMYFUNCTION("""COMPUTED_VALUE"""),"--")</f>
        <v>--</v>
      </c>
      <c r="Q557" s="251" t="str">
        <f>IFERROR(__xludf.DUMMYFUNCTION("""COMPUTED_VALUE"""),"--")</f>
        <v>--</v>
      </c>
      <c r="R557" s="251" t="str">
        <f>IFERROR(__xludf.DUMMYFUNCTION("""COMPUTED_VALUE"""),"Underdog")</f>
        <v>Underdog</v>
      </c>
      <c r="S557" s="251" t="str">
        <f>IFERROR(__xludf.DUMMYFUNCTION("""COMPUTED_VALUE"""),"--")</f>
        <v>--</v>
      </c>
      <c r="T557" s="251" t="str">
        <f>IFERROR(__xludf.DUMMYFUNCTION("""COMPUTED_VALUE"""),"--")</f>
        <v>--</v>
      </c>
      <c r="U557" s="251" t="str">
        <f>IFERROR(__xludf.DUMMYFUNCTION("""COMPUTED_VALUE"""),"--")</f>
        <v>--</v>
      </c>
      <c r="V557" s="251" t="str">
        <f>IFERROR(__xludf.DUMMYFUNCTION("""COMPUTED_VALUE"""),"--")</f>
        <v>--</v>
      </c>
      <c r="W557" s="251" t="str">
        <f>IFERROR(__xludf.DUMMYFUNCTION("""COMPUTED_VALUE"""),"--")</f>
        <v>--</v>
      </c>
      <c r="X557" s="251" t="str">
        <f>IFERROR(__xludf.DUMMYFUNCTION("""COMPUTED_VALUE"""),"--")</f>
        <v>--</v>
      </c>
      <c r="Y557" s="251" t="str">
        <f>IFERROR(__xludf.DUMMYFUNCTION("""COMPUTED_VALUE"""),"--")</f>
        <v>--</v>
      </c>
      <c r="Z557" s="251" t="str">
        <f>IFERROR(__xludf.DUMMYFUNCTION("""COMPUTED_VALUE"""),"--")</f>
        <v>--</v>
      </c>
      <c r="AA557" s="251" t="str">
        <f>IFERROR(__xludf.DUMMYFUNCTION("""COMPUTED_VALUE"""),"--")</f>
        <v>--</v>
      </c>
      <c r="AB557" s="251" t="str">
        <f>IFERROR(__xludf.DUMMYFUNCTION("""COMPUTED_VALUE"""),"--")</f>
        <v>--</v>
      </c>
      <c r="AC557" s="251" t="str">
        <f>IFERROR(__xludf.DUMMYFUNCTION("""COMPUTED_VALUE"""),"--")</f>
        <v>--</v>
      </c>
      <c r="AD557" s="251">
        <f>IFERROR(__xludf.DUMMYFUNCTION("""COMPUTED_VALUE"""),2.0)</f>
        <v>2</v>
      </c>
      <c r="AE557" s="251" t="str">
        <f>IFERROR(__xludf.DUMMYFUNCTION("""COMPUTED_VALUE"""),"Carnivore")</f>
        <v>Carnivore</v>
      </c>
    </row>
    <row r="558">
      <c r="A558" s="251" t="str">
        <f>IFERROR(__xludf.DUMMYFUNCTION("""COMPUTED_VALUE"""),"Yanmega")</f>
        <v>Yanmega</v>
      </c>
      <c r="B558" s="251" t="str">
        <f>IFERROR(__xludf.DUMMYFUNCTION("""COMPUTED_VALUE"""),"Bug")</f>
        <v>Bug</v>
      </c>
      <c r="C558" s="251" t="str">
        <f>IFERROR(__xludf.DUMMYFUNCTION("""COMPUTED_VALUE"""),"Flying")</f>
        <v>Flying</v>
      </c>
      <c r="D558" s="251">
        <f>IFERROR(__xludf.DUMMYFUNCTION("""COMPUTED_VALUE"""),9.0)</f>
        <v>9</v>
      </c>
      <c r="E558" s="251">
        <f>IFERROR(__xludf.DUMMYFUNCTION("""COMPUTED_VALUE"""),8.0)</f>
        <v>8</v>
      </c>
      <c r="F558" s="251">
        <f>IFERROR(__xludf.DUMMYFUNCTION("""COMPUTED_VALUE"""),9.0)</f>
        <v>9</v>
      </c>
      <c r="G558" s="251">
        <f>IFERROR(__xludf.DUMMYFUNCTION("""COMPUTED_VALUE"""),12.0)</f>
        <v>12</v>
      </c>
      <c r="H558" s="251">
        <f>IFERROR(__xludf.DUMMYFUNCTION("""COMPUTED_VALUE"""),6.0)</f>
        <v>6</v>
      </c>
      <c r="I558" s="251">
        <f>IFERROR(__xludf.DUMMYFUNCTION("""COMPUTED_VALUE"""),10.0)</f>
        <v>10</v>
      </c>
      <c r="J558" s="251">
        <f>IFERROR(__xludf.DUMMYFUNCTION("""COMPUTED_VALUE"""),5.0)</f>
        <v>5</v>
      </c>
      <c r="K558" s="251" t="str">
        <f>IFERROR(__xludf.DUMMYFUNCTION("""COMPUTED_VALUE"""),"Large")</f>
        <v>Large</v>
      </c>
      <c r="L558" s="251">
        <f>IFERROR(__xludf.DUMMYFUNCTION("""COMPUTED_VALUE"""),3.0)</f>
        <v>3</v>
      </c>
      <c r="M558" s="251" t="str">
        <f>IFERROR(__xludf.DUMMYFUNCTION("""COMPUTED_VALUE"""),"Forest, Wetlands")</f>
        <v>Forest, Wetlands</v>
      </c>
      <c r="N558" s="251" t="str">
        <f>IFERROR(__xludf.DUMMYFUNCTION("""COMPUTED_VALUE"""),"Climber")</f>
        <v>Climber</v>
      </c>
      <c r="O558" s="251" t="str">
        <f>IFERROR(__xludf.DUMMYFUNCTION("""COMPUTED_VALUE"""),"Flier")</f>
        <v>Flier</v>
      </c>
      <c r="P558" s="251" t="str">
        <f>IFERROR(__xludf.DUMMYFUNCTION("""COMPUTED_VALUE"""),"Quick")</f>
        <v>Quick</v>
      </c>
      <c r="Q558" s="251" t="str">
        <f>IFERROR(__xludf.DUMMYFUNCTION("""COMPUTED_VALUE"""),"--")</f>
        <v>--</v>
      </c>
      <c r="R558" s="251" t="str">
        <f>IFERROR(__xludf.DUMMYFUNCTION("""COMPUTED_VALUE"""),"--")</f>
        <v>--</v>
      </c>
      <c r="S558" s="251" t="str">
        <f>IFERROR(__xludf.DUMMYFUNCTION("""COMPUTED_VALUE"""),"--")</f>
        <v>--</v>
      </c>
      <c r="T558" s="251" t="str">
        <f>IFERROR(__xludf.DUMMYFUNCTION("""COMPUTED_VALUE"""),"--")</f>
        <v>--</v>
      </c>
      <c r="U558" s="251" t="str">
        <f>IFERROR(__xludf.DUMMYFUNCTION("""COMPUTED_VALUE"""),"--")</f>
        <v>--</v>
      </c>
      <c r="V558" s="251" t="str">
        <f>IFERROR(__xludf.DUMMYFUNCTION("""COMPUTED_VALUE"""),"--")</f>
        <v>--</v>
      </c>
      <c r="W558" s="251" t="str">
        <f>IFERROR(__xludf.DUMMYFUNCTION("""COMPUTED_VALUE"""),"--")</f>
        <v>--</v>
      </c>
      <c r="X558" s="251" t="str">
        <f>IFERROR(__xludf.DUMMYFUNCTION("""COMPUTED_VALUE"""),"--")</f>
        <v>--</v>
      </c>
      <c r="Y558" s="251" t="str">
        <f>IFERROR(__xludf.DUMMYFUNCTION("""COMPUTED_VALUE"""),"--")</f>
        <v>--</v>
      </c>
      <c r="Z558" s="251" t="str">
        <f>IFERROR(__xludf.DUMMYFUNCTION("""COMPUTED_VALUE"""),"--")</f>
        <v>--</v>
      </c>
      <c r="AA558" s="251" t="str">
        <f>IFERROR(__xludf.DUMMYFUNCTION("""COMPUTED_VALUE"""),"--")</f>
        <v>--</v>
      </c>
      <c r="AB558" s="251" t="str">
        <f>IFERROR(__xludf.DUMMYFUNCTION("""COMPUTED_VALUE"""),"--")</f>
        <v>--</v>
      </c>
      <c r="AC558" s="251" t="str">
        <f>IFERROR(__xludf.DUMMYFUNCTION("""COMPUTED_VALUE"""),"--")</f>
        <v>--</v>
      </c>
      <c r="AD558" s="251">
        <f>IFERROR(__xludf.DUMMYFUNCTION("""COMPUTED_VALUE"""),3.0)</f>
        <v>3</v>
      </c>
      <c r="AE558" s="251" t="str">
        <f>IFERROR(__xludf.DUMMYFUNCTION("""COMPUTED_VALUE"""),"Carnivore")</f>
        <v>Carnivore</v>
      </c>
    </row>
    <row r="559">
      <c r="A559" s="251" t="str">
        <f>IFERROR(__xludf.DUMMYFUNCTION("""COMPUTED_VALUE"""),"Pineco")</f>
        <v>Pineco</v>
      </c>
      <c r="B559" s="251" t="str">
        <f>IFERROR(__xludf.DUMMYFUNCTION("""COMPUTED_VALUE"""),"Bug")</f>
        <v>Bug</v>
      </c>
      <c r="C559" s="251" t="str">
        <f>IFERROR(__xludf.DUMMYFUNCTION("""COMPUTED_VALUE"""),"None")</f>
        <v>None</v>
      </c>
      <c r="D559" s="251">
        <f>IFERROR(__xludf.DUMMYFUNCTION("""COMPUTED_VALUE"""),5.0)</f>
        <v>5</v>
      </c>
      <c r="E559" s="251">
        <f>IFERROR(__xludf.DUMMYFUNCTION("""COMPUTED_VALUE"""),7.0)</f>
        <v>7</v>
      </c>
      <c r="F559" s="251">
        <f>IFERROR(__xludf.DUMMYFUNCTION("""COMPUTED_VALUE"""),9.0)</f>
        <v>9</v>
      </c>
      <c r="G559" s="251">
        <f>IFERROR(__xludf.DUMMYFUNCTION("""COMPUTED_VALUE"""),4.0)</f>
        <v>4</v>
      </c>
      <c r="H559" s="251">
        <f>IFERROR(__xludf.DUMMYFUNCTION("""COMPUTED_VALUE"""),4.0)</f>
        <v>4</v>
      </c>
      <c r="I559" s="251">
        <f>IFERROR(__xludf.DUMMYFUNCTION("""COMPUTED_VALUE"""),2.0)</f>
        <v>2</v>
      </c>
      <c r="J559" s="251">
        <f>IFERROR(__xludf.DUMMYFUNCTION("""COMPUTED_VALUE"""),3.0)</f>
        <v>3</v>
      </c>
      <c r="K559" s="251" t="str">
        <f>IFERROR(__xludf.DUMMYFUNCTION("""COMPUTED_VALUE"""),"Small")</f>
        <v>Small</v>
      </c>
      <c r="L559" s="251">
        <f>IFERROR(__xludf.DUMMYFUNCTION("""COMPUTED_VALUE"""),1.0)</f>
        <v>1</v>
      </c>
      <c r="M559" s="251" t="str">
        <f>IFERROR(__xludf.DUMMYFUNCTION("""COMPUTED_VALUE"""),"Forest")</f>
        <v>Forest</v>
      </c>
      <c r="N559" s="251" t="str">
        <f>IFERROR(__xludf.DUMMYFUNCTION("""COMPUTED_VALUE"""),"Slow")</f>
        <v>Slow</v>
      </c>
      <c r="O559" s="251" t="str">
        <f>IFERROR(__xludf.DUMMYFUNCTION("""COMPUTED_VALUE"""),"--")</f>
        <v>--</v>
      </c>
      <c r="P559" s="251" t="str">
        <f>IFERROR(__xludf.DUMMYFUNCTION("""COMPUTED_VALUE"""),"--")</f>
        <v>--</v>
      </c>
      <c r="Q559" s="251" t="str">
        <f>IFERROR(__xludf.DUMMYFUNCTION("""COMPUTED_VALUE"""),"--")</f>
        <v>--</v>
      </c>
      <c r="R559" s="251" t="str">
        <f>IFERROR(__xludf.DUMMYFUNCTION("""COMPUTED_VALUE"""),"Underdog")</f>
        <v>Underdog</v>
      </c>
      <c r="S559" s="251" t="str">
        <f>IFERROR(__xludf.DUMMYFUNCTION("""COMPUTED_VALUE"""),"--")</f>
        <v>--</v>
      </c>
      <c r="T559" s="251" t="str">
        <f>IFERROR(__xludf.DUMMYFUNCTION("""COMPUTED_VALUE"""),"--")</f>
        <v>--</v>
      </c>
      <c r="U559" s="251" t="str">
        <f>IFERROR(__xludf.DUMMYFUNCTION("""COMPUTED_VALUE"""),"--")</f>
        <v>--</v>
      </c>
      <c r="V559" s="251" t="str">
        <f>IFERROR(__xludf.DUMMYFUNCTION("""COMPUTED_VALUE"""),"--")</f>
        <v>--</v>
      </c>
      <c r="W559" s="251" t="str">
        <f>IFERROR(__xludf.DUMMYFUNCTION("""COMPUTED_VALUE"""),"--")</f>
        <v>--</v>
      </c>
      <c r="X559" s="251" t="str">
        <f>IFERROR(__xludf.DUMMYFUNCTION("""COMPUTED_VALUE"""),"--")</f>
        <v>--</v>
      </c>
      <c r="Y559" s="251" t="str">
        <f>IFERROR(__xludf.DUMMYFUNCTION("""COMPUTED_VALUE"""),"--")</f>
        <v>--</v>
      </c>
      <c r="Z559" s="251" t="str">
        <f>IFERROR(__xludf.DUMMYFUNCTION("""COMPUTED_VALUE"""),"--")</f>
        <v>--</v>
      </c>
      <c r="AA559" s="251" t="str">
        <f>IFERROR(__xludf.DUMMYFUNCTION("""COMPUTED_VALUE"""),"--")</f>
        <v>--</v>
      </c>
      <c r="AB559" s="251" t="str">
        <f>IFERROR(__xludf.DUMMYFUNCTION("""COMPUTED_VALUE"""),"--")</f>
        <v>--</v>
      </c>
      <c r="AC559" s="251" t="str">
        <f>IFERROR(__xludf.DUMMYFUNCTION("""COMPUTED_VALUE"""),"--")</f>
        <v>--</v>
      </c>
      <c r="AD559" s="251">
        <f>IFERROR(__xludf.DUMMYFUNCTION("""COMPUTED_VALUE"""),2.0)</f>
        <v>2</v>
      </c>
      <c r="AE559" s="251" t="str">
        <f>IFERROR(__xludf.DUMMYFUNCTION("""COMPUTED_VALUE"""),"Herbivore")</f>
        <v>Herbivore</v>
      </c>
    </row>
    <row r="560">
      <c r="A560" s="251" t="str">
        <f>IFERROR(__xludf.DUMMYFUNCTION("""COMPUTED_VALUE"""),"Forretress")</f>
        <v>Forretress</v>
      </c>
      <c r="B560" s="251" t="str">
        <f>IFERROR(__xludf.DUMMYFUNCTION("""COMPUTED_VALUE"""),"Bug")</f>
        <v>Bug</v>
      </c>
      <c r="C560" s="251" t="str">
        <f>IFERROR(__xludf.DUMMYFUNCTION("""COMPUTED_VALUE"""),"Steel")</f>
        <v>Steel</v>
      </c>
      <c r="D560" s="251">
        <f>IFERROR(__xludf.DUMMYFUNCTION("""COMPUTED_VALUE"""),9.0)</f>
        <v>9</v>
      </c>
      <c r="E560" s="251">
        <f>IFERROR(__xludf.DUMMYFUNCTION("""COMPUTED_VALUE"""),9.0)</f>
        <v>9</v>
      </c>
      <c r="F560" s="251">
        <f>IFERROR(__xludf.DUMMYFUNCTION("""COMPUTED_VALUE"""),16.0)</f>
        <v>16</v>
      </c>
      <c r="G560" s="251">
        <f>IFERROR(__xludf.DUMMYFUNCTION("""COMPUTED_VALUE"""),6.0)</f>
        <v>6</v>
      </c>
      <c r="H560" s="251">
        <f>IFERROR(__xludf.DUMMYFUNCTION("""COMPUTED_VALUE"""),7.0)</f>
        <v>7</v>
      </c>
      <c r="I560" s="251">
        <f>IFERROR(__xludf.DUMMYFUNCTION("""COMPUTED_VALUE"""),4.0)</f>
        <v>4</v>
      </c>
      <c r="J560" s="251">
        <f>IFERROR(__xludf.DUMMYFUNCTION("""COMPUTED_VALUE"""),6.0)</f>
        <v>6</v>
      </c>
      <c r="K560" s="251" t="str">
        <f>IFERROR(__xludf.DUMMYFUNCTION("""COMPUTED_VALUE"""),"Medium")</f>
        <v>Medium</v>
      </c>
      <c r="L560" s="251">
        <f>IFERROR(__xludf.DUMMYFUNCTION("""COMPUTED_VALUE"""),5.0)</f>
        <v>5</v>
      </c>
      <c r="M560" s="251" t="str">
        <f>IFERROR(__xludf.DUMMYFUNCTION("""COMPUTED_VALUE"""),"Forest")</f>
        <v>Forest</v>
      </c>
      <c r="N560" s="251" t="str">
        <f>IFERROR(__xludf.DUMMYFUNCTION("""COMPUTED_VALUE"""),"Flier")</f>
        <v>Flier</v>
      </c>
      <c r="O560" s="251" t="str">
        <f>IFERROR(__xludf.DUMMYFUNCTION("""COMPUTED_VALUE"""),"--")</f>
        <v>--</v>
      </c>
      <c r="P560" s="251" t="str">
        <f>IFERROR(__xludf.DUMMYFUNCTION("""COMPUTED_VALUE"""),"--")</f>
        <v>--</v>
      </c>
      <c r="Q560" s="251" t="str">
        <f>IFERROR(__xludf.DUMMYFUNCTION("""COMPUTED_VALUE"""),"--")</f>
        <v>--</v>
      </c>
      <c r="R560" s="251" t="str">
        <f>IFERROR(__xludf.DUMMYFUNCTION("""COMPUTED_VALUE"""),"--")</f>
        <v>--</v>
      </c>
      <c r="S560" s="251" t="str">
        <f>IFERROR(__xludf.DUMMYFUNCTION("""COMPUTED_VALUE"""),"--")</f>
        <v>--</v>
      </c>
      <c r="T560" s="251" t="str">
        <f>IFERROR(__xludf.DUMMYFUNCTION("""COMPUTED_VALUE"""),"--")</f>
        <v>--</v>
      </c>
      <c r="U560" s="251" t="str">
        <f>IFERROR(__xludf.DUMMYFUNCTION("""COMPUTED_VALUE"""),"--")</f>
        <v>--</v>
      </c>
      <c r="V560" s="251" t="str">
        <f>IFERROR(__xludf.DUMMYFUNCTION("""COMPUTED_VALUE"""),"--")</f>
        <v>--</v>
      </c>
      <c r="W560" s="251" t="str">
        <f>IFERROR(__xludf.DUMMYFUNCTION("""COMPUTED_VALUE"""),"--")</f>
        <v>--</v>
      </c>
      <c r="X560" s="251" t="str">
        <f>IFERROR(__xludf.DUMMYFUNCTION("""COMPUTED_VALUE"""),"--")</f>
        <v>--</v>
      </c>
      <c r="Y560" s="251" t="str">
        <f>IFERROR(__xludf.DUMMYFUNCTION("""COMPUTED_VALUE"""),"--")</f>
        <v>--</v>
      </c>
      <c r="Z560" s="251" t="str">
        <f>IFERROR(__xludf.DUMMYFUNCTION("""COMPUTED_VALUE"""),"--")</f>
        <v>--</v>
      </c>
      <c r="AA560" s="251" t="str">
        <f>IFERROR(__xludf.DUMMYFUNCTION("""COMPUTED_VALUE"""),"--")</f>
        <v>--</v>
      </c>
      <c r="AB560" s="251" t="str">
        <f>IFERROR(__xludf.DUMMYFUNCTION("""COMPUTED_VALUE"""),"--")</f>
        <v>--</v>
      </c>
      <c r="AC560" s="251" t="str">
        <f>IFERROR(__xludf.DUMMYFUNCTION("""COMPUTED_VALUE"""),"--")</f>
        <v>--</v>
      </c>
      <c r="AD560" s="251">
        <f>IFERROR(__xludf.DUMMYFUNCTION("""COMPUTED_VALUE"""),3.0)</f>
        <v>3</v>
      </c>
      <c r="AE560" s="251" t="str">
        <f>IFERROR(__xludf.DUMMYFUNCTION("""COMPUTED_VALUE"""),"Herbivore")</f>
        <v>Herbivore</v>
      </c>
    </row>
    <row r="561">
      <c r="A561" s="251" t="str">
        <f>IFERROR(__xludf.DUMMYFUNCTION("""COMPUTED_VALUE"""),"Surskit")</f>
        <v>Surskit</v>
      </c>
      <c r="B561" s="251" t="str">
        <f>IFERROR(__xludf.DUMMYFUNCTION("""COMPUTED_VALUE"""),"Bug")</f>
        <v>Bug</v>
      </c>
      <c r="C561" s="251" t="str">
        <f>IFERROR(__xludf.DUMMYFUNCTION("""COMPUTED_VALUE"""),"Water")</f>
        <v>Water</v>
      </c>
      <c r="D561" s="251">
        <f>IFERROR(__xludf.DUMMYFUNCTION("""COMPUTED_VALUE"""),4.0)</f>
        <v>4</v>
      </c>
      <c r="E561" s="251">
        <f>IFERROR(__xludf.DUMMYFUNCTION("""COMPUTED_VALUE"""),4.0)</f>
        <v>4</v>
      </c>
      <c r="F561" s="251">
        <f>IFERROR(__xludf.DUMMYFUNCTION("""COMPUTED_VALUE"""),4.0)</f>
        <v>4</v>
      </c>
      <c r="G561" s="251">
        <f>IFERROR(__xludf.DUMMYFUNCTION("""COMPUTED_VALUE"""),5.0)</f>
        <v>5</v>
      </c>
      <c r="H561" s="251">
        <f>IFERROR(__xludf.DUMMYFUNCTION("""COMPUTED_VALUE"""),5.0)</f>
        <v>5</v>
      </c>
      <c r="I561" s="251">
        <f>IFERROR(__xludf.DUMMYFUNCTION("""COMPUTED_VALUE"""),8.0)</f>
        <v>8</v>
      </c>
      <c r="J561" s="251">
        <f>IFERROR(__xludf.DUMMYFUNCTION("""COMPUTED_VALUE"""),1.0)</f>
        <v>1</v>
      </c>
      <c r="K561" s="251" t="str">
        <f>IFERROR(__xludf.DUMMYFUNCTION("""COMPUTED_VALUE"""),"Small")</f>
        <v>Small</v>
      </c>
      <c r="L561" s="251">
        <f>IFERROR(__xludf.DUMMYFUNCTION("""COMPUTED_VALUE"""),1.0)</f>
        <v>1</v>
      </c>
      <c r="M561" s="251" t="str">
        <f>IFERROR(__xludf.DUMMYFUNCTION("""COMPUTED_VALUE"""),"Wetlands")</f>
        <v>Wetlands</v>
      </c>
      <c r="N561" s="251" t="str">
        <f>IFERROR(__xludf.DUMMYFUNCTION("""COMPUTED_VALUE"""),"Swimmer")</f>
        <v>Swimmer</v>
      </c>
      <c r="O561" s="251" t="str">
        <f>IFERROR(__xludf.DUMMYFUNCTION("""COMPUTED_VALUE"""),"--")</f>
        <v>--</v>
      </c>
      <c r="P561" s="251" t="str">
        <f>IFERROR(__xludf.DUMMYFUNCTION("""COMPUTED_VALUE"""),"--")</f>
        <v>--</v>
      </c>
      <c r="Q561" s="251" t="str">
        <f>IFERROR(__xludf.DUMMYFUNCTION("""COMPUTED_VALUE"""),"--")</f>
        <v>--</v>
      </c>
      <c r="R561" s="251" t="str">
        <f>IFERROR(__xludf.DUMMYFUNCTION("""COMPUTED_VALUE"""),"Threaded")</f>
        <v>Threaded</v>
      </c>
      <c r="S561" s="251" t="str">
        <f>IFERROR(__xludf.DUMMYFUNCTION("""COMPUTED_VALUE"""),"Underdog")</f>
        <v>Underdog</v>
      </c>
      <c r="T561" s="251" t="str">
        <f>IFERROR(__xludf.DUMMYFUNCTION("""COMPUTED_VALUE"""),"--")</f>
        <v>--</v>
      </c>
      <c r="U561" s="251" t="str">
        <f>IFERROR(__xludf.DUMMYFUNCTION("""COMPUTED_VALUE"""),"--")</f>
        <v>--</v>
      </c>
      <c r="V561" s="251" t="str">
        <f>IFERROR(__xludf.DUMMYFUNCTION("""COMPUTED_VALUE"""),"--")</f>
        <v>--</v>
      </c>
      <c r="W561" s="251" t="str">
        <f>IFERROR(__xludf.DUMMYFUNCTION("""COMPUTED_VALUE"""),"--")</f>
        <v>--</v>
      </c>
      <c r="X561" s="251" t="str">
        <f>IFERROR(__xludf.DUMMYFUNCTION("""COMPUTED_VALUE"""),"--")</f>
        <v>--</v>
      </c>
      <c r="Y561" s="251" t="str">
        <f>IFERROR(__xludf.DUMMYFUNCTION("""COMPUTED_VALUE"""),"--")</f>
        <v>--</v>
      </c>
      <c r="Z561" s="251" t="str">
        <f>IFERROR(__xludf.DUMMYFUNCTION("""COMPUTED_VALUE"""),"--")</f>
        <v>--</v>
      </c>
      <c r="AA561" s="251" t="str">
        <f>IFERROR(__xludf.DUMMYFUNCTION("""COMPUTED_VALUE"""),"--")</f>
        <v>--</v>
      </c>
      <c r="AB561" s="251" t="str">
        <f>IFERROR(__xludf.DUMMYFUNCTION("""COMPUTED_VALUE"""),"--")</f>
        <v>--</v>
      </c>
      <c r="AC561" s="251" t="str">
        <f>IFERROR(__xludf.DUMMYFUNCTION("""COMPUTED_VALUE"""),"--")</f>
        <v>--</v>
      </c>
      <c r="AD561" s="251">
        <f>IFERROR(__xludf.DUMMYFUNCTION("""COMPUTED_VALUE"""),2.0)</f>
        <v>2</v>
      </c>
      <c r="AE561" s="251" t="str">
        <f>IFERROR(__xludf.DUMMYFUNCTION("""COMPUTED_VALUE"""),"Herbivore")</f>
        <v>Herbivore</v>
      </c>
    </row>
    <row r="562">
      <c r="A562" s="251" t="str">
        <f>IFERROR(__xludf.DUMMYFUNCTION("""COMPUTED_VALUE"""),"Masquerain")</f>
        <v>Masquerain</v>
      </c>
      <c r="B562" s="251" t="str">
        <f>IFERROR(__xludf.DUMMYFUNCTION("""COMPUTED_VALUE"""),"Bug")</f>
        <v>Bug</v>
      </c>
      <c r="C562" s="251" t="str">
        <f>IFERROR(__xludf.DUMMYFUNCTION("""COMPUTED_VALUE"""),"Flying")</f>
        <v>Flying</v>
      </c>
      <c r="D562" s="251">
        <f>IFERROR(__xludf.DUMMYFUNCTION("""COMPUTED_VALUE"""),8.0)</f>
        <v>8</v>
      </c>
      <c r="E562" s="251">
        <f>IFERROR(__xludf.DUMMYFUNCTION("""COMPUTED_VALUE"""),6.0)</f>
        <v>6</v>
      </c>
      <c r="F562" s="251">
        <f>IFERROR(__xludf.DUMMYFUNCTION("""COMPUTED_VALUE"""),7.0)</f>
        <v>7</v>
      </c>
      <c r="G562" s="251">
        <f>IFERROR(__xludf.DUMMYFUNCTION("""COMPUTED_VALUE"""),11.0)</f>
        <v>11</v>
      </c>
      <c r="H562" s="251">
        <f>IFERROR(__xludf.DUMMYFUNCTION("""COMPUTED_VALUE"""),9.0)</f>
        <v>9</v>
      </c>
      <c r="I562" s="251">
        <f>IFERROR(__xludf.DUMMYFUNCTION("""COMPUTED_VALUE"""),10.0)</f>
        <v>10</v>
      </c>
      <c r="J562" s="251">
        <f>IFERROR(__xludf.DUMMYFUNCTION("""COMPUTED_VALUE"""),1.0)</f>
        <v>1</v>
      </c>
      <c r="K562" s="251" t="str">
        <f>IFERROR(__xludf.DUMMYFUNCTION("""COMPUTED_VALUE"""),"Small")</f>
        <v>Small</v>
      </c>
      <c r="L562" s="251">
        <f>IFERROR(__xludf.DUMMYFUNCTION("""COMPUTED_VALUE"""),1.0)</f>
        <v>1</v>
      </c>
      <c r="M562" s="251" t="str">
        <f>IFERROR(__xludf.DUMMYFUNCTION("""COMPUTED_VALUE"""),"Wetlands")</f>
        <v>Wetlands</v>
      </c>
      <c r="N562" s="251" t="str">
        <f>IFERROR(__xludf.DUMMYFUNCTION("""COMPUTED_VALUE"""),"Flier")</f>
        <v>Flier</v>
      </c>
      <c r="O562" s="251" t="str">
        <f>IFERROR(__xludf.DUMMYFUNCTION("""COMPUTED_VALUE"""),"--")</f>
        <v>--</v>
      </c>
      <c r="P562" s="251" t="str">
        <f>IFERROR(__xludf.DUMMYFUNCTION("""COMPUTED_VALUE"""),"--")</f>
        <v>--</v>
      </c>
      <c r="Q562" s="251" t="str">
        <f>IFERROR(__xludf.DUMMYFUNCTION("""COMPUTED_VALUE"""),"--")</f>
        <v>--</v>
      </c>
      <c r="R562" s="251" t="str">
        <f>IFERROR(__xludf.DUMMYFUNCTION("""COMPUTED_VALUE"""),"Threaded")</f>
        <v>Threaded</v>
      </c>
      <c r="S562" s="251" t="str">
        <f>IFERROR(__xludf.DUMMYFUNCTION("""COMPUTED_VALUE"""),"--")</f>
        <v>--</v>
      </c>
      <c r="T562" s="251" t="str">
        <f>IFERROR(__xludf.DUMMYFUNCTION("""COMPUTED_VALUE"""),"--")</f>
        <v>--</v>
      </c>
      <c r="U562" s="251" t="str">
        <f>IFERROR(__xludf.DUMMYFUNCTION("""COMPUTED_VALUE"""),"--")</f>
        <v>--</v>
      </c>
      <c r="V562" s="251" t="str">
        <f>IFERROR(__xludf.DUMMYFUNCTION("""COMPUTED_VALUE"""),"--")</f>
        <v>--</v>
      </c>
      <c r="W562" s="251" t="str">
        <f>IFERROR(__xludf.DUMMYFUNCTION("""COMPUTED_VALUE"""),"--")</f>
        <v>--</v>
      </c>
      <c r="X562" s="251" t="str">
        <f>IFERROR(__xludf.DUMMYFUNCTION("""COMPUTED_VALUE"""),"--")</f>
        <v>--</v>
      </c>
      <c r="Y562" s="251" t="str">
        <f>IFERROR(__xludf.DUMMYFUNCTION("""COMPUTED_VALUE"""),"--")</f>
        <v>--</v>
      </c>
      <c r="Z562" s="251" t="str">
        <f>IFERROR(__xludf.DUMMYFUNCTION("""COMPUTED_VALUE"""),"--")</f>
        <v>--</v>
      </c>
      <c r="AA562" s="251" t="str">
        <f>IFERROR(__xludf.DUMMYFUNCTION("""COMPUTED_VALUE"""),"--")</f>
        <v>--</v>
      </c>
      <c r="AB562" s="251" t="str">
        <f>IFERROR(__xludf.DUMMYFUNCTION("""COMPUTED_VALUE"""),"--")</f>
        <v>--</v>
      </c>
      <c r="AC562" s="251" t="str">
        <f>IFERROR(__xludf.DUMMYFUNCTION("""COMPUTED_VALUE"""),"--")</f>
        <v>--</v>
      </c>
      <c r="AD562" s="251">
        <f>IFERROR(__xludf.DUMMYFUNCTION("""COMPUTED_VALUE"""),3.0)</f>
        <v>3</v>
      </c>
      <c r="AE562" s="251" t="str">
        <f>IFERROR(__xludf.DUMMYFUNCTION("""COMPUTED_VALUE"""),"Herbivore")</f>
        <v>Herbivore</v>
      </c>
    </row>
    <row r="563">
      <c r="A563" s="251" t="str">
        <f>IFERROR(__xludf.DUMMYFUNCTION("""COMPUTED_VALUE"""),"Nincada")</f>
        <v>Nincada</v>
      </c>
      <c r="B563" s="251" t="str">
        <f>IFERROR(__xludf.DUMMYFUNCTION("""COMPUTED_VALUE"""),"Bug")</f>
        <v>Bug</v>
      </c>
      <c r="C563" s="251" t="str">
        <f>IFERROR(__xludf.DUMMYFUNCTION("""COMPUTED_VALUE"""),"Ground")</f>
        <v>Ground</v>
      </c>
      <c r="D563" s="251">
        <f>IFERROR(__xludf.DUMMYFUNCTION("""COMPUTED_VALUE"""),4.0)</f>
        <v>4</v>
      </c>
      <c r="E563" s="251">
        <f>IFERROR(__xludf.DUMMYFUNCTION("""COMPUTED_VALUE"""),6.0)</f>
        <v>6</v>
      </c>
      <c r="F563" s="251">
        <f>IFERROR(__xludf.DUMMYFUNCTION("""COMPUTED_VALUE"""),9.0)</f>
        <v>9</v>
      </c>
      <c r="G563" s="251">
        <f>IFERROR(__xludf.DUMMYFUNCTION("""COMPUTED_VALUE"""),3.0)</f>
        <v>3</v>
      </c>
      <c r="H563" s="251">
        <f>IFERROR(__xludf.DUMMYFUNCTION("""COMPUTED_VALUE"""),4.0)</f>
        <v>4</v>
      </c>
      <c r="I563" s="251">
        <f>IFERROR(__xludf.DUMMYFUNCTION("""COMPUTED_VALUE"""),4.0)</f>
        <v>4</v>
      </c>
      <c r="J563" s="251">
        <f>IFERROR(__xludf.DUMMYFUNCTION("""COMPUTED_VALUE"""),1.0)</f>
        <v>1</v>
      </c>
      <c r="K563" s="251" t="str">
        <f>IFERROR(__xludf.DUMMYFUNCTION("""COMPUTED_VALUE"""),"Small")</f>
        <v>Small</v>
      </c>
      <c r="L563" s="251">
        <f>IFERROR(__xludf.DUMMYFUNCTION("""COMPUTED_VALUE"""),1.0)</f>
        <v>1</v>
      </c>
      <c r="M563" s="251" t="str">
        <f>IFERROR(__xludf.DUMMYFUNCTION("""COMPUTED_VALUE"""),"Desert, Forest")</f>
        <v>Desert, Forest</v>
      </c>
      <c r="N563" s="251" t="str">
        <f>IFERROR(__xludf.DUMMYFUNCTION("""COMPUTED_VALUE"""),"Burrower")</f>
        <v>Burrower</v>
      </c>
      <c r="O563" s="251" t="str">
        <f>IFERROR(__xludf.DUMMYFUNCTION("""COMPUTED_VALUE"""),"Climber")</f>
        <v>Climber</v>
      </c>
      <c r="P563" s="251" t="str">
        <f>IFERROR(__xludf.DUMMYFUNCTION("""COMPUTED_VALUE"""),"Slow")</f>
        <v>Slow</v>
      </c>
      <c r="Q563" s="251" t="str">
        <f>IFERROR(__xludf.DUMMYFUNCTION("""COMPUTED_VALUE"""),"--")</f>
        <v>--</v>
      </c>
      <c r="R563" s="251" t="str">
        <f>IFERROR(__xludf.DUMMYFUNCTION("""COMPUTED_VALUE"""),"Threaded")</f>
        <v>Threaded</v>
      </c>
      <c r="S563" s="251" t="str">
        <f>IFERROR(__xludf.DUMMYFUNCTION("""COMPUTED_VALUE"""),"Underdog")</f>
        <v>Underdog</v>
      </c>
      <c r="T563" s="251" t="str">
        <f>IFERROR(__xludf.DUMMYFUNCTION("""COMPUTED_VALUE"""),"--")</f>
        <v>--</v>
      </c>
      <c r="U563" s="251" t="str">
        <f>IFERROR(__xludf.DUMMYFUNCTION("""COMPUTED_VALUE"""),"--")</f>
        <v>--</v>
      </c>
      <c r="V563" s="251" t="str">
        <f>IFERROR(__xludf.DUMMYFUNCTION("""COMPUTED_VALUE"""),"--")</f>
        <v>--</v>
      </c>
      <c r="W563" s="251" t="str">
        <f>IFERROR(__xludf.DUMMYFUNCTION("""COMPUTED_VALUE"""),"--")</f>
        <v>--</v>
      </c>
      <c r="X563" s="251" t="str">
        <f>IFERROR(__xludf.DUMMYFUNCTION("""COMPUTED_VALUE"""),"--")</f>
        <v>--</v>
      </c>
      <c r="Y563" s="251" t="str">
        <f>IFERROR(__xludf.DUMMYFUNCTION("""COMPUTED_VALUE"""),"--")</f>
        <v>--</v>
      </c>
      <c r="Z563" s="251" t="str">
        <f>IFERROR(__xludf.DUMMYFUNCTION("""COMPUTED_VALUE"""),"--")</f>
        <v>--</v>
      </c>
      <c r="AA563" s="251" t="str">
        <f>IFERROR(__xludf.DUMMYFUNCTION("""COMPUTED_VALUE"""),"--")</f>
        <v>--</v>
      </c>
      <c r="AB563" s="251" t="str">
        <f>IFERROR(__xludf.DUMMYFUNCTION("""COMPUTED_VALUE"""),"--")</f>
        <v>--</v>
      </c>
      <c r="AC563" s="251" t="str">
        <f>IFERROR(__xludf.DUMMYFUNCTION("""COMPUTED_VALUE"""),"--")</f>
        <v>--</v>
      </c>
      <c r="AD563" s="251">
        <f>IFERROR(__xludf.DUMMYFUNCTION("""COMPUTED_VALUE"""),2.0)</f>
        <v>2</v>
      </c>
      <c r="AE563" s="251" t="str">
        <f>IFERROR(__xludf.DUMMYFUNCTION("""COMPUTED_VALUE"""),"Herbivore")</f>
        <v>Herbivore</v>
      </c>
    </row>
    <row r="564">
      <c r="A564" s="251" t="str">
        <f>IFERROR(__xludf.DUMMYFUNCTION("""COMPUTED_VALUE"""),"Ninjask")</f>
        <v>Ninjask</v>
      </c>
      <c r="B564" s="251" t="str">
        <f>IFERROR(__xludf.DUMMYFUNCTION("""COMPUTED_VALUE"""),"Bug")</f>
        <v>Bug</v>
      </c>
      <c r="C564" s="251" t="str">
        <f>IFERROR(__xludf.DUMMYFUNCTION("""COMPUTED_VALUE"""),"Flying")</f>
        <v>Flying</v>
      </c>
      <c r="D564" s="251">
        <f>IFERROR(__xludf.DUMMYFUNCTION("""COMPUTED_VALUE"""),6.0)</f>
        <v>6</v>
      </c>
      <c r="E564" s="251">
        <f>IFERROR(__xludf.DUMMYFUNCTION("""COMPUTED_VALUE"""),10.0)</f>
        <v>10</v>
      </c>
      <c r="F564" s="251">
        <f>IFERROR(__xludf.DUMMYFUNCTION("""COMPUTED_VALUE"""),5.0)</f>
        <v>5</v>
      </c>
      <c r="G564" s="251">
        <f>IFERROR(__xludf.DUMMYFUNCTION("""COMPUTED_VALUE"""),5.0)</f>
        <v>5</v>
      </c>
      <c r="H564" s="251">
        <f>IFERROR(__xludf.DUMMYFUNCTION("""COMPUTED_VALUE"""),5.0)</f>
        <v>5</v>
      </c>
      <c r="I564" s="251">
        <f>IFERROR(__xludf.DUMMYFUNCTION("""COMPUTED_VALUE"""),20.0)</f>
        <v>20</v>
      </c>
      <c r="J564" s="251">
        <f>IFERROR(__xludf.DUMMYFUNCTION("""COMPUTED_VALUE"""),1.0)</f>
        <v>1</v>
      </c>
      <c r="K564" s="251" t="str">
        <f>IFERROR(__xludf.DUMMYFUNCTION("""COMPUTED_VALUE"""),"Small")</f>
        <v>Small</v>
      </c>
      <c r="L564" s="251">
        <f>IFERROR(__xludf.DUMMYFUNCTION("""COMPUTED_VALUE"""),2.0)</f>
        <v>2</v>
      </c>
      <c r="M564" s="251" t="str">
        <f>IFERROR(__xludf.DUMMYFUNCTION("""COMPUTED_VALUE"""),"Desert, Forest")</f>
        <v>Desert, Forest</v>
      </c>
      <c r="N564" s="251" t="str">
        <f>IFERROR(__xludf.DUMMYFUNCTION("""COMPUTED_VALUE"""),"Climber")</f>
        <v>Climber</v>
      </c>
      <c r="O564" s="251" t="str">
        <f>IFERROR(__xludf.DUMMYFUNCTION("""COMPUTED_VALUE"""),"Flier")</f>
        <v>Flier</v>
      </c>
      <c r="P564" s="251" t="str">
        <f>IFERROR(__xludf.DUMMYFUNCTION("""COMPUTED_VALUE"""),"Quick")</f>
        <v>Quick</v>
      </c>
      <c r="Q564" s="251" t="str">
        <f>IFERROR(__xludf.DUMMYFUNCTION("""COMPUTED_VALUE"""),"--")</f>
        <v>--</v>
      </c>
      <c r="R564" s="251" t="str">
        <f>IFERROR(__xludf.DUMMYFUNCTION("""COMPUTED_VALUE"""),"Threaded")</f>
        <v>Threaded</v>
      </c>
      <c r="S564" s="251" t="str">
        <f>IFERROR(__xludf.DUMMYFUNCTION("""COMPUTED_VALUE"""),"--")</f>
        <v>--</v>
      </c>
      <c r="T564" s="251" t="str">
        <f>IFERROR(__xludf.DUMMYFUNCTION("""COMPUTED_VALUE"""),"--")</f>
        <v>--</v>
      </c>
      <c r="U564" s="251" t="str">
        <f>IFERROR(__xludf.DUMMYFUNCTION("""COMPUTED_VALUE"""),"--")</f>
        <v>--</v>
      </c>
      <c r="V564" s="251" t="str">
        <f>IFERROR(__xludf.DUMMYFUNCTION("""COMPUTED_VALUE"""),"--")</f>
        <v>--</v>
      </c>
      <c r="W564" s="251" t="str">
        <f>IFERROR(__xludf.DUMMYFUNCTION("""COMPUTED_VALUE"""),"--")</f>
        <v>--</v>
      </c>
      <c r="X564" s="251" t="str">
        <f>IFERROR(__xludf.DUMMYFUNCTION("""COMPUTED_VALUE"""),"--")</f>
        <v>--</v>
      </c>
      <c r="Y564" s="251" t="str">
        <f>IFERROR(__xludf.DUMMYFUNCTION("""COMPUTED_VALUE"""),"--")</f>
        <v>--</v>
      </c>
      <c r="Z564" s="251" t="str">
        <f>IFERROR(__xludf.DUMMYFUNCTION("""COMPUTED_VALUE"""),"--")</f>
        <v>--</v>
      </c>
      <c r="AA564" s="251" t="str">
        <f>IFERROR(__xludf.DUMMYFUNCTION("""COMPUTED_VALUE"""),"--")</f>
        <v>--</v>
      </c>
      <c r="AB564" s="251" t="str">
        <f>IFERROR(__xludf.DUMMYFUNCTION("""COMPUTED_VALUE"""),"--")</f>
        <v>--</v>
      </c>
      <c r="AC564" s="251" t="str">
        <f>IFERROR(__xludf.DUMMYFUNCTION("""COMPUTED_VALUE"""),"--")</f>
        <v>--</v>
      </c>
      <c r="AD564" s="251">
        <f>IFERROR(__xludf.DUMMYFUNCTION("""COMPUTED_VALUE"""),3.0)</f>
        <v>3</v>
      </c>
      <c r="AE564" s="251" t="str">
        <f>IFERROR(__xludf.DUMMYFUNCTION("""COMPUTED_VALUE"""),"Herbivore")</f>
        <v>Herbivore</v>
      </c>
    </row>
    <row r="565">
      <c r="A565" s="251" t="str">
        <f>IFERROR(__xludf.DUMMYFUNCTION("""COMPUTED_VALUE"""),"Shedinja")</f>
        <v>Shedinja</v>
      </c>
      <c r="B565" s="251" t="str">
        <f>IFERROR(__xludf.DUMMYFUNCTION("""COMPUTED_VALUE"""),"Bug")</f>
        <v>Bug</v>
      </c>
      <c r="C565" s="251" t="str">
        <f>IFERROR(__xludf.DUMMYFUNCTION("""COMPUTED_VALUE"""),"Ghost")</f>
        <v>Ghost</v>
      </c>
      <c r="D565" s="251">
        <f>IFERROR(__xludf.DUMMYFUNCTION("""COMPUTED_VALUE"""),5.0)</f>
        <v>5</v>
      </c>
      <c r="E565" s="251">
        <f>IFERROR(__xludf.DUMMYFUNCTION("""COMPUTED_VALUE"""),11.0)</f>
        <v>11</v>
      </c>
      <c r="F565" s="251">
        <f>IFERROR(__xludf.DUMMYFUNCTION("""COMPUTED_VALUE"""),6.0)</f>
        <v>6</v>
      </c>
      <c r="G565" s="251">
        <f>IFERROR(__xludf.DUMMYFUNCTION("""COMPUTED_VALUE"""),11.0)</f>
        <v>11</v>
      </c>
      <c r="H565" s="251">
        <f>IFERROR(__xludf.DUMMYFUNCTION("""COMPUTED_VALUE"""),7.0)</f>
        <v>7</v>
      </c>
      <c r="I565" s="251">
        <f>IFERROR(__xludf.DUMMYFUNCTION("""COMPUTED_VALUE"""),6.0)</f>
        <v>6</v>
      </c>
      <c r="J565" s="251">
        <f>IFERROR(__xludf.DUMMYFUNCTION("""COMPUTED_VALUE"""),1.0)</f>
        <v>1</v>
      </c>
      <c r="K565" s="251" t="str">
        <f>IFERROR(__xludf.DUMMYFUNCTION("""COMPUTED_VALUE"""),"Small")</f>
        <v>Small</v>
      </c>
      <c r="L565" s="251">
        <f>IFERROR(__xludf.DUMMYFUNCTION("""COMPUTED_VALUE"""),2.0)</f>
        <v>2</v>
      </c>
      <c r="M565" s="251" t="str">
        <f>IFERROR(__xludf.DUMMYFUNCTION("""COMPUTED_VALUE"""),"Desert, Forest")</f>
        <v>Desert, Forest</v>
      </c>
      <c r="N565" s="251" t="str">
        <f>IFERROR(__xludf.DUMMYFUNCTION("""COMPUTED_VALUE"""),"Climber")</f>
        <v>Climber</v>
      </c>
      <c r="O565" s="251" t="str">
        <f>IFERROR(__xludf.DUMMYFUNCTION("""COMPUTED_VALUE"""),"Flier")</f>
        <v>Flier</v>
      </c>
      <c r="P565" s="251" t="str">
        <f>IFERROR(__xludf.DUMMYFUNCTION("""COMPUTED_VALUE"""),"Phaser")</f>
        <v>Phaser</v>
      </c>
      <c r="Q565" s="251" t="str">
        <f>IFERROR(__xludf.DUMMYFUNCTION("""COMPUTED_VALUE"""),"--")</f>
        <v>--</v>
      </c>
      <c r="R565" s="251" t="str">
        <f>IFERROR(__xludf.DUMMYFUNCTION("""COMPUTED_VALUE"""),"Darkvision")</f>
        <v>Darkvision</v>
      </c>
      <c r="S565" s="251" t="str">
        <f>IFERROR(__xludf.DUMMYFUNCTION("""COMPUTED_VALUE"""),"Threaded")</f>
        <v>Threaded</v>
      </c>
      <c r="T565" s="251" t="str">
        <f>IFERROR(__xludf.DUMMYFUNCTION("""COMPUTED_VALUE"""),"--")</f>
        <v>--</v>
      </c>
      <c r="U565" s="251" t="str">
        <f>IFERROR(__xludf.DUMMYFUNCTION("""COMPUTED_VALUE"""),"--")</f>
        <v>--</v>
      </c>
      <c r="V565" s="251" t="str">
        <f>IFERROR(__xludf.DUMMYFUNCTION("""COMPUTED_VALUE"""),"Breathless")</f>
        <v>Breathless</v>
      </c>
      <c r="W565" s="251" t="str">
        <f>IFERROR(__xludf.DUMMYFUNCTION("""COMPUTED_VALUE"""),"Dead Silent")</f>
        <v>Dead Silent</v>
      </c>
      <c r="X565" s="251" t="str">
        <f>IFERROR(__xludf.DUMMYFUNCTION("""COMPUTED_VALUE"""),"--")</f>
        <v>--</v>
      </c>
      <c r="Y565" s="251" t="str">
        <f>IFERROR(__xludf.DUMMYFUNCTION("""COMPUTED_VALUE"""),"--")</f>
        <v>--</v>
      </c>
      <c r="Z565" s="251" t="str">
        <f>IFERROR(__xludf.DUMMYFUNCTION("""COMPUTED_VALUE"""),"--")</f>
        <v>--</v>
      </c>
      <c r="AA565" s="251" t="str">
        <f>IFERROR(__xludf.DUMMYFUNCTION("""COMPUTED_VALUE"""),"--")</f>
        <v>--</v>
      </c>
      <c r="AB565" s="251" t="str">
        <f>IFERROR(__xludf.DUMMYFUNCTION("""COMPUTED_VALUE"""),"--")</f>
        <v>--</v>
      </c>
      <c r="AC565" s="251" t="str">
        <f>IFERROR(__xludf.DUMMYFUNCTION("""COMPUTED_VALUE"""),"--")</f>
        <v>--</v>
      </c>
      <c r="AD565" s="251">
        <f>IFERROR(__xludf.DUMMYFUNCTION("""COMPUTED_VALUE"""),3.0)</f>
        <v>3</v>
      </c>
      <c r="AE565" s="251" t="str">
        <f>IFERROR(__xludf.DUMMYFUNCTION("""COMPUTED_VALUE"""),"Nullivore")</f>
        <v>Nullivore</v>
      </c>
    </row>
    <row r="566">
      <c r="A566" s="251" t="str">
        <f>IFERROR(__xludf.DUMMYFUNCTION("""COMPUTED_VALUE"""),"Kricketot")</f>
        <v>Kricketot</v>
      </c>
      <c r="B566" s="251" t="str">
        <f>IFERROR(__xludf.DUMMYFUNCTION("""COMPUTED_VALUE"""),"Bug")</f>
        <v>Bug</v>
      </c>
      <c r="C566" s="251" t="str">
        <f>IFERROR(__xludf.DUMMYFUNCTION("""COMPUTED_VALUE"""),"None")</f>
        <v>None</v>
      </c>
      <c r="D566" s="251">
        <f>IFERROR(__xludf.DUMMYFUNCTION("""COMPUTED_VALUE"""),4.0)</f>
        <v>4</v>
      </c>
      <c r="E566" s="251">
        <f>IFERROR(__xludf.DUMMYFUNCTION("""COMPUTED_VALUE"""),3.0)</f>
        <v>3</v>
      </c>
      <c r="F566" s="251">
        <f>IFERROR(__xludf.DUMMYFUNCTION("""COMPUTED_VALUE"""),4.0)</f>
        <v>4</v>
      </c>
      <c r="G566" s="251">
        <f>IFERROR(__xludf.DUMMYFUNCTION("""COMPUTED_VALUE"""),3.0)</f>
        <v>3</v>
      </c>
      <c r="H566" s="251">
        <f>IFERROR(__xludf.DUMMYFUNCTION("""COMPUTED_VALUE"""),4.0)</f>
        <v>4</v>
      </c>
      <c r="I566" s="251">
        <f>IFERROR(__xludf.DUMMYFUNCTION("""COMPUTED_VALUE"""),3.0)</f>
        <v>3</v>
      </c>
      <c r="J566" s="251">
        <f>IFERROR(__xludf.DUMMYFUNCTION("""COMPUTED_VALUE"""),1.0)</f>
        <v>1</v>
      </c>
      <c r="K566" s="251" t="str">
        <f>IFERROR(__xludf.DUMMYFUNCTION("""COMPUTED_VALUE"""),"Small")</f>
        <v>Small</v>
      </c>
      <c r="L566" s="251">
        <f>IFERROR(__xludf.DUMMYFUNCTION("""COMPUTED_VALUE"""),1.0)</f>
        <v>1</v>
      </c>
      <c r="M566" s="251" t="str">
        <f>IFERROR(__xludf.DUMMYFUNCTION("""COMPUTED_VALUE"""),"Forest")</f>
        <v>Forest</v>
      </c>
      <c r="N566" s="251" t="str">
        <f>IFERROR(__xludf.DUMMYFUNCTION("""COMPUTED_VALUE"""),"Jumper")</f>
        <v>Jumper</v>
      </c>
      <c r="O566" s="251" t="str">
        <f>IFERROR(__xludf.DUMMYFUNCTION("""COMPUTED_VALUE"""),"Slow")</f>
        <v>Slow</v>
      </c>
      <c r="P566" s="251" t="str">
        <f>IFERROR(__xludf.DUMMYFUNCTION("""COMPUTED_VALUE"""),"--")</f>
        <v>--</v>
      </c>
      <c r="Q566" s="251" t="str">
        <f>IFERROR(__xludf.DUMMYFUNCTION("""COMPUTED_VALUE"""),"--")</f>
        <v>--</v>
      </c>
      <c r="R566" s="251" t="str">
        <f>IFERROR(__xludf.DUMMYFUNCTION("""COMPUTED_VALUE"""),"Underdog")</f>
        <v>Underdog</v>
      </c>
      <c r="S566" s="251" t="str">
        <f>IFERROR(__xludf.DUMMYFUNCTION("""COMPUTED_VALUE"""),"--")</f>
        <v>--</v>
      </c>
      <c r="T566" s="251" t="str">
        <f>IFERROR(__xludf.DUMMYFUNCTION("""COMPUTED_VALUE"""),"--")</f>
        <v>--</v>
      </c>
      <c r="U566" s="251" t="str">
        <f>IFERROR(__xludf.DUMMYFUNCTION("""COMPUTED_VALUE"""),"--")</f>
        <v>--</v>
      </c>
      <c r="V566" s="251" t="str">
        <f>IFERROR(__xludf.DUMMYFUNCTION("""COMPUTED_VALUE"""),"--")</f>
        <v>--</v>
      </c>
      <c r="W566" s="251" t="str">
        <f>IFERROR(__xludf.DUMMYFUNCTION("""COMPUTED_VALUE"""),"--")</f>
        <v>--</v>
      </c>
      <c r="X566" s="251" t="str">
        <f>IFERROR(__xludf.DUMMYFUNCTION("""COMPUTED_VALUE"""),"--")</f>
        <v>--</v>
      </c>
      <c r="Y566" s="251" t="str">
        <f>IFERROR(__xludf.DUMMYFUNCTION("""COMPUTED_VALUE"""),"--")</f>
        <v>--</v>
      </c>
      <c r="Z566" s="251" t="str">
        <f>IFERROR(__xludf.DUMMYFUNCTION("""COMPUTED_VALUE"""),"--")</f>
        <v>--</v>
      </c>
      <c r="AA566" s="251" t="str">
        <f>IFERROR(__xludf.DUMMYFUNCTION("""COMPUTED_VALUE"""),"--")</f>
        <v>--</v>
      </c>
      <c r="AB566" s="251" t="str">
        <f>IFERROR(__xludf.DUMMYFUNCTION("""COMPUTED_VALUE"""),"--")</f>
        <v>--</v>
      </c>
      <c r="AC566" s="251" t="str">
        <f>IFERROR(__xludf.DUMMYFUNCTION("""COMPUTED_VALUE"""),"--")</f>
        <v>--</v>
      </c>
      <c r="AD566" s="251">
        <f>IFERROR(__xludf.DUMMYFUNCTION("""COMPUTED_VALUE"""),2.0)</f>
        <v>2</v>
      </c>
      <c r="AE566" s="251" t="str">
        <f>IFERROR(__xludf.DUMMYFUNCTION("""COMPUTED_VALUE"""),"Herbivore")</f>
        <v>Herbivore</v>
      </c>
    </row>
    <row r="567">
      <c r="A567" s="251" t="str">
        <f>IFERROR(__xludf.DUMMYFUNCTION("""COMPUTED_VALUE"""),"Kricketune")</f>
        <v>Kricketune</v>
      </c>
      <c r="B567" s="251" t="str">
        <f>IFERROR(__xludf.DUMMYFUNCTION("""COMPUTED_VALUE"""),"Bug")</f>
        <v>Bug</v>
      </c>
      <c r="C567" s="251" t="str">
        <f>IFERROR(__xludf.DUMMYFUNCTION("""COMPUTED_VALUE"""),"None")</f>
        <v>None</v>
      </c>
      <c r="D567" s="251">
        <f>IFERROR(__xludf.DUMMYFUNCTION("""COMPUTED_VALUE"""),8.0)</f>
        <v>8</v>
      </c>
      <c r="E567" s="251">
        <f>IFERROR(__xludf.DUMMYFUNCTION("""COMPUTED_VALUE"""),9.0)</f>
        <v>9</v>
      </c>
      <c r="F567" s="251">
        <f>IFERROR(__xludf.DUMMYFUNCTION("""COMPUTED_VALUE"""),5.0)</f>
        <v>5</v>
      </c>
      <c r="G567" s="251">
        <f>IFERROR(__xludf.DUMMYFUNCTION("""COMPUTED_VALUE"""),6.0)</f>
        <v>6</v>
      </c>
      <c r="H567" s="251">
        <f>IFERROR(__xludf.DUMMYFUNCTION("""COMPUTED_VALUE"""),5.0)</f>
        <v>5</v>
      </c>
      <c r="I567" s="251">
        <f>IFERROR(__xludf.DUMMYFUNCTION("""COMPUTED_VALUE"""),7.0)</f>
        <v>7</v>
      </c>
      <c r="J567" s="251">
        <f>IFERROR(__xludf.DUMMYFUNCTION("""COMPUTED_VALUE"""),2.0)</f>
        <v>2</v>
      </c>
      <c r="K567" s="251" t="str">
        <f>IFERROR(__xludf.DUMMYFUNCTION("""COMPUTED_VALUE"""),"Medium")</f>
        <v>Medium</v>
      </c>
      <c r="L567" s="251">
        <f>IFERROR(__xludf.DUMMYFUNCTION("""COMPUTED_VALUE"""),3.0)</f>
        <v>3</v>
      </c>
      <c r="M567" s="251" t="str">
        <f>IFERROR(__xludf.DUMMYFUNCTION("""COMPUTED_VALUE"""),"Forest")</f>
        <v>Forest</v>
      </c>
      <c r="N567" s="251" t="str">
        <f>IFERROR(__xludf.DUMMYFUNCTION("""COMPUTED_VALUE"""),"Flier")</f>
        <v>Flier</v>
      </c>
      <c r="O567" s="251" t="str">
        <f>IFERROR(__xludf.DUMMYFUNCTION("""COMPUTED_VALUE"""),"Jumper")</f>
        <v>Jumper</v>
      </c>
      <c r="P567" s="251" t="str">
        <f>IFERROR(__xludf.DUMMYFUNCTION("""COMPUTED_VALUE"""),"Quick")</f>
        <v>Quick</v>
      </c>
      <c r="Q567" s="251" t="str">
        <f>IFERROR(__xludf.DUMMYFUNCTION("""COMPUTED_VALUE"""),"--")</f>
        <v>--</v>
      </c>
      <c r="R567" s="251" t="str">
        <f>IFERROR(__xludf.DUMMYFUNCTION("""COMPUTED_VALUE"""),"Underdog")</f>
        <v>Underdog</v>
      </c>
      <c r="S567" s="251" t="str">
        <f>IFERROR(__xludf.DUMMYFUNCTION("""COMPUTED_VALUE"""),"--")</f>
        <v>--</v>
      </c>
      <c r="T567" s="251" t="str">
        <f>IFERROR(__xludf.DUMMYFUNCTION("""COMPUTED_VALUE"""),"--")</f>
        <v>--</v>
      </c>
      <c r="U567" s="251" t="str">
        <f>IFERROR(__xludf.DUMMYFUNCTION("""COMPUTED_VALUE"""),"--")</f>
        <v>--</v>
      </c>
      <c r="V567" s="251" t="str">
        <f>IFERROR(__xludf.DUMMYFUNCTION("""COMPUTED_VALUE"""),"Alluring")</f>
        <v>Alluring</v>
      </c>
      <c r="W567" s="251" t="str">
        <f>IFERROR(__xludf.DUMMYFUNCTION("""COMPUTED_VALUE"""),"Repulsive")</f>
        <v>Repulsive</v>
      </c>
      <c r="X567" s="251" t="str">
        <f>IFERROR(__xludf.DUMMYFUNCTION("""COMPUTED_VALUE"""),"--")</f>
        <v>--</v>
      </c>
      <c r="Y567" s="251" t="str">
        <f>IFERROR(__xludf.DUMMYFUNCTION("""COMPUTED_VALUE"""),"--")</f>
        <v>--</v>
      </c>
      <c r="Z567" s="251" t="str">
        <f>IFERROR(__xludf.DUMMYFUNCTION("""COMPUTED_VALUE"""),"--")</f>
        <v>--</v>
      </c>
      <c r="AA567" s="251" t="str">
        <f>IFERROR(__xludf.DUMMYFUNCTION("""COMPUTED_VALUE"""),"--")</f>
        <v>--</v>
      </c>
      <c r="AB567" s="251" t="str">
        <f>IFERROR(__xludf.DUMMYFUNCTION("""COMPUTED_VALUE"""),"--")</f>
        <v>--</v>
      </c>
      <c r="AC567" s="251" t="str">
        <f>IFERROR(__xludf.DUMMYFUNCTION("""COMPUTED_VALUE"""),"--")</f>
        <v>--</v>
      </c>
      <c r="AD567" s="251">
        <f>IFERROR(__xludf.DUMMYFUNCTION("""COMPUTED_VALUE"""),3.0)</f>
        <v>3</v>
      </c>
      <c r="AE567" s="251" t="str">
        <f>IFERROR(__xludf.DUMMYFUNCTION("""COMPUTED_VALUE"""),"Herbivore")</f>
        <v>Herbivore</v>
      </c>
    </row>
    <row r="568">
      <c r="A568" s="251" t="str">
        <f>IFERROR(__xludf.DUMMYFUNCTION("""COMPUTED_VALUE"""),"Burmy")</f>
        <v>Burmy</v>
      </c>
      <c r="B568" s="251" t="str">
        <f>IFERROR(__xludf.DUMMYFUNCTION("""COMPUTED_VALUE"""),"Bug")</f>
        <v>Bug</v>
      </c>
      <c r="C568" s="251" t="str">
        <f>IFERROR(__xludf.DUMMYFUNCTION("""COMPUTED_VALUE"""),"None")</f>
        <v>None</v>
      </c>
      <c r="D568" s="251">
        <f>IFERROR(__xludf.DUMMYFUNCTION("""COMPUTED_VALUE"""),6.0)</f>
        <v>6</v>
      </c>
      <c r="E568" s="251">
        <f>IFERROR(__xludf.DUMMYFUNCTION("""COMPUTED_VALUE"""),3.0)</f>
        <v>3</v>
      </c>
      <c r="F568" s="251">
        <f>IFERROR(__xludf.DUMMYFUNCTION("""COMPUTED_VALUE"""),7.0)</f>
        <v>7</v>
      </c>
      <c r="G568" s="251">
        <f>IFERROR(__xludf.DUMMYFUNCTION("""COMPUTED_VALUE"""),3.0)</f>
        <v>3</v>
      </c>
      <c r="H568" s="251">
        <f>IFERROR(__xludf.DUMMYFUNCTION("""COMPUTED_VALUE"""),7.0)</f>
        <v>7</v>
      </c>
      <c r="I568" s="251">
        <f>IFERROR(__xludf.DUMMYFUNCTION("""COMPUTED_VALUE"""),4.0)</f>
        <v>4</v>
      </c>
      <c r="J568" s="251">
        <f>IFERROR(__xludf.DUMMYFUNCTION("""COMPUTED_VALUE"""),1.0)</f>
        <v>1</v>
      </c>
      <c r="K568" s="251" t="str">
        <f>IFERROR(__xludf.DUMMYFUNCTION("""COMPUTED_VALUE"""),"Small")</f>
        <v>Small</v>
      </c>
      <c r="L568" s="251">
        <f>IFERROR(__xludf.DUMMYFUNCTION("""COMPUTED_VALUE"""),1.0)</f>
        <v>1</v>
      </c>
      <c r="M568" s="251" t="str">
        <f>IFERROR(__xludf.DUMMYFUNCTION("""COMPUTED_VALUE"""),"Desert, Forest, Urban")</f>
        <v>Desert, Forest, Urban</v>
      </c>
      <c r="N568" s="251" t="str">
        <f>IFERROR(__xludf.DUMMYFUNCTION("""COMPUTED_VALUE"""),"Climber")</f>
        <v>Climber</v>
      </c>
      <c r="O568" s="251" t="str">
        <f>IFERROR(__xludf.DUMMYFUNCTION("""COMPUTED_VALUE"""),"Slow")</f>
        <v>Slow</v>
      </c>
      <c r="P568" s="251" t="str">
        <f>IFERROR(__xludf.DUMMYFUNCTION("""COMPUTED_VALUE"""),"--")</f>
        <v>--</v>
      </c>
      <c r="Q568" s="251" t="str">
        <f>IFERROR(__xludf.DUMMYFUNCTION("""COMPUTED_VALUE"""),"--")</f>
        <v>--</v>
      </c>
      <c r="R568" s="251" t="str">
        <f>IFERROR(__xludf.DUMMYFUNCTION("""COMPUTED_VALUE"""),"Threaded")</f>
        <v>Threaded</v>
      </c>
      <c r="S568" s="251" t="str">
        <f>IFERROR(__xludf.DUMMYFUNCTION("""COMPUTED_VALUE"""),"Underdog")</f>
        <v>Underdog</v>
      </c>
      <c r="T568" s="251" t="str">
        <f>IFERROR(__xludf.DUMMYFUNCTION("""COMPUTED_VALUE"""),"--")</f>
        <v>--</v>
      </c>
      <c r="U568" s="251" t="str">
        <f>IFERROR(__xludf.DUMMYFUNCTION("""COMPUTED_VALUE"""),"--")</f>
        <v>--</v>
      </c>
      <c r="V568" s="251" t="str">
        <f>IFERROR(__xludf.DUMMYFUNCTION("""COMPUTED_VALUE"""),"--")</f>
        <v>--</v>
      </c>
      <c r="W568" s="251" t="str">
        <f>IFERROR(__xludf.DUMMYFUNCTION("""COMPUTED_VALUE"""),"--")</f>
        <v>--</v>
      </c>
      <c r="X568" s="251" t="str">
        <f>IFERROR(__xludf.DUMMYFUNCTION("""COMPUTED_VALUE"""),"--")</f>
        <v>--</v>
      </c>
      <c r="Y568" s="251" t="str">
        <f>IFERROR(__xludf.DUMMYFUNCTION("""COMPUTED_VALUE"""),"--")</f>
        <v>--</v>
      </c>
      <c r="Z568" s="251" t="str">
        <f>IFERROR(__xludf.DUMMYFUNCTION("""COMPUTED_VALUE"""),"--")</f>
        <v>--</v>
      </c>
      <c r="AA568" s="251" t="str">
        <f>IFERROR(__xludf.DUMMYFUNCTION("""COMPUTED_VALUE"""),"--")</f>
        <v>--</v>
      </c>
      <c r="AB568" s="251" t="str">
        <f>IFERROR(__xludf.DUMMYFUNCTION("""COMPUTED_VALUE"""),"--")</f>
        <v>--</v>
      </c>
      <c r="AC568" s="251" t="str">
        <f>IFERROR(__xludf.DUMMYFUNCTION("""COMPUTED_VALUE"""),"--")</f>
        <v>--</v>
      </c>
      <c r="AD568" s="251">
        <f>IFERROR(__xludf.DUMMYFUNCTION("""COMPUTED_VALUE"""),2.0)</f>
        <v>2</v>
      </c>
      <c r="AE568" s="251" t="str">
        <f>IFERROR(__xludf.DUMMYFUNCTION("""COMPUTED_VALUE"""),"Herbivore")</f>
        <v>Herbivore</v>
      </c>
    </row>
    <row r="569">
      <c r="A569" s="251" t="str">
        <f>IFERROR(__xludf.DUMMYFUNCTION("""COMPUTED_VALUE"""),"Wormadam Plant")</f>
        <v>Wormadam Plant</v>
      </c>
      <c r="B569" s="251" t="str">
        <f>IFERROR(__xludf.DUMMYFUNCTION("""COMPUTED_VALUE"""),"Bug")</f>
        <v>Bug</v>
      </c>
      <c r="C569" s="251" t="str">
        <f>IFERROR(__xludf.DUMMYFUNCTION("""COMPUTED_VALUE"""),"Grass")</f>
        <v>Grass</v>
      </c>
      <c r="D569" s="251">
        <f>IFERROR(__xludf.DUMMYFUNCTION("""COMPUTED_VALUE"""),6.0)</f>
        <v>6</v>
      </c>
      <c r="E569" s="251">
        <f>IFERROR(__xludf.DUMMYFUNCTION("""COMPUTED_VALUE"""),6.0)</f>
        <v>6</v>
      </c>
      <c r="F569" s="251">
        <f>IFERROR(__xludf.DUMMYFUNCTION("""COMPUTED_VALUE"""),9.0)</f>
        <v>9</v>
      </c>
      <c r="G569" s="251">
        <f>IFERROR(__xludf.DUMMYFUNCTION("""COMPUTED_VALUE"""),8.0)</f>
        <v>8</v>
      </c>
      <c r="H569" s="251">
        <f>IFERROR(__xludf.DUMMYFUNCTION("""COMPUTED_VALUE"""),11.0)</f>
        <v>11</v>
      </c>
      <c r="I569" s="251">
        <f>IFERROR(__xludf.DUMMYFUNCTION("""COMPUTED_VALUE"""),4.0)</f>
        <v>4</v>
      </c>
      <c r="J569" s="251">
        <f>IFERROR(__xludf.DUMMYFUNCTION("""COMPUTED_VALUE"""),2.0)</f>
        <v>2</v>
      </c>
      <c r="K569" s="251" t="str">
        <f>IFERROR(__xludf.DUMMYFUNCTION("""COMPUTED_VALUE"""),"Small")</f>
        <v>Small</v>
      </c>
      <c r="L569" s="251">
        <f>IFERROR(__xludf.DUMMYFUNCTION("""COMPUTED_VALUE"""),1.0)</f>
        <v>1</v>
      </c>
      <c r="M569" s="251" t="str">
        <f>IFERROR(__xludf.DUMMYFUNCTION("""COMPUTED_VALUE"""),"Forest, Grasslands")</f>
        <v>Forest, Grasslands</v>
      </c>
      <c r="N569" s="251" t="str">
        <f>IFERROR(__xludf.DUMMYFUNCTION("""COMPUTED_VALUE"""),"--")</f>
        <v>--</v>
      </c>
      <c r="O569" s="251" t="str">
        <f>IFERROR(__xludf.DUMMYFUNCTION("""COMPUTED_VALUE"""),"--")</f>
        <v>--</v>
      </c>
      <c r="P569" s="251" t="str">
        <f>IFERROR(__xludf.DUMMYFUNCTION("""COMPUTED_VALUE"""),"--")</f>
        <v>--</v>
      </c>
      <c r="Q569" s="251" t="str">
        <f>IFERROR(__xludf.DUMMYFUNCTION("""COMPUTED_VALUE"""),"--")</f>
        <v>--</v>
      </c>
      <c r="R569" s="251" t="str">
        <f>IFERROR(__xludf.DUMMYFUNCTION("""COMPUTED_VALUE"""),"Threaded")</f>
        <v>Threaded</v>
      </c>
      <c r="S569" s="251" t="str">
        <f>IFERROR(__xludf.DUMMYFUNCTION("""COMPUTED_VALUE"""),"Underdog")</f>
        <v>Underdog</v>
      </c>
      <c r="T569" s="251" t="str">
        <f>IFERROR(__xludf.DUMMYFUNCTION("""COMPUTED_VALUE"""),"--")</f>
        <v>--</v>
      </c>
      <c r="U569" s="251" t="str">
        <f>IFERROR(__xludf.DUMMYFUNCTION("""COMPUTED_VALUE"""),"--")</f>
        <v>--</v>
      </c>
      <c r="V569" s="251" t="str">
        <f>IFERROR(__xludf.DUMMYFUNCTION("""COMPUTED_VALUE"""),"--")</f>
        <v>--</v>
      </c>
      <c r="W569" s="251" t="str">
        <f>IFERROR(__xludf.DUMMYFUNCTION("""COMPUTED_VALUE"""),"--")</f>
        <v>--</v>
      </c>
      <c r="X569" s="251" t="str">
        <f>IFERROR(__xludf.DUMMYFUNCTION("""COMPUTED_VALUE"""),"--")</f>
        <v>--</v>
      </c>
      <c r="Y569" s="251" t="str">
        <f>IFERROR(__xludf.DUMMYFUNCTION("""COMPUTED_VALUE"""),"--")</f>
        <v>--</v>
      </c>
      <c r="Z569" s="251" t="str">
        <f>IFERROR(__xludf.DUMMYFUNCTION("""COMPUTED_VALUE"""),"--")</f>
        <v>--</v>
      </c>
      <c r="AA569" s="251" t="str">
        <f>IFERROR(__xludf.DUMMYFUNCTION("""COMPUTED_VALUE"""),"--")</f>
        <v>--</v>
      </c>
      <c r="AB569" s="251" t="str">
        <f>IFERROR(__xludf.DUMMYFUNCTION("""COMPUTED_VALUE"""),"--")</f>
        <v>--</v>
      </c>
      <c r="AC569" s="251" t="str">
        <f>IFERROR(__xludf.DUMMYFUNCTION("""COMPUTED_VALUE"""),"--")</f>
        <v>--</v>
      </c>
      <c r="AD569" s="251">
        <f>IFERROR(__xludf.DUMMYFUNCTION("""COMPUTED_VALUE"""),3.0)</f>
        <v>3</v>
      </c>
      <c r="AE569" s="251" t="str">
        <f>IFERROR(__xludf.DUMMYFUNCTION("""COMPUTED_VALUE"""),"Herbivore")</f>
        <v>Herbivore</v>
      </c>
    </row>
    <row r="570">
      <c r="A570" s="251" t="str">
        <f>IFERROR(__xludf.DUMMYFUNCTION("""COMPUTED_VALUE"""),"Wormadam Sandy")</f>
        <v>Wormadam Sandy</v>
      </c>
      <c r="B570" s="251" t="str">
        <f>IFERROR(__xludf.DUMMYFUNCTION("""COMPUTED_VALUE"""),"Bug")</f>
        <v>Bug</v>
      </c>
      <c r="C570" s="251" t="str">
        <f>IFERROR(__xludf.DUMMYFUNCTION("""COMPUTED_VALUE"""),"Ground")</f>
        <v>Ground</v>
      </c>
      <c r="D570" s="251">
        <f>IFERROR(__xludf.DUMMYFUNCTION("""COMPUTED_VALUE"""),6.0)</f>
        <v>6</v>
      </c>
      <c r="E570" s="251">
        <f>IFERROR(__xludf.DUMMYFUNCTION("""COMPUTED_VALUE"""),8.0)</f>
        <v>8</v>
      </c>
      <c r="F570" s="251">
        <f>IFERROR(__xludf.DUMMYFUNCTION("""COMPUTED_VALUE"""),11.0)</f>
        <v>11</v>
      </c>
      <c r="G570" s="251">
        <f>IFERROR(__xludf.DUMMYFUNCTION("""COMPUTED_VALUE"""),6.0)</f>
        <v>6</v>
      </c>
      <c r="H570" s="251">
        <f>IFERROR(__xludf.DUMMYFUNCTION("""COMPUTED_VALUE"""),9.0)</f>
        <v>9</v>
      </c>
      <c r="I570" s="251">
        <f>IFERROR(__xludf.DUMMYFUNCTION("""COMPUTED_VALUE"""),4.0)</f>
        <v>4</v>
      </c>
      <c r="J570" s="251">
        <f>IFERROR(__xludf.DUMMYFUNCTION("""COMPUTED_VALUE"""),2.0)</f>
        <v>2</v>
      </c>
      <c r="K570" s="251" t="str">
        <f>IFERROR(__xludf.DUMMYFUNCTION("""COMPUTED_VALUE"""),"Small")</f>
        <v>Small</v>
      </c>
      <c r="L570" s="251">
        <f>IFERROR(__xludf.DUMMYFUNCTION("""COMPUTED_VALUE"""),1.0)</f>
        <v>1</v>
      </c>
      <c r="M570" s="251" t="str">
        <f>IFERROR(__xludf.DUMMYFUNCTION("""COMPUTED_VALUE"""),"Cave, Desert, Mountain")</f>
        <v>Cave, Desert, Mountain</v>
      </c>
      <c r="N570" s="251" t="str">
        <f>IFERROR(__xludf.DUMMYFUNCTION("""COMPUTED_VALUE"""),"--")</f>
        <v>--</v>
      </c>
      <c r="O570" s="251" t="str">
        <f>IFERROR(__xludf.DUMMYFUNCTION("""COMPUTED_VALUE"""),"--")</f>
        <v>--</v>
      </c>
      <c r="P570" s="251" t="str">
        <f>IFERROR(__xludf.DUMMYFUNCTION("""COMPUTED_VALUE"""),"--")</f>
        <v>--</v>
      </c>
      <c r="Q570" s="251" t="str">
        <f>IFERROR(__xludf.DUMMYFUNCTION("""COMPUTED_VALUE"""),"--")</f>
        <v>--</v>
      </c>
      <c r="R570" s="251" t="str">
        <f>IFERROR(__xludf.DUMMYFUNCTION("""COMPUTED_VALUE"""),"Threaded")</f>
        <v>Threaded</v>
      </c>
      <c r="S570" s="251" t="str">
        <f>IFERROR(__xludf.DUMMYFUNCTION("""COMPUTED_VALUE"""),"Underdog")</f>
        <v>Underdog</v>
      </c>
      <c r="T570" s="251" t="str">
        <f>IFERROR(__xludf.DUMMYFUNCTION("""COMPUTED_VALUE"""),"--")</f>
        <v>--</v>
      </c>
      <c r="U570" s="251" t="str">
        <f>IFERROR(__xludf.DUMMYFUNCTION("""COMPUTED_VALUE"""),"--")</f>
        <v>--</v>
      </c>
      <c r="V570" s="251" t="str">
        <f>IFERROR(__xludf.DUMMYFUNCTION("""COMPUTED_VALUE"""),"--")</f>
        <v>--</v>
      </c>
      <c r="W570" s="251" t="str">
        <f>IFERROR(__xludf.DUMMYFUNCTION("""COMPUTED_VALUE"""),"--")</f>
        <v>--</v>
      </c>
      <c r="X570" s="251" t="str">
        <f>IFERROR(__xludf.DUMMYFUNCTION("""COMPUTED_VALUE"""),"--")</f>
        <v>--</v>
      </c>
      <c r="Y570" s="251" t="str">
        <f>IFERROR(__xludf.DUMMYFUNCTION("""COMPUTED_VALUE"""),"--")</f>
        <v>--</v>
      </c>
      <c r="Z570" s="251" t="str">
        <f>IFERROR(__xludf.DUMMYFUNCTION("""COMPUTED_VALUE"""),"--")</f>
        <v>--</v>
      </c>
      <c r="AA570" s="251" t="str">
        <f>IFERROR(__xludf.DUMMYFUNCTION("""COMPUTED_VALUE"""),"--")</f>
        <v>--</v>
      </c>
      <c r="AB570" s="251" t="str">
        <f>IFERROR(__xludf.DUMMYFUNCTION("""COMPUTED_VALUE"""),"--")</f>
        <v>--</v>
      </c>
      <c r="AC570" s="251" t="str">
        <f>IFERROR(__xludf.DUMMYFUNCTION("""COMPUTED_VALUE"""),"--")</f>
        <v>--</v>
      </c>
      <c r="AD570" s="251">
        <f>IFERROR(__xludf.DUMMYFUNCTION("""COMPUTED_VALUE"""),3.0)</f>
        <v>3</v>
      </c>
      <c r="AE570" s="251" t="str">
        <f>IFERROR(__xludf.DUMMYFUNCTION("""COMPUTED_VALUE"""),"Herbivore")</f>
        <v>Herbivore</v>
      </c>
    </row>
    <row r="571">
      <c r="A571" s="251" t="str">
        <f>IFERROR(__xludf.DUMMYFUNCTION("""COMPUTED_VALUE"""),"Wormadam Trash")</f>
        <v>Wormadam Trash</v>
      </c>
      <c r="B571" s="251" t="str">
        <f>IFERROR(__xludf.DUMMYFUNCTION("""COMPUTED_VALUE"""),"Bug")</f>
        <v>Bug</v>
      </c>
      <c r="C571" s="251" t="str">
        <f>IFERROR(__xludf.DUMMYFUNCTION("""COMPUTED_VALUE"""),"Steel")</f>
        <v>Steel</v>
      </c>
      <c r="D571" s="251">
        <f>IFERROR(__xludf.DUMMYFUNCTION("""COMPUTED_VALUE"""),6.0)</f>
        <v>6</v>
      </c>
      <c r="E571" s="251">
        <f>IFERROR(__xludf.DUMMYFUNCTION("""COMPUTED_VALUE"""),7.0)</f>
        <v>7</v>
      </c>
      <c r="F571" s="251">
        <f>IFERROR(__xludf.DUMMYFUNCTION("""COMPUTED_VALUE"""),10.0)</f>
        <v>10</v>
      </c>
      <c r="G571" s="251">
        <f>IFERROR(__xludf.DUMMYFUNCTION("""COMPUTED_VALUE"""),7.0)</f>
        <v>7</v>
      </c>
      <c r="H571" s="251">
        <f>IFERROR(__xludf.DUMMYFUNCTION("""COMPUTED_VALUE"""),10.0)</f>
        <v>10</v>
      </c>
      <c r="I571" s="251">
        <f>IFERROR(__xludf.DUMMYFUNCTION("""COMPUTED_VALUE"""),4.0)</f>
        <v>4</v>
      </c>
      <c r="J571" s="251">
        <f>IFERROR(__xludf.DUMMYFUNCTION("""COMPUTED_VALUE"""),2.0)</f>
        <v>2</v>
      </c>
      <c r="K571" s="251" t="str">
        <f>IFERROR(__xludf.DUMMYFUNCTION("""COMPUTED_VALUE"""),"Small")</f>
        <v>Small</v>
      </c>
      <c r="L571" s="251">
        <f>IFERROR(__xludf.DUMMYFUNCTION("""COMPUTED_VALUE"""),1.0)</f>
        <v>1</v>
      </c>
      <c r="M571" s="251" t="str">
        <f>IFERROR(__xludf.DUMMYFUNCTION("""COMPUTED_VALUE"""),"Urban")</f>
        <v>Urban</v>
      </c>
      <c r="N571" s="251" t="str">
        <f>IFERROR(__xludf.DUMMYFUNCTION("""COMPUTED_VALUE"""),"--")</f>
        <v>--</v>
      </c>
      <c r="O571" s="251" t="str">
        <f>IFERROR(__xludf.DUMMYFUNCTION("""COMPUTED_VALUE"""),"--")</f>
        <v>--</v>
      </c>
      <c r="P571" s="251" t="str">
        <f>IFERROR(__xludf.DUMMYFUNCTION("""COMPUTED_VALUE"""),"--")</f>
        <v>--</v>
      </c>
      <c r="Q571" s="251" t="str">
        <f>IFERROR(__xludf.DUMMYFUNCTION("""COMPUTED_VALUE"""),"--")</f>
        <v>--</v>
      </c>
      <c r="R571" s="251" t="str">
        <f>IFERROR(__xludf.DUMMYFUNCTION("""COMPUTED_VALUE"""),"Threaded")</f>
        <v>Threaded</v>
      </c>
      <c r="S571" s="251" t="str">
        <f>IFERROR(__xludf.DUMMYFUNCTION("""COMPUTED_VALUE"""),"Underdog")</f>
        <v>Underdog</v>
      </c>
      <c r="T571" s="251" t="str">
        <f>IFERROR(__xludf.DUMMYFUNCTION("""COMPUTED_VALUE"""),"--")</f>
        <v>--</v>
      </c>
      <c r="U571" s="251" t="str">
        <f>IFERROR(__xludf.DUMMYFUNCTION("""COMPUTED_VALUE"""),"--")</f>
        <v>--</v>
      </c>
      <c r="V571" s="251" t="str">
        <f>IFERROR(__xludf.DUMMYFUNCTION("""COMPUTED_VALUE"""),"--")</f>
        <v>--</v>
      </c>
      <c r="W571" s="251" t="str">
        <f>IFERROR(__xludf.DUMMYFUNCTION("""COMPUTED_VALUE"""),"--")</f>
        <v>--</v>
      </c>
      <c r="X571" s="251" t="str">
        <f>IFERROR(__xludf.DUMMYFUNCTION("""COMPUTED_VALUE"""),"--")</f>
        <v>--</v>
      </c>
      <c r="Y571" s="251" t="str">
        <f>IFERROR(__xludf.DUMMYFUNCTION("""COMPUTED_VALUE"""),"--")</f>
        <v>--</v>
      </c>
      <c r="Z571" s="251" t="str">
        <f>IFERROR(__xludf.DUMMYFUNCTION("""COMPUTED_VALUE"""),"--")</f>
        <v>--</v>
      </c>
      <c r="AA571" s="251" t="str">
        <f>IFERROR(__xludf.DUMMYFUNCTION("""COMPUTED_VALUE"""),"--")</f>
        <v>--</v>
      </c>
      <c r="AB571" s="251" t="str">
        <f>IFERROR(__xludf.DUMMYFUNCTION("""COMPUTED_VALUE"""),"--")</f>
        <v>--</v>
      </c>
      <c r="AC571" s="251" t="str">
        <f>IFERROR(__xludf.DUMMYFUNCTION("""COMPUTED_VALUE"""),"--")</f>
        <v>--</v>
      </c>
      <c r="AD571" s="251">
        <f>IFERROR(__xludf.DUMMYFUNCTION("""COMPUTED_VALUE"""),3.0)</f>
        <v>3</v>
      </c>
      <c r="AE571" s="251" t="str">
        <f>IFERROR(__xludf.DUMMYFUNCTION("""COMPUTED_VALUE"""),"Herbivore")</f>
        <v>Herbivore</v>
      </c>
    </row>
    <row r="572">
      <c r="A572" s="251" t="str">
        <f>IFERROR(__xludf.DUMMYFUNCTION("""COMPUTED_VALUE"""),"Mothim")</f>
        <v>Mothim</v>
      </c>
      <c r="B572" s="251" t="str">
        <f>IFERROR(__xludf.DUMMYFUNCTION("""COMPUTED_VALUE"""),"Bug")</f>
        <v>Bug</v>
      </c>
      <c r="C572" s="251" t="str">
        <f>IFERROR(__xludf.DUMMYFUNCTION("""COMPUTED_VALUE"""),"Flying")</f>
        <v>Flying</v>
      </c>
      <c r="D572" s="251">
        <f>IFERROR(__xludf.DUMMYFUNCTION("""COMPUTED_VALUE"""),7.0)</f>
        <v>7</v>
      </c>
      <c r="E572" s="251">
        <f>IFERROR(__xludf.DUMMYFUNCTION("""COMPUTED_VALUE"""),9.0)</f>
        <v>9</v>
      </c>
      <c r="F572" s="251">
        <f>IFERROR(__xludf.DUMMYFUNCTION("""COMPUTED_VALUE"""),5.0)</f>
        <v>5</v>
      </c>
      <c r="G572" s="251">
        <f>IFERROR(__xludf.DUMMYFUNCTION("""COMPUTED_VALUE"""),9.0)</f>
        <v>9</v>
      </c>
      <c r="H572" s="251">
        <f>IFERROR(__xludf.DUMMYFUNCTION("""COMPUTED_VALUE"""),5.0)</f>
        <v>5</v>
      </c>
      <c r="I572" s="251">
        <f>IFERROR(__xludf.DUMMYFUNCTION("""COMPUTED_VALUE"""),7.0)</f>
        <v>7</v>
      </c>
      <c r="J572" s="251">
        <f>IFERROR(__xludf.DUMMYFUNCTION("""COMPUTED_VALUE"""),2.0)</f>
        <v>2</v>
      </c>
      <c r="K572" s="251" t="str">
        <f>IFERROR(__xludf.DUMMYFUNCTION("""COMPUTED_VALUE"""),"Small")</f>
        <v>Small</v>
      </c>
      <c r="L572" s="251">
        <f>IFERROR(__xludf.DUMMYFUNCTION("""COMPUTED_VALUE"""),2.0)</f>
        <v>2</v>
      </c>
      <c r="M572" s="251" t="str">
        <f>IFERROR(__xludf.DUMMYFUNCTION("""COMPUTED_VALUE"""),"Forest, Grasslands")</f>
        <v>Forest, Grasslands</v>
      </c>
      <c r="N572" s="251" t="str">
        <f>IFERROR(__xludf.DUMMYFUNCTION("""COMPUTED_VALUE"""),"Flier")</f>
        <v>Flier</v>
      </c>
      <c r="O572" s="251" t="str">
        <f>IFERROR(__xludf.DUMMYFUNCTION("""COMPUTED_VALUE"""),"--")</f>
        <v>--</v>
      </c>
      <c r="P572" s="251" t="str">
        <f>IFERROR(__xludf.DUMMYFUNCTION("""COMPUTED_VALUE"""),"--")</f>
        <v>--</v>
      </c>
      <c r="Q572" s="251" t="str">
        <f>IFERROR(__xludf.DUMMYFUNCTION("""COMPUTED_VALUE"""),"--")</f>
        <v>--</v>
      </c>
      <c r="R572" s="251" t="str">
        <f>IFERROR(__xludf.DUMMYFUNCTION("""COMPUTED_VALUE"""),"Threaded")</f>
        <v>Threaded</v>
      </c>
      <c r="S572" s="251" t="str">
        <f>IFERROR(__xludf.DUMMYFUNCTION("""COMPUTED_VALUE"""),"Underdog")</f>
        <v>Underdog</v>
      </c>
      <c r="T572" s="251" t="str">
        <f>IFERROR(__xludf.DUMMYFUNCTION("""COMPUTED_VALUE"""),"--")</f>
        <v>--</v>
      </c>
      <c r="U572" s="251" t="str">
        <f>IFERROR(__xludf.DUMMYFUNCTION("""COMPUTED_VALUE"""),"--")</f>
        <v>--</v>
      </c>
      <c r="V572" s="251" t="str">
        <f>IFERROR(__xludf.DUMMYFUNCTION("""COMPUTED_VALUE"""),"--")</f>
        <v>--</v>
      </c>
      <c r="W572" s="251" t="str">
        <f>IFERROR(__xludf.DUMMYFUNCTION("""COMPUTED_VALUE"""),"--")</f>
        <v>--</v>
      </c>
      <c r="X572" s="251" t="str">
        <f>IFERROR(__xludf.DUMMYFUNCTION("""COMPUTED_VALUE"""),"--")</f>
        <v>--</v>
      </c>
      <c r="Y572" s="251" t="str">
        <f>IFERROR(__xludf.DUMMYFUNCTION("""COMPUTED_VALUE"""),"--")</f>
        <v>--</v>
      </c>
      <c r="Z572" s="251" t="str">
        <f>IFERROR(__xludf.DUMMYFUNCTION("""COMPUTED_VALUE"""),"--")</f>
        <v>--</v>
      </c>
      <c r="AA572" s="251" t="str">
        <f>IFERROR(__xludf.DUMMYFUNCTION("""COMPUTED_VALUE"""),"--")</f>
        <v>--</v>
      </c>
      <c r="AB572" s="251" t="str">
        <f>IFERROR(__xludf.DUMMYFUNCTION("""COMPUTED_VALUE"""),"--")</f>
        <v>--</v>
      </c>
      <c r="AC572" s="251" t="str">
        <f>IFERROR(__xludf.DUMMYFUNCTION("""COMPUTED_VALUE"""),"--")</f>
        <v>--</v>
      </c>
      <c r="AD572" s="251">
        <f>IFERROR(__xludf.DUMMYFUNCTION("""COMPUTED_VALUE"""),3.0)</f>
        <v>3</v>
      </c>
      <c r="AE572" s="251" t="str">
        <f>IFERROR(__xludf.DUMMYFUNCTION("""COMPUTED_VALUE"""),"Herbivore")</f>
        <v>Herbivore</v>
      </c>
    </row>
    <row r="573">
      <c r="A573" s="251" t="str">
        <f>IFERROR(__xludf.DUMMYFUNCTION("""COMPUTED_VALUE"""),"Combee")</f>
        <v>Combee</v>
      </c>
      <c r="B573" s="251" t="str">
        <f>IFERROR(__xludf.DUMMYFUNCTION("""COMPUTED_VALUE"""),"Bug")</f>
        <v>Bug</v>
      </c>
      <c r="C573" s="251" t="str">
        <f>IFERROR(__xludf.DUMMYFUNCTION("""COMPUTED_VALUE"""),"Flying")</f>
        <v>Flying</v>
      </c>
      <c r="D573" s="251">
        <f>IFERROR(__xludf.DUMMYFUNCTION("""COMPUTED_VALUE"""),4.0)</f>
        <v>4</v>
      </c>
      <c r="E573" s="251">
        <f>IFERROR(__xludf.DUMMYFUNCTION("""COMPUTED_VALUE"""),4.0)</f>
        <v>4</v>
      </c>
      <c r="F573" s="251">
        <f>IFERROR(__xludf.DUMMYFUNCTION("""COMPUTED_VALUE"""),5.0)</f>
        <v>5</v>
      </c>
      <c r="G573" s="251">
        <f>IFERROR(__xludf.DUMMYFUNCTION("""COMPUTED_VALUE"""),4.0)</f>
        <v>4</v>
      </c>
      <c r="H573" s="251">
        <f>IFERROR(__xludf.DUMMYFUNCTION("""COMPUTED_VALUE"""),5.0)</f>
        <v>5</v>
      </c>
      <c r="I573" s="251">
        <f>IFERROR(__xludf.DUMMYFUNCTION("""COMPUTED_VALUE"""),8.0)</f>
        <v>8</v>
      </c>
      <c r="J573" s="251">
        <f>IFERROR(__xludf.DUMMYFUNCTION("""COMPUTED_VALUE"""),1.0)</f>
        <v>1</v>
      </c>
      <c r="K573" s="251" t="str">
        <f>IFERROR(__xludf.DUMMYFUNCTION("""COMPUTED_VALUE"""),"Small")</f>
        <v>Small</v>
      </c>
      <c r="L573" s="251">
        <f>IFERROR(__xludf.DUMMYFUNCTION("""COMPUTED_VALUE"""),1.0)</f>
        <v>1</v>
      </c>
      <c r="M573" s="251" t="str">
        <f>IFERROR(__xludf.DUMMYFUNCTION("""COMPUTED_VALUE"""),"Forest, Grasslands")</f>
        <v>Forest, Grasslands</v>
      </c>
      <c r="N573" s="251" t="str">
        <f>IFERROR(__xludf.DUMMYFUNCTION("""COMPUTED_VALUE"""),"Flier")</f>
        <v>Flier</v>
      </c>
      <c r="O573" s="251" t="str">
        <f>IFERROR(__xludf.DUMMYFUNCTION("""COMPUTED_VALUE"""),"--")</f>
        <v>--</v>
      </c>
      <c r="P573" s="251" t="str">
        <f>IFERROR(__xludf.DUMMYFUNCTION("""COMPUTED_VALUE"""),"--")</f>
        <v>--</v>
      </c>
      <c r="Q573" s="251" t="str">
        <f>IFERROR(__xludf.DUMMYFUNCTION("""COMPUTED_VALUE"""),"--")</f>
        <v>--</v>
      </c>
      <c r="R573" s="251" t="str">
        <f>IFERROR(__xludf.DUMMYFUNCTION("""COMPUTED_VALUE"""),"Underdog")</f>
        <v>Underdog</v>
      </c>
      <c r="S573" s="251" t="str">
        <f>IFERROR(__xludf.DUMMYFUNCTION("""COMPUTED_VALUE"""),"--")</f>
        <v>--</v>
      </c>
      <c r="T573" s="251" t="str">
        <f>IFERROR(__xludf.DUMMYFUNCTION("""COMPUTED_VALUE"""),"--")</f>
        <v>--</v>
      </c>
      <c r="U573" s="251" t="str">
        <f>IFERROR(__xludf.DUMMYFUNCTION("""COMPUTED_VALUE"""),"--")</f>
        <v>--</v>
      </c>
      <c r="V573" s="251" t="str">
        <f>IFERROR(__xludf.DUMMYFUNCTION("""COMPUTED_VALUE"""),"--")</f>
        <v>--</v>
      </c>
      <c r="W573" s="251" t="str">
        <f>IFERROR(__xludf.DUMMYFUNCTION("""COMPUTED_VALUE"""),"--")</f>
        <v>--</v>
      </c>
      <c r="X573" s="251" t="str">
        <f>IFERROR(__xludf.DUMMYFUNCTION("""COMPUTED_VALUE"""),"--")</f>
        <v>--</v>
      </c>
      <c r="Y573" s="251" t="str">
        <f>IFERROR(__xludf.DUMMYFUNCTION("""COMPUTED_VALUE"""),"--")</f>
        <v>--</v>
      </c>
      <c r="Z573" s="251" t="str">
        <f>IFERROR(__xludf.DUMMYFUNCTION("""COMPUTED_VALUE"""),"--")</f>
        <v>--</v>
      </c>
      <c r="AA573" s="251" t="str">
        <f>IFERROR(__xludf.DUMMYFUNCTION("""COMPUTED_VALUE"""),"--")</f>
        <v>--</v>
      </c>
      <c r="AB573" s="251" t="str">
        <f>IFERROR(__xludf.DUMMYFUNCTION("""COMPUTED_VALUE"""),"--")</f>
        <v>--</v>
      </c>
      <c r="AC573" s="251" t="str">
        <f>IFERROR(__xludf.DUMMYFUNCTION("""COMPUTED_VALUE"""),"--")</f>
        <v>--</v>
      </c>
      <c r="AD573" s="251">
        <f>IFERROR(__xludf.DUMMYFUNCTION("""COMPUTED_VALUE"""),2.0)</f>
        <v>2</v>
      </c>
      <c r="AE573" s="251" t="str">
        <f>IFERROR(__xludf.DUMMYFUNCTION("""COMPUTED_VALUE"""),"Herbivore")</f>
        <v>Herbivore</v>
      </c>
    </row>
    <row r="574">
      <c r="A574" s="251" t="str">
        <f>IFERROR(__xludf.DUMMYFUNCTION("""COMPUTED_VALUE"""),"Vespiquen")</f>
        <v>Vespiquen</v>
      </c>
      <c r="B574" s="251" t="str">
        <f>IFERROR(__xludf.DUMMYFUNCTION("""COMPUTED_VALUE"""),"Bug")</f>
        <v>Bug</v>
      </c>
      <c r="C574" s="251" t="str">
        <f>IFERROR(__xludf.DUMMYFUNCTION("""COMPUTED_VALUE"""),"Flying")</f>
        <v>Flying</v>
      </c>
      <c r="D574" s="251">
        <f>IFERROR(__xludf.DUMMYFUNCTION("""COMPUTED_VALUE"""),7.0)</f>
        <v>7</v>
      </c>
      <c r="E574" s="251">
        <f>IFERROR(__xludf.DUMMYFUNCTION("""COMPUTED_VALUE"""),8.0)</f>
        <v>8</v>
      </c>
      <c r="F574" s="251">
        <f>IFERROR(__xludf.DUMMYFUNCTION("""COMPUTED_VALUE"""),11.0)</f>
        <v>11</v>
      </c>
      <c r="G574" s="251">
        <f>IFERROR(__xludf.DUMMYFUNCTION("""COMPUTED_VALUE"""),8.0)</f>
        <v>8</v>
      </c>
      <c r="H574" s="251">
        <f>IFERROR(__xludf.DUMMYFUNCTION("""COMPUTED_VALUE"""),11.0)</f>
        <v>11</v>
      </c>
      <c r="I574" s="251">
        <f>IFERROR(__xludf.DUMMYFUNCTION("""COMPUTED_VALUE"""),6.0)</f>
        <v>6</v>
      </c>
      <c r="J574" s="251">
        <f>IFERROR(__xludf.DUMMYFUNCTION("""COMPUTED_VALUE"""),3.0)</f>
        <v>3</v>
      </c>
      <c r="K574" s="251" t="str">
        <f>IFERROR(__xludf.DUMMYFUNCTION("""COMPUTED_VALUE"""),"Medium")</f>
        <v>Medium</v>
      </c>
      <c r="L574" s="251">
        <f>IFERROR(__xludf.DUMMYFUNCTION("""COMPUTED_VALUE"""),3.0)</f>
        <v>3</v>
      </c>
      <c r="M574" s="251" t="str">
        <f>IFERROR(__xludf.DUMMYFUNCTION("""COMPUTED_VALUE"""),"Forest, Grasslands")</f>
        <v>Forest, Grasslands</v>
      </c>
      <c r="N574" s="251" t="str">
        <f>IFERROR(__xludf.DUMMYFUNCTION("""COMPUTED_VALUE"""),"Flier")</f>
        <v>Flier</v>
      </c>
      <c r="O574" s="251" t="str">
        <f>IFERROR(__xludf.DUMMYFUNCTION("""COMPUTED_VALUE"""),"--")</f>
        <v>--</v>
      </c>
      <c r="P574" s="251" t="str">
        <f>IFERROR(__xludf.DUMMYFUNCTION("""COMPUTED_VALUE"""),"--")</f>
        <v>--</v>
      </c>
      <c r="Q574" s="251" t="str">
        <f>IFERROR(__xludf.DUMMYFUNCTION("""COMPUTED_VALUE"""),"--")</f>
        <v>--</v>
      </c>
      <c r="R574" s="251" t="str">
        <f>IFERROR(__xludf.DUMMYFUNCTION("""COMPUTED_VALUE"""),"--")</f>
        <v>--</v>
      </c>
      <c r="S574" s="251" t="str">
        <f>IFERROR(__xludf.DUMMYFUNCTION("""COMPUTED_VALUE"""),"--")</f>
        <v>--</v>
      </c>
      <c r="T574" s="251" t="str">
        <f>IFERROR(__xludf.DUMMYFUNCTION("""COMPUTED_VALUE"""),"--")</f>
        <v>--</v>
      </c>
      <c r="U574" s="251" t="str">
        <f>IFERROR(__xludf.DUMMYFUNCTION("""COMPUTED_VALUE"""),"--")</f>
        <v>--</v>
      </c>
      <c r="V574" s="251" t="str">
        <f>IFERROR(__xludf.DUMMYFUNCTION("""COMPUTED_VALUE"""),"--")</f>
        <v>--</v>
      </c>
      <c r="W574" s="251" t="str">
        <f>IFERROR(__xludf.DUMMYFUNCTION("""COMPUTED_VALUE"""),"--")</f>
        <v>--</v>
      </c>
      <c r="X574" s="251" t="str">
        <f>IFERROR(__xludf.DUMMYFUNCTION("""COMPUTED_VALUE"""),"--")</f>
        <v>--</v>
      </c>
      <c r="Y574" s="251" t="str">
        <f>IFERROR(__xludf.DUMMYFUNCTION("""COMPUTED_VALUE"""),"--")</f>
        <v>--</v>
      </c>
      <c r="Z574" s="251" t="str">
        <f>IFERROR(__xludf.DUMMYFUNCTION("""COMPUTED_VALUE"""),"--")</f>
        <v>--</v>
      </c>
      <c r="AA574" s="251" t="str">
        <f>IFERROR(__xludf.DUMMYFUNCTION("""COMPUTED_VALUE"""),"--")</f>
        <v>--</v>
      </c>
      <c r="AB574" s="251" t="str">
        <f>IFERROR(__xludf.DUMMYFUNCTION("""COMPUTED_VALUE"""),"--")</f>
        <v>--</v>
      </c>
      <c r="AC574" s="251" t="str">
        <f>IFERROR(__xludf.DUMMYFUNCTION("""COMPUTED_VALUE"""),"--")</f>
        <v>--</v>
      </c>
      <c r="AD574" s="251">
        <f>IFERROR(__xludf.DUMMYFUNCTION("""COMPUTED_VALUE"""),3.0)</f>
        <v>3</v>
      </c>
      <c r="AE574" s="251" t="str">
        <f>IFERROR(__xludf.DUMMYFUNCTION("""COMPUTED_VALUE"""),"Herbivore")</f>
        <v>Herbivore</v>
      </c>
    </row>
    <row r="575">
      <c r="A575" s="251" t="str">
        <f>IFERROR(__xludf.DUMMYFUNCTION("""COMPUTED_VALUE"""),"Dwebble")</f>
        <v>Dwebble</v>
      </c>
      <c r="B575" s="251" t="str">
        <f>IFERROR(__xludf.DUMMYFUNCTION("""COMPUTED_VALUE"""),"Bug")</f>
        <v>Bug</v>
      </c>
      <c r="C575" s="251" t="str">
        <f>IFERROR(__xludf.DUMMYFUNCTION("""COMPUTED_VALUE"""),"Rock")</f>
        <v>Rock</v>
      </c>
      <c r="D575" s="251">
        <f>IFERROR(__xludf.DUMMYFUNCTION("""COMPUTED_VALUE"""),5.0)</f>
        <v>5</v>
      </c>
      <c r="E575" s="251">
        <f>IFERROR(__xludf.DUMMYFUNCTION("""COMPUTED_VALUE"""),7.0)</f>
        <v>7</v>
      </c>
      <c r="F575" s="251">
        <f>IFERROR(__xludf.DUMMYFUNCTION("""COMPUTED_VALUE"""),9.0)</f>
        <v>9</v>
      </c>
      <c r="G575" s="251">
        <f>IFERROR(__xludf.DUMMYFUNCTION("""COMPUTED_VALUE"""),4.0)</f>
        <v>4</v>
      </c>
      <c r="H575" s="251">
        <f>IFERROR(__xludf.DUMMYFUNCTION("""COMPUTED_VALUE"""),4.0)</f>
        <v>4</v>
      </c>
      <c r="I575" s="251">
        <f>IFERROR(__xludf.DUMMYFUNCTION("""COMPUTED_VALUE"""),6.0)</f>
        <v>6</v>
      </c>
      <c r="J575" s="251">
        <f>IFERROR(__xludf.DUMMYFUNCTION("""COMPUTED_VALUE"""),2.0)</f>
        <v>2</v>
      </c>
      <c r="K575" s="251" t="str">
        <f>IFERROR(__xludf.DUMMYFUNCTION("""COMPUTED_VALUE"""),"Small")</f>
        <v>Small</v>
      </c>
      <c r="L575" s="251">
        <f>IFERROR(__xludf.DUMMYFUNCTION("""COMPUTED_VALUE"""),2.0)</f>
        <v>2</v>
      </c>
      <c r="M575" s="251" t="str">
        <f>IFERROR(__xludf.DUMMYFUNCTION("""COMPUTED_VALUE"""),"Desert")</f>
        <v>Desert</v>
      </c>
      <c r="N575" s="251" t="str">
        <f>IFERROR(__xludf.DUMMYFUNCTION("""COMPUTED_VALUE"""),"Burrower")</f>
        <v>Burrower</v>
      </c>
      <c r="O575" s="251" t="str">
        <f>IFERROR(__xludf.DUMMYFUNCTION("""COMPUTED_VALUE"""),"Slow")</f>
        <v>Slow</v>
      </c>
      <c r="P575" s="251" t="str">
        <f>IFERROR(__xludf.DUMMYFUNCTION("""COMPUTED_VALUE"""),"--")</f>
        <v>--</v>
      </c>
      <c r="Q575" s="251" t="str">
        <f>IFERROR(__xludf.DUMMYFUNCTION("""COMPUTED_VALUE"""),"--")</f>
        <v>--</v>
      </c>
      <c r="R575" s="251" t="str">
        <f>IFERROR(__xludf.DUMMYFUNCTION("""COMPUTED_VALUE"""),"Underdog")</f>
        <v>Underdog</v>
      </c>
      <c r="S575" s="251" t="str">
        <f>IFERROR(__xludf.DUMMYFUNCTION("""COMPUTED_VALUE"""),"--")</f>
        <v>--</v>
      </c>
      <c r="T575" s="251" t="str">
        <f>IFERROR(__xludf.DUMMYFUNCTION("""COMPUTED_VALUE"""),"--")</f>
        <v>--</v>
      </c>
      <c r="U575" s="251" t="str">
        <f>IFERROR(__xludf.DUMMYFUNCTION("""COMPUTED_VALUE"""),"--")</f>
        <v>--</v>
      </c>
      <c r="V575" s="251" t="str">
        <f>IFERROR(__xludf.DUMMYFUNCTION("""COMPUTED_VALUE"""),"--")</f>
        <v>--</v>
      </c>
      <c r="W575" s="251" t="str">
        <f>IFERROR(__xludf.DUMMYFUNCTION("""COMPUTED_VALUE"""),"--")</f>
        <v>--</v>
      </c>
      <c r="X575" s="251" t="str">
        <f>IFERROR(__xludf.DUMMYFUNCTION("""COMPUTED_VALUE"""),"--")</f>
        <v>--</v>
      </c>
      <c r="Y575" s="251" t="str">
        <f>IFERROR(__xludf.DUMMYFUNCTION("""COMPUTED_VALUE"""),"--")</f>
        <v>--</v>
      </c>
      <c r="Z575" s="251" t="str">
        <f>IFERROR(__xludf.DUMMYFUNCTION("""COMPUTED_VALUE"""),"--")</f>
        <v>--</v>
      </c>
      <c r="AA575" s="251" t="str">
        <f>IFERROR(__xludf.DUMMYFUNCTION("""COMPUTED_VALUE"""),"--")</f>
        <v>--</v>
      </c>
      <c r="AB575" s="251" t="str">
        <f>IFERROR(__xludf.DUMMYFUNCTION("""COMPUTED_VALUE"""),"--")</f>
        <v>--</v>
      </c>
      <c r="AC575" s="251" t="str">
        <f>IFERROR(__xludf.DUMMYFUNCTION("""COMPUTED_VALUE"""),"--")</f>
        <v>--</v>
      </c>
      <c r="AD575" s="251">
        <f>IFERROR(__xludf.DUMMYFUNCTION("""COMPUTED_VALUE"""),2.0)</f>
        <v>2</v>
      </c>
      <c r="AE575" s="251" t="str">
        <f>IFERROR(__xludf.DUMMYFUNCTION("""COMPUTED_VALUE"""),"Herbivore")</f>
        <v>Herbivore</v>
      </c>
    </row>
    <row r="576">
      <c r="A576" s="251" t="str">
        <f>IFERROR(__xludf.DUMMYFUNCTION("""COMPUTED_VALUE"""),"Crustle")</f>
        <v>Crustle</v>
      </c>
      <c r="B576" s="251" t="str">
        <f>IFERROR(__xludf.DUMMYFUNCTION("""COMPUTED_VALUE"""),"Bug")</f>
        <v>Bug</v>
      </c>
      <c r="C576" s="251" t="str">
        <f>IFERROR(__xludf.DUMMYFUNCTION("""COMPUTED_VALUE"""),"Rock")</f>
        <v>Rock</v>
      </c>
      <c r="D576" s="251">
        <f>IFERROR(__xludf.DUMMYFUNCTION("""COMPUTED_VALUE"""),7.0)</f>
        <v>7</v>
      </c>
      <c r="E576" s="251">
        <f>IFERROR(__xludf.DUMMYFUNCTION("""COMPUTED_VALUE"""),11.0)</f>
        <v>11</v>
      </c>
      <c r="F576" s="251">
        <f>IFERROR(__xludf.DUMMYFUNCTION("""COMPUTED_VALUE"""),13.0)</f>
        <v>13</v>
      </c>
      <c r="G576" s="251">
        <f>IFERROR(__xludf.DUMMYFUNCTION("""COMPUTED_VALUE"""),7.0)</f>
        <v>7</v>
      </c>
      <c r="H576" s="251">
        <f>IFERROR(__xludf.DUMMYFUNCTION("""COMPUTED_VALUE"""),8.0)</f>
        <v>8</v>
      </c>
      <c r="I576" s="251">
        <f>IFERROR(__xludf.DUMMYFUNCTION("""COMPUTED_VALUE"""),5.0)</f>
        <v>5</v>
      </c>
      <c r="J576" s="251">
        <f>IFERROR(__xludf.DUMMYFUNCTION("""COMPUTED_VALUE"""),5.0)</f>
        <v>5</v>
      </c>
      <c r="K576" s="251" t="str">
        <f>IFERROR(__xludf.DUMMYFUNCTION("""COMPUTED_VALUE"""),"Medium")</f>
        <v>Medium</v>
      </c>
      <c r="L576" s="251">
        <f>IFERROR(__xludf.DUMMYFUNCTION("""COMPUTED_VALUE"""),6.0)</f>
        <v>6</v>
      </c>
      <c r="M576" s="251" t="str">
        <f>IFERROR(__xludf.DUMMYFUNCTION("""COMPUTED_VALUE"""),"Desert")</f>
        <v>Desert</v>
      </c>
      <c r="N576" s="251" t="str">
        <f>IFERROR(__xludf.DUMMYFUNCTION("""COMPUTED_VALUE"""),"Burrower")</f>
        <v>Burrower</v>
      </c>
      <c r="O576" s="251" t="str">
        <f>IFERROR(__xludf.DUMMYFUNCTION("""COMPUTED_VALUE"""),"--")</f>
        <v>--</v>
      </c>
      <c r="P576" s="251" t="str">
        <f>IFERROR(__xludf.DUMMYFUNCTION("""COMPUTED_VALUE"""),"--")</f>
        <v>--</v>
      </c>
      <c r="Q576" s="251" t="str">
        <f>IFERROR(__xludf.DUMMYFUNCTION("""COMPUTED_VALUE"""),"--")</f>
        <v>--</v>
      </c>
      <c r="R576" s="251" t="str">
        <f>IFERROR(__xludf.DUMMYFUNCTION("""COMPUTED_VALUE"""),"Groundshaper")</f>
        <v>Groundshaper</v>
      </c>
      <c r="S576" s="251" t="str">
        <f>IFERROR(__xludf.DUMMYFUNCTION("""COMPUTED_VALUE"""),"--")</f>
        <v>--</v>
      </c>
      <c r="T576" s="251" t="str">
        <f>IFERROR(__xludf.DUMMYFUNCTION("""COMPUTED_VALUE"""),"--")</f>
        <v>--</v>
      </c>
      <c r="U576" s="251" t="str">
        <f>IFERROR(__xludf.DUMMYFUNCTION("""COMPUTED_VALUE"""),"--")</f>
        <v>--</v>
      </c>
      <c r="V576" s="251" t="str">
        <f>IFERROR(__xludf.DUMMYFUNCTION("""COMPUTED_VALUE"""),"--")</f>
        <v>--</v>
      </c>
      <c r="W576" s="251" t="str">
        <f>IFERROR(__xludf.DUMMYFUNCTION("""COMPUTED_VALUE"""),"--")</f>
        <v>--</v>
      </c>
      <c r="X576" s="251" t="str">
        <f>IFERROR(__xludf.DUMMYFUNCTION("""COMPUTED_VALUE"""),"--")</f>
        <v>--</v>
      </c>
      <c r="Y576" s="251" t="str">
        <f>IFERROR(__xludf.DUMMYFUNCTION("""COMPUTED_VALUE"""),"--")</f>
        <v>--</v>
      </c>
      <c r="Z576" s="251" t="str">
        <f>IFERROR(__xludf.DUMMYFUNCTION("""COMPUTED_VALUE"""),"--")</f>
        <v>--</v>
      </c>
      <c r="AA576" s="251" t="str">
        <f>IFERROR(__xludf.DUMMYFUNCTION("""COMPUTED_VALUE"""),"--")</f>
        <v>--</v>
      </c>
      <c r="AB576" s="251" t="str">
        <f>IFERROR(__xludf.DUMMYFUNCTION("""COMPUTED_VALUE"""),"--")</f>
        <v>--</v>
      </c>
      <c r="AC576" s="251" t="str">
        <f>IFERROR(__xludf.DUMMYFUNCTION("""COMPUTED_VALUE"""),"--")</f>
        <v>--</v>
      </c>
      <c r="AD576" s="251">
        <f>IFERROR(__xludf.DUMMYFUNCTION("""COMPUTED_VALUE"""),3.0)</f>
        <v>3</v>
      </c>
      <c r="AE576" s="251" t="str">
        <f>IFERROR(__xludf.DUMMYFUNCTION("""COMPUTED_VALUE"""),"Herbivore, Terravore")</f>
        <v>Herbivore, Terravore</v>
      </c>
    </row>
    <row r="577">
      <c r="A577" s="251" t="str">
        <f>IFERROR(__xludf.DUMMYFUNCTION("""COMPUTED_VALUE"""),"Karrablast")</f>
        <v>Karrablast</v>
      </c>
      <c r="B577" s="251" t="str">
        <f>IFERROR(__xludf.DUMMYFUNCTION("""COMPUTED_VALUE"""),"Bug")</f>
        <v>Bug</v>
      </c>
      <c r="C577" s="251" t="str">
        <f>IFERROR(__xludf.DUMMYFUNCTION("""COMPUTED_VALUE"""),"None")</f>
        <v>None</v>
      </c>
      <c r="D577" s="251">
        <f>IFERROR(__xludf.DUMMYFUNCTION("""COMPUTED_VALUE"""),5.0)</f>
        <v>5</v>
      </c>
      <c r="E577" s="251">
        <f>IFERROR(__xludf.DUMMYFUNCTION("""COMPUTED_VALUE"""),8.0)</f>
        <v>8</v>
      </c>
      <c r="F577" s="251">
        <f>IFERROR(__xludf.DUMMYFUNCTION("""COMPUTED_VALUE"""),5.0)</f>
        <v>5</v>
      </c>
      <c r="G577" s="251">
        <f>IFERROR(__xludf.DUMMYFUNCTION("""COMPUTED_VALUE"""),4.0)</f>
        <v>4</v>
      </c>
      <c r="H577" s="251">
        <f>IFERROR(__xludf.DUMMYFUNCTION("""COMPUTED_VALUE"""),5.0)</f>
        <v>5</v>
      </c>
      <c r="I577" s="251">
        <f>IFERROR(__xludf.DUMMYFUNCTION("""COMPUTED_VALUE"""),6.0)</f>
        <v>6</v>
      </c>
      <c r="J577" s="251">
        <f>IFERROR(__xludf.DUMMYFUNCTION("""COMPUTED_VALUE"""),2.0)</f>
        <v>2</v>
      </c>
      <c r="K577" s="251" t="str">
        <f>IFERROR(__xludf.DUMMYFUNCTION("""COMPUTED_VALUE"""),"Small")</f>
        <v>Small</v>
      </c>
      <c r="L577" s="251">
        <f>IFERROR(__xludf.DUMMYFUNCTION("""COMPUTED_VALUE"""),1.0)</f>
        <v>1</v>
      </c>
      <c r="M577" s="251" t="str">
        <f>IFERROR(__xludf.DUMMYFUNCTION("""COMPUTED_VALUE"""),"Forest")</f>
        <v>Forest</v>
      </c>
      <c r="N577" s="251" t="str">
        <f>IFERROR(__xludf.DUMMYFUNCTION("""COMPUTED_VALUE"""),"Slow")</f>
        <v>Slow</v>
      </c>
      <c r="O577" s="251" t="str">
        <f>IFERROR(__xludf.DUMMYFUNCTION("""COMPUTED_VALUE"""),"--")</f>
        <v>--</v>
      </c>
      <c r="P577" s="251" t="str">
        <f>IFERROR(__xludf.DUMMYFUNCTION("""COMPUTED_VALUE"""),"--")</f>
        <v>--</v>
      </c>
      <c r="Q577" s="251" t="str">
        <f>IFERROR(__xludf.DUMMYFUNCTION("""COMPUTED_VALUE"""),"--")</f>
        <v>--</v>
      </c>
      <c r="R577" s="251" t="str">
        <f>IFERROR(__xludf.DUMMYFUNCTION("""COMPUTED_VALUE"""),"Underdog")</f>
        <v>Underdog</v>
      </c>
      <c r="S577" s="251" t="str">
        <f>IFERROR(__xludf.DUMMYFUNCTION("""COMPUTED_VALUE"""),"--")</f>
        <v>--</v>
      </c>
      <c r="T577" s="251" t="str">
        <f>IFERROR(__xludf.DUMMYFUNCTION("""COMPUTED_VALUE"""),"--")</f>
        <v>--</v>
      </c>
      <c r="U577" s="251" t="str">
        <f>IFERROR(__xludf.DUMMYFUNCTION("""COMPUTED_VALUE"""),"--")</f>
        <v>--</v>
      </c>
      <c r="V577" s="251" t="str">
        <f>IFERROR(__xludf.DUMMYFUNCTION("""COMPUTED_VALUE"""),"--")</f>
        <v>--</v>
      </c>
      <c r="W577" s="251" t="str">
        <f>IFERROR(__xludf.DUMMYFUNCTION("""COMPUTED_VALUE"""),"--")</f>
        <v>--</v>
      </c>
      <c r="X577" s="251" t="str">
        <f>IFERROR(__xludf.DUMMYFUNCTION("""COMPUTED_VALUE"""),"--")</f>
        <v>--</v>
      </c>
      <c r="Y577" s="251" t="str">
        <f>IFERROR(__xludf.DUMMYFUNCTION("""COMPUTED_VALUE"""),"--")</f>
        <v>--</v>
      </c>
      <c r="Z577" s="251" t="str">
        <f>IFERROR(__xludf.DUMMYFUNCTION("""COMPUTED_VALUE"""),"--")</f>
        <v>--</v>
      </c>
      <c r="AA577" s="251" t="str">
        <f>IFERROR(__xludf.DUMMYFUNCTION("""COMPUTED_VALUE"""),"--")</f>
        <v>--</v>
      </c>
      <c r="AB577" s="251" t="str">
        <f>IFERROR(__xludf.DUMMYFUNCTION("""COMPUTED_VALUE"""),"--")</f>
        <v>--</v>
      </c>
      <c r="AC577" s="251" t="str">
        <f>IFERROR(__xludf.DUMMYFUNCTION("""COMPUTED_VALUE"""),"--")</f>
        <v>--</v>
      </c>
      <c r="AD577" s="251">
        <f>IFERROR(__xludf.DUMMYFUNCTION("""COMPUTED_VALUE"""),2.0)</f>
        <v>2</v>
      </c>
      <c r="AE577" s="251" t="str">
        <f>IFERROR(__xludf.DUMMYFUNCTION("""COMPUTED_VALUE"""),"Herbivore")</f>
        <v>Herbivore</v>
      </c>
    </row>
    <row r="578">
      <c r="A578" s="251" t="str">
        <f>IFERROR(__xludf.DUMMYFUNCTION("""COMPUTED_VALUE"""),"Escavalier")</f>
        <v>Escavalier</v>
      </c>
      <c r="B578" s="251" t="str">
        <f>IFERROR(__xludf.DUMMYFUNCTION("""COMPUTED_VALUE"""),"Bug")</f>
        <v>Bug</v>
      </c>
      <c r="C578" s="251" t="str">
        <f>IFERROR(__xludf.DUMMYFUNCTION("""COMPUTED_VALUE"""),"Steel")</f>
        <v>Steel</v>
      </c>
      <c r="D578" s="251">
        <f>IFERROR(__xludf.DUMMYFUNCTION("""COMPUTED_VALUE"""),7.0)</f>
        <v>7</v>
      </c>
      <c r="E578" s="251">
        <f>IFERROR(__xludf.DUMMYFUNCTION("""COMPUTED_VALUE"""),14.0)</f>
        <v>14</v>
      </c>
      <c r="F578" s="251">
        <f>IFERROR(__xludf.DUMMYFUNCTION("""COMPUTED_VALUE"""),11.0)</f>
        <v>11</v>
      </c>
      <c r="G578" s="251">
        <f>IFERROR(__xludf.DUMMYFUNCTION("""COMPUTED_VALUE"""),6.0)</f>
        <v>6</v>
      </c>
      <c r="H578" s="251">
        <f>IFERROR(__xludf.DUMMYFUNCTION("""COMPUTED_VALUE"""),11.0)</f>
        <v>11</v>
      </c>
      <c r="I578" s="251">
        <f>IFERROR(__xludf.DUMMYFUNCTION("""COMPUTED_VALUE"""),2.0)</f>
        <v>2</v>
      </c>
      <c r="J578" s="251">
        <f>IFERROR(__xludf.DUMMYFUNCTION("""COMPUTED_VALUE"""),4.0)</f>
        <v>4</v>
      </c>
      <c r="K578" s="251" t="str">
        <f>IFERROR(__xludf.DUMMYFUNCTION("""COMPUTED_VALUE"""),"Medium")</f>
        <v>Medium</v>
      </c>
      <c r="L578" s="251">
        <f>IFERROR(__xludf.DUMMYFUNCTION("""COMPUTED_VALUE"""),3.0)</f>
        <v>3</v>
      </c>
      <c r="M578" s="251" t="str">
        <f>IFERROR(__xludf.DUMMYFUNCTION("""COMPUTED_VALUE"""),"Forest")</f>
        <v>Forest</v>
      </c>
      <c r="N578" s="251" t="str">
        <f>IFERROR(__xludf.DUMMYFUNCTION("""COMPUTED_VALUE"""),"Flier")</f>
        <v>Flier</v>
      </c>
      <c r="O578" s="251" t="str">
        <f>IFERROR(__xludf.DUMMYFUNCTION("""COMPUTED_VALUE"""),"--")</f>
        <v>--</v>
      </c>
      <c r="P578" s="251" t="str">
        <f>IFERROR(__xludf.DUMMYFUNCTION("""COMPUTED_VALUE"""),"--")</f>
        <v>--</v>
      </c>
      <c r="Q578" s="251" t="str">
        <f>IFERROR(__xludf.DUMMYFUNCTION("""COMPUTED_VALUE"""),"--")</f>
        <v>--</v>
      </c>
      <c r="R578" s="251" t="str">
        <f>IFERROR(__xludf.DUMMYFUNCTION("""COMPUTED_VALUE"""),"--")</f>
        <v>--</v>
      </c>
      <c r="S578" s="251" t="str">
        <f>IFERROR(__xludf.DUMMYFUNCTION("""COMPUTED_VALUE"""),"--")</f>
        <v>--</v>
      </c>
      <c r="T578" s="251" t="str">
        <f>IFERROR(__xludf.DUMMYFUNCTION("""COMPUTED_VALUE"""),"--")</f>
        <v>--</v>
      </c>
      <c r="U578" s="251" t="str">
        <f>IFERROR(__xludf.DUMMYFUNCTION("""COMPUTED_VALUE"""),"--")</f>
        <v>--</v>
      </c>
      <c r="V578" s="251" t="str">
        <f>IFERROR(__xludf.DUMMYFUNCTION("""COMPUTED_VALUE"""),"--")</f>
        <v>--</v>
      </c>
      <c r="W578" s="251" t="str">
        <f>IFERROR(__xludf.DUMMYFUNCTION("""COMPUTED_VALUE"""),"--")</f>
        <v>--</v>
      </c>
      <c r="X578" s="251" t="str">
        <f>IFERROR(__xludf.DUMMYFUNCTION("""COMPUTED_VALUE"""),"--")</f>
        <v>--</v>
      </c>
      <c r="Y578" s="251" t="str">
        <f>IFERROR(__xludf.DUMMYFUNCTION("""COMPUTED_VALUE"""),"--")</f>
        <v>--</v>
      </c>
      <c r="Z578" s="251" t="str">
        <f>IFERROR(__xludf.DUMMYFUNCTION("""COMPUTED_VALUE"""),"--")</f>
        <v>--</v>
      </c>
      <c r="AA578" s="251" t="str">
        <f>IFERROR(__xludf.DUMMYFUNCTION("""COMPUTED_VALUE"""),"--")</f>
        <v>--</v>
      </c>
      <c r="AB578" s="251" t="str">
        <f>IFERROR(__xludf.DUMMYFUNCTION("""COMPUTED_VALUE"""),"--")</f>
        <v>--</v>
      </c>
      <c r="AC578" s="251" t="str">
        <f>IFERROR(__xludf.DUMMYFUNCTION("""COMPUTED_VALUE"""),"--")</f>
        <v>--</v>
      </c>
      <c r="AD578" s="251">
        <f>IFERROR(__xludf.DUMMYFUNCTION("""COMPUTED_VALUE"""),3.0)</f>
        <v>3</v>
      </c>
      <c r="AE578" s="251" t="str">
        <f>IFERROR(__xludf.DUMMYFUNCTION("""COMPUTED_VALUE"""),"Herbivore")</f>
        <v>Herbivore</v>
      </c>
    </row>
    <row r="579">
      <c r="A579" s="251" t="str">
        <f>IFERROR(__xludf.DUMMYFUNCTION("""COMPUTED_VALUE"""),"Shelmet")</f>
        <v>Shelmet</v>
      </c>
      <c r="B579" s="251" t="str">
        <f>IFERROR(__xludf.DUMMYFUNCTION("""COMPUTED_VALUE"""),"Bug")</f>
        <v>Bug</v>
      </c>
      <c r="C579" s="251" t="str">
        <f>IFERROR(__xludf.DUMMYFUNCTION("""COMPUTED_VALUE"""),"None")</f>
        <v>None</v>
      </c>
      <c r="D579" s="251">
        <f>IFERROR(__xludf.DUMMYFUNCTION("""COMPUTED_VALUE"""),5.0)</f>
        <v>5</v>
      </c>
      <c r="E579" s="251">
        <f>IFERROR(__xludf.DUMMYFUNCTION("""COMPUTED_VALUE"""),4.0)</f>
        <v>4</v>
      </c>
      <c r="F579" s="251">
        <f>IFERROR(__xludf.DUMMYFUNCTION("""COMPUTED_VALUE"""),9.0)</f>
        <v>9</v>
      </c>
      <c r="G579" s="251">
        <f>IFERROR(__xludf.DUMMYFUNCTION("""COMPUTED_VALUE"""),4.0)</f>
        <v>4</v>
      </c>
      <c r="H579" s="251">
        <f>IFERROR(__xludf.DUMMYFUNCTION("""COMPUTED_VALUE"""),7.0)</f>
        <v>7</v>
      </c>
      <c r="I579" s="251">
        <f>IFERROR(__xludf.DUMMYFUNCTION("""COMPUTED_VALUE"""),3.0)</f>
        <v>3</v>
      </c>
      <c r="J579" s="251">
        <f>IFERROR(__xludf.DUMMYFUNCTION("""COMPUTED_VALUE"""),2.0)</f>
        <v>2</v>
      </c>
      <c r="K579" s="251" t="str">
        <f>IFERROR(__xludf.DUMMYFUNCTION("""COMPUTED_VALUE"""),"Small")</f>
        <v>Small</v>
      </c>
      <c r="L579" s="251">
        <f>IFERROR(__xludf.DUMMYFUNCTION("""COMPUTED_VALUE"""),1.0)</f>
        <v>1</v>
      </c>
      <c r="M579" s="251" t="str">
        <f>IFERROR(__xludf.DUMMYFUNCTION("""COMPUTED_VALUE"""),"Forest")</f>
        <v>Forest</v>
      </c>
      <c r="N579" s="251" t="str">
        <f>IFERROR(__xludf.DUMMYFUNCTION("""COMPUTED_VALUE"""),"Slow")</f>
        <v>Slow</v>
      </c>
      <c r="O579" s="251" t="str">
        <f>IFERROR(__xludf.DUMMYFUNCTION("""COMPUTED_VALUE"""),"--")</f>
        <v>--</v>
      </c>
      <c r="P579" s="251" t="str">
        <f>IFERROR(__xludf.DUMMYFUNCTION("""COMPUTED_VALUE"""),"--")</f>
        <v>--</v>
      </c>
      <c r="Q579" s="251" t="str">
        <f>IFERROR(__xludf.DUMMYFUNCTION("""COMPUTED_VALUE"""),"--")</f>
        <v>--</v>
      </c>
      <c r="R579" s="251" t="str">
        <f>IFERROR(__xludf.DUMMYFUNCTION("""COMPUTED_VALUE"""),"Underdog")</f>
        <v>Underdog</v>
      </c>
      <c r="S579" s="251" t="str">
        <f>IFERROR(__xludf.DUMMYFUNCTION("""COMPUTED_VALUE"""),"--")</f>
        <v>--</v>
      </c>
      <c r="T579" s="251" t="str">
        <f>IFERROR(__xludf.DUMMYFUNCTION("""COMPUTED_VALUE"""),"--")</f>
        <v>--</v>
      </c>
      <c r="U579" s="251" t="str">
        <f>IFERROR(__xludf.DUMMYFUNCTION("""COMPUTED_VALUE"""),"--")</f>
        <v>--</v>
      </c>
      <c r="V579" s="251" t="str">
        <f>IFERROR(__xludf.DUMMYFUNCTION("""COMPUTED_VALUE"""),"--")</f>
        <v>--</v>
      </c>
      <c r="W579" s="251" t="str">
        <f>IFERROR(__xludf.DUMMYFUNCTION("""COMPUTED_VALUE"""),"--")</f>
        <v>--</v>
      </c>
      <c r="X579" s="251" t="str">
        <f>IFERROR(__xludf.DUMMYFUNCTION("""COMPUTED_VALUE"""),"--")</f>
        <v>--</v>
      </c>
      <c r="Y579" s="251" t="str">
        <f>IFERROR(__xludf.DUMMYFUNCTION("""COMPUTED_VALUE"""),"--")</f>
        <v>--</v>
      </c>
      <c r="Z579" s="251" t="str">
        <f>IFERROR(__xludf.DUMMYFUNCTION("""COMPUTED_VALUE"""),"--")</f>
        <v>--</v>
      </c>
      <c r="AA579" s="251" t="str">
        <f>IFERROR(__xludf.DUMMYFUNCTION("""COMPUTED_VALUE"""),"--")</f>
        <v>--</v>
      </c>
      <c r="AB579" s="251" t="str">
        <f>IFERROR(__xludf.DUMMYFUNCTION("""COMPUTED_VALUE"""),"--")</f>
        <v>--</v>
      </c>
      <c r="AC579" s="251" t="str">
        <f>IFERROR(__xludf.DUMMYFUNCTION("""COMPUTED_VALUE"""),"--")</f>
        <v>--</v>
      </c>
      <c r="AD579" s="251">
        <f>IFERROR(__xludf.DUMMYFUNCTION("""COMPUTED_VALUE"""),2.0)</f>
        <v>2</v>
      </c>
      <c r="AE579" s="251" t="str">
        <f>IFERROR(__xludf.DUMMYFUNCTION("""COMPUTED_VALUE"""),"Herbivore")</f>
        <v>Herbivore</v>
      </c>
    </row>
    <row r="580">
      <c r="A580" s="251" t="str">
        <f>IFERROR(__xludf.DUMMYFUNCTION("""COMPUTED_VALUE"""),"Accelgor")</f>
        <v>Accelgor</v>
      </c>
      <c r="B580" s="251" t="str">
        <f>IFERROR(__xludf.DUMMYFUNCTION("""COMPUTED_VALUE"""),"Bug")</f>
        <v>Bug</v>
      </c>
      <c r="C580" s="251" t="str">
        <f>IFERROR(__xludf.DUMMYFUNCTION("""COMPUTED_VALUE"""),"None")</f>
        <v>None</v>
      </c>
      <c r="D580" s="251">
        <f>IFERROR(__xludf.DUMMYFUNCTION("""COMPUTED_VALUE"""),8.0)</f>
        <v>8</v>
      </c>
      <c r="E580" s="251">
        <f>IFERROR(__xludf.DUMMYFUNCTION("""COMPUTED_VALUE"""),7.0)</f>
        <v>7</v>
      </c>
      <c r="F580" s="251">
        <f>IFERROR(__xludf.DUMMYFUNCTION("""COMPUTED_VALUE"""),4.0)</f>
        <v>4</v>
      </c>
      <c r="G580" s="251">
        <f>IFERROR(__xludf.DUMMYFUNCTION("""COMPUTED_VALUE"""),10.0)</f>
        <v>10</v>
      </c>
      <c r="H580" s="251">
        <f>IFERROR(__xludf.DUMMYFUNCTION("""COMPUTED_VALUE"""),7.0)</f>
        <v>7</v>
      </c>
      <c r="I580" s="251">
        <f>IFERROR(__xludf.DUMMYFUNCTION("""COMPUTED_VALUE"""),15.0)</f>
        <v>15</v>
      </c>
      <c r="J580" s="251">
        <f>IFERROR(__xludf.DUMMYFUNCTION("""COMPUTED_VALUE"""),3.0)</f>
        <v>3</v>
      </c>
      <c r="K580" s="251" t="str">
        <f>IFERROR(__xludf.DUMMYFUNCTION("""COMPUTED_VALUE"""),"Small")</f>
        <v>Small</v>
      </c>
      <c r="L580" s="251">
        <f>IFERROR(__xludf.DUMMYFUNCTION("""COMPUTED_VALUE"""),1.0)</f>
        <v>1</v>
      </c>
      <c r="M580" s="251" t="str">
        <f>IFERROR(__xludf.DUMMYFUNCTION("""COMPUTED_VALUE"""),"Forest")</f>
        <v>Forest</v>
      </c>
      <c r="N580" s="251" t="str">
        <f>IFERROR(__xludf.DUMMYFUNCTION("""COMPUTED_VALUE"""),"Quick")</f>
        <v>Quick</v>
      </c>
      <c r="O580" s="251" t="str">
        <f>IFERROR(__xludf.DUMMYFUNCTION("""COMPUTED_VALUE"""),"--")</f>
        <v>--</v>
      </c>
      <c r="P580" s="251" t="str">
        <f>IFERROR(__xludf.DUMMYFUNCTION("""COMPUTED_VALUE"""),"--")</f>
        <v>--</v>
      </c>
      <c r="Q580" s="251" t="str">
        <f>IFERROR(__xludf.DUMMYFUNCTION("""COMPUTED_VALUE"""),"--")</f>
        <v>--</v>
      </c>
      <c r="R580" s="251" t="str">
        <f>IFERROR(__xludf.DUMMYFUNCTION("""COMPUTED_VALUE"""),"--")</f>
        <v>--</v>
      </c>
      <c r="S580" s="251" t="str">
        <f>IFERROR(__xludf.DUMMYFUNCTION("""COMPUTED_VALUE"""),"--")</f>
        <v>--</v>
      </c>
      <c r="T580" s="251" t="str">
        <f>IFERROR(__xludf.DUMMYFUNCTION("""COMPUTED_VALUE"""),"--")</f>
        <v>--</v>
      </c>
      <c r="U580" s="251" t="str">
        <f>IFERROR(__xludf.DUMMYFUNCTION("""COMPUTED_VALUE"""),"--")</f>
        <v>--</v>
      </c>
      <c r="V580" s="251" t="str">
        <f>IFERROR(__xludf.DUMMYFUNCTION("""COMPUTED_VALUE"""),"--")</f>
        <v>--</v>
      </c>
      <c r="W580" s="251" t="str">
        <f>IFERROR(__xludf.DUMMYFUNCTION("""COMPUTED_VALUE"""),"--")</f>
        <v>--</v>
      </c>
      <c r="X580" s="251" t="str">
        <f>IFERROR(__xludf.DUMMYFUNCTION("""COMPUTED_VALUE"""),"--")</f>
        <v>--</v>
      </c>
      <c r="Y580" s="251" t="str">
        <f>IFERROR(__xludf.DUMMYFUNCTION("""COMPUTED_VALUE"""),"--")</f>
        <v>--</v>
      </c>
      <c r="Z580" s="251" t="str">
        <f>IFERROR(__xludf.DUMMYFUNCTION("""COMPUTED_VALUE"""),"--")</f>
        <v>--</v>
      </c>
      <c r="AA580" s="251" t="str">
        <f>IFERROR(__xludf.DUMMYFUNCTION("""COMPUTED_VALUE"""),"--")</f>
        <v>--</v>
      </c>
      <c r="AB580" s="251" t="str">
        <f>IFERROR(__xludf.DUMMYFUNCTION("""COMPUTED_VALUE"""),"--")</f>
        <v>--</v>
      </c>
      <c r="AC580" s="251" t="str">
        <f>IFERROR(__xludf.DUMMYFUNCTION("""COMPUTED_VALUE"""),"--")</f>
        <v>--</v>
      </c>
      <c r="AD580" s="251">
        <f>IFERROR(__xludf.DUMMYFUNCTION("""COMPUTED_VALUE"""),3.0)</f>
        <v>3</v>
      </c>
      <c r="AE580" s="251" t="str">
        <f>IFERROR(__xludf.DUMMYFUNCTION("""COMPUTED_VALUE"""),"Herbivore")</f>
        <v>Herbivore</v>
      </c>
    </row>
    <row r="581">
      <c r="A581" s="251" t="str">
        <f>IFERROR(__xludf.DUMMYFUNCTION("""COMPUTED_VALUE"""),"Joltik")</f>
        <v>Joltik</v>
      </c>
      <c r="B581" s="251" t="str">
        <f>IFERROR(__xludf.DUMMYFUNCTION("""COMPUTED_VALUE"""),"Bug")</f>
        <v>Bug</v>
      </c>
      <c r="C581" s="251" t="str">
        <f>IFERROR(__xludf.DUMMYFUNCTION("""COMPUTED_VALUE"""),"Electric")</f>
        <v>Electric</v>
      </c>
      <c r="D581" s="251">
        <f>IFERROR(__xludf.DUMMYFUNCTION("""COMPUTED_VALUE"""),5.0)</f>
        <v>5</v>
      </c>
      <c r="E581" s="251">
        <f>IFERROR(__xludf.DUMMYFUNCTION("""COMPUTED_VALUE"""),5.0)</f>
        <v>5</v>
      </c>
      <c r="F581" s="251">
        <f>IFERROR(__xludf.DUMMYFUNCTION("""COMPUTED_VALUE"""),5.0)</f>
        <v>5</v>
      </c>
      <c r="G581" s="251">
        <f>IFERROR(__xludf.DUMMYFUNCTION("""COMPUTED_VALUE"""),6.0)</f>
        <v>6</v>
      </c>
      <c r="H581" s="251">
        <f>IFERROR(__xludf.DUMMYFUNCTION("""COMPUTED_VALUE"""),5.0)</f>
        <v>5</v>
      </c>
      <c r="I581" s="251">
        <f>IFERROR(__xludf.DUMMYFUNCTION("""COMPUTED_VALUE"""),7.0)</f>
        <v>7</v>
      </c>
      <c r="J581" s="251">
        <f>IFERROR(__xludf.DUMMYFUNCTION("""COMPUTED_VALUE"""),1.0)</f>
        <v>1</v>
      </c>
      <c r="K581" s="251" t="str">
        <f>IFERROR(__xludf.DUMMYFUNCTION("""COMPUTED_VALUE"""),"Small")</f>
        <v>Small</v>
      </c>
      <c r="L581" s="251">
        <f>IFERROR(__xludf.DUMMYFUNCTION("""COMPUTED_VALUE"""),1.0)</f>
        <v>1</v>
      </c>
      <c r="M581" s="251" t="str">
        <f>IFERROR(__xludf.DUMMYFUNCTION("""COMPUTED_VALUE"""),"Cave, Forest")</f>
        <v>Cave, Forest</v>
      </c>
      <c r="N581" s="251" t="str">
        <f>IFERROR(__xludf.DUMMYFUNCTION("""COMPUTED_VALUE"""),"Climber")</f>
        <v>Climber</v>
      </c>
      <c r="O581" s="251" t="str">
        <f>IFERROR(__xludf.DUMMYFUNCTION("""COMPUTED_VALUE"""),"--")</f>
        <v>--</v>
      </c>
      <c r="P581" s="251" t="str">
        <f>IFERROR(__xludf.DUMMYFUNCTION("""COMPUTED_VALUE"""),"--")</f>
        <v>--</v>
      </c>
      <c r="Q581" s="251" t="str">
        <f>IFERROR(__xludf.DUMMYFUNCTION("""COMPUTED_VALUE"""),"--")</f>
        <v>--</v>
      </c>
      <c r="R581" s="251" t="str">
        <f>IFERROR(__xludf.DUMMYFUNCTION("""COMPUTED_VALUE"""),"Threaded")</f>
        <v>Threaded</v>
      </c>
      <c r="S581" s="251" t="str">
        <f>IFERROR(__xludf.DUMMYFUNCTION("""COMPUTED_VALUE"""),"Underdog")</f>
        <v>Underdog</v>
      </c>
      <c r="T581" s="251" t="str">
        <f>IFERROR(__xludf.DUMMYFUNCTION("""COMPUTED_VALUE"""),"--")</f>
        <v>--</v>
      </c>
      <c r="U581" s="251" t="str">
        <f>IFERROR(__xludf.DUMMYFUNCTION("""COMPUTED_VALUE"""),"--")</f>
        <v>--</v>
      </c>
      <c r="V581" s="251" t="str">
        <f>IFERROR(__xludf.DUMMYFUNCTION("""COMPUTED_VALUE"""),"--")</f>
        <v>--</v>
      </c>
      <c r="W581" s="251" t="str">
        <f>IFERROR(__xludf.DUMMYFUNCTION("""COMPUTED_VALUE"""),"--")</f>
        <v>--</v>
      </c>
      <c r="X581" s="251" t="str">
        <f>IFERROR(__xludf.DUMMYFUNCTION("""COMPUTED_VALUE"""),"--")</f>
        <v>--</v>
      </c>
      <c r="Y581" s="251" t="str">
        <f>IFERROR(__xludf.DUMMYFUNCTION("""COMPUTED_VALUE"""),"--")</f>
        <v>--</v>
      </c>
      <c r="Z581" s="251" t="str">
        <f>IFERROR(__xludf.DUMMYFUNCTION("""COMPUTED_VALUE"""),"--")</f>
        <v>--</v>
      </c>
      <c r="AA581" s="251" t="str">
        <f>IFERROR(__xludf.DUMMYFUNCTION("""COMPUTED_VALUE"""),"--")</f>
        <v>--</v>
      </c>
      <c r="AB581" s="251" t="str">
        <f>IFERROR(__xludf.DUMMYFUNCTION("""COMPUTED_VALUE"""),"--")</f>
        <v>--</v>
      </c>
      <c r="AC581" s="251" t="str">
        <f>IFERROR(__xludf.DUMMYFUNCTION("""COMPUTED_VALUE"""),"--")</f>
        <v>--</v>
      </c>
      <c r="AD581" s="251">
        <f>IFERROR(__xludf.DUMMYFUNCTION("""COMPUTED_VALUE"""),2.0)</f>
        <v>2</v>
      </c>
      <c r="AE581" s="251" t="str">
        <f>IFERROR(__xludf.DUMMYFUNCTION("""COMPUTED_VALUE"""),"Carnivore")</f>
        <v>Carnivore</v>
      </c>
    </row>
    <row r="582">
      <c r="A582" s="251" t="str">
        <f>IFERROR(__xludf.DUMMYFUNCTION("""COMPUTED_VALUE"""),"Galvantula")</f>
        <v>Galvantula</v>
      </c>
      <c r="B582" s="251" t="str">
        <f>IFERROR(__xludf.DUMMYFUNCTION("""COMPUTED_VALUE"""),"Bug")</f>
        <v>Bug</v>
      </c>
      <c r="C582" s="251" t="str">
        <f>IFERROR(__xludf.DUMMYFUNCTION("""COMPUTED_VALUE"""),"Electric")</f>
        <v>Electric</v>
      </c>
      <c r="D582" s="251">
        <f>IFERROR(__xludf.DUMMYFUNCTION("""COMPUTED_VALUE"""),8.0)</f>
        <v>8</v>
      </c>
      <c r="E582" s="251">
        <f>IFERROR(__xludf.DUMMYFUNCTION("""COMPUTED_VALUE"""),8.0)</f>
        <v>8</v>
      </c>
      <c r="F582" s="251">
        <f>IFERROR(__xludf.DUMMYFUNCTION("""COMPUTED_VALUE"""),6.0)</f>
        <v>6</v>
      </c>
      <c r="G582" s="251">
        <f>IFERROR(__xludf.DUMMYFUNCTION("""COMPUTED_VALUE"""),11.0)</f>
        <v>11</v>
      </c>
      <c r="H582" s="251">
        <f>IFERROR(__xludf.DUMMYFUNCTION("""COMPUTED_VALUE"""),6.0)</f>
        <v>6</v>
      </c>
      <c r="I582" s="251">
        <f>IFERROR(__xludf.DUMMYFUNCTION("""COMPUTED_VALUE"""),12.0)</f>
        <v>12</v>
      </c>
      <c r="J582" s="251">
        <f>IFERROR(__xludf.DUMMYFUNCTION("""COMPUTED_VALUE"""),2.0)</f>
        <v>2</v>
      </c>
      <c r="K582" s="251" t="str">
        <f>IFERROR(__xludf.DUMMYFUNCTION("""COMPUTED_VALUE"""),"Small")</f>
        <v>Small</v>
      </c>
      <c r="L582" s="251">
        <f>IFERROR(__xludf.DUMMYFUNCTION("""COMPUTED_VALUE"""),2.0)</f>
        <v>2</v>
      </c>
      <c r="M582" s="251" t="str">
        <f>IFERROR(__xludf.DUMMYFUNCTION("""COMPUTED_VALUE"""),"Cave, Forest")</f>
        <v>Cave, Forest</v>
      </c>
      <c r="N582" s="251" t="str">
        <f>IFERROR(__xludf.DUMMYFUNCTION("""COMPUTED_VALUE"""),"Climber")</f>
        <v>Climber</v>
      </c>
      <c r="O582" s="251" t="str">
        <f>IFERROR(__xludf.DUMMYFUNCTION("""COMPUTED_VALUE"""),"--")</f>
        <v>--</v>
      </c>
      <c r="P582" s="251" t="str">
        <f>IFERROR(__xludf.DUMMYFUNCTION("""COMPUTED_VALUE"""),"--")</f>
        <v>--</v>
      </c>
      <c r="Q582" s="251" t="str">
        <f>IFERROR(__xludf.DUMMYFUNCTION("""COMPUTED_VALUE"""),"--")</f>
        <v>--</v>
      </c>
      <c r="R582" s="251" t="str">
        <f>IFERROR(__xludf.DUMMYFUNCTION("""COMPUTED_VALUE"""),"Threaded")</f>
        <v>Threaded</v>
      </c>
      <c r="S582" s="251" t="str">
        <f>IFERROR(__xludf.DUMMYFUNCTION("""COMPUTED_VALUE"""),"Underdog")</f>
        <v>Underdog</v>
      </c>
      <c r="T582" s="251" t="str">
        <f>IFERROR(__xludf.DUMMYFUNCTION("""COMPUTED_VALUE"""),"--")</f>
        <v>--</v>
      </c>
      <c r="U582" s="251" t="str">
        <f>IFERROR(__xludf.DUMMYFUNCTION("""COMPUTED_VALUE"""),"--")</f>
        <v>--</v>
      </c>
      <c r="V582" s="251" t="str">
        <f>IFERROR(__xludf.DUMMYFUNCTION("""COMPUTED_VALUE"""),"--")</f>
        <v>--</v>
      </c>
      <c r="W582" s="251" t="str">
        <f>IFERROR(__xludf.DUMMYFUNCTION("""COMPUTED_VALUE"""),"--")</f>
        <v>--</v>
      </c>
      <c r="X582" s="251" t="str">
        <f>IFERROR(__xludf.DUMMYFUNCTION("""COMPUTED_VALUE"""),"--")</f>
        <v>--</v>
      </c>
      <c r="Y582" s="251" t="str">
        <f>IFERROR(__xludf.DUMMYFUNCTION("""COMPUTED_VALUE"""),"--")</f>
        <v>--</v>
      </c>
      <c r="Z582" s="251" t="str">
        <f>IFERROR(__xludf.DUMMYFUNCTION("""COMPUTED_VALUE"""),"--")</f>
        <v>--</v>
      </c>
      <c r="AA582" s="251" t="str">
        <f>IFERROR(__xludf.DUMMYFUNCTION("""COMPUTED_VALUE"""),"--")</f>
        <v>--</v>
      </c>
      <c r="AB582" s="251" t="str">
        <f>IFERROR(__xludf.DUMMYFUNCTION("""COMPUTED_VALUE"""),"--")</f>
        <v>--</v>
      </c>
      <c r="AC582" s="251" t="str">
        <f>IFERROR(__xludf.DUMMYFUNCTION("""COMPUTED_VALUE"""),"--")</f>
        <v>--</v>
      </c>
      <c r="AD582" s="251">
        <f>IFERROR(__xludf.DUMMYFUNCTION("""COMPUTED_VALUE"""),3.0)</f>
        <v>3</v>
      </c>
      <c r="AE582" s="251" t="str">
        <f>IFERROR(__xludf.DUMMYFUNCTION("""COMPUTED_VALUE"""),"Carnivore")</f>
        <v>Carnivore</v>
      </c>
    </row>
    <row r="583">
      <c r="A583" s="251" t="str">
        <f>IFERROR(__xludf.DUMMYFUNCTION("""COMPUTED_VALUE"""),"Larvesta")</f>
        <v>Larvesta</v>
      </c>
      <c r="B583" s="251" t="str">
        <f>IFERROR(__xludf.DUMMYFUNCTION("""COMPUTED_VALUE"""),"Bug")</f>
        <v>Bug</v>
      </c>
      <c r="C583" s="251" t="str">
        <f>IFERROR(__xludf.DUMMYFUNCTION("""COMPUTED_VALUE"""),"Fire")</f>
        <v>Fire</v>
      </c>
      <c r="D583" s="251">
        <f>IFERROR(__xludf.DUMMYFUNCTION("""COMPUTED_VALUE"""),6.0)</f>
        <v>6</v>
      </c>
      <c r="E583" s="251">
        <f>IFERROR(__xludf.DUMMYFUNCTION("""COMPUTED_VALUE"""),9.0)</f>
        <v>9</v>
      </c>
      <c r="F583" s="251">
        <f>IFERROR(__xludf.DUMMYFUNCTION("""COMPUTED_VALUE"""),6.0)</f>
        <v>6</v>
      </c>
      <c r="G583" s="251">
        <f>IFERROR(__xludf.DUMMYFUNCTION("""COMPUTED_VALUE"""),5.0)</f>
        <v>5</v>
      </c>
      <c r="H583" s="251">
        <f>IFERROR(__xludf.DUMMYFUNCTION("""COMPUTED_VALUE"""),6.0)</f>
        <v>6</v>
      </c>
      <c r="I583" s="251">
        <f>IFERROR(__xludf.DUMMYFUNCTION("""COMPUTED_VALUE"""),6.0)</f>
        <v>6</v>
      </c>
      <c r="J583" s="251">
        <f>IFERROR(__xludf.DUMMYFUNCTION("""COMPUTED_VALUE"""),2.0)</f>
        <v>2</v>
      </c>
      <c r="K583" s="251" t="str">
        <f>IFERROR(__xludf.DUMMYFUNCTION("""COMPUTED_VALUE"""),"Medium")</f>
        <v>Medium</v>
      </c>
      <c r="L583" s="251">
        <f>IFERROR(__xludf.DUMMYFUNCTION("""COMPUTED_VALUE"""),3.0)</f>
        <v>3</v>
      </c>
      <c r="M583" s="251" t="str">
        <f>IFERROR(__xludf.DUMMYFUNCTION("""COMPUTED_VALUE"""),"Cave, Forest")</f>
        <v>Cave, Forest</v>
      </c>
      <c r="N583" s="251" t="str">
        <f>IFERROR(__xludf.DUMMYFUNCTION("""COMPUTED_VALUE"""),"Slow")</f>
        <v>Slow</v>
      </c>
      <c r="O583" s="251" t="str">
        <f>IFERROR(__xludf.DUMMYFUNCTION("""COMPUTED_VALUE"""),"--")</f>
        <v>--</v>
      </c>
      <c r="P583" s="251" t="str">
        <f>IFERROR(__xludf.DUMMYFUNCTION("""COMPUTED_VALUE"""),"--")</f>
        <v>--</v>
      </c>
      <c r="Q583" s="251" t="str">
        <f>IFERROR(__xludf.DUMMYFUNCTION("""COMPUTED_VALUE"""),"--")</f>
        <v>--</v>
      </c>
      <c r="R583" s="251" t="str">
        <f>IFERROR(__xludf.DUMMYFUNCTION("""COMPUTED_VALUE"""),"Threaded")</f>
        <v>Threaded</v>
      </c>
      <c r="S583" s="251" t="str">
        <f>IFERROR(__xludf.DUMMYFUNCTION("""COMPUTED_VALUE"""),"Underdog")</f>
        <v>Underdog</v>
      </c>
      <c r="T583" s="251" t="str">
        <f>IFERROR(__xludf.DUMMYFUNCTION("""COMPUTED_VALUE"""),"--")</f>
        <v>--</v>
      </c>
      <c r="U583" s="251" t="str">
        <f>IFERROR(__xludf.DUMMYFUNCTION("""COMPUTED_VALUE"""),"--")</f>
        <v>--</v>
      </c>
      <c r="V583" s="251" t="str">
        <f>IFERROR(__xludf.DUMMYFUNCTION("""COMPUTED_VALUE"""),"Heater")</f>
        <v>Heater</v>
      </c>
      <c r="W583" s="251" t="str">
        <f>IFERROR(__xludf.DUMMYFUNCTION("""COMPUTED_VALUE"""),"--")</f>
        <v>--</v>
      </c>
      <c r="X583" s="251" t="str">
        <f>IFERROR(__xludf.DUMMYFUNCTION("""COMPUTED_VALUE"""),"--")</f>
        <v>--</v>
      </c>
      <c r="Y583" s="251" t="str">
        <f>IFERROR(__xludf.DUMMYFUNCTION("""COMPUTED_VALUE"""),"--")</f>
        <v>--</v>
      </c>
      <c r="Z583" s="251" t="str">
        <f>IFERROR(__xludf.DUMMYFUNCTION("""COMPUTED_VALUE"""),"--")</f>
        <v>--</v>
      </c>
      <c r="AA583" s="251" t="str">
        <f>IFERROR(__xludf.DUMMYFUNCTION("""COMPUTED_VALUE"""),"--")</f>
        <v>--</v>
      </c>
      <c r="AB583" s="251" t="str">
        <f>IFERROR(__xludf.DUMMYFUNCTION("""COMPUTED_VALUE"""),"--")</f>
        <v>--</v>
      </c>
      <c r="AC583" s="251" t="str">
        <f>IFERROR(__xludf.DUMMYFUNCTION("""COMPUTED_VALUE"""),"--")</f>
        <v>--</v>
      </c>
      <c r="AD583" s="251">
        <f>IFERROR(__xludf.DUMMYFUNCTION("""COMPUTED_VALUE"""),2.0)</f>
        <v>2</v>
      </c>
      <c r="AE583" s="251" t="str">
        <f>IFERROR(__xludf.DUMMYFUNCTION("""COMPUTED_VALUE"""),"Omnivore")</f>
        <v>Omnivore</v>
      </c>
    </row>
    <row r="584">
      <c r="A584" s="251" t="str">
        <f>IFERROR(__xludf.DUMMYFUNCTION("""COMPUTED_VALUE"""),"Volcarona")</f>
        <v>Volcarona</v>
      </c>
      <c r="B584" s="251" t="str">
        <f>IFERROR(__xludf.DUMMYFUNCTION("""COMPUTED_VALUE"""),"Bug")</f>
        <v>Bug</v>
      </c>
      <c r="C584" s="251" t="str">
        <f>IFERROR(__xludf.DUMMYFUNCTION("""COMPUTED_VALUE"""),"Fire")</f>
        <v>Fire</v>
      </c>
      <c r="D584" s="251">
        <f>IFERROR(__xludf.DUMMYFUNCTION("""COMPUTED_VALUE"""),9.0)</f>
        <v>9</v>
      </c>
      <c r="E584" s="251">
        <f>IFERROR(__xludf.DUMMYFUNCTION("""COMPUTED_VALUE"""),6.0)</f>
        <v>6</v>
      </c>
      <c r="F584" s="251">
        <f>IFERROR(__xludf.DUMMYFUNCTION("""COMPUTED_VALUE"""),7.0)</f>
        <v>7</v>
      </c>
      <c r="G584" s="251">
        <f>IFERROR(__xludf.DUMMYFUNCTION("""COMPUTED_VALUE"""),14.0)</f>
        <v>14</v>
      </c>
      <c r="H584" s="251">
        <f>IFERROR(__xludf.DUMMYFUNCTION("""COMPUTED_VALUE"""),11.0)</f>
        <v>11</v>
      </c>
      <c r="I584" s="251">
        <f>IFERROR(__xludf.DUMMYFUNCTION("""COMPUTED_VALUE"""),10.0)</f>
        <v>10</v>
      </c>
      <c r="J584" s="251">
        <f>IFERROR(__xludf.DUMMYFUNCTION("""COMPUTED_VALUE"""),3.0)</f>
        <v>3</v>
      </c>
      <c r="K584" s="251" t="str">
        <f>IFERROR(__xludf.DUMMYFUNCTION("""COMPUTED_VALUE"""),"Medium")</f>
        <v>Medium</v>
      </c>
      <c r="L584" s="251">
        <f>IFERROR(__xludf.DUMMYFUNCTION("""COMPUTED_VALUE"""),3.0)</f>
        <v>3</v>
      </c>
      <c r="M584" s="251" t="str">
        <f>IFERROR(__xludf.DUMMYFUNCTION("""COMPUTED_VALUE"""),"Cave, Forest")</f>
        <v>Cave, Forest</v>
      </c>
      <c r="N584" s="251" t="str">
        <f>IFERROR(__xludf.DUMMYFUNCTION("""COMPUTED_VALUE"""),"Flier")</f>
        <v>Flier</v>
      </c>
      <c r="O584" s="251" t="str">
        <f>IFERROR(__xludf.DUMMYFUNCTION("""COMPUTED_VALUE"""),"--")</f>
        <v>--</v>
      </c>
      <c r="P584" s="251" t="str">
        <f>IFERROR(__xludf.DUMMYFUNCTION("""COMPUTED_VALUE"""),"--")</f>
        <v>--</v>
      </c>
      <c r="Q584" s="251" t="str">
        <f>IFERROR(__xludf.DUMMYFUNCTION("""COMPUTED_VALUE"""),"--")</f>
        <v>--</v>
      </c>
      <c r="R584" s="251" t="str">
        <f>IFERROR(__xludf.DUMMYFUNCTION("""COMPUTED_VALUE"""),"Threaded")</f>
        <v>Threaded</v>
      </c>
      <c r="S584" s="251" t="str">
        <f>IFERROR(__xludf.DUMMYFUNCTION("""COMPUTED_VALUE"""),"--")</f>
        <v>--</v>
      </c>
      <c r="T584" s="251" t="str">
        <f>IFERROR(__xludf.DUMMYFUNCTION("""COMPUTED_VALUE"""),"--")</f>
        <v>--</v>
      </c>
      <c r="U584" s="251" t="str">
        <f>IFERROR(__xludf.DUMMYFUNCTION("""COMPUTED_VALUE"""),"--")</f>
        <v>--</v>
      </c>
      <c r="V584" s="251" t="str">
        <f>IFERROR(__xludf.DUMMYFUNCTION("""COMPUTED_VALUE"""),"Heater")</f>
        <v>Heater</v>
      </c>
      <c r="W584" s="251" t="str">
        <f>IFERROR(__xludf.DUMMYFUNCTION("""COMPUTED_VALUE"""),"--")</f>
        <v>--</v>
      </c>
      <c r="X584" s="251" t="str">
        <f>IFERROR(__xludf.DUMMYFUNCTION("""COMPUTED_VALUE"""),"--")</f>
        <v>--</v>
      </c>
      <c r="Y584" s="251" t="str">
        <f>IFERROR(__xludf.DUMMYFUNCTION("""COMPUTED_VALUE"""),"--")</f>
        <v>--</v>
      </c>
      <c r="Z584" s="251" t="str">
        <f>IFERROR(__xludf.DUMMYFUNCTION("""COMPUTED_VALUE"""),"--")</f>
        <v>--</v>
      </c>
      <c r="AA584" s="251" t="str">
        <f>IFERROR(__xludf.DUMMYFUNCTION("""COMPUTED_VALUE"""),"--")</f>
        <v>--</v>
      </c>
      <c r="AB584" s="251" t="str">
        <f>IFERROR(__xludf.DUMMYFUNCTION("""COMPUTED_VALUE"""),"--")</f>
        <v>--</v>
      </c>
      <c r="AC584" s="251" t="str">
        <f>IFERROR(__xludf.DUMMYFUNCTION("""COMPUTED_VALUE"""),"--")</f>
        <v>--</v>
      </c>
      <c r="AD584" s="251">
        <f>IFERROR(__xludf.DUMMYFUNCTION("""COMPUTED_VALUE"""),3.0)</f>
        <v>3</v>
      </c>
      <c r="AE584" s="251" t="str">
        <f>IFERROR(__xludf.DUMMYFUNCTION("""COMPUTED_VALUE"""),"Omnivore")</f>
        <v>Omnivore</v>
      </c>
    </row>
    <row r="585">
      <c r="A585" s="251" t="str">
        <f>IFERROR(__xludf.DUMMYFUNCTION("""COMPUTED_VALUE"""),"Cutiefly")</f>
        <v>Cutiefly</v>
      </c>
      <c r="B585" s="251" t="str">
        <f>IFERROR(__xludf.DUMMYFUNCTION("""COMPUTED_VALUE"""),"Bug")</f>
        <v>Bug</v>
      </c>
      <c r="C585" s="251" t="str">
        <f>IFERROR(__xludf.DUMMYFUNCTION("""COMPUTED_VALUE"""),"Fairy")</f>
        <v>Fairy</v>
      </c>
      <c r="D585" s="251">
        <f>IFERROR(__xludf.DUMMYFUNCTION("""COMPUTED_VALUE"""),4.0)</f>
        <v>4</v>
      </c>
      <c r="E585" s="251">
        <f>IFERROR(__xludf.DUMMYFUNCTION("""COMPUTED_VALUE"""),5.0)</f>
        <v>5</v>
      </c>
      <c r="F585" s="251">
        <f>IFERROR(__xludf.DUMMYFUNCTION("""COMPUTED_VALUE"""),4.0)</f>
        <v>4</v>
      </c>
      <c r="G585" s="251">
        <f>IFERROR(__xludf.DUMMYFUNCTION("""COMPUTED_VALUE"""),6.0)</f>
        <v>6</v>
      </c>
      <c r="H585" s="251">
        <f>IFERROR(__xludf.DUMMYFUNCTION("""COMPUTED_VALUE"""),4.0)</f>
        <v>4</v>
      </c>
      <c r="I585" s="251">
        <f>IFERROR(__xludf.DUMMYFUNCTION("""COMPUTED_VALUE"""),8.0)</f>
        <v>8</v>
      </c>
      <c r="J585" s="251">
        <f>IFERROR(__xludf.DUMMYFUNCTION("""COMPUTED_VALUE"""),1.0)</f>
        <v>1</v>
      </c>
      <c r="K585" s="251" t="str">
        <f>IFERROR(__xludf.DUMMYFUNCTION("""COMPUTED_VALUE"""),"Small")</f>
        <v>Small</v>
      </c>
      <c r="L585" s="251">
        <f>IFERROR(__xludf.DUMMYFUNCTION("""COMPUTED_VALUE"""),1.0)</f>
        <v>1</v>
      </c>
      <c r="M585" s="251" t="str">
        <f>IFERROR(__xludf.DUMMYFUNCTION("""COMPUTED_VALUE"""),"Forest, Grasslands")</f>
        <v>Forest, Grasslands</v>
      </c>
      <c r="N585" s="251" t="str">
        <f>IFERROR(__xludf.DUMMYFUNCTION("""COMPUTED_VALUE"""),"Flier")</f>
        <v>Flier</v>
      </c>
      <c r="O585" s="251" t="str">
        <f>IFERROR(__xludf.DUMMYFUNCTION("""COMPUTED_VALUE"""),"Slow")</f>
        <v>Slow</v>
      </c>
      <c r="P585" s="251" t="str">
        <f>IFERROR(__xludf.DUMMYFUNCTION("""COMPUTED_VALUE"""),"--")</f>
        <v>--</v>
      </c>
      <c r="Q585" s="251" t="str">
        <f>IFERROR(__xludf.DUMMYFUNCTION("""COMPUTED_VALUE"""),"--")</f>
        <v>--</v>
      </c>
      <c r="R585" s="251" t="str">
        <f>IFERROR(__xludf.DUMMYFUNCTION("""COMPUTED_VALUE"""),"Underdog")</f>
        <v>Underdog</v>
      </c>
      <c r="S585" s="251" t="str">
        <f>IFERROR(__xludf.DUMMYFUNCTION("""COMPUTED_VALUE"""),"--")</f>
        <v>--</v>
      </c>
      <c r="T585" s="251" t="str">
        <f>IFERROR(__xludf.DUMMYFUNCTION("""COMPUTED_VALUE"""),"--")</f>
        <v>--</v>
      </c>
      <c r="U585" s="251" t="str">
        <f>IFERROR(__xludf.DUMMYFUNCTION("""COMPUTED_VALUE"""),"--")</f>
        <v>--</v>
      </c>
      <c r="V585" s="251" t="str">
        <f>IFERROR(__xludf.DUMMYFUNCTION("""COMPUTED_VALUE"""),"Aura Reader")</f>
        <v>Aura Reader</v>
      </c>
      <c r="W585" s="251" t="str">
        <f>IFERROR(__xludf.DUMMYFUNCTION("""COMPUTED_VALUE"""),"--")</f>
        <v>--</v>
      </c>
      <c r="X585" s="251" t="str">
        <f>IFERROR(__xludf.DUMMYFUNCTION("""COMPUTED_VALUE"""),"--")</f>
        <v>--</v>
      </c>
      <c r="Y585" s="251" t="str">
        <f>IFERROR(__xludf.DUMMYFUNCTION("""COMPUTED_VALUE"""),"--")</f>
        <v>--</v>
      </c>
      <c r="Z585" s="251" t="str">
        <f>IFERROR(__xludf.DUMMYFUNCTION("""COMPUTED_VALUE"""),"--")</f>
        <v>--</v>
      </c>
      <c r="AA585" s="251" t="str">
        <f>IFERROR(__xludf.DUMMYFUNCTION("""COMPUTED_VALUE"""),"--")</f>
        <v>--</v>
      </c>
      <c r="AB585" s="251" t="str">
        <f>IFERROR(__xludf.DUMMYFUNCTION("""COMPUTED_VALUE"""),"--")</f>
        <v>--</v>
      </c>
      <c r="AC585" s="251" t="str">
        <f>IFERROR(__xludf.DUMMYFUNCTION("""COMPUTED_VALUE"""),"--")</f>
        <v>--</v>
      </c>
      <c r="AD585" s="251">
        <f>IFERROR(__xludf.DUMMYFUNCTION("""COMPUTED_VALUE"""),2.0)</f>
        <v>2</v>
      </c>
      <c r="AE585" s="251" t="str">
        <f>IFERROR(__xludf.DUMMYFUNCTION("""COMPUTED_VALUE"""),"Herbivore")</f>
        <v>Herbivore</v>
      </c>
    </row>
    <row r="586">
      <c r="A586" s="251" t="str">
        <f>IFERROR(__xludf.DUMMYFUNCTION("""COMPUTED_VALUE"""),"Ribombee")</f>
        <v>Ribombee</v>
      </c>
      <c r="B586" s="251" t="str">
        <f>IFERROR(__xludf.DUMMYFUNCTION("""COMPUTED_VALUE"""),"Bug")</f>
        <v>Bug</v>
      </c>
      <c r="C586" s="251" t="str">
        <f>IFERROR(__xludf.DUMMYFUNCTION("""COMPUTED_VALUE"""),"Fairy")</f>
        <v>Fairy</v>
      </c>
      <c r="D586" s="251">
        <f>IFERROR(__xludf.DUMMYFUNCTION("""COMPUTED_VALUE"""),7.0)</f>
        <v>7</v>
      </c>
      <c r="E586" s="251">
        <f>IFERROR(__xludf.DUMMYFUNCTION("""COMPUTED_VALUE"""),6.0)</f>
        <v>6</v>
      </c>
      <c r="F586" s="251">
        <f>IFERROR(__xludf.DUMMYFUNCTION("""COMPUTED_VALUE"""),6.0)</f>
        <v>6</v>
      </c>
      <c r="G586" s="251">
        <f>IFERROR(__xludf.DUMMYFUNCTION("""COMPUTED_VALUE"""),10.0)</f>
        <v>10</v>
      </c>
      <c r="H586" s="251">
        <f>IFERROR(__xludf.DUMMYFUNCTION("""COMPUTED_VALUE"""),10.0)</f>
        <v>10</v>
      </c>
      <c r="I586" s="251">
        <f>IFERROR(__xludf.DUMMYFUNCTION("""COMPUTED_VALUE"""),12.0)</f>
        <v>12</v>
      </c>
      <c r="J586" s="251">
        <f>IFERROR(__xludf.DUMMYFUNCTION("""COMPUTED_VALUE"""),1.0)</f>
        <v>1</v>
      </c>
      <c r="K586" s="251" t="str">
        <f>IFERROR(__xludf.DUMMYFUNCTION("""COMPUTED_VALUE"""),"Small")</f>
        <v>Small</v>
      </c>
      <c r="L586" s="251">
        <f>IFERROR(__xludf.DUMMYFUNCTION("""COMPUTED_VALUE"""),1.0)</f>
        <v>1</v>
      </c>
      <c r="M586" s="251" t="str">
        <f>IFERROR(__xludf.DUMMYFUNCTION("""COMPUTED_VALUE"""),"Forest, Grasslands")</f>
        <v>Forest, Grasslands</v>
      </c>
      <c r="N586" s="251" t="str">
        <f>IFERROR(__xludf.DUMMYFUNCTION("""COMPUTED_VALUE"""),"Flier")</f>
        <v>Flier</v>
      </c>
      <c r="O586" s="251" t="str">
        <f>IFERROR(__xludf.DUMMYFUNCTION("""COMPUTED_VALUE"""),"--")</f>
        <v>--</v>
      </c>
      <c r="P586" s="251" t="str">
        <f>IFERROR(__xludf.DUMMYFUNCTION("""COMPUTED_VALUE"""),"--")</f>
        <v>--</v>
      </c>
      <c r="Q586" s="251" t="str">
        <f>IFERROR(__xludf.DUMMYFUNCTION("""COMPUTED_VALUE"""),"--")</f>
        <v>--</v>
      </c>
      <c r="R586" s="251" t="str">
        <f>IFERROR(__xludf.DUMMYFUNCTION("""COMPUTED_VALUE"""),"--")</f>
        <v>--</v>
      </c>
      <c r="S586" s="251" t="str">
        <f>IFERROR(__xludf.DUMMYFUNCTION("""COMPUTED_VALUE"""),"--")</f>
        <v>--</v>
      </c>
      <c r="T586" s="251" t="str">
        <f>IFERROR(__xludf.DUMMYFUNCTION("""COMPUTED_VALUE"""),"--")</f>
        <v>--</v>
      </c>
      <c r="U586" s="251" t="str">
        <f>IFERROR(__xludf.DUMMYFUNCTION("""COMPUTED_VALUE"""),"--")</f>
        <v>--</v>
      </c>
      <c r="V586" s="251" t="str">
        <f>IFERROR(__xludf.DUMMYFUNCTION("""COMPUTED_VALUE"""),"Aura Reader")</f>
        <v>Aura Reader</v>
      </c>
      <c r="W586" s="251" t="str">
        <f>IFERROR(__xludf.DUMMYFUNCTION("""COMPUTED_VALUE"""),"--")</f>
        <v>--</v>
      </c>
      <c r="X586" s="251" t="str">
        <f>IFERROR(__xludf.DUMMYFUNCTION("""COMPUTED_VALUE"""),"--")</f>
        <v>--</v>
      </c>
      <c r="Y586" s="251" t="str">
        <f>IFERROR(__xludf.DUMMYFUNCTION("""COMPUTED_VALUE"""),"--")</f>
        <v>--</v>
      </c>
      <c r="Z586" s="251" t="str">
        <f>IFERROR(__xludf.DUMMYFUNCTION("""COMPUTED_VALUE"""),"--")</f>
        <v>--</v>
      </c>
      <c r="AA586" s="251" t="str">
        <f>IFERROR(__xludf.DUMMYFUNCTION("""COMPUTED_VALUE"""),"--")</f>
        <v>--</v>
      </c>
      <c r="AB586" s="251" t="str">
        <f>IFERROR(__xludf.DUMMYFUNCTION("""COMPUTED_VALUE"""),"--")</f>
        <v>--</v>
      </c>
      <c r="AC586" s="251" t="str">
        <f>IFERROR(__xludf.DUMMYFUNCTION("""COMPUTED_VALUE"""),"--")</f>
        <v>--</v>
      </c>
      <c r="AD586" s="251">
        <f>IFERROR(__xludf.DUMMYFUNCTION("""COMPUTED_VALUE"""),3.0)</f>
        <v>3</v>
      </c>
      <c r="AE586" s="251" t="str">
        <f>IFERROR(__xludf.DUMMYFUNCTION("""COMPUTED_VALUE"""),"Herbivore")</f>
        <v>Herbivore</v>
      </c>
    </row>
    <row r="587">
      <c r="A587" s="251" t="str">
        <f>IFERROR(__xludf.DUMMYFUNCTION("""COMPUTED_VALUE"""),"Wimpod")</f>
        <v>Wimpod</v>
      </c>
      <c r="B587" s="251" t="str">
        <f>IFERROR(__xludf.DUMMYFUNCTION("""COMPUTED_VALUE"""),"Bug")</f>
        <v>Bug</v>
      </c>
      <c r="C587" s="251" t="str">
        <f>IFERROR(__xludf.DUMMYFUNCTION("""COMPUTED_VALUE"""),"Water")</f>
        <v>Water</v>
      </c>
      <c r="D587" s="251">
        <f>IFERROR(__xludf.DUMMYFUNCTION("""COMPUTED_VALUE"""),4.0)</f>
        <v>4</v>
      </c>
      <c r="E587" s="251">
        <f>IFERROR(__xludf.DUMMYFUNCTION("""COMPUTED_VALUE"""),5.0)</f>
        <v>5</v>
      </c>
      <c r="F587" s="251">
        <f>IFERROR(__xludf.DUMMYFUNCTION("""COMPUTED_VALUE"""),5.0)</f>
        <v>5</v>
      </c>
      <c r="G587" s="251">
        <f>IFERROR(__xludf.DUMMYFUNCTION("""COMPUTED_VALUE"""),3.0)</f>
        <v>3</v>
      </c>
      <c r="H587" s="251">
        <f>IFERROR(__xludf.DUMMYFUNCTION("""COMPUTED_VALUE"""),4.0)</f>
        <v>4</v>
      </c>
      <c r="I587" s="251">
        <f>IFERROR(__xludf.DUMMYFUNCTION("""COMPUTED_VALUE"""),9.0)</f>
        <v>9</v>
      </c>
      <c r="J587" s="251">
        <f>IFERROR(__xludf.DUMMYFUNCTION("""COMPUTED_VALUE"""),1.0)</f>
        <v>1</v>
      </c>
      <c r="K587" s="251" t="str">
        <f>IFERROR(__xludf.DUMMYFUNCTION("""COMPUTED_VALUE"""),"Small")</f>
        <v>Small</v>
      </c>
      <c r="L587" s="251">
        <f>IFERROR(__xludf.DUMMYFUNCTION("""COMPUTED_VALUE"""),2.0)</f>
        <v>2</v>
      </c>
      <c r="M587" s="251" t="str">
        <f>IFERROR(__xludf.DUMMYFUNCTION("""COMPUTED_VALUE"""),"Cave, Ocean")</f>
        <v>Cave, Ocean</v>
      </c>
      <c r="N587" s="251" t="str">
        <f>IFERROR(__xludf.DUMMYFUNCTION("""COMPUTED_VALUE"""),"Swimmer")</f>
        <v>Swimmer</v>
      </c>
      <c r="O587" s="251" t="str">
        <f>IFERROR(__xludf.DUMMYFUNCTION("""COMPUTED_VALUE"""),"--")</f>
        <v>--</v>
      </c>
      <c r="P587" s="251" t="str">
        <f>IFERROR(__xludf.DUMMYFUNCTION("""COMPUTED_VALUE"""),"--")</f>
        <v>--</v>
      </c>
      <c r="Q587" s="251" t="str">
        <f>IFERROR(__xludf.DUMMYFUNCTION("""COMPUTED_VALUE"""),"--")</f>
        <v>--</v>
      </c>
      <c r="R587" s="251" t="str">
        <f>IFERROR(__xludf.DUMMYFUNCTION("""COMPUTED_VALUE"""),"Underdog")</f>
        <v>Underdog</v>
      </c>
      <c r="S587" s="251" t="str">
        <f>IFERROR(__xludf.DUMMYFUNCTION("""COMPUTED_VALUE"""),"--")</f>
        <v>--</v>
      </c>
      <c r="T587" s="251" t="str">
        <f>IFERROR(__xludf.DUMMYFUNCTION("""COMPUTED_VALUE"""),"--")</f>
        <v>--</v>
      </c>
      <c r="U587" s="251" t="str">
        <f>IFERROR(__xludf.DUMMYFUNCTION("""COMPUTED_VALUE"""),"--")</f>
        <v>--</v>
      </c>
      <c r="V587" s="251" t="str">
        <f>IFERROR(__xludf.DUMMYFUNCTION("""COMPUTED_VALUE"""),"Gilled")</f>
        <v>Gilled</v>
      </c>
      <c r="W587" s="251" t="str">
        <f>IFERROR(__xludf.DUMMYFUNCTION("""COMPUTED_VALUE"""),"--")</f>
        <v>--</v>
      </c>
      <c r="X587" s="251" t="str">
        <f>IFERROR(__xludf.DUMMYFUNCTION("""COMPUTED_VALUE"""),"--")</f>
        <v>--</v>
      </c>
      <c r="Y587" s="251" t="str">
        <f>IFERROR(__xludf.DUMMYFUNCTION("""COMPUTED_VALUE"""),"--")</f>
        <v>--</v>
      </c>
      <c r="Z587" s="251" t="str">
        <f>IFERROR(__xludf.DUMMYFUNCTION("""COMPUTED_VALUE"""),"--")</f>
        <v>--</v>
      </c>
      <c r="AA587" s="251" t="str">
        <f>IFERROR(__xludf.DUMMYFUNCTION("""COMPUTED_VALUE"""),"--")</f>
        <v>--</v>
      </c>
      <c r="AB587" s="251" t="str">
        <f>IFERROR(__xludf.DUMMYFUNCTION("""COMPUTED_VALUE"""),"--")</f>
        <v>--</v>
      </c>
      <c r="AC587" s="251" t="str">
        <f>IFERROR(__xludf.DUMMYFUNCTION("""COMPUTED_VALUE"""),"--")</f>
        <v>--</v>
      </c>
      <c r="AD587" s="251">
        <f>IFERROR(__xludf.DUMMYFUNCTION("""COMPUTED_VALUE"""),2.0)</f>
        <v>2</v>
      </c>
      <c r="AE587" s="251" t="str">
        <f>IFERROR(__xludf.DUMMYFUNCTION("""COMPUTED_VALUE"""),"Omnivore")</f>
        <v>Omnivore</v>
      </c>
    </row>
    <row r="588">
      <c r="A588" s="251" t="str">
        <f>IFERROR(__xludf.DUMMYFUNCTION("""COMPUTED_VALUE"""),"Golisopod")</f>
        <v>Golisopod</v>
      </c>
      <c r="B588" s="251" t="str">
        <f>IFERROR(__xludf.DUMMYFUNCTION("""COMPUTED_VALUE"""),"Bug")</f>
        <v>Bug</v>
      </c>
      <c r="C588" s="251" t="str">
        <f>IFERROR(__xludf.DUMMYFUNCTION("""COMPUTED_VALUE"""),"Water")</f>
        <v>Water</v>
      </c>
      <c r="D588" s="251">
        <f>IFERROR(__xludf.DUMMYFUNCTION("""COMPUTED_VALUE"""),8.0)</f>
        <v>8</v>
      </c>
      <c r="E588" s="251">
        <f>IFERROR(__xludf.DUMMYFUNCTION("""COMPUTED_VALUE"""),13.0)</f>
        <v>13</v>
      </c>
      <c r="F588" s="251">
        <f>IFERROR(__xludf.DUMMYFUNCTION("""COMPUTED_VALUE"""),14.0)</f>
        <v>14</v>
      </c>
      <c r="G588" s="251">
        <f>IFERROR(__xludf.DUMMYFUNCTION("""COMPUTED_VALUE"""),6.0)</f>
        <v>6</v>
      </c>
      <c r="H588" s="251">
        <f>IFERROR(__xludf.DUMMYFUNCTION("""COMPUTED_VALUE"""),9.0)</f>
        <v>9</v>
      </c>
      <c r="I588" s="251">
        <f>IFERROR(__xludf.DUMMYFUNCTION("""COMPUTED_VALUE"""),4.0)</f>
        <v>4</v>
      </c>
      <c r="J588" s="251">
        <f>IFERROR(__xludf.DUMMYFUNCTION("""COMPUTED_VALUE"""),8.0)</f>
        <v>8</v>
      </c>
      <c r="K588" s="251" t="str">
        <f>IFERROR(__xludf.DUMMYFUNCTION("""COMPUTED_VALUE"""),"Large")</f>
        <v>Large</v>
      </c>
      <c r="L588" s="251">
        <f>IFERROR(__xludf.DUMMYFUNCTION("""COMPUTED_VALUE"""),5.0)</f>
        <v>5</v>
      </c>
      <c r="M588" s="251" t="str">
        <f>IFERROR(__xludf.DUMMYFUNCTION("""COMPUTED_VALUE"""),"Cave, Ocean")</f>
        <v>Cave, Ocean</v>
      </c>
      <c r="N588" s="251" t="str">
        <f>IFERROR(__xludf.DUMMYFUNCTION("""COMPUTED_VALUE"""),"Swimmer")</f>
        <v>Swimmer</v>
      </c>
      <c r="O588" s="251" t="str">
        <f>IFERROR(__xludf.DUMMYFUNCTION("""COMPUTED_VALUE"""),"--")</f>
        <v>--</v>
      </c>
      <c r="P588" s="251" t="str">
        <f>IFERROR(__xludf.DUMMYFUNCTION("""COMPUTED_VALUE"""),"--")</f>
        <v>--</v>
      </c>
      <c r="Q588" s="251" t="str">
        <f>IFERROR(__xludf.DUMMYFUNCTION("""COMPUTED_VALUE"""),"--")</f>
        <v>--</v>
      </c>
      <c r="R588" s="251" t="str">
        <f>IFERROR(__xludf.DUMMYFUNCTION("""COMPUTED_VALUE"""),"--")</f>
        <v>--</v>
      </c>
      <c r="S588" s="251" t="str">
        <f>IFERROR(__xludf.DUMMYFUNCTION("""COMPUTED_VALUE"""),"--")</f>
        <v>--</v>
      </c>
      <c r="T588" s="251" t="str">
        <f>IFERROR(__xludf.DUMMYFUNCTION("""COMPUTED_VALUE"""),"--")</f>
        <v>--</v>
      </c>
      <c r="U588" s="251" t="str">
        <f>IFERROR(__xludf.DUMMYFUNCTION("""COMPUTED_VALUE"""),"--")</f>
        <v>--</v>
      </c>
      <c r="V588" s="251" t="str">
        <f>IFERROR(__xludf.DUMMYFUNCTION("""COMPUTED_VALUE"""),"Gilled")</f>
        <v>Gilled</v>
      </c>
      <c r="W588" s="251" t="str">
        <f>IFERROR(__xludf.DUMMYFUNCTION("""COMPUTED_VALUE"""),"--")</f>
        <v>--</v>
      </c>
      <c r="X588" s="251" t="str">
        <f>IFERROR(__xludf.DUMMYFUNCTION("""COMPUTED_VALUE"""),"--")</f>
        <v>--</v>
      </c>
      <c r="Y588" s="251" t="str">
        <f>IFERROR(__xludf.DUMMYFUNCTION("""COMPUTED_VALUE"""),"--")</f>
        <v>--</v>
      </c>
      <c r="Z588" s="251" t="str">
        <f>IFERROR(__xludf.DUMMYFUNCTION("""COMPUTED_VALUE"""),"--")</f>
        <v>--</v>
      </c>
      <c r="AA588" s="251" t="str">
        <f>IFERROR(__xludf.DUMMYFUNCTION("""COMPUTED_VALUE"""),"--")</f>
        <v>--</v>
      </c>
      <c r="AB588" s="251" t="str">
        <f>IFERROR(__xludf.DUMMYFUNCTION("""COMPUTED_VALUE"""),"--")</f>
        <v>--</v>
      </c>
      <c r="AC588" s="251" t="str">
        <f>IFERROR(__xludf.DUMMYFUNCTION("""COMPUTED_VALUE"""),"--")</f>
        <v>--</v>
      </c>
      <c r="AD588" s="251">
        <f>IFERROR(__xludf.DUMMYFUNCTION("""COMPUTED_VALUE"""),3.0)</f>
        <v>3</v>
      </c>
      <c r="AE588" s="251" t="str">
        <f>IFERROR(__xludf.DUMMYFUNCTION("""COMPUTED_VALUE"""),"Omnivore")</f>
        <v>Omnivore</v>
      </c>
    </row>
    <row r="589">
      <c r="A589" s="251" t="str">
        <f>IFERROR(__xludf.DUMMYFUNCTION("""COMPUTED_VALUE"""),"Tarountula")</f>
        <v>Tarountula</v>
      </c>
      <c r="B589" s="251" t="str">
        <f>IFERROR(__xludf.DUMMYFUNCTION("""COMPUTED_VALUE"""),"Bug")</f>
        <v>Bug</v>
      </c>
      <c r="C589" s="251" t="str">
        <f>IFERROR(__xludf.DUMMYFUNCTION("""COMPUTED_VALUE"""),"None")</f>
        <v>None</v>
      </c>
      <c r="D589" s="251">
        <f>IFERROR(__xludf.DUMMYFUNCTION("""COMPUTED_VALUE"""),5.0)</f>
        <v>5</v>
      </c>
      <c r="E589" s="251">
        <f>IFERROR(__xludf.DUMMYFUNCTION("""COMPUTED_VALUE"""),5.0)</f>
        <v>5</v>
      </c>
      <c r="F589" s="251">
        <f>IFERROR(__xludf.DUMMYFUNCTION("""COMPUTED_VALUE"""),7.0)</f>
        <v>7</v>
      </c>
      <c r="G589" s="251">
        <f>IFERROR(__xludf.DUMMYFUNCTION("""COMPUTED_VALUE"""),4.0)</f>
        <v>4</v>
      </c>
      <c r="H589" s="251">
        <f>IFERROR(__xludf.DUMMYFUNCTION("""COMPUTED_VALUE"""),6.0)</f>
        <v>6</v>
      </c>
      <c r="I589" s="251">
        <f>IFERROR(__xludf.DUMMYFUNCTION("""COMPUTED_VALUE"""),3.0)</f>
        <v>3</v>
      </c>
      <c r="J589" s="251">
        <f>IFERROR(__xludf.DUMMYFUNCTION("""COMPUTED_VALUE"""),1.0)</f>
        <v>1</v>
      </c>
      <c r="K589" s="251" t="str">
        <f>IFERROR(__xludf.DUMMYFUNCTION("""COMPUTED_VALUE"""),"Small")</f>
        <v>Small</v>
      </c>
      <c r="L589" s="251">
        <f>IFERROR(__xludf.DUMMYFUNCTION("""COMPUTED_VALUE"""),1.0)</f>
        <v>1</v>
      </c>
      <c r="M589" s="251" t="str">
        <f>IFERROR(__xludf.DUMMYFUNCTION("""COMPUTED_VALUE"""),"Forest")</f>
        <v>Forest</v>
      </c>
      <c r="N589" s="251" t="str">
        <f>IFERROR(__xludf.DUMMYFUNCTION("""COMPUTED_VALUE"""),"Climber")</f>
        <v>Climber</v>
      </c>
      <c r="O589" s="251" t="str">
        <f>IFERROR(__xludf.DUMMYFUNCTION("""COMPUTED_VALUE"""),"--")</f>
        <v>--</v>
      </c>
      <c r="P589" s="251" t="str">
        <f>IFERROR(__xludf.DUMMYFUNCTION("""COMPUTED_VALUE"""),"--")</f>
        <v>--</v>
      </c>
      <c r="Q589" s="251" t="str">
        <f>IFERROR(__xludf.DUMMYFUNCTION("""COMPUTED_VALUE"""),"--")</f>
        <v>--</v>
      </c>
      <c r="R589" s="251" t="str">
        <f>IFERROR(__xludf.DUMMYFUNCTION("""COMPUTED_VALUE"""),"Threaded")</f>
        <v>Threaded</v>
      </c>
      <c r="S589" s="251" t="str">
        <f>IFERROR(__xludf.DUMMYFUNCTION("""COMPUTED_VALUE"""),"Underdog")</f>
        <v>Underdog</v>
      </c>
      <c r="T589" s="251" t="str">
        <f>IFERROR(__xludf.DUMMYFUNCTION("""COMPUTED_VALUE"""),"--")</f>
        <v>--</v>
      </c>
      <c r="U589" s="251" t="str">
        <f>IFERROR(__xludf.DUMMYFUNCTION("""COMPUTED_VALUE"""),"--")</f>
        <v>--</v>
      </c>
      <c r="V589" s="251" t="str">
        <f>IFERROR(__xludf.DUMMYFUNCTION("""COMPUTED_VALUE"""),"--")</f>
        <v>--</v>
      </c>
      <c r="W589" s="251" t="str">
        <f>IFERROR(__xludf.DUMMYFUNCTION("""COMPUTED_VALUE"""),"--")</f>
        <v>--</v>
      </c>
      <c r="X589" s="251" t="str">
        <f>IFERROR(__xludf.DUMMYFUNCTION("""COMPUTED_VALUE"""),"--")</f>
        <v>--</v>
      </c>
      <c r="Y589" s="251" t="str">
        <f>IFERROR(__xludf.DUMMYFUNCTION("""COMPUTED_VALUE"""),"--")</f>
        <v>--</v>
      </c>
      <c r="Z589" s="251" t="str">
        <f>IFERROR(__xludf.DUMMYFUNCTION("""COMPUTED_VALUE"""),"--")</f>
        <v>--</v>
      </c>
      <c r="AA589" s="251" t="str">
        <f>IFERROR(__xludf.DUMMYFUNCTION("""COMPUTED_VALUE"""),"--")</f>
        <v>--</v>
      </c>
      <c r="AB589" s="251" t="str">
        <f>IFERROR(__xludf.DUMMYFUNCTION("""COMPUTED_VALUE"""),"--")</f>
        <v>--</v>
      </c>
      <c r="AC589" s="251" t="str">
        <f>IFERROR(__xludf.DUMMYFUNCTION("""COMPUTED_VALUE"""),"--")</f>
        <v>--</v>
      </c>
      <c r="AD589" s="251">
        <f>IFERROR(__xludf.DUMMYFUNCTION("""COMPUTED_VALUE"""),2.0)</f>
        <v>2</v>
      </c>
      <c r="AE589" s="251" t="str">
        <f>IFERROR(__xludf.DUMMYFUNCTION("""COMPUTED_VALUE"""),"Carnivore")</f>
        <v>Carnivore</v>
      </c>
    </row>
    <row r="590">
      <c r="A590" s="251" t="str">
        <f>IFERROR(__xludf.DUMMYFUNCTION("""COMPUTED_VALUE"""),"Spidops")</f>
        <v>Spidops</v>
      </c>
      <c r="B590" s="251" t="str">
        <f>IFERROR(__xludf.DUMMYFUNCTION("""COMPUTED_VALUE"""),"Bug")</f>
        <v>Bug</v>
      </c>
      <c r="C590" s="251" t="str">
        <f>IFERROR(__xludf.DUMMYFUNCTION("""COMPUTED_VALUE"""),"None")</f>
        <v>None</v>
      </c>
      <c r="D590" s="251">
        <f>IFERROR(__xludf.DUMMYFUNCTION("""COMPUTED_VALUE"""),6.0)</f>
        <v>6</v>
      </c>
      <c r="E590" s="251">
        <f>IFERROR(__xludf.DUMMYFUNCTION("""COMPUTED_VALUE"""),8.0)</f>
        <v>8</v>
      </c>
      <c r="F590" s="251">
        <f>IFERROR(__xludf.DUMMYFUNCTION("""COMPUTED_VALUE"""),9.0)</f>
        <v>9</v>
      </c>
      <c r="G590" s="251">
        <f>IFERROR(__xludf.DUMMYFUNCTION("""COMPUTED_VALUE"""),5.0)</f>
        <v>5</v>
      </c>
      <c r="H590" s="251">
        <f>IFERROR(__xludf.DUMMYFUNCTION("""COMPUTED_VALUE"""),9.0)</f>
        <v>9</v>
      </c>
      <c r="I590" s="251">
        <f>IFERROR(__xludf.DUMMYFUNCTION("""COMPUTED_VALUE"""),4.0)</f>
        <v>4</v>
      </c>
      <c r="J590" s="251">
        <f>IFERROR(__xludf.DUMMYFUNCTION("""COMPUTED_VALUE"""),3.0)</f>
        <v>3</v>
      </c>
      <c r="K590" s="251" t="str">
        <f>IFERROR(__xludf.DUMMYFUNCTION("""COMPUTED_VALUE"""),"Medium")</f>
        <v>Medium</v>
      </c>
      <c r="L590" s="251">
        <f>IFERROR(__xludf.DUMMYFUNCTION("""COMPUTED_VALUE"""),2.0)</f>
        <v>2</v>
      </c>
      <c r="M590" s="251" t="str">
        <f>IFERROR(__xludf.DUMMYFUNCTION("""COMPUTED_VALUE"""),"Forest")</f>
        <v>Forest</v>
      </c>
      <c r="N590" s="251" t="str">
        <f>IFERROR(__xludf.DUMMYFUNCTION("""COMPUTED_VALUE"""),"Burrower")</f>
        <v>Burrower</v>
      </c>
      <c r="O590" s="251" t="str">
        <f>IFERROR(__xludf.DUMMYFUNCTION("""COMPUTED_VALUE"""),"Climber")</f>
        <v>Climber</v>
      </c>
      <c r="P590" s="251" t="str">
        <f>IFERROR(__xludf.DUMMYFUNCTION("""COMPUTED_VALUE"""),"--")</f>
        <v>--</v>
      </c>
      <c r="Q590" s="251" t="str">
        <f>IFERROR(__xludf.DUMMYFUNCTION("""COMPUTED_VALUE"""),"--")</f>
        <v>--</v>
      </c>
      <c r="R590" s="251" t="str">
        <f>IFERROR(__xludf.DUMMYFUNCTION("""COMPUTED_VALUE"""),"Threaded")</f>
        <v>Threaded</v>
      </c>
      <c r="S590" s="251" t="str">
        <f>IFERROR(__xludf.DUMMYFUNCTION("""COMPUTED_VALUE"""),"Underdog")</f>
        <v>Underdog</v>
      </c>
      <c r="T590" s="251" t="str">
        <f>IFERROR(__xludf.DUMMYFUNCTION("""COMPUTED_VALUE"""),"--")</f>
        <v>--</v>
      </c>
      <c r="U590" s="251" t="str">
        <f>IFERROR(__xludf.DUMMYFUNCTION("""COMPUTED_VALUE"""),"--")</f>
        <v>--</v>
      </c>
      <c r="V590" s="251" t="str">
        <f>IFERROR(__xludf.DUMMYFUNCTION("""COMPUTED_VALUE"""),"Dead Silent")</f>
        <v>Dead Silent</v>
      </c>
      <c r="W590" s="251" t="str">
        <f>IFERROR(__xludf.DUMMYFUNCTION("""COMPUTED_VALUE"""),"--")</f>
        <v>--</v>
      </c>
      <c r="X590" s="251" t="str">
        <f>IFERROR(__xludf.DUMMYFUNCTION("""COMPUTED_VALUE"""),"--")</f>
        <v>--</v>
      </c>
      <c r="Y590" s="251" t="str">
        <f>IFERROR(__xludf.DUMMYFUNCTION("""COMPUTED_VALUE"""),"--")</f>
        <v>--</v>
      </c>
      <c r="Z590" s="251" t="str">
        <f>IFERROR(__xludf.DUMMYFUNCTION("""COMPUTED_VALUE"""),"--")</f>
        <v>--</v>
      </c>
      <c r="AA590" s="251" t="str">
        <f>IFERROR(__xludf.DUMMYFUNCTION("""COMPUTED_VALUE"""),"--")</f>
        <v>--</v>
      </c>
      <c r="AB590" s="251" t="str">
        <f>IFERROR(__xludf.DUMMYFUNCTION("""COMPUTED_VALUE"""),"--")</f>
        <v>--</v>
      </c>
      <c r="AC590" s="251" t="str">
        <f>IFERROR(__xludf.DUMMYFUNCTION("""COMPUTED_VALUE"""),"--")</f>
        <v>--</v>
      </c>
      <c r="AD590" s="251">
        <f>IFERROR(__xludf.DUMMYFUNCTION("""COMPUTED_VALUE"""),3.0)</f>
        <v>3</v>
      </c>
      <c r="AE590" s="251" t="str">
        <f>IFERROR(__xludf.DUMMYFUNCTION("""COMPUTED_VALUE"""),"Carnivore")</f>
        <v>Carnivore</v>
      </c>
    </row>
    <row r="591">
      <c r="A591" s="251" t="str">
        <f>IFERROR(__xludf.DUMMYFUNCTION("""COMPUTED_VALUE"""),"Nymble")</f>
        <v>Nymble</v>
      </c>
      <c r="B591" s="251" t="str">
        <f>IFERROR(__xludf.DUMMYFUNCTION("""COMPUTED_VALUE"""),"Bug")</f>
        <v>Bug</v>
      </c>
      <c r="C591" s="251" t="str">
        <f>IFERROR(__xludf.DUMMYFUNCTION("""COMPUTED_VALUE"""),"None")</f>
        <v>None</v>
      </c>
      <c r="D591" s="251">
        <f>IFERROR(__xludf.DUMMYFUNCTION("""COMPUTED_VALUE"""),4.0)</f>
        <v>4</v>
      </c>
      <c r="E591" s="251">
        <f>IFERROR(__xludf.DUMMYFUNCTION("""COMPUTED_VALUE"""),6.0)</f>
        <v>6</v>
      </c>
      <c r="F591" s="251">
        <f>IFERROR(__xludf.DUMMYFUNCTION("""COMPUTED_VALUE"""),6.0)</f>
        <v>6</v>
      </c>
      <c r="G591" s="251">
        <f>IFERROR(__xludf.DUMMYFUNCTION("""COMPUTED_VALUE"""),2.0)</f>
        <v>2</v>
      </c>
      <c r="H591" s="251">
        <f>IFERROR(__xludf.DUMMYFUNCTION("""COMPUTED_VALUE"""),5.0)</f>
        <v>5</v>
      </c>
      <c r="I591" s="251">
        <f>IFERROR(__xludf.DUMMYFUNCTION("""COMPUTED_VALUE"""),7.0)</f>
        <v>7</v>
      </c>
      <c r="J591" s="251">
        <f>IFERROR(__xludf.DUMMYFUNCTION("""COMPUTED_VALUE"""),1.0)</f>
        <v>1</v>
      </c>
      <c r="K591" s="251" t="str">
        <f>IFERROR(__xludf.DUMMYFUNCTION("""COMPUTED_VALUE"""),"Small")</f>
        <v>Small</v>
      </c>
      <c r="L591" s="251">
        <f>IFERROR(__xludf.DUMMYFUNCTION("""COMPUTED_VALUE"""),1.0)</f>
        <v>1</v>
      </c>
      <c r="M591" s="251" t="str">
        <f>IFERROR(__xludf.DUMMYFUNCTION("""COMPUTED_VALUE"""),"Forest")</f>
        <v>Forest</v>
      </c>
      <c r="N591" s="251" t="str">
        <f>IFERROR(__xludf.DUMMYFUNCTION("""COMPUTED_VALUE"""),"Jumper")</f>
        <v>Jumper</v>
      </c>
      <c r="O591" s="251" t="str">
        <f>IFERROR(__xludf.DUMMYFUNCTION("""COMPUTED_VALUE"""),"--")</f>
        <v>--</v>
      </c>
      <c r="P591" s="251" t="str">
        <f>IFERROR(__xludf.DUMMYFUNCTION("""COMPUTED_VALUE"""),"--")</f>
        <v>--</v>
      </c>
      <c r="Q591" s="251" t="str">
        <f>IFERROR(__xludf.DUMMYFUNCTION("""COMPUTED_VALUE"""),"--")</f>
        <v>--</v>
      </c>
      <c r="R591" s="251" t="str">
        <f>IFERROR(__xludf.DUMMYFUNCTION("""COMPUTED_VALUE"""),"Underdog")</f>
        <v>Underdog</v>
      </c>
      <c r="S591" s="251" t="str">
        <f>IFERROR(__xludf.DUMMYFUNCTION("""COMPUTED_VALUE"""),"--")</f>
        <v>--</v>
      </c>
      <c r="T591" s="251" t="str">
        <f>IFERROR(__xludf.DUMMYFUNCTION("""COMPUTED_VALUE"""),"--")</f>
        <v>--</v>
      </c>
      <c r="U591" s="251" t="str">
        <f>IFERROR(__xludf.DUMMYFUNCTION("""COMPUTED_VALUE"""),"--")</f>
        <v>--</v>
      </c>
      <c r="V591" s="251" t="str">
        <f>IFERROR(__xludf.DUMMYFUNCTION("""COMPUTED_VALUE"""),"--")</f>
        <v>--</v>
      </c>
      <c r="W591" s="251" t="str">
        <f>IFERROR(__xludf.DUMMYFUNCTION("""COMPUTED_VALUE"""),"--")</f>
        <v>--</v>
      </c>
      <c r="X591" s="251" t="str">
        <f>IFERROR(__xludf.DUMMYFUNCTION("""COMPUTED_VALUE"""),"--")</f>
        <v>--</v>
      </c>
      <c r="Y591" s="251" t="str">
        <f>IFERROR(__xludf.DUMMYFUNCTION("""COMPUTED_VALUE"""),"--")</f>
        <v>--</v>
      </c>
      <c r="Z591" s="251" t="str">
        <f>IFERROR(__xludf.DUMMYFUNCTION("""COMPUTED_VALUE"""),"--")</f>
        <v>--</v>
      </c>
      <c r="AA591" s="251" t="str">
        <f>IFERROR(__xludf.DUMMYFUNCTION("""COMPUTED_VALUE"""),"--")</f>
        <v>--</v>
      </c>
      <c r="AB591" s="251" t="str">
        <f>IFERROR(__xludf.DUMMYFUNCTION("""COMPUTED_VALUE"""),"--")</f>
        <v>--</v>
      </c>
      <c r="AC591" s="251" t="str">
        <f>IFERROR(__xludf.DUMMYFUNCTION("""COMPUTED_VALUE"""),"--")</f>
        <v>--</v>
      </c>
      <c r="AD591" s="251">
        <f>IFERROR(__xludf.DUMMYFUNCTION("""COMPUTED_VALUE"""),2.0)</f>
        <v>2</v>
      </c>
      <c r="AE591" s="251" t="str">
        <f>IFERROR(__xludf.DUMMYFUNCTION("""COMPUTED_VALUE"""),"Omnivore")</f>
        <v>Omnivore</v>
      </c>
    </row>
    <row r="592">
      <c r="A592" s="251" t="str">
        <f>IFERROR(__xludf.DUMMYFUNCTION("""COMPUTED_VALUE"""),"Lokix")</f>
        <v>Lokix</v>
      </c>
      <c r="B592" s="251" t="str">
        <f>IFERROR(__xludf.DUMMYFUNCTION("""COMPUTED_VALUE"""),"Bug")</f>
        <v>Bug</v>
      </c>
      <c r="C592" s="251" t="str">
        <f>IFERROR(__xludf.DUMMYFUNCTION("""COMPUTED_VALUE"""),"Dark")</f>
        <v>Dark</v>
      </c>
      <c r="D592" s="251">
        <f>IFERROR(__xludf.DUMMYFUNCTION("""COMPUTED_VALUE"""),8.0)</f>
        <v>8</v>
      </c>
      <c r="E592" s="251">
        <f>IFERROR(__xludf.DUMMYFUNCTION("""COMPUTED_VALUE"""),12.0)</f>
        <v>12</v>
      </c>
      <c r="F592" s="251">
        <f>IFERROR(__xludf.DUMMYFUNCTION("""COMPUTED_VALUE"""),8.0)</f>
        <v>8</v>
      </c>
      <c r="G592" s="251">
        <f>IFERROR(__xludf.DUMMYFUNCTION("""COMPUTED_VALUE"""),5.0)</f>
        <v>5</v>
      </c>
      <c r="H592" s="251">
        <f>IFERROR(__xludf.DUMMYFUNCTION("""COMPUTED_VALUE"""),8.0)</f>
        <v>8</v>
      </c>
      <c r="I592" s="251">
        <f>IFERROR(__xludf.DUMMYFUNCTION("""COMPUTED_VALUE"""),10.0)</f>
        <v>10</v>
      </c>
      <c r="J592" s="251">
        <f>IFERROR(__xludf.DUMMYFUNCTION("""COMPUTED_VALUE"""),6.0)</f>
        <v>6</v>
      </c>
      <c r="K592" s="251" t="str">
        <f>IFERROR(__xludf.DUMMYFUNCTION("""COMPUTED_VALUE"""),"Medium")</f>
        <v>Medium</v>
      </c>
      <c r="L592" s="251">
        <f>IFERROR(__xludf.DUMMYFUNCTION("""COMPUTED_VALUE"""),2.0)</f>
        <v>2</v>
      </c>
      <c r="M592" s="251" t="str">
        <f>IFERROR(__xludf.DUMMYFUNCTION("""COMPUTED_VALUE"""),"Forest")</f>
        <v>Forest</v>
      </c>
      <c r="N592" s="251" t="str">
        <f>IFERROR(__xludf.DUMMYFUNCTION("""COMPUTED_VALUE"""),"Climber")</f>
        <v>Climber</v>
      </c>
      <c r="O592" s="251" t="str">
        <f>IFERROR(__xludf.DUMMYFUNCTION("""COMPUTED_VALUE"""),"Jumper")</f>
        <v>Jumper</v>
      </c>
      <c r="P592" s="251" t="str">
        <f>IFERROR(__xludf.DUMMYFUNCTION("""COMPUTED_VALUE"""),"Quick")</f>
        <v>Quick</v>
      </c>
      <c r="Q592" s="251" t="str">
        <f>IFERROR(__xludf.DUMMYFUNCTION("""COMPUTED_VALUE"""),"--")</f>
        <v>--</v>
      </c>
      <c r="R592" s="251" t="str">
        <f>IFERROR(__xludf.DUMMYFUNCTION("""COMPUTED_VALUE"""),"Darkvision")</f>
        <v>Darkvision</v>
      </c>
      <c r="S592" s="251" t="str">
        <f>IFERROR(__xludf.DUMMYFUNCTION("""COMPUTED_VALUE"""),"--")</f>
        <v>--</v>
      </c>
      <c r="T592" s="251" t="str">
        <f>IFERROR(__xludf.DUMMYFUNCTION("""COMPUTED_VALUE"""),"--")</f>
        <v>--</v>
      </c>
      <c r="U592" s="251" t="str">
        <f>IFERROR(__xludf.DUMMYFUNCTION("""COMPUTED_VALUE"""),"--")</f>
        <v>--</v>
      </c>
      <c r="V592" s="251" t="str">
        <f>IFERROR(__xludf.DUMMYFUNCTION("""COMPUTED_VALUE"""),"--")</f>
        <v>--</v>
      </c>
      <c r="W592" s="251" t="str">
        <f>IFERROR(__xludf.DUMMYFUNCTION("""COMPUTED_VALUE"""),"--")</f>
        <v>--</v>
      </c>
      <c r="X592" s="251" t="str">
        <f>IFERROR(__xludf.DUMMYFUNCTION("""COMPUTED_VALUE"""),"--")</f>
        <v>--</v>
      </c>
      <c r="Y592" s="251" t="str">
        <f>IFERROR(__xludf.DUMMYFUNCTION("""COMPUTED_VALUE"""),"--")</f>
        <v>--</v>
      </c>
      <c r="Z592" s="251" t="str">
        <f>IFERROR(__xludf.DUMMYFUNCTION("""COMPUTED_VALUE"""),"--")</f>
        <v>--</v>
      </c>
      <c r="AA592" s="251" t="str">
        <f>IFERROR(__xludf.DUMMYFUNCTION("""COMPUTED_VALUE"""),"--")</f>
        <v>--</v>
      </c>
      <c r="AB592" s="251" t="str">
        <f>IFERROR(__xludf.DUMMYFUNCTION("""COMPUTED_VALUE"""),"--")</f>
        <v>--</v>
      </c>
      <c r="AC592" s="251" t="str">
        <f>IFERROR(__xludf.DUMMYFUNCTION("""COMPUTED_VALUE"""),"--")</f>
        <v>--</v>
      </c>
      <c r="AD592" s="251">
        <f>IFERROR(__xludf.DUMMYFUNCTION("""COMPUTED_VALUE"""),3.0)</f>
        <v>3</v>
      </c>
      <c r="AE592" s="251" t="str">
        <f>IFERROR(__xludf.DUMMYFUNCTION("""COMPUTED_VALUE"""),"Omnivore")</f>
        <v>Omnivore</v>
      </c>
    </row>
    <row r="593">
      <c r="A593" s="251" t="str">
        <f>IFERROR(__xludf.DUMMYFUNCTION("""COMPUTED_VALUE"""),"Rellor")</f>
        <v>Rellor</v>
      </c>
      <c r="B593" s="251" t="str">
        <f>IFERROR(__xludf.DUMMYFUNCTION("""COMPUTED_VALUE"""),"Bug")</f>
        <v>Bug</v>
      </c>
      <c r="C593" s="251" t="str">
        <f>IFERROR(__xludf.DUMMYFUNCTION("""COMPUTED_VALUE"""),"None")</f>
        <v>None</v>
      </c>
      <c r="D593" s="251">
        <f>IFERROR(__xludf.DUMMYFUNCTION("""COMPUTED_VALUE"""),5.0)</f>
        <v>5</v>
      </c>
      <c r="E593" s="251">
        <f>IFERROR(__xludf.DUMMYFUNCTION("""COMPUTED_VALUE"""),5.0)</f>
        <v>5</v>
      </c>
      <c r="F593" s="251">
        <f>IFERROR(__xludf.DUMMYFUNCTION("""COMPUTED_VALUE"""),7.0)</f>
        <v>7</v>
      </c>
      <c r="G593" s="251">
        <f>IFERROR(__xludf.DUMMYFUNCTION("""COMPUTED_VALUE"""),3.0)</f>
        <v>3</v>
      </c>
      <c r="H593" s="251">
        <f>IFERROR(__xludf.DUMMYFUNCTION("""COMPUTED_VALUE"""),7.0)</f>
        <v>7</v>
      </c>
      <c r="I593" s="251">
        <f>IFERROR(__xludf.DUMMYFUNCTION("""COMPUTED_VALUE"""),3.0)</f>
        <v>3</v>
      </c>
      <c r="J593" s="251">
        <f>IFERROR(__xludf.DUMMYFUNCTION("""COMPUTED_VALUE"""),1.0)</f>
        <v>1</v>
      </c>
      <c r="K593" s="251" t="str">
        <f>IFERROR(__xludf.DUMMYFUNCTION("""COMPUTED_VALUE"""),"Small")</f>
        <v>Small</v>
      </c>
      <c r="L593" s="251">
        <f>IFERROR(__xludf.DUMMYFUNCTION("""COMPUTED_VALUE"""),1.0)</f>
        <v>1</v>
      </c>
      <c r="M593" s="251" t="str">
        <f>IFERROR(__xludf.DUMMYFUNCTION("""COMPUTED_VALUE"""),"Desert")</f>
        <v>Desert</v>
      </c>
      <c r="N593" s="251" t="str">
        <f>IFERROR(__xludf.DUMMYFUNCTION("""COMPUTED_VALUE"""),"Burrower")</f>
        <v>Burrower</v>
      </c>
      <c r="O593" s="251" t="str">
        <f>IFERROR(__xludf.DUMMYFUNCTION("""COMPUTED_VALUE"""),"Slow")</f>
        <v>Slow</v>
      </c>
      <c r="P593" s="251" t="str">
        <f>IFERROR(__xludf.DUMMYFUNCTION("""COMPUTED_VALUE"""),"--")</f>
        <v>--</v>
      </c>
      <c r="Q593" s="251" t="str">
        <f>IFERROR(__xludf.DUMMYFUNCTION("""COMPUTED_VALUE"""),"--")</f>
        <v>--</v>
      </c>
      <c r="R593" s="251" t="str">
        <f>IFERROR(__xludf.DUMMYFUNCTION("""COMPUTED_VALUE"""),"Underdog")</f>
        <v>Underdog</v>
      </c>
      <c r="S593" s="251" t="str">
        <f>IFERROR(__xludf.DUMMYFUNCTION("""COMPUTED_VALUE"""),"--")</f>
        <v>--</v>
      </c>
      <c r="T593" s="251" t="str">
        <f>IFERROR(__xludf.DUMMYFUNCTION("""COMPUTED_VALUE"""),"--")</f>
        <v>--</v>
      </c>
      <c r="U593" s="251" t="str">
        <f>IFERROR(__xludf.DUMMYFUNCTION("""COMPUTED_VALUE"""),"--")</f>
        <v>--</v>
      </c>
      <c r="V593" s="251" t="str">
        <f>IFERROR(__xludf.DUMMYFUNCTION("""COMPUTED_VALUE"""),"--")</f>
        <v>--</v>
      </c>
      <c r="W593" s="251" t="str">
        <f>IFERROR(__xludf.DUMMYFUNCTION("""COMPUTED_VALUE"""),"--")</f>
        <v>--</v>
      </c>
      <c r="X593" s="251" t="str">
        <f>IFERROR(__xludf.DUMMYFUNCTION("""COMPUTED_VALUE"""),"--")</f>
        <v>--</v>
      </c>
      <c r="Y593" s="251" t="str">
        <f>IFERROR(__xludf.DUMMYFUNCTION("""COMPUTED_VALUE"""),"--")</f>
        <v>--</v>
      </c>
      <c r="Z593" s="251" t="str">
        <f>IFERROR(__xludf.DUMMYFUNCTION("""COMPUTED_VALUE"""),"--")</f>
        <v>--</v>
      </c>
      <c r="AA593" s="251" t="str">
        <f>IFERROR(__xludf.DUMMYFUNCTION("""COMPUTED_VALUE"""),"--")</f>
        <v>--</v>
      </c>
      <c r="AB593" s="251" t="str">
        <f>IFERROR(__xludf.DUMMYFUNCTION("""COMPUTED_VALUE"""),"--")</f>
        <v>--</v>
      </c>
      <c r="AC593" s="251" t="str">
        <f>IFERROR(__xludf.DUMMYFUNCTION("""COMPUTED_VALUE"""),"--")</f>
        <v>--</v>
      </c>
      <c r="AD593" s="251">
        <f>IFERROR(__xludf.DUMMYFUNCTION("""COMPUTED_VALUE"""),2.0)</f>
        <v>2</v>
      </c>
      <c r="AE593" s="251" t="str">
        <f>IFERROR(__xludf.DUMMYFUNCTION("""COMPUTED_VALUE"""),"Omnivore")</f>
        <v>Omnivore</v>
      </c>
    </row>
    <row r="594">
      <c r="A594" s="251" t="str">
        <f>IFERROR(__xludf.DUMMYFUNCTION("""COMPUTED_VALUE"""),"Rabsca")</f>
        <v>Rabsca</v>
      </c>
      <c r="B594" s="251" t="str">
        <f>IFERROR(__xludf.DUMMYFUNCTION("""COMPUTED_VALUE"""),"Bug")</f>
        <v>Bug</v>
      </c>
      <c r="C594" s="251" t="str">
        <f>IFERROR(__xludf.DUMMYFUNCTION("""COMPUTED_VALUE"""),"Psychic")</f>
        <v>Psychic</v>
      </c>
      <c r="D594" s="251">
        <f>IFERROR(__xludf.DUMMYFUNCTION("""COMPUTED_VALUE"""),9.0)</f>
        <v>9</v>
      </c>
      <c r="E594" s="251">
        <f>IFERROR(__xludf.DUMMYFUNCTION("""COMPUTED_VALUE"""),5.0)</f>
        <v>5</v>
      </c>
      <c r="F594" s="251">
        <f>IFERROR(__xludf.DUMMYFUNCTION("""COMPUTED_VALUE"""),10.0)</f>
        <v>10</v>
      </c>
      <c r="G594" s="251">
        <f>IFERROR(__xludf.DUMMYFUNCTION("""COMPUTED_VALUE"""),12.0)</f>
        <v>12</v>
      </c>
      <c r="H594" s="251">
        <f>IFERROR(__xludf.DUMMYFUNCTION("""COMPUTED_VALUE"""),10.0)</f>
        <v>10</v>
      </c>
      <c r="I594" s="251">
        <f>IFERROR(__xludf.DUMMYFUNCTION("""COMPUTED_VALUE"""),5.0)</f>
        <v>5</v>
      </c>
      <c r="J594" s="251">
        <f>IFERROR(__xludf.DUMMYFUNCTION("""COMPUTED_VALUE"""),6.0)</f>
        <v>6</v>
      </c>
      <c r="K594" s="251" t="str">
        <f>IFERROR(__xludf.DUMMYFUNCTION("""COMPUTED_VALUE"""),"Small")</f>
        <v>Small</v>
      </c>
      <c r="L594" s="251">
        <f>IFERROR(__xludf.DUMMYFUNCTION("""COMPUTED_VALUE"""),1.0)</f>
        <v>1</v>
      </c>
      <c r="M594" s="251" t="str">
        <f>IFERROR(__xludf.DUMMYFUNCTION("""COMPUTED_VALUE"""),"Desert")</f>
        <v>Desert</v>
      </c>
      <c r="N594" s="251" t="str">
        <f>IFERROR(__xludf.DUMMYFUNCTION("""COMPUTED_VALUE"""),"Flier")</f>
        <v>Flier</v>
      </c>
      <c r="O594" s="251" t="str">
        <f>IFERROR(__xludf.DUMMYFUNCTION("""COMPUTED_VALUE"""),"--")</f>
        <v>--</v>
      </c>
      <c r="P594" s="251" t="str">
        <f>IFERROR(__xludf.DUMMYFUNCTION("""COMPUTED_VALUE"""),"--")</f>
        <v>--</v>
      </c>
      <c r="Q594" s="251" t="str">
        <f>IFERROR(__xludf.DUMMYFUNCTION("""COMPUTED_VALUE"""),"--")</f>
        <v>--</v>
      </c>
      <c r="R594" s="251" t="str">
        <f>IFERROR(__xludf.DUMMYFUNCTION("""COMPUTED_VALUE"""),"Telekinetic")</f>
        <v>Telekinetic</v>
      </c>
      <c r="S594" s="251" t="str">
        <f>IFERROR(__xludf.DUMMYFUNCTION("""COMPUTED_VALUE"""),"--")</f>
        <v>--</v>
      </c>
      <c r="T594" s="251" t="str">
        <f>IFERROR(__xludf.DUMMYFUNCTION("""COMPUTED_VALUE"""),"--")</f>
        <v>--</v>
      </c>
      <c r="U594" s="251" t="str">
        <f>IFERROR(__xludf.DUMMYFUNCTION("""COMPUTED_VALUE"""),"--")</f>
        <v>--</v>
      </c>
      <c r="V594" s="251" t="str">
        <f>IFERROR(__xludf.DUMMYFUNCTION("""COMPUTED_VALUE"""),"Mindlock")</f>
        <v>Mindlock</v>
      </c>
      <c r="W594" s="251" t="str">
        <f>IFERROR(__xludf.DUMMYFUNCTION("""COMPUTED_VALUE"""),"--")</f>
        <v>--</v>
      </c>
      <c r="X594" s="251" t="str">
        <f>IFERROR(__xludf.DUMMYFUNCTION("""COMPUTED_VALUE"""),"--")</f>
        <v>--</v>
      </c>
      <c r="Y594" s="251" t="str">
        <f>IFERROR(__xludf.DUMMYFUNCTION("""COMPUTED_VALUE"""),"--")</f>
        <v>--</v>
      </c>
      <c r="Z594" s="251" t="str">
        <f>IFERROR(__xludf.DUMMYFUNCTION("""COMPUTED_VALUE"""),"--")</f>
        <v>--</v>
      </c>
      <c r="AA594" s="251" t="str">
        <f>IFERROR(__xludf.DUMMYFUNCTION("""COMPUTED_VALUE"""),"--")</f>
        <v>--</v>
      </c>
      <c r="AB594" s="251" t="str">
        <f>IFERROR(__xludf.DUMMYFUNCTION("""COMPUTED_VALUE"""),"--")</f>
        <v>--</v>
      </c>
      <c r="AC594" s="251" t="str">
        <f>IFERROR(__xludf.DUMMYFUNCTION("""COMPUTED_VALUE"""),"--")</f>
        <v>--</v>
      </c>
      <c r="AD594" s="251">
        <f>IFERROR(__xludf.DUMMYFUNCTION("""COMPUTED_VALUE"""),3.0)</f>
        <v>3</v>
      </c>
      <c r="AE594" s="251" t="str">
        <f>IFERROR(__xludf.DUMMYFUNCTION("""COMPUTED_VALUE"""),"Omnivore")</f>
        <v>Omnivore</v>
      </c>
    </row>
    <row r="595">
      <c r="A595" s="251" t="str">
        <f>IFERROR(__xludf.DUMMYFUNCTION("""COMPUTED_VALUE"""),"Murkrow")</f>
        <v>Murkrow</v>
      </c>
      <c r="B595" s="251" t="str">
        <f>IFERROR(__xludf.DUMMYFUNCTION("""COMPUTED_VALUE"""),"Dark")</f>
        <v>Dark</v>
      </c>
      <c r="C595" s="251" t="str">
        <f>IFERROR(__xludf.DUMMYFUNCTION("""COMPUTED_VALUE"""),"Flying")</f>
        <v>Flying</v>
      </c>
      <c r="D595" s="251">
        <f>IFERROR(__xludf.DUMMYFUNCTION("""COMPUTED_VALUE"""),6.0)</f>
        <v>6</v>
      </c>
      <c r="E595" s="251">
        <f>IFERROR(__xludf.DUMMYFUNCTION("""COMPUTED_VALUE"""),9.0)</f>
        <v>9</v>
      </c>
      <c r="F595" s="251">
        <f>IFERROR(__xludf.DUMMYFUNCTION("""COMPUTED_VALUE"""),4.0)</f>
        <v>4</v>
      </c>
      <c r="G595" s="251">
        <f>IFERROR(__xludf.DUMMYFUNCTION("""COMPUTED_VALUE"""),9.0)</f>
        <v>9</v>
      </c>
      <c r="H595" s="251">
        <f>IFERROR(__xludf.DUMMYFUNCTION("""COMPUTED_VALUE"""),4.0)</f>
        <v>4</v>
      </c>
      <c r="I595" s="251">
        <f>IFERROR(__xludf.DUMMYFUNCTION("""COMPUTED_VALUE"""),9.0)</f>
        <v>9</v>
      </c>
      <c r="J595" s="251">
        <f>IFERROR(__xludf.DUMMYFUNCTION("""COMPUTED_VALUE"""),1.0)</f>
        <v>1</v>
      </c>
      <c r="K595" s="251" t="str">
        <f>IFERROR(__xludf.DUMMYFUNCTION("""COMPUTED_VALUE"""),"Small")</f>
        <v>Small</v>
      </c>
      <c r="L595" s="251">
        <f>IFERROR(__xludf.DUMMYFUNCTION("""COMPUTED_VALUE"""),1.0)</f>
        <v>1</v>
      </c>
      <c r="M595" s="251" t="str">
        <f>IFERROR(__xludf.DUMMYFUNCTION("""COMPUTED_VALUE"""),"Forest, Urban")</f>
        <v>Forest, Urban</v>
      </c>
      <c r="N595" s="251" t="str">
        <f>IFERROR(__xludf.DUMMYFUNCTION("""COMPUTED_VALUE"""),"Flier")</f>
        <v>Flier</v>
      </c>
      <c r="O595" s="251" t="str">
        <f>IFERROR(__xludf.DUMMYFUNCTION("""COMPUTED_VALUE"""),"--")</f>
        <v>--</v>
      </c>
      <c r="P595" s="251" t="str">
        <f>IFERROR(__xludf.DUMMYFUNCTION("""COMPUTED_VALUE"""),"--")</f>
        <v>--</v>
      </c>
      <c r="Q595" s="251" t="str">
        <f>IFERROR(__xludf.DUMMYFUNCTION("""COMPUTED_VALUE"""),"--")</f>
        <v>--</v>
      </c>
      <c r="R595" s="251" t="str">
        <f>IFERROR(__xludf.DUMMYFUNCTION("""COMPUTED_VALUE"""),"Darkvision")</f>
        <v>Darkvision</v>
      </c>
      <c r="S595" s="251" t="str">
        <f>IFERROR(__xludf.DUMMYFUNCTION("""COMPUTED_VALUE"""),"Underdog")</f>
        <v>Underdog</v>
      </c>
      <c r="T595" s="251" t="str">
        <f>IFERROR(__xludf.DUMMYFUNCTION("""COMPUTED_VALUE"""),"--")</f>
        <v>--</v>
      </c>
      <c r="U595" s="251" t="str">
        <f>IFERROR(__xludf.DUMMYFUNCTION("""COMPUTED_VALUE"""),"--")</f>
        <v>--</v>
      </c>
      <c r="V595" s="251" t="str">
        <f>IFERROR(__xludf.DUMMYFUNCTION("""COMPUTED_VALUE"""),"Pack Mon")</f>
        <v>Pack Mon</v>
      </c>
      <c r="W595" s="251" t="str">
        <f>IFERROR(__xludf.DUMMYFUNCTION("""COMPUTED_VALUE"""),"--")</f>
        <v>--</v>
      </c>
      <c r="X595" s="251" t="str">
        <f>IFERROR(__xludf.DUMMYFUNCTION("""COMPUTED_VALUE"""),"--")</f>
        <v>--</v>
      </c>
      <c r="Y595" s="251" t="str">
        <f>IFERROR(__xludf.DUMMYFUNCTION("""COMPUTED_VALUE"""),"--")</f>
        <v>--</v>
      </c>
      <c r="Z595" s="251" t="str">
        <f>IFERROR(__xludf.DUMMYFUNCTION("""COMPUTED_VALUE"""),"--")</f>
        <v>--</v>
      </c>
      <c r="AA595" s="251" t="str">
        <f>IFERROR(__xludf.DUMMYFUNCTION("""COMPUTED_VALUE"""),"--")</f>
        <v>--</v>
      </c>
      <c r="AB595" s="251" t="str">
        <f>IFERROR(__xludf.DUMMYFUNCTION("""COMPUTED_VALUE"""),"--")</f>
        <v>--</v>
      </c>
      <c r="AC595" s="251" t="str">
        <f>IFERROR(__xludf.DUMMYFUNCTION("""COMPUTED_VALUE"""),"--")</f>
        <v>--</v>
      </c>
      <c r="AD595" s="251">
        <f>IFERROR(__xludf.DUMMYFUNCTION("""COMPUTED_VALUE"""),2.0)</f>
        <v>2</v>
      </c>
      <c r="AE595" s="251" t="str">
        <f>IFERROR(__xludf.DUMMYFUNCTION("""COMPUTED_VALUE"""),"Omnivore")</f>
        <v>Omnivore</v>
      </c>
    </row>
    <row r="596">
      <c r="A596" s="251" t="str">
        <f>IFERROR(__xludf.DUMMYFUNCTION("""COMPUTED_VALUE"""),"Honchkrow")</f>
        <v>Honchkrow</v>
      </c>
      <c r="B596" s="251" t="str">
        <f>IFERROR(__xludf.DUMMYFUNCTION("""COMPUTED_VALUE"""),"Dark")</f>
        <v>Dark</v>
      </c>
      <c r="C596" s="251" t="str">
        <f>IFERROR(__xludf.DUMMYFUNCTION("""COMPUTED_VALUE"""),"Flying")</f>
        <v>Flying</v>
      </c>
      <c r="D596" s="251">
        <f>IFERROR(__xludf.DUMMYFUNCTION("""COMPUTED_VALUE"""),10.0)</f>
        <v>10</v>
      </c>
      <c r="E596" s="251">
        <f>IFERROR(__xludf.DUMMYFUNCTION("""COMPUTED_VALUE"""),13.0)</f>
        <v>13</v>
      </c>
      <c r="F596" s="251">
        <f>IFERROR(__xludf.DUMMYFUNCTION("""COMPUTED_VALUE"""),5.0)</f>
        <v>5</v>
      </c>
      <c r="G596" s="251">
        <f>IFERROR(__xludf.DUMMYFUNCTION("""COMPUTED_VALUE"""),11.0)</f>
        <v>11</v>
      </c>
      <c r="H596" s="251">
        <f>IFERROR(__xludf.DUMMYFUNCTION("""COMPUTED_VALUE"""),5.0)</f>
        <v>5</v>
      </c>
      <c r="I596" s="251">
        <f>IFERROR(__xludf.DUMMYFUNCTION("""COMPUTED_VALUE"""),7.0)</f>
        <v>7</v>
      </c>
      <c r="J596" s="251">
        <f>IFERROR(__xludf.DUMMYFUNCTION("""COMPUTED_VALUE"""),4.0)</f>
        <v>4</v>
      </c>
      <c r="K596" s="251" t="str">
        <f>IFERROR(__xludf.DUMMYFUNCTION("""COMPUTED_VALUE"""),"Small")</f>
        <v>Small</v>
      </c>
      <c r="L596" s="251">
        <f>IFERROR(__xludf.DUMMYFUNCTION("""COMPUTED_VALUE"""),3.0)</f>
        <v>3</v>
      </c>
      <c r="M596" s="251" t="str">
        <f>IFERROR(__xludf.DUMMYFUNCTION("""COMPUTED_VALUE"""),"Forest, Urban")</f>
        <v>Forest, Urban</v>
      </c>
      <c r="N596" s="251" t="str">
        <f>IFERROR(__xludf.DUMMYFUNCTION("""COMPUTED_VALUE"""),"Flier")</f>
        <v>Flier</v>
      </c>
      <c r="O596" s="251" t="str">
        <f>IFERROR(__xludf.DUMMYFUNCTION("""COMPUTED_VALUE"""),"--")</f>
        <v>--</v>
      </c>
      <c r="P596" s="251" t="str">
        <f>IFERROR(__xludf.DUMMYFUNCTION("""COMPUTED_VALUE"""),"--")</f>
        <v>--</v>
      </c>
      <c r="Q596" s="251" t="str">
        <f>IFERROR(__xludf.DUMMYFUNCTION("""COMPUTED_VALUE"""),"--")</f>
        <v>--</v>
      </c>
      <c r="R596" s="251" t="str">
        <f>IFERROR(__xludf.DUMMYFUNCTION("""COMPUTED_VALUE"""),"Darkvision")</f>
        <v>Darkvision</v>
      </c>
      <c r="S596" s="251" t="str">
        <f>IFERROR(__xludf.DUMMYFUNCTION("""COMPUTED_VALUE"""),"--")</f>
        <v>--</v>
      </c>
      <c r="T596" s="251" t="str">
        <f>IFERROR(__xludf.DUMMYFUNCTION("""COMPUTED_VALUE"""),"--")</f>
        <v>--</v>
      </c>
      <c r="U596" s="251" t="str">
        <f>IFERROR(__xludf.DUMMYFUNCTION("""COMPUTED_VALUE"""),"--")</f>
        <v>--</v>
      </c>
      <c r="V596" s="251" t="str">
        <f>IFERROR(__xludf.DUMMYFUNCTION("""COMPUTED_VALUE"""),"Pack Mon")</f>
        <v>Pack Mon</v>
      </c>
      <c r="W596" s="251" t="str">
        <f>IFERROR(__xludf.DUMMYFUNCTION("""COMPUTED_VALUE"""),"--")</f>
        <v>--</v>
      </c>
      <c r="X596" s="251" t="str">
        <f>IFERROR(__xludf.DUMMYFUNCTION("""COMPUTED_VALUE"""),"--")</f>
        <v>--</v>
      </c>
      <c r="Y596" s="251" t="str">
        <f>IFERROR(__xludf.DUMMYFUNCTION("""COMPUTED_VALUE"""),"--")</f>
        <v>--</v>
      </c>
      <c r="Z596" s="251" t="str">
        <f>IFERROR(__xludf.DUMMYFUNCTION("""COMPUTED_VALUE"""),"--")</f>
        <v>--</v>
      </c>
      <c r="AA596" s="251" t="str">
        <f>IFERROR(__xludf.DUMMYFUNCTION("""COMPUTED_VALUE"""),"--")</f>
        <v>--</v>
      </c>
      <c r="AB596" s="251" t="str">
        <f>IFERROR(__xludf.DUMMYFUNCTION("""COMPUTED_VALUE"""),"--")</f>
        <v>--</v>
      </c>
      <c r="AC596" s="251" t="str">
        <f>IFERROR(__xludf.DUMMYFUNCTION("""COMPUTED_VALUE"""),"--")</f>
        <v>--</v>
      </c>
      <c r="AD596" s="251">
        <f>IFERROR(__xludf.DUMMYFUNCTION("""COMPUTED_VALUE"""),3.0)</f>
        <v>3</v>
      </c>
      <c r="AE596" s="251" t="str">
        <f>IFERROR(__xludf.DUMMYFUNCTION("""COMPUTED_VALUE"""),"Omnivore")</f>
        <v>Omnivore</v>
      </c>
    </row>
    <row r="597">
      <c r="A597" s="251" t="str">
        <f>IFERROR(__xludf.DUMMYFUNCTION("""COMPUTED_VALUE"""),"Sneasel")</f>
        <v>Sneasel</v>
      </c>
      <c r="B597" s="251" t="str">
        <f>IFERROR(__xludf.DUMMYFUNCTION("""COMPUTED_VALUE"""),"Dark")</f>
        <v>Dark</v>
      </c>
      <c r="C597" s="251" t="str">
        <f>IFERROR(__xludf.DUMMYFUNCTION("""COMPUTED_VALUE"""),"Ice")</f>
        <v>Ice</v>
      </c>
      <c r="D597" s="251">
        <f>IFERROR(__xludf.DUMMYFUNCTION("""COMPUTED_VALUE"""),7.0)</f>
        <v>7</v>
      </c>
      <c r="E597" s="251">
        <f>IFERROR(__xludf.DUMMYFUNCTION("""COMPUTED_VALUE"""),12.0)</f>
        <v>12</v>
      </c>
      <c r="F597" s="251">
        <f>IFERROR(__xludf.DUMMYFUNCTION("""COMPUTED_VALUE"""),6.0)</f>
        <v>6</v>
      </c>
      <c r="G597" s="251">
        <f>IFERROR(__xludf.DUMMYFUNCTION("""COMPUTED_VALUE"""),4.0)</f>
        <v>4</v>
      </c>
      <c r="H597" s="251">
        <f>IFERROR(__xludf.DUMMYFUNCTION("""COMPUTED_VALUE"""),8.0)</f>
        <v>8</v>
      </c>
      <c r="I597" s="251">
        <f>IFERROR(__xludf.DUMMYFUNCTION("""COMPUTED_VALUE"""),14.0)</f>
        <v>14</v>
      </c>
      <c r="J597" s="251">
        <f>IFERROR(__xludf.DUMMYFUNCTION("""COMPUTED_VALUE"""),2.0)</f>
        <v>2</v>
      </c>
      <c r="K597" s="251" t="str">
        <f>IFERROR(__xludf.DUMMYFUNCTION("""COMPUTED_VALUE"""),"Small")</f>
        <v>Small</v>
      </c>
      <c r="L597" s="251">
        <f>IFERROR(__xludf.DUMMYFUNCTION("""COMPUTED_VALUE"""),3.0)</f>
        <v>3</v>
      </c>
      <c r="M597" s="251" t="str">
        <f>IFERROR(__xludf.DUMMYFUNCTION("""COMPUTED_VALUE"""),"Cave, Tundra")</f>
        <v>Cave, Tundra</v>
      </c>
      <c r="N597" s="251" t="str">
        <f>IFERROR(__xludf.DUMMYFUNCTION("""COMPUTED_VALUE"""),"Climber")</f>
        <v>Climber</v>
      </c>
      <c r="O597" s="251" t="str">
        <f>IFERROR(__xludf.DUMMYFUNCTION("""COMPUTED_VALUE"""),"Jumper")</f>
        <v>Jumper</v>
      </c>
      <c r="P597" s="251" t="str">
        <f>IFERROR(__xludf.DUMMYFUNCTION("""COMPUTED_VALUE"""),"Quick")</f>
        <v>Quick</v>
      </c>
      <c r="Q597" s="251" t="str">
        <f>IFERROR(__xludf.DUMMYFUNCTION("""COMPUTED_VALUE"""),"--")</f>
        <v>--</v>
      </c>
      <c r="R597" s="251" t="str">
        <f>IFERROR(__xludf.DUMMYFUNCTION("""COMPUTED_VALUE"""),"Darkvision")</f>
        <v>Darkvision</v>
      </c>
      <c r="S597" s="251" t="str">
        <f>IFERROR(__xludf.DUMMYFUNCTION("""COMPUTED_VALUE"""),"--")</f>
        <v>--</v>
      </c>
      <c r="T597" s="251" t="str">
        <f>IFERROR(__xludf.DUMMYFUNCTION("""COMPUTED_VALUE"""),"--")</f>
        <v>--</v>
      </c>
      <c r="U597" s="251" t="str">
        <f>IFERROR(__xludf.DUMMYFUNCTION("""COMPUTED_VALUE"""),"--")</f>
        <v>--</v>
      </c>
      <c r="V597" s="251" t="str">
        <f>IFERROR(__xludf.DUMMYFUNCTION("""COMPUTED_VALUE"""),"--")</f>
        <v>--</v>
      </c>
      <c r="W597" s="251" t="str">
        <f>IFERROR(__xludf.DUMMYFUNCTION("""COMPUTED_VALUE"""),"--")</f>
        <v>--</v>
      </c>
      <c r="X597" s="251" t="str">
        <f>IFERROR(__xludf.DUMMYFUNCTION("""COMPUTED_VALUE"""),"--")</f>
        <v>--</v>
      </c>
      <c r="Y597" s="251" t="str">
        <f>IFERROR(__xludf.DUMMYFUNCTION("""COMPUTED_VALUE"""),"--")</f>
        <v>--</v>
      </c>
      <c r="Z597" s="251" t="str">
        <f>IFERROR(__xludf.DUMMYFUNCTION("""COMPUTED_VALUE"""),"--")</f>
        <v>--</v>
      </c>
      <c r="AA597" s="251" t="str">
        <f>IFERROR(__xludf.DUMMYFUNCTION("""COMPUTED_VALUE"""),"--")</f>
        <v>--</v>
      </c>
      <c r="AB597" s="251" t="str">
        <f>IFERROR(__xludf.DUMMYFUNCTION("""COMPUTED_VALUE"""),"--")</f>
        <v>--</v>
      </c>
      <c r="AC597" s="251" t="str">
        <f>IFERROR(__xludf.DUMMYFUNCTION("""COMPUTED_VALUE"""),"--")</f>
        <v>--</v>
      </c>
      <c r="AD597" s="251">
        <f>IFERROR(__xludf.DUMMYFUNCTION("""COMPUTED_VALUE"""),2.0)</f>
        <v>2</v>
      </c>
      <c r="AE597" s="251" t="str">
        <f>IFERROR(__xludf.DUMMYFUNCTION("""COMPUTED_VALUE"""),"Omnivore")</f>
        <v>Omnivore</v>
      </c>
    </row>
    <row r="598">
      <c r="A598" s="251" t="str">
        <f>IFERROR(__xludf.DUMMYFUNCTION("""COMPUTED_VALUE"""),"Weavile")</f>
        <v>Weavile</v>
      </c>
      <c r="B598" s="251" t="str">
        <f>IFERROR(__xludf.DUMMYFUNCTION("""COMPUTED_VALUE"""),"Dark")</f>
        <v>Dark</v>
      </c>
      <c r="C598" s="251" t="str">
        <f>IFERROR(__xludf.DUMMYFUNCTION("""COMPUTED_VALUE"""),"Ice")</f>
        <v>Ice</v>
      </c>
      <c r="D598" s="251">
        <f>IFERROR(__xludf.DUMMYFUNCTION("""COMPUTED_VALUE"""),8.0)</f>
        <v>8</v>
      </c>
      <c r="E598" s="251">
        <f>IFERROR(__xludf.DUMMYFUNCTION("""COMPUTED_VALUE"""),14.0)</f>
        <v>14</v>
      </c>
      <c r="F598" s="251">
        <f>IFERROR(__xludf.DUMMYFUNCTION("""COMPUTED_VALUE"""),7.0)</f>
        <v>7</v>
      </c>
      <c r="G598" s="251">
        <f>IFERROR(__xludf.DUMMYFUNCTION("""COMPUTED_VALUE"""),5.0)</f>
        <v>5</v>
      </c>
      <c r="H598" s="251">
        <f>IFERROR(__xludf.DUMMYFUNCTION("""COMPUTED_VALUE"""),9.0)</f>
        <v>9</v>
      </c>
      <c r="I598" s="251">
        <f>IFERROR(__xludf.DUMMYFUNCTION("""COMPUTED_VALUE"""),15.0)</f>
        <v>15</v>
      </c>
      <c r="J598" s="251">
        <f>IFERROR(__xludf.DUMMYFUNCTION("""COMPUTED_VALUE"""),3.0)</f>
        <v>3</v>
      </c>
      <c r="K598" s="251" t="str">
        <f>IFERROR(__xludf.DUMMYFUNCTION("""COMPUTED_VALUE"""),"Medium")</f>
        <v>Medium</v>
      </c>
      <c r="L598" s="251">
        <f>IFERROR(__xludf.DUMMYFUNCTION("""COMPUTED_VALUE"""),3.0)</f>
        <v>3</v>
      </c>
      <c r="M598" s="251" t="str">
        <f>IFERROR(__xludf.DUMMYFUNCTION("""COMPUTED_VALUE"""),"Cave, Tundra")</f>
        <v>Cave, Tundra</v>
      </c>
      <c r="N598" s="251" t="str">
        <f>IFERROR(__xludf.DUMMYFUNCTION("""COMPUTED_VALUE"""),"Climber")</f>
        <v>Climber</v>
      </c>
      <c r="O598" s="251" t="str">
        <f>IFERROR(__xludf.DUMMYFUNCTION("""COMPUTED_VALUE"""),"Jumper")</f>
        <v>Jumper</v>
      </c>
      <c r="P598" s="251" t="str">
        <f>IFERROR(__xludf.DUMMYFUNCTION("""COMPUTED_VALUE"""),"Quick")</f>
        <v>Quick</v>
      </c>
      <c r="Q598" s="251" t="str">
        <f>IFERROR(__xludf.DUMMYFUNCTION("""COMPUTED_VALUE"""),"--")</f>
        <v>--</v>
      </c>
      <c r="R598" s="251" t="str">
        <f>IFERROR(__xludf.DUMMYFUNCTION("""COMPUTED_VALUE"""),"Darkvision")</f>
        <v>Darkvision</v>
      </c>
      <c r="S598" s="251" t="str">
        <f>IFERROR(__xludf.DUMMYFUNCTION("""COMPUTED_VALUE"""),"--")</f>
        <v>--</v>
      </c>
      <c r="T598" s="251" t="str">
        <f>IFERROR(__xludf.DUMMYFUNCTION("""COMPUTED_VALUE"""),"--")</f>
        <v>--</v>
      </c>
      <c r="U598" s="251" t="str">
        <f>IFERROR(__xludf.DUMMYFUNCTION("""COMPUTED_VALUE"""),"--")</f>
        <v>--</v>
      </c>
      <c r="V598" s="251" t="str">
        <f>IFERROR(__xludf.DUMMYFUNCTION("""COMPUTED_VALUE"""),"--")</f>
        <v>--</v>
      </c>
      <c r="W598" s="251" t="str">
        <f>IFERROR(__xludf.DUMMYFUNCTION("""COMPUTED_VALUE"""),"--")</f>
        <v>--</v>
      </c>
      <c r="X598" s="251" t="str">
        <f>IFERROR(__xludf.DUMMYFUNCTION("""COMPUTED_VALUE"""),"--")</f>
        <v>--</v>
      </c>
      <c r="Y598" s="251" t="str">
        <f>IFERROR(__xludf.DUMMYFUNCTION("""COMPUTED_VALUE"""),"--")</f>
        <v>--</v>
      </c>
      <c r="Z598" s="251" t="str">
        <f>IFERROR(__xludf.DUMMYFUNCTION("""COMPUTED_VALUE"""),"--")</f>
        <v>--</v>
      </c>
      <c r="AA598" s="251" t="str">
        <f>IFERROR(__xludf.DUMMYFUNCTION("""COMPUTED_VALUE"""),"--")</f>
        <v>--</v>
      </c>
      <c r="AB598" s="251" t="str">
        <f>IFERROR(__xludf.DUMMYFUNCTION("""COMPUTED_VALUE"""),"--")</f>
        <v>--</v>
      </c>
      <c r="AC598" s="251" t="str">
        <f>IFERROR(__xludf.DUMMYFUNCTION("""COMPUTED_VALUE"""),"--")</f>
        <v>--</v>
      </c>
      <c r="AD598" s="251">
        <f>IFERROR(__xludf.DUMMYFUNCTION("""COMPUTED_VALUE"""),3.0)</f>
        <v>3</v>
      </c>
      <c r="AE598" s="251" t="str">
        <f>IFERROR(__xludf.DUMMYFUNCTION("""COMPUTED_VALUE"""),"Omnivore")</f>
        <v>Omnivore</v>
      </c>
    </row>
    <row r="599">
      <c r="A599" s="251" t="str">
        <f>IFERROR(__xludf.DUMMYFUNCTION("""COMPUTED_VALUE"""),"Houndour")</f>
        <v>Houndour</v>
      </c>
      <c r="B599" s="251" t="str">
        <f>IFERROR(__xludf.DUMMYFUNCTION("""COMPUTED_VALUE"""),"Dark")</f>
        <v>Dark</v>
      </c>
      <c r="C599" s="251" t="str">
        <f>IFERROR(__xludf.DUMMYFUNCTION("""COMPUTED_VALUE"""),"Fire")</f>
        <v>Fire</v>
      </c>
      <c r="D599" s="251">
        <f>IFERROR(__xludf.DUMMYFUNCTION("""COMPUTED_VALUE"""),5.0)</f>
        <v>5</v>
      </c>
      <c r="E599" s="251">
        <f>IFERROR(__xludf.DUMMYFUNCTION("""COMPUTED_VALUE"""),6.0)</f>
        <v>6</v>
      </c>
      <c r="F599" s="251">
        <f>IFERROR(__xludf.DUMMYFUNCTION("""COMPUTED_VALUE"""),3.0)</f>
        <v>3</v>
      </c>
      <c r="G599" s="251">
        <f>IFERROR(__xludf.DUMMYFUNCTION("""COMPUTED_VALUE"""),8.0)</f>
        <v>8</v>
      </c>
      <c r="H599" s="251">
        <f>IFERROR(__xludf.DUMMYFUNCTION("""COMPUTED_VALUE"""),5.0)</f>
        <v>5</v>
      </c>
      <c r="I599" s="251">
        <f>IFERROR(__xludf.DUMMYFUNCTION("""COMPUTED_VALUE"""),7.0)</f>
        <v>7</v>
      </c>
      <c r="J599" s="251">
        <f>IFERROR(__xludf.DUMMYFUNCTION("""COMPUTED_VALUE"""),2.0)</f>
        <v>2</v>
      </c>
      <c r="K599" s="251" t="str">
        <f>IFERROR(__xludf.DUMMYFUNCTION("""COMPUTED_VALUE"""),"Small")</f>
        <v>Small</v>
      </c>
      <c r="L599" s="251">
        <f>IFERROR(__xludf.DUMMYFUNCTION("""COMPUTED_VALUE"""),1.0)</f>
        <v>1</v>
      </c>
      <c r="M599" s="251" t="str">
        <f>IFERROR(__xludf.DUMMYFUNCTION("""COMPUTED_VALUE"""),"Grasslands, Mountain")</f>
        <v>Grasslands, Mountain</v>
      </c>
      <c r="N599" s="251" t="str">
        <f>IFERROR(__xludf.DUMMYFUNCTION("""COMPUTED_VALUE"""),"--")</f>
        <v>--</v>
      </c>
      <c r="O599" s="251" t="str">
        <f>IFERROR(__xludf.DUMMYFUNCTION("""COMPUTED_VALUE"""),"--")</f>
        <v>--</v>
      </c>
      <c r="P599" s="251" t="str">
        <f>IFERROR(__xludf.DUMMYFUNCTION("""COMPUTED_VALUE"""),"--")</f>
        <v>--</v>
      </c>
      <c r="Q599" s="251" t="str">
        <f>IFERROR(__xludf.DUMMYFUNCTION("""COMPUTED_VALUE"""),"--")</f>
        <v>--</v>
      </c>
      <c r="R599" s="251" t="str">
        <f>IFERROR(__xludf.DUMMYFUNCTION("""COMPUTED_VALUE"""),"Darkvision")</f>
        <v>Darkvision</v>
      </c>
      <c r="S599" s="251" t="str">
        <f>IFERROR(__xludf.DUMMYFUNCTION("""COMPUTED_VALUE"""),"Underdog")</f>
        <v>Underdog</v>
      </c>
      <c r="T599" s="251" t="str">
        <f>IFERROR(__xludf.DUMMYFUNCTION("""COMPUTED_VALUE"""),"--")</f>
        <v>--</v>
      </c>
      <c r="U599" s="251" t="str">
        <f>IFERROR(__xludf.DUMMYFUNCTION("""COMPUTED_VALUE"""),"--")</f>
        <v>--</v>
      </c>
      <c r="V599" s="251" t="str">
        <f>IFERROR(__xludf.DUMMYFUNCTION("""COMPUTED_VALUE"""),"Pack Mon")</f>
        <v>Pack Mon</v>
      </c>
      <c r="W599" s="251" t="str">
        <f>IFERROR(__xludf.DUMMYFUNCTION("""COMPUTED_VALUE"""),"Tracker")</f>
        <v>Tracker</v>
      </c>
      <c r="X599" s="251" t="str">
        <f>IFERROR(__xludf.DUMMYFUNCTION("""COMPUTED_VALUE"""),"--")</f>
        <v>--</v>
      </c>
      <c r="Y599" s="251" t="str">
        <f>IFERROR(__xludf.DUMMYFUNCTION("""COMPUTED_VALUE"""),"--")</f>
        <v>--</v>
      </c>
      <c r="Z599" s="251" t="str">
        <f>IFERROR(__xludf.DUMMYFUNCTION("""COMPUTED_VALUE"""),"--")</f>
        <v>--</v>
      </c>
      <c r="AA599" s="251" t="str">
        <f>IFERROR(__xludf.DUMMYFUNCTION("""COMPUTED_VALUE"""),"--")</f>
        <v>--</v>
      </c>
      <c r="AB599" s="251" t="str">
        <f>IFERROR(__xludf.DUMMYFUNCTION("""COMPUTED_VALUE"""),"--")</f>
        <v>--</v>
      </c>
      <c r="AC599" s="251" t="str">
        <f>IFERROR(__xludf.DUMMYFUNCTION("""COMPUTED_VALUE"""),"--")</f>
        <v>--</v>
      </c>
      <c r="AD599" s="251">
        <f>IFERROR(__xludf.DUMMYFUNCTION("""COMPUTED_VALUE"""),2.0)</f>
        <v>2</v>
      </c>
      <c r="AE599" s="251" t="str">
        <f>IFERROR(__xludf.DUMMYFUNCTION("""COMPUTED_VALUE"""),"Carnivore")</f>
        <v>Carnivore</v>
      </c>
    </row>
    <row r="600">
      <c r="A600" s="251" t="str">
        <f>IFERROR(__xludf.DUMMYFUNCTION("""COMPUTED_VALUE"""),"Houndoom")</f>
        <v>Houndoom</v>
      </c>
      <c r="B600" s="251" t="str">
        <f>IFERROR(__xludf.DUMMYFUNCTION("""COMPUTED_VALUE"""),"Dark")</f>
        <v>Dark</v>
      </c>
      <c r="C600" s="251" t="str">
        <f>IFERROR(__xludf.DUMMYFUNCTION("""COMPUTED_VALUE"""),"Fire")</f>
        <v>Fire</v>
      </c>
      <c r="D600" s="251">
        <f>IFERROR(__xludf.DUMMYFUNCTION("""COMPUTED_VALUE"""),8.0)</f>
        <v>8</v>
      </c>
      <c r="E600" s="251">
        <f>IFERROR(__xludf.DUMMYFUNCTION("""COMPUTED_VALUE"""),9.0)</f>
        <v>9</v>
      </c>
      <c r="F600" s="251">
        <f>IFERROR(__xludf.DUMMYFUNCTION("""COMPUTED_VALUE"""),5.0)</f>
        <v>5</v>
      </c>
      <c r="G600" s="251">
        <f>IFERROR(__xludf.DUMMYFUNCTION("""COMPUTED_VALUE"""),11.0)</f>
        <v>11</v>
      </c>
      <c r="H600" s="251">
        <f>IFERROR(__xludf.DUMMYFUNCTION("""COMPUTED_VALUE"""),8.0)</f>
        <v>8</v>
      </c>
      <c r="I600" s="251">
        <f>IFERROR(__xludf.DUMMYFUNCTION("""COMPUTED_VALUE"""),10.0)</f>
        <v>10</v>
      </c>
      <c r="J600" s="251">
        <f>IFERROR(__xludf.DUMMYFUNCTION("""COMPUTED_VALUE"""),5.0)</f>
        <v>5</v>
      </c>
      <c r="K600" s="251" t="str">
        <f>IFERROR(__xludf.DUMMYFUNCTION("""COMPUTED_VALUE"""),"Medium")</f>
        <v>Medium</v>
      </c>
      <c r="L600" s="251">
        <f>IFERROR(__xludf.DUMMYFUNCTION("""COMPUTED_VALUE"""),3.0)</f>
        <v>3</v>
      </c>
      <c r="M600" s="251" t="str">
        <f>IFERROR(__xludf.DUMMYFUNCTION("""COMPUTED_VALUE"""),"Grasslands, Mountain")</f>
        <v>Grasslands, Mountain</v>
      </c>
      <c r="N600" s="251" t="str">
        <f>IFERROR(__xludf.DUMMYFUNCTION("""COMPUTED_VALUE"""),"--")</f>
        <v>--</v>
      </c>
      <c r="O600" s="251" t="str">
        <f>IFERROR(__xludf.DUMMYFUNCTION("""COMPUTED_VALUE"""),"--")</f>
        <v>--</v>
      </c>
      <c r="P600" s="251" t="str">
        <f>IFERROR(__xludf.DUMMYFUNCTION("""COMPUTED_VALUE"""),"--")</f>
        <v>--</v>
      </c>
      <c r="Q600" s="251" t="str">
        <f>IFERROR(__xludf.DUMMYFUNCTION("""COMPUTED_VALUE"""),"--")</f>
        <v>--</v>
      </c>
      <c r="R600" s="251" t="str">
        <f>IFERROR(__xludf.DUMMYFUNCTION("""COMPUTED_VALUE"""),"Darkvision")</f>
        <v>Darkvision</v>
      </c>
      <c r="S600" s="251" t="str">
        <f>IFERROR(__xludf.DUMMYFUNCTION("""COMPUTED_VALUE"""),"--")</f>
        <v>--</v>
      </c>
      <c r="T600" s="251" t="str">
        <f>IFERROR(__xludf.DUMMYFUNCTION("""COMPUTED_VALUE"""),"--")</f>
        <v>--</v>
      </c>
      <c r="U600" s="251" t="str">
        <f>IFERROR(__xludf.DUMMYFUNCTION("""COMPUTED_VALUE"""),"--")</f>
        <v>--</v>
      </c>
      <c r="V600" s="251" t="str">
        <f>IFERROR(__xludf.DUMMYFUNCTION("""COMPUTED_VALUE"""),"Pack Mon")</f>
        <v>Pack Mon</v>
      </c>
      <c r="W600" s="251" t="str">
        <f>IFERROR(__xludf.DUMMYFUNCTION("""COMPUTED_VALUE"""),"Tracker")</f>
        <v>Tracker</v>
      </c>
      <c r="X600" s="251" t="str">
        <f>IFERROR(__xludf.DUMMYFUNCTION("""COMPUTED_VALUE"""),"--")</f>
        <v>--</v>
      </c>
      <c r="Y600" s="251" t="str">
        <f>IFERROR(__xludf.DUMMYFUNCTION("""COMPUTED_VALUE"""),"--")</f>
        <v>--</v>
      </c>
      <c r="Z600" s="251" t="str">
        <f>IFERROR(__xludf.DUMMYFUNCTION("""COMPUTED_VALUE"""),"--")</f>
        <v>--</v>
      </c>
      <c r="AA600" s="251" t="str">
        <f>IFERROR(__xludf.DUMMYFUNCTION("""COMPUTED_VALUE"""),"--")</f>
        <v>--</v>
      </c>
      <c r="AB600" s="251" t="str">
        <f>IFERROR(__xludf.DUMMYFUNCTION("""COMPUTED_VALUE"""),"--")</f>
        <v>--</v>
      </c>
      <c r="AC600" s="251" t="str">
        <f>IFERROR(__xludf.DUMMYFUNCTION("""COMPUTED_VALUE"""),"--")</f>
        <v>--</v>
      </c>
      <c r="AD600" s="251">
        <f>IFERROR(__xludf.DUMMYFUNCTION("""COMPUTED_VALUE"""),3.0)</f>
        <v>3</v>
      </c>
      <c r="AE600" s="251" t="str">
        <f>IFERROR(__xludf.DUMMYFUNCTION("""COMPUTED_VALUE"""),"Carnivore")</f>
        <v>Carnivore</v>
      </c>
    </row>
    <row r="601">
      <c r="A601" s="251" t="str">
        <f>IFERROR(__xludf.DUMMYFUNCTION("""COMPUTED_VALUE"""),"Poochyena")</f>
        <v>Poochyena</v>
      </c>
      <c r="B601" s="251" t="str">
        <f>IFERROR(__xludf.DUMMYFUNCTION("""COMPUTED_VALUE"""),"Dark")</f>
        <v>Dark</v>
      </c>
      <c r="C601" s="251" t="str">
        <f>IFERROR(__xludf.DUMMYFUNCTION("""COMPUTED_VALUE"""),"None")</f>
        <v>None</v>
      </c>
      <c r="D601" s="251">
        <f>IFERROR(__xludf.DUMMYFUNCTION("""COMPUTED_VALUE"""),5.0)</f>
        <v>5</v>
      </c>
      <c r="E601" s="251">
        <f>IFERROR(__xludf.DUMMYFUNCTION("""COMPUTED_VALUE"""),7.0)</f>
        <v>7</v>
      </c>
      <c r="F601" s="251">
        <f>IFERROR(__xludf.DUMMYFUNCTION("""COMPUTED_VALUE"""),4.0)</f>
        <v>4</v>
      </c>
      <c r="G601" s="251">
        <f>IFERROR(__xludf.DUMMYFUNCTION("""COMPUTED_VALUE"""),4.0)</f>
        <v>4</v>
      </c>
      <c r="H601" s="251">
        <f>IFERROR(__xludf.DUMMYFUNCTION("""COMPUTED_VALUE"""),4.0)</f>
        <v>4</v>
      </c>
      <c r="I601" s="251">
        <f>IFERROR(__xludf.DUMMYFUNCTION("""COMPUTED_VALUE"""),6.0)</f>
        <v>6</v>
      </c>
      <c r="J601" s="251">
        <f>IFERROR(__xludf.DUMMYFUNCTION("""COMPUTED_VALUE"""),2.0)</f>
        <v>2</v>
      </c>
      <c r="K601" s="251" t="str">
        <f>IFERROR(__xludf.DUMMYFUNCTION("""COMPUTED_VALUE"""),"Small")</f>
        <v>Small</v>
      </c>
      <c r="L601" s="251">
        <f>IFERROR(__xludf.DUMMYFUNCTION("""COMPUTED_VALUE"""),2.0)</f>
        <v>2</v>
      </c>
      <c r="M601" s="251" t="str">
        <f>IFERROR(__xludf.DUMMYFUNCTION("""COMPUTED_VALUE"""),"Grasslands")</f>
        <v>Grasslands</v>
      </c>
      <c r="N601" s="251" t="str">
        <f>IFERROR(__xludf.DUMMYFUNCTION("""COMPUTED_VALUE"""),"--")</f>
        <v>--</v>
      </c>
      <c r="O601" s="251" t="str">
        <f>IFERROR(__xludf.DUMMYFUNCTION("""COMPUTED_VALUE"""),"--")</f>
        <v>--</v>
      </c>
      <c r="P601" s="251" t="str">
        <f>IFERROR(__xludf.DUMMYFUNCTION("""COMPUTED_VALUE"""),"--")</f>
        <v>--</v>
      </c>
      <c r="Q601" s="251" t="str">
        <f>IFERROR(__xludf.DUMMYFUNCTION("""COMPUTED_VALUE"""),"--")</f>
        <v>--</v>
      </c>
      <c r="R601" s="251" t="str">
        <f>IFERROR(__xludf.DUMMYFUNCTION("""COMPUTED_VALUE"""),"Darkvision")</f>
        <v>Darkvision</v>
      </c>
      <c r="S601" s="251" t="str">
        <f>IFERROR(__xludf.DUMMYFUNCTION("""COMPUTED_VALUE"""),"Underdog")</f>
        <v>Underdog</v>
      </c>
      <c r="T601" s="251" t="str">
        <f>IFERROR(__xludf.DUMMYFUNCTION("""COMPUTED_VALUE"""),"--")</f>
        <v>--</v>
      </c>
      <c r="U601" s="251" t="str">
        <f>IFERROR(__xludf.DUMMYFUNCTION("""COMPUTED_VALUE"""),"--")</f>
        <v>--</v>
      </c>
      <c r="V601" s="251" t="str">
        <f>IFERROR(__xludf.DUMMYFUNCTION("""COMPUTED_VALUE"""),"Pack Mon")</f>
        <v>Pack Mon</v>
      </c>
      <c r="W601" s="251" t="str">
        <f>IFERROR(__xludf.DUMMYFUNCTION("""COMPUTED_VALUE"""),"Tracker")</f>
        <v>Tracker</v>
      </c>
      <c r="X601" s="251" t="str">
        <f>IFERROR(__xludf.DUMMYFUNCTION("""COMPUTED_VALUE"""),"--")</f>
        <v>--</v>
      </c>
      <c r="Y601" s="251" t="str">
        <f>IFERROR(__xludf.DUMMYFUNCTION("""COMPUTED_VALUE"""),"--")</f>
        <v>--</v>
      </c>
      <c r="Z601" s="251" t="str">
        <f>IFERROR(__xludf.DUMMYFUNCTION("""COMPUTED_VALUE"""),"--")</f>
        <v>--</v>
      </c>
      <c r="AA601" s="251" t="str">
        <f>IFERROR(__xludf.DUMMYFUNCTION("""COMPUTED_VALUE"""),"--")</f>
        <v>--</v>
      </c>
      <c r="AB601" s="251" t="str">
        <f>IFERROR(__xludf.DUMMYFUNCTION("""COMPUTED_VALUE"""),"--")</f>
        <v>--</v>
      </c>
      <c r="AC601" s="251" t="str">
        <f>IFERROR(__xludf.DUMMYFUNCTION("""COMPUTED_VALUE"""),"--")</f>
        <v>--</v>
      </c>
      <c r="AD601" s="251">
        <f>IFERROR(__xludf.DUMMYFUNCTION("""COMPUTED_VALUE"""),2.0)</f>
        <v>2</v>
      </c>
      <c r="AE601" s="251" t="str">
        <f>IFERROR(__xludf.DUMMYFUNCTION("""COMPUTED_VALUE"""),"Carnivore")</f>
        <v>Carnivore</v>
      </c>
    </row>
    <row r="602">
      <c r="A602" s="251" t="str">
        <f>IFERROR(__xludf.DUMMYFUNCTION("""COMPUTED_VALUE"""),"Mightyena")</f>
        <v>Mightyena</v>
      </c>
      <c r="B602" s="251" t="str">
        <f>IFERROR(__xludf.DUMMYFUNCTION("""COMPUTED_VALUE"""),"Dark")</f>
        <v>Dark</v>
      </c>
      <c r="C602" s="251" t="str">
        <f>IFERROR(__xludf.DUMMYFUNCTION("""COMPUTED_VALUE"""),"None")</f>
        <v>None</v>
      </c>
      <c r="D602" s="251">
        <f>IFERROR(__xludf.DUMMYFUNCTION("""COMPUTED_VALUE"""),7.0)</f>
        <v>7</v>
      </c>
      <c r="E602" s="251">
        <f>IFERROR(__xludf.DUMMYFUNCTION("""COMPUTED_VALUE"""),9.0)</f>
        <v>9</v>
      </c>
      <c r="F602" s="251">
        <f>IFERROR(__xludf.DUMMYFUNCTION("""COMPUTED_VALUE"""),7.0)</f>
        <v>7</v>
      </c>
      <c r="G602" s="251">
        <f>IFERROR(__xludf.DUMMYFUNCTION("""COMPUTED_VALUE"""),6.0)</f>
        <v>6</v>
      </c>
      <c r="H602" s="251">
        <f>IFERROR(__xludf.DUMMYFUNCTION("""COMPUTED_VALUE"""),6.0)</f>
        <v>6</v>
      </c>
      <c r="I602" s="251">
        <f>IFERROR(__xludf.DUMMYFUNCTION("""COMPUTED_VALUE"""),7.0)</f>
        <v>7</v>
      </c>
      <c r="J602" s="251">
        <f>IFERROR(__xludf.DUMMYFUNCTION("""COMPUTED_VALUE"""),6.0)</f>
        <v>6</v>
      </c>
      <c r="K602" s="251" t="str">
        <f>IFERROR(__xludf.DUMMYFUNCTION("""COMPUTED_VALUE"""),"Medium")</f>
        <v>Medium</v>
      </c>
      <c r="L602" s="251">
        <f>IFERROR(__xludf.DUMMYFUNCTION("""COMPUTED_VALUE"""),3.0)</f>
        <v>3</v>
      </c>
      <c r="M602" s="251" t="str">
        <f>IFERROR(__xludf.DUMMYFUNCTION("""COMPUTED_VALUE"""),"Grasslands")</f>
        <v>Grasslands</v>
      </c>
      <c r="N602" s="251" t="str">
        <f>IFERROR(__xludf.DUMMYFUNCTION("""COMPUTED_VALUE"""),"--")</f>
        <v>--</v>
      </c>
      <c r="O602" s="251" t="str">
        <f>IFERROR(__xludf.DUMMYFUNCTION("""COMPUTED_VALUE"""),"--")</f>
        <v>--</v>
      </c>
      <c r="P602" s="251" t="str">
        <f>IFERROR(__xludf.DUMMYFUNCTION("""COMPUTED_VALUE"""),"--")</f>
        <v>--</v>
      </c>
      <c r="Q602" s="251" t="str">
        <f>IFERROR(__xludf.DUMMYFUNCTION("""COMPUTED_VALUE"""),"--")</f>
        <v>--</v>
      </c>
      <c r="R602" s="251" t="str">
        <f>IFERROR(__xludf.DUMMYFUNCTION("""COMPUTED_VALUE"""),"Darkvision")</f>
        <v>Darkvision</v>
      </c>
      <c r="S602" s="251" t="str">
        <f>IFERROR(__xludf.DUMMYFUNCTION("""COMPUTED_VALUE"""),"Underdog")</f>
        <v>Underdog</v>
      </c>
      <c r="T602" s="251" t="str">
        <f>IFERROR(__xludf.DUMMYFUNCTION("""COMPUTED_VALUE"""),"--")</f>
        <v>--</v>
      </c>
      <c r="U602" s="251" t="str">
        <f>IFERROR(__xludf.DUMMYFUNCTION("""COMPUTED_VALUE"""),"--")</f>
        <v>--</v>
      </c>
      <c r="V602" s="251" t="str">
        <f>IFERROR(__xludf.DUMMYFUNCTION("""COMPUTED_VALUE"""),"Pack Mon")</f>
        <v>Pack Mon</v>
      </c>
      <c r="W602" s="251" t="str">
        <f>IFERROR(__xludf.DUMMYFUNCTION("""COMPUTED_VALUE"""),"Tracker")</f>
        <v>Tracker</v>
      </c>
      <c r="X602" s="251" t="str">
        <f>IFERROR(__xludf.DUMMYFUNCTION("""COMPUTED_VALUE"""),"--")</f>
        <v>--</v>
      </c>
      <c r="Y602" s="251" t="str">
        <f>IFERROR(__xludf.DUMMYFUNCTION("""COMPUTED_VALUE"""),"--")</f>
        <v>--</v>
      </c>
      <c r="Z602" s="251" t="str">
        <f>IFERROR(__xludf.DUMMYFUNCTION("""COMPUTED_VALUE"""),"--")</f>
        <v>--</v>
      </c>
      <c r="AA602" s="251" t="str">
        <f>IFERROR(__xludf.DUMMYFUNCTION("""COMPUTED_VALUE"""),"--")</f>
        <v>--</v>
      </c>
      <c r="AB602" s="251" t="str">
        <f>IFERROR(__xludf.DUMMYFUNCTION("""COMPUTED_VALUE"""),"--")</f>
        <v>--</v>
      </c>
      <c r="AC602" s="251" t="str">
        <f>IFERROR(__xludf.DUMMYFUNCTION("""COMPUTED_VALUE"""),"--")</f>
        <v>--</v>
      </c>
      <c r="AD602" s="251">
        <f>IFERROR(__xludf.DUMMYFUNCTION("""COMPUTED_VALUE"""),3.0)</f>
        <v>3</v>
      </c>
      <c r="AE602" s="251" t="str">
        <f>IFERROR(__xludf.DUMMYFUNCTION("""COMPUTED_VALUE"""),"Carnivore")</f>
        <v>Carnivore</v>
      </c>
    </row>
    <row r="603">
      <c r="A603" s="251" t="str">
        <f>IFERROR(__xludf.DUMMYFUNCTION("""COMPUTED_VALUE"""),"Purrloin")</f>
        <v>Purrloin</v>
      </c>
      <c r="B603" s="251" t="str">
        <f>IFERROR(__xludf.DUMMYFUNCTION("""COMPUTED_VALUE"""),"Dark")</f>
        <v>Dark</v>
      </c>
      <c r="C603" s="251" t="str">
        <f>IFERROR(__xludf.DUMMYFUNCTION("""COMPUTED_VALUE"""),"None")</f>
        <v>None</v>
      </c>
      <c r="D603" s="251">
        <f>IFERROR(__xludf.DUMMYFUNCTION("""COMPUTED_VALUE"""),5.0)</f>
        <v>5</v>
      </c>
      <c r="E603" s="251">
        <f>IFERROR(__xludf.DUMMYFUNCTION("""COMPUTED_VALUE"""),5.0)</f>
        <v>5</v>
      </c>
      <c r="F603" s="251">
        <f>IFERROR(__xludf.DUMMYFUNCTION("""COMPUTED_VALUE"""),4.0)</f>
        <v>4</v>
      </c>
      <c r="G603" s="251">
        <f>IFERROR(__xludf.DUMMYFUNCTION("""COMPUTED_VALUE"""),5.0)</f>
        <v>5</v>
      </c>
      <c r="H603" s="251">
        <f>IFERROR(__xludf.DUMMYFUNCTION("""COMPUTED_VALUE"""),4.0)</f>
        <v>4</v>
      </c>
      <c r="I603" s="251">
        <f>IFERROR(__xludf.DUMMYFUNCTION("""COMPUTED_VALUE"""),7.0)</f>
        <v>7</v>
      </c>
      <c r="J603" s="251">
        <f>IFERROR(__xludf.DUMMYFUNCTION("""COMPUTED_VALUE"""),1.0)</f>
        <v>1</v>
      </c>
      <c r="K603" s="251" t="str">
        <f>IFERROR(__xludf.DUMMYFUNCTION("""COMPUTED_VALUE"""),"Small")</f>
        <v>Small</v>
      </c>
      <c r="L603" s="251">
        <f>IFERROR(__xludf.DUMMYFUNCTION("""COMPUTED_VALUE"""),1.0)</f>
        <v>1</v>
      </c>
      <c r="M603" s="251" t="str">
        <f>IFERROR(__xludf.DUMMYFUNCTION("""COMPUTED_VALUE"""),"Urban")</f>
        <v>Urban</v>
      </c>
      <c r="N603" s="251" t="str">
        <f>IFERROR(__xludf.DUMMYFUNCTION("""COMPUTED_VALUE"""),"--")</f>
        <v>--</v>
      </c>
      <c r="O603" s="251" t="str">
        <f>IFERROR(__xludf.DUMMYFUNCTION("""COMPUTED_VALUE"""),"--")</f>
        <v>--</v>
      </c>
      <c r="P603" s="251" t="str">
        <f>IFERROR(__xludf.DUMMYFUNCTION("""COMPUTED_VALUE"""),"--")</f>
        <v>--</v>
      </c>
      <c r="Q603" s="251" t="str">
        <f>IFERROR(__xludf.DUMMYFUNCTION("""COMPUTED_VALUE"""),"--")</f>
        <v>--</v>
      </c>
      <c r="R603" s="251" t="str">
        <f>IFERROR(__xludf.DUMMYFUNCTION("""COMPUTED_VALUE"""),"Darkvision")</f>
        <v>Darkvision</v>
      </c>
      <c r="S603" s="251" t="str">
        <f>IFERROR(__xludf.DUMMYFUNCTION("""COMPUTED_VALUE"""),"Underdog")</f>
        <v>Underdog</v>
      </c>
      <c r="T603" s="251" t="str">
        <f>IFERROR(__xludf.DUMMYFUNCTION("""COMPUTED_VALUE"""),"--")</f>
        <v>--</v>
      </c>
      <c r="U603" s="251" t="str">
        <f>IFERROR(__xludf.DUMMYFUNCTION("""COMPUTED_VALUE"""),"--")</f>
        <v>--</v>
      </c>
      <c r="V603" s="251" t="str">
        <f>IFERROR(__xludf.DUMMYFUNCTION("""COMPUTED_VALUE"""),"--")</f>
        <v>--</v>
      </c>
      <c r="W603" s="251" t="str">
        <f>IFERROR(__xludf.DUMMYFUNCTION("""COMPUTED_VALUE"""),"--")</f>
        <v>--</v>
      </c>
      <c r="X603" s="251" t="str">
        <f>IFERROR(__xludf.DUMMYFUNCTION("""COMPUTED_VALUE"""),"--")</f>
        <v>--</v>
      </c>
      <c r="Y603" s="251" t="str">
        <f>IFERROR(__xludf.DUMMYFUNCTION("""COMPUTED_VALUE"""),"--")</f>
        <v>--</v>
      </c>
      <c r="Z603" s="251" t="str">
        <f>IFERROR(__xludf.DUMMYFUNCTION("""COMPUTED_VALUE"""),"--")</f>
        <v>--</v>
      </c>
      <c r="AA603" s="251" t="str">
        <f>IFERROR(__xludf.DUMMYFUNCTION("""COMPUTED_VALUE"""),"--")</f>
        <v>--</v>
      </c>
      <c r="AB603" s="251" t="str">
        <f>IFERROR(__xludf.DUMMYFUNCTION("""COMPUTED_VALUE"""),"--")</f>
        <v>--</v>
      </c>
      <c r="AC603" s="251" t="str">
        <f>IFERROR(__xludf.DUMMYFUNCTION("""COMPUTED_VALUE"""),"--")</f>
        <v>--</v>
      </c>
      <c r="AD603" s="251">
        <f>IFERROR(__xludf.DUMMYFUNCTION("""COMPUTED_VALUE"""),2.0)</f>
        <v>2</v>
      </c>
      <c r="AE603" s="251" t="str">
        <f>IFERROR(__xludf.DUMMYFUNCTION("""COMPUTED_VALUE"""),"Carnivore")</f>
        <v>Carnivore</v>
      </c>
    </row>
    <row r="604">
      <c r="A604" s="251" t="str">
        <f>IFERROR(__xludf.DUMMYFUNCTION("""COMPUTED_VALUE"""),"Liepard")</f>
        <v>Liepard</v>
      </c>
      <c r="B604" s="251" t="str">
        <f>IFERROR(__xludf.DUMMYFUNCTION("""COMPUTED_VALUE"""),"Dark")</f>
        <v>Dark</v>
      </c>
      <c r="C604" s="251" t="str">
        <f>IFERROR(__xludf.DUMMYFUNCTION("""COMPUTED_VALUE"""),"None")</f>
        <v>None</v>
      </c>
      <c r="D604" s="251">
        <f>IFERROR(__xludf.DUMMYFUNCTION("""COMPUTED_VALUE"""),7.0)</f>
        <v>7</v>
      </c>
      <c r="E604" s="251">
        <f>IFERROR(__xludf.DUMMYFUNCTION("""COMPUTED_VALUE"""),10.0)</f>
        <v>10</v>
      </c>
      <c r="F604" s="251">
        <f>IFERROR(__xludf.DUMMYFUNCTION("""COMPUTED_VALUE"""),6.0)</f>
        <v>6</v>
      </c>
      <c r="G604" s="251">
        <f>IFERROR(__xludf.DUMMYFUNCTION("""COMPUTED_VALUE"""),10.0)</f>
        <v>10</v>
      </c>
      <c r="H604" s="251">
        <f>IFERROR(__xludf.DUMMYFUNCTION("""COMPUTED_VALUE"""),6.0)</f>
        <v>6</v>
      </c>
      <c r="I604" s="251">
        <f>IFERROR(__xludf.DUMMYFUNCTION("""COMPUTED_VALUE"""),12.0)</f>
        <v>12</v>
      </c>
      <c r="J604" s="251">
        <f>IFERROR(__xludf.DUMMYFUNCTION("""COMPUTED_VALUE"""),4.0)</f>
        <v>4</v>
      </c>
      <c r="K604" s="251" t="str">
        <f>IFERROR(__xludf.DUMMYFUNCTION("""COMPUTED_VALUE"""),"Medium")</f>
        <v>Medium</v>
      </c>
      <c r="L604" s="251">
        <f>IFERROR(__xludf.DUMMYFUNCTION("""COMPUTED_VALUE"""),3.0)</f>
        <v>3</v>
      </c>
      <c r="M604" s="251" t="str">
        <f>IFERROR(__xludf.DUMMYFUNCTION("""COMPUTED_VALUE"""),"Urban")</f>
        <v>Urban</v>
      </c>
      <c r="N604" s="251" t="str">
        <f>IFERROR(__xludf.DUMMYFUNCTION("""COMPUTED_VALUE"""),"Quick")</f>
        <v>Quick</v>
      </c>
      <c r="O604" s="251" t="str">
        <f>IFERROR(__xludf.DUMMYFUNCTION("""COMPUTED_VALUE"""),"--")</f>
        <v>--</v>
      </c>
      <c r="P604" s="251" t="str">
        <f>IFERROR(__xludf.DUMMYFUNCTION("""COMPUTED_VALUE"""),"--")</f>
        <v>--</v>
      </c>
      <c r="Q604" s="251" t="str">
        <f>IFERROR(__xludf.DUMMYFUNCTION("""COMPUTED_VALUE"""),"--")</f>
        <v>--</v>
      </c>
      <c r="R604" s="251" t="str">
        <f>IFERROR(__xludf.DUMMYFUNCTION("""COMPUTED_VALUE"""),"Darkvision")</f>
        <v>Darkvision</v>
      </c>
      <c r="S604" s="251" t="str">
        <f>IFERROR(__xludf.DUMMYFUNCTION("""COMPUTED_VALUE"""),"--")</f>
        <v>--</v>
      </c>
      <c r="T604" s="251" t="str">
        <f>IFERROR(__xludf.DUMMYFUNCTION("""COMPUTED_VALUE"""),"--")</f>
        <v>--</v>
      </c>
      <c r="U604" s="251" t="str">
        <f>IFERROR(__xludf.DUMMYFUNCTION("""COMPUTED_VALUE"""),"--")</f>
        <v>--</v>
      </c>
      <c r="V604" s="251" t="str">
        <f>IFERROR(__xludf.DUMMYFUNCTION("""COMPUTED_VALUE"""),"--")</f>
        <v>--</v>
      </c>
      <c r="W604" s="251" t="str">
        <f>IFERROR(__xludf.DUMMYFUNCTION("""COMPUTED_VALUE"""),"--")</f>
        <v>--</v>
      </c>
      <c r="X604" s="251" t="str">
        <f>IFERROR(__xludf.DUMMYFUNCTION("""COMPUTED_VALUE"""),"--")</f>
        <v>--</v>
      </c>
      <c r="Y604" s="251" t="str">
        <f>IFERROR(__xludf.DUMMYFUNCTION("""COMPUTED_VALUE"""),"--")</f>
        <v>--</v>
      </c>
      <c r="Z604" s="251" t="str">
        <f>IFERROR(__xludf.DUMMYFUNCTION("""COMPUTED_VALUE"""),"--")</f>
        <v>--</v>
      </c>
      <c r="AA604" s="251" t="str">
        <f>IFERROR(__xludf.DUMMYFUNCTION("""COMPUTED_VALUE"""),"--")</f>
        <v>--</v>
      </c>
      <c r="AB604" s="251" t="str">
        <f>IFERROR(__xludf.DUMMYFUNCTION("""COMPUTED_VALUE"""),"--")</f>
        <v>--</v>
      </c>
      <c r="AC604" s="251" t="str">
        <f>IFERROR(__xludf.DUMMYFUNCTION("""COMPUTED_VALUE"""),"--")</f>
        <v>--</v>
      </c>
      <c r="AD604" s="251">
        <f>IFERROR(__xludf.DUMMYFUNCTION("""COMPUTED_VALUE"""),3.0)</f>
        <v>3</v>
      </c>
      <c r="AE604" s="251" t="str">
        <f>IFERROR(__xludf.DUMMYFUNCTION("""COMPUTED_VALUE"""),"Carnivore")</f>
        <v>Carnivore</v>
      </c>
    </row>
    <row r="605">
      <c r="A605" s="251" t="str">
        <f>IFERROR(__xludf.DUMMYFUNCTION("""COMPUTED_VALUE"""),"Scraggy")</f>
        <v>Scraggy</v>
      </c>
      <c r="B605" s="251" t="str">
        <f>IFERROR(__xludf.DUMMYFUNCTION("""COMPUTED_VALUE"""),"Dark")</f>
        <v>Dark</v>
      </c>
      <c r="C605" s="251" t="str">
        <f>IFERROR(__xludf.DUMMYFUNCTION("""COMPUTED_VALUE"""),"Fighting")</f>
        <v>Fighting</v>
      </c>
      <c r="D605" s="251">
        <f>IFERROR(__xludf.DUMMYFUNCTION("""COMPUTED_VALUE"""),5.0)</f>
        <v>5</v>
      </c>
      <c r="E605" s="251">
        <f>IFERROR(__xludf.DUMMYFUNCTION("""COMPUTED_VALUE"""),8.0)</f>
        <v>8</v>
      </c>
      <c r="F605" s="251">
        <f>IFERROR(__xludf.DUMMYFUNCTION("""COMPUTED_VALUE"""),7.0)</f>
        <v>7</v>
      </c>
      <c r="G605" s="251">
        <f>IFERROR(__xludf.DUMMYFUNCTION("""COMPUTED_VALUE"""),4.0)</f>
        <v>4</v>
      </c>
      <c r="H605" s="251">
        <f>IFERROR(__xludf.DUMMYFUNCTION("""COMPUTED_VALUE"""),7.0)</f>
        <v>7</v>
      </c>
      <c r="I605" s="251">
        <f>IFERROR(__xludf.DUMMYFUNCTION("""COMPUTED_VALUE"""),5.0)</f>
        <v>5</v>
      </c>
      <c r="J605" s="251">
        <f>IFERROR(__xludf.DUMMYFUNCTION("""COMPUTED_VALUE"""),3.0)</f>
        <v>3</v>
      </c>
      <c r="K605" s="251" t="str">
        <f>IFERROR(__xludf.DUMMYFUNCTION("""COMPUTED_VALUE"""),"Small")</f>
        <v>Small</v>
      </c>
      <c r="L605" s="251">
        <f>IFERROR(__xludf.DUMMYFUNCTION("""COMPUTED_VALUE"""),2.0)</f>
        <v>2</v>
      </c>
      <c r="M605" s="251" t="str">
        <f>IFERROR(__xludf.DUMMYFUNCTION("""COMPUTED_VALUE"""),"Desert, Urban")</f>
        <v>Desert, Urban</v>
      </c>
      <c r="N605" s="251" t="str">
        <f>IFERROR(__xludf.DUMMYFUNCTION("""COMPUTED_VALUE"""),"--")</f>
        <v>--</v>
      </c>
      <c r="O605" s="251" t="str">
        <f>IFERROR(__xludf.DUMMYFUNCTION("""COMPUTED_VALUE"""),"--")</f>
        <v>--</v>
      </c>
      <c r="P605" s="251" t="str">
        <f>IFERROR(__xludf.DUMMYFUNCTION("""COMPUTED_VALUE"""),"--")</f>
        <v>--</v>
      </c>
      <c r="Q605" s="251" t="str">
        <f>IFERROR(__xludf.DUMMYFUNCTION("""COMPUTED_VALUE"""),"--")</f>
        <v>--</v>
      </c>
      <c r="R605" s="251" t="str">
        <f>IFERROR(__xludf.DUMMYFUNCTION("""COMPUTED_VALUE"""),"Darkvision")</f>
        <v>Darkvision</v>
      </c>
      <c r="S605" s="251" t="str">
        <f>IFERROR(__xludf.DUMMYFUNCTION("""COMPUTED_VALUE"""),"Underdog")</f>
        <v>Underdog</v>
      </c>
      <c r="T605" s="251" t="str">
        <f>IFERROR(__xludf.DUMMYFUNCTION("""COMPUTED_VALUE"""),"--")</f>
        <v>--</v>
      </c>
      <c r="U605" s="251" t="str">
        <f>IFERROR(__xludf.DUMMYFUNCTION("""COMPUTED_VALUE"""),"--")</f>
        <v>--</v>
      </c>
      <c r="V605" s="251" t="str">
        <f>IFERROR(__xludf.DUMMYFUNCTION("""COMPUTED_VALUE"""),"Pack Mon")</f>
        <v>Pack Mon</v>
      </c>
      <c r="W605" s="251" t="str">
        <f>IFERROR(__xludf.DUMMYFUNCTION("""COMPUTED_VALUE"""),"--")</f>
        <v>--</v>
      </c>
      <c r="X605" s="251" t="str">
        <f>IFERROR(__xludf.DUMMYFUNCTION("""COMPUTED_VALUE"""),"--")</f>
        <v>--</v>
      </c>
      <c r="Y605" s="251" t="str">
        <f>IFERROR(__xludf.DUMMYFUNCTION("""COMPUTED_VALUE"""),"--")</f>
        <v>--</v>
      </c>
      <c r="Z605" s="251" t="str">
        <f>IFERROR(__xludf.DUMMYFUNCTION("""COMPUTED_VALUE"""),"--")</f>
        <v>--</v>
      </c>
      <c r="AA605" s="251" t="str">
        <f>IFERROR(__xludf.DUMMYFUNCTION("""COMPUTED_VALUE"""),"--")</f>
        <v>--</v>
      </c>
      <c r="AB605" s="251" t="str">
        <f>IFERROR(__xludf.DUMMYFUNCTION("""COMPUTED_VALUE"""),"--")</f>
        <v>--</v>
      </c>
      <c r="AC605" s="251" t="str">
        <f>IFERROR(__xludf.DUMMYFUNCTION("""COMPUTED_VALUE"""),"--")</f>
        <v>--</v>
      </c>
      <c r="AD605" s="251">
        <f>IFERROR(__xludf.DUMMYFUNCTION("""COMPUTED_VALUE"""),2.0)</f>
        <v>2</v>
      </c>
      <c r="AE605" s="251" t="str">
        <f>IFERROR(__xludf.DUMMYFUNCTION("""COMPUTED_VALUE"""),"Herbivore")</f>
        <v>Herbivore</v>
      </c>
    </row>
    <row r="606">
      <c r="A606" s="251" t="str">
        <f>IFERROR(__xludf.DUMMYFUNCTION("""COMPUTED_VALUE"""),"Scrafty")</f>
        <v>Scrafty</v>
      </c>
      <c r="B606" s="251" t="str">
        <f>IFERROR(__xludf.DUMMYFUNCTION("""COMPUTED_VALUE"""),"Dark")</f>
        <v>Dark</v>
      </c>
      <c r="C606" s="251" t="str">
        <f>IFERROR(__xludf.DUMMYFUNCTION("""COMPUTED_VALUE"""),"Fighting")</f>
        <v>Fighting</v>
      </c>
      <c r="D606" s="251">
        <f>IFERROR(__xludf.DUMMYFUNCTION("""COMPUTED_VALUE"""),7.0)</f>
        <v>7</v>
      </c>
      <c r="E606" s="251">
        <f>IFERROR(__xludf.DUMMYFUNCTION("""COMPUTED_VALUE"""),9.0)</f>
        <v>9</v>
      </c>
      <c r="F606" s="251">
        <f>IFERROR(__xludf.DUMMYFUNCTION("""COMPUTED_VALUE"""),12.0)</f>
        <v>12</v>
      </c>
      <c r="G606" s="251">
        <f>IFERROR(__xludf.DUMMYFUNCTION("""COMPUTED_VALUE"""),5.0)</f>
        <v>5</v>
      </c>
      <c r="H606" s="251">
        <f>IFERROR(__xludf.DUMMYFUNCTION("""COMPUTED_VALUE"""),12.0)</f>
        <v>12</v>
      </c>
      <c r="I606" s="251">
        <f>IFERROR(__xludf.DUMMYFUNCTION("""COMPUTED_VALUE"""),6.0)</f>
        <v>6</v>
      </c>
      <c r="J606" s="251">
        <f>IFERROR(__xludf.DUMMYFUNCTION("""COMPUTED_VALUE"""),6.0)</f>
        <v>6</v>
      </c>
      <c r="K606" s="251" t="str">
        <f>IFERROR(__xludf.DUMMYFUNCTION("""COMPUTED_VALUE"""),"Medium")</f>
        <v>Medium</v>
      </c>
      <c r="L606" s="251">
        <f>IFERROR(__xludf.DUMMYFUNCTION("""COMPUTED_VALUE"""),3.0)</f>
        <v>3</v>
      </c>
      <c r="M606" s="251" t="str">
        <f>IFERROR(__xludf.DUMMYFUNCTION("""COMPUTED_VALUE"""),"Desert, Urban")</f>
        <v>Desert, Urban</v>
      </c>
      <c r="N606" s="251" t="str">
        <f>IFERROR(__xludf.DUMMYFUNCTION("""COMPUTED_VALUE"""),"--")</f>
        <v>--</v>
      </c>
      <c r="O606" s="251" t="str">
        <f>IFERROR(__xludf.DUMMYFUNCTION("""COMPUTED_VALUE"""),"--")</f>
        <v>--</v>
      </c>
      <c r="P606" s="251" t="str">
        <f>IFERROR(__xludf.DUMMYFUNCTION("""COMPUTED_VALUE"""),"--")</f>
        <v>--</v>
      </c>
      <c r="Q606" s="251" t="str">
        <f>IFERROR(__xludf.DUMMYFUNCTION("""COMPUTED_VALUE"""),"--")</f>
        <v>--</v>
      </c>
      <c r="R606" s="251" t="str">
        <f>IFERROR(__xludf.DUMMYFUNCTION("""COMPUTED_VALUE"""),"Darkvision")</f>
        <v>Darkvision</v>
      </c>
      <c r="S606" s="251" t="str">
        <f>IFERROR(__xludf.DUMMYFUNCTION("""COMPUTED_VALUE"""),"--")</f>
        <v>--</v>
      </c>
      <c r="T606" s="251" t="str">
        <f>IFERROR(__xludf.DUMMYFUNCTION("""COMPUTED_VALUE"""),"--")</f>
        <v>--</v>
      </c>
      <c r="U606" s="251" t="str">
        <f>IFERROR(__xludf.DUMMYFUNCTION("""COMPUTED_VALUE"""),"--")</f>
        <v>--</v>
      </c>
      <c r="V606" s="251" t="str">
        <f>IFERROR(__xludf.DUMMYFUNCTION("""COMPUTED_VALUE"""),"Pack Mon")</f>
        <v>Pack Mon</v>
      </c>
      <c r="W606" s="251" t="str">
        <f>IFERROR(__xludf.DUMMYFUNCTION("""COMPUTED_VALUE"""),"--")</f>
        <v>--</v>
      </c>
      <c r="X606" s="251" t="str">
        <f>IFERROR(__xludf.DUMMYFUNCTION("""COMPUTED_VALUE"""),"--")</f>
        <v>--</v>
      </c>
      <c r="Y606" s="251" t="str">
        <f>IFERROR(__xludf.DUMMYFUNCTION("""COMPUTED_VALUE"""),"--")</f>
        <v>--</v>
      </c>
      <c r="Z606" s="251" t="str">
        <f>IFERROR(__xludf.DUMMYFUNCTION("""COMPUTED_VALUE"""),"--")</f>
        <v>--</v>
      </c>
      <c r="AA606" s="251" t="str">
        <f>IFERROR(__xludf.DUMMYFUNCTION("""COMPUTED_VALUE"""),"--")</f>
        <v>--</v>
      </c>
      <c r="AB606" s="251" t="str">
        <f>IFERROR(__xludf.DUMMYFUNCTION("""COMPUTED_VALUE"""),"--")</f>
        <v>--</v>
      </c>
      <c r="AC606" s="251" t="str">
        <f>IFERROR(__xludf.DUMMYFUNCTION("""COMPUTED_VALUE"""),"--")</f>
        <v>--</v>
      </c>
      <c r="AD606" s="251">
        <f>IFERROR(__xludf.DUMMYFUNCTION("""COMPUTED_VALUE"""),3.0)</f>
        <v>3</v>
      </c>
      <c r="AE606" s="251" t="str">
        <f>IFERROR(__xludf.DUMMYFUNCTION("""COMPUTED_VALUE"""),"Herbivore")</f>
        <v>Herbivore</v>
      </c>
    </row>
    <row r="607">
      <c r="A607" s="251" t="str">
        <f>IFERROR(__xludf.DUMMYFUNCTION("""COMPUTED_VALUE"""),"Zorua")</f>
        <v>Zorua</v>
      </c>
      <c r="B607" s="251" t="str">
        <f>IFERROR(__xludf.DUMMYFUNCTION("""COMPUTED_VALUE"""),"Dark")</f>
        <v>Dark</v>
      </c>
      <c r="C607" s="251" t="str">
        <f>IFERROR(__xludf.DUMMYFUNCTION("""COMPUTED_VALUE"""),"None")</f>
        <v>None</v>
      </c>
      <c r="D607" s="251">
        <f>IFERROR(__xludf.DUMMYFUNCTION("""COMPUTED_VALUE"""),4.0)</f>
        <v>4</v>
      </c>
      <c r="E607" s="251">
        <f>IFERROR(__xludf.DUMMYFUNCTION("""COMPUTED_VALUE"""),7.0)</f>
        <v>7</v>
      </c>
      <c r="F607" s="251">
        <f>IFERROR(__xludf.DUMMYFUNCTION("""COMPUTED_VALUE"""),4.0)</f>
        <v>4</v>
      </c>
      <c r="G607" s="251">
        <f>IFERROR(__xludf.DUMMYFUNCTION("""COMPUTED_VALUE"""),8.0)</f>
        <v>8</v>
      </c>
      <c r="H607" s="251">
        <f>IFERROR(__xludf.DUMMYFUNCTION("""COMPUTED_VALUE"""),4.0)</f>
        <v>4</v>
      </c>
      <c r="I607" s="251">
        <f>IFERROR(__xludf.DUMMYFUNCTION("""COMPUTED_VALUE"""),7.0)</f>
        <v>7</v>
      </c>
      <c r="J607" s="251">
        <f>IFERROR(__xludf.DUMMYFUNCTION("""COMPUTED_VALUE"""),1.0)</f>
        <v>1</v>
      </c>
      <c r="K607" s="251" t="str">
        <f>IFERROR(__xludf.DUMMYFUNCTION("""COMPUTED_VALUE"""),"Small")</f>
        <v>Small</v>
      </c>
      <c r="L607" s="251">
        <f>IFERROR(__xludf.DUMMYFUNCTION("""COMPUTED_VALUE"""),2.0)</f>
        <v>2</v>
      </c>
      <c r="M607" s="251" t="str">
        <f>IFERROR(__xludf.DUMMYFUNCTION("""COMPUTED_VALUE"""),"Forest, Urban")</f>
        <v>Forest, Urban</v>
      </c>
      <c r="N607" s="251" t="str">
        <f>IFERROR(__xludf.DUMMYFUNCTION("""COMPUTED_VALUE"""),"--")</f>
        <v>--</v>
      </c>
      <c r="O607" s="251" t="str">
        <f>IFERROR(__xludf.DUMMYFUNCTION("""COMPUTED_VALUE"""),"--")</f>
        <v>--</v>
      </c>
      <c r="P607" s="251" t="str">
        <f>IFERROR(__xludf.DUMMYFUNCTION("""COMPUTED_VALUE"""),"--")</f>
        <v>--</v>
      </c>
      <c r="Q607" s="251" t="str">
        <f>IFERROR(__xludf.DUMMYFUNCTION("""COMPUTED_VALUE"""),"--")</f>
        <v>--</v>
      </c>
      <c r="R607" s="251" t="str">
        <f>IFERROR(__xludf.DUMMYFUNCTION("""COMPUTED_VALUE"""),"Darkvision")</f>
        <v>Darkvision</v>
      </c>
      <c r="S607" s="251" t="str">
        <f>IFERROR(__xludf.DUMMYFUNCTION("""COMPUTED_VALUE"""),"Underdog")</f>
        <v>Underdog</v>
      </c>
      <c r="T607" s="251" t="str">
        <f>IFERROR(__xludf.DUMMYFUNCTION("""COMPUTED_VALUE"""),"--")</f>
        <v>--</v>
      </c>
      <c r="U607" s="251" t="str">
        <f>IFERROR(__xludf.DUMMYFUNCTION("""COMPUTED_VALUE"""),"--")</f>
        <v>--</v>
      </c>
      <c r="V607" s="251" t="str">
        <f>IFERROR(__xludf.DUMMYFUNCTION("""COMPUTED_VALUE"""),"Illusionist")</f>
        <v>Illusionist</v>
      </c>
      <c r="W607" s="251" t="str">
        <f>IFERROR(__xludf.DUMMYFUNCTION("""COMPUTED_VALUE"""),"Pack Mon")</f>
        <v>Pack Mon</v>
      </c>
      <c r="X607" s="251" t="str">
        <f>IFERROR(__xludf.DUMMYFUNCTION("""COMPUTED_VALUE"""),"Tracker")</f>
        <v>Tracker</v>
      </c>
      <c r="Y607" s="251" t="str">
        <f>IFERROR(__xludf.DUMMYFUNCTION("""COMPUTED_VALUE"""),"--")</f>
        <v>--</v>
      </c>
      <c r="Z607" s="251" t="str">
        <f>IFERROR(__xludf.DUMMYFUNCTION("""COMPUTED_VALUE"""),"--")</f>
        <v>--</v>
      </c>
      <c r="AA607" s="251" t="str">
        <f>IFERROR(__xludf.DUMMYFUNCTION("""COMPUTED_VALUE"""),"--")</f>
        <v>--</v>
      </c>
      <c r="AB607" s="251" t="str">
        <f>IFERROR(__xludf.DUMMYFUNCTION("""COMPUTED_VALUE"""),"--")</f>
        <v>--</v>
      </c>
      <c r="AC607" s="251" t="str">
        <f>IFERROR(__xludf.DUMMYFUNCTION("""COMPUTED_VALUE"""),"--")</f>
        <v>--</v>
      </c>
      <c r="AD607" s="251">
        <f>IFERROR(__xludf.DUMMYFUNCTION("""COMPUTED_VALUE"""),2.0)</f>
        <v>2</v>
      </c>
      <c r="AE607" s="251" t="str">
        <f>IFERROR(__xludf.DUMMYFUNCTION("""COMPUTED_VALUE"""),"Omnivore")</f>
        <v>Omnivore</v>
      </c>
    </row>
    <row r="608">
      <c r="A608" s="251" t="str">
        <f>IFERROR(__xludf.DUMMYFUNCTION("""COMPUTED_VALUE"""),"Zoroark")</f>
        <v>Zoroark</v>
      </c>
      <c r="B608" s="251" t="str">
        <f>IFERROR(__xludf.DUMMYFUNCTION("""COMPUTED_VALUE"""),"Dark")</f>
        <v>Dark</v>
      </c>
      <c r="C608" s="251" t="str">
        <f>IFERROR(__xludf.DUMMYFUNCTION("""COMPUTED_VALUE"""),"None")</f>
        <v>None</v>
      </c>
      <c r="D608" s="251">
        <f>IFERROR(__xludf.DUMMYFUNCTION("""COMPUTED_VALUE"""),9.0)</f>
        <v>9</v>
      </c>
      <c r="E608" s="251">
        <f>IFERROR(__xludf.DUMMYFUNCTION("""COMPUTED_VALUE"""),12.0)</f>
        <v>12</v>
      </c>
      <c r="F608" s="251">
        <f>IFERROR(__xludf.DUMMYFUNCTION("""COMPUTED_VALUE"""),7.0)</f>
        <v>7</v>
      </c>
      <c r="G608" s="251">
        <f>IFERROR(__xludf.DUMMYFUNCTION("""COMPUTED_VALUE"""),12.0)</f>
        <v>12</v>
      </c>
      <c r="H608" s="251">
        <f>IFERROR(__xludf.DUMMYFUNCTION("""COMPUTED_VALUE"""),7.0)</f>
        <v>7</v>
      </c>
      <c r="I608" s="251">
        <f>IFERROR(__xludf.DUMMYFUNCTION("""COMPUTED_VALUE"""),12.0)</f>
        <v>12</v>
      </c>
      <c r="J608" s="251">
        <f>IFERROR(__xludf.DUMMYFUNCTION("""COMPUTED_VALUE"""),4.0)</f>
        <v>4</v>
      </c>
      <c r="K608" s="251" t="str">
        <f>IFERROR(__xludf.DUMMYFUNCTION("""COMPUTED_VALUE"""),"Medium")</f>
        <v>Medium</v>
      </c>
      <c r="L608" s="251">
        <f>IFERROR(__xludf.DUMMYFUNCTION("""COMPUTED_VALUE"""),4.0)</f>
        <v>4</v>
      </c>
      <c r="M608" s="251" t="str">
        <f>IFERROR(__xludf.DUMMYFUNCTION("""COMPUTED_VALUE"""),"Forest, Urban")</f>
        <v>Forest, Urban</v>
      </c>
      <c r="N608" s="251" t="str">
        <f>IFERROR(__xludf.DUMMYFUNCTION("""COMPUTED_VALUE"""),"--")</f>
        <v>--</v>
      </c>
      <c r="O608" s="251" t="str">
        <f>IFERROR(__xludf.DUMMYFUNCTION("""COMPUTED_VALUE"""),"--")</f>
        <v>--</v>
      </c>
      <c r="P608" s="251" t="str">
        <f>IFERROR(__xludf.DUMMYFUNCTION("""COMPUTED_VALUE"""),"--")</f>
        <v>--</v>
      </c>
      <c r="Q608" s="251" t="str">
        <f>IFERROR(__xludf.DUMMYFUNCTION("""COMPUTED_VALUE"""),"--")</f>
        <v>--</v>
      </c>
      <c r="R608" s="251" t="str">
        <f>IFERROR(__xludf.DUMMYFUNCTION("""COMPUTED_VALUE"""),"Darkvision")</f>
        <v>Darkvision</v>
      </c>
      <c r="S608" s="251" t="str">
        <f>IFERROR(__xludf.DUMMYFUNCTION("""COMPUTED_VALUE"""),"--")</f>
        <v>--</v>
      </c>
      <c r="T608" s="251" t="str">
        <f>IFERROR(__xludf.DUMMYFUNCTION("""COMPUTED_VALUE"""),"--")</f>
        <v>--</v>
      </c>
      <c r="U608" s="251" t="str">
        <f>IFERROR(__xludf.DUMMYFUNCTION("""COMPUTED_VALUE"""),"--")</f>
        <v>--</v>
      </c>
      <c r="V608" s="251" t="str">
        <f>IFERROR(__xludf.DUMMYFUNCTION("""COMPUTED_VALUE"""),"Illusionist")</f>
        <v>Illusionist</v>
      </c>
      <c r="W608" s="251" t="str">
        <f>IFERROR(__xludf.DUMMYFUNCTION("""COMPUTED_VALUE"""),"Pack Mon")</f>
        <v>Pack Mon</v>
      </c>
      <c r="X608" s="251" t="str">
        <f>IFERROR(__xludf.DUMMYFUNCTION("""COMPUTED_VALUE"""),"Tracker")</f>
        <v>Tracker</v>
      </c>
      <c r="Y608" s="251" t="str">
        <f>IFERROR(__xludf.DUMMYFUNCTION("""COMPUTED_VALUE"""),"--")</f>
        <v>--</v>
      </c>
      <c r="Z608" s="251" t="str">
        <f>IFERROR(__xludf.DUMMYFUNCTION("""COMPUTED_VALUE"""),"--")</f>
        <v>--</v>
      </c>
      <c r="AA608" s="251" t="str">
        <f>IFERROR(__xludf.DUMMYFUNCTION("""COMPUTED_VALUE"""),"--")</f>
        <v>--</v>
      </c>
      <c r="AB608" s="251" t="str">
        <f>IFERROR(__xludf.DUMMYFUNCTION("""COMPUTED_VALUE"""),"--")</f>
        <v>--</v>
      </c>
      <c r="AC608" s="251" t="str">
        <f>IFERROR(__xludf.DUMMYFUNCTION("""COMPUTED_VALUE"""),"--")</f>
        <v>--</v>
      </c>
      <c r="AD608" s="251">
        <f>IFERROR(__xludf.DUMMYFUNCTION("""COMPUTED_VALUE"""),3.0)</f>
        <v>3</v>
      </c>
      <c r="AE608" s="251" t="str">
        <f>IFERROR(__xludf.DUMMYFUNCTION("""COMPUTED_VALUE"""),"Omnivore")</f>
        <v>Omnivore</v>
      </c>
    </row>
    <row r="609">
      <c r="A609" s="251" t="str">
        <f>IFERROR(__xludf.DUMMYFUNCTION("""COMPUTED_VALUE"""),"Vullaby")</f>
        <v>Vullaby</v>
      </c>
      <c r="B609" s="251" t="str">
        <f>IFERROR(__xludf.DUMMYFUNCTION("""COMPUTED_VALUE"""),"Dark")</f>
        <v>Dark</v>
      </c>
      <c r="C609" s="251" t="str">
        <f>IFERROR(__xludf.DUMMYFUNCTION("""COMPUTED_VALUE"""),"Flying")</f>
        <v>Flying</v>
      </c>
      <c r="D609" s="251">
        <f>IFERROR(__xludf.DUMMYFUNCTION("""COMPUTED_VALUE"""),7.0)</f>
        <v>7</v>
      </c>
      <c r="E609" s="251">
        <f>IFERROR(__xludf.DUMMYFUNCTION("""COMPUTED_VALUE"""),6.0)</f>
        <v>6</v>
      </c>
      <c r="F609" s="251">
        <f>IFERROR(__xludf.DUMMYFUNCTION("""COMPUTED_VALUE"""),8.0)</f>
        <v>8</v>
      </c>
      <c r="G609" s="251">
        <f>IFERROR(__xludf.DUMMYFUNCTION("""COMPUTED_VALUE"""),5.0)</f>
        <v>5</v>
      </c>
      <c r="H609" s="251">
        <f>IFERROR(__xludf.DUMMYFUNCTION("""COMPUTED_VALUE"""),7.0)</f>
        <v>7</v>
      </c>
      <c r="I609" s="251">
        <f>IFERROR(__xludf.DUMMYFUNCTION("""COMPUTED_VALUE"""),6.0)</f>
        <v>6</v>
      </c>
      <c r="J609" s="251">
        <f>IFERROR(__xludf.DUMMYFUNCTION("""COMPUTED_VALUE"""),1.0)</f>
        <v>1</v>
      </c>
      <c r="K609" s="251" t="str">
        <f>IFERROR(__xludf.DUMMYFUNCTION("""COMPUTED_VALUE"""),"Small")</f>
        <v>Small</v>
      </c>
      <c r="L609" s="251">
        <f>IFERROR(__xludf.DUMMYFUNCTION("""COMPUTED_VALUE"""),1.0)</f>
        <v>1</v>
      </c>
      <c r="M609" s="251" t="str">
        <f>IFERROR(__xludf.DUMMYFUNCTION("""COMPUTED_VALUE"""),"Cave, Mountain")</f>
        <v>Cave, Mountain</v>
      </c>
      <c r="N609" s="251" t="str">
        <f>IFERROR(__xludf.DUMMYFUNCTION("""COMPUTED_VALUE"""),"--")</f>
        <v>--</v>
      </c>
      <c r="O609" s="251" t="str">
        <f>IFERROR(__xludf.DUMMYFUNCTION("""COMPUTED_VALUE"""),"--")</f>
        <v>--</v>
      </c>
      <c r="P609" s="251" t="str">
        <f>IFERROR(__xludf.DUMMYFUNCTION("""COMPUTED_VALUE"""),"--")</f>
        <v>--</v>
      </c>
      <c r="Q609" s="251" t="str">
        <f>IFERROR(__xludf.DUMMYFUNCTION("""COMPUTED_VALUE"""),"--")</f>
        <v>--</v>
      </c>
      <c r="R609" s="251" t="str">
        <f>IFERROR(__xludf.DUMMYFUNCTION("""COMPUTED_VALUE"""),"Darkvision")</f>
        <v>Darkvision</v>
      </c>
      <c r="S609" s="251" t="str">
        <f>IFERROR(__xludf.DUMMYFUNCTION("""COMPUTED_VALUE"""),"Underdog")</f>
        <v>Underdog</v>
      </c>
      <c r="T609" s="251" t="str">
        <f>IFERROR(__xludf.DUMMYFUNCTION("""COMPUTED_VALUE"""),"--")</f>
        <v>--</v>
      </c>
      <c r="U609" s="251" t="str">
        <f>IFERROR(__xludf.DUMMYFUNCTION("""COMPUTED_VALUE"""),"--")</f>
        <v>--</v>
      </c>
      <c r="V609" s="251" t="str">
        <f>IFERROR(__xludf.DUMMYFUNCTION("""COMPUTED_VALUE"""),"--")</f>
        <v>--</v>
      </c>
      <c r="W609" s="251" t="str">
        <f>IFERROR(__xludf.DUMMYFUNCTION("""COMPUTED_VALUE"""),"--")</f>
        <v>--</v>
      </c>
      <c r="X609" s="251" t="str">
        <f>IFERROR(__xludf.DUMMYFUNCTION("""COMPUTED_VALUE"""),"--")</f>
        <v>--</v>
      </c>
      <c r="Y609" s="251" t="str">
        <f>IFERROR(__xludf.DUMMYFUNCTION("""COMPUTED_VALUE"""),"--")</f>
        <v>--</v>
      </c>
      <c r="Z609" s="251" t="str">
        <f>IFERROR(__xludf.DUMMYFUNCTION("""COMPUTED_VALUE"""),"--")</f>
        <v>--</v>
      </c>
      <c r="AA609" s="251" t="str">
        <f>IFERROR(__xludf.DUMMYFUNCTION("""COMPUTED_VALUE"""),"--")</f>
        <v>--</v>
      </c>
      <c r="AB609" s="251" t="str">
        <f>IFERROR(__xludf.DUMMYFUNCTION("""COMPUTED_VALUE"""),"--")</f>
        <v>--</v>
      </c>
      <c r="AC609" s="251" t="str">
        <f>IFERROR(__xludf.DUMMYFUNCTION("""COMPUTED_VALUE"""),"--")</f>
        <v>--</v>
      </c>
      <c r="AD609" s="251">
        <f>IFERROR(__xludf.DUMMYFUNCTION("""COMPUTED_VALUE"""),2.0)</f>
        <v>2</v>
      </c>
      <c r="AE609" s="251" t="str">
        <f>IFERROR(__xludf.DUMMYFUNCTION("""COMPUTED_VALUE"""),"Carnivore")</f>
        <v>Carnivore</v>
      </c>
    </row>
    <row r="610">
      <c r="A610" s="251" t="str">
        <f>IFERROR(__xludf.DUMMYFUNCTION("""COMPUTED_VALUE"""),"Mandibuzz")</f>
        <v>Mandibuzz</v>
      </c>
      <c r="B610" s="251" t="str">
        <f>IFERROR(__xludf.DUMMYFUNCTION("""COMPUTED_VALUE"""),"Dark")</f>
        <v>Dark</v>
      </c>
      <c r="C610" s="251" t="str">
        <f>IFERROR(__xludf.DUMMYFUNCTION("""COMPUTED_VALUE"""),"Flying")</f>
        <v>Flying</v>
      </c>
      <c r="D610" s="251">
        <f>IFERROR(__xludf.DUMMYFUNCTION("""COMPUTED_VALUE"""),11.0)</f>
        <v>11</v>
      </c>
      <c r="E610" s="251">
        <f>IFERROR(__xludf.DUMMYFUNCTION("""COMPUTED_VALUE"""),7.0)</f>
        <v>7</v>
      </c>
      <c r="F610" s="251">
        <f>IFERROR(__xludf.DUMMYFUNCTION("""COMPUTED_VALUE"""),11.0)</f>
        <v>11</v>
      </c>
      <c r="G610" s="251">
        <f>IFERROR(__xludf.DUMMYFUNCTION("""COMPUTED_VALUE"""),6.0)</f>
        <v>6</v>
      </c>
      <c r="H610" s="251">
        <f>IFERROR(__xludf.DUMMYFUNCTION("""COMPUTED_VALUE"""),10.0)</f>
        <v>10</v>
      </c>
      <c r="I610" s="251">
        <f>IFERROR(__xludf.DUMMYFUNCTION("""COMPUTED_VALUE"""),8.0)</f>
        <v>8</v>
      </c>
      <c r="J610" s="251">
        <f>IFERROR(__xludf.DUMMYFUNCTION("""COMPUTED_VALUE"""),3.0)</f>
        <v>3</v>
      </c>
      <c r="K610" s="251" t="str">
        <f>IFERROR(__xludf.DUMMYFUNCTION("""COMPUTED_VALUE"""),"Medium")</f>
        <v>Medium</v>
      </c>
      <c r="L610" s="251">
        <f>IFERROR(__xludf.DUMMYFUNCTION("""COMPUTED_VALUE"""),3.0)</f>
        <v>3</v>
      </c>
      <c r="M610" s="251" t="str">
        <f>IFERROR(__xludf.DUMMYFUNCTION("""COMPUTED_VALUE"""),"Cave, Mountain")</f>
        <v>Cave, Mountain</v>
      </c>
      <c r="N610" s="251" t="str">
        <f>IFERROR(__xludf.DUMMYFUNCTION("""COMPUTED_VALUE"""),"Flier")</f>
        <v>Flier</v>
      </c>
      <c r="O610" s="251" t="str">
        <f>IFERROR(__xludf.DUMMYFUNCTION("""COMPUTED_VALUE"""),"--")</f>
        <v>--</v>
      </c>
      <c r="P610" s="251" t="str">
        <f>IFERROR(__xludf.DUMMYFUNCTION("""COMPUTED_VALUE"""),"--")</f>
        <v>--</v>
      </c>
      <c r="Q610" s="251" t="str">
        <f>IFERROR(__xludf.DUMMYFUNCTION("""COMPUTED_VALUE"""),"--")</f>
        <v>--</v>
      </c>
      <c r="R610" s="251" t="str">
        <f>IFERROR(__xludf.DUMMYFUNCTION("""COMPUTED_VALUE"""),"Darkvision")</f>
        <v>Darkvision</v>
      </c>
      <c r="S610" s="251" t="str">
        <f>IFERROR(__xludf.DUMMYFUNCTION("""COMPUTED_VALUE"""),"--")</f>
        <v>--</v>
      </c>
      <c r="T610" s="251" t="str">
        <f>IFERROR(__xludf.DUMMYFUNCTION("""COMPUTED_VALUE"""),"--")</f>
        <v>--</v>
      </c>
      <c r="U610" s="251" t="str">
        <f>IFERROR(__xludf.DUMMYFUNCTION("""COMPUTED_VALUE"""),"--")</f>
        <v>--</v>
      </c>
      <c r="V610" s="251" t="str">
        <f>IFERROR(__xludf.DUMMYFUNCTION("""COMPUTED_VALUE"""),"--")</f>
        <v>--</v>
      </c>
      <c r="W610" s="251" t="str">
        <f>IFERROR(__xludf.DUMMYFUNCTION("""COMPUTED_VALUE"""),"--")</f>
        <v>--</v>
      </c>
      <c r="X610" s="251" t="str">
        <f>IFERROR(__xludf.DUMMYFUNCTION("""COMPUTED_VALUE"""),"--")</f>
        <v>--</v>
      </c>
      <c r="Y610" s="251" t="str">
        <f>IFERROR(__xludf.DUMMYFUNCTION("""COMPUTED_VALUE"""),"--")</f>
        <v>--</v>
      </c>
      <c r="Z610" s="251" t="str">
        <f>IFERROR(__xludf.DUMMYFUNCTION("""COMPUTED_VALUE"""),"--")</f>
        <v>--</v>
      </c>
      <c r="AA610" s="251" t="str">
        <f>IFERROR(__xludf.DUMMYFUNCTION("""COMPUTED_VALUE"""),"--")</f>
        <v>--</v>
      </c>
      <c r="AB610" s="251" t="str">
        <f>IFERROR(__xludf.DUMMYFUNCTION("""COMPUTED_VALUE"""),"--")</f>
        <v>--</v>
      </c>
      <c r="AC610" s="251" t="str">
        <f>IFERROR(__xludf.DUMMYFUNCTION("""COMPUTED_VALUE"""),"--")</f>
        <v>--</v>
      </c>
      <c r="AD610" s="251">
        <f>IFERROR(__xludf.DUMMYFUNCTION("""COMPUTED_VALUE"""),3.0)</f>
        <v>3</v>
      </c>
      <c r="AE610" s="251" t="str">
        <f>IFERROR(__xludf.DUMMYFUNCTION("""COMPUTED_VALUE"""),"Carnivore")</f>
        <v>Carnivore</v>
      </c>
    </row>
    <row r="611">
      <c r="A611" s="251" t="str">
        <f>IFERROR(__xludf.DUMMYFUNCTION("""COMPUTED_VALUE"""),"Inkay")</f>
        <v>Inkay</v>
      </c>
      <c r="B611" s="251" t="str">
        <f>IFERROR(__xludf.DUMMYFUNCTION("""COMPUTED_VALUE"""),"Dark")</f>
        <v>Dark</v>
      </c>
      <c r="C611" s="251" t="str">
        <f>IFERROR(__xludf.DUMMYFUNCTION("""COMPUTED_VALUE"""),"Psychic")</f>
        <v>Psychic</v>
      </c>
      <c r="D611" s="251">
        <f>IFERROR(__xludf.DUMMYFUNCTION("""COMPUTED_VALUE"""),5.0)</f>
        <v>5</v>
      </c>
      <c r="E611" s="251">
        <f>IFERROR(__xludf.DUMMYFUNCTION("""COMPUTED_VALUE"""),5.0)</f>
        <v>5</v>
      </c>
      <c r="F611" s="251">
        <f>IFERROR(__xludf.DUMMYFUNCTION("""COMPUTED_VALUE"""),5.0)</f>
        <v>5</v>
      </c>
      <c r="G611" s="251">
        <f>IFERROR(__xludf.DUMMYFUNCTION("""COMPUTED_VALUE"""),5.0)</f>
        <v>5</v>
      </c>
      <c r="H611" s="251">
        <f>IFERROR(__xludf.DUMMYFUNCTION("""COMPUTED_VALUE"""),5.0)</f>
        <v>5</v>
      </c>
      <c r="I611" s="251">
        <f>IFERROR(__xludf.DUMMYFUNCTION("""COMPUTED_VALUE"""),5.0)</f>
        <v>5</v>
      </c>
      <c r="J611" s="251">
        <f>IFERROR(__xludf.DUMMYFUNCTION("""COMPUTED_VALUE"""),1.0)</f>
        <v>1</v>
      </c>
      <c r="K611" s="251" t="str">
        <f>IFERROR(__xludf.DUMMYFUNCTION("""COMPUTED_VALUE"""),"Small")</f>
        <v>Small</v>
      </c>
      <c r="L611" s="251">
        <f>IFERROR(__xludf.DUMMYFUNCTION("""COMPUTED_VALUE"""),1.0)</f>
        <v>1</v>
      </c>
      <c r="M611" s="251" t="str">
        <f>IFERROR(__xludf.DUMMYFUNCTION("""COMPUTED_VALUE"""),"Forest, Ocean")</f>
        <v>Forest, Ocean</v>
      </c>
      <c r="N611" s="251" t="str">
        <f>IFERROR(__xludf.DUMMYFUNCTION("""COMPUTED_VALUE"""),"Flier")</f>
        <v>Flier</v>
      </c>
      <c r="O611" s="251" t="str">
        <f>IFERROR(__xludf.DUMMYFUNCTION("""COMPUTED_VALUE"""),"Swimmer")</f>
        <v>Swimmer</v>
      </c>
      <c r="P611" s="251" t="str">
        <f>IFERROR(__xludf.DUMMYFUNCTION("""COMPUTED_VALUE"""),"--")</f>
        <v>--</v>
      </c>
      <c r="Q611" s="251" t="str">
        <f>IFERROR(__xludf.DUMMYFUNCTION("""COMPUTED_VALUE"""),"--")</f>
        <v>--</v>
      </c>
      <c r="R611" s="251" t="str">
        <f>IFERROR(__xludf.DUMMYFUNCTION("""COMPUTED_VALUE"""),"Telekinetic")</f>
        <v>Telekinetic</v>
      </c>
      <c r="S611" s="251" t="str">
        <f>IFERROR(__xludf.DUMMYFUNCTION("""COMPUTED_VALUE"""),"Underdog")</f>
        <v>Underdog</v>
      </c>
      <c r="T611" s="251" t="str">
        <f>IFERROR(__xludf.DUMMYFUNCTION("""COMPUTED_VALUE"""),"--")</f>
        <v>--</v>
      </c>
      <c r="U611" s="251" t="str">
        <f>IFERROR(__xludf.DUMMYFUNCTION("""COMPUTED_VALUE"""),"--")</f>
        <v>--</v>
      </c>
      <c r="V611" s="251" t="str">
        <f>IFERROR(__xludf.DUMMYFUNCTION("""COMPUTED_VALUE"""),"Gilled")</f>
        <v>Gilled</v>
      </c>
      <c r="W611" s="251" t="str">
        <f>IFERROR(__xludf.DUMMYFUNCTION("""COMPUTED_VALUE"""),"Glow")</f>
        <v>Glow</v>
      </c>
      <c r="X611" s="251" t="str">
        <f>IFERROR(__xludf.DUMMYFUNCTION("""COMPUTED_VALUE"""),"Mindlock")</f>
        <v>Mindlock</v>
      </c>
      <c r="Y611" s="251" t="str">
        <f>IFERROR(__xludf.DUMMYFUNCTION("""COMPUTED_VALUE"""),"Telepath")</f>
        <v>Telepath</v>
      </c>
      <c r="Z611" s="251" t="str">
        <f>IFERROR(__xludf.DUMMYFUNCTION("""COMPUTED_VALUE"""),"--")</f>
        <v>--</v>
      </c>
      <c r="AA611" s="251" t="str">
        <f>IFERROR(__xludf.DUMMYFUNCTION("""COMPUTED_VALUE"""),"--")</f>
        <v>--</v>
      </c>
      <c r="AB611" s="251" t="str">
        <f>IFERROR(__xludf.DUMMYFUNCTION("""COMPUTED_VALUE"""),"--")</f>
        <v>--</v>
      </c>
      <c r="AC611" s="251" t="str">
        <f>IFERROR(__xludf.DUMMYFUNCTION("""COMPUTED_VALUE"""),"--")</f>
        <v>--</v>
      </c>
      <c r="AD611" s="251">
        <f>IFERROR(__xludf.DUMMYFUNCTION("""COMPUTED_VALUE"""),2.0)</f>
        <v>2</v>
      </c>
      <c r="AE611" s="251" t="str">
        <f>IFERROR(__xludf.DUMMYFUNCTION("""COMPUTED_VALUE"""),"Carnivore")</f>
        <v>Carnivore</v>
      </c>
    </row>
    <row r="612">
      <c r="A612" s="251" t="str">
        <f>IFERROR(__xludf.DUMMYFUNCTION("""COMPUTED_VALUE"""),"Malamar")</f>
        <v>Malamar</v>
      </c>
      <c r="B612" s="251" t="str">
        <f>IFERROR(__xludf.DUMMYFUNCTION("""COMPUTED_VALUE"""),"Dark")</f>
        <v>Dark</v>
      </c>
      <c r="C612" s="251" t="str">
        <f>IFERROR(__xludf.DUMMYFUNCTION("""COMPUTED_VALUE"""),"Psychic")</f>
        <v>Psychic</v>
      </c>
      <c r="D612" s="251">
        <f>IFERROR(__xludf.DUMMYFUNCTION("""COMPUTED_VALUE"""),9.0)</f>
        <v>9</v>
      </c>
      <c r="E612" s="251">
        <f>IFERROR(__xludf.DUMMYFUNCTION("""COMPUTED_VALUE"""),10.0)</f>
        <v>10</v>
      </c>
      <c r="F612" s="251">
        <f>IFERROR(__xludf.DUMMYFUNCTION("""COMPUTED_VALUE"""),10.0)</f>
        <v>10</v>
      </c>
      <c r="G612" s="251">
        <f>IFERROR(__xludf.DUMMYFUNCTION("""COMPUTED_VALUE"""),7.0)</f>
        <v>7</v>
      </c>
      <c r="H612" s="251">
        <f>IFERROR(__xludf.DUMMYFUNCTION("""COMPUTED_VALUE"""),8.0)</f>
        <v>8</v>
      </c>
      <c r="I612" s="251">
        <f>IFERROR(__xludf.DUMMYFUNCTION("""COMPUTED_VALUE"""),7.0)</f>
        <v>7</v>
      </c>
      <c r="J612" s="251">
        <f>IFERROR(__xludf.DUMMYFUNCTION("""COMPUTED_VALUE"""),1.0)</f>
        <v>1</v>
      </c>
      <c r="K612" s="251" t="str">
        <f>IFERROR(__xludf.DUMMYFUNCTION("""COMPUTED_VALUE"""),"Medium")</f>
        <v>Medium</v>
      </c>
      <c r="L612" s="251">
        <f>IFERROR(__xludf.DUMMYFUNCTION("""COMPUTED_VALUE"""),3.0)</f>
        <v>3</v>
      </c>
      <c r="M612" s="251" t="str">
        <f>IFERROR(__xludf.DUMMYFUNCTION("""COMPUTED_VALUE"""),"Forest, Ocean")</f>
        <v>Forest, Ocean</v>
      </c>
      <c r="N612" s="251" t="str">
        <f>IFERROR(__xludf.DUMMYFUNCTION("""COMPUTED_VALUE"""),"Flier")</f>
        <v>Flier</v>
      </c>
      <c r="O612" s="251" t="str">
        <f>IFERROR(__xludf.DUMMYFUNCTION("""COMPUTED_VALUE"""),"Swimmer")</f>
        <v>Swimmer</v>
      </c>
      <c r="P612" s="251" t="str">
        <f>IFERROR(__xludf.DUMMYFUNCTION("""COMPUTED_VALUE"""),"--")</f>
        <v>--</v>
      </c>
      <c r="Q612" s="251" t="str">
        <f>IFERROR(__xludf.DUMMYFUNCTION("""COMPUTED_VALUE"""),"--")</f>
        <v>--</v>
      </c>
      <c r="R612" s="251" t="str">
        <f>IFERROR(__xludf.DUMMYFUNCTION("""COMPUTED_VALUE"""),"Telekinetic")</f>
        <v>Telekinetic</v>
      </c>
      <c r="S612" s="251" t="str">
        <f>IFERROR(__xludf.DUMMYFUNCTION("""COMPUTED_VALUE"""),"--")</f>
        <v>--</v>
      </c>
      <c r="T612" s="251" t="str">
        <f>IFERROR(__xludf.DUMMYFUNCTION("""COMPUTED_VALUE"""),"--")</f>
        <v>--</v>
      </c>
      <c r="U612" s="251" t="str">
        <f>IFERROR(__xludf.DUMMYFUNCTION("""COMPUTED_VALUE"""),"--")</f>
        <v>--</v>
      </c>
      <c r="V612" s="251" t="str">
        <f>IFERROR(__xludf.DUMMYFUNCTION("""COMPUTED_VALUE"""),"Gilled")</f>
        <v>Gilled</v>
      </c>
      <c r="W612" s="251" t="str">
        <f>IFERROR(__xludf.DUMMYFUNCTION("""COMPUTED_VALUE"""),"Glow")</f>
        <v>Glow</v>
      </c>
      <c r="X612" s="251" t="str">
        <f>IFERROR(__xludf.DUMMYFUNCTION("""COMPUTED_VALUE"""),"Mindlock")</f>
        <v>Mindlock</v>
      </c>
      <c r="Y612" s="251" t="str">
        <f>IFERROR(__xludf.DUMMYFUNCTION("""COMPUTED_VALUE"""),"Telepath")</f>
        <v>Telepath</v>
      </c>
      <c r="Z612" s="251" t="str">
        <f>IFERROR(__xludf.DUMMYFUNCTION("""COMPUTED_VALUE"""),"--")</f>
        <v>--</v>
      </c>
      <c r="AA612" s="251" t="str">
        <f>IFERROR(__xludf.DUMMYFUNCTION("""COMPUTED_VALUE"""),"--")</f>
        <v>--</v>
      </c>
      <c r="AB612" s="251" t="str">
        <f>IFERROR(__xludf.DUMMYFUNCTION("""COMPUTED_VALUE"""),"--")</f>
        <v>--</v>
      </c>
      <c r="AC612" s="251" t="str">
        <f>IFERROR(__xludf.DUMMYFUNCTION("""COMPUTED_VALUE"""),"--")</f>
        <v>--</v>
      </c>
      <c r="AD612" s="251">
        <f>IFERROR(__xludf.DUMMYFUNCTION("""COMPUTED_VALUE"""),3.0)</f>
        <v>3</v>
      </c>
      <c r="AE612" s="251" t="str">
        <f>IFERROR(__xludf.DUMMYFUNCTION("""COMPUTED_VALUE"""),"Carnivore")</f>
        <v>Carnivore</v>
      </c>
    </row>
    <row r="613">
      <c r="A613" s="251" t="str">
        <f>IFERROR(__xludf.DUMMYFUNCTION("""COMPUTED_VALUE"""),"Nickit")</f>
        <v>Nickit</v>
      </c>
      <c r="B613" s="251" t="str">
        <f>IFERROR(__xludf.DUMMYFUNCTION("""COMPUTED_VALUE"""),"Dark")</f>
        <v>Dark</v>
      </c>
      <c r="C613" s="251" t="str">
        <f>IFERROR(__xludf.DUMMYFUNCTION("""COMPUTED_VALUE"""),"None")</f>
        <v>None</v>
      </c>
      <c r="D613" s="251">
        <f>IFERROR(__xludf.DUMMYFUNCTION("""COMPUTED_VALUE"""),5.0)</f>
        <v>5</v>
      </c>
      <c r="E613" s="251">
        <f>IFERROR(__xludf.DUMMYFUNCTION("""COMPUTED_VALUE"""),5.0)</f>
        <v>5</v>
      </c>
      <c r="F613" s="251">
        <f>IFERROR(__xludf.DUMMYFUNCTION("""COMPUTED_VALUE"""),5.0)</f>
        <v>5</v>
      </c>
      <c r="G613" s="251">
        <f>IFERROR(__xludf.DUMMYFUNCTION("""COMPUTED_VALUE"""),5.0)</f>
        <v>5</v>
      </c>
      <c r="H613" s="251">
        <f>IFERROR(__xludf.DUMMYFUNCTION("""COMPUTED_VALUE"""),5.0)</f>
        <v>5</v>
      </c>
      <c r="I613" s="251">
        <f>IFERROR(__xludf.DUMMYFUNCTION("""COMPUTED_VALUE"""),5.0)</f>
        <v>5</v>
      </c>
      <c r="J613" s="251">
        <f>IFERROR(__xludf.DUMMYFUNCTION("""COMPUTED_VALUE"""),2.0)</f>
        <v>2</v>
      </c>
      <c r="K613" s="251" t="str">
        <f>IFERROR(__xludf.DUMMYFUNCTION("""COMPUTED_VALUE"""),"Small")</f>
        <v>Small</v>
      </c>
      <c r="L613" s="251">
        <f>IFERROR(__xludf.DUMMYFUNCTION("""COMPUTED_VALUE"""),1.0)</f>
        <v>1</v>
      </c>
      <c r="M613" s="251" t="str">
        <f>IFERROR(__xludf.DUMMYFUNCTION("""COMPUTED_VALUE"""),"Forest, Urban")</f>
        <v>Forest, Urban</v>
      </c>
      <c r="N613" s="251" t="str">
        <f>IFERROR(__xludf.DUMMYFUNCTION("""COMPUTED_VALUE"""),"--")</f>
        <v>--</v>
      </c>
      <c r="O613" s="251" t="str">
        <f>IFERROR(__xludf.DUMMYFUNCTION("""COMPUTED_VALUE"""),"--")</f>
        <v>--</v>
      </c>
      <c r="P613" s="251" t="str">
        <f>IFERROR(__xludf.DUMMYFUNCTION("""COMPUTED_VALUE"""),"--")</f>
        <v>--</v>
      </c>
      <c r="Q613" s="251" t="str">
        <f>IFERROR(__xludf.DUMMYFUNCTION("""COMPUTED_VALUE"""),"--")</f>
        <v>--</v>
      </c>
      <c r="R613" s="251" t="str">
        <f>IFERROR(__xludf.DUMMYFUNCTION("""COMPUTED_VALUE"""),"Darkvision")</f>
        <v>Darkvision</v>
      </c>
      <c r="S613" s="251" t="str">
        <f>IFERROR(__xludf.DUMMYFUNCTION("""COMPUTED_VALUE"""),"Underdog")</f>
        <v>Underdog</v>
      </c>
      <c r="T613" s="251" t="str">
        <f>IFERROR(__xludf.DUMMYFUNCTION("""COMPUTED_VALUE"""),"--")</f>
        <v>--</v>
      </c>
      <c r="U613" s="251" t="str">
        <f>IFERROR(__xludf.DUMMYFUNCTION("""COMPUTED_VALUE"""),"--")</f>
        <v>--</v>
      </c>
      <c r="V613" s="251" t="str">
        <f>IFERROR(__xludf.DUMMYFUNCTION("""COMPUTED_VALUE"""),"--")</f>
        <v>--</v>
      </c>
      <c r="W613" s="251" t="str">
        <f>IFERROR(__xludf.DUMMYFUNCTION("""COMPUTED_VALUE"""),"--")</f>
        <v>--</v>
      </c>
      <c r="X613" s="251" t="str">
        <f>IFERROR(__xludf.DUMMYFUNCTION("""COMPUTED_VALUE"""),"--")</f>
        <v>--</v>
      </c>
      <c r="Y613" s="251" t="str">
        <f>IFERROR(__xludf.DUMMYFUNCTION("""COMPUTED_VALUE"""),"--")</f>
        <v>--</v>
      </c>
      <c r="Z613" s="251" t="str">
        <f>IFERROR(__xludf.DUMMYFUNCTION("""COMPUTED_VALUE"""),"--")</f>
        <v>--</v>
      </c>
      <c r="AA613" s="251" t="str">
        <f>IFERROR(__xludf.DUMMYFUNCTION("""COMPUTED_VALUE"""),"--")</f>
        <v>--</v>
      </c>
      <c r="AB613" s="251" t="str">
        <f>IFERROR(__xludf.DUMMYFUNCTION("""COMPUTED_VALUE"""),"--")</f>
        <v>--</v>
      </c>
      <c r="AC613" s="251" t="str">
        <f>IFERROR(__xludf.DUMMYFUNCTION("""COMPUTED_VALUE"""),"--")</f>
        <v>--</v>
      </c>
      <c r="AD613" s="251">
        <f>IFERROR(__xludf.DUMMYFUNCTION("""COMPUTED_VALUE"""),2.0)</f>
        <v>2</v>
      </c>
      <c r="AE613" s="251" t="str">
        <f>IFERROR(__xludf.DUMMYFUNCTION("""COMPUTED_VALUE"""),"Omnivore")</f>
        <v>Omnivore</v>
      </c>
    </row>
    <row r="614">
      <c r="A614" s="251" t="str">
        <f>IFERROR(__xludf.DUMMYFUNCTION("""COMPUTED_VALUE"""),"Thievul")</f>
        <v>Thievul</v>
      </c>
      <c r="B614" s="251" t="str">
        <f>IFERROR(__xludf.DUMMYFUNCTION("""COMPUTED_VALUE"""),"Dark")</f>
        <v>Dark</v>
      </c>
      <c r="C614" s="251" t="str">
        <f>IFERROR(__xludf.DUMMYFUNCTION("""COMPUTED_VALUE"""),"None")</f>
        <v>None</v>
      </c>
      <c r="D614" s="251">
        <f>IFERROR(__xludf.DUMMYFUNCTION("""COMPUTED_VALUE"""),8.0)</f>
        <v>8</v>
      </c>
      <c r="E614" s="251">
        <f>IFERROR(__xludf.DUMMYFUNCTION("""COMPUTED_VALUE"""),11.0)</f>
        <v>11</v>
      </c>
      <c r="F614" s="251">
        <f>IFERROR(__xludf.DUMMYFUNCTION("""COMPUTED_VALUE"""),6.0)</f>
        <v>6</v>
      </c>
      <c r="G614" s="251">
        <f>IFERROR(__xludf.DUMMYFUNCTION("""COMPUTED_VALUE"""),11.0)</f>
        <v>11</v>
      </c>
      <c r="H614" s="251">
        <f>IFERROR(__xludf.DUMMYFUNCTION("""COMPUTED_VALUE"""),9.0)</f>
        <v>9</v>
      </c>
      <c r="I614" s="251">
        <f>IFERROR(__xludf.DUMMYFUNCTION("""COMPUTED_VALUE"""),11.0)</f>
        <v>11</v>
      </c>
      <c r="J614" s="251">
        <f>IFERROR(__xludf.DUMMYFUNCTION("""COMPUTED_VALUE"""),5.0)</f>
        <v>5</v>
      </c>
      <c r="K614" s="251" t="str">
        <f>IFERROR(__xludf.DUMMYFUNCTION("""COMPUTED_VALUE"""),"Medium")</f>
        <v>Medium</v>
      </c>
      <c r="L614" s="251">
        <f>IFERROR(__xludf.DUMMYFUNCTION("""COMPUTED_VALUE"""),2.0)</f>
        <v>2</v>
      </c>
      <c r="M614" s="251" t="str">
        <f>IFERROR(__xludf.DUMMYFUNCTION("""COMPUTED_VALUE"""),"Forest, Urban")</f>
        <v>Forest, Urban</v>
      </c>
      <c r="N614" s="251" t="str">
        <f>IFERROR(__xludf.DUMMYFUNCTION("""COMPUTED_VALUE"""),"Quick")</f>
        <v>Quick</v>
      </c>
      <c r="O614" s="251" t="str">
        <f>IFERROR(__xludf.DUMMYFUNCTION("""COMPUTED_VALUE"""),"--")</f>
        <v>--</v>
      </c>
      <c r="P614" s="251" t="str">
        <f>IFERROR(__xludf.DUMMYFUNCTION("""COMPUTED_VALUE"""),"--")</f>
        <v>--</v>
      </c>
      <c r="Q614" s="251" t="str">
        <f>IFERROR(__xludf.DUMMYFUNCTION("""COMPUTED_VALUE"""),"--")</f>
        <v>--</v>
      </c>
      <c r="R614" s="251" t="str">
        <f>IFERROR(__xludf.DUMMYFUNCTION("""COMPUTED_VALUE"""),"Darkvision")</f>
        <v>Darkvision</v>
      </c>
      <c r="S614" s="251" t="str">
        <f>IFERROR(__xludf.DUMMYFUNCTION("""COMPUTED_VALUE"""),"--")</f>
        <v>--</v>
      </c>
      <c r="T614" s="251" t="str">
        <f>IFERROR(__xludf.DUMMYFUNCTION("""COMPUTED_VALUE"""),"--")</f>
        <v>--</v>
      </c>
      <c r="U614" s="251" t="str">
        <f>IFERROR(__xludf.DUMMYFUNCTION("""COMPUTED_VALUE"""),"--")</f>
        <v>--</v>
      </c>
      <c r="V614" s="251" t="str">
        <f>IFERROR(__xludf.DUMMYFUNCTION("""COMPUTED_VALUE"""),"--")</f>
        <v>--</v>
      </c>
      <c r="W614" s="251" t="str">
        <f>IFERROR(__xludf.DUMMYFUNCTION("""COMPUTED_VALUE"""),"--")</f>
        <v>--</v>
      </c>
      <c r="X614" s="251" t="str">
        <f>IFERROR(__xludf.DUMMYFUNCTION("""COMPUTED_VALUE"""),"--")</f>
        <v>--</v>
      </c>
      <c r="Y614" s="251" t="str">
        <f>IFERROR(__xludf.DUMMYFUNCTION("""COMPUTED_VALUE"""),"--")</f>
        <v>--</v>
      </c>
      <c r="Z614" s="251" t="str">
        <f>IFERROR(__xludf.DUMMYFUNCTION("""COMPUTED_VALUE"""),"--")</f>
        <v>--</v>
      </c>
      <c r="AA614" s="251" t="str">
        <f>IFERROR(__xludf.DUMMYFUNCTION("""COMPUTED_VALUE"""),"--")</f>
        <v>--</v>
      </c>
      <c r="AB614" s="251" t="str">
        <f>IFERROR(__xludf.DUMMYFUNCTION("""COMPUTED_VALUE"""),"--")</f>
        <v>--</v>
      </c>
      <c r="AC614" s="251" t="str">
        <f>IFERROR(__xludf.DUMMYFUNCTION("""COMPUTED_VALUE"""),"--")</f>
        <v>--</v>
      </c>
      <c r="AD614" s="251">
        <f>IFERROR(__xludf.DUMMYFUNCTION("""COMPUTED_VALUE"""),3.0)</f>
        <v>3</v>
      </c>
      <c r="AE614" s="251" t="str">
        <f>IFERROR(__xludf.DUMMYFUNCTION("""COMPUTED_VALUE"""),"Omnivore")</f>
        <v>Omnivore</v>
      </c>
    </row>
    <row r="615">
      <c r="A615" s="251" t="str">
        <f>IFERROR(__xludf.DUMMYFUNCTION("""COMPUTED_VALUE"""),"Maschiff")</f>
        <v>Maschiff</v>
      </c>
      <c r="B615" s="251" t="str">
        <f>IFERROR(__xludf.DUMMYFUNCTION("""COMPUTED_VALUE"""),"Dark")</f>
        <v>Dark</v>
      </c>
      <c r="C615" s="251" t="str">
        <f>IFERROR(__xludf.DUMMYFUNCTION("""COMPUTED_VALUE"""),"None")</f>
        <v>None</v>
      </c>
      <c r="D615" s="251">
        <f>IFERROR(__xludf.DUMMYFUNCTION("""COMPUTED_VALUE"""),6.0)</f>
        <v>6</v>
      </c>
      <c r="E615" s="251">
        <f>IFERROR(__xludf.DUMMYFUNCTION("""COMPUTED_VALUE"""),8.0)</f>
        <v>8</v>
      </c>
      <c r="F615" s="251">
        <f>IFERROR(__xludf.DUMMYFUNCTION("""COMPUTED_VALUE"""),6.0)</f>
        <v>6</v>
      </c>
      <c r="G615" s="251">
        <f>IFERROR(__xludf.DUMMYFUNCTION("""COMPUTED_VALUE"""),4.0)</f>
        <v>4</v>
      </c>
      <c r="H615" s="251">
        <f>IFERROR(__xludf.DUMMYFUNCTION("""COMPUTED_VALUE"""),5.0)</f>
        <v>5</v>
      </c>
      <c r="I615" s="251">
        <f>IFERROR(__xludf.DUMMYFUNCTION("""COMPUTED_VALUE"""),5.0)</f>
        <v>5</v>
      </c>
      <c r="J615" s="251">
        <f>IFERROR(__xludf.DUMMYFUNCTION("""COMPUTED_VALUE"""),3.0)</f>
        <v>3</v>
      </c>
      <c r="K615" s="251" t="str">
        <f>IFERROR(__xludf.DUMMYFUNCTION("""COMPUTED_VALUE"""),"Small")</f>
        <v>Small</v>
      </c>
      <c r="L615" s="251">
        <f>IFERROR(__xludf.DUMMYFUNCTION("""COMPUTED_VALUE"""),2.0)</f>
        <v>2</v>
      </c>
      <c r="M615" s="251" t="str">
        <f>IFERROR(__xludf.DUMMYFUNCTION("""COMPUTED_VALUE"""),"Desert, Grasslands")</f>
        <v>Desert, Grasslands</v>
      </c>
      <c r="N615" s="251" t="str">
        <f>IFERROR(__xludf.DUMMYFUNCTION("""COMPUTED_VALUE"""),"--")</f>
        <v>--</v>
      </c>
      <c r="O615" s="251" t="str">
        <f>IFERROR(__xludf.DUMMYFUNCTION("""COMPUTED_VALUE"""),"--")</f>
        <v>--</v>
      </c>
      <c r="P615" s="251" t="str">
        <f>IFERROR(__xludf.DUMMYFUNCTION("""COMPUTED_VALUE"""),"--")</f>
        <v>--</v>
      </c>
      <c r="Q615" s="251" t="str">
        <f>IFERROR(__xludf.DUMMYFUNCTION("""COMPUTED_VALUE"""),"--")</f>
        <v>--</v>
      </c>
      <c r="R615" s="251" t="str">
        <f>IFERROR(__xludf.DUMMYFUNCTION("""COMPUTED_VALUE"""),"Darkvision")</f>
        <v>Darkvision</v>
      </c>
      <c r="S615" s="251" t="str">
        <f>IFERROR(__xludf.DUMMYFUNCTION("""COMPUTED_VALUE"""),"Underdog")</f>
        <v>Underdog</v>
      </c>
      <c r="T615" s="251" t="str">
        <f>IFERROR(__xludf.DUMMYFUNCTION("""COMPUTED_VALUE"""),"--")</f>
        <v>--</v>
      </c>
      <c r="U615" s="251" t="str">
        <f>IFERROR(__xludf.DUMMYFUNCTION("""COMPUTED_VALUE"""),"--")</f>
        <v>--</v>
      </c>
      <c r="V615" s="251" t="str">
        <f>IFERROR(__xludf.DUMMYFUNCTION("""COMPUTED_VALUE"""),"Tracker")</f>
        <v>Tracker</v>
      </c>
      <c r="W615" s="251" t="str">
        <f>IFERROR(__xludf.DUMMYFUNCTION("""COMPUTED_VALUE"""),"--")</f>
        <v>--</v>
      </c>
      <c r="X615" s="251" t="str">
        <f>IFERROR(__xludf.DUMMYFUNCTION("""COMPUTED_VALUE"""),"--")</f>
        <v>--</v>
      </c>
      <c r="Y615" s="251" t="str">
        <f>IFERROR(__xludf.DUMMYFUNCTION("""COMPUTED_VALUE"""),"--")</f>
        <v>--</v>
      </c>
      <c r="Z615" s="251" t="str">
        <f>IFERROR(__xludf.DUMMYFUNCTION("""COMPUTED_VALUE"""),"--")</f>
        <v>--</v>
      </c>
      <c r="AA615" s="251" t="str">
        <f>IFERROR(__xludf.DUMMYFUNCTION("""COMPUTED_VALUE"""),"--")</f>
        <v>--</v>
      </c>
      <c r="AB615" s="251" t="str">
        <f>IFERROR(__xludf.DUMMYFUNCTION("""COMPUTED_VALUE"""),"--")</f>
        <v>--</v>
      </c>
      <c r="AC615" s="251" t="str">
        <f>IFERROR(__xludf.DUMMYFUNCTION("""COMPUTED_VALUE"""),"--")</f>
        <v>--</v>
      </c>
      <c r="AD615" s="251">
        <f>IFERROR(__xludf.DUMMYFUNCTION("""COMPUTED_VALUE"""),2.0)</f>
        <v>2</v>
      </c>
      <c r="AE615" s="251" t="str">
        <f>IFERROR(__xludf.DUMMYFUNCTION("""COMPUTED_VALUE"""),"Carnivore")</f>
        <v>Carnivore</v>
      </c>
    </row>
    <row r="616">
      <c r="A616" s="251" t="str">
        <f>IFERROR(__xludf.DUMMYFUNCTION("""COMPUTED_VALUE"""),"Mabosstiff")</f>
        <v>Mabosstiff</v>
      </c>
      <c r="B616" s="251" t="str">
        <f>IFERROR(__xludf.DUMMYFUNCTION("""COMPUTED_VALUE"""),"Dark")</f>
        <v>Dark</v>
      </c>
      <c r="C616" s="251" t="str">
        <f>IFERROR(__xludf.DUMMYFUNCTION("""COMPUTED_VALUE"""),"None")</f>
        <v>None</v>
      </c>
      <c r="D616" s="251">
        <f>IFERROR(__xludf.DUMMYFUNCTION("""COMPUTED_VALUE"""),8.0)</f>
        <v>8</v>
      </c>
      <c r="E616" s="251">
        <f>IFERROR(__xludf.DUMMYFUNCTION("""COMPUTED_VALUE"""),12.0)</f>
        <v>12</v>
      </c>
      <c r="F616" s="251">
        <f>IFERROR(__xludf.DUMMYFUNCTION("""COMPUTED_VALUE"""),9.0)</f>
        <v>9</v>
      </c>
      <c r="G616" s="251">
        <f>IFERROR(__xludf.DUMMYFUNCTION("""COMPUTED_VALUE"""),6.0)</f>
        <v>6</v>
      </c>
      <c r="H616" s="251">
        <f>IFERROR(__xludf.DUMMYFUNCTION("""COMPUTED_VALUE"""),7.0)</f>
        <v>7</v>
      </c>
      <c r="I616" s="251">
        <f>IFERROR(__xludf.DUMMYFUNCTION("""COMPUTED_VALUE"""),9.0)</f>
        <v>9</v>
      </c>
      <c r="J616" s="251">
        <f>IFERROR(__xludf.DUMMYFUNCTION("""COMPUTED_VALUE"""),6.0)</f>
        <v>6</v>
      </c>
      <c r="K616" s="251" t="str">
        <f>IFERROR(__xludf.DUMMYFUNCTION("""COMPUTED_VALUE"""),"Medium")</f>
        <v>Medium</v>
      </c>
      <c r="L616" s="251">
        <f>IFERROR(__xludf.DUMMYFUNCTION("""COMPUTED_VALUE"""),4.0)</f>
        <v>4</v>
      </c>
      <c r="M616" s="251" t="str">
        <f>IFERROR(__xludf.DUMMYFUNCTION("""COMPUTED_VALUE"""),"Desert, Grasslands")</f>
        <v>Desert, Grasslands</v>
      </c>
      <c r="N616" s="251" t="str">
        <f>IFERROR(__xludf.DUMMYFUNCTION("""COMPUTED_VALUE"""),"--")</f>
        <v>--</v>
      </c>
      <c r="O616" s="251" t="str">
        <f>IFERROR(__xludf.DUMMYFUNCTION("""COMPUTED_VALUE"""),"--")</f>
        <v>--</v>
      </c>
      <c r="P616" s="251" t="str">
        <f>IFERROR(__xludf.DUMMYFUNCTION("""COMPUTED_VALUE"""),"--")</f>
        <v>--</v>
      </c>
      <c r="Q616" s="251" t="str">
        <f>IFERROR(__xludf.DUMMYFUNCTION("""COMPUTED_VALUE"""),"--")</f>
        <v>--</v>
      </c>
      <c r="R616" s="251" t="str">
        <f>IFERROR(__xludf.DUMMYFUNCTION("""COMPUTED_VALUE"""),"Darkvision")</f>
        <v>Darkvision</v>
      </c>
      <c r="S616" s="251" t="str">
        <f>IFERROR(__xludf.DUMMYFUNCTION("""COMPUTED_VALUE"""),"--")</f>
        <v>--</v>
      </c>
      <c r="T616" s="251" t="str">
        <f>IFERROR(__xludf.DUMMYFUNCTION("""COMPUTED_VALUE"""),"--")</f>
        <v>--</v>
      </c>
      <c r="U616" s="251" t="str">
        <f>IFERROR(__xludf.DUMMYFUNCTION("""COMPUTED_VALUE"""),"--")</f>
        <v>--</v>
      </c>
      <c r="V616" s="251" t="str">
        <f>IFERROR(__xludf.DUMMYFUNCTION("""COMPUTED_VALUE"""),"Tracker")</f>
        <v>Tracker</v>
      </c>
      <c r="W616" s="251" t="str">
        <f>IFERROR(__xludf.DUMMYFUNCTION("""COMPUTED_VALUE"""),"--")</f>
        <v>--</v>
      </c>
      <c r="X616" s="251" t="str">
        <f>IFERROR(__xludf.DUMMYFUNCTION("""COMPUTED_VALUE"""),"--")</f>
        <v>--</v>
      </c>
      <c r="Y616" s="251" t="str">
        <f>IFERROR(__xludf.DUMMYFUNCTION("""COMPUTED_VALUE"""),"--")</f>
        <v>--</v>
      </c>
      <c r="Z616" s="251" t="str">
        <f>IFERROR(__xludf.DUMMYFUNCTION("""COMPUTED_VALUE"""),"--")</f>
        <v>--</v>
      </c>
      <c r="AA616" s="251" t="str">
        <f>IFERROR(__xludf.DUMMYFUNCTION("""COMPUTED_VALUE"""),"--")</f>
        <v>--</v>
      </c>
      <c r="AB616" s="251" t="str">
        <f>IFERROR(__xludf.DUMMYFUNCTION("""COMPUTED_VALUE"""),"--")</f>
        <v>--</v>
      </c>
      <c r="AC616" s="251" t="str">
        <f>IFERROR(__xludf.DUMMYFUNCTION("""COMPUTED_VALUE"""),"--")</f>
        <v>--</v>
      </c>
      <c r="AD616" s="251">
        <f>IFERROR(__xludf.DUMMYFUNCTION("""COMPUTED_VALUE"""),3.0)</f>
        <v>3</v>
      </c>
      <c r="AE616" s="251" t="str">
        <f>IFERROR(__xludf.DUMMYFUNCTION("""COMPUTED_VALUE"""),"Carnivore")</f>
        <v>Carnivore</v>
      </c>
    </row>
    <row r="617">
      <c r="A617" s="251" t="str">
        <f>IFERROR(__xludf.DUMMYFUNCTION("""COMPUTED_VALUE"""),"Voltorb")</f>
        <v>Voltorb</v>
      </c>
      <c r="B617" s="251" t="str">
        <f>IFERROR(__xludf.DUMMYFUNCTION("""COMPUTED_VALUE"""),"Electric")</f>
        <v>Electric</v>
      </c>
      <c r="C617" s="251" t="str">
        <f>IFERROR(__xludf.DUMMYFUNCTION("""COMPUTED_VALUE"""),"None")</f>
        <v>None</v>
      </c>
      <c r="D617" s="251">
        <f>IFERROR(__xludf.DUMMYFUNCTION("""COMPUTED_VALUE"""),4.0)</f>
        <v>4</v>
      </c>
      <c r="E617" s="251">
        <f>IFERROR(__xludf.DUMMYFUNCTION("""COMPUTED_VALUE"""),3.0)</f>
        <v>3</v>
      </c>
      <c r="F617" s="251">
        <f>IFERROR(__xludf.DUMMYFUNCTION("""COMPUTED_VALUE"""),5.0)</f>
        <v>5</v>
      </c>
      <c r="G617" s="251">
        <f>IFERROR(__xludf.DUMMYFUNCTION("""COMPUTED_VALUE"""),6.0)</f>
        <v>6</v>
      </c>
      <c r="H617" s="251">
        <f>IFERROR(__xludf.DUMMYFUNCTION("""COMPUTED_VALUE"""),6.0)</f>
        <v>6</v>
      </c>
      <c r="I617" s="251">
        <f>IFERROR(__xludf.DUMMYFUNCTION("""COMPUTED_VALUE"""),10.0)</f>
        <v>10</v>
      </c>
      <c r="J617" s="251">
        <f>IFERROR(__xludf.DUMMYFUNCTION("""COMPUTED_VALUE"""),2.0)</f>
        <v>2</v>
      </c>
      <c r="K617" s="251" t="str">
        <f>IFERROR(__xludf.DUMMYFUNCTION("""COMPUTED_VALUE"""),"Small")</f>
        <v>Small</v>
      </c>
      <c r="L617" s="251">
        <f>IFERROR(__xludf.DUMMYFUNCTION("""COMPUTED_VALUE"""),1.0)</f>
        <v>1</v>
      </c>
      <c r="M617" s="251" t="str">
        <f>IFERROR(__xludf.DUMMYFUNCTION("""COMPUTED_VALUE"""),"Urban")</f>
        <v>Urban</v>
      </c>
      <c r="N617" s="251" t="str">
        <f>IFERROR(__xludf.DUMMYFUNCTION("""COMPUTED_VALUE"""),"--")</f>
        <v>--</v>
      </c>
      <c r="O617" s="251" t="str">
        <f>IFERROR(__xludf.DUMMYFUNCTION("""COMPUTED_VALUE"""),"--")</f>
        <v>--</v>
      </c>
      <c r="P617" s="251" t="str">
        <f>IFERROR(__xludf.DUMMYFUNCTION("""COMPUTED_VALUE"""),"--")</f>
        <v>--</v>
      </c>
      <c r="Q617" s="251" t="str">
        <f>IFERROR(__xludf.DUMMYFUNCTION("""COMPUTED_VALUE"""),"--")</f>
        <v>--</v>
      </c>
      <c r="R617" s="251" t="str">
        <f>IFERROR(__xludf.DUMMYFUNCTION("""COMPUTED_VALUE"""),"Underdog")</f>
        <v>Underdog</v>
      </c>
      <c r="S617" s="251" t="str">
        <f>IFERROR(__xludf.DUMMYFUNCTION("""COMPUTED_VALUE"""),"--")</f>
        <v>--</v>
      </c>
      <c r="T617" s="251" t="str">
        <f>IFERROR(__xludf.DUMMYFUNCTION("""COMPUTED_VALUE"""),"--")</f>
        <v>--</v>
      </c>
      <c r="U617" s="251" t="str">
        <f>IFERROR(__xludf.DUMMYFUNCTION("""COMPUTED_VALUE"""),"--")</f>
        <v>--</v>
      </c>
      <c r="V617" s="251" t="str">
        <f>IFERROR(__xludf.DUMMYFUNCTION("""COMPUTED_VALUE"""),"--")</f>
        <v>--</v>
      </c>
      <c r="W617" s="251" t="str">
        <f>IFERROR(__xludf.DUMMYFUNCTION("""COMPUTED_VALUE"""),"--")</f>
        <v>--</v>
      </c>
      <c r="X617" s="251" t="str">
        <f>IFERROR(__xludf.DUMMYFUNCTION("""COMPUTED_VALUE"""),"--")</f>
        <v>--</v>
      </c>
      <c r="Y617" s="251" t="str">
        <f>IFERROR(__xludf.DUMMYFUNCTION("""COMPUTED_VALUE"""),"--")</f>
        <v>--</v>
      </c>
      <c r="Z617" s="251" t="str">
        <f>IFERROR(__xludf.DUMMYFUNCTION("""COMPUTED_VALUE"""),"--")</f>
        <v>--</v>
      </c>
      <c r="AA617" s="251" t="str">
        <f>IFERROR(__xludf.DUMMYFUNCTION("""COMPUTED_VALUE"""),"--")</f>
        <v>--</v>
      </c>
      <c r="AB617" s="251" t="str">
        <f>IFERROR(__xludf.DUMMYFUNCTION("""COMPUTED_VALUE"""),"--")</f>
        <v>--</v>
      </c>
      <c r="AC617" s="251" t="str">
        <f>IFERROR(__xludf.DUMMYFUNCTION("""COMPUTED_VALUE"""),"--")</f>
        <v>--</v>
      </c>
      <c r="AD617" s="251">
        <f>IFERROR(__xludf.DUMMYFUNCTION("""COMPUTED_VALUE"""),2.0)</f>
        <v>2</v>
      </c>
      <c r="AE617" s="251" t="str">
        <f>IFERROR(__xludf.DUMMYFUNCTION("""COMPUTED_VALUE"""),"Ergovore")</f>
        <v>Ergovore</v>
      </c>
    </row>
    <row r="618">
      <c r="A618" s="251" t="str">
        <f>IFERROR(__xludf.DUMMYFUNCTION("""COMPUTED_VALUE"""),"Electrode")</f>
        <v>Electrode</v>
      </c>
      <c r="B618" s="251" t="str">
        <f>IFERROR(__xludf.DUMMYFUNCTION("""COMPUTED_VALUE"""),"Electric")</f>
        <v>Electric</v>
      </c>
      <c r="C618" s="251" t="str">
        <f>IFERROR(__xludf.DUMMYFUNCTION("""COMPUTED_VALUE"""),"None")</f>
        <v>None</v>
      </c>
      <c r="D618" s="251">
        <f>IFERROR(__xludf.DUMMYFUNCTION("""COMPUTED_VALUE"""),6.0)</f>
        <v>6</v>
      </c>
      <c r="E618" s="251">
        <f>IFERROR(__xludf.DUMMYFUNCTION("""COMPUTED_VALUE"""),5.0)</f>
        <v>5</v>
      </c>
      <c r="F618" s="251">
        <f>IFERROR(__xludf.DUMMYFUNCTION("""COMPUTED_VALUE"""),7.0)</f>
        <v>7</v>
      </c>
      <c r="G618" s="251">
        <f>IFERROR(__xludf.DUMMYFUNCTION("""COMPUTED_VALUE"""),9.0)</f>
        <v>9</v>
      </c>
      <c r="H618" s="251">
        <f>IFERROR(__xludf.DUMMYFUNCTION("""COMPUTED_VALUE"""),8.0)</f>
        <v>8</v>
      </c>
      <c r="I618" s="251">
        <f>IFERROR(__xludf.DUMMYFUNCTION("""COMPUTED_VALUE"""),16.0)</f>
        <v>16</v>
      </c>
      <c r="J618" s="251">
        <f>IFERROR(__xludf.DUMMYFUNCTION("""COMPUTED_VALUE"""),4.0)</f>
        <v>4</v>
      </c>
      <c r="K618" s="251" t="str">
        <f>IFERROR(__xludf.DUMMYFUNCTION("""COMPUTED_VALUE"""),"Medium")</f>
        <v>Medium</v>
      </c>
      <c r="L618" s="251">
        <f>IFERROR(__xludf.DUMMYFUNCTION("""COMPUTED_VALUE"""),4.0)</f>
        <v>4</v>
      </c>
      <c r="M618" s="251" t="str">
        <f>IFERROR(__xludf.DUMMYFUNCTION("""COMPUTED_VALUE"""),"Urban")</f>
        <v>Urban</v>
      </c>
      <c r="N618" s="251" t="str">
        <f>IFERROR(__xludf.DUMMYFUNCTION("""COMPUTED_VALUE"""),"Quick")</f>
        <v>Quick</v>
      </c>
      <c r="O618" s="251" t="str">
        <f>IFERROR(__xludf.DUMMYFUNCTION("""COMPUTED_VALUE"""),"--")</f>
        <v>--</v>
      </c>
      <c r="P618" s="251" t="str">
        <f>IFERROR(__xludf.DUMMYFUNCTION("""COMPUTED_VALUE"""),"--")</f>
        <v>--</v>
      </c>
      <c r="Q618" s="251" t="str">
        <f>IFERROR(__xludf.DUMMYFUNCTION("""COMPUTED_VALUE"""),"--")</f>
        <v>--</v>
      </c>
      <c r="R618" s="251" t="str">
        <f>IFERROR(__xludf.DUMMYFUNCTION("""COMPUTED_VALUE"""),"--")</f>
        <v>--</v>
      </c>
      <c r="S618" s="251" t="str">
        <f>IFERROR(__xludf.DUMMYFUNCTION("""COMPUTED_VALUE"""),"--")</f>
        <v>--</v>
      </c>
      <c r="T618" s="251" t="str">
        <f>IFERROR(__xludf.DUMMYFUNCTION("""COMPUTED_VALUE"""),"--")</f>
        <v>--</v>
      </c>
      <c r="U618" s="251" t="str">
        <f>IFERROR(__xludf.DUMMYFUNCTION("""COMPUTED_VALUE"""),"--")</f>
        <v>--</v>
      </c>
      <c r="V618" s="251" t="str">
        <f>IFERROR(__xludf.DUMMYFUNCTION("""COMPUTED_VALUE"""),"--")</f>
        <v>--</v>
      </c>
      <c r="W618" s="251" t="str">
        <f>IFERROR(__xludf.DUMMYFUNCTION("""COMPUTED_VALUE"""),"--")</f>
        <v>--</v>
      </c>
      <c r="X618" s="251" t="str">
        <f>IFERROR(__xludf.DUMMYFUNCTION("""COMPUTED_VALUE"""),"--")</f>
        <v>--</v>
      </c>
      <c r="Y618" s="251" t="str">
        <f>IFERROR(__xludf.DUMMYFUNCTION("""COMPUTED_VALUE"""),"--")</f>
        <v>--</v>
      </c>
      <c r="Z618" s="251" t="str">
        <f>IFERROR(__xludf.DUMMYFUNCTION("""COMPUTED_VALUE"""),"--")</f>
        <v>--</v>
      </c>
      <c r="AA618" s="251" t="str">
        <f>IFERROR(__xludf.DUMMYFUNCTION("""COMPUTED_VALUE"""),"--")</f>
        <v>--</v>
      </c>
      <c r="AB618" s="251" t="str">
        <f>IFERROR(__xludf.DUMMYFUNCTION("""COMPUTED_VALUE"""),"--")</f>
        <v>--</v>
      </c>
      <c r="AC618" s="251" t="str">
        <f>IFERROR(__xludf.DUMMYFUNCTION("""COMPUTED_VALUE"""),"--")</f>
        <v>--</v>
      </c>
      <c r="AD618" s="251">
        <f>IFERROR(__xludf.DUMMYFUNCTION("""COMPUTED_VALUE"""),3.0)</f>
        <v>3</v>
      </c>
      <c r="AE618" s="251" t="str">
        <f>IFERROR(__xludf.DUMMYFUNCTION("""COMPUTED_VALUE"""),"Ergovore")</f>
        <v>Ergovore</v>
      </c>
    </row>
    <row r="619">
      <c r="A619" s="251" t="str">
        <f>IFERROR(__xludf.DUMMYFUNCTION("""COMPUTED_VALUE"""),"Electrike")</f>
        <v>Electrike</v>
      </c>
      <c r="B619" s="251" t="str">
        <f>IFERROR(__xludf.DUMMYFUNCTION("""COMPUTED_VALUE"""),"Electric")</f>
        <v>Electric</v>
      </c>
      <c r="C619" s="251" t="str">
        <f>IFERROR(__xludf.DUMMYFUNCTION("""COMPUTED_VALUE"""),"None")</f>
        <v>None</v>
      </c>
      <c r="D619" s="251">
        <f>IFERROR(__xludf.DUMMYFUNCTION("""COMPUTED_VALUE"""),4.0)</f>
        <v>4</v>
      </c>
      <c r="E619" s="251">
        <f>IFERROR(__xludf.DUMMYFUNCTION("""COMPUTED_VALUE"""),5.0)</f>
        <v>5</v>
      </c>
      <c r="F619" s="251">
        <f>IFERROR(__xludf.DUMMYFUNCTION("""COMPUTED_VALUE"""),4.0)</f>
        <v>4</v>
      </c>
      <c r="G619" s="251">
        <f>IFERROR(__xludf.DUMMYFUNCTION("""COMPUTED_VALUE"""),7.0)</f>
        <v>7</v>
      </c>
      <c r="H619" s="251">
        <f>IFERROR(__xludf.DUMMYFUNCTION("""COMPUTED_VALUE"""),4.0)</f>
        <v>4</v>
      </c>
      <c r="I619" s="251">
        <f>IFERROR(__xludf.DUMMYFUNCTION("""COMPUTED_VALUE"""),7.0)</f>
        <v>7</v>
      </c>
      <c r="J619" s="251">
        <f>IFERROR(__xludf.DUMMYFUNCTION("""COMPUTED_VALUE"""),2.0)</f>
        <v>2</v>
      </c>
      <c r="K619" s="251" t="str">
        <f>IFERROR(__xludf.DUMMYFUNCTION("""COMPUTED_VALUE"""),"Small")</f>
        <v>Small</v>
      </c>
      <c r="L619" s="251">
        <f>IFERROR(__xludf.DUMMYFUNCTION("""COMPUTED_VALUE"""),2.0)</f>
        <v>2</v>
      </c>
      <c r="M619" s="251" t="str">
        <f>IFERROR(__xludf.DUMMYFUNCTION("""COMPUTED_VALUE"""),"Grasslands")</f>
        <v>Grasslands</v>
      </c>
      <c r="N619" s="251" t="str">
        <f>IFERROR(__xludf.DUMMYFUNCTION("""COMPUTED_VALUE"""),"--")</f>
        <v>--</v>
      </c>
      <c r="O619" s="251" t="str">
        <f>IFERROR(__xludf.DUMMYFUNCTION("""COMPUTED_VALUE"""),"--")</f>
        <v>--</v>
      </c>
      <c r="P619" s="251" t="str">
        <f>IFERROR(__xludf.DUMMYFUNCTION("""COMPUTED_VALUE"""),"--")</f>
        <v>--</v>
      </c>
      <c r="Q619" s="251" t="str">
        <f>IFERROR(__xludf.DUMMYFUNCTION("""COMPUTED_VALUE"""),"--")</f>
        <v>--</v>
      </c>
      <c r="R619" s="251" t="str">
        <f>IFERROR(__xludf.DUMMYFUNCTION("""COMPUTED_VALUE"""),"Underdog")</f>
        <v>Underdog</v>
      </c>
      <c r="S619" s="251" t="str">
        <f>IFERROR(__xludf.DUMMYFUNCTION("""COMPUTED_VALUE"""),"--")</f>
        <v>--</v>
      </c>
      <c r="T619" s="251" t="str">
        <f>IFERROR(__xludf.DUMMYFUNCTION("""COMPUTED_VALUE"""),"--")</f>
        <v>--</v>
      </c>
      <c r="U619" s="251" t="str">
        <f>IFERROR(__xludf.DUMMYFUNCTION("""COMPUTED_VALUE"""),"--")</f>
        <v>--</v>
      </c>
      <c r="V619" s="251" t="str">
        <f>IFERROR(__xludf.DUMMYFUNCTION("""COMPUTED_VALUE"""),"Pack Mon")</f>
        <v>Pack Mon</v>
      </c>
      <c r="W619" s="251" t="str">
        <f>IFERROR(__xludf.DUMMYFUNCTION("""COMPUTED_VALUE"""),"Tracker")</f>
        <v>Tracker</v>
      </c>
      <c r="X619" s="251" t="str">
        <f>IFERROR(__xludf.DUMMYFUNCTION("""COMPUTED_VALUE"""),"--")</f>
        <v>--</v>
      </c>
      <c r="Y619" s="251" t="str">
        <f>IFERROR(__xludf.DUMMYFUNCTION("""COMPUTED_VALUE"""),"--")</f>
        <v>--</v>
      </c>
      <c r="Z619" s="251" t="str">
        <f>IFERROR(__xludf.DUMMYFUNCTION("""COMPUTED_VALUE"""),"--")</f>
        <v>--</v>
      </c>
      <c r="AA619" s="251" t="str">
        <f>IFERROR(__xludf.DUMMYFUNCTION("""COMPUTED_VALUE"""),"--")</f>
        <v>--</v>
      </c>
      <c r="AB619" s="251" t="str">
        <f>IFERROR(__xludf.DUMMYFUNCTION("""COMPUTED_VALUE"""),"--")</f>
        <v>--</v>
      </c>
      <c r="AC619" s="251" t="str">
        <f>IFERROR(__xludf.DUMMYFUNCTION("""COMPUTED_VALUE"""),"--")</f>
        <v>--</v>
      </c>
      <c r="AD619" s="251">
        <f>IFERROR(__xludf.DUMMYFUNCTION("""COMPUTED_VALUE"""),2.0)</f>
        <v>2</v>
      </c>
      <c r="AE619" s="251" t="str">
        <f>IFERROR(__xludf.DUMMYFUNCTION("""COMPUTED_VALUE"""),"Carnivore")</f>
        <v>Carnivore</v>
      </c>
    </row>
    <row r="620">
      <c r="A620" s="251" t="str">
        <f>IFERROR(__xludf.DUMMYFUNCTION("""COMPUTED_VALUE"""),"Manectric")</f>
        <v>Manectric</v>
      </c>
      <c r="B620" s="251" t="str">
        <f>IFERROR(__xludf.DUMMYFUNCTION("""COMPUTED_VALUE"""),"Electric")</f>
        <v>Electric</v>
      </c>
      <c r="C620" s="251" t="str">
        <f>IFERROR(__xludf.DUMMYFUNCTION("""COMPUTED_VALUE"""),"None")</f>
        <v>None</v>
      </c>
      <c r="D620" s="251">
        <f>IFERROR(__xludf.DUMMYFUNCTION("""COMPUTED_VALUE"""),8.0)</f>
        <v>8</v>
      </c>
      <c r="E620" s="251">
        <f>IFERROR(__xludf.DUMMYFUNCTION("""COMPUTED_VALUE"""),12.0)</f>
        <v>12</v>
      </c>
      <c r="F620" s="251">
        <f>IFERROR(__xludf.DUMMYFUNCTION("""COMPUTED_VALUE"""),6.0)</f>
        <v>6</v>
      </c>
      <c r="G620" s="251">
        <f>IFERROR(__xludf.DUMMYFUNCTION("""COMPUTED_VALUE"""),14.0)</f>
        <v>14</v>
      </c>
      <c r="H620" s="251">
        <f>IFERROR(__xludf.DUMMYFUNCTION("""COMPUTED_VALUE"""),6.0)</f>
        <v>6</v>
      </c>
      <c r="I620" s="251">
        <f>IFERROR(__xludf.DUMMYFUNCTION("""COMPUTED_VALUE"""),12.0)</f>
        <v>12</v>
      </c>
      <c r="J620" s="251">
        <f>IFERROR(__xludf.DUMMYFUNCTION("""COMPUTED_VALUE"""),4.0)</f>
        <v>4</v>
      </c>
      <c r="K620" s="251" t="str">
        <f>IFERROR(__xludf.DUMMYFUNCTION("""COMPUTED_VALUE"""),"Medium")</f>
        <v>Medium</v>
      </c>
      <c r="L620" s="251">
        <f>IFERROR(__xludf.DUMMYFUNCTION("""COMPUTED_VALUE"""),3.0)</f>
        <v>3</v>
      </c>
      <c r="M620" s="251" t="str">
        <f>IFERROR(__xludf.DUMMYFUNCTION("""COMPUTED_VALUE"""),"Grasslands")</f>
        <v>Grasslands</v>
      </c>
      <c r="N620" s="251" t="str">
        <f>IFERROR(__xludf.DUMMYFUNCTION("""COMPUTED_VALUE"""),"Quick")</f>
        <v>Quick</v>
      </c>
      <c r="O620" s="251" t="str">
        <f>IFERROR(__xludf.DUMMYFUNCTION("""COMPUTED_VALUE"""),"--")</f>
        <v>--</v>
      </c>
      <c r="P620" s="251" t="str">
        <f>IFERROR(__xludf.DUMMYFUNCTION("""COMPUTED_VALUE"""),"--")</f>
        <v>--</v>
      </c>
      <c r="Q620" s="251" t="str">
        <f>IFERROR(__xludf.DUMMYFUNCTION("""COMPUTED_VALUE"""),"--")</f>
        <v>--</v>
      </c>
      <c r="R620" s="251" t="str">
        <f>IFERROR(__xludf.DUMMYFUNCTION("""COMPUTED_VALUE"""),"--")</f>
        <v>--</v>
      </c>
      <c r="S620" s="251" t="str">
        <f>IFERROR(__xludf.DUMMYFUNCTION("""COMPUTED_VALUE"""),"--")</f>
        <v>--</v>
      </c>
      <c r="T620" s="251" t="str">
        <f>IFERROR(__xludf.DUMMYFUNCTION("""COMPUTED_VALUE"""),"--")</f>
        <v>--</v>
      </c>
      <c r="U620" s="251" t="str">
        <f>IFERROR(__xludf.DUMMYFUNCTION("""COMPUTED_VALUE"""),"--")</f>
        <v>--</v>
      </c>
      <c r="V620" s="251" t="str">
        <f>IFERROR(__xludf.DUMMYFUNCTION("""COMPUTED_VALUE"""),"Pack Mon")</f>
        <v>Pack Mon</v>
      </c>
      <c r="W620" s="251" t="str">
        <f>IFERROR(__xludf.DUMMYFUNCTION("""COMPUTED_VALUE"""),"Tracker")</f>
        <v>Tracker</v>
      </c>
      <c r="X620" s="251" t="str">
        <f>IFERROR(__xludf.DUMMYFUNCTION("""COMPUTED_VALUE"""),"--")</f>
        <v>--</v>
      </c>
      <c r="Y620" s="251" t="str">
        <f>IFERROR(__xludf.DUMMYFUNCTION("""COMPUTED_VALUE"""),"--")</f>
        <v>--</v>
      </c>
      <c r="Z620" s="251" t="str">
        <f>IFERROR(__xludf.DUMMYFUNCTION("""COMPUTED_VALUE"""),"--")</f>
        <v>--</v>
      </c>
      <c r="AA620" s="251" t="str">
        <f>IFERROR(__xludf.DUMMYFUNCTION("""COMPUTED_VALUE"""),"--")</f>
        <v>--</v>
      </c>
      <c r="AB620" s="251" t="str">
        <f>IFERROR(__xludf.DUMMYFUNCTION("""COMPUTED_VALUE"""),"--")</f>
        <v>--</v>
      </c>
      <c r="AC620" s="251" t="str">
        <f>IFERROR(__xludf.DUMMYFUNCTION("""COMPUTED_VALUE"""),"--")</f>
        <v>--</v>
      </c>
      <c r="AD620" s="251">
        <f>IFERROR(__xludf.DUMMYFUNCTION("""COMPUTED_VALUE"""),3.0)</f>
        <v>3</v>
      </c>
      <c r="AE620" s="251" t="str">
        <f>IFERROR(__xludf.DUMMYFUNCTION("""COMPUTED_VALUE"""),"Carnivore")</f>
        <v>Carnivore</v>
      </c>
    </row>
    <row r="621">
      <c r="A621" s="251" t="str">
        <f>IFERROR(__xludf.DUMMYFUNCTION("""COMPUTED_VALUE"""),"Blitzle")</f>
        <v>Blitzle</v>
      </c>
      <c r="B621" s="251" t="str">
        <f>IFERROR(__xludf.DUMMYFUNCTION("""COMPUTED_VALUE"""),"Electric")</f>
        <v>Electric</v>
      </c>
      <c r="C621" s="251" t="str">
        <f>IFERROR(__xludf.DUMMYFUNCTION("""COMPUTED_VALUE"""),"None")</f>
        <v>None</v>
      </c>
      <c r="D621" s="251">
        <f>IFERROR(__xludf.DUMMYFUNCTION("""COMPUTED_VALUE"""),5.0)</f>
        <v>5</v>
      </c>
      <c r="E621" s="251">
        <f>IFERROR(__xludf.DUMMYFUNCTION("""COMPUTED_VALUE"""),6.0)</f>
        <v>6</v>
      </c>
      <c r="F621" s="251">
        <f>IFERROR(__xludf.DUMMYFUNCTION("""COMPUTED_VALUE"""),3.0)</f>
        <v>3</v>
      </c>
      <c r="G621" s="251">
        <f>IFERROR(__xludf.DUMMYFUNCTION("""COMPUTED_VALUE"""),5.0)</f>
        <v>5</v>
      </c>
      <c r="H621" s="251">
        <f>IFERROR(__xludf.DUMMYFUNCTION("""COMPUTED_VALUE"""),3.0)</f>
        <v>3</v>
      </c>
      <c r="I621" s="251">
        <f>IFERROR(__xludf.DUMMYFUNCTION("""COMPUTED_VALUE"""),8.0)</f>
        <v>8</v>
      </c>
      <c r="J621" s="251">
        <f>IFERROR(__xludf.DUMMYFUNCTION("""COMPUTED_VALUE"""),4.0)</f>
        <v>4</v>
      </c>
      <c r="K621" s="251" t="str">
        <f>IFERROR(__xludf.DUMMYFUNCTION("""COMPUTED_VALUE"""),"Small")</f>
        <v>Small</v>
      </c>
      <c r="L621" s="251">
        <f>IFERROR(__xludf.DUMMYFUNCTION("""COMPUTED_VALUE"""),3.0)</f>
        <v>3</v>
      </c>
      <c r="M621" s="251" t="str">
        <f>IFERROR(__xludf.DUMMYFUNCTION("""COMPUTED_VALUE"""),"Grasslands")</f>
        <v>Grasslands</v>
      </c>
      <c r="N621" s="251" t="str">
        <f>IFERROR(__xludf.DUMMYFUNCTION("""COMPUTED_VALUE"""),"--")</f>
        <v>--</v>
      </c>
      <c r="O621" s="251" t="str">
        <f>IFERROR(__xludf.DUMMYFUNCTION("""COMPUTED_VALUE"""),"--")</f>
        <v>--</v>
      </c>
      <c r="P621" s="251" t="str">
        <f>IFERROR(__xludf.DUMMYFUNCTION("""COMPUTED_VALUE"""),"--")</f>
        <v>--</v>
      </c>
      <c r="Q621" s="251" t="str">
        <f>IFERROR(__xludf.DUMMYFUNCTION("""COMPUTED_VALUE"""),"--")</f>
        <v>--</v>
      </c>
      <c r="R621" s="251" t="str">
        <f>IFERROR(__xludf.DUMMYFUNCTION("""COMPUTED_VALUE"""),"Underdog")</f>
        <v>Underdog</v>
      </c>
      <c r="S621" s="251" t="str">
        <f>IFERROR(__xludf.DUMMYFUNCTION("""COMPUTED_VALUE"""),"--")</f>
        <v>--</v>
      </c>
      <c r="T621" s="251" t="str">
        <f>IFERROR(__xludf.DUMMYFUNCTION("""COMPUTED_VALUE"""),"--")</f>
        <v>--</v>
      </c>
      <c r="U621" s="251" t="str">
        <f>IFERROR(__xludf.DUMMYFUNCTION("""COMPUTED_VALUE"""),"--")</f>
        <v>--</v>
      </c>
      <c r="V621" s="251" t="str">
        <f>IFERROR(__xludf.DUMMYFUNCTION("""COMPUTED_VALUE"""),"Glow")</f>
        <v>Glow</v>
      </c>
      <c r="W621" s="251" t="str">
        <f>IFERROR(__xludf.DUMMYFUNCTION("""COMPUTED_VALUE"""),"--")</f>
        <v>--</v>
      </c>
      <c r="X621" s="251" t="str">
        <f>IFERROR(__xludf.DUMMYFUNCTION("""COMPUTED_VALUE"""),"--")</f>
        <v>--</v>
      </c>
      <c r="Y621" s="251" t="str">
        <f>IFERROR(__xludf.DUMMYFUNCTION("""COMPUTED_VALUE"""),"--")</f>
        <v>--</v>
      </c>
      <c r="Z621" s="251" t="str">
        <f>IFERROR(__xludf.DUMMYFUNCTION("""COMPUTED_VALUE"""),"--")</f>
        <v>--</v>
      </c>
      <c r="AA621" s="251" t="str">
        <f>IFERROR(__xludf.DUMMYFUNCTION("""COMPUTED_VALUE"""),"--")</f>
        <v>--</v>
      </c>
      <c r="AB621" s="251" t="str">
        <f>IFERROR(__xludf.DUMMYFUNCTION("""COMPUTED_VALUE"""),"--")</f>
        <v>--</v>
      </c>
      <c r="AC621" s="251" t="str">
        <f>IFERROR(__xludf.DUMMYFUNCTION("""COMPUTED_VALUE"""),"--")</f>
        <v>--</v>
      </c>
      <c r="AD621" s="251">
        <f>IFERROR(__xludf.DUMMYFUNCTION("""COMPUTED_VALUE"""),2.0)</f>
        <v>2</v>
      </c>
      <c r="AE621" s="251" t="str">
        <f>IFERROR(__xludf.DUMMYFUNCTION("""COMPUTED_VALUE"""),"Herbivore")</f>
        <v>Herbivore</v>
      </c>
    </row>
    <row r="622">
      <c r="A622" s="251" t="str">
        <f>IFERROR(__xludf.DUMMYFUNCTION("""COMPUTED_VALUE"""),"Zebstrika")</f>
        <v>Zebstrika</v>
      </c>
      <c r="B622" s="251" t="str">
        <f>IFERROR(__xludf.DUMMYFUNCTION("""COMPUTED_VALUE"""),"Electric")</f>
        <v>Electric</v>
      </c>
      <c r="C622" s="251" t="str">
        <f>IFERROR(__xludf.DUMMYFUNCTION("""COMPUTED_VALUE"""),"None")</f>
        <v>None</v>
      </c>
      <c r="D622" s="251">
        <f>IFERROR(__xludf.DUMMYFUNCTION("""COMPUTED_VALUE"""),8.0)</f>
        <v>8</v>
      </c>
      <c r="E622" s="251">
        <f>IFERROR(__xludf.DUMMYFUNCTION("""COMPUTED_VALUE"""),10.0)</f>
        <v>10</v>
      </c>
      <c r="F622" s="251">
        <f>IFERROR(__xludf.DUMMYFUNCTION("""COMPUTED_VALUE"""),6.0)</f>
        <v>6</v>
      </c>
      <c r="G622" s="251">
        <f>IFERROR(__xludf.DUMMYFUNCTION("""COMPUTED_VALUE"""),8.0)</f>
        <v>8</v>
      </c>
      <c r="H622" s="251">
        <f>IFERROR(__xludf.DUMMYFUNCTION("""COMPUTED_VALUE"""),6.0)</f>
        <v>6</v>
      </c>
      <c r="I622" s="251">
        <f>IFERROR(__xludf.DUMMYFUNCTION("""COMPUTED_VALUE"""),13.0)</f>
        <v>13</v>
      </c>
      <c r="J622" s="251">
        <f>IFERROR(__xludf.DUMMYFUNCTION("""COMPUTED_VALUE"""),7.0)</f>
        <v>7</v>
      </c>
      <c r="K622" s="251" t="str">
        <f>IFERROR(__xludf.DUMMYFUNCTION("""COMPUTED_VALUE"""),"Medium")</f>
        <v>Medium</v>
      </c>
      <c r="L622" s="251">
        <f>IFERROR(__xludf.DUMMYFUNCTION("""COMPUTED_VALUE"""),4.0)</f>
        <v>4</v>
      </c>
      <c r="M622" s="251" t="str">
        <f>IFERROR(__xludf.DUMMYFUNCTION("""COMPUTED_VALUE"""),"Grasslands")</f>
        <v>Grasslands</v>
      </c>
      <c r="N622" s="251" t="str">
        <f>IFERROR(__xludf.DUMMYFUNCTION("""COMPUTED_VALUE"""),"Quick")</f>
        <v>Quick</v>
      </c>
      <c r="O622" s="251" t="str">
        <f>IFERROR(__xludf.DUMMYFUNCTION("""COMPUTED_VALUE"""),"--")</f>
        <v>--</v>
      </c>
      <c r="P622" s="251" t="str">
        <f>IFERROR(__xludf.DUMMYFUNCTION("""COMPUTED_VALUE"""),"--")</f>
        <v>--</v>
      </c>
      <c r="Q622" s="251" t="str">
        <f>IFERROR(__xludf.DUMMYFUNCTION("""COMPUTED_VALUE"""),"--")</f>
        <v>--</v>
      </c>
      <c r="R622" s="251" t="str">
        <f>IFERROR(__xludf.DUMMYFUNCTION("""COMPUTED_VALUE"""),"Mountable")</f>
        <v>Mountable</v>
      </c>
      <c r="S622" s="251" t="str">
        <f>IFERROR(__xludf.DUMMYFUNCTION("""COMPUTED_VALUE"""),"--")</f>
        <v>--</v>
      </c>
      <c r="T622" s="251" t="str">
        <f>IFERROR(__xludf.DUMMYFUNCTION("""COMPUTED_VALUE"""),"--")</f>
        <v>--</v>
      </c>
      <c r="U622" s="251" t="str">
        <f>IFERROR(__xludf.DUMMYFUNCTION("""COMPUTED_VALUE"""),"--")</f>
        <v>--</v>
      </c>
      <c r="V622" s="251" t="str">
        <f>IFERROR(__xludf.DUMMYFUNCTION("""COMPUTED_VALUE"""),"Glow")</f>
        <v>Glow</v>
      </c>
      <c r="W622" s="251" t="str">
        <f>IFERROR(__xludf.DUMMYFUNCTION("""COMPUTED_VALUE"""),"--")</f>
        <v>--</v>
      </c>
      <c r="X622" s="251" t="str">
        <f>IFERROR(__xludf.DUMMYFUNCTION("""COMPUTED_VALUE"""),"--")</f>
        <v>--</v>
      </c>
      <c r="Y622" s="251" t="str">
        <f>IFERROR(__xludf.DUMMYFUNCTION("""COMPUTED_VALUE"""),"--")</f>
        <v>--</v>
      </c>
      <c r="Z622" s="251" t="str">
        <f>IFERROR(__xludf.DUMMYFUNCTION("""COMPUTED_VALUE"""),"--")</f>
        <v>--</v>
      </c>
      <c r="AA622" s="251" t="str">
        <f>IFERROR(__xludf.DUMMYFUNCTION("""COMPUTED_VALUE"""),"--")</f>
        <v>--</v>
      </c>
      <c r="AB622" s="251" t="str">
        <f>IFERROR(__xludf.DUMMYFUNCTION("""COMPUTED_VALUE"""),"--")</f>
        <v>--</v>
      </c>
      <c r="AC622" s="251" t="str">
        <f>IFERROR(__xludf.DUMMYFUNCTION("""COMPUTED_VALUE"""),"--")</f>
        <v>--</v>
      </c>
      <c r="AD622" s="251">
        <f>IFERROR(__xludf.DUMMYFUNCTION("""COMPUTED_VALUE"""),3.0)</f>
        <v>3</v>
      </c>
      <c r="AE622" s="251" t="str">
        <f>IFERROR(__xludf.DUMMYFUNCTION("""COMPUTED_VALUE"""),"Herbivore")</f>
        <v>Herbivore</v>
      </c>
    </row>
    <row r="623">
      <c r="A623" s="251" t="str">
        <f>IFERROR(__xludf.DUMMYFUNCTION("""COMPUTED_VALUE"""),"Helioptile")</f>
        <v>Helioptile</v>
      </c>
      <c r="B623" s="251" t="str">
        <f>IFERROR(__xludf.DUMMYFUNCTION("""COMPUTED_VALUE"""),"Normal")</f>
        <v>Normal</v>
      </c>
      <c r="C623" s="251" t="str">
        <f>IFERROR(__xludf.DUMMYFUNCTION("""COMPUTED_VALUE"""),"Electric")</f>
        <v>Electric</v>
      </c>
      <c r="D623" s="251">
        <f>IFERROR(__xludf.DUMMYFUNCTION("""COMPUTED_VALUE"""),4.0)</f>
        <v>4</v>
      </c>
      <c r="E623" s="251">
        <f>IFERROR(__xludf.DUMMYFUNCTION("""COMPUTED_VALUE"""),4.0)</f>
        <v>4</v>
      </c>
      <c r="F623" s="251">
        <f>IFERROR(__xludf.DUMMYFUNCTION("""COMPUTED_VALUE"""),3.0)</f>
        <v>3</v>
      </c>
      <c r="G623" s="251">
        <f>IFERROR(__xludf.DUMMYFUNCTION("""COMPUTED_VALUE"""),7.0)</f>
        <v>7</v>
      </c>
      <c r="H623" s="251">
        <f>IFERROR(__xludf.DUMMYFUNCTION("""COMPUTED_VALUE"""),5.0)</f>
        <v>5</v>
      </c>
      <c r="I623" s="251">
        <f>IFERROR(__xludf.DUMMYFUNCTION("""COMPUTED_VALUE"""),7.0)</f>
        <v>7</v>
      </c>
      <c r="J623" s="251">
        <f>IFERROR(__xludf.DUMMYFUNCTION("""COMPUTED_VALUE"""),1.0)</f>
        <v>1</v>
      </c>
      <c r="K623" s="251" t="str">
        <f>IFERROR(__xludf.DUMMYFUNCTION("""COMPUTED_VALUE"""),"Small")</f>
        <v>Small</v>
      </c>
      <c r="L623" s="251">
        <f>IFERROR(__xludf.DUMMYFUNCTION("""COMPUTED_VALUE"""),1.0)</f>
        <v>1</v>
      </c>
      <c r="M623" s="251" t="str">
        <f>IFERROR(__xludf.DUMMYFUNCTION("""COMPUTED_VALUE"""),"Cave, Desert")</f>
        <v>Cave, Desert</v>
      </c>
      <c r="N623" s="251" t="str">
        <f>IFERROR(__xludf.DUMMYFUNCTION("""COMPUTED_VALUE"""),"--")</f>
        <v>--</v>
      </c>
      <c r="O623" s="251" t="str">
        <f>IFERROR(__xludf.DUMMYFUNCTION("""COMPUTED_VALUE"""),"--")</f>
        <v>--</v>
      </c>
      <c r="P623" s="251" t="str">
        <f>IFERROR(__xludf.DUMMYFUNCTION("""COMPUTED_VALUE"""),"--")</f>
        <v>--</v>
      </c>
      <c r="Q623" s="251" t="str">
        <f>IFERROR(__xludf.DUMMYFUNCTION("""COMPUTED_VALUE"""),"--")</f>
        <v>--</v>
      </c>
      <c r="R623" s="251" t="str">
        <f>IFERROR(__xludf.DUMMYFUNCTION("""COMPUTED_VALUE"""),"Underdog")</f>
        <v>Underdog</v>
      </c>
      <c r="S623" s="251" t="str">
        <f>IFERROR(__xludf.DUMMYFUNCTION("""COMPUTED_VALUE"""),"--")</f>
        <v>--</v>
      </c>
      <c r="T623" s="251" t="str">
        <f>IFERROR(__xludf.DUMMYFUNCTION("""COMPUTED_VALUE"""),"--")</f>
        <v>--</v>
      </c>
      <c r="U623" s="251" t="str">
        <f>IFERROR(__xludf.DUMMYFUNCTION("""COMPUTED_VALUE"""),"--")</f>
        <v>--</v>
      </c>
      <c r="V623" s="251" t="str">
        <f>IFERROR(__xludf.DUMMYFUNCTION("""COMPUTED_VALUE"""),"Glow")</f>
        <v>Glow</v>
      </c>
      <c r="W623" s="251" t="str">
        <f>IFERROR(__xludf.DUMMYFUNCTION("""COMPUTED_VALUE"""),"--")</f>
        <v>--</v>
      </c>
      <c r="X623" s="251" t="str">
        <f>IFERROR(__xludf.DUMMYFUNCTION("""COMPUTED_VALUE"""),"--")</f>
        <v>--</v>
      </c>
      <c r="Y623" s="251" t="str">
        <f>IFERROR(__xludf.DUMMYFUNCTION("""COMPUTED_VALUE"""),"--")</f>
        <v>--</v>
      </c>
      <c r="Z623" s="251" t="str">
        <f>IFERROR(__xludf.DUMMYFUNCTION("""COMPUTED_VALUE"""),"--")</f>
        <v>--</v>
      </c>
      <c r="AA623" s="251" t="str">
        <f>IFERROR(__xludf.DUMMYFUNCTION("""COMPUTED_VALUE"""),"--")</f>
        <v>--</v>
      </c>
      <c r="AB623" s="251" t="str">
        <f>IFERROR(__xludf.DUMMYFUNCTION("""COMPUTED_VALUE"""),"--")</f>
        <v>--</v>
      </c>
      <c r="AC623" s="251" t="str">
        <f>IFERROR(__xludf.DUMMYFUNCTION("""COMPUTED_VALUE"""),"--")</f>
        <v>--</v>
      </c>
      <c r="AD623" s="251">
        <f>IFERROR(__xludf.DUMMYFUNCTION("""COMPUTED_VALUE"""),2.0)</f>
        <v>2</v>
      </c>
      <c r="AE623" s="251" t="str">
        <f>IFERROR(__xludf.DUMMYFUNCTION("""COMPUTED_VALUE"""),"Phototroph")</f>
        <v>Phototroph</v>
      </c>
    </row>
    <row r="624">
      <c r="A624" s="251" t="str">
        <f>IFERROR(__xludf.DUMMYFUNCTION("""COMPUTED_VALUE"""),"Heliolisk")</f>
        <v>Heliolisk</v>
      </c>
      <c r="B624" s="251" t="str">
        <f>IFERROR(__xludf.DUMMYFUNCTION("""COMPUTED_VALUE"""),"Normal")</f>
        <v>Normal</v>
      </c>
      <c r="C624" s="251" t="str">
        <f>IFERROR(__xludf.DUMMYFUNCTION("""COMPUTED_VALUE"""),"Electric")</f>
        <v>Electric</v>
      </c>
      <c r="D624" s="251">
        <f>IFERROR(__xludf.DUMMYFUNCTION("""COMPUTED_VALUE"""),6.0)</f>
        <v>6</v>
      </c>
      <c r="E624" s="251">
        <f>IFERROR(__xludf.DUMMYFUNCTION("""COMPUTED_VALUE"""),6.0)</f>
        <v>6</v>
      </c>
      <c r="F624" s="251">
        <f>IFERROR(__xludf.DUMMYFUNCTION("""COMPUTED_VALUE"""),5.0)</f>
        <v>5</v>
      </c>
      <c r="G624" s="251">
        <f>IFERROR(__xludf.DUMMYFUNCTION("""COMPUTED_VALUE"""),12.0)</f>
        <v>12</v>
      </c>
      <c r="H624" s="251">
        <f>IFERROR(__xludf.DUMMYFUNCTION("""COMPUTED_VALUE"""),10.0)</f>
        <v>10</v>
      </c>
      <c r="I624" s="251">
        <f>IFERROR(__xludf.DUMMYFUNCTION("""COMPUTED_VALUE"""),12.0)</f>
        <v>12</v>
      </c>
      <c r="J624" s="251">
        <f>IFERROR(__xludf.DUMMYFUNCTION("""COMPUTED_VALUE"""),3.0)</f>
        <v>3</v>
      </c>
      <c r="K624" s="251" t="str">
        <f>IFERROR(__xludf.DUMMYFUNCTION("""COMPUTED_VALUE"""),"Medium")</f>
        <v>Medium</v>
      </c>
      <c r="L624" s="251">
        <f>IFERROR(__xludf.DUMMYFUNCTION("""COMPUTED_VALUE"""),2.0)</f>
        <v>2</v>
      </c>
      <c r="M624" s="251" t="str">
        <f>IFERROR(__xludf.DUMMYFUNCTION("""COMPUTED_VALUE"""),"Cave, Desert")</f>
        <v>Cave, Desert</v>
      </c>
      <c r="N624" s="251" t="str">
        <f>IFERROR(__xludf.DUMMYFUNCTION("""COMPUTED_VALUE"""),"Quick")</f>
        <v>Quick</v>
      </c>
      <c r="O624" s="251" t="str">
        <f>IFERROR(__xludf.DUMMYFUNCTION("""COMPUTED_VALUE"""),"--")</f>
        <v>--</v>
      </c>
      <c r="P624" s="251" t="str">
        <f>IFERROR(__xludf.DUMMYFUNCTION("""COMPUTED_VALUE"""),"--")</f>
        <v>--</v>
      </c>
      <c r="Q624" s="251" t="str">
        <f>IFERROR(__xludf.DUMMYFUNCTION("""COMPUTED_VALUE"""),"--")</f>
        <v>--</v>
      </c>
      <c r="R624" s="251" t="str">
        <f>IFERROR(__xludf.DUMMYFUNCTION("""COMPUTED_VALUE"""),"--")</f>
        <v>--</v>
      </c>
      <c r="S624" s="251" t="str">
        <f>IFERROR(__xludf.DUMMYFUNCTION("""COMPUTED_VALUE"""),"--")</f>
        <v>--</v>
      </c>
      <c r="T624" s="251" t="str">
        <f>IFERROR(__xludf.DUMMYFUNCTION("""COMPUTED_VALUE"""),"--")</f>
        <v>--</v>
      </c>
      <c r="U624" s="251" t="str">
        <f>IFERROR(__xludf.DUMMYFUNCTION("""COMPUTED_VALUE"""),"--")</f>
        <v>--</v>
      </c>
      <c r="V624" s="251" t="str">
        <f>IFERROR(__xludf.DUMMYFUNCTION("""COMPUTED_VALUE"""),"Glow")</f>
        <v>Glow</v>
      </c>
      <c r="W624" s="251" t="str">
        <f>IFERROR(__xludf.DUMMYFUNCTION("""COMPUTED_VALUE"""),"--")</f>
        <v>--</v>
      </c>
      <c r="X624" s="251" t="str">
        <f>IFERROR(__xludf.DUMMYFUNCTION("""COMPUTED_VALUE"""),"--")</f>
        <v>--</v>
      </c>
      <c r="Y624" s="251" t="str">
        <f>IFERROR(__xludf.DUMMYFUNCTION("""COMPUTED_VALUE"""),"--")</f>
        <v>--</v>
      </c>
      <c r="Z624" s="251" t="str">
        <f>IFERROR(__xludf.DUMMYFUNCTION("""COMPUTED_VALUE"""),"--")</f>
        <v>--</v>
      </c>
      <c r="AA624" s="251" t="str">
        <f>IFERROR(__xludf.DUMMYFUNCTION("""COMPUTED_VALUE"""),"--")</f>
        <v>--</v>
      </c>
      <c r="AB624" s="251" t="str">
        <f>IFERROR(__xludf.DUMMYFUNCTION("""COMPUTED_VALUE"""),"--")</f>
        <v>--</v>
      </c>
      <c r="AC624" s="251" t="str">
        <f>IFERROR(__xludf.DUMMYFUNCTION("""COMPUTED_VALUE"""),"--")</f>
        <v>--</v>
      </c>
      <c r="AD624" s="251">
        <f>IFERROR(__xludf.DUMMYFUNCTION("""COMPUTED_VALUE"""),3.0)</f>
        <v>3</v>
      </c>
      <c r="AE624" s="251" t="str">
        <f>IFERROR(__xludf.DUMMYFUNCTION("""COMPUTED_VALUE"""),"Phototroph")</f>
        <v>Phototroph</v>
      </c>
    </row>
    <row r="625">
      <c r="A625" s="251" t="str">
        <f>IFERROR(__xludf.DUMMYFUNCTION("""COMPUTED_VALUE"""),"Yamper")</f>
        <v>Yamper</v>
      </c>
      <c r="B625" s="251" t="str">
        <f>IFERROR(__xludf.DUMMYFUNCTION("""COMPUTED_VALUE"""),"Electric")</f>
        <v>Electric</v>
      </c>
      <c r="C625" s="251" t="str">
        <f>IFERROR(__xludf.DUMMYFUNCTION("""COMPUTED_VALUE"""),"None")</f>
        <v>None</v>
      </c>
      <c r="D625" s="251">
        <f>IFERROR(__xludf.DUMMYFUNCTION("""COMPUTED_VALUE"""),6.0)</f>
        <v>6</v>
      </c>
      <c r="E625" s="251">
        <f>IFERROR(__xludf.DUMMYFUNCTION("""COMPUTED_VALUE"""),5.0)</f>
        <v>5</v>
      </c>
      <c r="F625" s="251">
        <f>IFERROR(__xludf.DUMMYFUNCTION("""COMPUTED_VALUE"""),5.0)</f>
        <v>5</v>
      </c>
      <c r="G625" s="251">
        <f>IFERROR(__xludf.DUMMYFUNCTION("""COMPUTED_VALUE"""),4.0)</f>
        <v>4</v>
      </c>
      <c r="H625" s="251">
        <f>IFERROR(__xludf.DUMMYFUNCTION("""COMPUTED_VALUE"""),5.0)</f>
        <v>5</v>
      </c>
      <c r="I625" s="251">
        <f>IFERROR(__xludf.DUMMYFUNCTION("""COMPUTED_VALUE"""),5.0)</f>
        <v>5</v>
      </c>
      <c r="J625" s="251">
        <f>IFERROR(__xludf.DUMMYFUNCTION("""COMPUTED_VALUE"""),2.0)</f>
        <v>2</v>
      </c>
      <c r="K625" s="251" t="str">
        <f>IFERROR(__xludf.DUMMYFUNCTION("""COMPUTED_VALUE"""),"Small")</f>
        <v>Small</v>
      </c>
      <c r="L625" s="251">
        <f>IFERROR(__xludf.DUMMYFUNCTION("""COMPUTED_VALUE"""),2.0)</f>
        <v>2</v>
      </c>
      <c r="M625" s="251" t="str">
        <f>IFERROR(__xludf.DUMMYFUNCTION("""COMPUTED_VALUE"""),"Grasslands, Urban")</f>
        <v>Grasslands, Urban</v>
      </c>
      <c r="N625" s="251" t="str">
        <f>IFERROR(__xludf.DUMMYFUNCTION("""COMPUTED_VALUE"""),"--")</f>
        <v>--</v>
      </c>
      <c r="O625" s="251" t="str">
        <f>IFERROR(__xludf.DUMMYFUNCTION("""COMPUTED_VALUE"""),"--")</f>
        <v>--</v>
      </c>
      <c r="P625" s="251" t="str">
        <f>IFERROR(__xludf.DUMMYFUNCTION("""COMPUTED_VALUE"""),"--")</f>
        <v>--</v>
      </c>
      <c r="Q625" s="251" t="str">
        <f>IFERROR(__xludf.DUMMYFUNCTION("""COMPUTED_VALUE"""),"--")</f>
        <v>--</v>
      </c>
      <c r="R625" s="251" t="str">
        <f>IFERROR(__xludf.DUMMYFUNCTION("""COMPUTED_VALUE"""),"Underdog")</f>
        <v>Underdog</v>
      </c>
      <c r="S625" s="251" t="str">
        <f>IFERROR(__xludf.DUMMYFUNCTION("""COMPUTED_VALUE"""),"--")</f>
        <v>--</v>
      </c>
      <c r="T625" s="251" t="str">
        <f>IFERROR(__xludf.DUMMYFUNCTION("""COMPUTED_VALUE"""),"--")</f>
        <v>--</v>
      </c>
      <c r="U625" s="251" t="str">
        <f>IFERROR(__xludf.DUMMYFUNCTION("""COMPUTED_VALUE"""),"--")</f>
        <v>--</v>
      </c>
      <c r="V625" s="251" t="str">
        <f>IFERROR(__xludf.DUMMYFUNCTION("""COMPUTED_VALUE"""),"Pack Mon")</f>
        <v>Pack Mon</v>
      </c>
      <c r="W625" s="251" t="str">
        <f>IFERROR(__xludf.DUMMYFUNCTION("""COMPUTED_VALUE"""),"Tracker")</f>
        <v>Tracker</v>
      </c>
      <c r="X625" s="251" t="str">
        <f>IFERROR(__xludf.DUMMYFUNCTION("""COMPUTED_VALUE"""),"--")</f>
        <v>--</v>
      </c>
      <c r="Y625" s="251" t="str">
        <f>IFERROR(__xludf.DUMMYFUNCTION("""COMPUTED_VALUE"""),"--")</f>
        <v>--</v>
      </c>
      <c r="Z625" s="251" t="str">
        <f>IFERROR(__xludf.DUMMYFUNCTION("""COMPUTED_VALUE"""),"--")</f>
        <v>--</v>
      </c>
      <c r="AA625" s="251" t="str">
        <f>IFERROR(__xludf.DUMMYFUNCTION("""COMPUTED_VALUE"""),"--")</f>
        <v>--</v>
      </c>
      <c r="AB625" s="251" t="str">
        <f>IFERROR(__xludf.DUMMYFUNCTION("""COMPUTED_VALUE"""),"--")</f>
        <v>--</v>
      </c>
      <c r="AC625" s="251" t="str">
        <f>IFERROR(__xludf.DUMMYFUNCTION("""COMPUTED_VALUE"""),"--")</f>
        <v>--</v>
      </c>
      <c r="AD625" s="251">
        <f>IFERROR(__xludf.DUMMYFUNCTION("""COMPUTED_VALUE"""),2.0)</f>
        <v>2</v>
      </c>
      <c r="AE625" s="251" t="str">
        <f>IFERROR(__xludf.DUMMYFUNCTION("""COMPUTED_VALUE"""),"Omnivore")</f>
        <v>Omnivore</v>
      </c>
    </row>
    <row r="626">
      <c r="A626" s="251" t="str">
        <f>IFERROR(__xludf.DUMMYFUNCTION("""COMPUTED_VALUE"""),"Boltund")</f>
        <v>Boltund</v>
      </c>
      <c r="B626" s="251" t="str">
        <f>IFERROR(__xludf.DUMMYFUNCTION("""COMPUTED_VALUE"""),"Electric")</f>
        <v>Electric</v>
      </c>
      <c r="C626" s="251" t="str">
        <f>IFERROR(__xludf.DUMMYFUNCTION("""COMPUTED_VALUE"""),"None")</f>
        <v>None</v>
      </c>
      <c r="D626" s="251">
        <f>IFERROR(__xludf.DUMMYFUNCTION("""COMPUTED_VALUE"""),9.0)</f>
        <v>9</v>
      </c>
      <c r="E626" s="251">
        <f>IFERROR(__xludf.DUMMYFUNCTION("""COMPUTED_VALUE"""),10.0)</f>
        <v>10</v>
      </c>
      <c r="F626" s="251">
        <f>IFERROR(__xludf.DUMMYFUNCTION("""COMPUTED_VALUE"""),6.0)</f>
        <v>6</v>
      </c>
      <c r="G626" s="251">
        <f>IFERROR(__xludf.DUMMYFUNCTION("""COMPUTED_VALUE"""),8.0)</f>
        <v>8</v>
      </c>
      <c r="H626" s="251">
        <f>IFERROR(__xludf.DUMMYFUNCTION("""COMPUTED_VALUE"""),6.0)</f>
        <v>6</v>
      </c>
      <c r="I626" s="251">
        <f>IFERROR(__xludf.DUMMYFUNCTION("""COMPUTED_VALUE"""),12.0)</f>
        <v>12</v>
      </c>
      <c r="J626" s="251">
        <f>IFERROR(__xludf.DUMMYFUNCTION("""COMPUTED_VALUE"""),5.0)</f>
        <v>5</v>
      </c>
      <c r="K626" s="251" t="str">
        <f>IFERROR(__xludf.DUMMYFUNCTION("""COMPUTED_VALUE"""),"Medium")</f>
        <v>Medium</v>
      </c>
      <c r="L626" s="251">
        <f>IFERROR(__xludf.DUMMYFUNCTION("""COMPUTED_VALUE"""),3.0)</f>
        <v>3</v>
      </c>
      <c r="M626" s="251" t="str">
        <f>IFERROR(__xludf.DUMMYFUNCTION("""COMPUTED_VALUE"""),"Grasslands, Urban")</f>
        <v>Grasslands, Urban</v>
      </c>
      <c r="N626" s="251" t="str">
        <f>IFERROR(__xludf.DUMMYFUNCTION("""COMPUTED_VALUE"""),"Quick")</f>
        <v>Quick</v>
      </c>
      <c r="O626" s="251" t="str">
        <f>IFERROR(__xludf.DUMMYFUNCTION("""COMPUTED_VALUE"""),"--")</f>
        <v>--</v>
      </c>
      <c r="P626" s="251" t="str">
        <f>IFERROR(__xludf.DUMMYFUNCTION("""COMPUTED_VALUE"""),"--")</f>
        <v>--</v>
      </c>
      <c r="Q626" s="251" t="str">
        <f>IFERROR(__xludf.DUMMYFUNCTION("""COMPUTED_VALUE"""),"--")</f>
        <v>--</v>
      </c>
      <c r="R626" s="251" t="str">
        <f>IFERROR(__xludf.DUMMYFUNCTION("""COMPUTED_VALUE"""),"--")</f>
        <v>--</v>
      </c>
      <c r="S626" s="251" t="str">
        <f>IFERROR(__xludf.DUMMYFUNCTION("""COMPUTED_VALUE"""),"--")</f>
        <v>--</v>
      </c>
      <c r="T626" s="251" t="str">
        <f>IFERROR(__xludf.DUMMYFUNCTION("""COMPUTED_VALUE"""),"--")</f>
        <v>--</v>
      </c>
      <c r="U626" s="251" t="str">
        <f>IFERROR(__xludf.DUMMYFUNCTION("""COMPUTED_VALUE"""),"--")</f>
        <v>--</v>
      </c>
      <c r="V626" s="251" t="str">
        <f>IFERROR(__xludf.DUMMYFUNCTION("""COMPUTED_VALUE"""),"Pack Mon")</f>
        <v>Pack Mon</v>
      </c>
      <c r="W626" s="251" t="str">
        <f>IFERROR(__xludf.DUMMYFUNCTION("""COMPUTED_VALUE"""),"Tracker")</f>
        <v>Tracker</v>
      </c>
      <c r="X626" s="251" t="str">
        <f>IFERROR(__xludf.DUMMYFUNCTION("""COMPUTED_VALUE"""),"--")</f>
        <v>--</v>
      </c>
      <c r="Y626" s="251" t="str">
        <f>IFERROR(__xludf.DUMMYFUNCTION("""COMPUTED_VALUE"""),"--")</f>
        <v>--</v>
      </c>
      <c r="Z626" s="251" t="str">
        <f>IFERROR(__xludf.DUMMYFUNCTION("""COMPUTED_VALUE"""),"--")</f>
        <v>--</v>
      </c>
      <c r="AA626" s="251" t="str">
        <f>IFERROR(__xludf.DUMMYFUNCTION("""COMPUTED_VALUE"""),"--")</f>
        <v>--</v>
      </c>
      <c r="AB626" s="251" t="str">
        <f>IFERROR(__xludf.DUMMYFUNCTION("""COMPUTED_VALUE"""),"--")</f>
        <v>--</v>
      </c>
      <c r="AC626" s="251" t="str">
        <f>IFERROR(__xludf.DUMMYFUNCTION("""COMPUTED_VALUE"""),"--")</f>
        <v>--</v>
      </c>
      <c r="AD626" s="251">
        <f>IFERROR(__xludf.DUMMYFUNCTION("""COMPUTED_VALUE"""),3.0)</f>
        <v>3</v>
      </c>
      <c r="AE626" s="251" t="str">
        <f>IFERROR(__xludf.DUMMYFUNCTION("""COMPUTED_VALUE"""),"Omnivore")</f>
        <v>Omnivore</v>
      </c>
    </row>
    <row r="627">
      <c r="A627" s="251" t="str">
        <f>IFERROR(__xludf.DUMMYFUNCTION("""COMPUTED_VALUE"""),"Toxel")</f>
        <v>Toxel</v>
      </c>
      <c r="B627" s="251" t="str">
        <f>IFERROR(__xludf.DUMMYFUNCTION("""COMPUTED_VALUE"""),"Electric")</f>
        <v>Electric</v>
      </c>
      <c r="C627" s="251" t="str">
        <f>IFERROR(__xludf.DUMMYFUNCTION("""COMPUTED_VALUE"""),"Poison")</f>
        <v>Poison</v>
      </c>
      <c r="D627" s="251">
        <f>IFERROR(__xludf.DUMMYFUNCTION("""COMPUTED_VALUE"""),6.0)</f>
        <v>6</v>
      </c>
      <c r="E627" s="251">
        <f>IFERROR(__xludf.DUMMYFUNCTION("""COMPUTED_VALUE"""),5.0)</f>
        <v>5</v>
      </c>
      <c r="F627" s="251">
        <f>IFERROR(__xludf.DUMMYFUNCTION("""COMPUTED_VALUE"""),5.0)</f>
        <v>5</v>
      </c>
      <c r="G627" s="251">
        <f>IFERROR(__xludf.DUMMYFUNCTION("""COMPUTED_VALUE"""),5.0)</f>
        <v>5</v>
      </c>
      <c r="H627" s="251">
        <f>IFERROR(__xludf.DUMMYFUNCTION("""COMPUTED_VALUE"""),5.0)</f>
        <v>5</v>
      </c>
      <c r="I627" s="251">
        <f>IFERROR(__xludf.DUMMYFUNCTION("""COMPUTED_VALUE"""),4.0)</f>
        <v>4</v>
      </c>
      <c r="J627" s="251">
        <f>IFERROR(__xludf.DUMMYFUNCTION("""COMPUTED_VALUE"""),2.0)</f>
        <v>2</v>
      </c>
      <c r="K627" s="251" t="str">
        <f>IFERROR(__xludf.DUMMYFUNCTION("""COMPUTED_VALUE"""),"Small")</f>
        <v>Small</v>
      </c>
      <c r="L627" s="251">
        <f>IFERROR(__xludf.DUMMYFUNCTION("""COMPUTED_VALUE"""),2.0)</f>
        <v>2</v>
      </c>
      <c r="M627" s="251" t="str">
        <f>IFERROR(__xludf.DUMMYFUNCTION("""COMPUTED_VALUE"""),"Urban, Wetlands")</f>
        <v>Urban, Wetlands</v>
      </c>
      <c r="N627" s="251" t="str">
        <f>IFERROR(__xludf.DUMMYFUNCTION("""COMPUTED_VALUE"""),"Slow")</f>
        <v>Slow</v>
      </c>
      <c r="O627" s="251" t="str">
        <f>IFERROR(__xludf.DUMMYFUNCTION("""COMPUTED_VALUE"""),"--")</f>
        <v>--</v>
      </c>
      <c r="P627" s="251" t="str">
        <f>IFERROR(__xludf.DUMMYFUNCTION("""COMPUTED_VALUE"""),"--")</f>
        <v>--</v>
      </c>
      <c r="Q627" s="251" t="str">
        <f>IFERROR(__xludf.DUMMYFUNCTION("""COMPUTED_VALUE"""),"--")</f>
        <v>--</v>
      </c>
      <c r="R627" s="251" t="str">
        <f>IFERROR(__xludf.DUMMYFUNCTION("""COMPUTED_VALUE"""),"Underdog")</f>
        <v>Underdog</v>
      </c>
      <c r="S627" s="251" t="str">
        <f>IFERROR(__xludf.DUMMYFUNCTION("""COMPUTED_VALUE"""),"--")</f>
        <v>--</v>
      </c>
      <c r="T627" s="251" t="str">
        <f>IFERROR(__xludf.DUMMYFUNCTION("""COMPUTED_VALUE"""),"--")</f>
        <v>--</v>
      </c>
      <c r="U627" s="251" t="str">
        <f>IFERROR(__xludf.DUMMYFUNCTION("""COMPUTED_VALUE"""),"--")</f>
        <v>--</v>
      </c>
      <c r="V627" s="251" t="str">
        <f>IFERROR(__xludf.DUMMYFUNCTION("""COMPUTED_VALUE"""),"Glow")</f>
        <v>Glow</v>
      </c>
      <c r="W627" s="251" t="str">
        <f>IFERROR(__xludf.DUMMYFUNCTION("""COMPUTED_VALUE"""),"--")</f>
        <v>--</v>
      </c>
      <c r="X627" s="251" t="str">
        <f>IFERROR(__xludf.DUMMYFUNCTION("""COMPUTED_VALUE"""),"--")</f>
        <v>--</v>
      </c>
      <c r="Y627" s="251" t="str">
        <f>IFERROR(__xludf.DUMMYFUNCTION("""COMPUTED_VALUE"""),"--")</f>
        <v>--</v>
      </c>
      <c r="Z627" s="251" t="str">
        <f>IFERROR(__xludf.DUMMYFUNCTION("""COMPUTED_VALUE"""),"--")</f>
        <v>--</v>
      </c>
      <c r="AA627" s="251" t="str">
        <f>IFERROR(__xludf.DUMMYFUNCTION("""COMPUTED_VALUE"""),"--")</f>
        <v>--</v>
      </c>
      <c r="AB627" s="251" t="str">
        <f>IFERROR(__xludf.DUMMYFUNCTION("""COMPUTED_VALUE"""),"--")</f>
        <v>--</v>
      </c>
      <c r="AC627" s="251" t="str">
        <f>IFERROR(__xludf.DUMMYFUNCTION("""COMPUTED_VALUE"""),"--")</f>
        <v>--</v>
      </c>
      <c r="AD627" s="251">
        <f>IFERROR(__xludf.DUMMYFUNCTION("""COMPUTED_VALUE"""),2.0)</f>
        <v>2</v>
      </c>
      <c r="AE627" s="251" t="str">
        <f>IFERROR(__xludf.DUMMYFUNCTION("""COMPUTED_VALUE"""),"Omnivore")</f>
        <v>Omnivore</v>
      </c>
    </row>
    <row r="628">
      <c r="A628" s="251" t="str">
        <f>IFERROR(__xludf.DUMMYFUNCTION("""COMPUTED_VALUE"""),"Toxtricity")</f>
        <v>Toxtricity</v>
      </c>
      <c r="B628" s="251" t="str">
        <f>IFERROR(__xludf.DUMMYFUNCTION("""COMPUTED_VALUE"""),"Electric")</f>
        <v>Electric</v>
      </c>
      <c r="C628" s="251" t="str">
        <f>IFERROR(__xludf.DUMMYFUNCTION("""COMPUTED_VALUE"""),"Poison")</f>
        <v>Poison</v>
      </c>
      <c r="D628" s="251">
        <f>IFERROR(__xludf.DUMMYFUNCTION("""COMPUTED_VALUE"""),8.0)</f>
        <v>8</v>
      </c>
      <c r="E628" s="251">
        <f>IFERROR(__xludf.DUMMYFUNCTION("""COMPUTED_VALUE"""),10.0)</f>
        <v>10</v>
      </c>
      <c r="F628" s="251">
        <f>IFERROR(__xludf.DUMMYFUNCTION("""COMPUTED_VALUE"""),7.0)</f>
        <v>7</v>
      </c>
      <c r="G628" s="251">
        <f>IFERROR(__xludf.DUMMYFUNCTION("""COMPUTED_VALUE"""),11.0)</f>
        <v>11</v>
      </c>
      <c r="H628" s="251">
        <f>IFERROR(__xludf.DUMMYFUNCTION("""COMPUTED_VALUE"""),7.0)</f>
        <v>7</v>
      </c>
      <c r="I628" s="251">
        <f>IFERROR(__xludf.DUMMYFUNCTION("""COMPUTED_VALUE"""),8.0)</f>
        <v>8</v>
      </c>
      <c r="J628" s="251">
        <f>IFERROR(__xludf.DUMMYFUNCTION("""COMPUTED_VALUE"""),4.0)</f>
        <v>4</v>
      </c>
      <c r="K628" s="251" t="str">
        <f>IFERROR(__xludf.DUMMYFUNCTION("""COMPUTED_VALUE"""),"Medium")</f>
        <v>Medium</v>
      </c>
      <c r="L628" s="251">
        <f>IFERROR(__xludf.DUMMYFUNCTION("""COMPUTED_VALUE"""),3.0)</f>
        <v>3</v>
      </c>
      <c r="M628" s="251" t="str">
        <f>IFERROR(__xludf.DUMMYFUNCTION("""COMPUTED_VALUE"""),"Urban, Wetlands")</f>
        <v>Urban, Wetlands</v>
      </c>
      <c r="N628" s="251" t="str">
        <f>IFERROR(__xludf.DUMMYFUNCTION("""COMPUTED_VALUE"""),"--")</f>
        <v>--</v>
      </c>
      <c r="O628" s="251" t="str">
        <f>IFERROR(__xludf.DUMMYFUNCTION("""COMPUTED_VALUE"""),"--")</f>
        <v>--</v>
      </c>
      <c r="P628" s="251" t="str">
        <f>IFERROR(__xludf.DUMMYFUNCTION("""COMPUTED_VALUE"""),"--")</f>
        <v>--</v>
      </c>
      <c r="Q628" s="251" t="str">
        <f>IFERROR(__xludf.DUMMYFUNCTION("""COMPUTED_VALUE"""),"--")</f>
        <v>--</v>
      </c>
      <c r="R628" s="251" t="str">
        <f>IFERROR(__xludf.DUMMYFUNCTION("""COMPUTED_VALUE"""),"--")</f>
        <v>--</v>
      </c>
      <c r="S628" s="251" t="str">
        <f>IFERROR(__xludf.DUMMYFUNCTION("""COMPUTED_VALUE"""),"--")</f>
        <v>--</v>
      </c>
      <c r="T628" s="251" t="str">
        <f>IFERROR(__xludf.DUMMYFUNCTION("""COMPUTED_VALUE"""),"--")</f>
        <v>--</v>
      </c>
      <c r="U628" s="251" t="str">
        <f>IFERROR(__xludf.DUMMYFUNCTION("""COMPUTED_VALUE"""),"--")</f>
        <v>--</v>
      </c>
      <c r="V628" s="251" t="str">
        <f>IFERROR(__xludf.DUMMYFUNCTION("""COMPUTED_VALUE"""),"Glow")</f>
        <v>Glow</v>
      </c>
      <c r="W628" s="251" t="str">
        <f>IFERROR(__xludf.DUMMYFUNCTION("""COMPUTED_VALUE"""),"--")</f>
        <v>--</v>
      </c>
      <c r="X628" s="251" t="str">
        <f>IFERROR(__xludf.DUMMYFUNCTION("""COMPUTED_VALUE"""),"--")</f>
        <v>--</v>
      </c>
      <c r="Y628" s="251" t="str">
        <f>IFERROR(__xludf.DUMMYFUNCTION("""COMPUTED_VALUE"""),"--")</f>
        <v>--</v>
      </c>
      <c r="Z628" s="251" t="str">
        <f>IFERROR(__xludf.DUMMYFUNCTION("""COMPUTED_VALUE"""),"--")</f>
        <v>--</v>
      </c>
      <c r="AA628" s="251" t="str">
        <f>IFERROR(__xludf.DUMMYFUNCTION("""COMPUTED_VALUE"""),"--")</f>
        <v>--</v>
      </c>
      <c r="AB628" s="251" t="str">
        <f>IFERROR(__xludf.DUMMYFUNCTION("""COMPUTED_VALUE"""),"--")</f>
        <v>--</v>
      </c>
      <c r="AC628" s="251" t="str">
        <f>IFERROR(__xludf.DUMMYFUNCTION("""COMPUTED_VALUE"""),"--")</f>
        <v>--</v>
      </c>
      <c r="AD628" s="251">
        <f>IFERROR(__xludf.DUMMYFUNCTION("""COMPUTED_VALUE"""),3.0)</f>
        <v>3</v>
      </c>
      <c r="AE628" s="251" t="str">
        <f>IFERROR(__xludf.DUMMYFUNCTION("""COMPUTED_VALUE"""),"Omnivore")</f>
        <v>Omnivore</v>
      </c>
    </row>
    <row r="629">
      <c r="A629" s="251" t="str">
        <f>IFERROR(__xludf.DUMMYFUNCTION("""COMPUTED_VALUE"""),"Tadbulb")</f>
        <v>Tadbulb</v>
      </c>
      <c r="B629" s="251" t="str">
        <f>IFERROR(__xludf.DUMMYFUNCTION("""COMPUTED_VALUE"""),"Electric")</f>
        <v>Electric</v>
      </c>
      <c r="C629" s="251" t="str">
        <f>IFERROR(__xludf.DUMMYFUNCTION("""COMPUTED_VALUE"""),"None")</f>
        <v>None</v>
      </c>
      <c r="D629" s="251">
        <f>IFERROR(__xludf.DUMMYFUNCTION("""COMPUTED_VALUE"""),6.0)</f>
        <v>6</v>
      </c>
      <c r="E629" s="251">
        <f>IFERROR(__xludf.DUMMYFUNCTION("""COMPUTED_VALUE"""),3.0)</f>
        <v>3</v>
      </c>
      <c r="F629" s="251">
        <f>IFERROR(__xludf.DUMMYFUNCTION("""COMPUTED_VALUE"""),4.0)</f>
        <v>4</v>
      </c>
      <c r="G629" s="251">
        <f>IFERROR(__xludf.DUMMYFUNCTION("""COMPUTED_VALUE"""),7.0)</f>
        <v>7</v>
      </c>
      <c r="H629" s="251">
        <f>IFERROR(__xludf.DUMMYFUNCTION("""COMPUTED_VALUE"""),4.0)</f>
        <v>4</v>
      </c>
      <c r="I629" s="251">
        <f>IFERROR(__xludf.DUMMYFUNCTION("""COMPUTED_VALUE"""),6.0)</f>
        <v>6</v>
      </c>
      <c r="J629" s="251">
        <f>IFERROR(__xludf.DUMMYFUNCTION("""COMPUTED_VALUE"""),1.0)</f>
        <v>1</v>
      </c>
      <c r="K629" s="251" t="str">
        <f>IFERROR(__xludf.DUMMYFUNCTION("""COMPUTED_VALUE"""),"Small")</f>
        <v>Small</v>
      </c>
      <c r="L629" s="251">
        <f>IFERROR(__xludf.DUMMYFUNCTION("""COMPUTED_VALUE"""),1.0)</f>
        <v>1</v>
      </c>
      <c r="M629" s="251" t="str">
        <f>IFERROR(__xludf.DUMMYFUNCTION("""COMPUTED_VALUE"""),"Wetlands")</f>
        <v>Wetlands</v>
      </c>
      <c r="N629" s="251" t="str">
        <f>IFERROR(__xludf.DUMMYFUNCTION("""COMPUTED_VALUE"""),"Flier")</f>
        <v>Flier</v>
      </c>
      <c r="O629" s="251" t="str">
        <f>IFERROR(__xludf.DUMMYFUNCTION("""COMPUTED_VALUE"""),"Swimmer")</f>
        <v>Swimmer</v>
      </c>
      <c r="P629" s="251" t="str">
        <f>IFERROR(__xludf.DUMMYFUNCTION("""COMPUTED_VALUE"""),"--")</f>
        <v>--</v>
      </c>
      <c r="Q629" s="251" t="str">
        <f>IFERROR(__xludf.DUMMYFUNCTION("""COMPUTED_VALUE"""),"--")</f>
        <v>--</v>
      </c>
      <c r="R629" s="251" t="str">
        <f>IFERROR(__xludf.DUMMYFUNCTION("""COMPUTED_VALUE"""),"Underdog")</f>
        <v>Underdog</v>
      </c>
      <c r="S629" s="251" t="str">
        <f>IFERROR(__xludf.DUMMYFUNCTION("""COMPUTED_VALUE"""),"--")</f>
        <v>--</v>
      </c>
      <c r="T629" s="251" t="str">
        <f>IFERROR(__xludf.DUMMYFUNCTION("""COMPUTED_VALUE"""),"--")</f>
        <v>--</v>
      </c>
      <c r="U629" s="251" t="str">
        <f>IFERROR(__xludf.DUMMYFUNCTION("""COMPUTED_VALUE"""),"--")</f>
        <v>--</v>
      </c>
      <c r="V629" s="251" t="str">
        <f>IFERROR(__xludf.DUMMYFUNCTION("""COMPUTED_VALUE"""),"Gilled")</f>
        <v>Gilled</v>
      </c>
      <c r="W629" s="251" t="str">
        <f>IFERROR(__xludf.DUMMYFUNCTION("""COMPUTED_VALUE"""),"Glow")</f>
        <v>Glow</v>
      </c>
      <c r="X629" s="251" t="str">
        <f>IFERROR(__xludf.DUMMYFUNCTION("""COMPUTED_VALUE"""),"--")</f>
        <v>--</v>
      </c>
      <c r="Y629" s="251" t="str">
        <f>IFERROR(__xludf.DUMMYFUNCTION("""COMPUTED_VALUE"""),"--")</f>
        <v>--</v>
      </c>
      <c r="Z629" s="251" t="str">
        <f>IFERROR(__xludf.DUMMYFUNCTION("""COMPUTED_VALUE"""),"--")</f>
        <v>--</v>
      </c>
      <c r="AA629" s="251" t="str">
        <f>IFERROR(__xludf.DUMMYFUNCTION("""COMPUTED_VALUE"""),"--")</f>
        <v>--</v>
      </c>
      <c r="AB629" s="251" t="str">
        <f>IFERROR(__xludf.DUMMYFUNCTION("""COMPUTED_VALUE"""),"--")</f>
        <v>--</v>
      </c>
      <c r="AC629" s="251" t="str">
        <f>IFERROR(__xludf.DUMMYFUNCTION("""COMPUTED_VALUE"""),"--")</f>
        <v>--</v>
      </c>
      <c r="AD629" s="251">
        <f>IFERROR(__xludf.DUMMYFUNCTION("""COMPUTED_VALUE"""),2.0)</f>
        <v>2</v>
      </c>
      <c r="AE629" s="251" t="str">
        <f>IFERROR(__xludf.DUMMYFUNCTION("""COMPUTED_VALUE"""),"Omnivore")</f>
        <v>Omnivore</v>
      </c>
    </row>
    <row r="630">
      <c r="A630" s="251" t="str">
        <f>IFERROR(__xludf.DUMMYFUNCTION("""COMPUTED_VALUE"""),"Bellibolt")</f>
        <v>Bellibolt</v>
      </c>
      <c r="B630" s="251" t="str">
        <f>IFERROR(__xludf.DUMMYFUNCTION("""COMPUTED_VALUE"""),"Electric")</f>
        <v>Electric</v>
      </c>
      <c r="C630" s="251" t="str">
        <f>IFERROR(__xludf.DUMMYFUNCTION("""COMPUTED_VALUE"""),"None")</f>
        <v>None</v>
      </c>
      <c r="D630" s="251">
        <f>IFERROR(__xludf.DUMMYFUNCTION("""COMPUTED_VALUE"""),12.0)</f>
        <v>12</v>
      </c>
      <c r="E630" s="251">
        <f>IFERROR(__xludf.DUMMYFUNCTION("""COMPUTED_VALUE"""),6.0)</f>
        <v>6</v>
      </c>
      <c r="F630" s="251">
        <f>IFERROR(__xludf.DUMMYFUNCTION("""COMPUTED_VALUE"""),9.0)</f>
        <v>9</v>
      </c>
      <c r="G630" s="251">
        <f>IFERROR(__xludf.DUMMYFUNCTION("""COMPUTED_VALUE"""),10.0)</f>
        <v>10</v>
      </c>
      <c r="H630" s="251">
        <f>IFERROR(__xludf.DUMMYFUNCTION("""COMPUTED_VALUE"""),9.0)</f>
        <v>9</v>
      </c>
      <c r="I630" s="251">
        <f>IFERROR(__xludf.DUMMYFUNCTION("""COMPUTED_VALUE"""),5.0)</f>
        <v>5</v>
      </c>
      <c r="J630" s="251">
        <f>IFERROR(__xludf.DUMMYFUNCTION("""COMPUTED_VALUE"""),4.0)</f>
        <v>4</v>
      </c>
      <c r="K630" s="251" t="str">
        <f>IFERROR(__xludf.DUMMYFUNCTION("""COMPUTED_VALUE"""),"Medium")</f>
        <v>Medium</v>
      </c>
      <c r="L630" s="251">
        <f>IFERROR(__xludf.DUMMYFUNCTION("""COMPUTED_VALUE"""),5.0)</f>
        <v>5</v>
      </c>
      <c r="M630" s="251" t="str">
        <f>IFERROR(__xludf.DUMMYFUNCTION("""COMPUTED_VALUE"""),"Wetlands")</f>
        <v>Wetlands</v>
      </c>
      <c r="N630" s="251" t="str">
        <f>IFERROR(__xludf.DUMMYFUNCTION("""COMPUTED_VALUE"""),"Swimmer")</f>
        <v>Swimmer</v>
      </c>
      <c r="O630" s="251" t="str">
        <f>IFERROR(__xludf.DUMMYFUNCTION("""COMPUTED_VALUE"""),"--")</f>
        <v>--</v>
      </c>
      <c r="P630" s="251" t="str">
        <f>IFERROR(__xludf.DUMMYFUNCTION("""COMPUTED_VALUE"""),"--")</f>
        <v>--</v>
      </c>
      <c r="Q630" s="251" t="str">
        <f>IFERROR(__xludf.DUMMYFUNCTION("""COMPUTED_VALUE"""),"--")</f>
        <v>--</v>
      </c>
      <c r="R630" s="251" t="str">
        <f>IFERROR(__xludf.DUMMYFUNCTION("""COMPUTED_VALUE"""),"--")</f>
        <v>--</v>
      </c>
      <c r="S630" s="251" t="str">
        <f>IFERROR(__xludf.DUMMYFUNCTION("""COMPUTED_VALUE"""),"--")</f>
        <v>--</v>
      </c>
      <c r="T630" s="251" t="str">
        <f>IFERROR(__xludf.DUMMYFUNCTION("""COMPUTED_VALUE"""),"--")</f>
        <v>--</v>
      </c>
      <c r="U630" s="251" t="str">
        <f>IFERROR(__xludf.DUMMYFUNCTION("""COMPUTED_VALUE"""),"--")</f>
        <v>--</v>
      </c>
      <c r="V630" s="251" t="str">
        <f>IFERROR(__xludf.DUMMYFUNCTION("""COMPUTED_VALUE"""),"Glow")</f>
        <v>Glow</v>
      </c>
      <c r="W630" s="251" t="str">
        <f>IFERROR(__xludf.DUMMYFUNCTION("""COMPUTED_VALUE"""),"--")</f>
        <v>--</v>
      </c>
      <c r="X630" s="251" t="str">
        <f>IFERROR(__xludf.DUMMYFUNCTION("""COMPUTED_VALUE"""),"--")</f>
        <v>--</v>
      </c>
      <c r="Y630" s="251" t="str">
        <f>IFERROR(__xludf.DUMMYFUNCTION("""COMPUTED_VALUE"""),"--")</f>
        <v>--</v>
      </c>
      <c r="Z630" s="251" t="str">
        <f>IFERROR(__xludf.DUMMYFUNCTION("""COMPUTED_VALUE"""),"--")</f>
        <v>--</v>
      </c>
      <c r="AA630" s="251" t="str">
        <f>IFERROR(__xludf.DUMMYFUNCTION("""COMPUTED_VALUE"""),"--")</f>
        <v>--</v>
      </c>
      <c r="AB630" s="251" t="str">
        <f>IFERROR(__xludf.DUMMYFUNCTION("""COMPUTED_VALUE"""),"--")</f>
        <v>--</v>
      </c>
      <c r="AC630" s="251" t="str">
        <f>IFERROR(__xludf.DUMMYFUNCTION("""COMPUTED_VALUE"""),"--")</f>
        <v>--</v>
      </c>
      <c r="AD630" s="251">
        <f>IFERROR(__xludf.DUMMYFUNCTION("""COMPUTED_VALUE"""),3.0)</f>
        <v>3</v>
      </c>
      <c r="AE630" s="251" t="str">
        <f>IFERROR(__xludf.DUMMYFUNCTION("""COMPUTED_VALUE"""),"Omnivore")</f>
        <v>Omnivore</v>
      </c>
    </row>
    <row r="631">
      <c r="A631" s="251" t="str">
        <f>IFERROR(__xludf.DUMMYFUNCTION("""COMPUTED_VALUE"""),"Snubbull")</f>
        <v>Snubbull</v>
      </c>
      <c r="B631" s="251" t="str">
        <f>IFERROR(__xludf.DUMMYFUNCTION("""COMPUTED_VALUE"""),"Fairy")</f>
        <v>Fairy</v>
      </c>
      <c r="C631" s="251" t="str">
        <f>IFERROR(__xludf.DUMMYFUNCTION("""COMPUTED_VALUE"""),"None")</f>
        <v>None</v>
      </c>
      <c r="D631" s="251">
        <f>IFERROR(__xludf.DUMMYFUNCTION("""COMPUTED_VALUE"""),6.0)</f>
        <v>6</v>
      </c>
      <c r="E631" s="251">
        <f>IFERROR(__xludf.DUMMYFUNCTION("""COMPUTED_VALUE"""),8.0)</f>
        <v>8</v>
      </c>
      <c r="F631" s="251">
        <f>IFERROR(__xludf.DUMMYFUNCTION("""COMPUTED_VALUE"""),5.0)</f>
        <v>5</v>
      </c>
      <c r="G631" s="251">
        <f>IFERROR(__xludf.DUMMYFUNCTION("""COMPUTED_VALUE"""),4.0)</f>
        <v>4</v>
      </c>
      <c r="H631" s="251">
        <f>IFERROR(__xludf.DUMMYFUNCTION("""COMPUTED_VALUE"""),4.0)</f>
        <v>4</v>
      </c>
      <c r="I631" s="251">
        <f>IFERROR(__xludf.DUMMYFUNCTION("""COMPUTED_VALUE"""),3.0)</f>
        <v>3</v>
      </c>
      <c r="J631" s="251">
        <f>IFERROR(__xludf.DUMMYFUNCTION("""COMPUTED_VALUE"""),1.0)</f>
        <v>1</v>
      </c>
      <c r="K631" s="251" t="str">
        <f>IFERROR(__xludf.DUMMYFUNCTION("""COMPUTED_VALUE"""),"Small")</f>
        <v>Small</v>
      </c>
      <c r="L631" s="251">
        <f>IFERROR(__xludf.DUMMYFUNCTION("""COMPUTED_VALUE"""),1.0)</f>
        <v>1</v>
      </c>
      <c r="M631" s="251" t="str">
        <f>IFERROR(__xludf.DUMMYFUNCTION("""COMPUTED_VALUE"""),"Grasslands, Urban")</f>
        <v>Grasslands, Urban</v>
      </c>
      <c r="N631" s="251" t="str">
        <f>IFERROR(__xludf.DUMMYFUNCTION("""COMPUTED_VALUE"""),"--")</f>
        <v>--</v>
      </c>
      <c r="O631" s="251" t="str">
        <f>IFERROR(__xludf.DUMMYFUNCTION("""COMPUTED_VALUE"""),"--")</f>
        <v>--</v>
      </c>
      <c r="P631" s="251" t="str">
        <f>IFERROR(__xludf.DUMMYFUNCTION("""COMPUTED_VALUE"""),"--")</f>
        <v>--</v>
      </c>
      <c r="Q631" s="251" t="str">
        <f>IFERROR(__xludf.DUMMYFUNCTION("""COMPUTED_VALUE"""),"--")</f>
        <v>--</v>
      </c>
      <c r="R631" s="251" t="str">
        <f>IFERROR(__xludf.DUMMYFUNCTION("""COMPUTED_VALUE"""),"Underdog")</f>
        <v>Underdog</v>
      </c>
      <c r="S631" s="251" t="str">
        <f>IFERROR(__xludf.DUMMYFUNCTION("""COMPUTED_VALUE"""),"--")</f>
        <v>--</v>
      </c>
      <c r="T631" s="251" t="str">
        <f>IFERROR(__xludf.DUMMYFUNCTION("""COMPUTED_VALUE"""),"--")</f>
        <v>--</v>
      </c>
      <c r="U631" s="251" t="str">
        <f>IFERROR(__xludf.DUMMYFUNCTION("""COMPUTED_VALUE"""),"--")</f>
        <v>--</v>
      </c>
      <c r="V631" s="251" t="str">
        <f>IFERROR(__xludf.DUMMYFUNCTION("""COMPUTED_VALUE"""),"Tracker")</f>
        <v>Tracker</v>
      </c>
      <c r="W631" s="251" t="str">
        <f>IFERROR(__xludf.DUMMYFUNCTION("""COMPUTED_VALUE"""),"--")</f>
        <v>--</v>
      </c>
      <c r="X631" s="251" t="str">
        <f>IFERROR(__xludf.DUMMYFUNCTION("""COMPUTED_VALUE"""),"--")</f>
        <v>--</v>
      </c>
      <c r="Y631" s="251" t="str">
        <f>IFERROR(__xludf.DUMMYFUNCTION("""COMPUTED_VALUE"""),"--")</f>
        <v>--</v>
      </c>
      <c r="Z631" s="251" t="str">
        <f>IFERROR(__xludf.DUMMYFUNCTION("""COMPUTED_VALUE"""),"--")</f>
        <v>--</v>
      </c>
      <c r="AA631" s="251" t="str">
        <f>IFERROR(__xludf.DUMMYFUNCTION("""COMPUTED_VALUE"""),"--")</f>
        <v>--</v>
      </c>
      <c r="AB631" s="251" t="str">
        <f>IFERROR(__xludf.DUMMYFUNCTION("""COMPUTED_VALUE"""),"--")</f>
        <v>--</v>
      </c>
      <c r="AC631" s="251" t="str">
        <f>IFERROR(__xludf.DUMMYFUNCTION("""COMPUTED_VALUE"""),"--")</f>
        <v>--</v>
      </c>
      <c r="AD631" s="251">
        <f>IFERROR(__xludf.DUMMYFUNCTION("""COMPUTED_VALUE"""),2.0)</f>
        <v>2</v>
      </c>
      <c r="AE631" s="251" t="str">
        <f>IFERROR(__xludf.DUMMYFUNCTION("""COMPUTED_VALUE"""),"Carnivore")</f>
        <v>Carnivore</v>
      </c>
    </row>
    <row r="632">
      <c r="A632" s="251" t="str">
        <f>IFERROR(__xludf.DUMMYFUNCTION("""COMPUTED_VALUE"""),"Granbull")</f>
        <v>Granbull</v>
      </c>
      <c r="B632" s="251" t="str">
        <f>IFERROR(__xludf.DUMMYFUNCTION("""COMPUTED_VALUE"""),"Fairy")</f>
        <v>Fairy</v>
      </c>
      <c r="C632" s="251" t="str">
        <f>IFERROR(__xludf.DUMMYFUNCTION("""COMPUTED_VALUE"""),"None")</f>
        <v>None</v>
      </c>
      <c r="D632" s="251">
        <f>IFERROR(__xludf.DUMMYFUNCTION("""COMPUTED_VALUE"""),10.0)</f>
        <v>10</v>
      </c>
      <c r="E632" s="251">
        <f>IFERROR(__xludf.DUMMYFUNCTION("""COMPUTED_VALUE"""),13.0)</f>
        <v>13</v>
      </c>
      <c r="F632" s="251">
        <f>IFERROR(__xludf.DUMMYFUNCTION("""COMPUTED_VALUE"""),9.0)</f>
        <v>9</v>
      </c>
      <c r="G632" s="251">
        <f>IFERROR(__xludf.DUMMYFUNCTION("""COMPUTED_VALUE"""),6.0)</f>
        <v>6</v>
      </c>
      <c r="H632" s="251">
        <f>IFERROR(__xludf.DUMMYFUNCTION("""COMPUTED_VALUE"""),7.0)</f>
        <v>7</v>
      </c>
      <c r="I632" s="251">
        <f>IFERROR(__xludf.DUMMYFUNCTION("""COMPUTED_VALUE"""),6.0)</f>
        <v>6</v>
      </c>
      <c r="J632" s="251">
        <f>IFERROR(__xludf.DUMMYFUNCTION("""COMPUTED_VALUE"""),5.0)</f>
        <v>5</v>
      </c>
      <c r="K632" s="251" t="str">
        <f>IFERROR(__xludf.DUMMYFUNCTION("""COMPUTED_VALUE"""),"Medium")</f>
        <v>Medium</v>
      </c>
      <c r="L632" s="251">
        <f>IFERROR(__xludf.DUMMYFUNCTION("""COMPUTED_VALUE"""),3.0)</f>
        <v>3</v>
      </c>
      <c r="M632" s="251" t="str">
        <f>IFERROR(__xludf.DUMMYFUNCTION("""COMPUTED_VALUE"""),"Grasslands, Urban")</f>
        <v>Grasslands, Urban</v>
      </c>
      <c r="N632" s="251" t="str">
        <f>IFERROR(__xludf.DUMMYFUNCTION("""COMPUTED_VALUE"""),"--")</f>
        <v>--</v>
      </c>
      <c r="O632" s="251" t="str">
        <f>IFERROR(__xludf.DUMMYFUNCTION("""COMPUTED_VALUE"""),"--")</f>
        <v>--</v>
      </c>
      <c r="P632" s="251" t="str">
        <f>IFERROR(__xludf.DUMMYFUNCTION("""COMPUTED_VALUE"""),"--")</f>
        <v>--</v>
      </c>
      <c r="Q632" s="251" t="str">
        <f>IFERROR(__xludf.DUMMYFUNCTION("""COMPUTED_VALUE"""),"--")</f>
        <v>--</v>
      </c>
      <c r="R632" s="251" t="str">
        <f>IFERROR(__xludf.DUMMYFUNCTION("""COMPUTED_VALUE"""),"--")</f>
        <v>--</v>
      </c>
      <c r="S632" s="251" t="str">
        <f>IFERROR(__xludf.DUMMYFUNCTION("""COMPUTED_VALUE"""),"--")</f>
        <v>--</v>
      </c>
      <c r="T632" s="251" t="str">
        <f>IFERROR(__xludf.DUMMYFUNCTION("""COMPUTED_VALUE"""),"--")</f>
        <v>--</v>
      </c>
      <c r="U632" s="251" t="str">
        <f>IFERROR(__xludf.DUMMYFUNCTION("""COMPUTED_VALUE"""),"--")</f>
        <v>--</v>
      </c>
      <c r="V632" s="251" t="str">
        <f>IFERROR(__xludf.DUMMYFUNCTION("""COMPUTED_VALUE"""),"Tracker")</f>
        <v>Tracker</v>
      </c>
      <c r="W632" s="251" t="str">
        <f>IFERROR(__xludf.DUMMYFUNCTION("""COMPUTED_VALUE"""),"--")</f>
        <v>--</v>
      </c>
      <c r="X632" s="251" t="str">
        <f>IFERROR(__xludf.DUMMYFUNCTION("""COMPUTED_VALUE"""),"--")</f>
        <v>--</v>
      </c>
      <c r="Y632" s="251" t="str">
        <f>IFERROR(__xludf.DUMMYFUNCTION("""COMPUTED_VALUE"""),"--")</f>
        <v>--</v>
      </c>
      <c r="Z632" s="251" t="str">
        <f>IFERROR(__xludf.DUMMYFUNCTION("""COMPUTED_VALUE"""),"--")</f>
        <v>--</v>
      </c>
      <c r="AA632" s="251" t="str">
        <f>IFERROR(__xludf.DUMMYFUNCTION("""COMPUTED_VALUE"""),"--")</f>
        <v>--</v>
      </c>
      <c r="AB632" s="251" t="str">
        <f>IFERROR(__xludf.DUMMYFUNCTION("""COMPUTED_VALUE"""),"--")</f>
        <v>--</v>
      </c>
      <c r="AC632" s="251" t="str">
        <f>IFERROR(__xludf.DUMMYFUNCTION("""COMPUTED_VALUE"""),"--")</f>
        <v>--</v>
      </c>
      <c r="AD632" s="251">
        <f>IFERROR(__xludf.DUMMYFUNCTION("""COMPUTED_VALUE"""),3.0)</f>
        <v>3</v>
      </c>
      <c r="AE632" s="251" t="str">
        <f>IFERROR(__xludf.DUMMYFUNCTION("""COMPUTED_VALUE"""),"Carnivore")</f>
        <v>Carnivore</v>
      </c>
    </row>
    <row r="633">
      <c r="A633" s="251" t="str">
        <f>IFERROR(__xludf.DUMMYFUNCTION("""COMPUTED_VALUE"""),"Spritzee")</f>
        <v>Spritzee</v>
      </c>
      <c r="B633" s="251" t="str">
        <f>IFERROR(__xludf.DUMMYFUNCTION("""COMPUTED_VALUE"""),"Fairy")</f>
        <v>Fairy</v>
      </c>
      <c r="C633" s="251" t="str">
        <f>IFERROR(__xludf.DUMMYFUNCTION("""COMPUTED_VALUE"""),"None")</f>
        <v>None</v>
      </c>
      <c r="D633" s="251">
        <f>IFERROR(__xludf.DUMMYFUNCTION("""COMPUTED_VALUE"""),8.0)</f>
        <v>8</v>
      </c>
      <c r="E633" s="251">
        <f>IFERROR(__xludf.DUMMYFUNCTION("""COMPUTED_VALUE"""),5.0)</f>
        <v>5</v>
      </c>
      <c r="F633" s="251">
        <f>IFERROR(__xludf.DUMMYFUNCTION("""COMPUTED_VALUE"""),6.0)</f>
        <v>6</v>
      </c>
      <c r="G633" s="251">
        <f>IFERROR(__xludf.DUMMYFUNCTION("""COMPUTED_VALUE"""),6.0)</f>
        <v>6</v>
      </c>
      <c r="H633" s="251">
        <f>IFERROR(__xludf.DUMMYFUNCTION("""COMPUTED_VALUE"""),7.0)</f>
        <v>7</v>
      </c>
      <c r="I633" s="251">
        <f>IFERROR(__xludf.DUMMYFUNCTION("""COMPUTED_VALUE"""),2.0)</f>
        <v>2</v>
      </c>
      <c r="J633" s="251">
        <f>IFERROR(__xludf.DUMMYFUNCTION("""COMPUTED_VALUE"""),1.0)</f>
        <v>1</v>
      </c>
      <c r="K633" s="251" t="str">
        <f>IFERROR(__xludf.DUMMYFUNCTION("""COMPUTED_VALUE"""),"Small")</f>
        <v>Small</v>
      </c>
      <c r="L633" s="251">
        <f>IFERROR(__xludf.DUMMYFUNCTION("""COMPUTED_VALUE"""),1.0)</f>
        <v>1</v>
      </c>
      <c r="M633" s="251" t="str">
        <f>IFERROR(__xludf.DUMMYFUNCTION("""COMPUTED_VALUE"""),"Forest")</f>
        <v>Forest</v>
      </c>
      <c r="N633" s="251" t="str">
        <f>IFERROR(__xludf.DUMMYFUNCTION("""COMPUTED_VALUE"""),"Flier")</f>
        <v>Flier</v>
      </c>
      <c r="O633" s="251" t="str">
        <f>IFERROR(__xludf.DUMMYFUNCTION("""COMPUTED_VALUE"""),"--")</f>
        <v>--</v>
      </c>
      <c r="P633" s="251" t="str">
        <f>IFERROR(__xludf.DUMMYFUNCTION("""COMPUTED_VALUE"""),"--")</f>
        <v>--</v>
      </c>
      <c r="Q633" s="251" t="str">
        <f>IFERROR(__xludf.DUMMYFUNCTION("""COMPUTED_VALUE"""),"--")</f>
        <v>--</v>
      </c>
      <c r="R633" s="251" t="str">
        <f>IFERROR(__xludf.DUMMYFUNCTION("""COMPUTED_VALUE"""),"Underdog")</f>
        <v>Underdog</v>
      </c>
      <c r="S633" s="251" t="str">
        <f>IFERROR(__xludf.DUMMYFUNCTION("""COMPUTED_VALUE"""),"--")</f>
        <v>--</v>
      </c>
      <c r="T633" s="251" t="str">
        <f>IFERROR(__xludf.DUMMYFUNCTION("""COMPUTED_VALUE"""),"--")</f>
        <v>--</v>
      </c>
      <c r="U633" s="251" t="str">
        <f>IFERROR(__xludf.DUMMYFUNCTION("""COMPUTED_VALUE"""),"--")</f>
        <v>--</v>
      </c>
      <c r="V633" s="251" t="str">
        <f>IFERROR(__xludf.DUMMYFUNCTION("""COMPUTED_VALUE"""),"Alluring")</f>
        <v>Alluring</v>
      </c>
      <c r="W633" s="251" t="str">
        <f>IFERROR(__xludf.DUMMYFUNCTION("""COMPUTED_VALUE"""),"Repulsive")</f>
        <v>Repulsive</v>
      </c>
      <c r="X633" s="251" t="str">
        <f>IFERROR(__xludf.DUMMYFUNCTION("""COMPUTED_VALUE"""),"--")</f>
        <v>--</v>
      </c>
      <c r="Y633" s="251" t="str">
        <f>IFERROR(__xludf.DUMMYFUNCTION("""COMPUTED_VALUE"""),"--")</f>
        <v>--</v>
      </c>
      <c r="Z633" s="251" t="str">
        <f>IFERROR(__xludf.DUMMYFUNCTION("""COMPUTED_VALUE"""),"--")</f>
        <v>--</v>
      </c>
      <c r="AA633" s="251" t="str">
        <f>IFERROR(__xludf.DUMMYFUNCTION("""COMPUTED_VALUE"""),"--")</f>
        <v>--</v>
      </c>
      <c r="AB633" s="251" t="str">
        <f>IFERROR(__xludf.DUMMYFUNCTION("""COMPUTED_VALUE"""),"--")</f>
        <v>--</v>
      </c>
      <c r="AC633" s="251" t="str">
        <f>IFERROR(__xludf.DUMMYFUNCTION("""COMPUTED_VALUE"""),"--")</f>
        <v>--</v>
      </c>
      <c r="AD633" s="251">
        <f>IFERROR(__xludf.DUMMYFUNCTION("""COMPUTED_VALUE"""),2.0)</f>
        <v>2</v>
      </c>
      <c r="AE633" s="251" t="str">
        <f>IFERROR(__xludf.DUMMYFUNCTION("""COMPUTED_VALUE"""),"Herbivore")</f>
        <v>Herbivore</v>
      </c>
    </row>
    <row r="634">
      <c r="A634" s="251" t="str">
        <f>IFERROR(__xludf.DUMMYFUNCTION("""COMPUTED_VALUE"""),"Aromatisse")</f>
        <v>Aromatisse</v>
      </c>
      <c r="B634" s="251" t="str">
        <f>IFERROR(__xludf.DUMMYFUNCTION("""COMPUTED_VALUE"""),"Fairy")</f>
        <v>Fairy</v>
      </c>
      <c r="C634" s="251" t="str">
        <f>IFERROR(__xludf.DUMMYFUNCTION("""COMPUTED_VALUE"""),"None")</f>
        <v>None</v>
      </c>
      <c r="D634" s="251">
        <f>IFERROR(__xludf.DUMMYFUNCTION("""COMPUTED_VALUE"""),10.0)</f>
        <v>10</v>
      </c>
      <c r="E634" s="251">
        <f>IFERROR(__xludf.DUMMYFUNCTION("""COMPUTED_VALUE"""),7.0)</f>
        <v>7</v>
      </c>
      <c r="F634" s="251">
        <f>IFERROR(__xludf.DUMMYFUNCTION("""COMPUTED_VALUE"""),8.0)</f>
        <v>8</v>
      </c>
      <c r="G634" s="251">
        <f>IFERROR(__xludf.DUMMYFUNCTION("""COMPUTED_VALUE"""),11.0)</f>
        <v>11</v>
      </c>
      <c r="H634" s="251">
        <f>IFERROR(__xludf.DUMMYFUNCTION("""COMPUTED_VALUE"""),11.0)</f>
        <v>11</v>
      </c>
      <c r="I634" s="251">
        <f>IFERROR(__xludf.DUMMYFUNCTION("""COMPUTED_VALUE"""),4.0)</f>
        <v>4</v>
      </c>
      <c r="J634" s="251">
        <f>IFERROR(__xludf.DUMMYFUNCTION("""COMPUTED_VALUE"""),2.0)</f>
        <v>2</v>
      </c>
      <c r="K634" s="251" t="str">
        <f>IFERROR(__xludf.DUMMYFUNCTION("""COMPUTED_VALUE"""),"Small")</f>
        <v>Small</v>
      </c>
      <c r="L634" s="251">
        <f>IFERROR(__xludf.DUMMYFUNCTION("""COMPUTED_VALUE"""),2.0)</f>
        <v>2</v>
      </c>
      <c r="M634" s="251" t="str">
        <f>IFERROR(__xludf.DUMMYFUNCTION("""COMPUTED_VALUE"""),"Forest")</f>
        <v>Forest</v>
      </c>
      <c r="N634" s="251" t="str">
        <f>IFERROR(__xludf.DUMMYFUNCTION("""COMPUTED_VALUE"""),"Flier")</f>
        <v>Flier</v>
      </c>
      <c r="O634" s="251" t="str">
        <f>IFERROR(__xludf.DUMMYFUNCTION("""COMPUTED_VALUE"""),"--")</f>
        <v>--</v>
      </c>
      <c r="P634" s="251" t="str">
        <f>IFERROR(__xludf.DUMMYFUNCTION("""COMPUTED_VALUE"""),"--")</f>
        <v>--</v>
      </c>
      <c r="Q634" s="251" t="str">
        <f>IFERROR(__xludf.DUMMYFUNCTION("""COMPUTED_VALUE"""),"--")</f>
        <v>--</v>
      </c>
      <c r="R634" s="251" t="str">
        <f>IFERROR(__xludf.DUMMYFUNCTION("""COMPUTED_VALUE"""),"--")</f>
        <v>--</v>
      </c>
      <c r="S634" s="251" t="str">
        <f>IFERROR(__xludf.DUMMYFUNCTION("""COMPUTED_VALUE"""),"--")</f>
        <v>--</v>
      </c>
      <c r="T634" s="251" t="str">
        <f>IFERROR(__xludf.DUMMYFUNCTION("""COMPUTED_VALUE"""),"--")</f>
        <v>--</v>
      </c>
      <c r="U634" s="251" t="str">
        <f>IFERROR(__xludf.DUMMYFUNCTION("""COMPUTED_VALUE"""),"--")</f>
        <v>--</v>
      </c>
      <c r="V634" s="251" t="str">
        <f>IFERROR(__xludf.DUMMYFUNCTION("""COMPUTED_VALUE"""),"Alluring")</f>
        <v>Alluring</v>
      </c>
      <c r="W634" s="251" t="str">
        <f>IFERROR(__xludf.DUMMYFUNCTION("""COMPUTED_VALUE"""),"Repulsive")</f>
        <v>Repulsive</v>
      </c>
      <c r="X634" s="251" t="str">
        <f>IFERROR(__xludf.DUMMYFUNCTION("""COMPUTED_VALUE"""),"--")</f>
        <v>--</v>
      </c>
      <c r="Y634" s="251" t="str">
        <f>IFERROR(__xludf.DUMMYFUNCTION("""COMPUTED_VALUE"""),"--")</f>
        <v>--</v>
      </c>
      <c r="Z634" s="251" t="str">
        <f>IFERROR(__xludf.DUMMYFUNCTION("""COMPUTED_VALUE"""),"--")</f>
        <v>--</v>
      </c>
      <c r="AA634" s="251" t="str">
        <f>IFERROR(__xludf.DUMMYFUNCTION("""COMPUTED_VALUE"""),"--")</f>
        <v>--</v>
      </c>
      <c r="AB634" s="251" t="str">
        <f>IFERROR(__xludf.DUMMYFUNCTION("""COMPUTED_VALUE"""),"--")</f>
        <v>--</v>
      </c>
      <c r="AC634" s="251" t="str">
        <f>IFERROR(__xludf.DUMMYFUNCTION("""COMPUTED_VALUE"""),"--")</f>
        <v>--</v>
      </c>
      <c r="AD634" s="251">
        <f>IFERROR(__xludf.DUMMYFUNCTION("""COMPUTED_VALUE"""),3.0)</f>
        <v>3</v>
      </c>
      <c r="AE634" s="251" t="str">
        <f>IFERROR(__xludf.DUMMYFUNCTION("""COMPUTED_VALUE"""),"Herbivore")</f>
        <v>Herbivore</v>
      </c>
    </row>
    <row r="635">
      <c r="A635" s="251" t="str">
        <f>IFERROR(__xludf.DUMMYFUNCTION("""COMPUTED_VALUE"""),"Swirlix")</f>
        <v>Swirlix</v>
      </c>
      <c r="B635" s="251" t="str">
        <f>IFERROR(__xludf.DUMMYFUNCTION("""COMPUTED_VALUE"""),"Fairy")</f>
        <v>Fairy</v>
      </c>
      <c r="C635" s="251" t="str">
        <f>IFERROR(__xludf.DUMMYFUNCTION("""COMPUTED_VALUE"""),"None")</f>
        <v>None</v>
      </c>
      <c r="D635" s="251">
        <f>IFERROR(__xludf.DUMMYFUNCTION("""COMPUTED_VALUE"""),6.0)</f>
        <v>6</v>
      </c>
      <c r="E635" s="251">
        <f>IFERROR(__xludf.DUMMYFUNCTION("""COMPUTED_VALUE"""),5.0)</f>
        <v>5</v>
      </c>
      <c r="F635" s="251">
        <f>IFERROR(__xludf.DUMMYFUNCTION("""COMPUTED_VALUE"""),7.0)</f>
        <v>7</v>
      </c>
      <c r="G635" s="251">
        <f>IFERROR(__xludf.DUMMYFUNCTION("""COMPUTED_VALUE"""),6.0)</f>
        <v>6</v>
      </c>
      <c r="H635" s="251">
        <f>IFERROR(__xludf.DUMMYFUNCTION("""COMPUTED_VALUE"""),6.0)</f>
        <v>6</v>
      </c>
      <c r="I635" s="251">
        <f>IFERROR(__xludf.DUMMYFUNCTION("""COMPUTED_VALUE"""),5.0)</f>
        <v>5</v>
      </c>
      <c r="J635" s="251">
        <f>IFERROR(__xludf.DUMMYFUNCTION("""COMPUTED_VALUE"""),1.0)</f>
        <v>1</v>
      </c>
      <c r="K635" s="251" t="str">
        <f>IFERROR(__xludf.DUMMYFUNCTION("""COMPUTED_VALUE"""),"Small")</f>
        <v>Small</v>
      </c>
      <c r="L635" s="251">
        <f>IFERROR(__xludf.DUMMYFUNCTION("""COMPUTED_VALUE"""),1.0)</f>
        <v>1</v>
      </c>
      <c r="M635" s="251" t="str">
        <f>IFERROR(__xludf.DUMMYFUNCTION("""COMPUTED_VALUE"""),"Forest")</f>
        <v>Forest</v>
      </c>
      <c r="N635" s="251" t="str">
        <f>IFERROR(__xludf.DUMMYFUNCTION("""COMPUTED_VALUE"""),"--")</f>
        <v>--</v>
      </c>
      <c r="O635" s="251" t="str">
        <f>IFERROR(__xludf.DUMMYFUNCTION("""COMPUTED_VALUE"""),"--")</f>
        <v>--</v>
      </c>
      <c r="P635" s="251" t="str">
        <f>IFERROR(__xludf.DUMMYFUNCTION("""COMPUTED_VALUE"""),"--")</f>
        <v>--</v>
      </c>
      <c r="Q635" s="251" t="str">
        <f>IFERROR(__xludf.DUMMYFUNCTION("""COMPUTED_VALUE"""),"--")</f>
        <v>--</v>
      </c>
      <c r="R635" s="251" t="str">
        <f>IFERROR(__xludf.DUMMYFUNCTION("""COMPUTED_VALUE"""),"Threaded")</f>
        <v>Threaded</v>
      </c>
      <c r="S635" s="251" t="str">
        <f>IFERROR(__xludf.DUMMYFUNCTION("""COMPUTED_VALUE"""),"Underdog")</f>
        <v>Underdog</v>
      </c>
      <c r="T635" s="251" t="str">
        <f>IFERROR(__xludf.DUMMYFUNCTION("""COMPUTED_VALUE"""),"--")</f>
        <v>--</v>
      </c>
      <c r="U635" s="251" t="str">
        <f>IFERROR(__xludf.DUMMYFUNCTION("""COMPUTED_VALUE"""),"--")</f>
        <v>--</v>
      </c>
      <c r="V635" s="251" t="str">
        <f>IFERROR(__xludf.DUMMYFUNCTION("""COMPUTED_VALUE"""),"Alluring")</f>
        <v>Alluring</v>
      </c>
      <c r="W635" s="251" t="str">
        <f>IFERROR(__xludf.DUMMYFUNCTION("""COMPUTED_VALUE"""),"--")</f>
        <v>--</v>
      </c>
      <c r="X635" s="251" t="str">
        <f>IFERROR(__xludf.DUMMYFUNCTION("""COMPUTED_VALUE"""),"--")</f>
        <v>--</v>
      </c>
      <c r="Y635" s="251" t="str">
        <f>IFERROR(__xludf.DUMMYFUNCTION("""COMPUTED_VALUE"""),"--")</f>
        <v>--</v>
      </c>
      <c r="Z635" s="251" t="str">
        <f>IFERROR(__xludf.DUMMYFUNCTION("""COMPUTED_VALUE"""),"--")</f>
        <v>--</v>
      </c>
      <c r="AA635" s="251" t="str">
        <f>IFERROR(__xludf.DUMMYFUNCTION("""COMPUTED_VALUE"""),"--")</f>
        <v>--</v>
      </c>
      <c r="AB635" s="251" t="str">
        <f>IFERROR(__xludf.DUMMYFUNCTION("""COMPUTED_VALUE"""),"--")</f>
        <v>--</v>
      </c>
      <c r="AC635" s="251" t="str">
        <f>IFERROR(__xludf.DUMMYFUNCTION("""COMPUTED_VALUE"""),"--")</f>
        <v>--</v>
      </c>
      <c r="AD635" s="251">
        <f>IFERROR(__xludf.DUMMYFUNCTION("""COMPUTED_VALUE"""),2.0)</f>
        <v>2</v>
      </c>
      <c r="AE635" s="251" t="str">
        <f>IFERROR(__xludf.DUMMYFUNCTION("""COMPUTED_VALUE"""),"Herbivore")</f>
        <v>Herbivore</v>
      </c>
    </row>
    <row r="636">
      <c r="A636" s="251" t="str">
        <f>IFERROR(__xludf.DUMMYFUNCTION("""COMPUTED_VALUE"""),"Slurpuff")</f>
        <v>Slurpuff</v>
      </c>
      <c r="B636" s="251" t="str">
        <f>IFERROR(__xludf.DUMMYFUNCTION("""COMPUTED_VALUE"""),"Fairy")</f>
        <v>Fairy</v>
      </c>
      <c r="C636" s="251" t="str">
        <f>IFERROR(__xludf.DUMMYFUNCTION("""COMPUTED_VALUE"""),"None")</f>
        <v>None</v>
      </c>
      <c r="D636" s="251">
        <f>IFERROR(__xludf.DUMMYFUNCTION("""COMPUTED_VALUE"""),8.0)</f>
        <v>8</v>
      </c>
      <c r="E636" s="251">
        <f>IFERROR(__xludf.DUMMYFUNCTION("""COMPUTED_VALUE"""),9.0)</f>
        <v>9</v>
      </c>
      <c r="F636" s="251">
        <f>IFERROR(__xludf.DUMMYFUNCTION("""COMPUTED_VALUE"""),9.0)</f>
        <v>9</v>
      </c>
      <c r="G636" s="251">
        <f>IFERROR(__xludf.DUMMYFUNCTION("""COMPUTED_VALUE"""),9.0)</f>
        <v>9</v>
      </c>
      <c r="H636" s="251">
        <f>IFERROR(__xludf.DUMMYFUNCTION("""COMPUTED_VALUE"""),9.0)</f>
        <v>9</v>
      </c>
      <c r="I636" s="251">
        <f>IFERROR(__xludf.DUMMYFUNCTION("""COMPUTED_VALUE"""),7.0)</f>
        <v>7</v>
      </c>
      <c r="J636" s="251">
        <f>IFERROR(__xludf.DUMMYFUNCTION("""COMPUTED_VALUE"""),2.0)</f>
        <v>2</v>
      </c>
      <c r="K636" s="251" t="str">
        <f>IFERROR(__xludf.DUMMYFUNCTION("""COMPUTED_VALUE"""),"Small")</f>
        <v>Small</v>
      </c>
      <c r="L636" s="251">
        <f>IFERROR(__xludf.DUMMYFUNCTION("""COMPUTED_VALUE"""),1.0)</f>
        <v>1</v>
      </c>
      <c r="M636" s="251" t="str">
        <f>IFERROR(__xludf.DUMMYFUNCTION("""COMPUTED_VALUE"""),"Forest")</f>
        <v>Forest</v>
      </c>
      <c r="N636" s="251" t="str">
        <f>IFERROR(__xludf.DUMMYFUNCTION("""COMPUTED_VALUE"""),"--")</f>
        <v>--</v>
      </c>
      <c r="O636" s="251" t="str">
        <f>IFERROR(__xludf.DUMMYFUNCTION("""COMPUTED_VALUE"""),"--")</f>
        <v>--</v>
      </c>
      <c r="P636" s="251" t="str">
        <f>IFERROR(__xludf.DUMMYFUNCTION("""COMPUTED_VALUE"""),"--")</f>
        <v>--</v>
      </c>
      <c r="Q636" s="251" t="str">
        <f>IFERROR(__xludf.DUMMYFUNCTION("""COMPUTED_VALUE"""),"--")</f>
        <v>--</v>
      </c>
      <c r="R636" s="251" t="str">
        <f>IFERROR(__xludf.DUMMYFUNCTION("""COMPUTED_VALUE"""),"Threaded")</f>
        <v>Threaded</v>
      </c>
      <c r="S636" s="251" t="str">
        <f>IFERROR(__xludf.DUMMYFUNCTION("""COMPUTED_VALUE"""),"--")</f>
        <v>--</v>
      </c>
      <c r="T636" s="251" t="str">
        <f>IFERROR(__xludf.DUMMYFUNCTION("""COMPUTED_VALUE"""),"--")</f>
        <v>--</v>
      </c>
      <c r="U636" s="251" t="str">
        <f>IFERROR(__xludf.DUMMYFUNCTION("""COMPUTED_VALUE"""),"--")</f>
        <v>--</v>
      </c>
      <c r="V636" s="251" t="str">
        <f>IFERROR(__xludf.DUMMYFUNCTION("""COMPUTED_VALUE"""),"Alluring")</f>
        <v>Alluring</v>
      </c>
      <c r="W636" s="251" t="str">
        <f>IFERROR(__xludf.DUMMYFUNCTION("""COMPUTED_VALUE"""),"Tracker")</f>
        <v>Tracker</v>
      </c>
      <c r="X636" s="251" t="str">
        <f>IFERROR(__xludf.DUMMYFUNCTION("""COMPUTED_VALUE"""),"--")</f>
        <v>--</v>
      </c>
      <c r="Y636" s="251" t="str">
        <f>IFERROR(__xludf.DUMMYFUNCTION("""COMPUTED_VALUE"""),"--")</f>
        <v>--</v>
      </c>
      <c r="Z636" s="251" t="str">
        <f>IFERROR(__xludf.DUMMYFUNCTION("""COMPUTED_VALUE"""),"--")</f>
        <v>--</v>
      </c>
      <c r="AA636" s="251" t="str">
        <f>IFERROR(__xludf.DUMMYFUNCTION("""COMPUTED_VALUE"""),"--")</f>
        <v>--</v>
      </c>
      <c r="AB636" s="251" t="str">
        <f>IFERROR(__xludf.DUMMYFUNCTION("""COMPUTED_VALUE"""),"--")</f>
        <v>--</v>
      </c>
      <c r="AC636" s="251" t="str">
        <f>IFERROR(__xludf.DUMMYFUNCTION("""COMPUTED_VALUE"""),"--")</f>
        <v>--</v>
      </c>
      <c r="AD636" s="251">
        <f>IFERROR(__xludf.DUMMYFUNCTION("""COMPUTED_VALUE"""),3.0)</f>
        <v>3</v>
      </c>
      <c r="AE636" s="251" t="str">
        <f>IFERROR(__xludf.DUMMYFUNCTION("""COMPUTED_VALUE"""),"Herbivore")</f>
        <v>Herbivore</v>
      </c>
    </row>
    <row r="637">
      <c r="A637" s="251" t="str">
        <f>IFERROR(__xludf.DUMMYFUNCTION("""COMPUTED_VALUE"""),"Milcery")</f>
        <v>Milcery</v>
      </c>
      <c r="B637" s="251" t="str">
        <f>IFERROR(__xludf.DUMMYFUNCTION("""COMPUTED_VALUE"""),"Fairy")</f>
        <v>Fairy</v>
      </c>
      <c r="C637" s="251" t="str">
        <f>IFERROR(__xludf.DUMMYFUNCTION("""COMPUTED_VALUE"""),"None")</f>
        <v>None</v>
      </c>
      <c r="D637" s="251">
        <f>IFERROR(__xludf.DUMMYFUNCTION("""COMPUTED_VALUE"""),5.0)</f>
        <v>5</v>
      </c>
      <c r="E637" s="251">
        <f>IFERROR(__xludf.DUMMYFUNCTION("""COMPUTED_VALUE"""),4.0)</f>
        <v>4</v>
      </c>
      <c r="F637" s="251">
        <f>IFERROR(__xludf.DUMMYFUNCTION("""COMPUTED_VALUE"""),5.0)</f>
        <v>5</v>
      </c>
      <c r="G637" s="251">
        <f>IFERROR(__xludf.DUMMYFUNCTION("""COMPUTED_VALUE"""),6.0)</f>
        <v>6</v>
      </c>
      <c r="H637" s="251">
        <f>IFERROR(__xludf.DUMMYFUNCTION("""COMPUTED_VALUE"""),7.0)</f>
        <v>7</v>
      </c>
      <c r="I637" s="251">
        <f>IFERROR(__xludf.DUMMYFUNCTION("""COMPUTED_VALUE"""),3.0)</f>
        <v>3</v>
      </c>
      <c r="J637" s="251">
        <f>IFERROR(__xludf.DUMMYFUNCTION("""COMPUTED_VALUE"""),1.0)</f>
        <v>1</v>
      </c>
      <c r="K637" s="251" t="str">
        <f>IFERROR(__xludf.DUMMYFUNCTION("""COMPUTED_VALUE"""),"Small")</f>
        <v>Small</v>
      </c>
      <c r="L637" s="251">
        <f>IFERROR(__xludf.DUMMYFUNCTION("""COMPUTED_VALUE"""),1.0)</f>
        <v>1</v>
      </c>
      <c r="M637" s="251" t="str">
        <f>IFERROR(__xludf.DUMMYFUNCTION("""COMPUTED_VALUE"""),"Urban")</f>
        <v>Urban</v>
      </c>
      <c r="N637" s="251" t="str">
        <f>IFERROR(__xludf.DUMMYFUNCTION("""COMPUTED_VALUE"""),"Flier")</f>
        <v>Flier</v>
      </c>
      <c r="O637" s="251" t="str">
        <f>IFERROR(__xludf.DUMMYFUNCTION("""COMPUTED_VALUE"""),"--")</f>
        <v>--</v>
      </c>
      <c r="P637" s="251" t="str">
        <f>IFERROR(__xludf.DUMMYFUNCTION("""COMPUTED_VALUE"""),"--")</f>
        <v>--</v>
      </c>
      <c r="Q637" s="251" t="str">
        <f>IFERROR(__xludf.DUMMYFUNCTION("""COMPUTED_VALUE"""),"--")</f>
        <v>--</v>
      </c>
      <c r="R637" s="251" t="str">
        <f>IFERROR(__xludf.DUMMYFUNCTION("""COMPUTED_VALUE"""),"Underdog")</f>
        <v>Underdog</v>
      </c>
      <c r="S637" s="251" t="str">
        <f>IFERROR(__xludf.DUMMYFUNCTION("""COMPUTED_VALUE"""),"--")</f>
        <v>--</v>
      </c>
      <c r="T637" s="251" t="str">
        <f>IFERROR(__xludf.DUMMYFUNCTION("""COMPUTED_VALUE"""),"--")</f>
        <v>--</v>
      </c>
      <c r="U637" s="251" t="str">
        <f>IFERROR(__xludf.DUMMYFUNCTION("""COMPUTED_VALUE"""),"--")</f>
        <v>--</v>
      </c>
      <c r="V637" s="251" t="str">
        <f>IFERROR(__xludf.DUMMYFUNCTION("""COMPUTED_VALUE"""),"Alluring")</f>
        <v>Alluring</v>
      </c>
      <c r="W637" s="251" t="str">
        <f>IFERROR(__xludf.DUMMYFUNCTION("""COMPUTED_VALUE"""),"Amorphous")</f>
        <v>Amorphous</v>
      </c>
      <c r="X637" s="251" t="str">
        <f>IFERROR(__xludf.DUMMYFUNCTION("""COMPUTED_VALUE"""),"--")</f>
        <v>--</v>
      </c>
      <c r="Y637" s="251" t="str">
        <f>IFERROR(__xludf.DUMMYFUNCTION("""COMPUTED_VALUE"""),"--")</f>
        <v>--</v>
      </c>
      <c r="Z637" s="251" t="str">
        <f>IFERROR(__xludf.DUMMYFUNCTION("""COMPUTED_VALUE"""),"--")</f>
        <v>--</v>
      </c>
      <c r="AA637" s="251" t="str">
        <f>IFERROR(__xludf.DUMMYFUNCTION("""COMPUTED_VALUE"""),"--")</f>
        <v>--</v>
      </c>
      <c r="AB637" s="251" t="str">
        <f>IFERROR(__xludf.DUMMYFUNCTION("""COMPUTED_VALUE"""),"--")</f>
        <v>--</v>
      </c>
      <c r="AC637" s="251" t="str">
        <f>IFERROR(__xludf.DUMMYFUNCTION("""COMPUTED_VALUE"""),"--")</f>
        <v>--</v>
      </c>
      <c r="AD637" s="251">
        <f>IFERROR(__xludf.DUMMYFUNCTION("""COMPUTED_VALUE"""),2.0)</f>
        <v>2</v>
      </c>
      <c r="AE637" s="251" t="str">
        <f>IFERROR(__xludf.DUMMYFUNCTION("""COMPUTED_VALUE"""),"Herbivore")</f>
        <v>Herbivore</v>
      </c>
    </row>
    <row r="638">
      <c r="A638" s="251" t="str">
        <f>IFERROR(__xludf.DUMMYFUNCTION("""COMPUTED_VALUE"""),"Alcremie")</f>
        <v>Alcremie</v>
      </c>
      <c r="B638" s="251" t="str">
        <f>IFERROR(__xludf.DUMMYFUNCTION("""COMPUTED_VALUE"""),"Fairy")</f>
        <v>Fairy</v>
      </c>
      <c r="C638" s="251" t="str">
        <f>IFERROR(__xludf.DUMMYFUNCTION("""COMPUTED_VALUE"""),"None")</f>
        <v>None</v>
      </c>
      <c r="D638" s="251">
        <f>IFERROR(__xludf.DUMMYFUNCTION("""COMPUTED_VALUE"""),7.0)</f>
        <v>7</v>
      </c>
      <c r="E638" s="251">
        <f>IFERROR(__xludf.DUMMYFUNCTION("""COMPUTED_VALUE"""),6.0)</f>
        <v>6</v>
      </c>
      <c r="F638" s="251">
        <f>IFERROR(__xludf.DUMMYFUNCTION("""COMPUTED_VALUE"""),8.0)</f>
        <v>8</v>
      </c>
      <c r="G638" s="251">
        <f>IFERROR(__xludf.DUMMYFUNCTION("""COMPUTED_VALUE"""),12.0)</f>
        <v>12</v>
      </c>
      <c r="H638" s="251">
        <f>IFERROR(__xludf.DUMMYFUNCTION("""COMPUTED_VALUE"""),12.0)</f>
        <v>12</v>
      </c>
      <c r="I638" s="251">
        <f>IFERROR(__xludf.DUMMYFUNCTION("""COMPUTED_VALUE"""),6.0)</f>
        <v>6</v>
      </c>
      <c r="J638" s="251">
        <f>IFERROR(__xludf.DUMMYFUNCTION("""COMPUTED_VALUE"""),2.0)</f>
        <v>2</v>
      </c>
      <c r="K638" s="251" t="str">
        <f>IFERROR(__xludf.DUMMYFUNCTION("""COMPUTED_VALUE"""),"Small")</f>
        <v>Small</v>
      </c>
      <c r="L638" s="251">
        <f>IFERROR(__xludf.DUMMYFUNCTION("""COMPUTED_VALUE"""),1.0)</f>
        <v>1</v>
      </c>
      <c r="M638" s="251" t="str">
        <f>IFERROR(__xludf.DUMMYFUNCTION("""COMPUTED_VALUE"""),"Urban")</f>
        <v>Urban</v>
      </c>
      <c r="N638" s="251" t="str">
        <f>IFERROR(__xludf.DUMMYFUNCTION("""COMPUTED_VALUE"""),"Flier")</f>
        <v>Flier</v>
      </c>
      <c r="O638" s="251" t="str">
        <f>IFERROR(__xludf.DUMMYFUNCTION("""COMPUTED_VALUE"""),"--")</f>
        <v>--</v>
      </c>
      <c r="P638" s="251" t="str">
        <f>IFERROR(__xludf.DUMMYFUNCTION("""COMPUTED_VALUE"""),"--")</f>
        <v>--</v>
      </c>
      <c r="Q638" s="251" t="str">
        <f>IFERROR(__xludf.DUMMYFUNCTION("""COMPUTED_VALUE"""),"--")</f>
        <v>--</v>
      </c>
      <c r="R638" s="251" t="str">
        <f>IFERROR(__xludf.DUMMYFUNCTION("""COMPUTED_VALUE"""),"--")</f>
        <v>--</v>
      </c>
      <c r="S638" s="251" t="str">
        <f>IFERROR(__xludf.DUMMYFUNCTION("""COMPUTED_VALUE"""),"--")</f>
        <v>--</v>
      </c>
      <c r="T638" s="251" t="str">
        <f>IFERROR(__xludf.DUMMYFUNCTION("""COMPUTED_VALUE"""),"--")</f>
        <v>--</v>
      </c>
      <c r="U638" s="251" t="str">
        <f>IFERROR(__xludf.DUMMYFUNCTION("""COMPUTED_VALUE"""),"--")</f>
        <v>--</v>
      </c>
      <c r="V638" s="251" t="str">
        <f>IFERROR(__xludf.DUMMYFUNCTION("""COMPUTED_VALUE"""),"Alluring")</f>
        <v>Alluring</v>
      </c>
      <c r="W638" s="251" t="str">
        <f>IFERROR(__xludf.DUMMYFUNCTION("""COMPUTED_VALUE"""),"Amorphous")</f>
        <v>Amorphous</v>
      </c>
      <c r="X638" s="251" t="str">
        <f>IFERROR(__xludf.DUMMYFUNCTION("""COMPUTED_VALUE"""),"--")</f>
        <v>--</v>
      </c>
      <c r="Y638" s="251" t="str">
        <f>IFERROR(__xludf.DUMMYFUNCTION("""COMPUTED_VALUE"""),"--")</f>
        <v>--</v>
      </c>
      <c r="Z638" s="251" t="str">
        <f>IFERROR(__xludf.DUMMYFUNCTION("""COMPUTED_VALUE"""),"--")</f>
        <v>--</v>
      </c>
      <c r="AA638" s="251" t="str">
        <f>IFERROR(__xludf.DUMMYFUNCTION("""COMPUTED_VALUE"""),"--")</f>
        <v>--</v>
      </c>
      <c r="AB638" s="251" t="str">
        <f>IFERROR(__xludf.DUMMYFUNCTION("""COMPUTED_VALUE"""),"--")</f>
        <v>--</v>
      </c>
      <c r="AC638" s="251" t="str">
        <f>IFERROR(__xludf.DUMMYFUNCTION("""COMPUTED_VALUE"""),"--")</f>
        <v>--</v>
      </c>
      <c r="AD638" s="251">
        <f>IFERROR(__xludf.DUMMYFUNCTION("""COMPUTED_VALUE"""),3.0)</f>
        <v>3</v>
      </c>
      <c r="AE638" s="251" t="str">
        <f>IFERROR(__xludf.DUMMYFUNCTION("""COMPUTED_VALUE"""),"Herbivore")</f>
        <v>Herbivore</v>
      </c>
    </row>
    <row r="639">
      <c r="A639" s="251" t="str">
        <f>IFERROR(__xludf.DUMMYFUNCTION("""COMPUTED_VALUE"""),"Fidough")</f>
        <v>Fidough</v>
      </c>
      <c r="B639" s="251" t="str">
        <f>IFERROR(__xludf.DUMMYFUNCTION("""COMPUTED_VALUE"""),"Fairy")</f>
        <v>Fairy</v>
      </c>
      <c r="C639" s="251" t="str">
        <f>IFERROR(__xludf.DUMMYFUNCTION("""COMPUTED_VALUE"""),"None")</f>
        <v>None</v>
      </c>
      <c r="D639" s="251">
        <f>IFERROR(__xludf.DUMMYFUNCTION("""COMPUTED_VALUE"""),4.0)</f>
        <v>4</v>
      </c>
      <c r="E639" s="251">
        <f>IFERROR(__xludf.DUMMYFUNCTION("""COMPUTED_VALUE"""),6.0)</f>
        <v>6</v>
      </c>
      <c r="F639" s="251">
        <f>IFERROR(__xludf.DUMMYFUNCTION("""COMPUTED_VALUE"""),7.0)</f>
        <v>7</v>
      </c>
      <c r="G639" s="251">
        <f>IFERROR(__xludf.DUMMYFUNCTION("""COMPUTED_VALUE"""),3.0)</f>
        <v>3</v>
      </c>
      <c r="H639" s="251">
        <f>IFERROR(__xludf.DUMMYFUNCTION("""COMPUTED_VALUE"""),6.0)</f>
        <v>6</v>
      </c>
      <c r="I639" s="251">
        <f>IFERROR(__xludf.DUMMYFUNCTION("""COMPUTED_VALUE"""),7.0)</f>
        <v>7</v>
      </c>
      <c r="J639" s="251">
        <f>IFERROR(__xludf.DUMMYFUNCTION("""COMPUTED_VALUE"""),2.0)</f>
        <v>2</v>
      </c>
      <c r="K639" s="251" t="str">
        <f>IFERROR(__xludf.DUMMYFUNCTION("""COMPUTED_VALUE"""),"Small")</f>
        <v>Small</v>
      </c>
      <c r="L639" s="251">
        <f>IFERROR(__xludf.DUMMYFUNCTION("""COMPUTED_VALUE"""),1.0)</f>
        <v>1</v>
      </c>
      <c r="M639" s="251" t="str">
        <f>IFERROR(__xludf.DUMMYFUNCTION("""COMPUTED_VALUE"""),"Urban")</f>
        <v>Urban</v>
      </c>
      <c r="N639" s="251" t="str">
        <f>IFERROR(__xludf.DUMMYFUNCTION("""COMPUTED_VALUE"""),"--")</f>
        <v>--</v>
      </c>
      <c r="O639" s="251" t="str">
        <f>IFERROR(__xludf.DUMMYFUNCTION("""COMPUTED_VALUE"""),"--")</f>
        <v>--</v>
      </c>
      <c r="P639" s="251" t="str">
        <f>IFERROR(__xludf.DUMMYFUNCTION("""COMPUTED_VALUE"""),"--")</f>
        <v>--</v>
      </c>
      <c r="Q639" s="251" t="str">
        <f>IFERROR(__xludf.DUMMYFUNCTION("""COMPUTED_VALUE"""),"--")</f>
        <v>--</v>
      </c>
      <c r="R639" s="251" t="str">
        <f>IFERROR(__xludf.DUMMYFUNCTION("""COMPUTED_VALUE"""),"Underdog")</f>
        <v>Underdog</v>
      </c>
      <c r="S639" s="251" t="str">
        <f>IFERROR(__xludf.DUMMYFUNCTION("""COMPUTED_VALUE"""),"--")</f>
        <v>--</v>
      </c>
      <c r="T639" s="251" t="str">
        <f>IFERROR(__xludf.DUMMYFUNCTION("""COMPUTED_VALUE"""),"--")</f>
        <v>--</v>
      </c>
      <c r="U639" s="251" t="str">
        <f>IFERROR(__xludf.DUMMYFUNCTION("""COMPUTED_VALUE"""),"--")</f>
        <v>--</v>
      </c>
      <c r="V639" s="251" t="str">
        <f>IFERROR(__xludf.DUMMYFUNCTION("""COMPUTED_VALUE"""),"Tracker")</f>
        <v>Tracker</v>
      </c>
      <c r="W639" s="251" t="str">
        <f>IFERROR(__xludf.DUMMYFUNCTION("""COMPUTED_VALUE"""),"--")</f>
        <v>--</v>
      </c>
      <c r="X639" s="251" t="str">
        <f>IFERROR(__xludf.DUMMYFUNCTION("""COMPUTED_VALUE"""),"--")</f>
        <v>--</v>
      </c>
      <c r="Y639" s="251" t="str">
        <f>IFERROR(__xludf.DUMMYFUNCTION("""COMPUTED_VALUE"""),"--")</f>
        <v>--</v>
      </c>
      <c r="Z639" s="251" t="str">
        <f>IFERROR(__xludf.DUMMYFUNCTION("""COMPUTED_VALUE"""),"--")</f>
        <v>--</v>
      </c>
      <c r="AA639" s="251" t="str">
        <f>IFERROR(__xludf.DUMMYFUNCTION("""COMPUTED_VALUE"""),"--")</f>
        <v>--</v>
      </c>
      <c r="AB639" s="251" t="str">
        <f>IFERROR(__xludf.DUMMYFUNCTION("""COMPUTED_VALUE"""),"--")</f>
        <v>--</v>
      </c>
      <c r="AC639" s="251" t="str">
        <f>IFERROR(__xludf.DUMMYFUNCTION("""COMPUTED_VALUE"""),"--")</f>
        <v>--</v>
      </c>
      <c r="AD639" s="251">
        <f>IFERROR(__xludf.DUMMYFUNCTION("""COMPUTED_VALUE"""),2.0)</f>
        <v>2</v>
      </c>
      <c r="AE639" s="251" t="str">
        <f>IFERROR(__xludf.DUMMYFUNCTION("""COMPUTED_VALUE"""),"Omnivore")</f>
        <v>Omnivore</v>
      </c>
    </row>
    <row r="640">
      <c r="A640" s="251" t="str">
        <f>IFERROR(__xludf.DUMMYFUNCTION("""COMPUTED_VALUE"""),"Dachsbun")</f>
        <v>Dachsbun</v>
      </c>
      <c r="B640" s="251" t="str">
        <f>IFERROR(__xludf.DUMMYFUNCTION("""COMPUTED_VALUE"""),"Fairy")</f>
        <v>Fairy</v>
      </c>
      <c r="C640" s="251" t="str">
        <f>IFERROR(__xludf.DUMMYFUNCTION("""COMPUTED_VALUE"""),"None")</f>
        <v>None</v>
      </c>
      <c r="D640" s="251">
        <f>IFERROR(__xludf.DUMMYFUNCTION("""COMPUTED_VALUE"""),6.0)</f>
        <v>6</v>
      </c>
      <c r="E640" s="251">
        <f>IFERROR(__xludf.DUMMYFUNCTION("""COMPUTED_VALUE"""),9.0)</f>
        <v>9</v>
      </c>
      <c r="F640" s="251">
        <f>IFERROR(__xludf.DUMMYFUNCTION("""COMPUTED_VALUE"""),12.0)</f>
        <v>12</v>
      </c>
      <c r="G640" s="251">
        <f>IFERROR(__xludf.DUMMYFUNCTION("""COMPUTED_VALUE"""),5.0)</f>
        <v>5</v>
      </c>
      <c r="H640" s="251">
        <f>IFERROR(__xludf.DUMMYFUNCTION("""COMPUTED_VALUE"""),9.0)</f>
        <v>9</v>
      </c>
      <c r="I640" s="251">
        <f>IFERROR(__xludf.DUMMYFUNCTION("""COMPUTED_VALUE"""),10.0)</f>
        <v>10</v>
      </c>
      <c r="J640" s="251">
        <f>IFERROR(__xludf.DUMMYFUNCTION("""COMPUTED_VALUE"""),4.0)</f>
        <v>4</v>
      </c>
      <c r="K640" s="251" t="str">
        <f>IFERROR(__xludf.DUMMYFUNCTION("""COMPUTED_VALUE"""),"Small")</f>
        <v>Small</v>
      </c>
      <c r="L640" s="251">
        <f>IFERROR(__xludf.DUMMYFUNCTION("""COMPUTED_VALUE"""),2.0)</f>
        <v>2</v>
      </c>
      <c r="M640" s="251" t="str">
        <f>IFERROR(__xludf.DUMMYFUNCTION("""COMPUTED_VALUE"""),"Urban")</f>
        <v>Urban</v>
      </c>
      <c r="N640" s="251" t="str">
        <f>IFERROR(__xludf.DUMMYFUNCTION("""COMPUTED_VALUE"""),"--")</f>
        <v>--</v>
      </c>
      <c r="O640" s="251" t="str">
        <f>IFERROR(__xludf.DUMMYFUNCTION("""COMPUTED_VALUE"""),"--")</f>
        <v>--</v>
      </c>
      <c r="P640" s="251" t="str">
        <f>IFERROR(__xludf.DUMMYFUNCTION("""COMPUTED_VALUE"""),"--")</f>
        <v>--</v>
      </c>
      <c r="Q640" s="251" t="str">
        <f>IFERROR(__xludf.DUMMYFUNCTION("""COMPUTED_VALUE"""),"--")</f>
        <v>--</v>
      </c>
      <c r="R640" s="251" t="str">
        <f>IFERROR(__xludf.DUMMYFUNCTION("""COMPUTED_VALUE"""),"--")</f>
        <v>--</v>
      </c>
      <c r="S640" s="251" t="str">
        <f>IFERROR(__xludf.DUMMYFUNCTION("""COMPUTED_VALUE"""),"--")</f>
        <v>--</v>
      </c>
      <c r="T640" s="251" t="str">
        <f>IFERROR(__xludf.DUMMYFUNCTION("""COMPUTED_VALUE"""),"--")</f>
        <v>--</v>
      </c>
      <c r="U640" s="251" t="str">
        <f>IFERROR(__xludf.DUMMYFUNCTION("""COMPUTED_VALUE"""),"--")</f>
        <v>--</v>
      </c>
      <c r="V640" s="251" t="str">
        <f>IFERROR(__xludf.DUMMYFUNCTION("""COMPUTED_VALUE"""),"Alluring")</f>
        <v>Alluring</v>
      </c>
      <c r="W640" s="251" t="str">
        <f>IFERROR(__xludf.DUMMYFUNCTION("""COMPUTED_VALUE"""),"Heater")</f>
        <v>Heater</v>
      </c>
      <c r="X640" s="251" t="str">
        <f>IFERROR(__xludf.DUMMYFUNCTION("""COMPUTED_VALUE"""),"Tracker")</f>
        <v>Tracker</v>
      </c>
      <c r="Y640" s="251" t="str">
        <f>IFERROR(__xludf.DUMMYFUNCTION("""COMPUTED_VALUE"""),"--")</f>
        <v>--</v>
      </c>
      <c r="Z640" s="251" t="str">
        <f>IFERROR(__xludf.DUMMYFUNCTION("""COMPUTED_VALUE"""),"--")</f>
        <v>--</v>
      </c>
      <c r="AA640" s="251" t="str">
        <f>IFERROR(__xludf.DUMMYFUNCTION("""COMPUTED_VALUE"""),"--")</f>
        <v>--</v>
      </c>
      <c r="AB640" s="251" t="str">
        <f>IFERROR(__xludf.DUMMYFUNCTION("""COMPUTED_VALUE"""),"--")</f>
        <v>--</v>
      </c>
      <c r="AC640" s="251" t="str">
        <f>IFERROR(__xludf.DUMMYFUNCTION("""COMPUTED_VALUE"""),"--")</f>
        <v>--</v>
      </c>
      <c r="AD640" s="251">
        <f>IFERROR(__xludf.DUMMYFUNCTION("""COMPUTED_VALUE"""),3.0)</f>
        <v>3</v>
      </c>
      <c r="AE640" s="251" t="str">
        <f>IFERROR(__xludf.DUMMYFUNCTION("""COMPUTED_VALUE"""),"Omnivore")</f>
        <v>Omnivore</v>
      </c>
    </row>
    <row r="641">
      <c r="A641" s="251" t="str">
        <f>IFERROR(__xludf.DUMMYFUNCTION("""COMPUTED_VALUE"""),"Mankey")</f>
        <v>Mankey</v>
      </c>
      <c r="B641" s="251" t="str">
        <f>IFERROR(__xludf.DUMMYFUNCTION("""COMPUTED_VALUE"""),"Fighting")</f>
        <v>Fighting</v>
      </c>
      <c r="C641" s="251" t="str">
        <f>IFERROR(__xludf.DUMMYFUNCTION("""COMPUTED_VALUE"""),"None")</f>
        <v>None</v>
      </c>
      <c r="D641" s="251">
        <f>IFERROR(__xludf.DUMMYFUNCTION("""COMPUTED_VALUE"""),4.0)</f>
        <v>4</v>
      </c>
      <c r="E641" s="251">
        <f>IFERROR(__xludf.DUMMYFUNCTION("""COMPUTED_VALUE"""),8.0)</f>
        <v>8</v>
      </c>
      <c r="F641" s="251">
        <f>IFERROR(__xludf.DUMMYFUNCTION("""COMPUTED_VALUE"""),4.0)</f>
        <v>4</v>
      </c>
      <c r="G641" s="251">
        <f>IFERROR(__xludf.DUMMYFUNCTION("""COMPUTED_VALUE"""),4.0)</f>
        <v>4</v>
      </c>
      <c r="H641" s="251">
        <f>IFERROR(__xludf.DUMMYFUNCTION("""COMPUTED_VALUE"""),5.0)</f>
        <v>5</v>
      </c>
      <c r="I641" s="251">
        <f>IFERROR(__xludf.DUMMYFUNCTION("""COMPUTED_VALUE"""),7.0)</f>
        <v>7</v>
      </c>
      <c r="J641" s="251">
        <f>IFERROR(__xludf.DUMMYFUNCTION("""COMPUTED_VALUE"""),4.0)</f>
        <v>4</v>
      </c>
      <c r="K641" s="251" t="str">
        <f>IFERROR(__xludf.DUMMYFUNCTION("""COMPUTED_VALUE"""),"Small")</f>
        <v>Small</v>
      </c>
      <c r="L641" s="251">
        <f>IFERROR(__xludf.DUMMYFUNCTION("""COMPUTED_VALUE"""),3.0)</f>
        <v>3</v>
      </c>
      <c r="M641" s="251" t="str">
        <f>IFERROR(__xludf.DUMMYFUNCTION("""COMPUTED_VALUE"""),"Forest, Mountain")</f>
        <v>Forest, Mountain</v>
      </c>
      <c r="N641" s="251" t="str">
        <f>IFERROR(__xludf.DUMMYFUNCTION("""COMPUTED_VALUE"""),"Climber")</f>
        <v>Climber</v>
      </c>
      <c r="O641" s="251" t="str">
        <f>IFERROR(__xludf.DUMMYFUNCTION("""COMPUTED_VALUE"""),"Jumper")</f>
        <v>Jumper</v>
      </c>
      <c r="P641" s="251" t="str">
        <f>IFERROR(__xludf.DUMMYFUNCTION("""COMPUTED_VALUE"""),"--")</f>
        <v>--</v>
      </c>
      <c r="Q641" s="251" t="str">
        <f>IFERROR(__xludf.DUMMYFUNCTION("""COMPUTED_VALUE"""),"--")</f>
        <v>--</v>
      </c>
      <c r="R641" s="251" t="str">
        <f>IFERROR(__xludf.DUMMYFUNCTION("""COMPUTED_VALUE"""),"Underdog")</f>
        <v>Underdog</v>
      </c>
      <c r="S641" s="251" t="str">
        <f>IFERROR(__xludf.DUMMYFUNCTION("""COMPUTED_VALUE"""),"--")</f>
        <v>--</v>
      </c>
      <c r="T641" s="251" t="str">
        <f>IFERROR(__xludf.DUMMYFUNCTION("""COMPUTED_VALUE"""),"--")</f>
        <v>--</v>
      </c>
      <c r="U641" s="251" t="str">
        <f>IFERROR(__xludf.DUMMYFUNCTION("""COMPUTED_VALUE"""),"--")</f>
        <v>--</v>
      </c>
      <c r="V641" s="251" t="str">
        <f>IFERROR(__xludf.DUMMYFUNCTION("""COMPUTED_VALUE"""),"--")</f>
        <v>--</v>
      </c>
      <c r="W641" s="251" t="str">
        <f>IFERROR(__xludf.DUMMYFUNCTION("""COMPUTED_VALUE"""),"--")</f>
        <v>--</v>
      </c>
      <c r="X641" s="251" t="str">
        <f>IFERROR(__xludf.DUMMYFUNCTION("""COMPUTED_VALUE"""),"--")</f>
        <v>--</v>
      </c>
      <c r="Y641" s="251" t="str">
        <f>IFERROR(__xludf.DUMMYFUNCTION("""COMPUTED_VALUE"""),"--")</f>
        <v>--</v>
      </c>
      <c r="Z641" s="251" t="str">
        <f>IFERROR(__xludf.DUMMYFUNCTION("""COMPUTED_VALUE"""),"--")</f>
        <v>--</v>
      </c>
      <c r="AA641" s="251" t="str">
        <f>IFERROR(__xludf.DUMMYFUNCTION("""COMPUTED_VALUE"""),"--")</f>
        <v>--</v>
      </c>
      <c r="AB641" s="251" t="str">
        <f>IFERROR(__xludf.DUMMYFUNCTION("""COMPUTED_VALUE"""),"--")</f>
        <v>--</v>
      </c>
      <c r="AC641" s="251" t="str">
        <f>IFERROR(__xludf.DUMMYFUNCTION("""COMPUTED_VALUE"""),"--")</f>
        <v>--</v>
      </c>
      <c r="AD641" s="251">
        <f>IFERROR(__xludf.DUMMYFUNCTION("""COMPUTED_VALUE"""),2.0)</f>
        <v>2</v>
      </c>
      <c r="AE641" s="251" t="str">
        <f>IFERROR(__xludf.DUMMYFUNCTION("""COMPUTED_VALUE"""),"Omnivore")</f>
        <v>Omnivore</v>
      </c>
    </row>
    <row r="642">
      <c r="A642" s="251" t="str">
        <f>IFERROR(__xludf.DUMMYFUNCTION("""COMPUTED_VALUE"""),"Primeape")</f>
        <v>Primeape</v>
      </c>
      <c r="B642" s="251" t="str">
        <f>IFERROR(__xludf.DUMMYFUNCTION("""COMPUTED_VALUE"""),"Fighting")</f>
        <v>Fighting</v>
      </c>
      <c r="C642" s="251" t="str">
        <f>IFERROR(__xludf.DUMMYFUNCTION("""COMPUTED_VALUE"""),"None")</f>
        <v>None</v>
      </c>
      <c r="D642" s="251">
        <f>IFERROR(__xludf.DUMMYFUNCTION("""COMPUTED_VALUE"""),8.0)</f>
        <v>8</v>
      </c>
      <c r="E642" s="251">
        <f>IFERROR(__xludf.DUMMYFUNCTION("""COMPUTED_VALUE"""),13.0)</f>
        <v>13</v>
      </c>
      <c r="F642" s="251">
        <f>IFERROR(__xludf.DUMMYFUNCTION("""COMPUTED_VALUE"""),7.0)</f>
        <v>7</v>
      </c>
      <c r="G642" s="251">
        <f>IFERROR(__xludf.DUMMYFUNCTION("""COMPUTED_VALUE"""),6.0)</f>
        <v>6</v>
      </c>
      <c r="H642" s="251">
        <f>IFERROR(__xludf.DUMMYFUNCTION("""COMPUTED_VALUE"""),7.0)</f>
        <v>7</v>
      </c>
      <c r="I642" s="251">
        <f>IFERROR(__xludf.DUMMYFUNCTION("""COMPUTED_VALUE"""),13.0)</f>
        <v>13</v>
      </c>
      <c r="J642" s="251">
        <f>IFERROR(__xludf.DUMMYFUNCTION("""COMPUTED_VALUE"""),6.0)</f>
        <v>6</v>
      </c>
      <c r="K642" s="251" t="str">
        <f>IFERROR(__xludf.DUMMYFUNCTION("""COMPUTED_VALUE"""),"Medium")</f>
        <v>Medium</v>
      </c>
      <c r="L642" s="251">
        <f>IFERROR(__xludf.DUMMYFUNCTION("""COMPUTED_VALUE"""),3.0)</f>
        <v>3</v>
      </c>
      <c r="M642" s="251" t="str">
        <f>IFERROR(__xludf.DUMMYFUNCTION("""COMPUTED_VALUE"""),"Forest, Mountain")</f>
        <v>Forest, Mountain</v>
      </c>
      <c r="N642" s="251" t="str">
        <f>IFERROR(__xludf.DUMMYFUNCTION("""COMPUTED_VALUE"""),"Climber")</f>
        <v>Climber</v>
      </c>
      <c r="O642" s="251" t="str">
        <f>IFERROR(__xludf.DUMMYFUNCTION("""COMPUTED_VALUE"""),"Jumper")</f>
        <v>Jumper</v>
      </c>
      <c r="P642" s="251" t="str">
        <f>IFERROR(__xludf.DUMMYFUNCTION("""COMPUTED_VALUE"""),"--")</f>
        <v>--</v>
      </c>
      <c r="Q642" s="251" t="str">
        <f>IFERROR(__xludf.DUMMYFUNCTION("""COMPUTED_VALUE"""),"--")</f>
        <v>--</v>
      </c>
      <c r="R642" s="251" t="str">
        <f>IFERROR(__xludf.DUMMYFUNCTION("""COMPUTED_VALUE"""),"--")</f>
        <v>--</v>
      </c>
      <c r="S642" s="251" t="str">
        <f>IFERROR(__xludf.DUMMYFUNCTION("""COMPUTED_VALUE"""),"--")</f>
        <v>--</v>
      </c>
      <c r="T642" s="251" t="str">
        <f>IFERROR(__xludf.DUMMYFUNCTION("""COMPUTED_VALUE"""),"--")</f>
        <v>--</v>
      </c>
      <c r="U642" s="251" t="str">
        <f>IFERROR(__xludf.DUMMYFUNCTION("""COMPUTED_VALUE"""),"--")</f>
        <v>--</v>
      </c>
      <c r="V642" s="251" t="str">
        <f>IFERROR(__xludf.DUMMYFUNCTION("""COMPUTED_VALUE"""),"--")</f>
        <v>--</v>
      </c>
      <c r="W642" s="251" t="str">
        <f>IFERROR(__xludf.DUMMYFUNCTION("""COMPUTED_VALUE"""),"--")</f>
        <v>--</v>
      </c>
      <c r="X642" s="251" t="str">
        <f>IFERROR(__xludf.DUMMYFUNCTION("""COMPUTED_VALUE"""),"--")</f>
        <v>--</v>
      </c>
      <c r="Y642" s="251" t="str">
        <f>IFERROR(__xludf.DUMMYFUNCTION("""COMPUTED_VALUE"""),"--")</f>
        <v>--</v>
      </c>
      <c r="Z642" s="251" t="str">
        <f>IFERROR(__xludf.DUMMYFUNCTION("""COMPUTED_VALUE"""),"--")</f>
        <v>--</v>
      </c>
      <c r="AA642" s="251" t="str">
        <f>IFERROR(__xludf.DUMMYFUNCTION("""COMPUTED_VALUE"""),"--")</f>
        <v>--</v>
      </c>
      <c r="AB642" s="251" t="str">
        <f>IFERROR(__xludf.DUMMYFUNCTION("""COMPUTED_VALUE"""),"--")</f>
        <v>--</v>
      </c>
      <c r="AC642" s="251" t="str">
        <f>IFERROR(__xludf.DUMMYFUNCTION("""COMPUTED_VALUE"""),"--")</f>
        <v>--</v>
      </c>
      <c r="AD642" s="251">
        <f>IFERROR(__xludf.DUMMYFUNCTION("""COMPUTED_VALUE"""),3.0)</f>
        <v>3</v>
      </c>
      <c r="AE642" s="251" t="str">
        <f>IFERROR(__xludf.DUMMYFUNCTION("""COMPUTED_VALUE"""),"Omnivore")</f>
        <v>Omnivore</v>
      </c>
    </row>
    <row r="643">
      <c r="A643" s="251" t="str">
        <f>IFERROR(__xludf.DUMMYFUNCTION("""COMPUTED_VALUE"""),"Annihilape")</f>
        <v>Annihilape</v>
      </c>
      <c r="B643" s="251" t="str">
        <f>IFERROR(__xludf.DUMMYFUNCTION("""COMPUTED_VALUE"""),"Fighting")</f>
        <v>Fighting</v>
      </c>
      <c r="C643" s="251" t="str">
        <f>IFERROR(__xludf.DUMMYFUNCTION("""COMPUTED_VALUE"""),"Ghost")</f>
        <v>Ghost</v>
      </c>
      <c r="D643" s="251">
        <f>IFERROR(__xludf.DUMMYFUNCTION("""COMPUTED_VALUE"""),11.0)</f>
        <v>11</v>
      </c>
      <c r="E643" s="251">
        <f>IFERROR(__xludf.DUMMYFUNCTION("""COMPUTED_VALUE"""),12.0)</f>
        <v>12</v>
      </c>
      <c r="F643" s="251">
        <f>IFERROR(__xludf.DUMMYFUNCTION("""COMPUTED_VALUE"""),8.0)</f>
        <v>8</v>
      </c>
      <c r="G643" s="251">
        <f>IFERROR(__xludf.DUMMYFUNCTION("""COMPUTED_VALUE"""),5.0)</f>
        <v>5</v>
      </c>
      <c r="H643" s="251">
        <f>IFERROR(__xludf.DUMMYFUNCTION("""COMPUTED_VALUE"""),9.0)</f>
        <v>9</v>
      </c>
      <c r="I643" s="251">
        <f>IFERROR(__xludf.DUMMYFUNCTION("""COMPUTED_VALUE"""),9.0)</f>
        <v>9</v>
      </c>
      <c r="J643" s="251">
        <f>IFERROR(__xludf.DUMMYFUNCTION("""COMPUTED_VALUE"""),6.0)</f>
        <v>6</v>
      </c>
      <c r="K643" s="251" t="str">
        <f>IFERROR(__xludf.DUMMYFUNCTION("""COMPUTED_VALUE"""),"Medium")</f>
        <v>Medium</v>
      </c>
      <c r="L643" s="251">
        <f>IFERROR(__xludf.DUMMYFUNCTION("""COMPUTED_VALUE"""),4.0)</f>
        <v>4</v>
      </c>
      <c r="M643" s="251" t="str">
        <f>IFERROR(__xludf.DUMMYFUNCTION("""COMPUTED_VALUE"""),"Forest, Mountain")</f>
        <v>Forest, Mountain</v>
      </c>
      <c r="N643" s="251" t="str">
        <f>IFERROR(__xludf.DUMMYFUNCTION("""COMPUTED_VALUE"""),"Climber")</f>
        <v>Climber</v>
      </c>
      <c r="O643" s="251" t="str">
        <f>IFERROR(__xludf.DUMMYFUNCTION("""COMPUTED_VALUE"""),"Jumper")</f>
        <v>Jumper</v>
      </c>
      <c r="P643" s="251" t="str">
        <f>IFERROR(__xludf.DUMMYFUNCTION("""COMPUTED_VALUE"""),"--")</f>
        <v>--</v>
      </c>
      <c r="Q643" s="251" t="str">
        <f>IFERROR(__xludf.DUMMYFUNCTION("""COMPUTED_VALUE"""),"--")</f>
        <v>--</v>
      </c>
      <c r="R643" s="251" t="str">
        <f>IFERROR(__xludf.DUMMYFUNCTION("""COMPUTED_VALUE"""),"--")</f>
        <v>--</v>
      </c>
      <c r="S643" s="251" t="str">
        <f>IFERROR(__xludf.DUMMYFUNCTION("""COMPUTED_VALUE"""),"--")</f>
        <v>--</v>
      </c>
      <c r="T643" s="251" t="str">
        <f>IFERROR(__xludf.DUMMYFUNCTION("""COMPUTED_VALUE"""),"--")</f>
        <v>--</v>
      </c>
      <c r="U643" s="251" t="str">
        <f>IFERROR(__xludf.DUMMYFUNCTION("""COMPUTED_VALUE"""),"--")</f>
        <v>--</v>
      </c>
      <c r="V643" s="251" t="str">
        <f>IFERROR(__xludf.DUMMYFUNCTION("""COMPUTED_VALUE"""),"--")</f>
        <v>--</v>
      </c>
      <c r="W643" s="251" t="str">
        <f>IFERROR(__xludf.DUMMYFUNCTION("""COMPUTED_VALUE"""),"--")</f>
        <v>--</v>
      </c>
      <c r="X643" s="251" t="str">
        <f>IFERROR(__xludf.DUMMYFUNCTION("""COMPUTED_VALUE"""),"--")</f>
        <v>--</v>
      </c>
      <c r="Y643" s="251" t="str">
        <f>IFERROR(__xludf.DUMMYFUNCTION("""COMPUTED_VALUE"""),"--")</f>
        <v>--</v>
      </c>
      <c r="Z643" s="251" t="str">
        <f>IFERROR(__xludf.DUMMYFUNCTION("""COMPUTED_VALUE"""),"--")</f>
        <v>--</v>
      </c>
      <c r="AA643" s="251" t="str">
        <f>IFERROR(__xludf.DUMMYFUNCTION("""COMPUTED_VALUE"""),"--")</f>
        <v>--</v>
      </c>
      <c r="AB643" s="251" t="str">
        <f>IFERROR(__xludf.DUMMYFUNCTION("""COMPUTED_VALUE"""),"--")</f>
        <v>--</v>
      </c>
      <c r="AC643" s="251" t="str">
        <f>IFERROR(__xludf.DUMMYFUNCTION("""COMPUTED_VALUE"""),"--")</f>
        <v>--</v>
      </c>
      <c r="AD643" s="251">
        <f>IFERROR(__xludf.DUMMYFUNCTION("""COMPUTED_VALUE"""),3.0)</f>
        <v>3</v>
      </c>
      <c r="AE643" s="251" t="str">
        <f>IFERROR(__xludf.DUMMYFUNCTION("""COMPUTED_VALUE"""),"Carnivore")</f>
        <v>Carnivore</v>
      </c>
    </row>
    <row r="644">
      <c r="A644" s="251" t="str">
        <f>IFERROR(__xludf.DUMMYFUNCTION("""COMPUTED_VALUE"""),"Tyrogue")</f>
        <v>Tyrogue</v>
      </c>
      <c r="B644" s="251" t="str">
        <f>IFERROR(__xludf.DUMMYFUNCTION("""COMPUTED_VALUE"""),"Fighting")</f>
        <v>Fighting</v>
      </c>
      <c r="C644" s="251" t="str">
        <f>IFERROR(__xludf.DUMMYFUNCTION("""COMPUTED_VALUE"""),"None")</f>
        <v>None</v>
      </c>
      <c r="D644" s="251">
        <f>IFERROR(__xludf.DUMMYFUNCTION("""COMPUTED_VALUE"""),5.0)</f>
        <v>5</v>
      </c>
      <c r="E644" s="251">
        <f>IFERROR(__xludf.DUMMYFUNCTION("""COMPUTED_VALUE"""),5.0)</f>
        <v>5</v>
      </c>
      <c r="F644" s="251">
        <f>IFERROR(__xludf.DUMMYFUNCTION("""COMPUTED_VALUE"""),5.0)</f>
        <v>5</v>
      </c>
      <c r="G644" s="251">
        <f>IFERROR(__xludf.DUMMYFUNCTION("""COMPUTED_VALUE"""),5.0)</f>
        <v>5</v>
      </c>
      <c r="H644" s="251">
        <f>IFERROR(__xludf.DUMMYFUNCTION("""COMPUTED_VALUE"""),5.0)</f>
        <v>5</v>
      </c>
      <c r="I644" s="251">
        <f>IFERROR(__xludf.DUMMYFUNCTION("""COMPUTED_VALUE"""),5.0)</f>
        <v>5</v>
      </c>
      <c r="J644" s="251">
        <f>IFERROR(__xludf.DUMMYFUNCTION("""COMPUTED_VALUE"""),4.0)</f>
        <v>4</v>
      </c>
      <c r="K644" s="251" t="str">
        <f>IFERROR(__xludf.DUMMYFUNCTION("""COMPUTED_VALUE"""),"Small")</f>
        <v>Small</v>
      </c>
      <c r="L644" s="251">
        <f>IFERROR(__xludf.DUMMYFUNCTION("""COMPUTED_VALUE"""),2.0)</f>
        <v>2</v>
      </c>
      <c r="M644" s="251" t="str">
        <f>IFERROR(__xludf.DUMMYFUNCTION("""COMPUTED_VALUE"""),"Grasslands, Urban")</f>
        <v>Grasslands, Urban</v>
      </c>
      <c r="N644" s="251" t="str">
        <f>IFERROR(__xludf.DUMMYFUNCTION("""COMPUTED_VALUE"""),"--")</f>
        <v>--</v>
      </c>
      <c r="O644" s="251" t="str">
        <f>IFERROR(__xludf.DUMMYFUNCTION("""COMPUTED_VALUE"""),"--")</f>
        <v>--</v>
      </c>
      <c r="P644" s="251" t="str">
        <f>IFERROR(__xludf.DUMMYFUNCTION("""COMPUTED_VALUE"""),"--")</f>
        <v>--</v>
      </c>
      <c r="Q644" s="251" t="str">
        <f>IFERROR(__xludf.DUMMYFUNCTION("""COMPUTED_VALUE"""),"--")</f>
        <v>--</v>
      </c>
      <c r="R644" s="251" t="str">
        <f>IFERROR(__xludf.DUMMYFUNCTION("""COMPUTED_VALUE"""),"Underdog")</f>
        <v>Underdog</v>
      </c>
      <c r="S644" s="251" t="str">
        <f>IFERROR(__xludf.DUMMYFUNCTION("""COMPUTED_VALUE"""),"--")</f>
        <v>--</v>
      </c>
      <c r="T644" s="251" t="str">
        <f>IFERROR(__xludf.DUMMYFUNCTION("""COMPUTED_VALUE"""),"--")</f>
        <v>--</v>
      </c>
      <c r="U644" s="251" t="str">
        <f>IFERROR(__xludf.DUMMYFUNCTION("""COMPUTED_VALUE"""),"--")</f>
        <v>--</v>
      </c>
      <c r="V644" s="251" t="str">
        <f>IFERROR(__xludf.DUMMYFUNCTION("""COMPUTED_VALUE"""),"--")</f>
        <v>--</v>
      </c>
      <c r="W644" s="251" t="str">
        <f>IFERROR(__xludf.DUMMYFUNCTION("""COMPUTED_VALUE"""),"--")</f>
        <v>--</v>
      </c>
      <c r="X644" s="251" t="str">
        <f>IFERROR(__xludf.DUMMYFUNCTION("""COMPUTED_VALUE"""),"--")</f>
        <v>--</v>
      </c>
      <c r="Y644" s="251" t="str">
        <f>IFERROR(__xludf.DUMMYFUNCTION("""COMPUTED_VALUE"""),"--")</f>
        <v>--</v>
      </c>
      <c r="Z644" s="251" t="str">
        <f>IFERROR(__xludf.DUMMYFUNCTION("""COMPUTED_VALUE"""),"--")</f>
        <v>--</v>
      </c>
      <c r="AA644" s="251" t="str">
        <f>IFERROR(__xludf.DUMMYFUNCTION("""COMPUTED_VALUE"""),"--")</f>
        <v>--</v>
      </c>
      <c r="AB644" s="251" t="str">
        <f>IFERROR(__xludf.DUMMYFUNCTION("""COMPUTED_VALUE"""),"--")</f>
        <v>--</v>
      </c>
      <c r="AC644" s="251" t="str">
        <f>IFERROR(__xludf.DUMMYFUNCTION("""COMPUTED_VALUE"""),"--")</f>
        <v>--</v>
      </c>
      <c r="AD644" s="251">
        <f>IFERROR(__xludf.DUMMYFUNCTION("""COMPUTED_VALUE"""),2.0)</f>
        <v>2</v>
      </c>
      <c r="AE644" s="251" t="str">
        <f>IFERROR(__xludf.DUMMYFUNCTION("""COMPUTED_VALUE"""),"Omnivore")</f>
        <v>Omnivore</v>
      </c>
    </row>
    <row r="645">
      <c r="A645" s="251" t="str">
        <f>IFERROR(__xludf.DUMMYFUNCTION("""COMPUTED_VALUE"""),"Hitmonlee")</f>
        <v>Hitmonlee</v>
      </c>
      <c r="B645" s="251" t="str">
        <f>IFERROR(__xludf.DUMMYFUNCTION("""COMPUTED_VALUE"""),"Fighting")</f>
        <v>Fighting</v>
      </c>
      <c r="C645" s="251" t="str">
        <f>IFERROR(__xludf.DUMMYFUNCTION("""COMPUTED_VALUE"""),"None")</f>
        <v>None</v>
      </c>
      <c r="D645" s="251">
        <f>IFERROR(__xludf.DUMMYFUNCTION("""COMPUTED_VALUE"""),6.0)</f>
        <v>6</v>
      </c>
      <c r="E645" s="251">
        <f>IFERROR(__xludf.DUMMYFUNCTION("""COMPUTED_VALUE"""),13.0)</f>
        <v>13</v>
      </c>
      <c r="F645" s="251">
        <f>IFERROR(__xludf.DUMMYFUNCTION("""COMPUTED_VALUE"""),6.0)</f>
        <v>6</v>
      </c>
      <c r="G645" s="251">
        <f>IFERROR(__xludf.DUMMYFUNCTION("""COMPUTED_VALUE"""),4.0)</f>
        <v>4</v>
      </c>
      <c r="H645" s="251">
        <f>IFERROR(__xludf.DUMMYFUNCTION("""COMPUTED_VALUE"""),11.0)</f>
        <v>11</v>
      </c>
      <c r="I645" s="251">
        <f>IFERROR(__xludf.DUMMYFUNCTION("""COMPUTED_VALUE"""),11.0)</f>
        <v>11</v>
      </c>
      <c r="J645" s="251">
        <f>IFERROR(__xludf.DUMMYFUNCTION("""COMPUTED_VALUE"""),6.0)</f>
        <v>6</v>
      </c>
      <c r="K645" s="251" t="str">
        <f>IFERROR(__xludf.DUMMYFUNCTION("""COMPUTED_VALUE"""),"Medium")</f>
        <v>Medium</v>
      </c>
      <c r="L645" s="251">
        <f>IFERROR(__xludf.DUMMYFUNCTION("""COMPUTED_VALUE"""),3.0)</f>
        <v>3</v>
      </c>
      <c r="M645" s="251" t="str">
        <f>IFERROR(__xludf.DUMMYFUNCTION("""COMPUTED_VALUE"""),"Grasslands, Urban")</f>
        <v>Grasslands, Urban</v>
      </c>
      <c r="N645" s="251" t="str">
        <f>IFERROR(__xludf.DUMMYFUNCTION("""COMPUTED_VALUE"""),"Jumper")</f>
        <v>Jumper</v>
      </c>
      <c r="O645" s="251" t="str">
        <f>IFERROR(__xludf.DUMMYFUNCTION("""COMPUTED_VALUE"""),"--")</f>
        <v>--</v>
      </c>
      <c r="P645" s="251" t="str">
        <f>IFERROR(__xludf.DUMMYFUNCTION("""COMPUTED_VALUE"""),"--")</f>
        <v>--</v>
      </c>
      <c r="Q645" s="251" t="str">
        <f>IFERROR(__xludf.DUMMYFUNCTION("""COMPUTED_VALUE"""),"--")</f>
        <v>--</v>
      </c>
      <c r="R645" s="251" t="str">
        <f>IFERROR(__xludf.DUMMYFUNCTION("""COMPUTED_VALUE"""),"Reach")</f>
        <v>Reach</v>
      </c>
      <c r="S645" s="251" t="str">
        <f>IFERROR(__xludf.DUMMYFUNCTION("""COMPUTED_VALUE"""),"--")</f>
        <v>--</v>
      </c>
      <c r="T645" s="251" t="str">
        <f>IFERROR(__xludf.DUMMYFUNCTION("""COMPUTED_VALUE"""),"--")</f>
        <v>--</v>
      </c>
      <c r="U645" s="251" t="str">
        <f>IFERROR(__xludf.DUMMYFUNCTION("""COMPUTED_VALUE"""),"--")</f>
        <v>--</v>
      </c>
      <c r="V645" s="251" t="str">
        <f>IFERROR(__xludf.DUMMYFUNCTION("""COMPUTED_VALUE"""),"--")</f>
        <v>--</v>
      </c>
      <c r="W645" s="251" t="str">
        <f>IFERROR(__xludf.DUMMYFUNCTION("""COMPUTED_VALUE"""),"--")</f>
        <v>--</v>
      </c>
      <c r="X645" s="251" t="str">
        <f>IFERROR(__xludf.DUMMYFUNCTION("""COMPUTED_VALUE"""),"--")</f>
        <v>--</v>
      </c>
      <c r="Y645" s="251" t="str">
        <f>IFERROR(__xludf.DUMMYFUNCTION("""COMPUTED_VALUE"""),"--")</f>
        <v>--</v>
      </c>
      <c r="Z645" s="251" t="str">
        <f>IFERROR(__xludf.DUMMYFUNCTION("""COMPUTED_VALUE"""),"--")</f>
        <v>--</v>
      </c>
      <c r="AA645" s="251" t="str">
        <f>IFERROR(__xludf.DUMMYFUNCTION("""COMPUTED_VALUE"""),"--")</f>
        <v>--</v>
      </c>
      <c r="AB645" s="251" t="str">
        <f>IFERROR(__xludf.DUMMYFUNCTION("""COMPUTED_VALUE"""),"--")</f>
        <v>--</v>
      </c>
      <c r="AC645" s="251" t="str">
        <f>IFERROR(__xludf.DUMMYFUNCTION("""COMPUTED_VALUE"""),"--")</f>
        <v>--</v>
      </c>
      <c r="AD645" s="251">
        <f>IFERROR(__xludf.DUMMYFUNCTION("""COMPUTED_VALUE"""),3.0)</f>
        <v>3</v>
      </c>
      <c r="AE645" s="251" t="str">
        <f>IFERROR(__xludf.DUMMYFUNCTION("""COMPUTED_VALUE"""),"Omnivore")</f>
        <v>Omnivore</v>
      </c>
    </row>
    <row r="646">
      <c r="A646" s="251" t="str">
        <f>IFERROR(__xludf.DUMMYFUNCTION("""COMPUTED_VALUE"""),"Hitmonchan")</f>
        <v>Hitmonchan</v>
      </c>
      <c r="B646" s="251" t="str">
        <f>IFERROR(__xludf.DUMMYFUNCTION("""COMPUTED_VALUE"""),"Fighting")</f>
        <v>Fighting</v>
      </c>
      <c r="C646" s="251" t="str">
        <f>IFERROR(__xludf.DUMMYFUNCTION("""COMPUTED_VALUE"""),"None")</f>
        <v>None</v>
      </c>
      <c r="D646" s="251">
        <f>IFERROR(__xludf.DUMMYFUNCTION("""COMPUTED_VALUE"""),6.0)</f>
        <v>6</v>
      </c>
      <c r="E646" s="251">
        <f>IFERROR(__xludf.DUMMYFUNCTION("""COMPUTED_VALUE"""),12.0)</f>
        <v>12</v>
      </c>
      <c r="F646" s="251">
        <f>IFERROR(__xludf.DUMMYFUNCTION("""COMPUTED_VALUE"""),9.0)</f>
        <v>9</v>
      </c>
      <c r="G646" s="251">
        <f>IFERROR(__xludf.DUMMYFUNCTION("""COMPUTED_VALUE"""),4.0)</f>
        <v>4</v>
      </c>
      <c r="H646" s="251">
        <f>IFERROR(__xludf.DUMMYFUNCTION("""COMPUTED_VALUE"""),11.0)</f>
        <v>11</v>
      </c>
      <c r="I646" s="251">
        <f>IFERROR(__xludf.DUMMYFUNCTION("""COMPUTED_VALUE"""),9.0)</f>
        <v>9</v>
      </c>
      <c r="J646" s="251">
        <f>IFERROR(__xludf.DUMMYFUNCTION("""COMPUTED_VALUE"""),7.0)</f>
        <v>7</v>
      </c>
      <c r="K646" s="251" t="str">
        <f>IFERROR(__xludf.DUMMYFUNCTION("""COMPUTED_VALUE"""),"Medium")</f>
        <v>Medium</v>
      </c>
      <c r="L646" s="251">
        <f>IFERROR(__xludf.DUMMYFUNCTION("""COMPUTED_VALUE"""),4.0)</f>
        <v>4</v>
      </c>
      <c r="M646" s="251" t="str">
        <f>IFERROR(__xludf.DUMMYFUNCTION("""COMPUTED_VALUE"""),"Grasslands, Urban")</f>
        <v>Grasslands, Urban</v>
      </c>
      <c r="N646" s="251" t="str">
        <f>IFERROR(__xludf.DUMMYFUNCTION("""COMPUTED_VALUE"""),"--")</f>
        <v>--</v>
      </c>
      <c r="O646" s="251" t="str">
        <f>IFERROR(__xludf.DUMMYFUNCTION("""COMPUTED_VALUE"""),"--")</f>
        <v>--</v>
      </c>
      <c r="P646" s="251" t="str">
        <f>IFERROR(__xludf.DUMMYFUNCTION("""COMPUTED_VALUE"""),"--")</f>
        <v>--</v>
      </c>
      <c r="Q646" s="251" t="str">
        <f>IFERROR(__xludf.DUMMYFUNCTION("""COMPUTED_VALUE"""),"--")</f>
        <v>--</v>
      </c>
      <c r="R646" s="251" t="str">
        <f>IFERROR(__xludf.DUMMYFUNCTION("""COMPUTED_VALUE"""),"--")</f>
        <v>--</v>
      </c>
      <c r="S646" s="251" t="str">
        <f>IFERROR(__xludf.DUMMYFUNCTION("""COMPUTED_VALUE"""),"--")</f>
        <v>--</v>
      </c>
      <c r="T646" s="251" t="str">
        <f>IFERROR(__xludf.DUMMYFUNCTION("""COMPUTED_VALUE"""),"--")</f>
        <v>--</v>
      </c>
      <c r="U646" s="251" t="str">
        <f>IFERROR(__xludf.DUMMYFUNCTION("""COMPUTED_VALUE"""),"--")</f>
        <v>--</v>
      </c>
      <c r="V646" s="251" t="str">
        <f>IFERROR(__xludf.DUMMYFUNCTION("""COMPUTED_VALUE"""),"--")</f>
        <v>--</v>
      </c>
      <c r="W646" s="251" t="str">
        <f>IFERROR(__xludf.DUMMYFUNCTION("""COMPUTED_VALUE"""),"--")</f>
        <v>--</v>
      </c>
      <c r="X646" s="251" t="str">
        <f>IFERROR(__xludf.DUMMYFUNCTION("""COMPUTED_VALUE"""),"--")</f>
        <v>--</v>
      </c>
      <c r="Y646" s="251" t="str">
        <f>IFERROR(__xludf.DUMMYFUNCTION("""COMPUTED_VALUE"""),"--")</f>
        <v>--</v>
      </c>
      <c r="Z646" s="251" t="str">
        <f>IFERROR(__xludf.DUMMYFUNCTION("""COMPUTED_VALUE"""),"--")</f>
        <v>--</v>
      </c>
      <c r="AA646" s="251" t="str">
        <f>IFERROR(__xludf.DUMMYFUNCTION("""COMPUTED_VALUE"""),"--")</f>
        <v>--</v>
      </c>
      <c r="AB646" s="251" t="str">
        <f>IFERROR(__xludf.DUMMYFUNCTION("""COMPUTED_VALUE"""),"--")</f>
        <v>--</v>
      </c>
      <c r="AC646" s="251" t="str">
        <f>IFERROR(__xludf.DUMMYFUNCTION("""COMPUTED_VALUE"""),"--")</f>
        <v>--</v>
      </c>
      <c r="AD646" s="251">
        <f>IFERROR(__xludf.DUMMYFUNCTION("""COMPUTED_VALUE"""),3.0)</f>
        <v>3</v>
      </c>
      <c r="AE646" s="251" t="str">
        <f>IFERROR(__xludf.DUMMYFUNCTION("""COMPUTED_VALUE"""),"Omnivore")</f>
        <v>Omnivore</v>
      </c>
    </row>
    <row r="647">
      <c r="A647" s="251" t="str">
        <f>IFERROR(__xludf.DUMMYFUNCTION("""COMPUTED_VALUE"""),"Hitmontop")</f>
        <v>Hitmontop</v>
      </c>
      <c r="B647" s="251" t="str">
        <f>IFERROR(__xludf.DUMMYFUNCTION("""COMPUTED_VALUE"""),"Fighting")</f>
        <v>Fighting</v>
      </c>
      <c r="C647" s="251" t="str">
        <f>IFERROR(__xludf.DUMMYFUNCTION("""COMPUTED_VALUE"""),"None")</f>
        <v>None</v>
      </c>
      <c r="D647" s="251">
        <f>IFERROR(__xludf.DUMMYFUNCTION("""COMPUTED_VALUE"""),6.0)</f>
        <v>6</v>
      </c>
      <c r="E647" s="251">
        <f>IFERROR(__xludf.DUMMYFUNCTION("""COMPUTED_VALUE"""),11.0)</f>
        <v>11</v>
      </c>
      <c r="F647" s="251">
        <f>IFERROR(__xludf.DUMMYFUNCTION("""COMPUTED_VALUE"""),11.0)</f>
        <v>11</v>
      </c>
      <c r="G647" s="251">
        <f>IFERROR(__xludf.DUMMYFUNCTION("""COMPUTED_VALUE"""),4.0)</f>
        <v>4</v>
      </c>
      <c r="H647" s="251">
        <f>IFERROR(__xludf.DUMMYFUNCTION("""COMPUTED_VALUE"""),11.0)</f>
        <v>11</v>
      </c>
      <c r="I647" s="251">
        <f>IFERROR(__xludf.DUMMYFUNCTION("""COMPUTED_VALUE"""),8.0)</f>
        <v>8</v>
      </c>
      <c r="J647" s="251">
        <f>IFERROR(__xludf.DUMMYFUNCTION("""COMPUTED_VALUE"""),6.0)</f>
        <v>6</v>
      </c>
      <c r="K647" s="251" t="str">
        <f>IFERROR(__xludf.DUMMYFUNCTION("""COMPUTED_VALUE"""),"Medium")</f>
        <v>Medium</v>
      </c>
      <c r="L647" s="251">
        <f>IFERROR(__xludf.DUMMYFUNCTION("""COMPUTED_VALUE"""),3.0)</f>
        <v>3</v>
      </c>
      <c r="M647" s="251" t="str">
        <f>IFERROR(__xludf.DUMMYFUNCTION("""COMPUTED_VALUE"""),"Grasslands, Urban")</f>
        <v>Grasslands, Urban</v>
      </c>
      <c r="N647" s="251" t="str">
        <f>IFERROR(__xludf.DUMMYFUNCTION("""COMPUTED_VALUE"""),"--")</f>
        <v>--</v>
      </c>
      <c r="O647" s="251" t="str">
        <f>IFERROR(__xludf.DUMMYFUNCTION("""COMPUTED_VALUE"""),"--")</f>
        <v>--</v>
      </c>
      <c r="P647" s="251" t="str">
        <f>IFERROR(__xludf.DUMMYFUNCTION("""COMPUTED_VALUE"""),"--")</f>
        <v>--</v>
      </c>
      <c r="Q647" s="251" t="str">
        <f>IFERROR(__xludf.DUMMYFUNCTION("""COMPUTED_VALUE"""),"--")</f>
        <v>--</v>
      </c>
      <c r="R647" s="251" t="str">
        <f>IFERROR(__xludf.DUMMYFUNCTION("""COMPUTED_VALUE"""),"--")</f>
        <v>--</v>
      </c>
      <c r="S647" s="251" t="str">
        <f>IFERROR(__xludf.DUMMYFUNCTION("""COMPUTED_VALUE"""),"--")</f>
        <v>--</v>
      </c>
      <c r="T647" s="251" t="str">
        <f>IFERROR(__xludf.DUMMYFUNCTION("""COMPUTED_VALUE"""),"--")</f>
        <v>--</v>
      </c>
      <c r="U647" s="251" t="str">
        <f>IFERROR(__xludf.DUMMYFUNCTION("""COMPUTED_VALUE"""),"--")</f>
        <v>--</v>
      </c>
      <c r="V647" s="251" t="str">
        <f>IFERROR(__xludf.DUMMYFUNCTION("""COMPUTED_VALUE"""),"--")</f>
        <v>--</v>
      </c>
      <c r="W647" s="251" t="str">
        <f>IFERROR(__xludf.DUMMYFUNCTION("""COMPUTED_VALUE"""),"--")</f>
        <v>--</v>
      </c>
      <c r="X647" s="251" t="str">
        <f>IFERROR(__xludf.DUMMYFUNCTION("""COMPUTED_VALUE"""),"--")</f>
        <v>--</v>
      </c>
      <c r="Y647" s="251" t="str">
        <f>IFERROR(__xludf.DUMMYFUNCTION("""COMPUTED_VALUE"""),"--")</f>
        <v>--</v>
      </c>
      <c r="Z647" s="251" t="str">
        <f>IFERROR(__xludf.DUMMYFUNCTION("""COMPUTED_VALUE"""),"--")</f>
        <v>--</v>
      </c>
      <c r="AA647" s="251" t="str">
        <f>IFERROR(__xludf.DUMMYFUNCTION("""COMPUTED_VALUE"""),"--")</f>
        <v>--</v>
      </c>
      <c r="AB647" s="251" t="str">
        <f>IFERROR(__xludf.DUMMYFUNCTION("""COMPUTED_VALUE"""),"--")</f>
        <v>--</v>
      </c>
      <c r="AC647" s="251" t="str">
        <f>IFERROR(__xludf.DUMMYFUNCTION("""COMPUTED_VALUE"""),"--")</f>
        <v>--</v>
      </c>
      <c r="AD647" s="251">
        <f>IFERROR(__xludf.DUMMYFUNCTION("""COMPUTED_VALUE"""),3.0)</f>
        <v>3</v>
      </c>
      <c r="AE647" s="251" t="str">
        <f>IFERROR(__xludf.DUMMYFUNCTION("""COMPUTED_VALUE"""),"Omnivore")</f>
        <v>Omnivore</v>
      </c>
    </row>
    <row r="648">
      <c r="A648" s="251" t="str">
        <f>IFERROR(__xludf.DUMMYFUNCTION("""COMPUTED_VALUE"""),"Makuhita")</f>
        <v>Makuhita</v>
      </c>
      <c r="B648" s="251" t="str">
        <f>IFERROR(__xludf.DUMMYFUNCTION("""COMPUTED_VALUE"""),"Fighting")</f>
        <v>Fighting</v>
      </c>
      <c r="C648" s="251" t="str">
        <f>IFERROR(__xludf.DUMMYFUNCTION("""COMPUTED_VALUE"""),"None")</f>
        <v>None</v>
      </c>
      <c r="D648" s="251">
        <f>IFERROR(__xludf.DUMMYFUNCTION("""COMPUTED_VALUE"""),9.0)</f>
        <v>9</v>
      </c>
      <c r="E648" s="251">
        <f>IFERROR(__xludf.DUMMYFUNCTION("""COMPUTED_VALUE"""),8.0)</f>
        <v>8</v>
      </c>
      <c r="F648" s="251">
        <f>IFERROR(__xludf.DUMMYFUNCTION("""COMPUTED_VALUE"""),4.0)</f>
        <v>4</v>
      </c>
      <c r="G648" s="251">
        <f>IFERROR(__xludf.DUMMYFUNCTION("""COMPUTED_VALUE"""),2.0)</f>
        <v>2</v>
      </c>
      <c r="H648" s="251">
        <f>IFERROR(__xludf.DUMMYFUNCTION("""COMPUTED_VALUE"""),4.0)</f>
        <v>4</v>
      </c>
      <c r="I648" s="251">
        <f>IFERROR(__xludf.DUMMYFUNCTION("""COMPUTED_VALUE"""),3.0)</f>
        <v>3</v>
      </c>
      <c r="J648" s="251">
        <f>IFERROR(__xludf.DUMMYFUNCTION("""COMPUTED_VALUE"""),6.0)</f>
        <v>6</v>
      </c>
      <c r="K648" s="251" t="str">
        <f>IFERROR(__xludf.DUMMYFUNCTION("""COMPUTED_VALUE"""),"Medium")</f>
        <v>Medium</v>
      </c>
      <c r="L648" s="251">
        <f>IFERROR(__xludf.DUMMYFUNCTION("""COMPUTED_VALUE"""),4.0)</f>
        <v>4</v>
      </c>
      <c r="M648" s="251" t="str">
        <f>IFERROR(__xludf.DUMMYFUNCTION("""COMPUTED_VALUE"""),"Cave")</f>
        <v>Cave</v>
      </c>
      <c r="N648" s="251" t="str">
        <f>IFERROR(__xludf.DUMMYFUNCTION("""COMPUTED_VALUE"""),"Slow")</f>
        <v>Slow</v>
      </c>
      <c r="O648" s="251" t="str">
        <f>IFERROR(__xludf.DUMMYFUNCTION("""COMPUTED_VALUE"""),"--")</f>
        <v>--</v>
      </c>
      <c r="P648" s="251" t="str">
        <f>IFERROR(__xludf.DUMMYFUNCTION("""COMPUTED_VALUE"""),"--")</f>
        <v>--</v>
      </c>
      <c r="Q648" s="251" t="str">
        <f>IFERROR(__xludf.DUMMYFUNCTION("""COMPUTED_VALUE"""),"--")</f>
        <v>--</v>
      </c>
      <c r="R648" s="251" t="str">
        <f>IFERROR(__xludf.DUMMYFUNCTION("""COMPUTED_VALUE"""),"--")</f>
        <v>--</v>
      </c>
      <c r="S648" s="251" t="str">
        <f>IFERROR(__xludf.DUMMYFUNCTION("""COMPUTED_VALUE"""),"--")</f>
        <v>--</v>
      </c>
      <c r="T648" s="251" t="str">
        <f>IFERROR(__xludf.DUMMYFUNCTION("""COMPUTED_VALUE"""),"--")</f>
        <v>--</v>
      </c>
      <c r="U648" s="251" t="str">
        <f>IFERROR(__xludf.DUMMYFUNCTION("""COMPUTED_VALUE"""),"--")</f>
        <v>--</v>
      </c>
      <c r="V648" s="251" t="str">
        <f>IFERROR(__xludf.DUMMYFUNCTION("""COMPUTED_VALUE"""),"--")</f>
        <v>--</v>
      </c>
      <c r="W648" s="251" t="str">
        <f>IFERROR(__xludf.DUMMYFUNCTION("""COMPUTED_VALUE"""),"--")</f>
        <v>--</v>
      </c>
      <c r="X648" s="251" t="str">
        <f>IFERROR(__xludf.DUMMYFUNCTION("""COMPUTED_VALUE"""),"--")</f>
        <v>--</v>
      </c>
      <c r="Y648" s="251" t="str">
        <f>IFERROR(__xludf.DUMMYFUNCTION("""COMPUTED_VALUE"""),"--")</f>
        <v>--</v>
      </c>
      <c r="Z648" s="251" t="str">
        <f>IFERROR(__xludf.DUMMYFUNCTION("""COMPUTED_VALUE"""),"--")</f>
        <v>--</v>
      </c>
      <c r="AA648" s="251" t="str">
        <f>IFERROR(__xludf.DUMMYFUNCTION("""COMPUTED_VALUE"""),"--")</f>
        <v>--</v>
      </c>
      <c r="AB648" s="251" t="str">
        <f>IFERROR(__xludf.DUMMYFUNCTION("""COMPUTED_VALUE"""),"--")</f>
        <v>--</v>
      </c>
      <c r="AC648" s="251" t="str">
        <f>IFERROR(__xludf.DUMMYFUNCTION("""COMPUTED_VALUE"""),"--")</f>
        <v>--</v>
      </c>
      <c r="AD648" s="251">
        <f>IFERROR(__xludf.DUMMYFUNCTION("""COMPUTED_VALUE"""),2.0)</f>
        <v>2</v>
      </c>
      <c r="AE648" s="251" t="str">
        <f>IFERROR(__xludf.DUMMYFUNCTION("""COMPUTED_VALUE"""),"Omnivore")</f>
        <v>Omnivore</v>
      </c>
    </row>
    <row r="649">
      <c r="A649" s="251" t="str">
        <f>IFERROR(__xludf.DUMMYFUNCTION("""COMPUTED_VALUE"""),"Hariyama")</f>
        <v>Hariyama</v>
      </c>
      <c r="B649" s="251" t="str">
        <f>IFERROR(__xludf.DUMMYFUNCTION("""COMPUTED_VALUE"""),"Fighting")</f>
        <v>Fighting</v>
      </c>
      <c r="C649" s="251" t="str">
        <f>IFERROR(__xludf.DUMMYFUNCTION("""COMPUTED_VALUE"""),"None")</f>
        <v>None</v>
      </c>
      <c r="D649" s="251">
        <f>IFERROR(__xludf.DUMMYFUNCTION("""COMPUTED_VALUE"""),15.0)</f>
        <v>15</v>
      </c>
      <c r="E649" s="251">
        <f>IFERROR(__xludf.DUMMYFUNCTION("""COMPUTED_VALUE"""),13.0)</f>
        <v>13</v>
      </c>
      <c r="F649" s="251">
        <f>IFERROR(__xludf.DUMMYFUNCTION("""COMPUTED_VALUE"""),7.0)</f>
        <v>7</v>
      </c>
      <c r="G649" s="251">
        <f>IFERROR(__xludf.DUMMYFUNCTION("""COMPUTED_VALUE"""),4.0)</f>
        <v>4</v>
      </c>
      <c r="H649" s="251">
        <f>IFERROR(__xludf.DUMMYFUNCTION("""COMPUTED_VALUE"""),7.0)</f>
        <v>7</v>
      </c>
      <c r="I649" s="251">
        <f>IFERROR(__xludf.DUMMYFUNCTION("""COMPUTED_VALUE"""),5.0)</f>
        <v>5</v>
      </c>
      <c r="J649" s="251">
        <f>IFERROR(__xludf.DUMMYFUNCTION("""COMPUTED_VALUE"""),14.0)</f>
        <v>14</v>
      </c>
      <c r="K649" s="251" t="str">
        <f>IFERROR(__xludf.DUMMYFUNCTION("""COMPUTED_VALUE"""),"Large")</f>
        <v>Large</v>
      </c>
      <c r="L649" s="251">
        <f>IFERROR(__xludf.DUMMYFUNCTION("""COMPUTED_VALUE"""),6.0)</f>
        <v>6</v>
      </c>
      <c r="M649" s="251" t="str">
        <f>IFERROR(__xludf.DUMMYFUNCTION("""COMPUTED_VALUE"""),"Cave")</f>
        <v>Cave</v>
      </c>
      <c r="N649" s="251" t="str">
        <f>IFERROR(__xludf.DUMMYFUNCTION("""COMPUTED_VALUE"""),"--")</f>
        <v>--</v>
      </c>
      <c r="O649" s="251" t="str">
        <f>IFERROR(__xludf.DUMMYFUNCTION("""COMPUTED_VALUE"""),"--")</f>
        <v>--</v>
      </c>
      <c r="P649" s="251" t="str">
        <f>IFERROR(__xludf.DUMMYFUNCTION("""COMPUTED_VALUE"""),"--")</f>
        <v>--</v>
      </c>
      <c r="Q649" s="251" t="str">
        <f>IFERROR(__xludf.DUMMYFUNCTION("""COMPUTED_VALUE"""),"--")</f>
        <v>--</v>
      </c>
      <c r="R649" s="251" t="str">
        <f>IFERROR(__xludf.DUMMYFUNCTION("""COMPUTED_VALUE"""),"--")</f>
        <v>--</v>
      </c>
      <c r="S649" s="251" t="str">
        <f>IFERROR(__xludf.DUMMYFUNCTION("""COMPUTED_VALUE"""),"--")</f>
        <v>--</v>
      </c>
      <c r="T649" s="251" t="str">
        <f>IFERROR(__xludf.DUMMYFUNCTION("""COMPUTED_VALUE"""),"--")</f>
        <v>--</v>
      </c>
      <c r="U649" s="251" t="str">
        <f>IFERROR(__xludf.DUMMYFUNCTION("""COMPUTED_VALUE"""),"--")</f>
        <v>--</v>
      </c>
      <c r="V649" s="251" t="str">
        <f>IFERROR(__xludf.DUMMYFUNCTION("""COMPUTED_VALUE"""),"--")</f>
        <v>--</v>
      </c>
      <c r="W649" s="251" t="str">
        <f>IFERROR(__xludf.DUMMYFUNCTION("""COMPUTED_VALUE"""),"--")</f>
        <v>--</v>
      </c>
      <c r="X649" s="251" t="str">
        <f>IFERROR(__xludf.DUMMYFUNCTION("""COMPUTED_VALUE"""),"--")</f>
        <v>--</v>
      </c>
      <c r="Y649" s="251" t="str">
        <f>IFERROR(__xludf.DUMMYFUNCTION("""COMPUTED_VALUE"""),"--")</f>
        <v>--</v>
      </c>
      <c r="Z649" s="251" t="str">
        <f>IFERROR(__xludf.DUMMYFUNCTION("""COMPUTED_VALUE"""),"--")</f>
        <v>--</v>
      </c>
      <c r="AA649" s="251" t="str">
        <f>IFERROR(__xludf.DUMMYFUNCTION("""COMPUTED_VALUE"""),"--")</f>
        <v>--</v>
      </c>
      <c r="AB649" s="251" t="str">
        <f>IFERROR(__xludf.DUMMYFUNCTION("""COMPUTED_VALUE"""),"--")</f>
        <v>--</v>
      </c>
      <c r="AC649" s="251" t="str">
        <f>IFERROR(__xludf.DUMMYFUNCTION("""COMPUTED_VALUE"""),"--")</f>
        <v>--</v>
      </c>
      <c r="AD649" s="251">
        <f>IFERROR(__xludf.DUMMYFUNCTION("""COMPUTED_VALUE"""),3.0)</f>
        <v>3</v>
      </c>
      <c r="AE649" s="251" t="str">
        <f>IFERROR(__xludf.DUMMYFUNCTION("""COMPUTED_VALUE"""),"Omnivore")</f>
        <v>Omnivore</v>
      </c>
    </row>
    <row r="650">
      <c r="A650" s="251" t="str">
        <f>IFERROR(__xludf.DUMMYFUNCTION("""COMPUTED_VALUE"""),"Meditite")</f>
        <v>Meditite</v>
      </c>
      <c r="B650" s="251" t="str">
        <f>IFERROR(__xludf.DUMMYFUNCTION("""COMPUTED_VALUE"""),"Fighting")</f>
        <v>Fighting</v>
      </c>
      <c r="C650" s="251" t="str">
        <f>IFERROR(__xludf.DUMMYFUNCTION("""COMPUTED_VALUE"""),"Psychic")</f>
        <v>Psychic</v>
      </c>
      <c r="D650" s="251">
        <f>IFERROR(__xludf.DUMMYFUNCTION("""COMPUTED_VALUE"""),4.0)</f>
        <v>4</v>
      </c>
      <c r="E650" s="251">
        <f>IFERROR(__xludf.DUMMYFUNCTION("""COMPUTED_VALUE"""),4.0)</f>
        <v>4</v>
      </c>
      <c r="F650" s="251">
        <f>IFERROR(__xludf.DUMMYFUNCTION("""COMPUTED_VALUE"""),6.0)</f>
        <v>6</v>
      </c>
      <c r="G650" s="251">
        <f>IFERROR(__xludf.DUMMYFUNCTION("""COMPUTED_VALUE"""),4.0)</f>
        <v>4</v>
      </c>
      <c r="H650" s="251">
        <f>IFERROR(__xludf.DUMMYFUNCTION("""COMPUTED_VALUE"""),6.0)</f>
        <v>6</v>
      </c>
      <c r="I650" s="251">
        <f>IFERROR(__xludf.DUMMYFUNCTION("""COMPUTED_VALUE"""),6.0)</f>
        <v>6</v>
      </c>
      <c r="J650" s="251">
        <f>IFERROR(__xludf.DUMMYFUNCTION("""COMPUTED_VALUE"""),4.0)</f>
        <v>4</v>
      </c>
      <c r="K650" s="251" t="str">
        <f>IFERROR(__xludf.DUMMYFUNCTION("""COMPUTED_VALUE"""),"Small")</f>
        <v>Small</v>
      </c>
      <c r="L650" s="251">
        <f>IFERROR(__xludf.DUMMYFUNCTION("""COMPUTED_VALUE"""),1.0)</f>
        <v>1</v>
      </c>
      <c r="M650" s="251" t="str">
        <f>IFERROR(__xludf.DUMMYFUNCTION("""COMPUTED_VALUE"""),"Cave")</f>
        <v>Cave</v>
      </c>
      <c r="N650" s="251" t="str">
        <f>IFERROR(__xludf.DUMMYFUNCTION("""COMPUTED_VALUE"""),"--")</f>
        <v>--</v>
      </c>
      <c r="O650" s="251" t="str">
        <f>IFERROR(__xludf.DUMMYFUNCTION("""COMPUTED_VALUE"""),"--")</f>
        <v>--</v>
      </c>
      <c r="P650" s="251" t="str">
        <f>IFERROR(__xludf.DUMMYFUNCTION("""COMPUTED_VALUE"""),"--")</f>
        <v>--</v>
      </c>
      <c r="Q650" s="251" t="str">
        <f>IFERROR(__xludf.DUMMYFUNCTION("""COMPUTED_VALUE"""),"--")</f>
        <v>--</v>
      </c>
      <c r="R650" s="251" t="str">
        <f>IFERROR(__xludf.DUMMYFUNCTION("""COMPUTED_VALUE"""),"Underdog")</f>
        <v>Underdog</v>
      </c>
      <c r="S650" s="251" t="str">
        <f>IFERROR(__xludf.DUMMYFUNCTION("""COMPUTED_VALUE"""),"--")</f>
        <v>--</v>
      </c>
      <c r="T650" s="251" t="str">
        <f>IFERROR(__xludf.DUMMYFUNCTION("""COMPUTED_VALUE"""),"--")</f>
        <v>--</v>
      </c>
      <c r="U650" s="251" t="str">
        <f>IFERROR(__xludf.DUMMYFUNCTION("""COMPUTED_VALUE"""),"--")</f>
        <v>--</v>
      </c>
      <c r="V650" s="251" t="str">
        <f>IFERROR(__xludf.DUMMYFUNCTION("""COMPUTED_VALUE"""),"Aura Reader")</f>
        <v>Aura Reader</v>
      </c>
      <c r="W650" s="251" t="str">
        <f>IFERROR(__xludf.DUMMYFUNCTION("""COMPUTED_VALUE"""),"Telepath")</f>
        <v>Telepath</v>
      </c>
      <c r="X650" s="251" t="str">
        <f>IFERROR(__xludf.DUMMYFUNCTION("""COMPUTED_VALUE"""),"--")</f>
        <v>--</v>
      </c>
      <c r="Y650" s="251" t="str">
        <f>IFERROR(__xludf.DUMMYFUNCTION("""COMPUTED_VALUE"""),"--")</f>
        <v>--</v>
      </c>
      <c r="Z650" s="251" t="str">
        <f>IFERROR(__xludf.DUMMYFUNCTION("""COMPUTED_VALUE"""),"--")</f>
        <v>--</v>
      </c>
      <c r="AA650" s="251" t="str">
        <f>IFERROR(__xludf.DUMMYFUNCTION("""COMPUTED_VALUE"""),"--")</f>
        <v>--</v>
      </c>
      <c r="AB650" s="251" t="str">
        <f>IFERROR(__xludf.DUMMYFUNCTION("""COMPUTED_VALUE"""),"--")</f>
        <v>--</v>
      </c>
      <c r="AC650" s="251" t="str">
        <f>IFERROR(__xludf.DUMMYFUNCTION("""COMPUTED_VALUE"""),"--")</f>
        <v>--</v>
      </c>
      <c r="AD650" s="251">
        <f>IFERROR(__xludf.DUMMYFUNCTION("""COMPUTED_VALUE"""),2.0)</f>
        <v>2</v>
      </c>
      <c r="AE650" s="251" t="str">
        <f>IFERROR(__xludf.DUMMYFUNCTION("""COMPUTED_VALUE"""),"Omnivore")</f>
        <v>Omnivore</v>
      </c>
    </row>
    <row r="651">
      <c r="A651" s="251" t="str">
        <f>IFERROR(__xludf.DUMMYFUNCTION("""COMPUTED_VALUE"""),"Medicham")</f>
        <v>Medicham</v>
      </c>
      <c r="B651" s="251" t="str">
        <f>IFERROR(__xludf.DUMMYFUNCTION("""COMPUTED_VALUE"""),"Fighting")</f>
        <v>Fighting</v>
      </c>
      <c r="C651" s="251" t="str">
        <f>IFERROR(__xludf.DUMMYFUNCTION("""COMPUTED_VALUE"""),"Psychic")</f>
        <v>Psychic</v>
      </c>
      <c r="D651" s="251">
        <f>IFERROR(__xludf.DUMMYFUNCTION("""COMPUTED_VALUE"""),6.0)</f>
        <v>6</v>
      </c>
      <c r="E651" s="251">
        <f>IFERROR(__xludf.DUMMYFUNCTION("""COMPUTED_VALUE"""),6.0)</f>
        <v>6</v>
      </c>
      <c r="F651" s="251">
        <f>IFERROR(__xludf.DUMMYFUNCTION("""COMPUTED_VALUE"""),8.0)</f>
        <v>8</v>
      </c>
      <c r="G651" s="251">
        <f>IFERROR(__xludf.DUMMYFUNCTION("""COMPUTED_VALUE"""),6.0)</f>
        <v>6</v>
      </c>
      <c r="H651" s="251">
        <f>IFERROR(__xludf.DUMMYFUNCTION("""COMPUTED_VALUE"""),8.0)</f>
        <v>8</v>
      </c>
      <c r="I651" s="251">
        <f>IFERROR(__xludf.DUMMYFUNCTION("""COMPUTED_VALUE"""),8.0)</f>
        <v>8</v>
      </c>
      <c r="J651" s="251">
        <f>IFERROR(__xludf.DUMMYFUNCTION("""COMPUTED_VALUE"""),6.0)</f>
        <v>6</v>
      </c>
      <c r="K651" s="251" t="str">
        <f>IFERROR(__xludf.DUMMYFUNCTION("""COMPUTED_VALUE"""),"Medium")</f>
        <v>Medium</v>
      </c>
      <c r="L651" s="251">
        <f>IFERROR(__xludf.DUMMYFUNCTION("""COMPUTED_VALUE"""),3.0)</f>
        <v>3</v>
      </c>
      <c r="M651" s="251" t="str">
        <f>IFERROR(__xludf.DUMMYFUNCTION("""COMPUTED_VALUE"""),"Cave")</f>
        <v>Cave</v>
      </c>
      <c r="N651" s="251" t="str">
        <f>IFERROR(__xludf.DUMMYFUNCTION("""COMPUTED_VALUE"""),"Jumper")</f>
        <v>Jumper</v>
      </c>
      <c r="O651" s="251" t="str">
        <f>IFERROR(__xludf.DUMMYFUNCTION("""COMPUTED_VALUE"""),"--")</f>
        <v>--</v>
      </c>
      <c r="P651" s="251" t="str">
        <f>IFERROR(__xludf.DUMMYFUNCTION("""COMPUTED_VALUE"""),"--")</f>
        <v>--</v>
      </c>
      <c r="Q651" s="251" t="str">
        <f>IFERROR(__xludf.DUMMYFUNCTION("""COMPUTED_VALUE"""),"--")</f>
        <v>--</v>
      </c>
      <c r="R651" s="251" t="str">
        <f>IFERROR(__xludf.DUMMYFUNCTION("""COMPUTED_VALUE"""),"Blender")</f>
        <v>Blender</v>
      </c>
      <c r="S651" s="251" t="str">
        <f>IFERROR(__xludf.DUMMYFUNCTION("""COMPUTED_VALUE"""),"Underdog")</f>
        <v>Underdog</v>
      </c>
      <c r="T651" s="251" t="str">
        <f>IFERROR(__xludf.DUMMYFUNCTION("""COMPUTED_VALUE"""),"--")</f>
        <v>--</v>
      </c>
      <c r="U651" s="251" t="str">
        <f>IFERROR(__xludf.DUMMYFUNCTION("""COMPUTED_VALUE"""),"--")</f>
        <v>--</v>
      </c>
      <c r="V651" s="251" t="str">
        <f>IFERROR(__xludf.DUMMYFUNCTION("""COMPUTED_VALUE"""),"Aura Reader")</f>
        <v>Aura Reader</v>
      </c>
      <c r="W651" s="251" t="str">
        <f>IFERROR(__xludf.DUMMYFUNCTION("""COMPUTED_VALUE"""),"Telepath")</f>
        <v>Telepath</v>
      </c>
      <c r="X651" s="251" t="str">
        <f>IFERROR(__xludf.DUMMYFUNCTION("""COMPUTED_VALUE"""),"--")</f>
        <v>--</v>
      </c>
      <c r="Y651" s="251" t="str">
        <f>IFERROR(__xludf.DUMMYFUNCTION("""COMPUTED_VALUE"""),"--")</f>
        <v>--</v>
      </c>
      <c r="Z651" s="251" t="str">
        <f>IFERROR(__xludf.DUMMYFUNCTION("""COMPUTED_VALUE"""),"--")</f>
        <v>--</v>
      </c>
      <c r="AA651" s="251" t="str">
        <f>IFERROR(__xludf.DUMMYFUNCTION("""COMPUTED_VALUE"""),"--")</f>
        <v>--</v>
      </c>
      <c r="AB651" s="251" t="str">
        <f>IFERROR(__xludf.DUMMYFUNCTION("""COMPUTED_VALUE"""),"--")</f>
        <v>--</v>
      </c>
      <c r="AC651" s="251" t="str">
        <f>IFERROR(__xludf.DUMMYFUNCTION("""COMPUTED_VALUE"""),"--")</f>
        <v>--</v>
      </c>
      <c r="AD651" s="251">
        <f>IFERROR(__xludf.DUMMYFUNCTION("""COMPUTED_VALUE"""),3.0)</f>
        <v>3</v>
      </c>
      <c r="AE651" s="251" t="str">
        <f>IFERROR(__xludf.DUMMYFUNCTION("""COMPUTED_VALUE"""),"Omnivore")</f>
        <v>Omnivore</v>
      </c>
    </row>
    <row r="652">
      <c r="A652" s="251" t="str">
        <f>IFERROR(__xludf.DUMMYFUNCTION("""COMPUTED_VALUE"""),"Riolu")</f>
        <v>Riolu</v>
      </c>
      <c r="B652" s="251" t="str">
        <f>IFERROR(__xludf.DUMMYFUNCTION("""COMPUTED_VALUE"""),"Fighting")</f>
        <v>Fighting</v>
      </c>
      <c r="C652" s="251" t="str">
        <f>IFERROR(__xludf.DUMMYFUNCTION("""COMPUTED_VALUE"""),"None")</f>
        <v>None</v>
      </c>
      <c r="D652" s="251">
        <f>IFERROR(__xludf.DUMMYFUNCTION("""COMPUTED_VALUE"""),4.0)</f>
        <v>4</v>
      </c>
      <c r="E652" s="251">
        <f>IFERROR(__xludf.DUMMYFUNCTION("""COMPUTED_VALUE"""),7.0)</f>
        <v>7</v>
      </c>
      <c r="F652" s="251">
        <f>IFERROR(__xludf.DUMMYFUNCTION("""COMPUTED_VALUE"""),4.0)</f>
        <v>4</v>
      </c>
      <c r="G652" s="251">
        <f>IFERROR(__xludf.DUMMYFUNCTION("""COMPUTED_VALUE"""),5.0)</f>
        <v>5</v>
      </c>
      <c r="H652" s="251">
        <f>IFERROR(__xludf.DUMMYFUNCTION("""COMPUTED_VALUE"""),4.0)</f>
        <v>4</v>
      </c>
      <c r="I652" s="251">
        <f>IFERROR(__xludf.DUMMYFUNCTION("""COMPUTED_VALUE"""),6.0)</f>
        <v>6</v>
      </c>
      <c r="J652" s="251">
        <f>IFERROR(__xludf.DUMMYFUNCTION("""COMPUTED_VALUE"""),3.0)</f>
        <v>3</v>
      </c>
      <c r="K652" s="251" t="str">
        <f>IFERROR(__xludf.DUMMYFUNCTION("""COMPUTED_VALUE"""),"Small")</f>
        <v>Small</v>
      </c>
      <c r="L652" s="251">
        <f>IFERROR(__xludf.DUMMYFUNCTION("""COMPUTED_VALUE"""),2.0)</f>
        <v>2</v>
      </c>
      <c r="M652" s="251" t="str">
        <f>IFERROR(__xludf.DUMMYFUNCTION("""COMPUTED_VALUE"""),"Cave")</f>
        <v>Cave</v>
      </c>
      <c r="N652" s="251" t="str">
        <f>IFERROR(__xludf.DUMMYFUNCTION("""COMPUTED_VALUE"""),"--")</f>
        <v>--</v>
      </c>
      <c r="O652" s="251" t="str">
        <f>IFERROR(__xludf.DUMMYFUNCTION("""COMPUTED_VALUE"""),"--")</f>
        <v>--</v>
      </c>
      <c r="P652" s="251" t="str">
        <f>IFERROR(__xludf.DUMMYFUNCTION("""COMPUTED_VALUE"""),"--")</f>
        <v>--</v>
      </c>
      <c r="Q652" s="251" t="str">
        <f>IFERROR(__xludf.DUMMYFUNCTION("""COMPUTED_VALUE"""),"--")</f>
        <v>--</v>
      </c>
      <c r="R652" s="251" t="str">
        <f>IFERROR(__xludf.DUMMYFUNCTION("""COMPUTED_VALUE"""),"Underdog")</f>
        <v>Underdog</v>
      </c>
      <c r="S652" s="251" t="str">
        <f>IFERROR(__xludf.DUMMYFUNCTION("""COMPUTED_VALUE"""),"--")</f>
        <v>--</v>
      </c>
      <c r="T652" s="251" t="str">
        <f>IFERROR(__xludf.DUMMYFUNCTION("""COMPUTED_VALUE"""),"--")</f>
        <v>--</v>
      </c>
      <c r="U652" s="251" t="str">
        <f>IFERROR(__xludf.DUMMYFUNCTION("""COMPUTED_VALUE"""),"--")</f>
        <v>--</v>
      </c>
      <c r="V652" s="251" t="str">
        <f>IFERROR(__xludf.DUMMYFUNCTION("""COMPUTED_VALUE"""),"Aura Reader")</f>
        <v>Aura Reader</v>
      </c>
      <c r="W652" s="251" t="str">
        <f>IFERROR(__xludf.DUMMYFUNCTION("""COMPUTED_VALUE"""),"--")</f>
        <v>--</v>
      </c>
      <c r="X652" s="251" t="str">
        <f>IFERROR(__xludf.DUMMYFUNCTION("""COMPUTED_VALUE"""),"--")</f>
        <v>--</v>
      </c>
      <c r="Y652" s="251" t="str">
        <f>IFERROR(__xludf.DUMMYFUNCTION("""COMPUTED_VALUE"""),"--")</f>
        <v>--</v>
      </c>
      <c r="Z652" s="251" t="str">
        <f>IFERROR(__xludf.DUMMYFUNCTION("""COMPUTED_VALUE"""),"--")</f>
        <v>--</v>
      </c>
      <c r="AA652" s="251" t="str">
        <f>IFERROR(__xludf.DUMMYFUNCTION("""COMPUTED_VALUE"""),"--")</f>
        <v>--</v>
      </c>
      <c r="AB652" s="251" t="str">
        <f>IFERROR(__xludf.DUMMYFUNCTION("""COMPUTED_VALUE"""),"--")</f>
        <v>--</v>
      </c>
      <c r="AC652" s="251" t="str">
        <f>IFERROR(__xludf.DUMMYFUNCTION("""COMPUTED_VALUE"""),"--")</f>
        <v>--</v>
      </c>
      <c r="AD652" s="251">
        <f>IFERROR(__xludf.DUMMYFUNCTION("""COMPUTED_VALUE"""),2.0)</f>
        <v>2</v>
      </c>
      <c r="AE652" s="251" t="str">
        <f>IFERROR(__xludf.DUMMYFUNCTION("""COMPUTED_VALUE"""),"Omnivore")</f>
        <v>Omnivore</v>
      </c>
    </row>
    <row r="653">
      <c r="A653" s="251" t="str">
        <f>IFERROR(__xludf.DUMMYFUNCTION("""COMPUTED_VALUE"""),"Lucario")</f>
        <v>Lucario</v>
      </c>
      <c r="B653" s="251" t="str">
        <f>IFERROR(__xludf.DUMMYFUNCTION("""COMPUTED_VALUE"""),"Fighting")</f>
        <v>Fighting</v>
      </c>
      <c r="C653" s="251" t="str">
        <f>IFERROR(__xludf.DUMMYFUNCTION("""COMPUTED_VALUE"""),"Steel")</f>
        <v>Steel</v>
      </c>
      <c r="D653" s="251">
        <f>IFERROR(__xludf.DUMMYFUNCTION("""COMPUTED_VALUE"""),7.0)</f>
        <v>7</v>
      </c>
      <c r="E653" s="251">
        <f>IFERROR(__xludf.DUMMYFUNCTION("""COMPUTED_VALUE"""),11.0)</f>
        <v>11</v>
      </c>
      <c r="F653" s="251">
        <f>IFERROR(__xludf.DUMMYFUNCTION("""COMPUTED_VALUE"""),7.0)</f>
        <v>7</v>
      </c>
      <c r="G653" s="251">
        <f>IFERROR(__xludf.DUMMYFUNCTION("""COMPUTED_VALUE"""),12.0)</f>
        <v>12</v>
      </c>
      <c r="H653" s="251">
        <f>IFERROR(__xludf.DUMMYFUNCTION("""COMPUTED_VALUE"""),7.0)</f>
        <v>7</v>
      </c>
      <c r="I653" s="251">
        <f>IFERROR(__xludf.DUMMYFUNCTION("""COMPUTED_VALUE"""),9.0)</f>
        <v>9</v>
      </c>
      <c r="J653" s="251">
        <f>IFERROR(__xludf.DUMMYFUNCTION("""COMPUTED_VALUE"""),7.0)</f>
        <v>7</v>
      </c>
      <c r="K653" s="251" t="str">
        <f>IFERROR(__xludf.DUMMYFUNCTION("""COMPUTED_VALUE"""),"Medium")</f>
        <v>Medium</v>
      </c>
      <c r="L653" s="251">
        <f>IFERROR(__xludf.DUMMYFUNCTION("""COMPUTED_VALUE"""),4.0)</f>
        <v>4</v>
      </c>
      <c r="M653" s="251" t="str">
        <f>IFERROR(__xludf.DUMMYFUNCTION("""COMPUTED_VALUE"""),"Cave")</f>
        <v>Cave</v>
      </c>
      <c r="N653" s="251" t="str">
        <f>IFERROR(__xludf.DUMMYFUNCTION("""COMPUTED_VALUE"""),"Jumper")</f>
        <v>Jumper</v>
      </c>
      <c r="O653" s="251" t="str">
        <f>IFERROR(__xludf.DUMMYFUNCTION("""COMPUTED_VALUE"""),"Quick")</f>
        <v>Quick</v>
      </c>
      <c r="P653" s="251" t="str">
        <f>IFERROR(__xludf.DUMMYFUNCTION("""COMPUTED_VALUE"""),"--")</f>
        <v>--</v>
      </c>
      <c r="Q653" s="251" t="str">
        <f>IFERROR(__xludf.DUMMYFUNCTION("""COMPUTED_VALUE"""),"--")</f>
        <v>--</v>
      </c>
      <c r="R653" s="251" t="str">
        <f>IFERROR(__xludf.DUMMYFUNCTION("""COMPUTED_VALUE"""),"--")</f>
        <v>--</v>
      </c>
      <c r="S653" s="251" t="str">
        <f>IFERROR(__xludf.DUMMYFUNCTION("""COMPUTED_VALUE"""),"--")</f>
        <v>--</v>
      </c>
      <c r="T653" s="251" t="str">
        <f>IFERROR(__xludf.DUMMYFUNCTION("""COMPUTED_VALUE"""),"--")</f>
        <v>--</v>
      </c>
      <c r="U653" s="251" t="str">
        <f>IFERROR(__xludf.DUMMYFUNCTION("""COMPUTED_VALUE"""),"--")</f>
        <v>--</v>
      </c>
      <c r="V653" s="251" t="str">
        <f>IFERROR(__xludf.DUMMYFUNCTION("""COMPUTED_VALUE"""),"Aura Reader")</f>
        <v>Aura Reader</v>
      </c>
      <c r="W653" s="251" t="str">
        <f>IFERROR(__xludf.DUMMYFUNCTION("""COMPUTED_VALUE"""),"Empath")</f>
        <v>Empath</v>
      </c>
      <c r="X653" s="251" t="str">
        <f>IFERROR(__xludf.DUMMYFUNCTION("""COMPUTED_VALUE"""),"Telepath")</f>
        <v>Telepath</v>
      </c>
      <c r="Y653" s="251" t="str">
        <f>IFERROR(__xludf.DUMMYFUNCTION("""COMPUTED_VALUE"""),"--")</f>
        <v>--</v>
      </c>
      <c r="Z653" s="251" t="str">
        <f>IFERROR(__xludf.DUMMYFUNCTION("""COMPUTED_VALUE"""),"--")</f>
        <v>--</v>
      </c>
      <c r="AA653" s="251" t="str">
        <f>IFERROR(__xludf.DUMMYFUNCTION("""COMPUTED_VALUE"""),"--")</f>
        <v>--</v>
      </c>
      <c r="AB653" s="251" t="str">
        <f>IFERROR(__xludf.DUMMYFUNCTION("""COMPUTED_VALUE"""),"--")</f>
        <v>--</v>
      </c>
      <c r="AC653" s="251" t="str">
        <f>IFERROR(__xludf.DUMMYFUNCTION("""COMPUTED_VALUE"""),"--")</f>
        <v>--</v>
      </c>
      <c r="AD653" s="251">
        <f>IFERROR(__xludf.DUMMYFUNCTION("""COMPUTED_VALUE"""),3.0)</f>
        <v>3</v>
      </c>
      <c r="AE653" s="251" t="str">
        <f>IFERROR(__xludf.DUMMYFUNCTION("""COMPUTED_VALUE"""),"Omnivore")</f>
        <v>Omnivore</v>
      </c>
    </row>
    <row r="654">
      <c r="A654" s="251" t="str">
        <f>IFERROR(__xludf.DUMMYFUNCTION("""COMPUTED_VALUE"""),"Mienfoo")</f>
        <v>Mienfoo</v>
      </c>
      <c r="B654" s="251" t="str">
        <f>IFERROR(__xludf.DUMMYFUNCTION("""COMPUTED_VALUE"""),"Fighting")</f>
        <v>Fighting</v>
      </c>
      <c r="C654" s="251" t="str">
        <f>IFERROR(__xludf.DUMMYFUNCTION("""COMPUTED_VALUE"""),"None")</f>
        <v>None</v>
      </c>
      <c r="D654" s="251">
        <f>IFERROR(__xludf.DUMMYFUNCTION("""COMPUTED_VALUE"""),5.0)</f>
        <v>5</v>
      </c>
      <c r="E654" s="251">
        <f>IFERROR(__xludf.DUMMYFUNCTION("""COMPUTED_VALUE"""),9.0)</f>
        <v>9</v>
      </c>
      <c r="F654" s="251">
        <f>IFERROR(__xludf.DUMMYFUNCTION("""COMPUTED_VALUE"""),5.0)</f>
        <v>5</v>
      </c>
      <c r="G654" s="251">
        <f>IFERROR(__xludf.DUMMYFUNCTION("""COMPUTED_VALUE"""),6.0)</f>
        <v>6</v>
      </c>
      <c r="H654" s="251">
        <f>IFERROR(__xludf.DUMMYFUNCTION("""COMPUTED_VALUE"""),5.0)</f>
        <v>5</v>
      </c>
      <c r="I654" s="251">
        <f>IFERROR(__xludf.DUMMYFUNCTION("""COMPUTED_VALUE"""),7.0)</f>
        <v>7</v>
      </c>
      <c r="J654" s="251">
        <f>IFERROR(__xludf.DUMMYFUNCTION("""COMPUTED_VALUE"""),4.0)</f>
        <v>4</v>
      </c>
      <c r="K654" s="251" t="str">
        <f>IFERROR(__xludf.DUMMYFUNCTION("""COMPUTED_VALUE"""),"Small")</f>
        <v>Small</v>
      </c>
      <c r="L654" s="251">
        <f>IFERROR(__xludf.DUMMYFUNCTION("""COMPUTED_VALUE"""),2.0)</f>
        <v>2</v>
      </c>
      <c r="M654" s="251" t="str">
        <f>IFERROR(__xludf.DUMMYFUNCTION("""COMPUTED_VALUE"""),"Cave, Mountain")</f>
        <v>Cave, Mountain</v>
      </c>
      <c r="N654" s="251" t="str">
        <f>IFERROR(__xludf.DUMMYFUNCTION("""COMPUTED_VALUE"""),"Jumper")</f>
        <v>Jumper</v>
      </c>
      <c r="O654" s="251" t="str">
        <f>IFERROR(__xludf.DUMMYFUNCTION("""COMPUTED_VALUE"""),"--")</f>
        <v>--</v>
      </c>
      <c r="P654" s="251" t="str">
        <f>IFERROR(__xludf.DUMMYFUNCTION("""COMPUTED_VALUE"""),"--")</f>
        <v>--</v>
      </c>
      <c r="Q654" s="251" t="str">
        <f>IFERROR(__xludf.DUMMYFUNCTION("""COMPUTED_VALUE"""),"--")</f>
        <v>--</v>
      </c>
      <c r="R654" s="251" t="str">
        <f>IFERROR(__xludf.DUMMYFUNCTION("""COMPUTED_VALUE"""),"Underdog")</f>
        <v>Underdog</v>
      </c>
      <c r="S654" s="251" t="str">
        <f>IFERROR(__xludf.DUMMYFUNCTION("""COMPUTED_VALUE"""),"--")</f>
        <v>--</v>
      </c>
      <c r="T654" s="251" t="str">
        <f>IFERROR(__xludf.DUMMYFUNCTION("""COMPUTED_VALUE"""),"--")</f>
        <v>--</v>
      </c>
      <c r="U654" s="251" t="str">
        <f>IFERROR(__xludf.DUMMYFUNCTION("""COMPUTED_VALUE"""),"--")</f>
        <v>--</v>
      </c>
      <c r="V654" s="251" t="str">
        <f>IFERROR(__xludf.DUMMYFUNCTION("""COMPUTED_VALUE"""),"--")</f>
        <v>--</v>
      </c>
      <c r="W654" s="251" t="str">
        <f>IFERROR(__xludf.DUMMYFUNCTION("""COMPUTED_VALUE"""),"--")</f>
        <v>--</v>
      </c>
      <c r="X654" s="251" t="str">
        <f>IFERROR(__xludf.DUMMYFUNCTION("""COMPUTED_VALUE"""),"--")</f>
        <v>--</v>
      </c>
      <c r="Y654" s="251" t="str">
        <f>IFERROR(__xludf.DUMMYFUNCTION("""COMPUTED_VALUE"""),"--")</f>
        <v>--</v>
      </c>
      <c r="Z654" s="251" t="str">
        <f>IFERROR(__xludf.DUMMYFUNCTION("""COMPUTED_VALUE"""),"--")</f>
        <v>--</v>
      </c>
      <c r="AA654" s="251" t="str">
        <f>IFERROR(__xludf.DUMMYFUNCTION("""COMPUTED_VALUE"""),"--")</f>
        <v>--</v>
      </c>
      <c r="AB654" s="251" t="str">
        <f>IFERROR(__xludf.DUMMYFUNCTION("""COMPUTED_VALUE"""),"--")</f>
        <v>--</v>
      </c>
      <c r="AC654" s="251" t="str">
        <f>IFERROR(__xludf.DUMMYFUNCTION("""COMPUTED_VALUE"""),"--")</f>
        <v>--</v>
      </c>
      <c r="AD654" s="251">
        <f>IFERROR(__xludf.DUMMYFUNCTION("""COMPUTED_VALUE"""),2.0)</f>
        <v>2</v>
      </c>
      <c r="AE654" s="251" t="str">
        <f>IFERROR(__xludf.DUMMYFUNCTION("""COMPUTED_VALUE"""),"Omnivore")</f>
        <v>Omnivore</v>
      </c>
    </row>
    <row r="655">
      <c r="A655" s="251" t="str">
        <f>IFERROR(__xludf.DUMMYFUNCTION("""COMPUTED_VALUE"""),"Mienshao")</f>
        <v>Mienshao</v>
      </c>
      <c r="B655" s="251" t="str">
        <f>IFERROR(__xludf.DUMMYFUNCTION("""COMPUTED_VALUE"""),"Fighting")</f>
        <v>Fighting</v>
      </c>
      <c r="C655" s="251" t="str">
        <f>IFERROR(__xludf.DUMMYFUNCTION("""COMPUTED_VALUE"""),"None")</f>
        <v>None</v>
      </c>
      <c r="D655" s="251">
        <f>IFERROR(__xludf.DUMMYFUNCTION("""COMPUTED_VALUE"""),7.0)</f>
        <v>7</v>
      </c>
      <c r="E655" s="251">
        <f>IFERROR(__xludf.DUMMYFUNCTION("""COMPUTED_VALUE"""),16.0)</f>
        <v>16</v>
      </c>
      <c r="F655" s="251">
        <f>IFERROR(__xludf.DUMMYFUNCTION("""COMPUTED_VALUE"""),6.0)</f>
        <v>6</v>
      </c>
      <c r="G655" s="251">
        <f>IFERROR(__xludf.DUMMYFUNCTION("""COMPUTED_VALUE"""),10.0)</f>
        <v>10</v>
      </c>
      <c r="H655" s="251">
        <f>IFERROR(__xludf.DUMMYFUNCTION("""COMPUTED_VALUE"""),6.0)</f>
        <v>6</v>
      </c>
      <c r="I655" s="251">
        <f>IFERROR(__xludf.DUMMYFUNCTION("""COMPUTED_VALUE"""),11.0)</f>
        <v>11</v>
      </c>
      <c r="J655" s="251">
        <f>IFERROR(__xludf.DUMMYFUNCTION("""COMPUTED_VALUE"""),6.0)</f>
        <v>6</v>
      </c>
      <c r="K655" s="251" t="str">
        <f>IFERROR(__xludf.DUMMYFUNCTION("""COMPUTED_VALUE"""),"Medium")</f>
        <v>Medium</v>
      </c>
      <c r="L655" s="251">
        <f>IFERROR(__xludf.DUMMYFUNCTION("""COMPUTED_VALUE"""),3.0)</f>
        <v>3</v>
      </c>
      <c r="M655" s="251" t="str">
        <f>IFERROR(__xludf.DUMMYFUNCTION("""COMPUTED_VALUE"""),"Cave, Mountain")</f>
        <v>Cave, Mountain</v>
      </c>
      <c r="N655" s="251" t="str">
        <f>IFERROR(__xludf.DUMMYFUNCTION("""COMPUTED_VALUE"""),"Jumper")</f>
        <v>Jumper</v>
      </c>
      <c r="O655" s="251" t="str">
        <f>IFERROR(__xludf.DUMMYFUNCTION("""COMPUTED_VALUE"""),"--")</f>
        <v>--</v>
      </c>
      <c r="P655" s="251" t="str">
        <f>IFERROR(__xludf.DUMMYFUNCTION("""COMPUTED_VALUE"""),"--")</f>
        <v>--</v>
      </c>
      <c r="Q655" s="251" t="str">
        <f>IFERROR(__xludf.DUMMYFUNCTION("""COMPUTED_VALUE"""),"--")</f>
        <v>--</v>
      </c>
      <c r="R655" s="251" t="str">
        <f>IFERROR(__xludf.DUMMYFUNCTION("""COMPUTED_VALUE"""),"Reach")</f>
        <v>Reach</v>
      </c>
      <c r="S655" s="251" t="str">
        <f>IFERROR(__xludf.DUMMYFUNCTION("""COMPUTED_VALUE"""),"--")</f>
        <v>--</v>
      </c>
      <c r="T655" s="251" t="str">
        <f>IFERROR(__xludf.DUMMYFUNCTION("""COMPUTED_VALUE"""),"--")</f>
        <v>--</v>
      </c>
      <c r="U655" s="251" t="str">
        <f>IFERROR(__xludf.DUMMYFUNCTION("""COMPUTED_VALUE"""),"--")</f>
        <v>--</v>
      </c>
      <c r="V655" s="251" t="str">
        <f>IFERROR(__xludf.DUMMYFUNCTION("""COMPUTED_VALUE"""),"--")</f>
        <v>--</v>
      </c>
      <c r="W655" s="251" t="str">
        <f>IFERROR(__xludf.DUMMYFUNCTION("""COMPUTED_VALUE"""),"--")</f>
        <v>--</v>
      </c>
      <c r="X655" s="251" t="str">
        <f>IFERROR(__xludf.DUMMYFUNCTION("""COMPUTED_VALUE"""),"--")</f>
        <v>--</v>
      </c>
      <c r="Y655" s="251" t="str">
        <f>IFERROR(__xludf.DUMMYFUNCTION("""COMPUTED_VALUE"""),"--")</f>
        <v>--</v>
      </c>
      <c r="Z655" s="251" t="str">
        <f>IFERROR(__xludf.DUMMYFUNCTION("""COMPUTED_VALUE"""),"--")</f>
        <v>--</v>
      </c>
      <c r="AA655" s="251" t="str">
        <f>IFERROR(__xludf.DUMMYFUNCTION("""COMPUTED_VALUE"""),"--")</f>
        <v>--</v>
      </c>
      <c r="AB655" s="251" t="str">
        <f>IFERROR(__xludf.DUMMYFUNCTION("""COMPUTED_VALUE"""),"--")</f>
        <v>--</v>
      </c>
      <c r="AC655" s="251" t="str">
        <f>IFERROR(__xludf.DUMMYFUNCTION("""COMPUTED_VALUE"""),"--")</f>
        <v>--</v>
      </c>
      <c r="AD655" s="251">
        <f>IFERROR(__xludf.DUMMYFUNCTION("""COMPUTED_VALUE"""),3.0)</f>
        <v>3</v>
      </c>
      <c r="AE655" s="251" t="str">
        <f>IFERROR(__xludf.DUMMYFUNCTION("""COMPUTED_VALUE"""),"Omnivore")</f>
        <v>Omnivore</v>
      </c>
    </row>
    <row r="656">
      <c r="A656" s="251" t="str">
        <f>IFERROR(__xludf.DUMMYFUNCTION("""COMPUTED_VALUE"""),"Pancham")</f>
        <v>Pancham</v>
      </c>
      <c r="B656" s="251" t="str">
        <f>IFERROR(__xludf.DUMMYFUNCTION("""COMPUTED_VALUE"""),"Fighting")</f>
        <v>Fighting</v>
      </c>
      <c r="C656" s="251" t="str">
        <f>IFERROR(__xludf.DUMMYFUNCTION("""COMPUTED_VALUE"""),"None")</f>
        <v>None</v>
      </c>
      <c r="D656" s="251">
        <f>IFERROR(__xludf.DUMMYFUNCTION("""COMPUTED_VALUE"""),7.0)</f>
        <v>7</v>
      </c>
      <c r="E656" s="251">
        <f>IFERROR(__xludf.DUMMYFUNCTION("""COMPUTED_VALUE"""),8.0)</f>
        <v>8</v>
      </c>
      <c r="F656" s="251">
        <f>IFERROR(__xludf.DUMMYFUNCTION("""COMPUTED_VALUE"""),6.0)</f>
        <v>6</v>
      </c>
      <c r="G656" s="251">
        <f>IFERROR(__xludf.DUMMYFUNCTION("""COMPUTED_VALUE"""),5.0)</f>
        <v>5</v>
      </c>
      <c r="H656" s="251">
        <f>IFERROR(__xludf.DUMMYFUNCTION("""COMPUTED_VALUE"""),5.0)</f>
        <v>5</v>
      </c>
      <c r="I656" s="251">
        <f>IFERROR(__xludf.DUMMYFUNCTION("""COMPUTED_VALUE"""),4.0)</f>
        <v>4</v>
      </c>
      <c r="J656" s="251">
        <f>IFERROR(__xludf.DUMMYFUNCTION("""COMPUTED_VALUE"""),2.0)</f>
        <v>2</v>
      </c>
      <c r="K656" s="251" t="str">
        <f>IFERROR(__xludf.DUMMYFUNCTION("""COMPUTED_VALUE"""),"Small")</f>
        <v>Small</v>
      </c>
      <c r="L656" s="251">
        <f>IFERROR(__xludf.DUMMYFUNCTION("""COMPUTED_VALUE"""),1.0)</f>
        <v>1</v>
      </c>
      <c r="M656" s="251" t="str">
        <f>IFERROR(__xludf.DUMMYFUNCTION("""COMPUTED_VALUE"""),"Grasslands")</f>
        <v>Grasslands</v>
      </c>
      <c r="N656" s="251" t="str">
        <f>IFERROR(__xludf.DUMMYFUNCTION("""COMPUTED_VALUE"""),"--")</f>
        <v>--</v>
      </c>
      <c r="O656" s="251" t="str">
        <f>IFERROR(__xludf.DUMMYFUNCTION("""COMPUTED_VALUE"""),"--")</f>
        <v>--</v>
      </c>
      <c r="P656" s="251" t="str">
        <f>IFERROR(__xludf.DUMMYFUNCTION("""COMPUTED_VALUE"""),"--")</f>
        <v>--</v>
      </c>
      <c r="Q656" s="251" t="str">
        <f>IFERROR(__xludf.DUMMYFUNCTION("""COMPUTED_VALUE"""),"--")</f>
        <v>--</v>
      </c>
      <c r="R656" s="251" t="str">
        <f>IFERROR(__xludf.DUMMYFUNCTION("""COMPUTED_VALUE"""),"Underdog")</f>
        <v>Underdog</v>
      </c>
      <c r="S656" s="251" t="str">
        <f>IFERROR(__xludf.DUMMYFUNCTION("""COMPUTED_VALUE"""),"--")</f>
        <v>--</v>
      </c>
      <c r="T656" s="251" t="str">
        <f>IFERROR(__xludf.DUMMYFUNCTION("""COMPUTED_VALUE"""),"--")</f>
        <v>--</v>
      </c>
      <c r="U656" s="251" t="str">
        <f>IFERROR(__xludf.DUMMYFUNCTION("""COMPUTED_VALUE"""),"--")</f>
        <v>--</v>
      </c>
      <c r="V656" s="251" t="str">
        <f>IFERROR(__xludf.DUMMYFUNCTION("""COMPUTED_VALUE"""),"Pack Mon")</f>
        <v>Pack Mon</v>
      </c>
      <c r="W656" s="251" t="str">
        <f>IFERROR(__xludf.DUMMYFUNCTION("""COMPUTED_VALUE"""),"--")</f>
        <v>--</v>
      </c>
      <c r="X656" s="251" t="str">
        <f>IFERROR(__xludf.DUMMYFUNCTION("""COMPUTED_VALUE"""),"--")</f>
        <v>--</v>
      </c>
      <c r="Y656" s="251" t="str">
        <f>IFERROR(__xludf.DUMMYFUNCTION("""COMPUTED_VALUE"""),"--")</f>
        <v>--</v>
      </c>
      <c r="Z656" s="251" t="str">
        <f>IFERROR(__xludf.DUMMYFUNCTION("""COMPUTED_VALUE"""),"--")</f>
        <v>--</v>
      </c>
      <c r="AA656" s="251" t="str">
        <f>IFERROR(__xludf.DUMMYFUNCTION("""COMPUTED_VALUE"""),"--")</f>
        <v>--</v>
      </c>
      <c r="AB656" s="251" t="str">
        <f>IFERROR(__xludf.DUMMYFUNCTION("""COMPUTED_VALUE"""),"--")</f>
        <v>--</v>
      </c>
      <c r="AC656" s="251" t="str">
        <f>IFERROR(__xludf.DUMMYFUNCTION("""COMPUTED_VALUE"""),"--")</f>
        <v>--</v>
      </c>
      <c r="AD656" s="251">
        <f>IFERROR(__xludf.DUMMYFUNCTION("""COMPUTED_VALUE"""),2.0)</f>
        <v>2</v>
      </c>
      <c r="AE656" s="251" t="str">
        <f>IFERROR(__xludf.DUMMYFUNCTION("""COMPUTED_VALUE"""),"Herbivore")</f>
        <v>Herbivore</v>
      </c>
    </row>
    <row r="657">
      <c r="A657" s="251" t="str">
        <f>IFERROR(__xludf.DUMMYFUNCTION("""COMPUTED_VALUE"""),"Pangoro")</f>
        <v>Pangoro</v>
      </c>
      <c r="B657" s="251" t="str">
        <f>IFERROR(__xludf.DUMMYFUNCTION("""COMPUTED_VALUE"""),"Fighting")</f>
        <v>Fighting</v>
      </c>
      <c r="C657" s="251" t="str">
        <f>IFERROR(__xludf.DUMMYFUNCTION("""COMPUTED_VALUE"""),"Dark")</f>
        <v>Dark</v>
      </c>
      <c r="D657" s="251">
        <f>IFERROR(__xludf.DUMMYFUNCTION("""COMPUTED_VALUE"""),10.0)</f>
        <v>10</v>
      </c>
      <c r="E657" s="251">
        <f>IFERROR(__xludf.DUMMYFUNCTION("""COMPUTED_VALUE"""),13.0)</f>
        <v>13</v>
      </c>
      <c r="F657" s="251">
        <f>IFERROR(__xludf.DUMMYFUNCTION("""COMPUTED_VALUE"""),8.0)</f>
        <v>8</v>
      </c>
      <c r="G657" s="251">
        <f>IFERROR(__xludf.DUMMYFUNCTION("""COMPUTED_VALUE"""),7.0)</f>
        <v>7</v>
      </c>
      <c r="H657" s="251">
        <f>IFERROR(__xludf.DUMMYFUNCTION("""COMPUTED_VALUE"""),7.0)</f>
        <v>7</v>
      </c>
      <c r="I657" s="251">
        <f>IFERROR(__xludf.DUMMYFUNCTION("""COMPUTED_VALUE"""),6.0)</f>
        <v>6</v>
      </c>
      <c r="J657" s="251">
        <f>IFERROR(__xludf.DUMMYFUNCTION("""COMPUTED_VALUE"""),9.0)</f>
        <v>9</v>
      </c>
      <c r="K657" s="251" t="str">
        <f>IFERROR(__xludf.DUMMYFUNCTION("""COMPUTED_VALUE"""),"Large")</f>
        <v>Large</v>
      </c>
      <c r="L657" s="251">
        <f>IFERROR(__xludf.DUMMYFUNCTION("""COMPUTED_VALUE"""),5.0)</f>
        <v>5</v>
      </c>
      <c r="M657" s="251" t="str">
        <f>IFERROR(__xludf.DUMMYFUNCTION("""COMPUTED_VALUE"""),"Grasslands")</f>
        <v>Grasslands</v>
      </c>
      <c r="N657" s="251" t="str">
        <f>IFERROR(__xludf.DUMMYFUNCTION("""COMPUTED_VALUE"""),"--")</f>
        <v>--</v>
      </c>
      <c r="O657" s="251" t="str">
        <f>IFERROR(__xludf.DUMMYFUNCTION("""COMPUTED_VALUE"""),"--")</f>
        <v>--</v>
      </c>
      <c r="P657" s="251" t="str">
        <f>IFERROR(__xludf.DUMMYFUNCTION("""COMPUTED_VALUE"""),"--")</f>
        <v>--</v>
      </c>
      <c r="Q657" s="251" t="str">
        <f>IFERROR(__xludf.DUMMYFUNCTION("""COMPUTED_VALUE"""),"--")</f>
        <v>--</v>
      </c>
      <c r="R657" s="251" t="str">
        <f>IFERROR(__xludf.DUMMYFUNCTION("""COMPUTED_VALUE"""),"--")</f>
        <v>--</v>
      </c>
      <c r="S657" s="251" t="str">
        <f>IFERROR(__xludf.DUMMYFUNCTION("""COMPUTED_VALUE"""),"--")</f>
        <v>--</v>
      </c>
      <c r="T657" s="251" t="str">
        <f>IFERROR(__xludf.DUMMYFUNCTION("""COMPUTED_VALUE"""),"--")</f>
        <v>--</v>
      </c>
      <c r="U657" s="251" t="str">
        <f>IFERROR(__xludf.DUMMYFUNCTION("""COMPUTED_VALUE"""),"--")</f>
        <v>--</v>
      </c>
      <c r="V657" s="251" t="str">
        <f>IFERROR(__xludf.DUMMYFUNCTION("""COMPUTED_VALUE"""),"Pack Mon")</f>
        <v>Pack Mon</v>
      </c>
      <c r="W657" s="251" t="str">
        <f>IFERROR(__xludf.DUMMYFUNCTION("""COMPUTED_VALUE"""),"--")</f>
        <v>--</v>
      </c>
      <c r="X657" s="251" t="str">
        <f>IFERROR(__xludf.DUMMYFUNCTION("""COMPUTED_VALUE"""),"--")</f>
        <v>--</v>
      </c>
      <c r="Y657" s="251" t="str">
        <f>IFERROR(__xludf.DUMMYFUNCTION("""COMPUTED_VALUE"""),"--")</f>
        <v>--</v>
      </c>
      <c r="Z657" s="251" t="str">
        <f>IFERROR(__xludf.DUMMYFUNCTION("""COMPUTED_VALUE"""),"--")</f>
        <v>--</v>
      </c>
      <c r="AA657" s="251" t="str">
        <f>IFERROR(__xludf.DUMMYFUNCTION("""COMPUTED_VALUE"""),"--")</f>
        <v>--</v>
      </c>
      <c r="AB657" s="251" t="str">
        <f>IFERROR(__xludf.DUMMYFUNCTION("""COMPUTED_VALUE"""),"--")</f>
        <v>--</v>
      </c>
      <c r="AC657" s="251" t="str">
        <f>IFERROR(__xludf.DUMMYFUNCTION("""COMPUTED_VALUE"""),"--")</f>
        <v>--</v>
      </c>
      <c r="AD657" s="251">
        <f>IFERROR(__xludf.DUMMYFUNCTION("""COMPUTED_VALUE"""),3.0)</f>
        <v>3</v>
      </c>
      <c r="AE657" s="251" t="str">
        <f>IFERROR(__xludf.DUMMYFUNCTION("""COMPUTED_VALUE"""),"Herbivore")</f>
        <v>Herbivore</v>
      </c>
    </row>
    <row r="658">
      <c r="A658" s="251" t="str">
        <f>IFERROR(__xludf.DUMMYFUNCTION("""COMPUTED_VALUE"""),"Crabrawler")</f>
        <v>Crabrawler</v>
      </c>
      <c r="B658" s="251" t="str">
        <f>IFERROR(__xludf.DUMMYFUNCTION("""COMPUTED_VALUE"""),"Fighting")</f>
        <v>Fighting</v>
      </c>
      <c r="C658" s="251" t="str">
        <f>IFERROR(__xludf.DUMMYFUNCTION("""COMPUTED_VALUE"""),"None")</f>
        <v>None</v>
      </c>
      <c r="D658" s="251">
        <f>IFERROR(__xludf.DUMMYFUNCTION("""COMPUTED_VALUE"""),5.0)</f>
        <v>5</v>
      </c>
      <c r="E658" s="251">
        <f>IFERROR(__xludf.DUMMYFUNCTION("""COMPUTED_VALUE"""),8.0)</f>
        <v>8</v>
      </c>
      <c r="F658" s="251">
        <f>IFERROR(__xludf.DUMMYFUNCTION("""COMPUTED_VALUE"""),6.0)</f>
        <v>6</v>
      </c>
      <c r="G658" s="251">
        <f>IFERROR(__xludf.DUMMYFUNCTION("""COMPUTED_VALUE"""),4.0)</f>
        <v>4</v>
      </c>
      <c r="H658" s="251">
        <f>IFERROR(__xludf.DUMMYFUNCTION("""COMPUTED_VALUE"""),5.0)</f>
        <v>5</v>
      </c>
      <c r="I658" s="251">
        <f>IFERROR(__xludf.DUMMYFUNCTION("""COMPUTED_VALUE"""),6.0)</f>
        <v>6</v>
      </c>
      <c r="J658" s="251">
        <f>IFERROR(__xludf.DUMMYFUNCTION("""COMPUTED_VALUE"""),2.0)</f>
        <v>2</v>
      </c>
      <c r="K658" s="251" t="str">
        <f>IFERROR(__xludf.DUMMYFUNCTION("""COMPUTED_VALUE"""),"Small")</f>
        <v>Small</v>
      </c>
      <c r="L658" s="251">
        <f>IFERROR(__xludf.DUMMYFUNCTION("""COMPUTED_VALUE"""),1.0)</f>
        <v>1</v>
      </c>
      <c r="M658" s="251" t="str">
        <f>IFERROR(__xludf.DUMMYFUNCTION("""COMPUTED_VALUE"""),"Tundra")</f>
        <v>Tundra</v>
      </c>
      <c r="N658" s="251" t="str">
        <f>IFERROR(__xludf.DUMMYFUNCTION("""COMPUTED_VALUE"""),"--")</f>
        <v>--</v>
      </c>
      <c r="O658" s="251" t="str">
        <f>IFERROR(__xludf.DUMMYFUNCTION("""COMPUTED_VALUE"""),"--")</f>
        <v>--</v>
      </c>
      <c r="P658" s="251" t="str">
        <f>IFERROR(__xludf.DUMMYFUNCTION("""COMPUTED_VALUE"""),"--")</f>
        <v>--</v>
      </c>
      <c r="Q658" s="251" t="str">
        <f>IFERROR(__xludf.DUMMYFUNCTION("""COMPUTED_VALUE"""),"--")</f>
        <v>--</v>
      </c>
      <c r="R658" s="251" t="str">
        <f>IFERROR(__xludf.DUMMYFUNCTION("""COMPUTED_VALUE"""),"Underdog")</f>
        <v>Underdog</v>
      </c>
      <c r="S658" s="251" t="str">
        <f>IFERROR(__xludf.DUMMYFUNCTION("""COMPUTED_VALUE"""),"--")</f>
        <v>--</v>
      </c>
      <c r="T658" s="251" t="str">
        <f>IFERROR(__xludf.DUMMYFUNCTION("""COMPUTED_VALUE"""),"--")</f>
        <v>--</v>
      </c>
      <c r="U658" s="251" t="str">
        <f>IFERROR(__xludf.DUMMYFUNCTION("""COMPUTED_VALUE"""),"--")</f>
        <v>--</v>
      </c>
      <c r="V658" s="251" t="str">
        <f>IFERROR(__xludf.DUMMYFUNCTION("""COMPUTED_VALUE"""),"Gilled")</f>
        <v>Gilled</v>
      </c>
      <c r="W658" s="251" t="str">
        <f>IFERROR(__xludf.DUMMYFUNCTION("""COMPUTED_VALUE"""),"--")</f>
        <v>--</v>
      </c>
      <c r="X658" s="251" t="str">
        <f>IFERROR(__xludf.DUMMYFUNCTION("""COMPUTED_VALUE"""),"--")</f>
        <v>--</v>
      </c>
      <c r="Y658" s="251" t="str">
        <f>IFERROR(__xludf.DUMMYFUNCTION("""COMPUTED_VALUE"""),"--")</f>
        <v>--</v>
      </c>
      <c r="Z658" s="251" t="str">
        <f>IFERROR(__xludf.DUMMYFUNCTION("""COMPUTED_VALUE"""),"--")</f>
        <v>--</v>
      </c>
      <c r="AA658" s="251" t="str">
        <f>IFERROR(__xludf.DUMMYFUNCTION("""COMPUTED_VALUE"""),"--")</f>
        <v>--</v>
      </c>
      <c r="AB658" s="251" t="str">
        <f>IFERROR(__xludf.DUMMYFUNCTION("""COMPUTED_VALUE"""),"--")</f>
        <v>--</v>
      </c>
      <c r="AC658" s="251" t="str">
        <f>IFERROR(__xludf.DUMMYFUNCTION("""COMPUTED_VALUE"""),"--")</f>
        <v>--</v>
      </c>
      <c r="AD658" s="251">
        <f>IFERROR(__xludf.DUMMYFUNCTION("""COMPUTED_VALUE"""),2.0)</f>
        <v>2</v>
      </c>
      <c r="AE658" s="251" t="str">
        <f>IFERROR(__xludf.DUMMYFUNCTION("""COMPUTED_VALUE"""),"Herbivore")</f>
        <v>Herbivore</v>
      </c>
    </row>
    <row r="659">
      <c r="A659" s="251" t="str">
        <f>IFERROR(__xludf.DUMMYFUNCTION("""COMPUTED_VALUE"""),"Crabominable")</f>
        <v>Crabominable</v>
      </c>
      <c r="B659" s="251" t="str">
        <f>IFERROR(__xludf.DUMMYFUNCTION("""COMPUTED_VALUE"""),"Fighting")</f>
        <v>Fighting</v>
      </c>
      <c r="C659" s="251" t="str">
        <f>IFERROR(__xludf.DUMMYFUNCTION("""COMPUTED_VALUE"""),"Ice")</f>
        <v>Ice</v>
      </c>
      <c r="D659" s="251">
        <f>IFERROR(__xludf.DUMMYFUNCTION("""COMPUTED_VALUE"""),10.0)</f>
        <v>10</v>
      </c>
      <c r="E659" s="251">
        <f>IFERROR(__xludf.DUMMYFUNCTION("""COMPUTED_VALUE"""),15.0)</f>
        <v>15</v>
      </c>
      <c r="F659" s="251">
        <f>IFERROR(__xludf.DUMMYFUNCTION("""COMPUTED_VALUE"""),9.0)</f>
        <v>9</v>
      </c>
      <c r="G659" s="251">
        <f>IFERROR(__xludf.DUMMYFUNCTION("""COMPUTED_VALUE"""),6.0)</f>
        <v>6</v>
      </c>
      <c r="H659" s="251">
        <f>IFERROR(__xludf.DUMMYFUNCTION("""COMPUTED_VALUE"""),7.0)</f>
        <v>7</v>
      </c>
      <c r="I659" s="251">
        <f>IFERROR(__xludf.DUMMYFUNCTION("""COMPUTED_VALUE"""),4.0)</f>
        <v>4</v>
      </c>
      <c r="J659" s="251">
        <f>IFERROR(__xludf.DUMMYFUNCTION("""COMPUTED_VALUE"""),8.0)</f>
        <v>8</v>
      </c>
      <c r="K659" s="251" t="str">
        <f>IFERROR(__xludf.DUMMYFUNCTION("""COMPUTED_VALUE"""),"Large")</f>
        <v>Large</v>
      </c>
      <c r="L659" s="251">
        <f>IFERROR(__xludf.DUMMYFUNCTION("""COMPUTED_VALUE"""),5.0)</f>
        <v>5</v>
      </c>
      <c r="M659" s="251" t="str">
        <f>IFERROR(__xludf.DUMMYFUNCTION("""COMPUTED_VALUE"""),"Tundra")</f>
        <v>Tundra</v>
      </c>
      <c r="N659" s="251" t="str">
        <f>IFERROR(__xludf.DUMMYFUNCTION("""COMPUTED_VALUE"""),"--")</f>
        <v>--</v>
      </c>
      <c r="O659" s="251" t="str">
        <f>IFERROR(__xludf.DUMMYFUNCTION("""COMPUTED_VALUE"""),"--")</f>
        <v>--</v>
      </c>
      <c r="P659" s="251" t="str">
        <f>IFERROR(__xludf.DUMMYFUNCTION("""COMPUTED_VALUE"""),"--")</f>
        <v>--</v>
      </c>
      <c r="Q659" s="251" t="str">
        <f>IFERROR(__xludf.DUMMYFUNCTION("""COMPUTED_VALUE"""),"--")</f>
        <v>--</v>
      </c>
      <c r="R659" s="251" t="str">
        <f>IFERROR(__xludf.DUMMYFUNCTION("""COMPUTED_VALUE"""),"--")</f>
        <v>--</v>
      </c>
      <c r="S659" s="251" t="str">
        <f>IFERROR(__xludf.DUMMYFUNCTION("""COMPUTED_VALUE"""),"--")</f>
        <v>--</v>
      </c>
      <c r="T659" s="251" t="str">
        <f>IFERROR(__xludf.DUMMYFUNCTION("""COMPUTED_VALUE"""),"--")</f>
        <v>--</v>
      </c>
      <c r="U659" s="251" t="str">
        <f>IFERROR(__xludf.DUMMYFUNCTION("""COMPUTED_VALUE"""),"--")</f>
        <v>--</v>
      </c>
      <c r="V659" s="251" t="str">
        <f>IFERROR(__xludf.DUMMYFUNCTION("""COMPUTED_VALUE"""),"Gilled")</f>
        <v>Gilled</v>
      </c>
      <c r="W659" s="251" t="str">
        <f>IFERROR(__xludf.DUMMYFUNCTION("""COMPUTED_VALUE"""),"--")</f>
        <v>--</v>
      </c>
      <c r="X659" s="251" t="str">
        <f>IFERROR(__xludf.DUMMYFUNCTION("""COMPUTED_VALUE"""),"--")</f>
        <v>--</v>
      </c>
      <c r="Y659" s="251" t="str">
        <f>IFERROR(__xludf.DUMMYFUNCTION("""COMPUTED_VALUE"""),"--")</f>
        <v>--</v>
      </c>
      <c r="Z659" s="251" t="str">
        <f>IFERROR(__xludf.DUMMYFUNCTION("""COMPUTED_VALUE"""),"--")</f>
        <v>--</v>
      </c>
      <c r="AA659" s="251" t="str">
        <f>IFERROR(__xludf.DUMMYFUNCTION("""COMPUTED_VALUE"""),"--")</f>
        <v>--</v>
      </c>
      <c r="AB659" s="251" t="str">
        <f>IFERROR(__xludf.DUMMYFUNCTION("""COMPUTED_VALUE"""),"--")</f>
        <v>--</v>
      </c>
      <c r="AC659" s="251" t="str">
        <f>IFERROR(__xludf.DUMMYFUNCTION("""COMPUTED_VALUE"""),"--")</f>
        <v>--</v>
      </c>
      <c r="AD659" s="251">
        <f>IFERROR(__xludf.DUMMYFUNCTION("""COMPUTED_VALUE"""),3.0)</f>
        <v>3</v>
      </c>
      <c r="AE659" s="251" t="str">
        <f>IFERROR(__xludf.DUMMYFUNCTION("""COMPUTED_VALUE"""),"Omnivore")</f>
        <v>Omnivore</v>
      </c>
    </row>
    <row r="660">
      <c r="A660" s="251" t="str">
        <f>IFERROR(__xludf.DUMMYFUNCTION("""COMPUTED_VALUE"""),"Clobbopus")</f>
        <v>Clobbopus</v>
      </c>
      <c r="B660" s="251" t="str">
        <f>IFERROR(__xludf.DUMMYFUNCTION("""COMPUTED_VALUE"""),"Fighting")</f>
        <v>Fighting</v>
      </c>
      <c r="C660" s="251" t="str">
        <f>IFERROR(__xludf.DUMMYFUNCTION("""COMPUTED_VALUE"""),"None")</f>
        <v>None</v>
      </c>
      <c r="D660" s="251">
        <f>IFERROR(__xludf.DUMMYFUNCTION("""COMPUTED_VALUE"""),5.0)</f>
        <v>5</v>
      </c>
      <c r="E660" s="251">
        <f>IFERROR(__xludf.DUMMYFUNCTION("""COMPUTED_VALUE"""),7.0)</f>
        <v>7</v>
      </c>
      <c r="F660" s="251">
        <f>IFERROR(__xludf.DUMMYFUNCTION("""COMPUTED_VALUE"""),6.0)</f>
        <v>6</v>
      </c>
      <c r="G660" s="251">
        <f>IFERROR(__xludf.DUMMYFUNCTION("""COMPUTED_VALUE"""),5.0)</f>
        <v>5</v>
      </c>
      <c r="H660" s="251">
        <f>IFERROR(__xludf.DUMMYFUNCTION("""COMPUTED_VALUE"""),5.0)</f>
        <v>5</v>
      </c>
      <c r="I660" s="251">
        <f>IFERROR(__xludf.DUMMYFUNCTION("""COMPUTED_VALUE"""),3.0)</f>
        <v>3</v>
      </c>
      <c r="J660" s="251">
        <f>IFERROR(__xludf.DUMMYFUNCTION("""COMPUTED_VALUE"""),4.0)</f>
        <v>4</v>
      </c>
      <c r="K660" s="251" t="str">
        <f>IFERROR(__xludf.DUMMYFUNCTION("""COMPUTED_VALUE"""),"Small")</f>
        <v>Small</v>
      </c>
      <c r="L660" s="251">
        <f>IFERROR(__xludf.DUMMYFUNCTION("""COMPUTED_VALUE"""),1.0)</f>
        <v>1</v>
      </c>
      <c r="M660" s="251" t="str">
        <f>IFERROR(__xludf.DUMMYFUNCTION("""COMPUTED_VALUE"""),"Ocean")</f>
        <v>Ocean</v>
      </c>
      <c r="N660" s="251" t="str">
        <f>IFERROR(__xludf.DUMMYFUNCTION("""COMPUTED_VALUE"""),"Swimmer")</f>
        <v>Swimmer</v>
      </c>
      <c r="O660" s="251" t="str">
        <f>IFERROR(__xludf.DUMMYFUNCTION("""COMPUTED_VALUE"""),"--")</f>
        <v>--</v>
      </c>
      <c r="P660" s="251" t="str">
        <f>IFERROR(__xludf.DUMMYFUNCTION("""COMPUTED_VALUE"""),"--")</f>
        <v>--</v>
      </c>
      <c r="Q660" s="251" t="str">
        <f>IFERROR(__xludf.DUMMYFUNCTION("""COMPUTED_VALUE"""),"--")</f>
        <v>--</v>
      </c>
      <c r="R660" s="251" t="str">
        <f>IFERROR(__xludf.DUMMYFUNCTION("""COMPUTED_VALUE"""),"Underdog")</f>
        <v>Underdog</v>
      </c>
      <c r="S660" s="251" t="str">
        <f>IFERROR(__xludf.DUMMYFUNCTION("""COMPUTED_VALUE"""),"--")</f>
        <v>--</v>
      </c>
      <c r="T660" s="251" t="str">
        <f>IFERROR(__xludf.DUMMYFUNCTION("""COMPUTED_VALUE"""),"--")</f>
        <v>--</v>
      </c>
      <c r="U660" s="251" t="str">
        <f>IFERROR(__xludf.DUMMYFUNCTION("""COMPUTED_VALUE"""),"--")</f>
        <v>--</v>
      </c>
      <c r="V660" s="251" t="str">
        <f>IFERROR(__xludf.DUMMYFUNCTION("""COMPUTED_VALUE"""),"Gilled")</f>
        <v>Gilled</v>
      </c>
      <c r="W660" s="251" t="str">
        <f>IFERROR(__xludf.DUMMYFUNCTION("""COMPUTED_VALUE"""),"--")</f>
        <v>--</v>
      </c>
      <c r="X660" s="251" t="str">
        <f>IFERROR(__xludf.DUMMYFUNCTION("""COMPUTED_VALUE"""),"--")</f>
        <v>--</v>
      </c>
      <c r="Y660" s="251" t="str">
        <f>IFERROR(__xludf.DUMMYFUNCTION("""COMPUTED_VALUE"""),"--")</f>
        <v>--</v>
      </c>
      <c r="Z660" s="251" t="str">
        <f>IFERROR(__xludf.DUMMYFUNCTION("""COMPUTED_VALUE"""),"--")</f>
        <v>--</v>
      </c>
      <c r="AA660" s="251" t="str">
        <f>IFERROR(__xludf.DUMMYFUNCTION("""COMPUTED_VALUE"""),"--")</f>
        <v>--</v>
      </c>
      <c r="AB660" s="251" t="str">
        <f>IFERROR(__xludf.DUMMYFUNCTION("""COMPUTED_VALUE"""),"--")</f>
        <v>--</v>
      </c>
      <c r="AC660" s="251" t="str">
        <f>IFERROR(__xludf.DUMMYFUNCTION("""COMPUTED_VALUE"""),"--")</f>
        <v>--</v>
      </c>
      <c r="AD660" s="251">
        <f>IFERROR(__xludf.DUMMYFUNCTION("""COMPUTED_VALUE"""),2.0)</f>
        <v>2</v>
      </c>
      <c r="AE660" s="251" t="str">
        <f>IFERROR(__xludf.DUMMYFUNCTION("""COMPUTED_VALUE"""),"Omnivore")</f>
        <v>Omnivore</v>
      </c>
    </row>
    <row r="661">
      <c r="A661" s="251" t="str">
        <f>IFERROR(__xludf.DUMMYFUNCTION("""COMPUTED_VALUE"""),"Grapploct")</f>
        <v>Grapploct</v>
      </c>
      <c r="B661" s="251" t="str">
        <f>IFERROR(__xludf.DUMMYFUNCTION("""COMPUTED_VALUE"""),"Fighting")</f>
        <v>Fighting</v>
      </c>
      <c r="C661" s="251" t="str">
        <f>IFERROR(__xludf.DUMMYFUNCTION("""COMPUTED_VALUE"""),"None")</f>
        <v>None</v>
      </c>
      <c r="D661" s="251">
        <f>IFERROR(__xludf.DUMMYFUNCTION("""COMPUTED_VALUE"""),8.0)</f>
        <v>8</v>
      </c>
      <c r="E661" s="251">
        <f>IFERROR(__xludf.DUMMYFUNCTION("""COMPUTED_VALUE"""),13.0)</f>
        <v>13</v>
      </c>
      <c r="F661" s="251">
        <f>IFERROR(__xludf.DUMMYFUNCTION("""COMPUTED_VALUE"""),10.0)</f>
        <v>10</v>
      </c>
      <c r="G661" s="251">
        <f>IFERROR(__xludf.DUMMYFUNCTION("""COMPUTED_VALUE"""),7.0)</f>
        <v>7</v>
      </c>
      <c r="H661" s="251">
        <f>IFERROR(__xludf.DUMMYFUNCTION("""COMPUTED_VALUE"""),9.0)</f>
        <v>9</v>
      </c>
      <c r="I661" s="251">
        <f>IFERROR(__xludf.DUMMYFUNCTION("""COMPUTED_VALUE"""),4.0)</f>
        <v>4</v>
      </c>
      <c r="J661" s="251">
        <f>IFERROR(__xludf.DUMMYFUNCTION("""COMPUTED_VALUE"""),7.0)</f>
        <v>7</v>
      </c>
      <c r="K661" s="251" t="str">
        <f>IFERROR(__xludf.DUMMYFUNCTION("""COMPUTED_VALUE"""),"Medium")</f>
        <v>Medium</v>
      </c>
      <c r="L661" s="251">
        <f>IFERROR(__xludf.DUMMYFUNCTION("""COMPUTED_VALUE"""),3.0)</f>
        <v>3</v>
      </c>
      <c r="M661" s="251" t="str">
        <f>IFERROR(__xludf.DUMMYFUNCTION("""COMPUTED_VALUE"""),"Ocean")</f>
        <v>Ocean</v>
      </c>
      <c r="N661" s="251" t="str">
        <f>IFERROR(__xludf.DUMMYFUNCTION("""COMPUTED_VALUE"""),"Swimmer")</f>
        <v>Swimmer</v>
      </c>
      <c r="O661" s="251" t="str">
        <f>IFERROR(__xludf.DUMMYFUNCTION("""COMPUTED_VALUE"""),"--")</f>
        <v>--</v>
      </c>
      <c r="P661" s="251" t="str">
        <f>IFERROR(__xludf.DUMMYFUNCTION("""COMPUTED_VALUE"""),"--")</f>
        <v>--</v>
      </c>
      <c r="Q661" s="251" t="str">
        <f>IFERROR(__xludf.DUMMYFUNCTION("""COMPUTED_VALUE"""),"--")</f>
        <v>--</v>
      </c>
      <c r="R661" s="251" t="str">
        <f>IFERROR(__xludf.DUMMYFUNCTION("""COMPUTED_VALUE"""),"--")</f>
        <v>--</v>
      </c>
      <c r="S661" s="251" t="str">
        <f>IFERROR(__xludf.DUMMYFUNCTION("""COMPUTED_VALUE"""),"--")</f>
        <v>--</v>
      </c>
      <c r="T661" s="251" t="str">
        <f>IFERROR(__xludf.DUMMYFUNCTION("""COMPUTED_VALUE"""),"--")</f>
        <v>--</v>
      </c>
      <c r="U661" s="251" t="str">
        <f>IFERROR(__xludf.DUMMYFUNCTION("""COMPUTED_VALUE"""),"--")</f>
        <v>--</v>
      </c>
      <c r="V661" s="251" t="str">
        <f>IFERROR(__xludf.DUMMYFUNCTION("""COMPUTED_VALUE"""),"Gilled")</f>
        <v>Gilled</v>
      </c>
      <c r="W661" s="251" t="str">
        <f>IFERROR(__xludf.DUMMYFUNCTION("""COMPUTED_VALUE"""),"--")</f>
        <v>--</v>
      </c>
      <c r="X661" s="251" t="str">
        <f>IFERROR(__xludf.DUMMYFUNCTION("""COMPUTED_VALUE"""),"--")</f>
        <v>--</v>
      </c>
      <c r="Y661" s="251" t="str">
        <f>IFERROR(__xludf.DUMMYFUNCTION("""COMPUTED_VALUE"""),"--")</f>
        <v>--</v>
      </c>
      <c r="Z661" s="251" t="str">
        <f>IFERROR(__xludf.DUMMYFUNCTION("""COMPUTED_VALUE"""),"--")</f>
        <v>--</v>
      </c>
      <c r="AA661" s="251" t="str">
        <f>IFERROR(__xludf.DUMMYFUNCTION("""COMPUTED_VALUE"""),"--")</f>
        <v>--</v>
      </c>
      <c r="AB661" s="251" t="str">
        <f>IFERROR(__xludf.DUMMYFUNCTION("""COMPUTED_VALUE"""),"--")</f>
        <v>--</v>
      </c>
      <c r="AC661" s="251" t="str">
        <f>IFERROR(__xludf.DUMMYFUNCTION("""COMPUTED_VALUE"""),"--")</f>
        <v>--</v>
      </c>
      <c r="AD661" s="251">
        <f>IFERROR(__xludf.DUMMYFUNCTION("""COMPUTED_VALUE"""),3.0)</f>
        <v>3</v>
      </c>
      <c r="AE661" s="251" t="str">
        <f>IFERROR(__xludf.DUMMYFUNCTION("""COMPUTED_VALUE"""),"Omnivore")</f>
        <v>Omnivore</v>
      </c>
    </row>
    <row r="662">
      <c r="A662" s="251" t="str">
        <f>IFERROR(__xludf.DUMMYFUNCTION("""COMPUTED_VALUE"""),"Vulpix")</f>
        <v>Vulpix</v>
      </c>
      <c r="B662" s="251" t="str">
        <f>IFERROR(__xludf.DUMMYFUNCTION("""COMPUTED_VALUE"""),"Fire")</f>
        <v>Fire</v>
      </c>
      <c r="C662" s="251" t="str">
        <f>IFERROR(__xludf.DUMMYFUNCTION("""COMPUTED_VALUE"""),"None")</f>
        <v>None</v>
      </c>
      <c r="D662" s="251">
        <f>IFERROR(__xludf.DUMMYFUNCTION("""COMPUTED_VALUE"""),4.0)</f>
        <v>4</v>
      </c>
      <c r="E662" s="251">
        <f>IFERROR(__xludf.DUMMYFUNCTION("""COMPUTED_VALUE"""),4.0)</f>
        <v>4</v>
      </c>
      <c r="F662" s="251">
        <f>IFERROR(__xludf.DUMMYFUNCTION("""COMPUTED_VALUE"""),4.0)</f>
        <v>4</v>
      </c>
      <c r="G662" s="251">
        <f>IFERROR(__xludf.DUMMYFUNCTION("""COMPUTED_VALUE"""),5.0)</f>
        <v>5</v>
      </c>
      <c r="H662" s="251">
        <f>IFERROR(__xludf.DUMMYFUNCTION("""COMPUTED_VALUE"""),7.0)</f>
        <v>7</v>
      </c>
      <c r="I662" s="251">
        <f>IFERROR(__xludf.DUMMYFUNCTION("""COMPUTED_VALUE"""),7.0)</f>
        <v>7</v>
      </c>
      <c r="J662" s="251">
        <f>IFERROR(__xludf.DUMMYFUNCTION("""COMPUTED_VALUE"""),2.0)</f>
        <v>2</v>
      </c>
      <c r="K662" s="251" t="str">
        <f>IFERROR(__xludf.DUMMYFUNCTION("""COMPUTED_VALUE"""),"Small")</f>
        <v>Small</v>
      </c>
      <c r="L662" s="251">
        <f>IFERROR(__xludf.DUMMYFUNCTION("""COMPUTED_VALUE"""),1.0)</f>
        <v>1</v>
      </c>
      <c r="M662" s="251" t="str">
        <f>IFERROR(__xludf.DUMMYFUNCTION("""COMPUTED_VALUE"""),"Forest, Mountain")</f>
        <v>Forest, Mountain</v>
      </c>
      <c r="N662" s="251" t="str">
        <f>IFERROR(__xludf.DUMMYFUNCTION("""COMPUTED_VALUE"""),"--")</f>
        <v>--</v>
      </c>
      <c r="O662" s="251" t="str">
        <f>IFERROR(__xludf.DUMMYFUNCTION("""COMPUTED_VALUE"""),"--")</f>
        <v>--</v>
      </c>
      <c r="P662" s="251" t="str">
        <f>IFERROR(__xludf.DUMMYFUNCTION("""COMPUTED_VALUE"""),"--")</f>
        <v>--</v>
      </c>
      <c r="Q662" s="251" t="str">
        <f>IFERROR(__xludf.DUMMYFUNCTION("""COMPUTED_VALUE"""),"--")</f>
        <v>--</v>
      </c>
      <c r="R662" s="251" t="str">
        <f>IFERROR(__xludf.DUMMYFUNCTION("""COMPUTED_VALUE"""),"Underdog")</f>
        <v>Underdog</v>
      </c>
      <c r="S662" s="251" t="str">
        <f>IFERROR(__xludf.DUMMYFUNCTION("""COMPUTED_VALUE"""),"--")</f>
        <v>--</v>
      </c>
      <c r="T662" s="251" t="str">
        <f>IFERROR(__xludf.DUMMYFUNCTION("""COMPUTED_VALUE"""),"--")</f>
        <v>--</v>
      </c>
      <c r="U662" s="251" t="str">
        <f>IFERROR(__xludf.DUMMYFUNCTION("""COMPUTED_VALUE"""),"--")</f>
        <v>--</v>
      </c>
      <c r="V662" s="251" t="str">
        <f>IFERROR(__xludf.DUMMYFUNCTION("""COMPUTED_VALUE"""),"Tracker")</f>
        <v>Tracker</v>
      </c>
      <c r="W662" s="251" t="str">
        <f>IFERROR(__xludf.DUMMYFUNCTION("""COMPUTED_VALUE"""),"--")</f>
        <v>--</v>
      </c>
      <c r="X662" s="251" t="str">
        <f>IFERROR(__xludf.DUMMYFUNCTION("""COMPUTED_VALUE"""),"--")</f>
        <v>--</v>
      </c>
      <c r="Y662" s="251" t="str">
        <f>IFERROR(__xludf.DUMMYFUNCTION("""COMPUTED_VALUE"""),"--")</f>
        <v>--</v>
      </c>
      <c r="Z662" s="251" t="str">
        <f>IFERROR(__xludf.DUMMYFUNCTION("""COMPUTED_VALUE"""),"--")</f>
        <v>--</v>
      </c>
      <c r="AA662" s="251" t="str">
        <f>IFERROR(__xludf.DUMMYFUNCTION("""COMPUTED_VALUE"""),"--")</f>
        <v>--</v>
      </c>
      <c r="AB662" s="251" t="str">
        <f>IFERROR(__xludf.DUMMYFUNCTION("""COMPUTED_VALUE"""),"--")</f>
        <v>--</v>
      </c>
      <c r="AC662" s="251" t="str">
        <f>IFERROR(__xludf.DUMMYFUNCTION("""COMPUTED_VALUE"""),"--")</f>
        <v>--</v>
      </c>
      <c r="AD662" s="251">
        <f>IFERROR(__xludf.DUMMYFUNCTION("""COMPUTED_VALUE"""),2.0)</f>
        <v>2</v>
      </c>
      <c r="AE662" s="251" t="str">
        <f>IFERROR(__xludf.DUMMYFUNCTION("""COMPUTED_VALUE"""),"Omnivore")</f>
        <v>Omnivore</v>
      </c>
    </row>
    <row r="663">
      <c r="A663" s="251" t="str">
        <f>IFERROR(__xludf.DUMMYFUNCTION("""COMPUTED_VALUE"""),"Ninetales")</f>
        <v>Ninetales</v>
      </c>
      <c r="B663" s="251" t="str">
        <f>IFERROR(__xludf.DUMMYFUNCTION("""COMPUTED_VALUE"""),"Fire")</f>
        <v>Fire</v>
      </c>
      <c r="C663" s="251" t="str">
        <f>IFERROR(__xludf.DUMMYFUNCTION("""COMPUTED_VALUE"""),"None")</f>
        <v>None</v>
      </c>
      <c r="D663" s="251">
        <f>IFERROR(__xludf.DUMMYFUNCTION("""COMPUTED_VALUE"""),7.0)</f>
        <v>7</v>
      </c>
      <c r="E663" s="251">
        <f>IFERROR(__xludf.DUMMYFUNCTION("""COMPUTED_VALUE"""),8.0)</f>
        <v>8</v>
      </c>
      <c r="F663" s="251">
        <f>IFERROR(__xludf.DUMMYFUNCTION("""COMPUTED_VALUE"""),8.0)</f>
        <v>8</v>
      </c>
      <c r="G663" s="251">
        <f>IFERROR(__xludf.DUMMYFUNCTION("""COMPUTED_VALUE"""),8.0)</f>
        <v>8</v>
      </c>
      <c r="H663" s="251">
        <f>IFERROR(__xludf.DUMMYFUNCTION("""COMPUTED_VALUE"""),10.0)</f>
        <v>10</v>
      </c>
      <c r="I663" s="251">
        <f>IFERROR(__xludf.DUMMYFUNCTION("""COMPUTED_VALUE"""),10.0)</f>
        <v>10</v>
      </c>
      <c r="J663" s="251">
        <f>IFERROR(__xludf.DUMMYFUNCTION("""COMPUTED_VALUE"""),4.0)</f>
        <v>4</v>
      </c>
      <c r="K663" s="251" t="str">
        <f>IFERROR(__xludf.DUMMYFUNCTION("""COMPUTED_VALUE"""),"Medium")</f>
        <v>Medium</v>
      </c>
      <c r="L663" s="251">
        <f>IFERROR(__xludf.DUMMYFUNCTION("""COMPUTED_VALUE"""),2.0)</f>
        <v>2</v>
      </c>
      <c r="M663" s="251" t="str">
        <f>IFERROR(__xludf.DUMMYFUNCTION("""COMPUTED_VALUE"""),"Forest, Mountain")</f>
        <v>Forest, Mountain</v>
      </c>
      <c r="N663" s="251" t="str">
        <f>IFERROR(__xludf.DUMMYFUNCTION("""COMPUTED_VALUE"""),"--")</f>
        <v>--</v>
      </c>
      <c r="O663" s="251" t="str">
        <f>IFERROR(__xludf.DUMMYFUNCTION("""COMPUTED_VALUE"""),"--")</f>
        <v>--</v>
      </c>
      <c r="P663" s="251" t="str">
        <f>IFERROR(__xludf.DUMMYFUNCTION("""COMPUTED_VALUE"""),"--")</f>
        <v>--</v>
      </c>
      <c r="Q663" s="251" t="str">
        <f>IFERROR(__xludf.DUMMYFUNCTION("""COMPUTED_VALUE"""),"--")</f>
        <v>--</v>
      </c>
      <c r="R663" s="251" t="str">
        <f>IFERROR(__xludf.DUMMYFUNCTION("""COMPUTED_VALUE"""),"--")</f>
        <v>--</v>
      </c>
      <c r="S663" s="251" t="str">
        <f>IFERROR(__xludf.DUMMYFUNCTION("""COMPUTED_VALUE"""),"--")</f>
        <v>--</v>
      </c>
      <c r="T663" s="251" t="str">
        <f>IFERROR(__xludf.DUMMYFUNCTION("""COMPUTED_VALUE"""),"--")</f>
        <v>--</v>
      </c>
      <c r="U663" s="251" t="str">
        <f>IFERROR(__xludf.DUMMYFUNCTION("""COMPUTED_VALUE"""),"--")</f>
        <v>--</v>
      </c>
      <c r="V663" s="251" t="str">
        <f>IFERROR(__xludf.DUMMYFUNCTION("""COMPUTED_VALUE"""),"Tracker")</f>
        <v>Tracker</v>
      </c>
      <c r="W663" s="251" t="str">
        <f>IFERROR(__xludf.DUMMYFUNCTION("""COMPUTED_VALUE"""),"--")</f>
        <v>--</v>
      </c>
      <c r="X663" s="251" t="str">
        <f>IFERROR(__xludf.DUMMYFUNCTION("""COMPUTED_VALUE"""),"--")</f>
        <v>--</v>
      </c>
      <c r="Y663" s="251" t="str">
        <f>IFERROR(__xludf.DUMMYFUNCTION("""COMPUTED_VALUE"""),"--")</f>
        <v>--</v>
      </c>
      <c r="Z663" s="251" t="str">
        <f>IFERROR(__xludf.DUMMYFUNCTION("""COMPUTED_VALUE"""),"--")</f>
        <v>--</v>
      </c>
      <c r="AA663" s="251" t="str">
        <f>IFERROR(__xludf.DUMMYFUNCTION("""COMPUTED_VALUE"""),"--")</f>
        <v>--</v>
      </c>
      <c r="AB663" s="251" t="str">
        <f>IFERROR(__xludf.DUMMYFUNCTION("""COMPUTED_VALUE"""),"--")</f>
        <v>--</v>
      </c>
      <c r="AC663" s="251" t="str">
        <f>IFERROR(__xludf.DUMMYFUNCTION("""COMPUTED_VALUE"""),"--")</f>
        <v>--</v>
      </c>
      <c r="AD663" s="251">
        <f>IFERROR(__xludf.DUMMYFUNCTION("""COMPUTED_VALUE"""),3.0)</f>
        <v>3</v>
      </c>
      <c r="AE663" s="251" t="str">
        <f>IFERROR(__xludf.DUMMYFUNCTION("""COMPUTED_VALUE"""),"Omnivore")</f>
        <v>Omnivore</v>
      </c>
    </row>
    <row r="664">
      <c r="A664" s="251" t="str">
        <f>IFERROR(__xludf.DUMMYFUNCTION("""COMPUTED_VALUE"""),"Growlithe")</f>
        <v>Growlithe</v>
      </c>
      <c r="B664" s="251" t="str">
        <f>IFERROR(__xludf.DUMMYFUNCTION("""COMPUTED_VALUE"""),"Fire")</f>
        <v>Fire</v>
      </c>
      <c r="C664" s="251" t="str">
        <f>IFERROR(__xludf.DUMMYFUNCTION("""COMPUTED_VALUE"""),"None")</f>
        <v>None</v>
      </c>
      <c r="D664" s="251">
        <f>IFERROR(__xludf.DUMMYFUNCTION("""COMPUTED_VALUE"""),6.0)</f>
        <v>6</v>
      </c>
      <c r="E664" s="251">
        <f>IFERROR(__xludf.DUMMYFUNCTION("""COMPUTED_VALUE"""),7.0)</f>
        <v>7</v>
      </c>
      <c r="F664" s="251">
        <f>IFERROR(__xludf.DUMMYFUNCTION("""COMPUTED_VALUE"""),5.0)</f>
        <v>5</v>
      </c>
      <c r="G664" s="251">
        <f>IFERROR(__xludf.DUMMYFUNCTION("""COMPUTED_VALUE"""),7.0)</f>
        <v>7</v>
      </c>
      <c r="H664" s="251">
        <f>IFERROR(__xludf.DUMMYFUNCTION("""COMPUTED_VALUE"""),5.0)</f>
        <v>5</v>
      </c>
      <c r="I664" s="251">
        <f>IFERROR(__xludf.DUMMYFUNCTION("""COMPUTED_VALUE"""),6.0)</f>
        <v>6</v>
      </c>
      <c r="J664" s="251">
        <f>IFERROR(__xludf.DUMMYFUNCTION("""COMPUTED_VALUE"""),3.0)</f>
        <v>3</v>
      </c>
      <c r="K664" s="251" t="str">
        <f>IFERROR(__xludf.DUMMYFUNCTION("""COMPUTED_VALUE"""),"Small")</f>
        <v>Small</v>
      </c>
      <c r="L664" s="251">
        <f>IFERROR(__xludf.DUMMYFUNCTION("""COMPUTED_VALUE"""),2.0)</f>
        <v>2</v>
      </c>
      <c r="M664" s="251" t="str">
        <f>IFERROR(__xludf.DUMMYFUNCTION("""COMPUTED_VALUE"""),"Grasslands")</f>
        <v>Grasslands</v>
      </c>
      <c r="N664" s="251" t="str">
        <f>IFERROR(__xludf.DUMMYFUNCTION("""COMPUTED_VALUE"""),"--")</f>
        <v>--</v>
      </c>
      <c r="O664" s="251" t="str">
        <f>IFERROR(__xludf.DUMMYFUNCTION("""COMPUTED_VALUE"""),"--")</f>
        <v>--</v>
      </c>
      <c r="P664" s="251" t="str">
        <f>IFERROR(__xludf.DUMMYFUNCTION("""COMPUTED_VALUE"""),"--")</f>
        <v>--</v>
      </c>
      <c r="Q664" s="251" t="str">
        <f>IFERROR(__xludf.DUMMYFUNCTION("""COMPUTED_VALUE"""),"--")</f>
        <v>--</v>
      </c>
      <c r="R664" s="251" t="str">
        <f>IFERROR(__xludf.DUMMYFUNCTION("""COMPUTED_VALUE"""),"Underdog")</f>
        <v>Underdog</v>
      </c>
      <c r="S664" s="251" t="str">
        <f>IFERROR(__xludf.DUMMYFUNCTION("""COMPUTED_VALUE"""),"--")</f>
        <v>--</v>
      </c>
      <c r="T664" s="251" t="str">
        <f>IFERROR(__xludf.DUMMYFUNCTION("""COMPUTED_VALUE"""),"--")</f>
        <v>--</v>
      </c>
      <c r="U664" s="251" t="str">
        <f>IFERROR(__xludf.DUMMYFUNCTION("""COMPUTED_VALUE"""),"--")</f>
        <v>--</v>
      </c>
      <c r="V664" s="251" t="str">
        <f>IFERROR(__xludf.DUMMYFUNCTION("""COMPUTED_VALUE"""),"Pack Mon")</f>
        <v>Pack Mon</v>
      </c>
      <c r="W664" s="251" t="str">
        <f>IFERROR(__xludf.DUMMYFUNCTION("""COMPUTED_VALUE"""),"Tracker")</f>
        <v>Tracker</v>
      </c>
      <c r="X664" s="251" t="str">
        <f>IFERROR(__xludf.DUMMYFUNCTION("""COMPUTED_VALUE"""),"--")</f>
        <v>--</v>
      </c>
      <c r="Y664" s="251" t="str">
        <f>IFERROR(__xludf.DUMMYFUNCTION("""COMPUTED_VALUE"""),"--")</f>
        <v>--</v>
      </c>
      <c r="Z664" s="251" t="str">
        <f>IFERROR(__xludf.DUMMYFUNCTION("""COMPUTED_VALUE"""),"--")</f>
        <v>--</v>
      </c>
      <c r="AA664" s="251" t="str">
        <f>IFERROR(__xludf.DUMMYFUNCTION("""COMPUTED_VALUE"""),"--")</f>
        <v>--</v>
      </c>
      <c r="AB664" s="251" t="str">
        <f>IFERROR(__xludf.DUMMYFUNCTION("""COMPUTED_VALUE"""),"--")</f>
        <v>--</v>
      </c>
      <c r="AC664" s="251" t="str">
        <f>IFERROR(__xludf.DUMMYFUNCTION("""COMPUTED_VALUE"""),"--")</f>
        <v>--</v>
      </c>
      <c r="AD664" s="251">
        <f>IFERROR(__xludf.DUMMYFUNCTION("""COMPUTED_VALUE"""),2.0)</f>
        <v>2</v>
      </c>
      <c r="AE664" s="251" t="str">
        <f>IFERROR(__xludf.DUMMYFUNCTION("""COMPUTED_VALUE"""),"Carnivore")</f>
        <v>Carnivore</v>
      </c>
    </row>
    <row r="665">
      <c r="A665" s="251" t="str">
        <f>IFERROR(__xludf.DUMMYFUNCTION("""COMPUTED_VALUE"""),"Arcanine")</f>
        <v>Arcanine</v>
      </c>
      <c r="B665" s="251" t="str">
        <f>IFERROR(__xludf.DUMMYFUNCTION("""COMPUTED_VALUE"""),"Fire")</f>
        <v>Fire</v>
      </c>
      <c r="C665" s="251" t="str">
        <f>IFERROR(__xludf.DUMMYFUNCTION("""COMPUTED_VALUE"""),"None")</f>
        <v>None</v>
      </c>
      <c r="D665" s="251">
        <f>IFERROR(__xludf.DUMMYFUNCTION("""COMPUTED_VALUE"""),9.0)</f>
        <v>9</v>
      </c>
      <c r="E665" s="251">
        <f>IFERROR(__xludf.DUMMYFUNCTION("""COMPUTED_VALUE"""),11.0)</f>
        <v>11</v>
      </c>
      <c r="F665" s="251">
        <f>IFERROR(__xludf.DUMMYFUNCTION("""COMPUTED_VALUE"""),8.0)</f>
        <v>8</v>
      </c>
      <c r="G665" s="251">
        <f>IFERROR(__xludf.DUMMYFUNCTION("""COMPUTED_VALUE"""),10.0)</f>
        <v>10</v>
      </c>
      <c r="H665" s="251">
        <f>IFERROR(__xludf.DUMMYFUNCTION("""COMPUTED_VALUE"""),8.0)</f>
        <v>8</v>
      </c>
      <c r="I665" s="251">
        <f>IFERROR(__xludf.DUMMYFUNCTION("""COMPUTED_VALUE"""),10.0)</f>
        <v>10</v>
      </c>
      <c r="J665" s="251">
        <f>IFERROR(__xludf.DUMMYFUNCTION("""COMPUTED_VALUE"""),8.0)</f>
        <v>8</v>
      </c>
      <c r="K665" s="251" t="str">
        <f>IFERROR(__xludf.DUMMYFUNCTION("""COMPUTED_VALUE"""),"Large")</f>
        <v>Large</v>
      </c>
      <c r="L665" s="251">
        <f>IFERROR(__xludf.DUMMYFUNCTION("""COMPUTED_VALUE"""),5.0)</f>
        <v>5</v>
      </c>
      <c r="M665" s="251" t="str">
        <f>IFERROR(__xludf.DUMMYFUNCTION("""COMPUTED_VALUE"""),"Grasslands")</f>
        <v>Grasslands</v>
      </c>
      <c r="N665" s="251" t="str">
        <f>IFERROR(__xludf.DUMMYFUNCTION("""COMPUTED_VALUE"""),"Jumper")</f>
        <v>Jumper</v>
      </c>
      <c r="O665" s="251" t="str">
        <f>IFERROR(__xludf.DUMMYFUNCTION("""COMPUTED_VALUE"""),"Quick")</f>
        <v>Quick</v>
      </c>
      <c r="P665" s="251" t="str">
        <f>IFERROR(__xludf.DUMMYFUNCTION("""COMPUTED_VALUE"""),"--")</f>
        <v>--</v>
      </c>
      <c r="Q665" s="251" t="str">
        <f>IFERROR(__xludf.DUMMYFUNCTION("""COMPUTED_VALUE"""),"--")</f>
        <v>--</v>
      </c>
      <c r="R665" s="251" t="str">
        <f>IFERROR(__xludf.DUMMYFUNCTION("""COMPUTED_VALUE"""),"Mountable")</f>
        <v>Mountable</v>
      </c>
      <c r="S665" s="251" t="str">
        <f>IFERROR(__xludf.DUMMYFUNCTION("""COMPUTED_VALUE"""),"--")</f>
        <v>--</v>
      </c>
      <c r="T665" s="251" t="str">
        <f>IFERROR(__xludf.DUMMYFUNCTION("""COMPUTED_VALUE"""),"--")</f>
        <v>--</v>
      </c>
      <c r="U665" s="251" t="str">
        <f>IFERROR(__xludf.DUMMYFUNCTION("""COMPUTED_VALUE"""),"--")</f>
        <v>--</v>
      </c>
      <c r="V665" s="251" t="str">
        <f>IFERROR(__xludf.DUMMYFUNCTION("""COMPUTED_VALUE"""),"Pack Mon")</f>
        <v>Pack Mon</v>
      </c>
      <c r="W665" s="251" t="str">
        <f>IFERROR(__xludf.DUMMYFUNCTION("""COMPUTED_VALUE"""),"Tracker")</f>
        <v>Tracker</v>
      </c>
      <c r="X665" s="251" t="str">
        <f>IFERROR(__xludf.DUMMYFUNCTION("""COMPUTED_VALUE"""),"--")</f>
        <v>--</v>
      </c>
      <c r="Y665" s="251" t="str">
        <f>IFERROR(__xludf.DUMMYFUNCTION("""COMPUTED_VALUE"""),"--")</f>
        <v>--</v>
      </c>
      <c r="Z665" s="251" t="str">
        <f>IFERROR(__xludf.DUMMYFUNCTION("""COMPUTED_VALUE"""),"--")</f>
        <v>--</v>
      </c>
      <c r="AA665" s="251" t="str">
        <f>IFERROR(__xludf.DUMMYFUNCTION("""COMPUTED_VALUE"""),"--")</f>
        <v>--</v>
      </c>
      <c r="AB665" s="251" t="str">
        <f>IFERROR(__xludf.DUMMYFUNCTION("""COMPUTED_VALUE"""),"--")</f>
        <v>--</v>
      </c>
      <c r="AC665" s="251" t="str">
        <f>IFERROR(__xludf.DUMMYFUNCTION("""COMPUTED_VALUE"""),"--")</f>
        <v>--</v>
      </c>
      <c r="AD665" s="251">
        <f>IFERROR(__xludf.DUMMYFUNCTION("""COMPUTED_VALUE"""),3.0)</f>
        <v>3</v>
      </c>
      <c r="AE665" s="251" t="str">
        <f>IFERROR(__xludf.DUMMYFUNCTION("""COMPUTED_VALUE"""),"Carnivore")</f>
        <v>Carnivore</v>
      </c>
    </row>
    <row r="666">
      <c r="A666" s="251" t="str">
        <f>IFERROR(__xludf.DUMMYFUNCTION("""COMPUTED_VALUE"""),"Ponyta")</f>
        <v>Ponyta</v>
      </c>
      <c r="B666" s="251" t="str">
        <f>IFERROR(__xludf.DUMMYFUNCTION("""COMPUTED_VALUE"""),"Fire")</f>
        <v>Fire</v>
      </c>
      <c r="C666" s="251" t="str">
        <f>IFERROR(__xludf.DUMMYFUNCTION("""COMPUTED_VALUE"""),"None")</f>
        <v>None</v>
      </c>
      <c r="D666" s="251">
        <f>IFERROR(__xludf.DUMMYFUNCTION("""COMPUTED_VALUE"""),5.0)</f>
        <v>5</v>
      </c>
      <c r="E666" s="251">
        <f>IFERROR(__xludf.DUMMYFUNCTION("""COMPUTED_VALUE"""),9.0)</f>
        <v>9</v>
      </c>
      <c r="F666" s="251">
        <f>IFERROR(__xludf.DUMMYFUNCTION("""COMPUTED_VALUE"""),6.0)</f>
        <v>6</v>
      </c>
      <c r="G666" s="251">
        <f>IFERROR(__xludf.DUMMYFUNCTION("""COMPUTED_VALUE"""),7.0)</f>
        <v>7</v>
      </c>
      <c r="H666" s="251">
        <f>IFERROR(__xludf.DUMMYFUNCTION("""COMPUTED_VALUE"""),7.0)</f>
        <v>7</v>
      </c>
      <c r="I666" s="251">
        <f>IFERROR(__xludf.DUMMYFUNCTION("""COMPUTED_VALUE"""),9.0)</f>
        <v>9</v>
      </c>
      <c r="J666" s="251">
        <f>IFERROR(__xludf.DUMMYFUNCTION("""COMPUTED_VALUE"""),3.0)</f>
        <v>3</v>
      </c>
      <c r="K666" s="251" t="str">
        <f>IFERROR(__xludf.DUMMYFUNCTION("""COMPUTED_VALUE"""),"Medium")</f>
        <v>Medium</v>
      </c>
      <c r="L666" s="251">
        <f>IFERROR(__xludf.DUMMYFUNCTION("""COMPUTED_VALUE"""),3.0)</f>
        <v>3</v>
      </c>
      <c r="M666" s="251" t="str">
        <f>IFERROR(__xludf.DUMMYFUNCTION("""COMPUTED_VALUE"""),"Grasslands")</f>
        <v>Grasslands</v>
      </c>
      <c r="N666" s="251" t="str">
        <f>IFERROR(__xludf.DUMMYFUNCTION("""COMPUTED_VALUE"""),"Jumper")</f>
        <v>Jumper</v>
      </c>
      <c r="O666" s="251" t="str">
        <f>IFERROR(__xludf.DUMMYFUNCTION("""COMPUTED_VALUE"""),"Quick")</f>
        <v>Quick</v>
      </c>
      <c r="P666" s="251" t="str">
        <f>IFERROR(__xludf.DUMMYFUNCTION("""COMPUTED_VALUE"""),"--")</f>
        <v>--</v>
      </c>
      <c r="Q666" s="251" t="str">
        <f>IFERROR(__xludf.DUMMYFUNCTION("""COMPUTED_VALUE"""),"--")</f>
        <v>--</v>
      </c>
      <c r="R666" s="251" t="str">
        <f>IFERROR(__xludf.DUMMYFUNCTION("""COMPUTED_VALUE"""),"Mountable")</f>
        <v>Mountable</v>
      </c>
      <c r="S666" s="251" t="str">
        <f>IFERROR(__xludf.DUMMYFUNCTION("""COMPUTED_VALUE"""),"Underdog")</f>
        <v>Underdog</v>
      </c>
      <c r="T666" s="251" t="str">
        <f>IFERROR(__xludf.DUMMYFUNCTION("""COMPUTED_VALUE"""),"--")</f>
        <v>--</v>
      </c>
      <c r="U666" s="251" t="str">
        <f>IFERROR(__xludf.DUMMYFUNCTION("""COMPUTED_VALUE"""),"--")</f>
        <v>--</v>
      </c>
      <c r="V666" s="251" t="str">
        <f>IFERROR(__xludf.DUMMYFUNCTION("""COMPUTED_VALUE"""),"Glow")</f>
        <v>Glow</v>
      </c>
      <c r="W666" s="251" t="str">
        <f>IFERROR(__xludf.DUMMYFUNCTION("""COMPUTED_VALUE"""),"Heater")</f>
        <v>Heater</v>
      </c>
      <c r="X666" s="251" t="str">
        <f>IFERROR(__xludf.DUMMYFUNCTION("""COMPUTED_VALUE"""),"--")</f>
        <v>--</v>
      </c>
      <c r="Y666" s="251" t="str">
        <f>IFERROR(__xludf.DUMMYFUNCTION("""COMPUTED_VALUE"""),"--")</f>
        <v>--</v>
      </c>
      <c r="Z666" s="251" t="str">
        <f>IFERROR(__xludf.DUMMYFUNCTION("""COMPUTED_VALUE"""),"--")</f>
        <v>--</v>
      </c>
      <c r="AA666" s="251" t="str">
        <f>IFERROR(__xludf.DUMMYFUNCTION("""COMPUTED_VALUE"""),"--")</f>
        <v>--</v>
      </c>
      <c r="AB666" s="251" t="str">
        <f>IFERROR(__xludf.DUMMYFUNCTION("""COMPUTED_VALUE"""),"--")</f>
        <v>--</v>
      </c>
      <c r="AC666" s="251" t="str">
        <f>IFERROR(__xludf.DUMMYFUNCTION("""COMPUTED_VALUE"""),"--")</f>
        <v>--</v>
      </c>
      <c r="AD666" s="251">
        <f>IFERROR(__xludf.DUMMYFUNCTION("""COMPUTED_VALUE"""),2.0)</f>
        <v>2</v>
      </c>
      <c r="AE666" s="251" t="str">
        <f>IFERROR(__xludf.DUMMYFUNCTION("""COMPUTED_VALUE"""),"Herbivore")</f>
        <v>Herbivore</v>
      </c>
    </row>
    <row r="667">
      <c r="A667" s="251" t="str">
        <f>IFERROR(__xludf.DUMMYFUNCTION("""COMPUTED_VALUE"""),"Rapidash")</f>
        <v>Rapidash</v>
      </c>
      <c r="B667" s="251" t="str">
        <f>IFERROR(__xludf.DUMMYFUNCTION("""COMPUTED_VALUE"""),"Fire")</f>
        <v>Fire</v>
      </c>
      <c r="C667" s="251" t="str">
        <f>IFERROR(__xludf.DUMMYFUNCTION("""COMPUTED_VALUE"""),"None")</f>
        <v>None</v>
      </c>
      <c r="D667" s="251">
        <f>IFERROR(__xludf.DUMMYFUNCTION("""COMPUTED_VALUE"""),7.0)</f>
        <v>7</v>
      </c>
      <c r="E667" s="251">
        <f>IFERROR(__xludf.DUMMYFUNCTION("""COMPUTED_VALUE"""),10.0)</f>
        <v>10</v>
      </c>
      <c r="F667" s="251">
        <f>IFERROR(__xludf.DUMMYFUNCTION("""COMPUTED_VALUE"""),7.0)</f>
        <v>7</v>
      </c>
      <c r="G667" s="251">
        <f>IFERROR(__xludf.DUMMYFUNCTION("""COMPUTED_VALUE"""),8.0)</f>
        <v>8</v>
      </c>
      <c r="H667" s="251">
        <f>IFERROR(__xludf.DUMMYFUNCTION("""COMPUTED_VALUE"""),8.0)</f>
        <v>8</v>
      </c>
      <c r="I667" s="251">
        <f>IFERROR(__xludf.DUMMYFUNCTION("""COMPUTED_VALUE"""),11.0)</f>
        <v>11</v>
      </c>
      <c r="J667" s="251">
        <f>IFERROR(__xludf.DUMMYFUNCTION("""COMPUTED_VALUE"""),6.0)</f>
        <v>6</v>
      </c>
      <c r="K667" s="251" t="str">
        <f>IFERROR(__xludf.DUMMYFUNCTION("""COMPUTED_VALUE"""),"Large")</f>
        <v>Large</v>
      </c>
      <c r="L667" s="251">
        <f>IFERROR(__xludf.DUMMYFUNCTION("""COMPUTED_VALUE"""),4.0)</f>
        <v>4</v>
      </c>
      <c r="M667" s="251" t="str">
        <f>IFERROR(__xludf.DUMMYFUNCTION("""COMPUTED_VALUE"""),"Grasslands")</f>
        <v>Grasslands</v>
      </c>
      <c r="N667" s="251" t="str">
        <f>IFERROR(__xludf.DUMMYFUNCTION("""COMPUTED_VALUE"""),"Jumper")</f>
        <v>Jumper</v>
      </c>
      <c r="O667" s="251" t="str">
        <f>IFERROR(__xludf.DUMMYFUNCTION("""COMPUTED_VALUE"""),"Quick")</f>
        <v>Quick</v>
      </c>
      <c r="P667" s="251" t="str">
        <f>IFERROR(__xludf.DUMMYFUNCTION("""COMPUTED_VALUE"""),"--")</f>
        <v>--</v>
      </c>
      <c r="Q667" s="251" t="str">
        <f>IFERROR(__xludf.DUMMYFUNCTION("""COMPUTED_VALUE"""),"--")</f>
        <v>--</v>
      </c>
      <c r="R667" s="251" t="str">
        <f>IFERROR(__xludf.DUMMYFUNCTION("""COMPUTED_VALUE"""),"Mountable")</f>
        <v>Mountable</v>
      </c>
      <c r="S667" s="251" t="str">
        <f>IFERROR(__xludf.DUMMYFUNCTION("""COMPUTED_VALUE"""),"--")</f>
        <v>--</v>
      </c>
      <c r="T667" s="251" t="str">
        <f>IFERROR(__xludf.DUMMYFUNCTION("""COMPUTED_VALUE"""),"--")</f>
        <v>--</v>
      </c>
      <c r="U667" s="251" t="str">
        <f>IFERROR(__xludf.DUMMYFUNCTION("""COMPUTED_VALUE"""),"--")</f>
        <v>--</v>
      </c>
      <c r="V667" s="251" t="str">
        <f>IFERROR(__xludf.DUMMYFUNCTION("""COMPUTED_VALUE"""),"Glow")</f>
        <v>Glow</v>
      </c>
      <c r="W667" s="251" t="str">
        <f>IFERROR(__xludf.DUMMYFUNCTION("""COMPUTED_VALUE"""),"Heater")</f>
        <v>Heater</v>
      </c>
      <c r="X667" s="251" t="str">
        <f>IFERROR(__xludf.DUMMYFUNCTION("""COMPUTED_VALUE"""),"--")</f>
        <v>--</v>
      </c>
      <c r="Y667" s="251" t="str">
        <f>IFERROR(__xludf.DUMMYFUNCTION("""COMPUTED_VALUE"""),"--")</f>
        <v>--</v>
      </c>
      <c r="Z667" s="251" t="str">
        <f>IFERROR(__xludf.DUMMYFUNCTION("""COMPUTED_VALUE"""),"--")</f>
        <v>--</v>
      </c>
      <c r="AA667" s="251" t="str">
        <f>IFERROR(__xludf.DUMMYFUNCTION("""COMPUTED_VALUE"""),"--")</f>
        <v>--</v>
      </c>
      <c r="AB667" s="251" t="str">
        <f>IFERROR(__xludf.DUMMYFUNCTION("""COMPUTED_VALUE"""),"--")</f>
        <v>--</v>
      </c>
      <c r="AC667" s="251" t="str">
        <f>IFERROR(__xludf.DUMMYFUNCTION("""COMPUTED_VALUE"""),"--")</f>
        <v>--</v>
      </c>
      <c r="AD667" s="251">
        <f>IFERROR(__xludf.DUMMYFUNCTION("""COMPUTED_VALUE"""),3.0)</f>
        <v>3</v>
      </c>
      <c r="AE667" s="251" t="str">
        <f>IFERROR(__xludf.DUMMYFUNCTION("""COMPUTED_VALUE"""),"Herbivore")</f>
        <v>Herbivore</v>
      </c>
    </row>
    <row r="668">
      <c r="A668" s="251" t="str">
        <f>IFERROR(__xludf.DUMMYFUNCTION("""COMPUTED_VALUE"""),"Slugma")</f>
        <v>Slugma</v>
      </c>
      <c r="B668" s="251" t="str">
        <f>IFERROR(__xludf.DUMMYFUNCTION("""COMPUTED_VALUE"""),"Fire")</f>
        <v>Fire</v>
      </c>
      <c r="C668" s="251" t="str">
        <f>IFERROR(__xludf.DUMMYFUNCTION("""COMPUTED_VALUE"""),"None")</f>
        <v>None</v>
      </c>
      <c r="D668" s="251">
        <f>IFERROR(__xludf.DUMMYFUNCTION("""COMPUTED_VALUE"""),5.0)</f>
        <v>5</v>
      </c>
      <c r="E668" s="251">
        <f>IFERROR(__xludf.DUMMYFUNCTION("""COMPUTED_VALUE"""),5.0)</f>
        <v>5</v>
      </c>
      <c r="F668" s="251">
        <f>IFERROR(__xludf.DUMMYFUNCTION("""COMPUTED_VALUE"""),5.0)</f>
        <v>5</v>
      </c>
      <c r="G668" s="251">
        <f>IFERROR(__xludf.DUMMYFUNCTION("""COMPUTED_VALUE"""),8.0)</f>
        <v>8</v>
      </c>
      <c r="H668" s="251">
        <f>IFERROR(__xludf.DUMMYFUNCTION("""COMPUTED_VALUE"""),5.0)</f>
        <v>5</v>
      </c>
      <c r="I668" s="251">
        <f>IFERROR(__xludf.DUMMYFUNCTION("""COMPUTED_VALUE"""),2.0)</f>
        <v>2</v>
      </c>
      <c r="J668" s="251">
        <f>IFERROR(__xludf.DUMMYFUNCTION("""COMPUTED_VALUE"""),3.0)</f>
        <v>3</v>
      </c>
      <c r="K668" s="251" t="str">
        <f>IFERROR(__xludf.DUMMYFUNCTION("""COMPUTED_VALUE"""),"Small")</f>
        <v>Small</v>
      </c>
      <c r="L668" s="251">
        <f>IFERROR(__xludf.DUMMYFUNCTION("""COMPUTED_VALUE"""),3.0)</f>
        <v>3</v>
      </c>
      <c r="M668" s="251" t="str">
        <f>IFERROR(__xludf.DUMMYFUNCTION("""COMPUTED_VALUE"""),"Cave")</f>
        <v>Cave</v>
      </c>
      <c r="N668" s="251" t="str">
        <f>IFERROR(__xludf.DUMMYFUNCTION("""COMPUTED_VALUE"""),"Grounded")</f>
        <v>Grounded</v>
      </c>
      <c r="O668" s="251" t="str">
        <f>IFERROR(__xludf.DUMMYFUNCTION("""COMPUTED_VALUE"""),"Slow")</f>
        <v>Slow</v>
      </c>
      <c r="P668" s="251" t="str">
        <f>IFERROR(__xludf.DUMMYFUNCTION("""COMPUTED_VALUE"""),"--")</f>
        <v>--</v>
      </c>
      <c r="Q668" s="251" t="str">
        <f>IFERROR(__xludf.DUMMYFUNCTION("""COMPUTED_VALUE"""),"--")</f>
        <v>--</v>
      </c>
      <c r="R668" s="251" t="str">
        <f>IFERROR(__xludf.DUMMYFUNCTION("""COMPUTED_VALUE"""),"Underdog")</f>
        <v>Underdog</v>
      </c>
      <c r="S668" s="251" t="str">
        <f>IFERROR(__xludf.DUMMYFUNCTION("""COMPUTED_VALUE"""),"--")</f>
        <v>--</v>
      </c>
      <c r="T668" s="251" t="str">
        <f>IFERROR(__xludf.DUMMYFUNCTION("""COMPUTED_VALUE"""),"--")</f>
        <v>--</v>
      </c>
      <c r="U668" s="251" t="str">
        <f>IFERROR(__xludf.DUMMYFUNCTION("""COMPUTED_VALUE"""),"--")</f>
        <v>--</v>
      </c>
      <c r="V668" s="251" t="str">
        <f>IFERROR(__xludf.DUMMYFUNCTION("""COMPUTED_VALUE"""),"Amorphous")</f>
        <v>Amorphous</v>
      </c>
      <c r="W668" s="251" t="str">
        <f>IFERROR(__xludf.DUMMYFUNCTION("""COMPUTED_VALUE"""),"Glow")</f>
        <v>Glow</v>
      </c>
      <c r="X668" s="251" t="str">
        <f>IFERROR(__xludf.DUMMYFUNCTION("""COMPUTED_VALUE"""),"Heater")</f>
        <v>Heater</v>
      </c>
      <c r="Y668" s="251" t="str">
        <f>IFERROR(__xludf.DUMMYFUNCTION("""COMPUTED_VALUE"""),"--")</f>
        <v>--</v>
      </c>
      <c r="Z668" s="251" t="str">
        <f>IFERROR(__xludf.DUMMYFUNCTION("""COMPUTED_VALUE"""),"--")</f>
        <v>--</v>
      </c>
      <c r="AA668" s="251" t="str">
        <f>IFERROR(__xludf.DUMMYFUNCTION("""COMPUTED_VALUE"""),"--")</f>
        <v>--</v>
      </c>
      <c r="AB668" s="251" t="str">
        <f>IFERROR(__xludf.DUMMYFUNCTION("""COMPUTED_VALUE"""),"--")</f>
        <v>--</v>
      </c>
      <c r="AC668" s="251" t="str">
        <f>IFERROR(__xludf.DUMMYFUNCTION("""COMPUTED_VALUE"""),"--")</f>
        <v>--</v>
      </c>
      <c r="AD668" s="251">
        <f>IFERROR(__xludf.DUMMYFUNCTION("""COMPUTED_VALUE"""),2.0)</f>
        <v>2</v>
      </c>
      <c r="AE668" s="251" t="str">
        <f>IFERROR(__xludf.DUMMYFUNCTION("""COMPUTED_VALUE"""),"Terravore")</f>
        <v>Terravore</v>
      </c>
    </row>
    <row r="669">
      <c r="A669" s="251" t="str">
        <f>IFERROR(__xludf.DUMMYFUNCTION("""COMPUTED_VALUE"""),"Magcargo")</f>
        <v>Magcargo</v>
      </c>
      <c r="B669" s="251" t="str">
        <f>IFERROR(__xludf.DUMMYFUNCTION("""COMPUTED_VALUE"""),"Fire")</f>
        <v>Fire</v>
      </c>
      <c r="C669" s="251" t="str">
        <f>IFERROR(__xludf.DUMMYFUNCTION("""COMPUTED_VALUE"""),"Rock")</f>
        <v>Rock</v>
      </c>
      <c r="D669" s="251">
        <f>IFERROR(__xludf.DUMMYFUNCTION("""COMPUTED_VALUE"""),6.0)</f>
        <v>6</v>
      </c>
      <c r="E669" s="251">
        <f>IFERROR(__xludf.DUMMYFUNCTION("""COMPUTED_VALUE"""),5.0)</f>
        <v>5</v>
      </c>
      <c r="F669" s="251">
        <f>IFERROR(__xludf.DUMMYFUNCTION("""COMPUTED_VALUE"""),12.0)</f>
        <v>12</v>
      </c>
      <c r="G669" s="251">
        <f>IFERROR(__xludf.DUMMYFUNCTION("""COMPUTED_VALUE"""),9.0)</f>
        <v>9</v>
      </c>
      <c r="H669" s="251">
        <f>IFERROR(__xludf.DUMMYFUNCTION("""COMPUTED_VALUE"""),8.0)</f>
        <v>8</v>
      </c>
      <c r="I669" s="251">
        <f>IFERROR(__xludf.DUMMYFUNCTION("""COMPUTED_VALUE"""),3.0)</f>
        <v>3</v>
      </c>
      <c r="J669" s="251">
        <f>IFERROR(__xludf.DUMMYFUNCTION("""COMPUTED_VALUE"""),4.0)</f>
        <v>4</v>
      </c>
      <c r="K669" s="251" t="str">
        <f>IFERROR(__xludf.DUMMYFUNCTION("""COMPUTED_VALUE"""),"Small")</f>
        <v>Small</v>
      </c>
      <c r="L669" s="251">
        <f>IFERROR(__xludf.DUMMYFUNCTION("""COMPUTED_VALUE"""),4.0)</f>
        <v>4</v>
      </c>
      <c r="M669" s="251" t="str">
        <f>IFERROR(__xludf.DUMMYFUNCTION("""COMPUTED_VALUE"""),"Cave")</f>
        <v>Cave</v>
      </c>
      <c r="N669" s="251" t="str">
        <f>IFERROR(__xludf.DUMMYFUNCTION("""COMPUTED_VALUE"""),"Grounded")</f>
        <v>Grounded</v>
      </c>
      <c r="O669" s="251" t="str">
        <f>IFERROR(__xludf.DUMMYFUNCTION("""COMPUTED_VALUE"""),"Slow")</f>
        <v>Slow</v>
      </c>
      <c r="P669" s="251" t="str">
        <f>IFERROR(__xludf.DUMMYFUNCTION("""COMPUTED_VALUE"""),"--")</f>
        <v>--</v>
      </c>
      <c r="Q669" s="251" t="str">
        <f>IFERROR(__xludf.DUMMYFUNCTION("""COMPUTED_VALUE"""),"--")</f>
        <v>--</v>
      </c>
      <c r="R669" s="251" t="str">
        <f>IFERROR(__xludf.DUMMYFUNCTION("""COMPUTED_VALUE"""),"Underdog")</f>
        <v>Underdog</v>
      </c>
      <c r="S669" s="251" t="str">
        <f>IFERROR(__xludf.DUMMYFUNCTION("""COMPUTED_VALUE"""),"--")</f>
        <v>--</v>
      </c>
      <c r="T669" s="251" t="str">
        <f>IFERROR(__xludf.DUMMYFUNCTION("""COMPUTED_VALUE"""),"--")</f>
        <v>--</v>
      </c>
      <c r="U669" s="251" t="str">
        <f>IFERROR(__xludf.DUMMYFUNCTION("""COMPUTED_VALUE"""),"--")</f>
        <v>--</v>
      </c>
      <c r="V669" s="251" t="str">
        <f>IFERROR(__xludf.DUMMYFUNCTION("""COMPUTED_VALUE"""),"Glow")</f>
        <v>Glow</v>
      </c>
      <c r="W669" s="251" t="str">
        <f>IFERROR(__xludf.DUMMYFUNCTION("""COMPUTED_VALUE"""),"Heater")</f>
        <v>Heater</v>
      </c>
      <c r="X669" s="251" t="str">
        <f>IFERROR(__xludf.DUMMYFUNCTION("""COMPUTED_VALUE"""),"--")</f>
        <v>--</v>
      </c>
      <c r="Y669" s="251" t="str">
        <f>IFERROR(__xludf.DUMMYFUNCTION("""COMPUTED_VALUE"""),"--")</f>
        <v>--</v>
      </c>
      <c r="Z669" s="251" t="str">
        <f>IFERROR(__xludf.DUMMYFUNCTION("""COMPUTED_VALUE"""),"--")</f>
        <v>--</v>
      </c>
      <c r="AA669" s="251" t="str">
        <f>IFERROR(__xludf.DUMMYFUNCTION("""COMPUTED_VALUE"""),"--")</f>
        <v>--</v>
      </c>
      <c r="AB669" s="251" t="str">
        <f>IFERROR(__xludf.DUMMYFUNCTION("""COMPUTED_VALUE"""),"--")</f>
        <v>--</v>
      </c>
      <c r="AC669" s="251" t="str">
        <f>IFERROR(__xludf.DUMMYFUNCTION("""COMPUTED_VALUE"""),"--")</f>
        <v>--</v>
      </c>
      <c r="AD669" s="251">
        <f>IFERROR(__xludf.DUMMYFUNCTION("""COMPUTED_VALUE"""),3.0)</f>
        <v>3</v>
      </c>
      <c r="AE669" s="251" t="str">
        <f>IFERROR(__xludf.DUMMYFUNCTION("""COMPUTED_VALUE"""),"Terravore")</f>
        <v>Terravore</v>
      </c>
    </row>
    <row r="670">
      <c r="A670" s="251" t="str">
        <f>IFERROR(__xludf.DUMMYFUNCTION("""COMPUTED_VALUE"""),"Numel")</f>
        <v>Numel</v>
      </c>
      <c r="B670" s="251" t="str">
        <f>IFERROR(__xludf.DUMMYFUNCTION("""COMPUTED_VALUE"""),"Fire")</f>
        <v>Fire</v>
      </c>
      <c r="C670" s="251" t="str">
        <f>IFERROR(__xludf.DUMMYFUNCTION("""COMPUTED_VALUE"""),"Ground")</f>
        <v>Ground</v>
      </c>
      <c r="D670" s="251">
        <f>IFERROR(__xludf.DUMMYFUNCTION("""COMPUTED_VALUE"""),6.0)</f>
        <v>6</v>
      </c>
      <c r="E670" s="251">
        <f>IFERROR(__xludf.DUMMYFUNCTION("""COMPUTED_VALUE"""),6.0)</f>
        <v>6</v>
      </c>
      <c r="F670" s="251">
        <f>IFERROR(__xludf.DUMMYFUNCTION("""COMPUTED_VALUE"""),4.0)</f>
        <v>4</v>
      </c>
      <c r="G670" s="251">
        <f>IFERROR(__xludf.DUMMYFUNCTION("""COMPUTED_VALUE"""),7.0)</f>
        <v>7</v>
      </c>
      <c r="H670" s="251">
        <f>IFERROR(__xludf.DUMMYFUNCTION("""COMPUTED_VALUE"""),5.0)</f>
        <v>5</v>
      </c>
      <c r="I670" s="251">
        <f>IFERROR(__xludf.DUMMYFUNCTION("""COMPUTED_VALUE"""),4.0)</f>
        <v>4</v>
      </c>
      <c r="J670" s="251">
        <f>IFERROR(__xludf.DUMMYFUNCTION("""COMPUTED_VALUE"""),5.0)</f>
        <v>5</v>
      </c>
      <c r="K670" s="251" t="str">
        <f>IFERROR(__xludf.DUMMYFUNCTION("""COMPUTED_VALUE"""),"Small")</f>
        <v>Small</v>
      </c>
      <c r="L670" s="251">
        <f>IFERROR(__xludf.DUMMYFUNCTION("""COMPUTED_VALUE"""),2.0)</f>
        <v>2</v>
      </c>
      <c r="M670" s="251" t="str">
        <f>IFERROR(__xludf.DUMMYFUNCTION("""COMPUTED_VALUE"""),"Desert, Mountain")</f>
        <v>Desert, Mountain</v>
      </c>
      <c r="N670" s="251" t="str">
        <f>IFERROR(__xludf.DUMMYFUNCTION("""COMPUTED_VALUE"""),"Slow")</f>
        <v>Slow</v>
      </c>
      <c r="O670" s="251" t="str">
        <f>IFERROR(__xludf.DUMMYFUNCTION("""COMPUTED_VALUE"""),"--")</f>
        <v>--</v>
      </c>
      <c r="P670" s="251" t="str">
        <f>IFERROR(__xludf.DUMMYFUNCTION("""COMPUTED_VALUE"""),"--")</f>
        <v>--</v>
      </c>
      <c r="Q670" s="251" t="str">
        <f>IFERROR(__xludf.DUMMYFUNCTION("""COMPUTED_VALUE"""),"--")</f>
        <v>--</v>
      </c>
      <c r="R670" s="251" t="str">
        <f>IFERROR(__xludf.DUMMYFUNCTION("""COMPUTED_VALUE"""),"Underdog")</f>
        <v>Underdog</v>
      </c>
      <c r="S670" s="251" t="str">
        <f>IFERROR(__xludf.DUMMYFUNCTION("""COMPUTED_VALUE"""),"--")</f>
        <v>--</v>
      </c>
      <c r="T670" s="251" t="str">
        <f>IFERROR(__xludf.DUMMYFUNCTION("""COMPUTED_VALUE"""),"--")</f>
        <v>--</v>
      </c>
      <c r="U670" s="251" t="str">
        <f>IFERROR(__xludf.DUMMYFUNCTION("""COMPUTED_VALUE"""),"--")</f>
        <v>--</v>
      </c>
      <c r="V670" s="251" t="str">
        <f>IFERROR(__xludf.DUMMYFUNCTION("""COMPUTED_VALUE"""),"Heater")</f>
        <v>Heater</v>
      </c>
      <c r="W670" s="251" t="str">
        <f>IFERROR(__xludf.DUMMYFUNCTION("""COMPUTED_VALUE"""),"--")</f>
        <v>--</v>
      </c>
      <c r="X670" s="251" t="str">
        <f>IFERROR(__xludf.DUMMYFUNCTION("""COMPUTED_VALUE"""),"--")</f>
        <v>--</v>
      </c>
      <c r="Y670" s="251" t="str">
        <f>IFERROR(__xludf.DUMMYFUNCTION("""COMPUTED_VALUE"""),"--")</f>
        <v>--</v>
      </c>
      <c r="Z670" s="251" t="str">
        <f>IFERROR(__xludf.DUMMYFUNCTION("""COMPUTED_VALUE"""),"--")</f>
        <v>--</v>
      </c>
      <c r="AA670" s="251" t="str">
        <f>IFERROR(__xludf.DUMMYFUNCTION("""COMPUTED_VALUE"""),"--")</f>
        <v>--</v>
      </c>
      <c r="AB670" s="251" t="str">
        <f>IFERROR(__xludf.DUMMYFUNCTION("""COMPUTED_VALUE"""),"--")</f>
        <v>--</v>
      </c>
      <c r="AC670" s="251" t="str">
        <f>IFERROR(__xludf.DUMMYFUNCTION("""COMPUTED_VALUE"""),"--")</f>
        <v>--</v>
      </c>
      <c r="AD670" s="251">
        <f>IFERROR(__xludf.DUMMYFUNCTION("""COMPUTED_VALUE"""),2.0)</f>
        <v>2</v>
      </c>
      <c r="AE670" s="251" t="str">
        <f>IFERROR(__xludf.DUMMYFUNCTION("""COMPUTED_VALUE"""),"Herbivore")</f>
        <v>Herbivore</v>
      </c>
    </row>
    <row r="671">
      <c r="A671" s="251" t="str">
        <f>IFERROR(__xludf.DUMMYFUNCTION("""COMPUTED_VALUE"""),"Camerupt")</f>
        <v>Camerupt</v>
      </c>
      <c r="B671" s="251" t="str">
        <f>IFERROR(__xludf.DUMMYFUNCTION("""COMPUTED_VALUE"""),"Fire")</f>
        <v>Fire</v>
      </c>
      <c r="C671" s="251" t="str">
        <f>IFERROR(__xludf.DUMMYFUNCTION("""COMPUTED_VALUE"""),"Ground")</f>
        <v>Ground</v>
      </c>
      <c r="D671" s="251">
        <f>IFERROR(__xludf.DUMMYFUNCTION("""COMPUTED_VALUE"""),9.0)</f>
        <v>9</v>
      </c>
      <c r="E671" s="251">
        <f>IFERROR(__xludf.DUMMYFUNCTION("""COMPUTED_VALUE"""),11.0)</f>
        <v>11</v>
      </c>
      <c r="F671" s="251">
        <f>IFERROR(__xludf.DUMMYFUNCTION("""COMPUTED_VALUE"""),8.0)</f>
        <v>8</v>
      </c>
      <c r="G671" s="251">
        <f>IFERROR(__xludf.DUMMYFUNCTION("""COMPUTED_VALUE"""),11.0)</f>
        <v>11</v>
      </c>
      <c r="H671" s="251">
        <f>IFERROR(__xludf.DUMMYFUNCTION("""COMPUTED_VALUE"""),8.0)</f>
        <v>8</v>
      </c>
      <c r="I671" s="251">
        <f>IFERROR(__xludf.DUMMYFUNCTION("""COMPUTED_VALUE"""),4.0)</f>
        <v>4</v>
      </c>
      <c r="J671" s="251">
        <f>IFERROR(__xludf.DUMMYFUNCTION("""COMPUTED_VALUE"""),10.0)</f>
        <v>10</v>
      </c>
      <c r="K671" s="251" t="str">
        <f>IFERROR(__xludf.DUMMYFUNCTION("""COMPUTED_VALUE"""),"Large")</f>
        <v>Large</v>
      </c>
      <c r="L671" s="251">
        <f>IFERROR(__xludf.DUMMYFUNCTION("""COMPUTED_VALUE"""),6.0)</f>
        <v>6</v>
      </c>
      <c r="M671" s="251" t="str">
        <f>IFERROR(__xludf.DUMMYFUNCTION("""COMPUTED_VALUE"""),"Desert, Mountain")</f>
        <v>Desert, Mountain</v>
      </c>
      <c r="N671" s="251" t="str">
        <f>IFERROR(__xludf.DUMMYFUNCTION("""COMPUTED_VALUE"""),"--")</f>
        <v>--</v>
      </c>
      <c r="O671" s="251" t="str">
        <f>IFERROR(__xludf.DUMMYFUNCTION("""COMPUTED_VALUE"""),"--")</f>
        <v>--</v>
      </c>
      <c r="P671" s="251" t="str">
        <f>IFERROR(__xludf.DUMMYFUNCTION("""COMPUTED_VALUE"""),"--")</f>
        <v>--</v>
      </c>
      <c r="Q671" s="251" t="str">
        <f>IFERROR(__xludf.DUMMYFUNCTION("""COMPUTED_VALUE"""),"--")</f>
        <v>--</v>
      </c>
      <c r="R671" s="251" t="str">
        <f>IFERROR(__xludf.DUMMYFUNCTION("""COMPUTED_VALUE"""),"Mountable")</f>
        <v>Mountable</v>
      </c>
      <c r="S671" s="251" t="str">
        <f>IFERROR(__xludf.DUMMYFUNCTION("""COMPUTED_VALUE"""),"--")</f>
        <v>--</v>
      </c>
      <c r="T671" s="251" t="str">
        <f>IFERROR(__xludf.DUMMYFUNCTION("""COMPUTED_VALUE"""),"--")</f>
        <v>--</v>
      </c>
      <c r="U671" s="251" t="str">
        <f>IFERROR(__xludf.DUMMYFUNCTION("""COMPUTED_VALUE"""),"--")</f>
        <v>--</v>
      </c>
      <c r="V671" s="251" t="str">
        <f>IFERROR(__xludf.DUMMYFUNCTION("""COMPUTED_VALUE"""),"Heater")</f>
        <v>Heater</v>
      </c>
      <c r="W671" s="251" t="str">
        <f>IFERROR(__xludf.DUMMYFUNCTION("""COMPUTED_VALUE"""),"--")</f>
        <v>--</v>
      </c>
      <c r="X671" s="251" t="str">
        <f>IFERROR(__xludf.DUMMYFUNCTION("""COMPUTED_VALUE"""),"--")</f>
        <v>--</v>
      </c>
      <c r="Y671" s="251" t="str">
        <f>IFERROR(__xludf.DUMMYFUNCTION("""COMPUTED_VALUE"""),"--")</f>
        <v>--</v>
      </c>
      <c r="Z671" s="251" t="str">
        <f>IFERROR(__xludf.DUMMYFUNCTION("""COMPUTED_VALUE"""),"--")</f>
        <v>--</v>
      </c>
      <c r="AA671" s="251" t="str">
        <f>IFERROR(__xludf.DUMMYFUNCTION("""COMPUTED_VALUE"""),"--")</f>
        <v>--</v>
      </c>
      <c r="AB671" s="251" t="str">
        <f>IFERROR(__xludf.DUMMYFUNCTION("""COMPUTED_VALUE"""),"--")</f>
        <v>--</v>
      </c>
      <c r="AC671" s="251" t="str">
        <f>IFERROR(__xludf.DUMMYFUNCTION("""COMPUTED_VALUE"""),"--")</f>
        <v>--</v>
      </c>
      <c r="AD671" s="251">
        <f>IFERROR(__xludf.DUMMYFUNCTION("""COMPUTED_VALUE"""),3.0)</f>
        <v>3</v>
      </c>
      <c r="AE671" s="251" t="str">
        <f>IFERROR(__xludf.DUMMYFUNCTION("""COMPUTED_VALUE"""),"Herbivore")</f>
        <v>Herbivore</v>
      </c>
    </row>
    <row r="672">
      <c r="A672" s="251" t="str">
        <f>IFERROR(__xludf.DUMMYFUNCTION("""COMPUTED_VALUE"""),"Pansear")</f>
        <v>Pansear</v>
      </c>
      <c r="B672" s="251" t="str">
        <f>IFERROR(__xludf.DUMMYFUNCTION("""COMPUTED_VALUE"""),"Fire")</f>
        <v>Fire</v>
      </c>
      <c r="C672" s="251" t="str">
        <f>IFERROR(__xludf.DUMMYFUNCTION("""COMPUTED_VALUE"""),"None")</f>
        <v>None</v>
      </c>
      <c r="D672" s="251">
        <f>IFERROR(__xludf.DUMMYFUNCTION("""COMPUTED_VALUE"""),5.0)</f>
        <v>5</v>
      </c>
      <c r="E672" s="251">
        <f>IFERROR(__xludf.DUMMYFUNCTION("""COMPUTED_VALUE"""),5.0)</f>
        <v>5</v>
      </c>
      <c r="F672" s="251">
        <f>IFERROR(__xludf.DUMMYFUNCTION("""COMPUTED_VALUE"""),5.0)</f>
        <v>5</v>
      </c>
      <c r="G672" s="251">
        <f>IFERROR(__xludf.DUMMYFUNCTION("""COMPUTED_VALUE"""),5.0)</f>
        <v>5</v>
      </c>
      <c r="H672" s="251">
        <f>IFERROR(__xludf.DUMMYFUNCTION("""COMPUTED_VALUE"""),5.0)</f>
        <v>5</v>
      </c>
      <c r="I672" s="251">
        <f>IFERROR(__xludf.DUMMYFUNCTION("""COMPUTED_VALUE"""),6.0)</f>
        <v>6</v>
      </c>
      <c r="J672" s="251">
        <f>IFERROR(__xludf.DUMMYFUNCTION("""COMPUTED_VALUE"""),3.0)</f>
        <v>3</v>
      </c>
      <c r="K672" s="251" t="str">
        <f>IFERROR(__xludf.DUMMYFUNCTION("""COMPUTED_VALUE"""),"Small")</f>
        <v>Small</v>
      </c>
      <c r="L672" s="251">
        <f>IFERROR(__xludf.DUMMYFUNCTION("""COMPUTED_VALUE"""),1.0)</f>
        <v>1</v>
      </c>
      <c r="M672" s="251" t="str">
        <f>IFERROR(__xludf.DUMMYFUNCTION("""COMPUTED_VALUE"""),"Forest, Grasslands")</f>
        <v>Forest, Grasslands</v>
      </c>
      <c r="N672" s="251" t="str">
        <f>IFERROR(__xludf.DUMMYFUNCTION("""COMPUTED_VALUE"""),"Climber")</f>
        <v>Climber</v>
      </c>
      <c r="O672" s="251" t="str">
        <f>IFERROR(__xludf.DUMMYFUNCTION("""COMPUTED_VALUE"""),"Jumper")</f>
        <v>Jumper</v>
      </c>
      <c r="P672" s="251" t="str">
        <f>IFERROR(__xludf.DUMMYFUNCTION("""COMPUTED_VALUE"""),"--")</f>
        <v>--</v>
      </c>
      <c r="Q672" s="251" t="str">
        <f>IFERROR(__xludf.DUMMYFUNCTION("""COMPUTED_VALUE"""),"--")</f>
        <v>--</v>
      </c>
      <c r="R672" s="251" t="str">
        <f>IFERROR(__xludf.DUMMYFUNCTION("""COMPUTED_VALUE"""),"Underdog")</f>
        <v>Underdog</v>
      </c>
      <c r="S672" s="251" t="str">
        <f>IFERROR(__xludf.DUMMYFUNCTION("""COMPUTED_VALUE"""),"--")</f>
        <v>--</v>
      </c>
      <c r="T672" s="251" t="str">
        <f>IFERROR(__xludf.DUMMYFUNCTION("""COMPUTED_VALUE"""),"--")</f>
        <v>--</v>
      </c>
      <c r="U672" s="251" t="str">
        <f>IFERROR(__xludf.DUMMYFUNCTION("""COMPUTED_VALUE"""),"--")</f>
        <v>--</v>
      </c>
      <c r="V672" s="251" t="str">
        <f>IFERROR(__xludf.DUMMYFUNCTION("""COMPUTED_VALUE"""),"--")</f>
        <v>--</v>
      </c>
      <c r="W672" s="251" t="str">
        <f>IFERROR(__xludf.DUMMYFUNCTION("""COMPUTED_VALUE"""),"--")</f>
        <v>--</v>
      </c>
      <c r="X672" s="251" t="str">
        <f>IFERROR(__xludf.DUMMYFUNCTION("""COMPUTED_VALUE"""),"--")</f>
        <v>--</v>
      </c>
      <c r="Y672" s="251" t="str">
        <f>IFERROR(__xludf.DUMMYFUNCTION("""COMPUTED_VALUE"""),"--")</f>
        <v>--</v>
      </c>
      <c r="Z672" s="251" t="str">
        <f>IFERROR(__xludf.DUMMYFUNCTION("""COMPUTED_VALUE"""),"--")</f>
        <v>--</v>
      </c>
      <c r="AA672" s="251" t="str">
        <f>IFERROR(__xludf.DUMMYFUNCTION("""COMPUTED_VALUE"""),"--")</f>
        <v>--</v>
      </c>
      <c r="AB672" s="251" t="str">
        <f>IFERROR(__xludf.DUMMYFUNCTION("""COMPUTED_VALUE"""),"--")</f>
        <v>--</v>
      </c>
      <c r="AC672" s="251" t="str">
        <f>IFERROR(__xludf.DUMMYFUNCTION("""COMPUTED_VALUE"""),"--")</f>
        <v>--</v>
      </c>
      <c r="AD672" s="251">
        <f>IFERROR(__xludf.DUMMYFUNCTION("""COMPUTED_VALUE"""),2.0)</f>
        <v>2</v>
      </c>
      <c r="AE672" s="251" t="str">
        <f>IFERROR(__xludf.DUMMYFUNCTION("""COMPUTED_VALUE"""),"Omnivore")</f>
        <v>Omnivore</v>
      </c>
    </row>
    <row r="673">
      <c r="A673" s="251" t="str">
        <f>IFERROR(__xludf.DUMMYFUNCTION("""COMPUTED_VALUE"""),"Simisear")</f>
        <v>Simisear</v>
      </c>
      <c r="B673" s="251" t="str">
        <f>IFERROR(__xludf.DUMMYFUNCTION("""COMPUTED_VALUE"""),"Fire")</f>
        <v>Fire</v>
      </c>
      <c r="C673" s="251" t="str">
        <f>IFERROR(__xludf.DUMMYFUNCTION("""COMPUTED_VALUE"""),"None")</f>
        <v>None</v>
      </c>
      <c r="D673" s="251">
        <f>IFERROR(__xludf.DUMMYFUNCTION("""COMPUTED_VALUE"""),9.0)</f>
        <v>9</v>
      </c>
      <c r="E673" s="251">
        <f>IFERROR(__xludf.DUMMYFUNCTION("""COMPUTED_VALUE"""),10.0)</f>
        <v>10</v>
      </c>
      <c r="F673" s="251">
        <f>IFERROR(__xludf.DUMMYFUNCTION("""COMPUTED_VALUE"""),6.0)</f>
        <v>6</v>
      </c>
      <c r="G673" s="251">
        <f>IFERROR(__xludf.DUMMYFUNCTION("""COMPUTED_VALUE"""),10.0)</f>
        <v>10</v>
      </c>
      <c r="H673" s="251">
        <f>IFERROR(__xludf.DUMMYFUNCTION("""COMPUTED_VALUE"""),6.0)</f>
        <v>6</v>
      </c>
      <c r="I673" s="251">
        <f>IFERROR(__xludf.DUMMYFUNCTION("""COMPUTED_VALUE"""),10.0)</f>
        <v>10</v>
      </c>
      <c r="J673" s="251">
        <f>IFERROR(__xludf.DUMMYFUNCTION("""COMPUTED_VALUE"""),4.0)</f>
        <v>4</v>
      </c>
      <c r="K673" s="251" t="str">
        <f>IFERROR(__xludf.DUMMYFUNCTION("""COMPUTED_VALUE"""),"Medium")</f>
        <v>Medium</v>
      </c>
      <c r="L673" s="251">
        <f>IFERROR(__xludf.DUMMYFUNCTION("""COMPUTED_VALUE"""),3.0)</f>
        <v>3</v>
      </c>
      <c r="M673" s="251" t="str">
        <f>IFERROR(__xludf.DUMMYFUNCTION("""COMPUTED_VALUE"""),"Forest, Grasslands")</f>
        <v>Forest, Grasslands</v>
      </c>
      <c r="N673" s="251" t="str">
        <f>IFERROR(__xludf.DUMMYFUNCTION("""COMPUTED_VALUE"""),"Climber")</f>
        <v>Climber</v>
      </c>
      <c r="O673" s="251" t="str">
        <f>IFERROR(__xludf.DUMMYFUNCTION("""COMPUTED_VALUE"""),"Jumper")</f>
        <v>Jumper</v>
      </c>
      <c r="P673" s="251" t="str">
        <f>IFERROR(__xludf.DUMMYFUNCTION("""COMPUTED_VALUE"""),"--")</f>
        <v>--</v>
      </c>
      <c r="Q673" s="251" t="str">
        <f>IFERROR(__xludf.DUMMYFUNCTION("""COMPUTED_VALUE"""),"--")</f>
        <v>--</v>
      </c>
      <c r="R673" s="251" t="str">
        <f>IFERROR(__xludf.DUMMYFUNCTION("""COMPUTED_VALUE"""),"--")</f>
        <v>--</v>
      </c>
      <c r="S673" s="251" t="str">
        <f>IFERROR(__xludf.DUMMYFUNCTION("""COMPUTED_VALUE"""),"--")</f>
        <v>--</v>
      </c>
      <c r="T673" s="251" t="str">
        <f>IFERROR(__xludf.DUMMYFUNCTION("""COMPUTED_VALUE"""),"--")</f>
        <v>--</v>
      </c>
      <c r="U673" s="251" t="str">
        <f>IFERROR(__xludf.DUMMYFUNCTION("""COMPUTED_VALUE"""),"--")</f>
        <v>--</v>
      </c>
      <c r="V673" s="251" t="str">
        <f>IFERROR(__xludf.DUMMYFUNCTION("""COMPUTED_VALUE"""),"--")</f>
        <v>--</v>
      </c>
      <c r="W673" s="251" t="str">
        <f>IFERROR(__xludf.DUMMYFUNCTION("""COMPUTED_VALUE"""),"--")</f>
        <v>--</v>
      </c>
      <c r="X673" s="251" t="str">
        <f>IFERROR(__xludf.DUMMYFUNCTION("""COMPUTED_VALUE"""),"--")</f>
        <v>--</v>
      </c>
      <c r="Y673" s="251" t="str">
        <f>IFERROR(__xludf.DUMMYFUNCTION("""COMPUTED_VALUE"""),"--")</f>
        <v>--</v>
      </c>
      <c r="Z673" s="251" t="str">
        <f>IFERROR(__xludf.DUMMYFUNCTION("""COMPUTED_VALUE"""),"--")</f>
        <v>--</v>
      </c>
      <c r="AA673" s="251" t="str">
        <f>IFERROR(__xludf.DUMMYFUNCTION("""COMPUTED_VALUE"""),"--")</f>
        <v>--</v>
      </c>
      <c r="AB673" s="251" t="str">
        <f>IFERROR(__xludf.DUMMYFUNCTION("""COMPUTED_VALUE"""),"--")</f>
        <v>--</v>
      </c>
      <c r="AC673" s="251" t="str">
        <f>IFERROR(__xludf.DUMMYFUNCTION("""COMPUTED_VALUE"""),"--")</f>
        <v>--</v>
      </c>
      <c r="AD673" s="251">
        <f>IFERROR(__xludf.DUMMYFUNCTION("""COMPUTED_VALUE"""),3.0)</f>
        <v>3</v>
      </c>
      <c r="AE673" s="251" t="str">
        <f>IFERROR(__xludf.DUMMYFUNCTION("""COMPUTED_VALUE"""),"Omnivore")</f>
        <v>Omnivore</v>
      </c>
    </row>
    <row r="674">
      <c r="A674" s="251" t="str">
        <f>IFERROR(__xludf.DUMMYFUNCTION("""COMPUTED_VALUE"""),"Darumaka")</f>
        <v>Darumaka</v>
      </c>
      <c r="B674" s="251" t="str">
        <f>IFERROR(__xludf.DUMMYFUNCTION("""COMPUTED_VALUE"""),"Fire")</f>
        <v>Fire</v>
      </c>
      <c r="C674" s="251" t="str">
        <f>IFERROR(__xludf.DUMMYFUNCTION("""COMPUTED_VALUE"""),"None")</f>
        <v>None</v>
      </c>
      <c r="D674" s="251">
        <f>IFERROR(__xludf.DUMMYFUNCTION("""COMPUTED_VALUE"""),7.0)</f>
        <v>7</v>
      </c>
      <c r="E674" s="251">
        <f>IFERROR(__xludf.DUMMYFUNCTION("""COMPUTED_VALUE"""),9.0)</f>
        <v>9</v>
      </c>
      <c r="F674" s="251">
        <f>IFERROR(__xludf.DUMMYFUNCTION("""COMPUTED_VALUE"""),5.0)</f>
        <v>5</v>
      </c>
      <c r="G674" s="251">
        <f>IFERROR(__xludf.DUMMYFUNCTION("""COMPUTED_VALUE"""),2.0)</f>
        <v>2</v>
      </c>
      <c r="H674" s="251">
        <f>IFERROR(__xludf.DUMMYFUNCTION("""COMPUTED_VALUE"""),5.0)</f>
        <v>5</v>
      </c>
      <c r="I674" s="251">
        <f>IFERROR(__xludf.DUMMYFUNCTION("""COMPUTED_VALUE"""),5.0)</f>
        <v>5</v>
      </c>
      <c r="J674" s="251">
        <f>IFERROR(__xludf.DUMMYFUNCTION("""COMPUTED_VALUE"""),4.0)</f>
        <v>4</v>
      </c>
      <c r="K674" s="251" t="str">
        <f>IFERROR(__xludf.DUMMYFUNCTION("""COMPUTED_VALUE"""),"Small")</f>
        <v>Small</v>
      </c>
      <c r="L674" s="251">
        <f>IFERROR(__xludf.DUMMYFUNCTION("""COMPUTED_VALUE"""),3.0)</f>
        <v>3</v>
      </c>
      <c r="M674" s="251" t="str">
        <f>IFERROR(__xludf.DUMMYFUNCTION("""COMPUTED_VALUE"""),"Cave, Desert")</f>
        <v>Cave, Desert</v>
      </c>
      <c r="N674" s="251" t="str">
        <f>IFERROR(__xludf.DUMMYFUNCTION("""COMPUTED_VALUE"""),"--")</f>
        <v>--</v>
      </c>
      <c r="O674" s="251" t="str">
        <f>IFERROR(__xludf.DUMMYFUNCTION("""COMPUTED_VALUE"""),"--")</f>
        <v>--</v>
      </c>
      <c r="P674" s="251" t="str">
        <f>IFERROR(__xludf.DUMMYFUNCTION("""COMPUTED_VALUE"""),"--")</f>
        <v>--</v>
      </c>
      <c r="Q674" s="251" t="str">
        <f>IFERROR(__xludf.DUMMYFUNCTION("""COMPUTED_VALUE"""),"--")</f>
        <v>--</v>
      </c>
      <c r="R674" s="251" t="str">
        <f>IFERROR(__xludf.DUMMYFUNCTION("""COMPUTED_VALUE"""),"Underdog")</f>
        <v>Underdog</v>
      </c>
      <c r="S674" s="251" t="str">
        <f>IFERROR(__xludf.DUMMYFUNCTION("""COMPUTED_VALUE"""),"--")</f>
        <v>--</v>
      </c>
      <c r="T674" s="251" t="str">
        <f>IFERROR(__xludf.DUMMYFUNCTION("""COMPUTED_VALUE"""),"--")</f>
        <v>--</v>
      </c>
      <c r="U674" s="251" t="str">
        <f>IFERROR(__xludf.DUMMYFUNCTION("""COMPUTED_VALUE"""),"--")</f>
        <v>--</v>
      </c>
      <c r="V674" s="251" t="str">
        <f>IFERROR(__xludf.DUMMYFUNCTION("""COMPUTED_VALUE"""),"Heater")</f>
        <v>Heater</v>
      </c>
      <c r="W674" s="251" t="str">
        <f>IFERROR(__xludf.DUMMYFUNCTION("""COMPUTED_VALUE"""),"--")</f>
        <v>--</v>
      </c>
      <c r="X674" s="251" t="str">
        <f>IFERROR(__xludf.DUMMYFUNCTION("""COMPUTED_VALUE"""),"--")</f>
        <v>--</v>
      </c>
      <c r="Y674" s="251" t="str">
        <f>IFERROR(__xludf.DUMMYFUNCTION("""COMPUTED_VALUE"""),"--")</f>
        <v>--</v>
      </c>
      <c r="Z674" s="251" t="str">
        <f>IFERROR(__xludf.DUMMYFUNCTION("""COMPUTED_VALUE"""),"--")</f>
        <v>--</v>
      </c>
      <c r="AA674" s="251" t="str">
        <f>IFERROR(__xludf.DUMMYFUNCTION("""COMPUTED_VALUE"""),"--")</f>
        <v>--</v>
      </c>
      <c r="AB674" s="251" t="str">
        <f>IFERROR(__xludf.DUMMYFUNCTION("""COMPUTED_VALUE"""),"--")</f>
        <v>--</v>
      </c>
      <c r="AC674" s="251" t="str">
        <f>IFERROR(__xludf.DUMMYFUNCTION("""COMPUTED_VALUE"""),"--")</f>
        <v>--</v>
      </c>
      <c r="AD674" s="251">
        <f>IFERROR(__xludf.DUMMYFUNCTION("""COMPUTED_VALUE"""),2.0)</f>
        <v>2</v>
      </c>
      <c r="AE674" s="251" t="str">
        <f>IFERROR(__xludf.DUMMYFUNCTION("""COMPUTED_VALUE"""),"Herbivore")</f>
        <v>Herbivore</v>
      </c>
    </row>
    <row r="675">
      <c r="A675" s="251" t="str">
        <f>IFERROR(__xludf.DUMMYFUNCTION("""COMPUTED_VALUE"""),"Darmanitan")</f>
        <v>Darmanitan</v>
      </c>
      <c r="B675" s="251" t="str">
        <f>IFERROR(__xludf.DUMMYFUNCTION("""COMPUTED_VALUE"""),"Fire")</f>
        <v>Fire</v>
      </c>
      <c r="C675" s="251" t="str">
        <f>IFERROR(__xludf.DUMMYFUNCTION("""COMPUTED_VALUE"""),"None")</f>
        <v>None</v>
      </c>
      <c r="D675" s="251">
        <f>IFERROR(__xludf.DUMMYFUNCTION("""COMPUTED_VALUE"""),11.0)</f>
        <v>11</v>
      </c>
      <c r="E675" s="251">
        <f>IFERROR(__xludf.DUMMYFUNCTION("""COMPUTED_VALUE"""),15.0)</f>
        <v>15</v>
      </c>
      <c r="F675" s="251">
        <f>IFERROR(__xludf.DUMMYFUNCTION("""COMPUTED_VALUE"""),6.0)</f>
        <v>6</v>
      </c>
      <c r="G675" s="251">
        <f>IFERROR(__xludf.DUMMYFUNCTION("""COMPUTED_VALUE"""),3.0)</f>
        <v>3</v>
      </c>
      <c r="H675" s="251">
        <f>IFERROR(__xludf.DUMMYFUNCTION("""COMPUTED_VALUE"""),6.0)</f>
        <v>6</v>
      </c>
      <c r="I675" s="251">
        <f>IFERROR(__xludf.DUMMYFUNCTION("""COMPUTED_VALUE"""),10.0)</f>
        <v>10</v>
      </c>
      <c r="J675" s="251">
        <f>IFERROR(__xludf.DUMMYFUNCTION("""COMPUTED_VALUE"""),8.0)</f>
        <v>8</v>
      </c>
      <c r="K675" s="251" t="str">
        <f>IFERROR(__xludf.DUMMYFUNCTION("""COMPUTED_VALUE"""),"Medium")</f>
        <v>Medium</v>
      </c>
      <c r="L675" s="251">
        <f>IFERROR(__xludf.DUMMYFUNCTION("""COMPUTED_VALUE"""),4.0)</f>
        <v>4</v>
      </c>
      <c r="M675" s="251" t="str">
        <f>IFERROR(__xludf.DUMMYFUNCTION("""COMPUTED_VALUE"""),"Cave, Desert")</f>
        <v>Cave, Desert</v>
      </c>
      <c r="N675" s="251" t="str">
        <f>IFERROR(__xludf.DUMMYFUNCTION("""COMPUTED_VALUE"""),"--")</f>
        <v>--</v>
      </c>
      <c r="O675" s="251" t="str">
        <f>IFERROR(__xludf.DUMMYFUNCTION("""COMPUTED_VALUE"""),"--")</f>
        <v>--</v>
      </c>
      <c r="P675" s="251" t="str">
        <f>IFERROR(__xludf.DUMMYFUNCTION("""COMPUTED_VALUE"""),"--")</f>
        <v>--</v>
      </c>
      <c r="Q675" s="251" t="str">
        <f>IFERROR(__xludf.DUMMYFUNCTION("""COMPUTED_VALUE"""),"--")</f>
        <v>--</v>
      </c>
      <c r="R675" s="251" t="str">
        <f>IFERROR(__xludf.DUMMYFUNCTION("""COMPUTED_VALUE"""),"--")</f>
        <v>--</v>
      </c>
      <c r="S675" s="251" t="str">
        <f>IFERROR(__xludf.DUMMYFUNCTION("""COMPUTED_VALUE"""),"--")</f>
        <v>--</v>
      </c>
      <c r="T675" s="251" t="str">
        <f>IFERROR(__xludf.DUMMYFUNCTION("""COMPUTED_VALUE"""),"--")</f>
        <v>--</v>
      </c>
      <c r="U675" s="251" t="str">
        <f>IFERROR(__xludf.DUMMYFUNCTION("""COMPUTED_VALUE"""),"--")</f>
        <v>--</v>
      </c>
      <c r="V675" s="251" t="str">
        <f>IFERROR(__xludf.DUMMYFUNCTION("""COMPUTED_VALUE"""),"Heater")</f>
        <v>Heater</v>
      </c>
      <c r="W675" s="251" t="str">
        <f>IFERROR(__xludf.DUMMYFUNCTION("""COMPUTED_VALUE"""),"--")</f>
        <v>--</v>
      </c>
      <c r="X675" s="251" t="str">
        <f>IFERROR(__xludf.DUMMYFUNCTION("""COMPUTED_VALUE"""),"--")</f>
        <v>--</v>
      </c>
      <c r="Y675" s="251" t="str">
        <f>IFERROR(__xludf.DUMMYFUNCTION("""COMPUTED_VALUE"""),"--")</f>
        <v>--</v>
      </c>
      <c r="Z675" s="251" t="str">
        <f>IFERROR(__xludf.DUMMYFUNCTION("""COMPUTED_VALUE"""),"--")</f>
        <v>--</v>
      </c>
      <c r="AA675" s="251" t="str">
        <f>IFERROR(__xludf.DUMMYFUNCTION("""COMPUTED_VALUE"""),"--")</f>
        <v>--</v>
      </c>
      <c r="AB675" s="251" t="str">
        <f>IFERROR(__xludf.DUMMYFUNCTION("""COMPUTED_VALUE"""),"--")</f>
        <v>--</v>
      </c>
      <c r="AC675" s="251" t="str">
        <f>IFERROR(__xludf.DUMMYFUNCTION("""COMPUTED_VALUE"""),"--")</f>
        <v>--</v>
      </c>
      <c r="AD675" s="251">
        <f>IFERROR(__xludf.DUMMYFUNCTION("""COMPUTED_VALUE"""),3.0)</f>
        <v>3</v>
      </c>
      <c r="AE675" s="251" t="str">
        <f>IFERROR(__xludf.DUMMYFUNCTION("""COMPUTED_VALUE"""),"Omnivore")</f>
        <v>Omnivore</v>
      </c>
    </row>
    <row r="676">
      <c r="A676" s="251" t="str">
        <f>IFERROR(__xludf.DUMMYFUNCTION("""COMPUTED_VALUE"""),"Darmanitan Zen")</f>
        <v>Darmanitan Zen</v>
      </c>
      <c r="B676" s="251" t="str">
        <f>IFERROR(__xludf.DUMMYFUNCTION("""COMPUTED_VALUE"""),"Fire")</f>
        <v>Fire</v>
      </c>
      <c r="C676" s="251" t="str">
        <f>IFERROR(__xludf.DUMMYFUNCTION("""COMPUTED_VALUE"""),"Psychic")</f>
        <v>Psychic</v>
      </c>
      <c r="D676" s="251">
        <f>IFERROR(__xludf.DUMMYFUNCTION("""COMPUTED_VALUE"""),11.0)</f>
        <v>11</v>
      </c>
      <c r="E676" s="251">
        <f>IFERROR(__xludf.DUMMYFUNCTION("""COMPUTED_VALUE"""),3.0)</f>
        <v>3</v>
      </c>
      <c r="F676" s="251">
        <f>IFERROR(__xludf.DUMMYFUNCTION("""COMPUTED_VALUE"""),11.0)</f>
        <v>11</v>
      </c>
      <c r="G676" s="251">
        <f>IFERROR(__xludf.DUMMYFUNCTION("""COMPUTED_VALUE"""),15.0)</f>
        <v>15</v>
      </c>
      <c r="H676" s="251">
        <f>IFERROR(__xludf.DUMMYFUNCTION("""COMPUTED_VALUE"""),11.0)</f>
        <v>11</v>
      </c>
      <c r="I676" s="251">
        <f>IFERROR(__xludf.DUMMYFUNCTION("""COMPUTED_VALUE"""),5.0)</f>
        <v>5</v>
      </c>
      <c r="J676" s="251">
        <f>IFERROR(__xludf.DUMMYFUNCTION("""COMPUTED_VALUE"""),8.0)</f>
        <v>8</v>
      </c>
      <c r="K676" s="251" t="str">
        <f>IFERROR(__xludf.DUMMYFUNCTION("""COMPUTED_VALUE"""),"Medium")</f>
        <v>Medium</v>
      </c>
      <c r="L676" s="251">
        <f>IFERROR(__xludf.DUMMYFUNCTION("""COMPUTED_VALUE"""),4.0)</f>
        <v>4</v>
      </c>
      <c r="M676" s="251" t="str">
        <f>IFERROR(__xludf.DUMMYFUNCTION("""COMPUTED_VALUE"""),"Cave, Desert")</f>
        <v>Cave, Desert</v>
      </c>
      <c r="N676" s="251" t="str">
        <f>IFERROR(__xludf.DUMMYFUNCTION("""COMPUTED_VALUE"""),"Slow")</f>
        <v>Slow</v>
      </c>
      <c r="O676" s="251" t="str">
        <f>IFERROR(__xludf.DUMMYFUNCTION("""COMPUTED_VALUE"""),"--")</f>
        <v>--</v>
      </c>
      <c r="P676" s="251" t="str">
        <f>IFERROR(__xludf.DUMMYFUNCTION("""COMPUTED_VALUE"""),"--")</f>
        <v>--</v>
      </c>
      <c r="Q676" s="251" t="str">
        <f>IFERROR(__xludf.DUMMYFUNCTION("""COMPUTED_VALUE"""),"--")</f>
        <v>--</v>
      </c>
      <c r="R676" s="251" t="str">
        <f>IFERROR(__xludf.DUMMYFUNCTION("""COMPUTED_VALUE"""),"Telekinetic")</f>
        <v>Telekinetic</v>
      </c>
      <c r="S676" s="251" t="str">
        <f>IFERROR(__xludf.DUMMYFUNCTION("""COMPUTED_VALUE"""),"--")</f>
        <v>--</v>
      </c>
      <c r="T676" s="251" t="str">
        <f>IFERROR(__xludf.DUMMYFUNCTION("""COMPUTED_VALUE"""),"--")</f>
        <v>--</v>
      </c>
      <c r="U676" s="251" t="str">
        <f>IFERROR(__xludf.DUMMYFUNCTION("""COMPUTED_VALUE"""),"--")</f>
        <v>--</v>
      </c>
      <c r="V676" s="251" t="str">
        <f>IFERROR(__xludf.DUMMYFUNCTION("""COMPUTED_VALUE"""),"Mindlock")</f>
        <v>Mindlock</v>
      </c>
      <c r="W676" s="251" t="str">
        <f>IFERROR(__xludf.DUMMYFUNCTION("""COMPUTED_VALUE"""),"Telepath")</f>
        <v>Telepath</v>
      </c>
      <c r="X676" s="251" t="str">
        <f>IFERROR(__xludf.DUMMYFUNCTION("""COMPUTED_VALUE"""),"--")</f>
        <v>--</v>
      </c>
      <c r="Y676" s="251" t="str">
        <f>IFERROR(__xludf.DUMMYFUNCTION("""COMPUTED_VALUE"""),"--")</f>
        <v>--</v>
      </c>
      <c r="Z676" s="251" t="str">
        <f>IFERROR(__xludf.DUMMYFUNCTION("""COMPUTED_VALUE"""),"--")</f>
        <v>--</v>
      </c>
      <c r="AA676" s="251" t="str">
        <f>IFERROR(__xludf.DUMMYFUNCTION("""COMPUTED_VALUE"""),"--")</f>
        <v>--</v>
      </c>
      <c r="AB676" s="251" t="str">
        <f>IFERROR(__xludf.DUMMYFUNCTION("""COMPUTED_VALUE"""),"--")</f>
        <v>--</v>
      </c>
      <c r="AC676" s="251" t="str">
        <f>IFERROR(__xludf.DUMMYFUNCTION("""COMPUTED_VALUE"""),"--")</f>
        <v>--</v>
      </c>
      <c r="AD676" s="251">
        <f>IFERROR(__xludf.DUMMYFUNCTION("""COMPUTED_VALUE"""),3.0)</f>
        <v>3</v>
      </c>
      <c r="AE676" s="251" t="str">
        <f>IFERROR(__xludf.DUMMYFUNCTION("""COMPUTED_VALUE"""),"Omnivore")</f>
        <v>Omnivore</v>
      </c>
    </row>
    <row r="677">
      <c r="A677" s="251" t="str">
        <f>IFERROR(__xludf.DUMMYFUNCTION("""COMPUTED_VALUE"""),"Litleo")</f>
        <v>Litleo</v>
      </c>
      <c r="B677" s="251" t="str">
        <f>IFERROR(__xludf.DUMMYFUNCTION("""COMPUTED_VALUE"""),"Fire")</f>
        <v>Fire</v>
      </c>
      <c r="C677" s="251" t="str">
        <f>IFERROR(__xludf.DUMMYFUNCTION("""COMPUTED_VALUE"""),"Normal")</f>
        <v>Normal</v>
      </c>
      <c r="D677" s="251">
        <f>IFERROR(__xludf.DUMMYFUNCTION("""COMPUTED_VALUE"""),6.0)</f>
        <v>6</v>
      </c>
      <c r="E677" s="251">
        <f>IFERROR(__xludf.DUMMYFUNCTION("""COMPUTED_VALUE"""),5.0)</f>
        <v>5</v>
      </c>
      <c r="F677" s="251">
        <f>IFERROR(__xludf.DUMMYFUNCTION("""COMPUTED_VALUE"""),6.0)</f>
        <v>6</v>
      </c>
      <c r="G677" s="251">
        <f>IFERROR(__xludf.DUMMYFUNCTION("""COMPUTED_VALUE"""),7.0)</f>
        <v>7</v>
      </c>
      <c r="H677" s="251">
        <f>IFERROR(__xludf.DUMMYFUNCTION("""COMPUTED_VALUE"""),6.0)</f>
        <v>6</v>
      </c>
      <c r="I677" s="251">
        <f>IFERROR(__xludf.DUMMYFUNCTION("""COMPUTED_VALUE"""),7.0)</f>
        <v>7</v>
      </c>
      <c r="J677" s="251">
        <f>IFERROR(__xludf.DUMMYFUNCTION("""COMPUTED_VALUE"""),2.0)</f>
        <v>2</v>
      </c>
      <c r="K677" s="251" t="str">
        <f>IFERROR(__xludf.DUMMYFUNCTION("""COMPUTED_VALUE"""),"Small")</f>
        <v>Small</v>
      </c>
      <c r="L677" s="251">
        <f>IFERROR(__xludf.DUMMYFUNCTION("""COMPUTED_VALUE"""),2.0)</f>
        <v>2</v>
      </c>
      <c r="M677" s="251" t="str">
        <f>IFERROR(__xludf.DUMMYFUNCTION("""COMPUTED_VALUE"""),"Grasslands")</f>
        <v>Grasslands</v>
      </c>
      <c r="N677" s="251" t="str">
        <f>IFERROR(__xludf.DUMMYFUNCTION("""COMPUTED_VALUE"""),"--")</f>
        <v>--</v>
      </c>
      <c r="O677" s="251" t="str">
        <f>IFERROR(__xludf.DUMMYFUNCTION("""COMPUTED_VALUE"""),"--")</f>
        <v>--</v>
      </c>
      <c r="P677" s="251" t="str">
        <f>IFERROR(__xludf.DUMMYFUNCTION("""COMPUTED_VALUE"""),"--")</f>
        <v>--</v>
      </c>
      <c r="Q677" s="251" t="str">
        <f>IFERROR(__xludf.DUMMYFUNCTION("""COMPUTED_VALUE"""),"--")</f>
        <v>--</v>
      </c>
      <c r="R677" s="251" t="str">
        <f>IFERROR(__xludf.DUMMYFUNCTION("""COMPUTED_VALUE"""),"Underdog")</f>
        <v>Underdog</v>
      </c>
      <c r="S677" s="251" t="str">
        <f>IFERROR(__xludf.DUMMYFUNCTION("""COMPUTED_VALUE"""),"--")</f>
        <v>--</v>
      </c>
      <c r="T677" s="251" t="str">
        <f>IFERROR(__xludf.DUMMYFUNCTION("""COMPUTED_VALUE"""),"--")</f>
        <v>--</v>
      </c>
      <c r="U677" s="251" t="str">
        <f>IFERROR(__xludf.DUMMYFUNCTION("""COMPUTED_VALUE"""),"--")</f>
        <v>--</v>
      </c>
      <c r="V677" s="251" t="str">
        <f>IFERROR(__xludf.DUMMYFUNCTION("""COMPUTED_VALUE"""),"Pack Mon")</f>
        <v>Pack Mon</v>
      </c>
      <c r="W677" s="251" t="str">
        <f>IFERROR(__xludf.DUMMYFUNCTION("""COMPUTED_VALUE"""),"Tracker")</f>
        <v>Tracker</v>
      </c>
      <c r="X677" s="251" t="str">
        <f>IFERROR(__xludf.DUMMYFUNCTION("""COMPUTED_VALUE"""),"--")</f>
        <v>--</v>
      </c>
      <c r="Y677" s="251" t="str">
        <f>IFERROR(__xludf.DUMMYFUNCTION("""COMPUTED_VALUE"""),"--")</f>
        <v>--</v>
      </c>
      <c r="Z677" s="251" t="str">
        <f>IFERROR(__xludf.DUMMYFUNCTION("""COMPUTED_VALUE"""),"--")</f>
        <v>--</v>
      </c>
      <c r="AA677" s="251" t="str">
        <f>IFERROR(__xludf.DUMMYFUNCTION("""COMPUTED_VALUE"""),"--")</f>
        <v>--</v>
      </c>
      <c r="AB677" s="251" t="str">
        <f>IFERROR(__xludf.DUMMYFUNCTION("""COMPUTED_VALUE"""),"--")</f>
        <v>--</v>
      </c>
      <c r="AC677" s="251" t="str">
        <f>IFERROR(__xludf.DUMMYFUNCTION("""COMPUTED_VALUE"""),"--")</f>
        <v>--</v>
      </c>
      <c r="AD677" s="251">
        <f>IFERROR(__xludf.DUMMYFUNCTION("""COMPUTED_VALUE"""),2.0)</f>
        <v>2</v>
      </c>
      <c r="AE677" s="251" t="str">
        <f>IFERROR(__xludf.DUMMYFUNCTION("""COMPUTED_VALUE"""),"Carnivore")</f>
        <v>Carnivore</v>
      </c>
    </row>
    <row r="678">
      <c r="A678" s="251" t="str">
        <f>IFERROR(__xludf.DUMMYFUNCTION("""COMPUTED_VALUE"""),"Pyroar")</f>
        <v>Pyroar</v>
      </c>
      <c r="B678" s="251" t="str">
        <f>IFERROR(__xludf.DUMMYFUNCTION("""COMPUTED_VALUE"""),"Fire")</f>
        <v>Fire</v>
      </c>
      <c r="C678" s="251" t="str">
        <f>IFERROR(__xludf.DUMMYFUNCTION("""COMPUTED_VALUE"""),"Normal")</f>
        <v>Normal</v>
      </c>
      <c r="D678" s="251">
        <f>IFERROR(__xludf.DUMMYFUNCTION("""COMPUTED_VALUE"""),9.0)</f>
        <v>9</v>
      </c>
      <c r="E678" s="251">
        <f>IFERROR(__xludf.DUMMYFUNCTION("""COMPUTED_VALUE"""),7.0)</f>
        <v>7</v>
      </c>
      <c r="F678" s="251">
        <f>IFERROR(__xludf.DUMMYFUNCTION("""COMPUTED_VALUE"""),7.0)</f>
        <v>7</v>
      </c>
      <c r="G678" s="251">
        <f>IFERROR(__xludf.DUMMYFUNCTION("""COMPUTED_VALUE"""),11.0)</f>
        <v>11</v>
      </c>
      <c r="H678" s="251">
        <f>IFERROR(__xludf.DUMMYFUNCTION("""COMPUTED_VALUE"""),7.0)</f>
        <v>7</v>
      </c>
      <c r="I678" s="251">
        <f>IFERROR(__xludf.DUMMYFUNCTION("""COMPUTED_VALUE"""),11.0)</f>
        <v>11</v>
      </c>
      <c r="J678" s="251">
        <f>IFERROR(__xludf.DUMMYFUNCTION("""COMPUTED_VALUE"""),6.0)</f>
        <v>6</v>
      </c>
      <c r="K678" s="251" t="str">
        <f>IFERROR(__xludf.DUMMYFUNCTION("""COMPUTED_VALUE"""),"Medium")</f>
        <v>Medium</v>
      </c>
      <c r="L678" s="251">
        <f>IFERROR(__xludf.DUMMYFUNCTION("""COMPUTED_VALUE"""),4.0)</f>
        <v>4</v>
      </c>
      <c r="M678" s="251" t="str">
        <f>IFERROR(__xludf.DUMMYFUNCTION("""COMPUTED_VALUE"""),"Grasslands")</f>
        <v>Grasslands</v>
      </c>
      <c r="N678" s="251" t="str">
        <f>IFERROR(__xludf.DUMMYFUNCTION("""COMPUTED_VALUE"""),"--")</f>
        <v>--</v>
      </c>
      <c r="O678" s="251" t="str">
        <f>IFERROR(__xludf.DUMMYFUNCTION("""COMPUTED_VALUE"""),"--")</f>
        <v>--</v>
      </c>
      <c r="P678" s="251" t="str">
        <f>IFERROR(__xludf.DUMMYFUNCTION("""COMPUTED_VALUE"""),"--")</f>
        <v>--</v>
      </c>
      <c r="Q678" s="251" t="str">
        <f>IFERROR(__xludf.DUMMYFUNCTION("""COMPUTED_VALUE"""),"--")</f>
        <v>--</v>
      </c>
      <c r="R678" s="251" t="str">
        <f>IFERROR(__xludf.DUMMYFUNCTION("""COMPUTED_VALUE"""),"Mountable")</f>
        <v>Mountable</v>
      </c>
      <c r="S678" s="251" t="str">
        <f>IFERROR(__xludf.DUMMYFUNCTION("""COMPUTED_VALUE"""),"--")</f>
        <v>--</v>
      </c>
      <c r="T678" s="251" t="str">
        <f>IFERROR(__xludf.DUMMYFUNCTION("""COMPUTED_VALUE"""),"--")</f>
        <v>--</v>
      </c>
      <c r="U678" s="251" t="str">
        <f>IFERROR(__xludf.DUMMYFUNCTION("""COMPUTED_VALUE"""),"--")</f>
        <v>--</v>
      </c>
      <c r="V678" s="251" t="str">
        <f>IFERROR(__xludf.DUMMYFUNCTION("""COMPUTED_VALUE"""),"Pack Mon")</f>
        <v>Pack Mon</v>
      </c>
      <c r="W678" s="251" t="str">
        <f>IFERROR(__xludf.DUMMYFUNCTION("""COMPUTED_VALUE"""),"Tracker")</f>
        <v>Tracker</v>
      </c>
      <c r="X678" s="251" t="str">
        <f>IFERROR(__xludf.DUMMYFUNCTION("""COMPUTED_VALUE"""),"--")</f>
        <v>--</v>
      </c>
      <c r="Y678" s="251" t="str">
        <f>IFERROR(__xludf.DUMMYFUNCTION("""COMPUTED_VALUE"""),"--")</f>
        <v>--</v>
      </c>
      <c r="Z678" s="251" t="str">
        <f>IFERROR(__xludf.DUMMYFUNCTION("""COMPUTED_VALUE"""),"--")</f>
        <v>--</v>
      </c>
      <c r="AA678" s="251" t="str">
        <f>IFERROR(__xludf.DUMMYFUNCTION("""COMPUTED_VALUE"""),"--")</f>
        <v>--</v>
      </c>
      <c r="AB678" s="251" t="str">
        <f>IFERROR(__xludf.DUMMYFUNCTION("""COMPUTED_VALUE"""),"--")</f>
        <v>--</v>
      </c>
      <c r="AC678" s="251" t="str">
        <f>IFERROR(__xludf.DUMMYFUNCTION("""COMPUTED_VALUE"""),"--")</f>
        <v>--</v>
      </c>
      <c r="AD678" s="251">
        <f>IFERROR(__xludf.DUMMYFUNCTION("""COMPUTED_VALUE"""),3.0)</f>
        <v>3</v>
      </c>
      <c r="AE678" s="251" t="str">
        <f>IFERROR(__xludf.DUMMYFUNCTION("""COMPUTED_VALUE"""),"Carnivore")</f>
        <v>Carnivore</v>
      </c>
    </row>
    <row r="679">
      <c r="A679" s="251" t="str">
        <f>IFERROR(__xludf.DUMMYFUNCTION("""COMPUTED_VALUE"""),"Sizzlipede")</f>
        <v>Sizzlipede</v>
      </c>
      <c r="B679" s="251" t="str">
        <f>IFERROR(__xludf.DUMMYFUNCTION("""COMPUTED_VALUE"""),"Fire")</f>
        <v>Fire</v>
      </c>
      <c r="C679" s="251" t="str">
        <f>IFERROR(__xludf.DUMMYFUNCTION("""COMPUTED_VALUE"""),"Bug")</f>
        <v>Bug</v>
      </c>
      <c r="D679" s="251">
        <f>IFERROR(__xludf.DUMMYFUNCTION("""COMPUTED_VALUE"""),5.0)</f>
        <v>5</v>
      </c>
      <c r="E679" s="251">
        <f>IFERROR(__xludf.DUMMYFUNCTION("""COMPUTED_VALUE"""),7.0)</f>
        <v>7</v>
      </c>
      <c r="F679" s="251">
        <f>IFERROR(__xludf.DUMMYFUNCTION("""COMPUTED_VALUE"""),5.0)</f>
        <v>5</v>
      </c>
      <c r="G679" s="251">
        <f>IFERROR(__xludf.DUMMYFUNCTION("""COMPUTED_VALUE"""),5.0)</f>
        <v>5</v>
      </c>
      <c r="H679" s="251">
        <f>IFERROR(__xludf.DUMMYFUNCTION("""COMPUTED_VALUE"""),5.0)</f>
        <v>5</v>
      </c>
      <c r="I679" s="251">
        <f>IFERROR(__xludf.DUMMYFUNCTION("""COMPUTED_VALUE"""),5.0)</f>
        <v>5</v>
      </c>
      <c r="J679" s="251">
        <f>IFERROR(__xludf.DUMMYFUNCTION("""COMPUTED_VALUE"""),1.0)</f>
        <v>1</v>
      </c>
      <c r="K679" s="251" t="str">
        <f>IFERROR(__xludf.DUMMYFUNCTION("""COMPUTED_VALUE"""),"Small")</f>
        <v>Small</v>
      </c>
      <c r="L679" s="251">
        <f>IFERROR(__xludf.DUMMYFUNCTION("""COMPUTED_VALUE"""),2.0)</f>
        <v>2</v>
      </c>
      <c r="M679" s="251" t="str">
        <f>IFERROR(__xludf.DUMMYFUNCTION("""COMPUTED_VALUE"""),"Forest")</f>
        <v>Forest</v>
      </c>
      <c r="N679" s="251" t="str">
        <f>IFERROR(__xludf.DUMMYFUNCTION("""COMPUTED_VALUE"""),"Climber")</f>
        <v>Climber</v>
      </c>
      <c r="O679" s="251" t="str">
        <f>IFERROR(__xludf.DUMMYFUNCTION("""COMPUTED_VALUE"""),"--")</f>
        <v>--</v>
      </c>
      <c r="P679" s="251" t="str">
        <f>IFERROR(__xludf.DUMMYFUNCTION("""COMPUTED_VALUE"""),"--")</f>
        <v>--</v>
      </c>
      <c r="Q679" s="251" t="str">
        <f>IFERROR(__xludf.DUMMYFUNCTION("""COMPUTED_VALUE"""),"--")</f>
        <v>--</v>
      </c>
      <c r="R679" s="251" t="str">
        <f>IFERROR(__xludf.DUMMYFUNCTION("""COMPUTED_VALUE"""),"Threaded")</f>
        <v>Threaded</v>
      </c>
      <c r="S679" s="251" t="str">
        <f>IFERROR(__xludf.DUMMYFUNCTION("""COMPUTED_VALUE"""),"Underdog")</f>
        <v>Underdog</v>
      </c>
      <c r="T679" s="251" t="str">
        <f>IFERROR(__xludf.DUMMYFUNCTION("""COMPUTED_VALUE"""),"--")</f>
        <v>--</v>
      </c>
      <c r="U679" s="251" t="str">
        <f>IFERROR(__xludf.DUMMYFUNCTION("""COMPUTED_VALUE"""),"--")</f>
        <v>--</v>
      </c>
      <c r="V679" s="251" t="str">
        <f>IFERROR(__xludf.DUMMYFUNCTION("""COMPUTED_VALUE"""),"Heater")</f>
        <v>Heater</v>
      </c>
      <c r="W679" s="251" t="str">
        <f>IFERROR(__xludf.DUMMYFUNCTION("""COMPUTED_VALUE"""),"--")</f>
        <v>--</v>
      </c>
      <c r="X679" s="251" t="str">
        <f>IFERROR(__xludf.DUMMYFUNCTION("""COMPUTED_VALUE"""),"--")</f>
        <v>--</v>
      </c>
      <c r="Y679" s="251" t="str">
        <f>IFERROR(__xludf.DUMMYFUNCTION("""COMPUTED_VALUE"""),"--")</f>
        <v>--</v>
      </c>
      <c r="Z679" s="251" t="str">
        <f>IFERROR(__xludf.DUMMYFUNCTION("""COMPUTED_VALUE"""),"--")</f>
        <v>--</v>
      </c>
      <c r="AA679" s="251" t="str">
        <f>IFERROR(__xludf.DUMMYFUNCTION("""COMPUTED_VALUE"""),"--")</f>
        <v>--</v>
      </c>
      <c r="AB679" s="251" t="str">
        <f>IFERROR(__xludf.DUMMYFUNCTION("""COMPUTED_VALUE"""),"--")</f>
        <v>--</v>
      </c>
      <c r="AC679" s="251" t="str">
        <f>IFERROR(__xludf.DUMMYFUNCTION("""COMPUTED_VALUE"""),"--")</f>
        <v>--</v>
      </c>
      <c r="AD679" s="251">
        <f>IFERROR(__xludf.DUMMYFUNCTION("""COMPUTED_VALUE"""),2.0)</f>
        <v>2</v>
      </c>
      <c r="AE679" s="251" t="str">
        <f>IFERROR(__xludf.DUMMYFUNCTION("""COMPUTED_VALUE"""),"Carnivore")</f>
        <v>Carnivore</v>
      </c>
    </row>
    <row r="680">
      <c r="A680" s="251" t="str">
        <f>IFERROR(__xludf.DUMMYFUNCTION("""COMPUTED_VALUE"""),"Centiskorch")</f>
        <v>Centiskorch</v>
      </c>
      <c r="B680" s="251" t="str">
        <f>IFERROR(__xludf.DUMMYFUNCTION("""COMPUTED_VALUE"""),"Fire")</f>
        <v>Fire</v>
      </c>
      <c r="C680" s="251" t="str">
        <f>IFERROR(__xludf.DUMMYFUNCTION("""COMPUTED_VALUE"""),"Bug")</f>
        <v>Bug</v>
      </c>
      <c r="D680" s="251">
        <f>IFERROR(__xludf.DUMMYFUNCTION("""COMPUTED_VALUE"""),10.0)</f>
        <v>10</v>
      </c>
      <c r="E680" s="251">
        <f>IFERROR(__xludf.DUMMYFUNCTION("""COMPUTED_VALUE"""),12.0)</f>
        <v>12</v>
      </c>
      <c r="F680" s="251">
        <f>IFERROR(__xludf.DUMMYFUNCTION("""COMPUTED_VALUE"""),7.0)</f>
        <v>7</v>
      </c>
      <c r="G680" s="251">
        <f>IFERROR(__xludf.DUMMYFUNCTION("""COMPUTED_VALUE"""),9.0)</f>
        <v>9</v>
      </c>
      <c r="H680" s="251">
        <f>IFERROR(__xludf.DUMMYFUNCTION("""COMPUTED_VALUE"""),9.0)</f>
        <v>9</v>
      </c>
      <c r="I680" s="251">
        <f>IFERROR(__xludf.DUMMYFUNCTION("""COMPUTED_VALUE"""),7.0)</f>
        <v>7</v>
      </c>
      <c r="J680" s="251">
        <f>IFERROR(__xludf.DUMMYFUNCTION("""COMPUTED_VALUE"""),7.0)</f>
        <v>7</v>
      </c>
      <c r="K680" s="251" t="str">
        <f>IFERROR(__xludf.DUMMYFUNCTION("""COMPUTED_VALUE"""),"Huge")</f>
        <v>Huge</v>
      </c>
      <c r="L680" s="251">
        <f>IFERROR(__xludf.DUMMYFUNCTION("""COMPUTED_VALUE"""),5.0)</f>
        <v>5</v>
      </c>
      <c r="M680" s="251" t="str">
        <f>IFERROR(__xludf.DUMMYFUNCTION("""COMPUTED_VALUE"""),"Forest")</f>
        <v>Forest</v>
      </c>
      <c r="N680" s="251" t="str">
        <f>IFERROR(__xludf.DUMMYFUNCTION("""COMPUTED_VALUE"""),"Climber")</f>
        <v>Climber</v>
      </c>
      <c r="O680" s="251" t="str">
        <f>IFERROR(__xludf.DUMMYFUNCTION("""COMPUTED_VALUE"""),"--")</f>
        <v>--</v>
      </c>
      <c r="P680" s="251" t="str">
        <f>IFERROR(__xludf.DUMMYFUNCTION("""COMPUTED_VALUE"""),"--")</f>
        <v>--</v>
      </c>
      <c r="Q680" s="251" t="str">
        <f>IFERROR(__xludf.DUMMYFUNCTION("""COMPUTED_VALUE"""),"--")</f>
        <v>--</v>
      </c>
      <c r="R680" s="251" t="str">
        <f>IFERROR(__xludf.DUMMYFUNCTION("""COMPUTED_VALUE"""),"Mountable")</f>
        <v>Mountable</v>
      </c>
      <c r="S680" s="251" t="str">
        <f>IFERROR(__xludf.DUMMYFUNCTION("""COMPUTED_VALUE"""),"Threaded")</f>
        <v>Threaded</v>
      </c>
      <c r="T680" s="251" t="str">
        <f>IFERROR(__xludf.DUMMYFUNCTION("""COMPUTED_VALUE"""),"--")</f>
        <v>--</v>
      </c>
      <c r="U680" s="251" t="str">
        <f>IFERROR(__xludf.DUMMYFUNCTION("""COMPUTED_VALUE"""),"--")</f>
        <v>--</v>
      </c>
      <c r="V680" s="251" t="str">
        <f>IFERROR(__xludf.DUMMYFUNCTION("""COMPUTED_VALUE"""),"Heater")</f>
        <v>Heater</v>
      </c>
      <c r="W680" s="251" t="str">
        <f>IFERROR(__xludf.DUMMYFUNCTION("""COMPUTED_VALUE"""),"--")</f>
        <v>--</v>
      </c>
      <c r="X680" s="251" t="str">
        <f>IFERROR(__xludf.DUMMYFUNCTION("""COMPUTED_VALUE"""),"--")</f>
        <v>--</v>
      </c>
      <c r="Y680" s="251" t="str">
        <f>IFERROR(__xludf.DUMMYFUNCTION("""COMPUTED_VALUE"""),"--")</f>
        <v>--</v>
      </c>
      <c r="Z680" s="251" t="str">
        <f>IFERROR(__xludf.DUMMYFUNCTION("""COMPUTED_VALUE"""),"--")</f>
        <v>--</v>
      </c>
      <c r="AA680" s="251" t="str">
        <f>IFERROR(__xludf.DUMMYFUNCTION("""COMPUTED_VALUE"""),"--")</f>
        <v>--</v>
      </c>
      <c r="AB680" s="251" t="str">
        <f>IFERROR(__xludf.DUMMYFUNCTION("""COMPUTED_VALUE"""),"--")</f>
        <v>--</v>
      </c>
      <c r="AC680" s="251" t="str">
        <f>IFERROR(__xludf.DUMMYFUNCTION("""COMPUTED_VALUE"""),"--")</f>
        <v>--</v>
      </c>
      <c r="AD680" s="251">
        <f>IFERROR(__xludf.DUMMYFUNCTION("""COMPUTED_VALUE"""),3.0)</f>
        <v>3</v>
      </c>
      <c r="AE680" s="251" t="str">
        <f>IFERROR(__xludf.DUMMYFUNCTION("""COMPUTED_VALUE"""),"Carnivore")</f>
        <v>Carnivore</v>
      </c>
    </row>
    <row r="681">
      <c r="A681" s="251" t="str">
        <f>IFERROR(__xludf.DUMMYFUNCTION("""COMPUTED_VALUE"""),"Charcadet")</f>
        <v>Charcadet</v>
      </c>
      <c r="B681" s="251" t="str">
        <f>IFERROR(__xludf.DUMMYFUNCTION("""COMPUTED_VALUE"""),"Fire")</f>
        <v>Fire</v>
      </c>
      <c r="C681" s="251" t="str">
        <f>IFERROR(__xludf.DUMMYFUNCTION("""COMPUTED_VALUE"""),"None")</f>
        <v>None</v>
      </c>
      <c r="D681" s="251">
        <f>IFERROR(__xludf.DUMMYFUNCTION("""COMPUTED_VALUE"""),5.0)</f>
        <v>5</v>
      </c>
      <c r="E681" s="251">
        <f>IFERROR(__xludf.DUMMYFUNCTION("""COMPUTED_VALUE"""),6.0)</f>
        <v>6</v>
      </c>
      <c r="F681" s="251">
        <f>IFERROR(__xludf.DUMMYFUNCTION("""COMPUTED_VALUE"""),4.0)</f>
        <v>4</v>
      </c>
      <c r="G681" s="251">
        <f>IFERROR(__xludf.DUMMYFUNCTION("""COMPUTED_VALUE"""),6.0)</f>
        <v>6</v>
      </c>
      <c r="H681" s="251">
        <f>IFERROR(__xludf.DUMMYFUNCTION("""COMPUTED_VALUE"""),4.0)</f>
        <v>4</v>
      </c>
      <c r="I681" s="251">
        <f>IFERROR(__xludf.DUMMYFUNCTION("""COMPUTED_VALUE"""),5.0)</f>
        <v>5</v>
      </c>
      <c r="J681" s="251">
        <f>IFERROR(__xludf.DUMMYFUNCTION("""COMPUTED_VALUE"""),4.0)</f>
        <v>4</v>
      </c>
      <c r="K681" s="251" t="str">
        <f>IFERROR(__xludf.DUMMYFUNCTION("""COMPUTED_VALUE"""),"Small")</f>
        <v>Small</v>
      </c>
      <c r="L681" s="251">
        <f>IFERROR(__xludf.DUMMYFUNCTION("""COMPUTED_VALUE"""),1.0)</f>
        <v>1</v>
      </c>
      <c r="M681" s="251" t="str">
        <f>IFERROR(__xludf.DUMMYFUNCTION("""COMPUTED_VALUE"""),"Urban")</f>
        <v>Urban</v>
      </c>
      <c r="N681" s="251" t="str">
        <f>IFERROR(__xludf.DUMMYFUNCTION("""COMPUTED_VALUE"""),"--")</f>
        <v>--</v>
      </c>
      <c r="O681" s="251" t="str">
        <f>IFERROR(__xludf.DUMMYFUNCTION("""COMPUTED_VALUE"""),"--")</f>
        <v>--</v>
      </c>
      <c r="P681" s="251" t="str">
        <f>IFERROR(__xludf.DUMMYFUNCTION("""COMPUTED_VALUE"""),"--")</f>
        <v>--</v>
      </c>
      <c r="Q681" s="251" t="str">
        <f>IFERROR(__xludf.DUMMYFUNCTION("""COMPUTED_VALUE"""),"--")</f>
        <v>--</v>
      </c>
      <c r="R681" s="251" t="str">
        <f>IFERROR(__xludf.DUMMYFUNCTION("""COMPUTED_VALUE"""),"Underdog")</f>
        <v>Underdog</v>
      </c>
      <c r="S681" s="251" t="str">
        <f>IFERROR(__xludf.DUMMYFUNCTION("""COMPUTED_VALUE"""),"--")</f>
        <v>--</v>
      </c>
      <c r="T681" s="251" t="str">
        <f>IFERROR(__xludf.DUMMYFUNCTION("""COMPUTED_VALUE"""),"--")</f>
        <v>--</v>
      </c>
      <c r="U681" s="251" t="str">
        <f>IFERROR(__xludf.DUMMYFUNCTION("""COMPUTED_VALUE"""),"--")</f>
        <v>--</v>
      </c>
      <c r="V681" s="251" t="str">
        <f>IFERROR(__xludf.DUMMYFUNCTION("""COMPUTED_VALUE"""),"--")</f>
        <v>--</v>
      </c>
      <c r="W681" s="251" t="str">
        <f>IFERROR(__xludf.DUMMYFUNCTION("""COMPUTED_VALUE"""),"--")</f>
        <v>--</v>
      </c>
      <c r="X681" s="251" t="str">
        <f>IFERROR(__xludf.DUMMYFUNCTION("""COMPUTED_VALUE"""),"--")</f>
        <v>--</v>
      </c>
      <c r="Y681" s="251" t="str">
        <f>IFERROR(__xludf.DUMMYFUNCTION("""COMPUTED_VALUE"""),"--")</f>
        <v>--</v>
      </c>
      <c r="Z681" s="251" t="str">
        <f>IFERROR(__xludf.DUMMYFUNCTION("""COMPUTED_VALUE"""),"--")</f>
        <v>--</v>
      </c>
      <c r="AA681" s="251" t="str">
        <f>IFERROR(__xludf.DUMMYFUNCTION("""COMPUTED_VALUE"""),"--")</f>
        <v>--</v>
      </c>
      <c r="AB681" s="251" t="str">
        <f>IFERROR(__xludf.DUMMYFUNCTION("""COMPUTED_VALUE"""),"--")</f>
        <v>--</v>
      </c>
      <c r="AC681" s="251" t="str">
        <f>IFERROR(__xludf.DUMMYFUNCTION("""COMPUTED_VALUE"""),"--")</f>
        <v>--</v>
      </c>
      <c r="AD681" s="251">
        <f>IFERROR(__xludf.DUMMYFUNCTION("""COMPUTED_VALUE"""),2.0)</f>
        <v>2</v>
      </c>
      <c r="AE681" s="251" t="str">
        <f>IFERROR(__xludf.DUMMYFUNCTION("""COMPUTED_VALUE"""),"Omnivore")</f>
        <v>Omnivore</v>
      </c>
    </row>
    <row r="682">
      <c r="A682" s="251" t="str">
        <f>IFERROR(__xludf.DUMMYFUNCTION("""COMPUTED_VALUE"""),"Armarouge")</f>
        <v>Armarouge</v>
      </c>
      <c r="B682" s="251" t="str">
        <f>IFERROR(__xludf.DUMMYFUNCTION("""COMPUTED_VALUE"""),"Fire")</f>
        <v>Fire</v>
      </c>
      <c r="C682" s="251" t="str">
        <f>IFERROR(__xludf.DUMMYFUNCTION("""COMPUTED_VALUE"""),"Psychic")</f>
        <v>Psychic</v>
      </c>
      <c r="D682" s="251">
        <f>IFERROR(__xludf.DUMMYFUNCTION("""COMPUTED_VALUE"""),9.0)</f>
        <v>9</v>
      </c>
      <c r="E682" s="251">
        <f>IFERROR(__xludf.DUMMYFUNCTION("""COMPUTED_VALUE"""),6.0)</f>
        <v>6</v>
      </c>
      <c r="F682" s="251">
        <f>IFERROR(__xludf.DUMMYFUNCTION("""COMPUTED_VALUE"""),10.0)</f>
        <v>10</v>
      </c>
      <c r="G682" s="251">
        <f>IFERROR(__xludf.DUMMYFUNCTION("""COMPUTED_VALUE"""),13.0)</f>
        <v>13</v>
      </c>
      <c r="H682" s="251">
        <f>IFERROR(__xludf.DUMMYFUNCTION("""COMPUTED_VALUE"""),8.0)</f>
        <v>8</v>
      </c>
      <c r="I682" s="251">
        <f>IFERROR(__xludf.DUMMYFUNCTION("""COMPUTED_VALUE"""),8.0)</f>
        <v>8</v>
      </c>
      <c r="J682" s="251">
        <f>IFERROR(__xludf.DUMMYFUNCTION("""COMPUTED_VALUE"""),8.0)</f>
        <v>8</v>
      </c>
      <c r="K682" s="251" t="str">
        <f>IFERROR(__xludf.DUMMYFUNCTION("""COMPUTED_VALUE"""),"Medium")</f>
        <v>Medium</v>
      </c>
      <c r="L682" s="251">
        <f>IFERROR(__xludf.DUMMYFUNCTION("""COMPUTED_VALUE"""),4.0)</f>
        <v>4</v>
      </c>
      <c r="M682" s="251" t="str">
        <f>IFERROR(__xludf.DUMMYFUNCTION("""COMPUTED_VALUE"""),"Urban")</f>
        <v>Urban</v>
      </c>
      <c r="N682" s="251" t="str">
        <f>IFERROR(__xludf.DUMMYFUNCTION("""COMPUTED_VALUE"""),"--")</f>
        <v>--</v>
      </c>
      <c r="O682" s="251" t="str">
        <f>IFERROR(__xludf.DUMMYFUNCTION("""COMPUTED_VALUE"""),"--")</f>
        <v>--</v>
      </c>
      <c r="P682" s="251" t="str">
        <f>IFERROR(__xludf.DUMMYFUNCTION("""COMPUTED_VALUE"""),"--")</f>
        <v>--</v>
      </c>
      <c r="Q682" s="251" t="str">
        <f>IFERROR(__xludf.DUMMYFUNCTION("""COMPUTED_VALUE"""),"--")</f>
        <v>--</v>
      </c>
      <c r="R682" s="251" t="str">
        <f>IFERROR(__xludf.DUMMYFUNCTION("""COMPUTED_VALUE"""),"Telekinetic")</f>
        <v>Telekinetic</v>
      </c>
      <c r="S682" s="251" t="str">
        <f>IFERROR(__xludf.DUMMYFUNCTION("""COMPUTED_VALUE"""),"--")</f>
        <v>--</v>
      </c>
      <c r="T682" s="251" t="str">
        <f>IFERROR(__xludf.DUMMYFUNCTION("""COMPUTED_VALUE"""),"--")</f>
        <v>--</v>
      </c>
      <c r="U682" s="251" t="str">
        <f>IFERROR(__xludf.DUMMYFUNCTION("""COMPUTED_VALUE"""),"--")</f>
        <v>--</v>
      </c>
      <c r="V682" s="251" t="str">
        <f>IFERROR(__xludf.DUMMYFUNCTION("""COMPUTED_VALUE"""),"--")</f>
        <v>--</v>
      </c>
      <c r="W682" s="251" t="str">
        <f>IFERROR(__xludf.DUMMYFUNCTION("""COMPUTED_VALUE"""),"--")</f>
        <v>--</v>
      </c>
      <c r="X682" s="251" t="str">
        <f>IFERROR(__xludf.DUMMYFUNCTION("""COMPUTED_VALUE"""),"--")</f>
        <v>--</v>
      </c>
      <c r="Y682" s="251" t="str">
        <f>IFERROR(__xludf.DUMMYFUNCTION("""COMPUTED_VALUE"""),"--")</f>
        <v>--</v>
      </c>
      <c r="Z682" s="251" t="str">
        <f>IFERROR(__xludf.DUMMYFUNCTION("""COMPUTED_VALUE"""),"--")</f>
        <v>--</v>
      </c>
      <c r="AA682" s="251" t="str">
        <f>IFERROR(__xludf.DUMMYFUNCTION("""COMPUTED_VALUE"""),"--")</f>
        <v>--</v>
      </c>
      <c r="AB682" s="251" t="str">
        <f>IFERROR(__xludf.DUMMYFUNCTION("""COMPUTED_VALUE"""),"--")</f>
        <v>--</v>
      </c>
      <c r="AC682" s="251" t="str">
        <f>IFERROR(__xludf.DUMMYFUNCTION("""COMPUTED_VALUE"""),"--")</f>
        <v>--</v>
      </c>
      <c r="AD682" s="251">
        <f>IFERROR(__xludf.DUMMYFUNCTION("""COMPUTED_VALUE"""),3.0)</f>
        <v>3</v>
      </c>
      <c r="AE682" s="251" t="str">
        <f>IFERROR(__xludf.DUMMYFUNCTION("""COMPUTED_VALUE"""),"Omnivore")</f>
        <v>Omnivore</v>
      </c>
    </row>
    <row r="683">
      <c r="A683" s="251" t="str">
        <f>IFERROR(__xludf.DUMMYFUNCTION("""COMPUTED_VALUE"""),"Ceruledge")</f>
        <v>Ceruledge</v>
      </c>
      <c r="B683" s="251" t="str">
        <f>IFERROR(__xludf.DUMMYFUNCTION("""COMPUTED_VALUE"""),"Fire")</f>
        <v>Fire</v>
      </c>
      <c r="C683" s="251" t="str">
        <f>IFERROR(__xludf.DUMMYFUNCTION("""COMPUTED_VALUE"""),"Ghost")</f>
        <v>Ghost</v>
      </c>
      <c r="D683" s="251">
        <f>IFERROR(__xludf.DUMMYFUNCTION("""COMPUTED_VALUE"""),8.0)</f>
        <v>8</v>
      </c>
      <c r="E683" s="251">
        <f>IFERROR(__xludf.DUMMYFUNCTION("""COMPUTED_VALUE"""),13.0)</f>
        <v>13</v>
      </c>
      <c r="F683" s="251">
        <f>IFERROR(__xludf.DUMMYFUNCTION("""COMPUTED_VALUE"""),8.0)</f>
        <v>8</v>
      </c>
      <c r="G683" s="251">
        <f>IFERROR(__xludf.DUMMYFUNCTION("""COMPUTED_VALUE"""),6.0)</f>
        <v>6</v>
      </c>
      <c r="H683" s="251">
        <f>IFERROR(__xludf.DUMMYFUNCTION("""COMPUTED_VALUE"""),10.0)</f>
        <v>10</v>
      </c>
      <c r="I683" s="251">
        <f>IFERROR(__xludf.DUMMYFUNCTION("""COMPUTED_VALUE"""),9.0)</f>
        <v>9</v>
      </c>
      <c r="J683" s="251">
        <f>IFERROR(__xludf.DUMMYFUNCTION("""COMPUTED_VALUE"""),8.0)</f>
        <v>8</v>
      </c>
      <c r="K683" s="251" t="str">
        <f>IFERROR(__xludf.DUMMYFUNCTION("""COMPUTED_VALUE"""),"Medium")</f>
        <v>Medium</v>
      </c>
      <c r="L683" s="251">
        <f>IFERROR(__xludf.DUMMYFUNCTION("""COMPUTED_VALUE"""),2.0)</f>
        <v>2</v>
      </c>
      <c r="M683" s="251" t="str">
        <f>IFERROR(__xludf.DUMMYFUNCTION("""COMPUTED_VALUE"""),"Urban")</f>
        <v>Urban</v>
      </c>
      <c r="N683" s="251" t="str">
        <f>IFERROR(__xludf.DUMMYFUNCTION("""COMPUTED_VALUE"""),"--")</f>
        <v>--</v>
      </c>
      <c r="O683" s="251" t="str">
        <f>IFERROR(__xludf.DUMMYFUNCTION("""COMPUTED_VALUE"""),"--")</f>
        <v>--</v>
      </c>
      <c r="P683" s="251" t="str">
        <f>IFERROR(__xludf.DUMMYFUNCTION("""COMPUTED_VALUE"""),"--")</f>
        <v>--</v>
      </c>
      <c r="Q683" s="251" t="str">
        <f>IFERROR(__xludf.DUMMYFUNCTION("""COMPUTED_VALUE"""),"--")</f>
        <v>--</v>
      </c>
      <c r="R683" s="251" t="str">
        <f>IFERROR(__xludf.DUMMYFUNCTION("""COMPUTED_VALUE"""),"--")</f>
        <v>--</v>
      </c>
      <c r="S683" s="251" t="str">
        <f>IFERROR(__xludf.DUMMYFUNCTION("""COMPUTED_VALUE"""),"--")</f>
        <v>--</v>
      </c>
      <c r="T683" s="251" t="str">
        <f>IFERROR(__xludf.DUMMYFUNCTION("""COMPUTED_VALUE"""),"--")</f>
        <v>--</v>
      </c>
      <c r="U683" s="251" t="str">
        <f>IFERROR(__xludf.DUMMYFUNCTION("""COMPUTED_VALUE"""),"--")</f>
        <v>--</v>
      </c>
      <c r="V683" s="251" t="str">
        <f>IFERROR(__xludf.DUMMYFUNCTION("""COMPUTED_VALUE"""),"Dead Silent")</f>
        <v>Dead Silent</v>
      </c>
      <c r="W683" s="251" t="str">
        <f>IFERROR(__xludf.DUMMYFUNCTION("""COMPUTED_VALUE"""),"--")</f>
        <v>--</v>
      </c>
      <c r="X683" s="251" t="str">
        <f>IFERROR(__xludf.DUMMYFUNCTION("""COMPUTED_VALUE"""),"--")</f>
        <v>--</v>
      </c>
      <c r="Y683" s="251" t="str">
        <f>IFERROR(__xludf.DUMMYFUNCTION("""COMPUTED_VALUE"""),"--")</f>
        <v>--</v>
      </c>
      <c r="Z683" s="251" t="str">
        <f>IFERROR(__xludf.DUMMYFUNCTION("""COMPUTED_VALUE"""),"--")</f>
        <v>--</v>
      </c>
      <c r="AA683" s="251" t="str">
        <f>IFERROR(__xludf.DUMMYFUNCTION("""COMPUTED_VALUE"""),"--")</f>
        <v>--</v>
      </c>
      <c r="AB683" s="251" t="str">
        <f>IFERROR(__xludf.DUMMYFUNCTION("""COMPUTED_VALUE"""),"--")</f>
        <v>--</v>
      </c>
      <c r="AC683" s="251" t="str">
        <f>IFERROR(__xludf.DUMMYFUNCTION("""COMPUTED_VALUE"""),"--")</f>
        <v>--</v>
      </c>
      <c r="AD683" s="251">
        <f>IFERROR(__xludf.DUMMYFUNCTION("""COMPUTED_VALUE"""),3.0)</f>
        <v>3</v>
      </c>
      <c r="AE683" s="251" t="str">
        <f>IFERROR(__xludf.DUMMYFUNCTION("""COMPUTED_VALUE"""),"Omnivore")</f>
        <v>Omnivore</v>
      </c>
    </row>
    <row r="684">
      <c r="A684" s="251" t="str">
        <f>IFERROR(__xludf.DUMMYFUNCTION("""COMPUTED_VALUE"""),"Noibat")</f>
        <v>Noibat</v>
      </c>
      <c r="B684" s="251" t="str">
        <f>IFERROR(__xludf.DUMMYFUNCTION("""COMPUTED_VALUE"""),"Flying")</f>
        <v>Flying</v>
      </c>
      <c r="C684" s="251" t="str">
        <f>IFERROR(__xludf.DUMMYFUNCTION("""COMPUTED_VALUE"""),"Dragon")</f>
        <v>Dragon</v>
      </c>
      <c r="D684" s="251">
        <f>IFERROR(__xludf.DUMMYFUNCTION("""COMPUTED_VALUE"""),4.0)</f>
        <v>4</v>
      </c>
      <c r="E684" s="251">
        <f>IFERROR(__xludf.DUMMYFUNCTION("""COMPUTED_VALUE"""),4.0)</f>
        <v>4</v>
      </c>
      <c r="F684" s="251">
        <f>IFERROR(__xludf.DUMMYFUNCTION("""COMPUTED_VALUE"""),4.0)</f>
        <v>4</v>
      </c>
      <c r="G684" s="251">
        <f>IFERROR(__xludf.DUMMYFUNCTION("""COMPUTED_VALUE"""),6.0)</f>
        <v>6</v>
      </c>
      <c r="H684" s="251">
        <f>IFERROR(__xludf.DUMMYFUNCTION("""COMPUTED_VALUE"""),4.0)</f>
        <v>4</v>
      </c>
      <c r="I684" s="251">
        <f>IFERROR(__xludf.DUMMYFUNCTION("""COMPUTED_VALUE"""),8.0)</f>
        <v>8</v>
      </c>
      <c r="J684" s="251">
        <f>IFERROR(__xludf.DUMMYFUNCTION("""COMPUTED_VALUE"""),1.0)</f>
        <v>1</v>
      </c>
      <c r="K684" s="251" t="str">
        <f>IFERROR(__xludf.DUMMYFUNCTION("""COMPUTED_VALUE"""),"Small")</f>
        <v>Small</v>
      </c>
      <c r="L684" s="251">
        <f>IFERROR(__xludf.DUMMYFUNCTION("""COMPUTED_VALUE"""),1.0)</f>
        <v>1</v>
      </c>
      <c r="M684" s="251" t="str">
        <f>IFERROR(__xludf.DUMMYFUNCTION("""COMPUTED_VALUE"""),"Cave")</f>
        <v>Cave</v>
      </c>
      <c r="N684" s="251" t="str">
        <f>IFERROR(__xludf.DUMMYFUNCTION("""COMPUTED_VALUE"""),"Flier")</f>
        <v>Flier</v>
      </c>
      <c r="O684" s="251" t="str">
        <f>IFERROR(__xludf.DUMMYFUNCTION("""COMPUTED_VALUE"""),"--")</f>
        <v>--</v>
      </c>
      <c r="P684" s="251" t="str">
        <f>IFERROR(__xludf.DUMMYFUNCTION("""COMPUTED_VALUE"""),"--")</f>
        <v>--</v>
      </c>
      <c r="Q684" s="251" t="str">
        <f>IFERROR(__xludf.DUMMYFUNCTION("""COMPUTED_VALUE"""),"--")</f>
        <v>--</v>
      </c>
      <c r="R684" s="251" t="str">
        <f>IFERROR(__xludf.DUMMYFUNCTION("""COMPUTED_VALUE"""),"Blindsense")</f>
        <v>Blindsense</v>
      </c>
      <c r="S684" s="251" t="str">
        <f>IFERROR(__xludf.DUMMYFUNCTION("""COMPUTED_VALUE"""),"Underdog")</f>
        <v>Underdog</v>
      </c>
      <c r="T684" s="251" t="str">
        <f>IFERROR(__xludf.DUMMYFUNCTION("""COMPUTED_VALUE"""),"--")</f>
        <v>--</v>
      </c>
      <c r="U684" s="251" t="str">
        <f>IFERROR(__xludf.DUMMYFUNCTION("""COMPUTED_VALUE"""),"--")</f>
        <v>--</v>
      </c>
      <c r="V684" s="251" t="str">
        <f>IFERROR(__xludf.DUMMYFUNCTION("""COMPUTED_VALUE"""),"--")</f>
        <v>--</v>
      </c>
      <c r="W684" s="251" t="str">
        <f>IFERROR(__xludf.DUMMYFUNCTION("""COMPUTED_VALUE"""),"--")</f>
        <v>--</v>
      </c>
      <c r="X684" s="251" t="str">
        <f>IFERROR(__xludf.DUMMYFUNCTION("""COMPUTED_VALUE"""),"--")</f>
        <v>--</v>
      </c>
      <c r="Y684" s="251" t="str">
        <f>IFERROR(__xludf.DUMMYFUNCTION("""COMPUTED_VALUE"""),"--")</f>
        <v>--</v>
      </c>
      <c r="Z684" s="251" t="str">
        <f>IFERROR(__xludf.DUMMYFUNCTION("""COMPUTED_VALUE"""),"--")</f>
        <v>--</v>
      </c>
      <c r="AA684" s="251" t="str">
        <f>IFERROR(__xludf.DUMMYFUNCTION("""COMPUTED_VALUE"""),"--")</f>
        <v>--</v>
      </c>
      <c r="AB684" s="251" t="str">
        <f>IFERROR(__xludf.DUMMYFUNCTION("""COMPUTED_VALUE"""),"--")</f>
        <v>--</v>
      </c>
      <c r="AC684" s="251" t="str">
        <f>IFERROR(__xludf.DUMMYFUNCTION("""COMPUTED_VALUE"""),"--")</f>
        <v>--</v>
      </c>
      <c r="AD684" s="251">
        <f>IFERROR(__xludf.DUMMYFUNCTION("""COMPUTED_VALUE"""),2.0)</f>
        <v>2</v>
      </c>
      <c r="AE684" s="251" t="str">
        <f>IFERROR(__xludf.DUMMYFUNCTION("""COMPUTED_VALUE"""),"Omnivore")</f>
        <v>Omnivore</v>
      </c>
    </row>
    <row r="685">
      <c r="A685" s="251" t="str">
        <f>IFERROR(__xludf.DUMMYFUNCTION("""COMPUTED_VALUE"""),"Noivern")</f>
        <v>Noivern</v>
      </c>
      <c r="B685" s="251" t="str">
        <f>IFERROR(__xludf.DUMMYFUNCTION("""COMPUTED_VALUE"""),"Flying")</f>
        <v>Flying</v>
      </c>
      <c r="C685" s="251" t="str">
        <f>IFERROR(__xludf.DUMMYFUNCTION("""COMPUTED_VALUE"""),"Dragon")</f>
        <v>Dragon</v>
      </c>
      <c r="D685" s="251">
        <f>IFERROR(__xludf.DUMMYFUNCTION("""COMPUTED_VALUE"""),9.0)</f>
        <v>9</v>
      </c>
      <c r="E685" s="251">
        <f>IFERROR(__xludf.DUMMYFUNCTION("""COMPUTED_VALUE"""),7.0)</f>
        <v>7</v>
      </c>
      <c r="F685" s="251">
        <f>IFERROR(__xludf.DUMMYFUNCTION("""COMPUTED_VALUE"""),8.0)</f>
        <v>8</v>
      </c>
      <c r="G685" s="251">
        <f>IFERROR(__xludf.DUMMYFUNCTION("""COMPUTED_VALUE"""),10.0)</f>
        <v>10</v>
      </c>
      <c r="H685" s="251">
        <f>IFERROR(__xludf.DUMMYFUNCTION("""COMPUTED_VALUE"""),8.0)</f>
        <v>8</v>
      </c>
      <c r="I685" s="251">
        <f>IFERROR(__xludf.DUMMYFUNCTION("""COMPUTED_VALUE"""),12.0)</f>
        <v>12</v>
      </c>
      <c r="J685" s="251">
        <f>IFERROR(__xludf.DUMMYFUNCTION("""COMPUTED_VALUE"""),6.0)</f>
        <v>6</v>
      </c>
      <c r="K685" s="251" t="str">
        <f>IFERROR(__xludf.DUMMYFUNCTION("""COMPUTED_VALUE"""),"Medium")</f>
        <v>Medium</v>
      </c>
      <c r="L685" s="251">
        <f>IFERROR(__xludf.DUMMYFUNCTION("""COMPUTED_VALUE"""),4.0)</f>
        <v>4</v>
      </c>
      <c r="M685" s="251" t="str">
        <f>IFERROR(__xludf.DUMMYFUNCTION("""COMPUTED_VALUE"""),"Cave")</f>
        <v>Cave</v>
      </c>
      <c r="N685" s="251" t="str">
        <f>IFERROR(__xludf.DUMMYFUNCTION("""COMPUTED_VALUE"""),"Flier")</f>
        <v>Flier</v>
      </c>
      <c r="O685" s="251" t="str">
        <f>IFERROR(__xludf.DUMMYFUNCTION("""COMPUTED_VALUE"""),"Quick")</f>
        <v>Quick</v>
      </c>
      <c r="P685" s="251" t="str">
        <f>IFERROR(__xludf.DUMMYFUNCTION("""COMPUTED_VALUE"""),"--")</f>
        <v>--</v>
      </c>
      <c r="Q685" s="251" t="str">
        <f>IFERROR(__xludf.DUMMYFUNCTION("""COMPUTED_VALUE"""),"--")</f>
        <v>--</v>
      </c>
      <c r="R685" s="251" t="str">
        <f>IFERROR(__xludf.DUMMYFUNCTION("""COMPUTED_VALUE"""),"Blindsense")</f>
        <v>Blindsense</v>
      </c>
      <c r="S685" s="251" t="str">
        <f>IFERROR(__xludf.DUMMYFUNCTION("""COMPUTED_VALUE"""),"--")</f>
        <v>--</v>
      </c>
      <c r="T685" s="251" t="str">
        <f>IFERROR(__xludf.DUMMYFUNCTION("""COMPUTED_VALUE"""),"--")</f>
        <v>--</v>
      </c>
      <c r="U685" s="251" t="str">
        <f>IFERROR(__xludf.DUMMYFUNCTION("""COMPUTED_VALUE"""),"--")</f>
        <v>--</v>
      </c>
      <c r="V685" s="251" t="str">
        <f>IFERROR(__xludf.DUMMYFUNCTION("""COMPUTED_VALUE"""),"--")</f>
        <v>--</v>
      </c>
      <c r="W685" s="251" t="str">
        <f>IFERROR(__xludf.DUMMYFUNCTION("""COMPUTED_VALUE"""),"--")</f>
        <v>--</v>
      </c>
      <c r="X685" s="251" t="str">
        <f>IFERROR(__xludf.DUMMYFUNCTION("""COMPUTED_VALUE"""),"--")</f>
        <v>--</v>
      </c>
      <c r="Y685" s="251" t="str">
        <f>IFERROR(__xludf.DUMMYFUNCTION("""COMPUTED_VALUE"""),"--")</f>
        <v>--</v>
      </c>
      <c r="Z685" s="251" t="str">
        <f>IFERROR(__xludf.DUMMYFUNCTION("""COMPUTED_VALUE"""),"--")</f>
        <v>--</v>
      </c>
      <c r="AA685" s="251" t="str">
        <f>IFERROR(__xludf.DUMMYFUNCTION("""COMPUTED_VALUE"""),"--")</f>
        <v>--</v>
      </c>
      <c r="AB685" s="251" t="str">
        <f>IFERROR(__xludf.DUMMYFUNCTION("""COMPUTED_VALUE"""),"--")</f>
        <v>--</v>
      </c>
      <c r="AC685" s="251" t="str">
        <f>IFERROR(__xludf.DUMMYFUNCTION("""COMPUTED_VALUE"""),"--")</f>
        <v>--</v>
      </c>
      <c r="AD685" s="251">
        <f>IFERROR(__xludf.DUMMYFUNCTION("""COMPUTED_VALUE"""),3.0)</f>
        <v>3</v>
      </c>
      <c r="AE685" s="251" t="str">
        <f>IFERROR(__xludf.DUMMYFUNCTION("""COMPUTED_VALUE"""),"Omnivore")</f>
        <v>Omnivore</v>
      </c>
    </row>
    <row r="686">
      <c r="A686" s="251" t="str">
        <f>IFERROR(__xludf.DUMMYFUNCTION("""COMPUTED_VALUE"""),"Wattrel")</f>
        <v>Wattrel</v>
      </c>
      <c r="B686" s="251" t="str">
        <f>IFERROR(__xludf.DUMMYFUNCTION("""COMPUTED_VALUE"""),"Flying")</f>
        <v>Flying</v>
      </c>
      <c r="C686" s="251" t="str">
        <f>IFERROR(__xludf.DUMMYFUNCTION("""COMPUTED_VALUE"""),"Electric")</f>
        <v>Electric</v>
      </c>
      <c r="D686" s="251">
        <f>IFERROR(__xludf.DUMMYFUNCTION("""COMPUTED_VALUE"""),5.0)</f>
        <v>5</v>
      </c>
      <c r="E686" s="251">
        <f>IFERROR(__xludf.DUMMYFUNCTION("""COMPUTED_VALUE"""),5.0)</f>
        <v>5</v>
      </c>
      <c r="F686" s="251">
        <f>IFERROR(__xludf.DUMMYFUNCTION("""COMPUTED_VALUE"""),4.0)</f>
        <v>4</v>
      </c>
      <c r="G686" s="251">
        <f>IFERROR(__xludf.DUMMYFUNCTION("""COMPUTED_VALUE"""),6.0)</f>
        <v>6</v>
      </c>
      <c r="H686" s="251">
        <f>IFERROR(__xludf.DUMMYFUNCTION("""COMPUTED_VALUE"""),4.0)</f>
        <v>4</v>
      </c>
      <c r="I686" s="251">
        <f>IFERROR(__xludf.DUMMYFUNCTION("""COMPUTED_VALUE"""),6.0)</f>
        <v>6</v>
      </c>
      <c r="J686" s="251">
        <f>IFERROR(__xludf.DUMMYFUNCTION("""COMPUTED_VALUE"""),1.0)</f>
        <v>1</v>
      </c>
      <c r="K686" s="251" t="str">
        <f>IFERROR(__xludf.DUMMYFUNCTION("""COMPUTED_VALUE"""),"Small")</f>
        <v>Small</v>
      </c>
      <c r="L686" s="251">
        <f>IFERROR(__xludf.DUMMYFUNCTION("""COMPUTED_VALUE"""),1.0)</f>
        <v>1</v>
      </c>
      <c r="M686" s="251" t="str">
        <f>IFERROR(__xludf.DUMMYFUNCTION("""COMPUTED_VALUE"""),"Ocean")</f>
        <v>Ocean</v>
      </c>
      <c r="N686" s="251" t="str">
        <f>IFERROR(__xludf.DUMMYFUNCTION("""COMPUTED_VALUE"""),"Flier")</f>
        <v>Flier</v>
      </c>
      <c r="O686" s="251" t="str">
        <f>IFERROR(__xludf.DUMMYFUNCTION("""COMPUTED_VALUE"""),"--")</f>
        <v>--</v>
      </c>
      <c r="P686" s="251" t="str">
        <f>IFERROR(__xludf.DUMMYFUNCTION("""COMPUTED_VALUE"""),"--")</f>
        <v>--</v>
      </c>
      <c r="Q686" s="251" t="str">
        <f>IFERROR(__xludf.DUMMYFUNCTION("""COMPUTED_VALUE"""),"--")</f>
        <v>--</v>
      </c>
      <c r="R686" s="251" t="str">
        <f>IFERROR(__xludf.DUMMYFUNCTION("""COMPUTED_VALUE"""),"Underdog")</f>
        <v>Underdog</v>
      </c>
      <c r="S686" s="251" t="str">
        <f>IFERROR(__xludf.DUMMYFUNCTION("""COMPUTED_VALUE"""),"--")</f>
        <v>--</v>
      </c>
      <c r="T686" s="251" t="str">
        <f>IFERROR(__xludf.DUMMYFUNCTION("""COMPUTED_VALUE"""),"--")</f>
        <v>--</v>
      </c>
      <c r="U686" s="251" t="str">
        <f>IFERROR(__xludf.DUMMYFUNCTION("""COMPUTED_VALUE"""),"--")</f>
        <v>--</v>
      </c>
      <c r="V686" s="251" t="str">
        <f>IFERROR(__xludf.DUMMYFUNCTION("""COMPUTED_VALUE"""),"--")</f>
        <v>--</v>
      </c>
      <c r="W686" s="251" t="str">
        <f>IFERROR(__xludf.DUMMYFUNCTION("""COMPUTED_VALUE"""),"--")</f>
        <v>--</v>
      </c>
      <c r="X686" s="251" t="str">
        <f>IFERROR(__xludf.DUMMYFUNCTION("""COMPUTED_VALUE"""),"--")</f>
        <v>--</v>
      </c>
      <c r="Y686" s="251" t="str">
        <f>IFERROR(__xludf.DUMMYFUNCTION("""COMPUTED_VALUE"""),"--")</f>
        <v>--</v>
      </c>
      <c r="Z686" s="251" t="str">
        <f>IFERROR(__xludf.DUMMYFUNCTION("""COMPUTED_VALUE"""),"--")</f>
        <v>--</v>
      </c>
      <c r="AA686" s="251" t="str">
        <f>IFERROR(__xludf.DUMMYFUNCTION("""COMPUTED_VALUE"""),"--")</f>
        <v>--</v>
      </c>
      <c r="AB686" s="251" t="str">
        <f>IFERROR(__xludf.DUMMYFUNCTION("""COMPUTED_VALUE"""),"--")</f>
        <v>--</v>
      </c>
      <c r="AC686" s="251" t="str">
        <f>IFERROR(__xludf.DUMMYFUNCTION("""COMPUTED_VALUE"""),"--")</f>
        <v>--</v>
      </c>
      <c r="AD686" s="251">
        <f>IFERROR(__xludf.DUMMYFUNCTION("""COMPUTED_VALUE"""),2.0)</f>
        <v>2</v>
      </c>
      <c r="AE686" s="251" t="str">
        <f>IFERROR(__xludf.DUMMYFUNCTION("""COMPUTED_VALUE"""),"Omnivore")</f>
        <v>Omnivore</v>
      </c>
    </row>
    <row r="687">
      <c r="A687" s="251" t="str">
        <f>IFERROR(__xludf.DUMMYFUNCTION("""COMPUTED_VALUE"""),"Kilowattrel")</f>
        <v>Kilowattrel</v>
      </c>
      <c r="B687" s="251" t="str">
        <f>IFERROR(__xludf.DUMMYFUNCTION("""COMPUTED_VALUE"""),"Flying")</f>
        <v>Flying</v>
      </c>
      <c r="C687" s="251" t="str">
        <f>IFERROR(__xludf.DUMMYFUNCTION("""COMPUTED_VALUE"""),"Electric")</f>
        <v>Electric</v>
      </c>
      <c r="D687" s="251">
        <f>IFERROR(__xludf.DUMMYFUNCTION("""COMPUTED_VALUE"""),7.0)</f>
        <v>7</v>
      </c>
      <c r="E687" s="251">
        <f>IFERROR(__xludf.DUMMYFUNCTION("""COMPUTED_VALUE"""),7.0)</f>
        <v>7</v>
      </c>
      <c r="F687" s="251">
        <f>IFERROR(__xludf.DUMMYFUNCTION("""COMPUTED_VALUE"""),6.0)</f>
        <v>6</v>
      </c>
      <c r="G687" s="251">
        <f>IFERROR(__xludf.DUMMYFUNCTION("""COMPUTED_VALUE"""),12.0)</f>
        <v>12</v>
      </c>
      <c r="H687" s="251">
        <f>IFERROR(__xludf.DUMMYFUNCTION("""COMPUTED_VALUE"""),6.0)</f>
        <v>6</v>
      </c>
      <c r="I687" s="251">
        <f>IFERROR(__xludf.DUMMYFUNCTION("""COMPUTED_VALUE"""),13.0)</f>
        <v>13</v>
      </c>
      <c r="J687" s="251">
        <f>IFERROR(__xludf.DUMMYFUNCTION("""COMPUTED_VALUE"""),3.0)</f>
        <v>3</v>
      </c>
      <c r="K687" s="251" t="str">
        <f>IFERROR(__xludf.DUMMYFUNCTION("""COMPUTED_VALUE"""),"Medium")</f>
        <v>Medium</v>
      </c>
      <c r="L687" s="251">
        <f>IFERROR(__xludf.DUMMYFUNCTION("""COMPUTED_VALUE"""),3.0)</f>
        <v>3</v>
      </c>
      <c r="M687" s="251" t="str">
        <f>IFERROR(__xludf.DUMMYFUNCTION("""COMPUTED_VALUE"""),"Ocean")</f>
        <v>Ocean</v>
      </c>
      <c r="N687" s="251" t="str">
        <f>IFERROR(__xludf.DUMMYFUNCTION("""COMPUTED_VALUE"""),"Flier")</f>
        <v>Flier</v>
      </c>
      <c r="O687" s="251" t="str">
        <f>IFERROR(__xludf.DUMMYFUNCTION("""COMPUTED_VALUE"""),"--")</f>
        <v>--</v>
      </c>
      <c r="P687" s="251" t="str">
        <f>IFERROR(__xludf.DUMMYFUNCTION("""COMPUTED_VALUE"""),"--")</f>
        <v>--</v>
      </c>
      <c r="Q687" s="251" t="str">
        <f>IFERROR(__xludf.DUMMYFUNCTION("""COMPUTED_VALUE"""),"--")</f>
        <v>--</v>
      </c>
      <c r="R687" s="251" t="str">
        <f>IFERROR(__xludf.DUMMYFUNCTION("""COMPUTED_VALUE"""),"--")</f>
        <v>--</v>
      </c>
      <c r="S687" s="251" t="str">
        <f>IFERROR(__xludf.DUMMYFUNCTION("""COMPUTED_VALUE"""),"--")</f>
        <v>--</v>
      </c>
      <c r="T687" s="251" t="str">
        <f>IFERROR(__xludf.DUMMYFUNCTION("""COMPUTED_VALUE"""),"--")</f>
        <v>--</v>
      </c>
      <c r="U687" s="251" t="str">
        <f>IFERROR(__xludf.DUMMYFUNCTION("""COMPUTED_VALUE"""),"--")</f>
        <v>--</v>
      </c>
      <c r="V687" s="251" t="str">
        <f>IFERROR(__xludf.DUMMYFUNCTION("""COMPUTED_VALUE"""),"--")</f>
        <v>--</v>
      </c>
      <c r="W687" s="251" t="str">
        <f>IFERROR(__xludf.DUMMYFUNCTION("""COMPUTED_VALUE"""),"--")</f>
        <v>--</v>
      </c>
      <c r="X687" s="251" t="str">
        <f>IFERROR(__xludf.DUMMYFUNCTION("""COMPUTED_VALUE"""),"--")</f>
        <v>--</v>
      </c>
      <c r="Y687" s="251" t="str">
        <f>IFERROR(__xludf.DUMMYFUNCTION("""COMPUTED_VALUE"""),"--")</f>
        <v>--</v>
      </c>
      <c r="Z687" s="251" t="str">
        <f>IFERROR(__xludf.DUMMYFUNCTION("""COMPUTED_VALUE"""),"--")</f>
        <v>--</v>
      </c>
      <c r="AA687" s="251" t="str">
        <f>IFERROR(__xludf.DUMMYFUNCTION("""COMPUTED_VALUE"""),"--")</f>
        <v>--</v>
      </c>
      <c r="AB687" s="251" t="str">
        <f>IFERROR(__xludf.DUMMYFUNCTION("""COMPUTED_VALUE"""),"--")</f>
        <v>--</v>
      </c>
      <c r="AC687" s="251" t="str">
        <f>IFERROR(__xludf.DUMMYFUNCTION("""COMPUTED_VALUE"""),"--")</f>
        <v>--</v>
      </c>
      <c r="AD687" s="251">
        <f>IFERROR(__xludf.DUMMYFUNCTION("""COMPUTED_VALUE"""),3.0)</f>
        <v>3</v>
      </c>
      <c r="AE687" s="251" t="str">
        <f>IFERROR(__xludf.DUMMYFUNCTION("""COMPUTED_VALUE"""),"Omnivore")</f>
        <v>Omnivore</v>
      </c>
    </row>
    <row r="688">
      <c r="A688" s="251" t="str">
        <f>IFERROR(__xludf.DUMMYFUNCTION("""COMPUTED_VALUE"""),"Misdreavus")</f>
        <v>Misdreavus</v>
      </c>
      <c r="B688" s="251" t="str">
        <f>IFERROR(__xludf.DUMMYFUNCTION("""COMPUTED_VALUE"""),"Ghost")</f>
        <v>Ghost</v>
      </c>
      <c r="C688" s="251" t="str">
        <f>IFERROR(__xludf.DUMMYFUNCTION("""COMPUTED_VALUE"""),"None")</f>
        <v>None</v>
      </c>
      <c r="D688" s="251">
        <f>IFERROR(__xludf.DUMMYFUNCTION("""COMPUTED_VALUE"""),6.0)</f>
        <v>6</v>
      </c>
      <c r="E688" s="251">
        <f>IFERROR(__xludf.DUMMYFUNCTION("""COMPUTED_VALUE"""),6.0)</f>
        <v>6</v>
      </c>
      <c r="F688" s="251">
        <f>IFERROR(__xludf.DUMMYFUNCTION("""COMPUTED_VALUE"""),6.0)</f>
        <v>6</v>
      </c>
      <c r="G688" s="251">
        <f>IFERROR(__xludf.DUMMYFUNCTION("""COMPUTED_VALUE"""),9.0)</f>
        <v>9</v>
      </c>
      <c r="H688" s="251">
        <f>IFERROR(__xludf.DUMMYFUNCTION("""COMPUTED_VALUE"""),9.0)</f>
        <v>9</v>
      </c>
      <c r="I688" s="251">
        <f>IFERROR(__xludf.DUMMYFUNCTION("""COMPUTED_VALUE"""),9.0)</f>
        <v>9</v>
      </c>
      <c r="J688" s="251">
        <f>IFERROR(__xludf.DUMMYFUNCTION("""COMPUTED_VALUE"""),2.0)</f>
        <v>2</v>
      </c>
      <c r="K688" s="251" t="str">
        <f>IFERROR(__xludf.DUMMYFUNCTION("""COMPUTED_VALUE"""),"Small")</f>
        <v>Small</v>
      </c>
      <c r="L688" s="251">
        <f>IFERROR(__xludf.DUMMYFUNCTION("""COMPUTED_VALUE"""),1.0)</f>
        <v>1</v>
      </c>
      <c r="M688" s="251" t="str">
        <f>IFERROR(__xludf.DUMMYFUNCTION("""COMPUTED_VALUE"""),"Urban")</f>
        <v>Urban</v>
      </c>
      <c r="N688" s="251" t="str">
        <f>IFERROR(__xludf.DUMMYFUNCTION("""COMPUTED_VALUE"""),"Flier")</f>
        <v>Flier</v>
      </c>
      <c r="O688" s="251" t="str">
        <f>IFERROR(__xludf.DUMMYFUNCTION("""COMPUTED_VALUE"""),"Phaser")</f>
        <v>Phaser</v>
      </c>
      <c r="P688" s="251" t="str">
        <f>IFERROR(__xludf.DUMMYFUNCTION("""COMPUTED_VALUE"""),"--")</f>
        <v>--</v>
      </c>
      <c r="Q688" s="251" t="str">
        <f>IFERROR(__xludf.DUMMYFUNCTION("""COMPUTED_VALUE"""),"--")</f>
        <v>--</v>
      </c>
      <c r="R688" s="251" t="str">
        <f>IFERROR(__xludf.DUMMYFUNCTION("""COMPUTED_VALUE"""),"Darkvision")</f>
        <v>Darkvision</v>
      </c>
      <c r="S688" s="251" t="str">
        <f>IFERROR(__xludf.DUMMYFUNCTION("""COMPUTED_VALUE"""),"Invisibility")</f>
        <v>Invisibility</v>
      </c>
      <c r="T688" s="251" t="str">
        <f>IFERROR(__xludf.DUMMYFUNCTION("""COMPUTED_VALUE"""),"Underdog")</f>
        <v>Underdog</v>
      </c>
      <c r="U688" s="251" t="str">
        <f>IFERROR(__xludf.DUMMYFUNCTION("""COMPUTED_VALUE"""),"--")</f>
        <v>--</v>
      </c>
      <c r="V688" s="251" t="str">
        <f>IFERROR(__xludf.DUMMYFUNCTION("""COMPUTED_VALUE"""),"Dead Silent")</f>
        <v>Dead Silent</v>
      </c>
      <c r="W688" s="251" t="str">
        <f>IFERROR(__xludf.DUMMYFUNCTION("""COMPUTED_VALUE"""),"--")</f>
        <v>--</v>
      </c>
      <c r="X688" s="251" t="str">
        <f>IFERROR(__xludf.DUMMYFUNCTION("""COMPUTED_VALUE"""),"--")</f>
        <v>--</v>
      </c>
      <c r="Y688" s="251" t="str">
        <f>IFERROR(__xludf.DUMMYFUNCTION("""COMPUTED_VALUE"""),"--")</f>
        <v>--</v>
      </c>
      <c r="Z688" s="251" t="str">
        <f>IFERROR(__xludf.DUMMYFUNCTION("""COMPUTED_VALUE"""),"--")</f>
        <v>--</v>
      </c>
      <c r="AA688" s="251" t="str">
        <f>IFERROR(__xludf.DUMMYFUNCTION("""COMPUTED_VALUE"""),"--")</f>
        <v>--</v>
      </c>
      <c r="AB688" s="251" t="str">
        <f>IFERROR(__xludf.DUMMYFUNCTION("""COMPUTED_VALUE"""),"--")</f>
        <v>--</v>
      </c>
      <c r="AC688" s="251" t="str">
        <f>IFERROR(__xludf.DUMMYFUNCTION("""COMPUTED_VALUE"""),"--")</f>
        <v>--</v>
      </c>
      <c r="AD688" s="251">
        <f>IFERROR(__xludf.DUMMYFUNCTION("""COMPUTED_VALUE"""),2.0)</f>
        <v>2</v>
      </c>
      <c r="AE688" s="251" t="str">
        <f>IFERROR(__xludf.DUMMYFUNCTION("""COMPUTED_VALUE"""),"Nullivore")</f>
        <v>Nullivore</v>
      </c>
    </row>
    <row r="689">
      <c r="A689" s="251" t="str">
        <f>IFERROR(__xludf.DUMMYFUNCTION("""COMPUTED_VALUE"""),"Mismagius")</f>
        <v>Mismagius</v>
      </c>
      <c r="B689" s="251" t="str">
        <f>IFERROR(__xludf.DUMMYFUNCTION("""COMPUTED_VALUE"""),"Ghost")</f>
        <v>Ghost</v>
      </c>
      <c r="C689" s="251" t="str">
        <f>IFERROR(__xludf.DUMMYFUNCTION("""COMPUTED_VALUE"""),"None")</f>
        <v>None</v>
      </c>
      <c r="D689" s="251">
        <f>IFERROR(__xludf.DUMMYFUNCTION("""COMPUTED_VALUE"""),6.0)</f>
        <v>6</v>
      </c>
      <c r="E689" s="251">
        <f>IFERROR(__xludf.DUMMYFUNCTION("""COMPUTED_VALUE"""),6.0)</f>
        <v>6</v>
      </c>
      <c r="F689" s="251">
        <f>IFERROR(__xludf.DUMMYFUNCTION("""COMPUTED_VALUE"""),6.0)</f>
        <v>6</v>
      </c>
      <c r="G689" s="251">
        <f>IFERROR(__xludf.DUMMYFUNCTION("""COMPUTED_VALUE"""),11.0)</f>
        <v>11</v>
      </c>
      <c r="H689" s="251">
        <f>IFERROR(__xludf.DUMMYFUNCTION("""COMPUTED_VALUE"""),11.0)</f>
        <v>11</v>
      </c>
      <c r="I689" s="251">
        <f>IFERROR(__xludf.DUMMYFUNCTION("""COMPUTED_VALUE"""),11.0)</f>
        <v>11</v>
      </c>
      <c r="J689" s="251">
        <f>IFERROR(__xludf.DUMMYFUNCTION("""COMPUTED_VALUE"""),3.0)</f>
        <v>3</v>
      </c>
      <c r="K689" s="251" t="str">
        <f>IFERROR(__xludf.DUMMYFUNCTION("""COMPUTED_VALUE"""),"Small")</f>
        <v>Small</v>
      </c>
      <c r="L689" s="251">
        <f>IFERROR(__xludf.DUMMYFUNCTION("""COMPUTED_VALUE"""),1.0)</f>
        <v>1</v>
      </c>
      <c r="M689" s="251" t="str">
        <f>IFERROR(__xludf.DUMMYFUNCTION("""COMPUTED_VALUE"""),"Urban")</f>
        <v>Urban</v>
      </c>
      <c r="N689" s="251" t="str">
        <f>IFERROR(__xludf.DUMMYFUNCTION("""COMPUTED_VALUE"""),"Flier")</f>
        <v>Flier</v>
      </c>
      <c r="O689" s="251" t="str">
        <f>IFERROR(__xludf.DUMMYFUNCTION("""COMPUTED_VALUE"""),"Phaser")</f>
        <v>Phaser</v>
      </c>
      <c r="P689" s="251" t="str">
        <f>IFERROR(__xludf.DUMMYFUNCTION("""COMPUTED_VALUE"""),"--")</f>
        <v>--</v>
      </c>
      <c r="Q689" s="251" t="str">
        <f>IFERROR(__xludf.DUMMYFUNCTION("""COMPUTED_VALUE"""),"--")</f>
        <v>--</v>
      </c>
      <c r="R689" s="251" t="str">
        <f>IFERROR(__xludf.DUMMYFUNCTION("""COMPUTED_VALUE"""),"Darkvision")</f>
        <v>Darkvision</v>
      </c>
      <c r="S689" s="251" t="str">
        <f>IFERROR(__xludf.DUMMYFUNCTION("""COMPUTED_VALUE"""),"Invisibility")</f>
        <v>Invisibility</v>
      </c>
      <c r="T689" s="251" t="str">
        <f>IFERROR(__xludf.DUMMYFUNCTION("""COMPUTED_VALUE"""),"--")</f>
        <v>--</v>
      </c>
      <c r="U689" s="251" t="str">
        <f>IFERROR(__xludf.DUMMYFUNCTION("""COMPUTED_VALUE"""),"--")</f>
        <v>--</v>
      </c>
      <c r="V689" s="251" t="str">
        <f>IFERROR(__xludf.DUMMYFUNCTION("""COMPUTED_VALUE"""),"Dead Silent")</f>
        <v>Dead Silent</v>
      </c>
      <c r="W689" s="251" t="str">
        <f>IFERROR(__xludf.DUMMYFUNCTION("""COMPUTED_VALUE"""),"--")</f>
        <v>--</v>
      </c>
      <c r="X689" s="251" t="str">
        <f>IFERROR(__xludf.DUMMYFUNCTION("""COMPUTED_VALUE"""),"--")</f>
        <v>--</v>
      </c>
      <c r="Y689" s="251" t="str">
        <f>IFERROR(__xludf.DUMMYFUNCTION("""COMPUTED_VALUE"""),"--")</f>
        <v>--</v>
      </c>
      <c r="Z689" s="251" t="str">
        <f>IFERROR(__xludf.DUMMYFUNCTION("""COMPUTED_VALUE"""),"--")</f>
        <v>--</v>
      </c>
      <c r="AA689" s="251" t="str">
        <f>IFERROR(__xludf.DUMMYFUNCTION("""COMPUTED_VALUE"""),"--")</f>
        <v>--</v>
      </c>
      <c r="AB689" s="251" t="str">
        <f>IFERROR(__xludf.DUMMYFUNCTION("""COMPUTED_VALUE"""),"--")</f>
        <v>--</v>
      </c>
      <c r="AC689" s="251" t="str">
        <f>IFERROR(__xludf.DUMMYFUNCTION("""COMPUTED_VALUE"""),"--")</f>
        <v>--</v>
      </c>
      <c r="AD689" s="251">
        <f>IFERROR(__xludf.DUMMYFUNCTION("""COMPUTED_VALUE"""),3.0)</f>
        <v>3</v>
      </c>
      <c r="AE689" s="251" t="str">
        <f>IFERROR(__xludf.DUMMYFUNCTION("""COMPUTED_VALUE"""),"Nullivore")</f>
        <v>Nullivore</v>
      </c>
    </row>
    <row r="690">
      <c r="A690" s="251" t="str">
        <f>IFERROR(__xludf.DUMMYFUNCTION("""COMPUTED_VALUE"""),"Shuppet")</f>
        <v>Shuppet</v>
      </c>
      <c r="B690" s="251" t="str">
        <f>IFERROR(__xludf.DUMMYFUNCTION("""COMPUTED_VALUE"""),"Ghost")</f>
        <v>Ghost</v>
      </c>
      <c r="C690" s="251" t="str">
        <f>IFERROR(__xludf.DUMMYFUNCTION("""COMPUTED_VALUE"""),"None")</f>
        <v>None</v>
      </c>
      <c r="D690" s="251">
        <f>IFERROR(__xludf.DUMMYFUNCTION("""COMPUTED_VALUE"""),4.0)</f>
        <v>4</v>
      </c>
      <c r="E690" s="251">
        <f>IFERROR(__xludf.DUMMYFUNCTION("""COMPUTED_VALUE"""),8.0)</f>
        <v>8</v>
      </c>
      <c r="F690" s="251">
        <f>IFERROR(__xludf.DUMMYFUNCTION("""COMPUTED_VALUE"""),4.0)</f>
        <v>4</v>
      </c>
      <c r="G690" s="251">
        <f>IFERROR(__xludf.DUMMYFUNCTION("""COMPUTED_VALUE"""),6.0)</f>
        <v>6</v>
      </c>
      <c r="H690" s="251">
        <f>IFERROR(__xludf.DUMMYFUNCTION("""COMPUTED_VALUE"""),3.0)</f>
        <v>3</v>
      </c>
      <c r="I690" s="251">
        <f>IFERROR(__xludf.DUMMYFUNCTION("""COMPUTED_VALUE"""),5.0)</f>
        <v>5</v>
      </c>
      <c r="J690" s="251">
        <f>IFERROR(__xludf.DUMMYFUNCTION("""COMPUTED_VALUE"""),1.0)</f>
        <v>1</v>
      </c>
      <c r="K690" s="251" t="str">
        <f>IFERROR(__xludf.DUMMYFUNCTION("""COMPUTED_VALUE"""),"Small")</f>
        <v>Small</v>
      </c>
      <c r="L690" s="251">
        <f>IFERROR(__xludf.DUMMYFUNCTION("""COMPUTED_VALUE"""),1.0)</f>
        <v>1</v>
      </c>
      <c r="M690" s="251" t="str">
        <f>IFERROR(__xludf.DUMMYFUNCTION("""COMPUTED_VALUE"""),"Urban")</f>
        <v>Urban</v>
      </c>
      <c r="N690" s="251" t="str">
        <f>IFERROR(__xludf.DUMMYFUNCTION("""COMPUTED_VALUE"""),"Flier")</f>
        <v>Flier</v>
      </c>
      <c r="O690" s="251" t="str">
        <f>IFERROR(__xludf.DUMMYFUNCTION("""COMPUTED_VALUE"""),"Phaser")</f>
        <v>Phaser</v>
      </c>
      <c r="P690" s="251" t="str">
        <f>IFERROR(__xludf.DUMMYFUNCTION("""COMPUTED_VALUE"""),"--")</f>
        <v>--</v>
      </c>
      <c r="Q690" s="251" t="str">
        <f>IFERROR(__xludf.DUMMYFUNCTION("""COMPUTED_VALUE"""),"--")</f>
        <v>--</v>
      </c>
      <c r="R690" s="251" t="str">
        <f>IFERROR(__xludf.DUMMYFUNCTION("""COMPUTED_VALUE"""),"Darkvision")</f>
        <v>Darkvision</v>
      </c>
      <c r="S690" s="251" t="str">
        <f>IFERROR(__xludf.DUMMYFUNCTION("""COMPUTED_VALUE"""),"Invisibility")</f>
        <v>Invisibility</v>
      </c>
      <c r="T690" s="251" t="str">
        <f>IFERROR(__xludf.DUMMYFUNCTION("""COMPUTED_VALUE"""),"Underdog")</f>
        <v>Underdog</v>
      </c>
      <c r="U690" s="251" t="str">
        <f>IFERROR(__xludf.DUMMYFUNCTION("""COMPUTED_VALUE"""),"--")</f>
        <v>--</v>
      </c>
      <c r="V690" s="251" t="str">
        <f>IFERROR(__xludf.DUMMYFUNCTION("""COMPUTED_VALUE"""),"Dead Silent")</f>
        <v>Dead Silent</v>
      </c>
      <c r="W690" s="251" t="str">
        <f>IFERROR(__xludf.DUMMYFUNCTION("""COMPUTED_VALUE"""),"--")</f>
        <v>--</v>
      </c>
      <c r="X690" s="251" t="str">
        <f>IFERROR(__xludf.DUMMYFUNCTION("""COMPUTED_VALUE"""),"--")</f>
        <v>--</v>
      </c>
      <c r="Y690" s="251" t="str">
        <f>IFERROR(__xludf.DUMMYFUNCTION("""COMPUTED_VALUE"""),"--")</f>
        <v>--</v>
      </c>
      <c r="Z690" s="251" t="str">
        <f>IFERROR(__xludf.DUMMYFUNCTION("""COMPUTED_VALUE"""),"--")</f>
        <v>--</v>
      </c>
      <c r="AA690" s="251" t="str">
        <f>IFERROR(__xludf.DUMMYFUNCTION("""COMPUTED_VALUE"""),"--")</f>
        <v>--</v>
      </c>
      <c r="AB690" s="251" t="str">
        <f>IFERROR(__xludf.DUMMYFUNCTION("""COMPUTED_VALUE"""),"--")</f>
        <v>--</v>
      </c>
      <c r="AC690" s="251" t="str">
        <f>IFERROR(__xludf.DUMMYFUNCTION("""COMPUTED_VALUE"""),"--")</f>
        <v>--</v>
      </c>
      <c r="AD690" s="251">
        <f>IFERROR(__xludf.DUMMYFUNCTION("""COMPUTED_VALUE"""),2.0)</f>
        <v>2</v>
      </c>
      <c r="AE690" s="251" t="str">
        <f>IFERROR(__xludf.DUMMYFUNCTION("""COMPUTED_VALUE"""),"Nullivore")</f>
        <v>Nullivore</v>
      </c>
    </row>
    <row r="691">
      <c r="A691" s="251" t="str">
        <f>IFERROR(__xludf.DUMMYFUNCTION("""COMPUTED_VALUE"""),"Banette")</f>
        <v>Banette</v>
      </c>
      <c r="B691" s="251" t="str">
        <f>IFERROR(__xludf.DUMMYFUNCTION("""COMPUTED_VALUE"""),"Ghost")</f>
        <v>Ghost</v>
      </c>
      <c r="C691" s="251" t="str">
        <f>IFERROR(__xludf.DUMMYFUNCTION("""COMPUTED_VALUE"""),"None")</f>
        <v>None</v>
      </c>
      <c r="D691" s="251">
        <f>IFERROR(__xludf.DUMMYFUNCTION("""COMPUTED_VALUE"""),9.0)</f>
        <v>9</v>
      </c>
      <c r="E691" s="251">
        <f>IFERROR(__xludf.DUMMYFUNCTION("""COMPUTED_VALUE"""),12.0)</f>
        <v>12</v>
      </c>
      <c r="F691" s="251">
        <f>IFERROR(__xludf.DUMMYFUNCTION("""COMPUTED_VALUE"""),8.0)</f>
        <v>8</v>
      </c>
      <c r="G691" s="251">
        <f>IFERROR(__xludf.DUMMYFUNCTION("""COMPUTED_VALUE"""),8.0)</f>
        <v>8</v>
      </c>
      <c r="H691" s="251">
        <f>IFERROR(__xludf.DUMMYFUNCTION("""COMPUTED_VALUE"""),7.0)</f>
        <v>7</v>
      </c>
      <c r="I691" s="251">
        <f>IFERROR(__xludf.DUMMYFUNCTION("""COMPUTED_VALUE"""),7.0)</f>
        <v>7</v>
      </c>
      <c r="J691" s="251">
        <f>IFERROR(__xludf.DUMMYFUNCTION("""COMPUTED_VALUE"""),2.0)</f>
        <v>2</v>
      </c>
      <c r="K691" s="251" t="str">
        <f>IFERROR(__xludf.DUMMYFUNCTION("""COMPUTED_VALUE"""),"Medium")</f>
        <v>Medium</v>
      </c>
      <c r="L691" s="251">
        <f>IFERROR(__xludf.DUMMYFUNCTION("""COMPUTED_VALUE"""),2.0)</f>
        <v>2</v>
      </c>
      <c r="M691" s="251" t="str">
        <f>IFERROR(__xludf.DUMMYFUNCTION("""COMPUTED_VALUE"""),"Urban")</f>
        <v>Urban</v>
      </c>
      <c r="N691" s="251" t="str">
        <f>IFERROR(__xludf.DUMMYFUNCTION("""COMPUTED_VALUE"""),"Flier")</f>
        <v>Flier</v>
      </c>
      <c r="O691" s="251" t="str">
        <f>IFERROR(__xludf.DUMMYFUNCTION("""COMPUTED_VALUE"""),"Phaser")</f>
        <v>Phaser</v>
      </c>
      <c r="P691" s="251" t="str">
        <f>IFERROR(__xludf.DUMMYFUNCTION("""COMPUTED_VALUE"""),"--")</f>
        <v>--</v>
      </c>
      <c r="Q691" s="251" t="str">
        <f>IFERROR(__xludf.DUMMYFUNCTION("""COMPUTED_VALUE"""),"--")</f>
        <v>--</v>
      </c>
      <c r="R691" s="251" t="str">
        <f>IFERROR(__xludf.DUMMYFUNCTION("""COMPUTED_VALUE"""),"Darkvision")</f>
        <v>Darkvision</v>
      </c>
      <c r="S691" s="251" t="str">
        <f>IFERROR(__xludf.DUMMYFUNCTION("""COMPUTED_VALUE"""),"Invisibility")</f>
        <v>Invisibility</v>
      </c>
      <c r="T691" s="251" t="str">
        <f>IFERROR(__xludf.DUMMYFUNCTION("""COMPUTED_VALUE"""),"--")</f>
        <v>--</v>
      </c>
      <c r="U691" s="251" t="str">
        <f>IFERROR(__xludf.DUMMYFUNCTION("""COMPUTED_VALUE"""),"--")</f>
        <v>--</v>
      </c>
      <c r="V691" s="251" t="str">
        <f>IFERROR(__xludf.DUMMYFUNCTION("""COMPUTED_VALUE"""),"Dead Silent")</f>
        <v>Dead Silent</v>
      </c>
      <c r="W691" s="251" t="str">
        <f>IFERROR(__xludf.DUMMYFUNCTION("""COMPUTED_VALUE"""),"--")</f>
        <v>--</v>
      </c>
      <c r="X691" s="251" t="str">
        <f>IFERROR(__xludf.DUMMYFUNCTION("""COMPUTED_VALUE"""),"--")</f>
        <v>--</v>
      </c>
      <c r="Y691" s="251" t="str">
        <f>IFERROR(__xludf.DUMMYFUNCTION("""COMPUTED_VALUE"""),"--")</f>
        <v>--</v>
      </c>
      <c r="Z691" s="251" t="str">
        <f>IFERROR(__xludf.DUMMYFUNCTION("""COMPUTED_VALUE"""),"--")</f>
        <v>--</v>
      </c>
      <c r="AA691" s="251" t="str">
        <f>IFERROR(__xludf.DUMMYFUNCTION("""COMPUTED_VALUE"""),"--")</f>
        <v>--</v>
      </c>
      <c r="AB691" s="251" t="str">
        <f>IFERROR(__xludf.DUMMYFUNCTION("""COMPUTED_VALUE"""),"--")</f>
        <v>--</v>
      </c>
      <c r="AC691" s="251" t="str">
        <f>IFERROR(__xludf.DUMMYFUNCTION("""COMPUTED_VALUE"""),"--")</f>
        <v>--</v>
      </c>
      <c r="AD691" s="251">
        <f>IFERROR(__xludf.DUMMYFUNCTION("""COMPUTED_VALUE"""),3.0)</f>
        <v>3</v>
      </c>
      <c r="AE691" s="251" t="str">
        <f>IFERROR(__xludf.DUMMYFUNCTION("""COMPUTED_VALUE"""),"Nullivore")</f>
        <v>Nullivore</v>
      </c>
    </row>
    <row r="692">
      <c r="A692" s="251" t="str">
        <f>IFERROR(__xludf.DUMMYFUNCTION("""COMPUTED_VALUE"""),"Drifloon")</f>
        <v>Drifloon</v>
      </c>
      <c r="B692" s="251" t="str">
        <f>IFERROR(__xludf.DUMMYFUNCTION("""COMPUTED_VALUE"""),"Ghost")</f>
        <v>Ghost</v>
      </c>
      <c r="C692" s="251" t="str">
        <f>IFERROR(__xludf.DUMMYFUNCTION("""COMPUTED_VALUE"""),"Flying")</f>
        <v>Flying</v>
      </c>
      <c r="D692" s="251">
        <f>IFERROR(__xludf.DUMMYFUNCTION("""COMPUTED_VALUE"""),9.0)</f>
        <v>9</v>
      </c>
      <c r="E692" s="251">
        <f>IFERROR(__xludf.DUMMYFUNCTION("""COMPUTED_VALUE"""),5.0)</f>
        <v>5</v>
      </c>
      <c r="F692" s="251">
        <f>IFERROR(__xludf.DUMMYFUNCTION("""COMPUTED_VALUE"""),3.0)</f>
        <v>3</v>
      </c>
      <c r="G692" s="251">
        <f>IFERROR(__xludf.DUMMYFUNCTION("""COMPUTED_VALUE"""),6.0)</f>
        <v>6</v>
      </c>
      <c r="H692" s="251">
        <f>IFERROR(__xludf.DUMMYFUNCTION("""COMPUTED_VALUE"""),4.0)</f>
        <v>4</v>
      </c>
      <c r="I692" s="251">
        <f>IFERROR(__xludf.DUMMYFUNCTION("""COMPUTED_VALUE"""),7.0)</f>
        <v>7</v>
      </c>
      <c r="J692" s="251">
        <f>IFERROR(__xludf.DUMMYFUNCTION("""COMPUTED_VALUE"""),1.0)</f>
        <v>1</v>
      </c>
      <c r="K692" s="251" t="str">
        <f>IFERROR(__xludf.DUMMYFUNCTION("""COMPUTED_VALUE"""),"Small")</f>
        <v>Small</v>
      </c>
      <c r="L692" s="251">
        <f>IFERROR(__xludf.DUMMYFUNCTION("""COMPUTED_VALUE"""),1.0)</f>
        <v>1</v>
      </c>
      <c r="M692" s="251" t="str">
        <f>IFERROR(__xludf.DUMMYFUNCTION("""COMPUTED_VALUE"""),"Urban")</f>
        <v>Urban</v>
      </c>
      <c r="N692" s="251" t="str">
        <f>IFERROR(__xludf.DUMMYFUNCTION("""COMPUTED_VALUE"""),"Flier")</f>
        <v>Flier</v>
      </c>
      <c r="O692" s="251" t="str">
        <f>IFERROR(__xludf.DUMMYFUNCTION("""COMPUTED_VALUE"""),"--")</f>
        <v>--</v>
      </c>
      <c r="P692" s="251" t="str">
        <f>IFERROR(__xludf.DUMMYFUNCTION("""COMPUTED_VALUE"""),"--")</f>
        <v>--</v>
      </c>
      <c r="Q692" s="251" t="str">
        <f>IFERROR(__xludf.DUMMYFUNCTION("""COMPUTED_VALUE"""),"--")</f>
        <v>--</v>
      </c>
      <c r="R692" s="251" t="str">
        <f>IFERROR(__xludf.DUMMYFUNCTION("""COMPUTED_VALUE"""),"Darkvision")</f>
        <v>Darkvision</v>
      </c>
      <c r="S692" s="251" t="str">
        <f>IFERROR(__xludf.DUMMYFUNCTION("""COMPUTED_VALUE"""),"Underdog")</f>
        <v>Underdog</v>
      </c>
      <c r="T692" s="251" t="str">
        <f>IFERROR(__xludf.DUMMYFUNCTION("""COMPUTED_VALUE"""),"--")</f>
        <v>--</v>
      </c>
      <c r="U692" s="251" t="str">
        <f>IFERROR(__xludf.DUMMYFUNCTION("""COMPUTED_VALUE"""),"--")</f>
        <v>--</v>
      </c>
      <c r="V692" s="251" t="str">
        <f>IFERROR(__xludf.DUMMYFUNCTION("""COMPUTED_VALUE"""),"Dead Silent")</f>
        <v>Dead Silent</v>
      </c>
      <c r="W692" s="251" t="str">
        <f>IFERROR(__xludf.DUMMYFUNCTION("""COMPUTED_VALUE"""),"--")</f>
        <v>--</v>
      </c>
      <c r="X692" s="251" t="str">
        <f>IFERROR(__xludf.DUMMYFUNCTION("""COMPUTED_VALUE"""),"--")</f>
        <v>--</v>
      </c>
      <c r="Y692" s="251" t="str">
        <f>IFERROR(__xludf.DUMMYFUNCTION("""COMPUTED_VALUE"""),"--")</f>
        <v>--</v>
      </c>
      <c r="Z692" s="251" t="str">
        <f>IFERROR(__xludf.DUMMYFUNCTION("""COMPUTED_VALUE"""),"--")</f>
        <v>--</v>
      </c>
      <c r="AA692" s="251" t="str">
        <f>IFERROR(__xludf.DUMMYFUNCTION("""COMPUTED_VALUE"""),"--")</f>
        <v>--</v>
      </c>
      <c r="AB692" s="251" t="str">
        <f>IFERROR(__xludf.DUMMYFUNCTION("""COMPUTED_VALUE"""),"--")</f>
        <v>--</v>
      </c>
      <c r="AC692" s="251" t="str">
        <f>IFERROR(__xludf.DUMMYFUNCTION("""COMPUTED_VALUE"""),"--")</f>
        <v>--</v>
      </c>
      <c r="AD692" s="251">
        <f>IFERROR(__xludf.DUMMYFUNCTION("""COMPUTED_VALUE"""),2.0)</f>
        <v>2</v>
      </c>
      <c r="AE692" s="251" t="str">
        <f>IFERROR(__xludf.DUMMYFUNCTION("""COMPUTED_VALUE"""),"Nullivore")</f>
        <v>Nullivore</v>
      </c>
    </row>
    <row r="693">
      <c r="A693" s="251" t="str">
        <f>IFERROR(__xludf.DUMMYFUNCTION("""COMPUTED_VALUE"""),"Drifblim")</f>
        <v>Drifblim</v>
      </c>
      <c r="B693" s="251" t="str">
        <f>IFERROR(__xludf.DUMMYFUNCTION("""COMPUTED_VALUE"""),"Ghost")</f>
        <v>Ghost</v>
      </c>
      <c r="C693" s="251" t="str">
        <f>IFERROR(__xludf.DUMMYFUNCTION("""COMPUTED_VALUE"""),"Flying")</f>
        <v>Flying</v>
      </c>
      <c r="D693" s="251">
        <f>IFERROR(__xludf.DUMMYFUNCTION("""COMPUTED_VALUE"""),15.0)</f>
        <v>15</v>
      </c>
      <c r="E693" s="251">
        <f>IFERROR(__xludf.DUMMYFUNCTION("""COMPUTED_VALUE"""),9.0)</f>
        <v>9</v>
      </c>
      <c r="F693" s="251">
        <f>IFERROR(__xludf.DUMMYFUNCTION("""COMPUTED_VALUE"""),4.0)</f>
        <v>4</v>
      </c>
      <c r="G693" s="251">
        <f>IFERROR(__xludf.DUMMYFUNCTION("""COMPUTED_VALUE"""),10.0)</f>
        <v>10</v>
      </c>
      <c r="H693" s="251">
        <f>IFERROR(__xludf.DUMMYFUNCTION("""COMPUTED_VALUE"""),5.0)</f>
        <v>5</v>
      </c>
      <c r="I693" s="251">
        <f>IFERROR(__xludf.DUMMYFUNCTION("""COMPUTED_VALUE"""),8.0)</f>
        <v>8</v>
      </c>
      <c r="J693" s="251">
        <f>IFERROR(__xludf.DUMMYFUNCTION("""COMPUTED_VALUE"""),5.0)</f>
        <v>5</v>
      </c>
      <c r="K693" s="251" t="str">
        <f>IFERROR(__xludf.DUMMYFUNCTION("""COMPUTED_VALUE"""),"Medium")</f>
        <v>Medium</v>
      </c>
      <c r="L693" s="251">
        <f>IFERROR(__xludf.DUMMYFUNCTION("""COMPUTED_VALUE"""),2.0)</f>
        <v>2</v>
      </c>
      <c r="M693" s="251" t="str">
        <f>IFERROR(__xludf.DUMMYFUNCTION("""COMPUTED_VALUE"""),"Urban")</f>
        <v>Urban</v>
      </c>
      <c r="N693" s="251" t="str">
        <f>IFERROR(__xludf.DUMMYFUNCTION("""COMPUTED_VALUE"""),"Flier")</f>
        <v>Flier</v>
      </c>
      <c r="O693" s="251" t="str">
        <f>IFERROR(__xludf.DUMMYFUNCTION("""COMPUTED_VALUE"""),"--")</f>
        <v>--</v>
      </c>
      <c r="P693" s="251" t="str">
        <f>IFERROR(__xludf.DUMMYFUNCTION("""COMPUTED_VALUE"""),"--")</f>
        <v>--</v>
      </c>
      <c r="Q693" s="251" t="str">
        <f>IFERROR(__xludf.DUMMYFUNCTION("""COMPUTED_VALUE"""),"--")</f>
        <v>--</v>
      </c>
      <c r="R693" s="251" t="str">
        <f>IFERROR(__xludf.DUMMYFUNCTION("""COMPUTED_VALUE"""),"Darkvision")</f>
        <v>Darkvision</v>
      </c>
      <c r="S693" s="251" t="str">
        <f>IFERROR(__xludf.DUMMYFUNCTION("""COMPUTED_VALUE"""),"--")</f>
        <v>--</v>
      </c>
      <c r="T693" s="251" t="str">
        <f>IFERROR(__xludf.DUMMYFUNCTION("""COMPUTED_VALUE"""),"--")</f>
        <v>--</v>
      </c>
      <c r="U693" s="251" t="str">
        <f>IFERROR(__xludf.DUMMYFUNCTION("""COMPUTED_VALUE"""),"--")</f>
        <v>--</v>
      </c>
      <c r="V693" s="251" t="str">
        <f>IFERROR(__xludf.DUMMYFUNCTION("""COMPUTED_VALUE"""),"Dead Silent")</f>
        <v>Dead Silent</v>
      </c>
      <c r="W693" s="251" t="str">
        <f>IFERROR(__xludf.DUMMYFUNCTION("""COMPUTED_VALUE"""),"--")</f>
        <v>--</v>
      </c>
      <c r="X693" s="251" t="str">
        <f>IFERROR(__xludf.DUMMYFUNCTION("""COMPUTED_VALUE"""),"--")</f>
        <v>--</v>
      </c>
      <c r="Y693" s="251" t="str">
        <f>IFERROR(__xludf.DUMMYFUNCTION("""COMPUTED_VALUE"""),"--")</f>
        <v>--</v>
      </c>
      <c r="Z693" s="251" t="str">
        <f>IFERROR(__xludf.DUMMYFUNCTION("""COMPUTED_VALUE"""),"--")</f>
        <v>--</v>
      </c>
      <c r="AA693" s="251" t="str">
        <f>IFERROR(__xludf.DUMMYFUNCTION("""COMPUTED_VALUE"""),"--")</f>
        <v>--</v>
      </c>
      <c r="AB693" s="251" t="str">
        <f>IFERROR(__xludf.DUMMYFUNCTION("""COMPUTED_VALUE"""),"--")</f>
        <v>--</v>
      </c>
      <c r="AC693" s="251" t="str">
        <f>IFERROR(__xludf.DUMMYFUNCTION("""COMPUTED_VALUE"""),"--")</f>
        <v>--</v>
      </c>
      <c r="AD693" s="251">
        <f>IFERROR(__xludf.DUMMYFUNCTION("""COMPUTED_VALUE"""),3.0)</f>
        <v>3</v>
      </c>
      <c r="AE693" s="251" t="str">
        <f>IFERROR(__xludf.DUMMYFUNCTION("""COMPUTED_VALUE"""),"Nullivore")</f>
        <v>Nullivore</v>
      </c>
    </row>
    <row r="694">
      <c r="A694" s="251" t="str">
        <f>IFERROR(__xludf.DUMMYFUNCTION("""COMPUTED_VALUE"""),"Yamask")</f>
        <v>Yamask</v>
      </c>
      <c r="B694" s="251" t="str">
        <f>IFERROR(__xludf.DUMMYFUNCTION("""COMPUTED_VALUE"""),"Ghost")</f>
        <v>Ghost</v>
      </c>
      <c r="C694" s="251" t="str">
        <f>IFERROR(__xludf.DUMMYFUNCTION("""COMPUTED_VALUE"""),"None")</f>
        <v>None</v>
      </c>
      <c r="D694" s="251">
        <f>IFERROR(__xludf.DUMMYFUNCTION("""COMPUTED_VALUE"""),4.0)</f>
        <v>4</v>
      </c>
      <c r="E694" s="251">
        <f>IFERROR(__xludf.DUMMYFUNCTION("""COMPUTED_VALUE"""),3.0)</f>
        <v>3</v>
      </c>
      <c r="F694" s="251">
        <f>IFERROR(__xludf.DUMMYFUNCTION("""COMPUTED_VALUE"""),9.0)</f>
        <v>9</v>
      </c>
      <c r="G694" s="251">
        <f>IFERROR(__xludf.DUMMYFUNCTION("""COMPUTED_VALUE"""),6.0)</f>
        <v>6</v>
      </c>
      <c r="H694" s="251">
        <f>IFERROR(__xludf.DUMMYFUNCTION("""COMPUTED_VALUE"""),7.0)</f>
        <v>7</v>
      </c>
      <c r="I694" s="251">
        <f>IFERROR(__xludf.DUMMYFUNCTION("""COMPUTED_VALUE"""),3.0)</f>
        <v>3</v>
      </c>
      <c r="J694" s="251">
        <f>IFERROR(__xludf.DUMMYFUNCTION("""COMPUTED_VALUE"""),2.0)</f>
        <v>2</v>
      </c>
      <c r="K694" s="251" t="str">
        <f>IFERROR(__xludf.DUMMYFUNCTION("""COMPUTED_VALUE"""),"Small")</f>
        <v>Small</v>
      </c>
      <c r="L694" s="251">
        <f>IFERROR(__xludf.DUMMYFUNCTION("""COMPUTED_VALUE"""),1.0)</f>
        <v>1</v>
      </c>
      <c r="M694" s="251" t="str">
        <f>IFERROR(__xludf.DUMMYFUNCTION("""COMPUTED_VALUE"""),"Desert, Urban")</f>
        <v>Desert, Urban</v>
      </c>
      <c r="N694" s="251" t="str">
        <f>IFERROR(__xludf.DUMMYFUNCTION("""COMPUTED_VALUE"""),"Flier")</f>
        <v>Flier</v>
      </c>
      <c r="O694" s="251" t="str">
        <f>IFERROR(__xludf.DUMMYFUNCTION("""COMPUTED_VALUE"""),"Phaser")</f>
        <v>Phaser</v>
      </c>
      <c r="P694" s="251" t="str">
        <f>IFERROR(__xludf.DUMMYFUNCTION("""COMPUTED_VALUE"""),"--")</f>
        <v>--</v>
      </c>
      <c r="Q694" s="251" t="str">
        <f>IFERROR(__xludf.DUMMYFUNCTION("""COMPUTED_VALUE"""),"--")</f>
        <v>--</v>
      </c>
      <c r="R694" s="251" t="str">
        <f>IFERROR(__xludf.DUMMYFUNCTION("""COMPUTED_VALUE"""),"Darkvision")</f>
        <v>Darkvision</v>
      </c>
      <c r="S694" s="251" t="str">
        <f>IFERROR(__xludf.DUMMYFUNCTION("""COMPUTED_VALUE"""),"Invisibility")</f>
        <v>Invisibility</v>
      </c>
      <c r="T694" s="251" t="str">
        <f>IFERROR(__xludf.DUMMYFUNCTION("""COMPUTED_VALUE"""),"Underdog")</f>
        <v>Underdog</v>
      </c>
      <c r="U694" s="251" t="str">
        <f>IFERROR(__xludf.DUMMYFUNCTION("""COMPUTED_VALUE"""),"--")</f>
        <v>--</v>
      </c>
      <c r="V694" s="251" t="str">
        <f>IFERROR(__xludf.DUMMYFUNCTION("""COMPUTED_VALUE"""),"Dead Silent")</f>
        <v>Dead Silent</v>
      </c>
      <c r="W694" s="251" t="str">
        <f>IFERROR(__xludf.DUMMYFUNCTION("""COMPUTED_VALUE"""),"--")</f>
        <v>--</v>
      </c>
      <c r="X694" s="251" t="str">
        <f>IFERROR(__xludf.DUMMYFUNCTION("""COMPUTED_VALUE"""),"--")</f>
        <v>--</v>
      </c>
      <c r="Y694" s="251" t="str">
        <f>IFERROR(__xludf.DUMMYFUNCTION("""COMPUTED_VALUE"""),"--")</f>
        <v>--</v>
      </c>
      <c r="Z694" s="251" t="str">
        <f>IFERROR(__xludf.DUMMYFUNCTION("""COMPUTED_VALUE"""),"--")</f>
        <v>--</v>
      </c>
      <c r="AA694" s="251" t="str">
        <f>IFERROR(__xludf.DUMMYFUNCTION("""COMPUTED_VALUE"""),"--")</f>
        <v>--</v>
      </c>
      <c r="AB694" s="251" t="str">
        <f>IFERROR(__xludf.DUMMYFUNCTION("""COMPUTED_VALUE"""),"--")</f>
        <v>--</v>
      </c>
      <c r="AC694" s="251" t="str">
        <f>IFERROR(__xludf.DUMMYFUNCTION("""COMPUTED_VALUE"""),"--")</f>
        <v>--</v>
      </c>
      <c r="AD694" s="251">
        <f>IFERROR(__xludf.DUMMYFUNCTION("""COMPUTED_VALUE"""),2.0)</f>
        <v>2</v>
      </c>
      <c r="AE694" s="251" t="str">
        <f>IFERROR(__xludf.DUMMYFUNCTION("""COMPUTED_VALUE"""),"Terravore")</f>
        <v>Terravore</v>
      </c>
    </row>
    <row r="695">
      <c r="A695" s="251" t="str">
        <f>IFERROR(__xludf.DUMMYFUNCTION("""COMPUTED_VALUE"""),"Cofagrigus")</f>
        <v>Cofagrigus</v>
      </c>
      <c r="B695" s="251" t="str">
        <f>IFERROR(__xludf.DUMMYFUNCTION("""COMPUTED_VALUE"""),"Ghost")</f>
        <v>Ghost</v>
      </c>
      <c r="C695" s="251" t="str">
        <f>IFERROR(__xludf.DUMMYFUNCTION("""COMPUTED_VALUE"""),"None")</f>
        <v>None</v>
      </c>
      <c r="D695" s="251">
        <f>IFERROR(__xludf.DUMMYFUNCTION("""COMPUTED_VALUE"""),6.0)</f>
        <v>6</v>
      </c>
      <c r="E695" s="251">
        <f>IFERROR(__xludf.DUMMYFUNCTION("""COMPUTED_VALUE"""),5.0)</f>
        <v>5</v>
      </c>
      <c r="F695" s="251">
        <f>IFERROR(__xludf.DUMMYFUNCTION("""COMPUTED_VALUE"""),15.0)</f>
        <v>15</v>
      </c>
      <c r="G695" s="251">
        <f>IFERROR(__xludf.DUMMYFUNCTION("""COMPUTED_VALUE"""),10.0)</f>
        <v>10</v>
      </c>
      <c r="H695" s="251">
        <f>IFERROR(__xludf.DUMMYFUNCTION("""COMPUTED_VALUE"""),12.0)</f>
        <v>12</v>
      </c>
      <c r="I695" s="251">
        <f>IFERROR(__xludf.DUMMYFUNCTION("""COMPUTED_VALUE"""),3.0)</f>
        <v>3</v>
      </c>
      <c r="J695" s="251">
        <f>IFERROR(__xludf.DUMMYFUNCTION("""COMPUTED_VALUE"""),7.0)</f>
        <v>7</v>
      </c>
      <c r="K695" s="251" t="str">
        <f>IFERROR(__xludf.DUMMYFUNCTION("""COMPUTED_VALUE"""),"Medium")</f>
        <v>Medium</v>
      </c>
      <c r="L695" s="251">
        <f>IFERROR(__xludf.DUMMYFUNCTION("""COMPUTED_VALUE"""),4.0)</f>
        <v>4</v>
      </c>
      <c r="M695" s="251" t="str">
        <f>IFERROR(__xludf.DUMMYFUNCTION("""COMPUTED_VALUE"""),"Desert, Urban")</f>
        <v>Desert, Urban</v>
      </c>
      <c r="N695" s="251" t="str">
        <f>IFERROR(__xludf.DUMMYFUNCTION("""COMPUTED_VALUE"""),"Flier")</f>
        <v>Flier</v>
      </c>
      <c r="O695" s="251" t="str">
        <f>IFERROR(__xludf.DUMMYFUNCTION("""COMPUTED_VALUE"""),"Phaser")</f>
        <v>Phaser</v>
      </c>
      <c r="P695" s="251" t="str">
        <f>IFERROR(__xludf.DUMMYFUNCTION("""COMPUTED_VALUE"""),"--")</f>
        <v>--</v>
      </c>
      <c r="Q695" s="251" t="str">
        <f>IFERROR(__xludf.DUMMYFUNCTION("""COMPUTED_VALUE"""),"--")</f>
        <v>--</v>
      </c>
      <c r="R695" s="251" t="str">
        <f>IFERROR(__xludf.DUMMYFUNCTION("""COMPUTED_VALUE"""),"Darkvision")</f>
        <v>Darkvision</v>
      </c>
      <c r="S695" s="251" t="str">
        <f>IFERROR(__xludf.DUMMYFUNCTION("""COMPUTED_VALUE"""),"Invisibility")</f>
        <v>Invisibility</v>
      </c>
      <c r="T695" s="251" t="str">
        <f>IFERROR(__xludf.DUMMYFUNCTION("""COMPUTED_VALUE"""),"--")</f>
        <v>--</v>
      </c>
      <c r="U695" s="251" t="str">
        <f>IFERROR(__xludf.DUMMYFUNCTION("""COMPUTED_VALUE"""),"--")</f>
        <v>--</v>
      </c>
      <c r="V695" s="251" t="str">
        <f>IFERROR(__xludf.DUMMYFUNCTION("""COMPUTED_VALUE"""),"Dead Silent")</f>
        <v>Dead Silent</v>
      </c>
      <c r="W695" s="251" t="str">
        <f>IFERROR(__xludf.DUMMYFUNCTION("""COMPUTED_VALUE"""),"--")</f>
        <v>--</v>
      </c>
      <c r="X695" s="251" t="str">
        <f>IFERROR(__xludf.DUMMYFUNCTION("""COMPUTED_VALUE"""),"--")</f>
        <v>--</v>
      </c>
      <c r="Y695" s="251" t="str">
        <f>IFERROR(__xludf.DUMMYFUNCTION("""COMPUTED_VALUE"""),"--")</f>
        <v>--</v>
      </c>
      <c r="Z695" s="251" t="str">
        <f>IFERROR(__xludf.DUMMYFUNCTION("""COMPUTED_VALUE"""),"--")</f>
        <v>--</v>
      </c>
      <c r="AA695" s="251" t="str">
        <f>IFERROR(__xludf.DUMMYFUNCTION("""COMPUTED_VALUE"""),"--")</f>
        <v>--</v>
      </c>
      <c r="AB695" s="251" t="str">
        <f>IFERROR(__xludf.DUMMYFUNCTION("""COMPUTED_VALUE"""),"--")</f>
        <v>--</v>
      </c>
      <c r="AC695" s="251" t="str">
        <f>IFERROR(__xludf.DUMMYFUNCTION("""COMPUTED_VALUE"""),"--")</f>
        <v>--</v>
      </c>
      <c r="AD695" s="251">
        <f>IFERROR(__xludf.DUMMYFUNCTION("""COMPUTED_VALUE"""),3.0)</f>
        <v>3</v>
      </c>
      <c r="AE695" s="251" t="str">
        <f>IFERROR(__xludf.DUMMYFUNCTION("""COMPUTED_VALUE"""),"Terravore")</f>
        <v>Terravore</v>
      </c>
    </row>
    <row r="696">
      <c r="A696" s="251" t="str">
        <f>IFERROR(__xludf.DUMMYFUNCTION("""COMPUTED_VALUE"""),"Phantump")</f>
        <v>Phantump</v>
      </c>
      <c r="B696" s="251" t="str">
        <f>IFERROR(__xludf.DUMMYFUNCTION("""COMPUTED_VALUE"""),"Ghost")</f>
        <v>Ghost</v>
      </c>
      <c r="C696" s="251" t="str">
        <f>IFERROR(__xludf.DUMMYFUNCTION("""COMPUTED_VALUE"""),"Grass")</f>
        <v>Grass</v>
      </c>
      <c r="D696" s="251">
        <f>IFERROR(__xludf.DUMMYFUNCTION("""COMPUTED_VALUE"""),4.0)</f>
        <v>4</v>
      </c>
      <c r="E696" s="251">
        <f>IFERROR(__xludf.DUMMYFUNCTION("""COMPUTED_VALUE"""),7.0)</f>
        <v>7</v>
      </c>
      <c r="F696" s="251">
        <f>IFERROR(__xludf.DUMMYFUNCTION("""COMPUTED_VALUE"""),5.0)</f>
        <v>5</v>
      </c>
      <c r="G696" s="251">
        <f>IFERROR(__xludf.DUMMYFUNCTION("""COMPUTED_VALUE"""),5.0)</f>
        <v>5</v>
      </c>
      <c r="H696" s="251">
        <f>IFERROR(__xludf.DUMMYFUNCTION("""COMPUTED_VALUE"""),6.0)</f>
        <v>6</v>
      </c>
      <c r="I696" s="251">
        <f>IFERROR(__xludf.DUMMYFUNCTION("""COMPUTED_VALUE"""),4.0)</f>
        <v>4</v>
      </c>
      <c r="J696" s="251">
        <f>IFERROR(__xludf.DUMMYFUNCTION("""COMPUTED_VALUE"""),1.0)</f>
        <v>1</v>
      </c>
      <c r="K696" s="251" t="str">
        <f>IFERROR(__xludf.DUMMYFUNCTION("""COMPUTED_VALUE"""),"Small")</f>
        <v>Small</v>
      </c>
      <c r="L696" s="251">
        <f>IFERROR(__xludf.DUMMYFUNCTION("""COMPUTED_VALUE"""),1.0)</f>
        <v>1</v>
      </c>
      <c r="M696" s="251" t="str">
        <f>IFERROR(__xludf.DUMMYFUNCTION("""COMPUTED_VALUE"""),"Forest")</f>
        <v>Forest</v>
      </c>
      <c r="N696" s="251" t="str">
        <f>IFERROR(__xludf.DUMMYFUNCTION("""COMPUTED_VALUE"""),"Flier")</f>
        <v>Flier</v>
      </c>
      <c r="O696" s="251" t="str">
        <f>IFERROR(__xludf.DUMMYFUNCTION("""COMPUTED_VALUE"""),"Phaser")</f>
        <v>Phaser</v>
      </c>
      <c r="P696" s="251" t="str">
        <f>IFERROR(__xludf.DUMMYFUNCTION("""COMPUTED_VALUE"""),"--")</f>
        <v>--</v>
      </c>
      <c r="Q696" s="251" t="str">
        <f>IFERROR(__xludf.DUMMYFUNCTION("""COMPUTED_VALUE"""),"--")</f>
        <v>--</v>
      </c>
      <c r="R696" s="251" t="str">
        <f>IFERROR(__xludf.DUMMYFUNCTION("""COMPUTED_VALUE"""),"Darkvision")</f>
        <v>Darkvision</v>
      </c>
      <c r="S696" s="251" t="str">
        <f>IFERROR(__xludf.DUMMYFUNCTION("""COMPUTED_VALUE"""),"Invisibility")</f>
        <v>Invisibility</v>
      </c>
      <c r="T696" s="251" t="str">
        <f>IFERROR(__xludf.DUMMYFUNCTION("""COMPUTED_VALUE"""),"Underdog")</f>
        <v>Underdog</v>
      </c>
      <c r="U696" s="251" t="str">
        <f>IFERROR(__xludf.DUMMYFUNCTION("""COMPUTED_VALUE"""),"--")</f>
        <v>--</v>
      </c>
      <c r="V696" s="251" t="str">
        <f>IFERROR(__xludf.DUMMYFUNCTION("""COMPUTED_VALUE"""),"Dead Silent")</f>
        <v>Dead Silent</v>
      </c>
      <c r="W696" s="251" t="str">
        <f>IFERROR(__xludf.DUMMYFUNCTION("""COMPUTED_VALUE"""),"--")</f>
        <v>--</v>
      </c>
      <c r="X696" s="251" t="str">
        <f>IFERROR(__xludf.DUMMYFUNCTION("""COMPUTED_VALUE"""),"--")</f>
        <v>--</v>
      </c>
      <c r="Y696" s="251" t="str">
        <f>IFERROR(__xludf.DUMMYFUNCTION("""COMPUTED_VALUE"""),"--")</f>
        <v>--</v>
      </c>
      <c r="Z696" s="251" t="str">
        <f>IFERROR(__xludf.DUMMYFUNCTION("""COMPUTED_VALUE"""),"--")</f>
        <v>--</v>
      </c>
      <c r="AA696" s="251" t="str">
        <f>IFERROR(__xludf.DUMMYFUNCTION("""COMPUTED_VALUE"""),"--")</f>
        <v>--</v>
      </c>
      <c r="AB696" s="251" t="str">
        <f>IFERROR(__xludf.DUMMYFUNCTION("""COMPUTED_VALUE"""),"--")</f>
        <v>--</v>
      </c>
      <c r="AC696" s="251" t="str">
        <f>IFERROR(__xludf.DUMMYFUNCTION("""COMPUTED_VALUE"""),"--")</f>
        <v>--</v>
      </c>
      <c r="AD696" s="251">
        <f>IFERROR(__xludf.DUMMYFUNCTION("""COMPUTED_VALUE"""),2.0)</f>
        <v>2</v>
      </c>
      <c r="AE696" s="251" t="str">
        <f>IFERROR(__xludf.DUMMYFUNCTION("""COMPUTED_VALUE"""),"Nullivore")</f>
        <v>Nullivore</v>
      </c>
    </row>
    <row r="697">
      <c r="A697" s="251" t="str">
        <f>IFERROR(__xludf.DUMMYFUNCTION("""COMPUTED_VALUE"""),"Trevenant")</f>
        <v>Trevenant</v>
      </c>
      <c r="B697" s="251" t="str">
        <f>IFERROR(__xludf.DUMMYFUNCTION("""COMPUTED_VALUE"""),"Ghost")</f>
        <v>Ghost</v>
      </c>
      <c r="C697" s="251" t="str">
        <f>IFERROR(__xludf.DUMMYFUNCTION("""COMPUTED_VALUE"""),"Grass")</f>
        <v>Grass</v>
      </c>
      <c r="D697" s="251">
        <f>IFERROR(__xludf.DUMMYFUNCTION("""COMPUTED_VALUE"""),11.0)</f>
        <v>11</v>
      </c>
      <c r="E697" s="251">
        <f>IFERROR(__xludf.DUMMYFUNCTION("""COMPUTED_VALUE"""),11.0)</f>
        <v>11</v>
      </c>
      <c r="F697" s="251">
        <f>IFERROR(__xludf.DUMMYFUNCTION("""COMPUTED_VALUE"""),8.0)</f>
        <v>8</v>
      </c>
      <c r="G697" s="251">
        <f>IFERROR(__xludf.DUMMYFUNCTION("""COMPUTED_VALUE"""),7.0)</f>
        <v>7</v>
      </c>
      <c r="H697" s="251">
        <f>IFERROR(__xludf.DUMMYFUNCTION("""COMPUTED_VALUE"""),8.0)</f>
        <v>8</v>
      </c>
      <c r="I697" s="251">
        <f>IFERROR(__xludf.DUMMYFUNCTION("""COMPUTED_VALUE"""),6.0)</f>
        <v>6</v>
      </c>
      <c r="J697" s="251">
        <f>IFERROR(__xludf.DUMMYFUNCTION("""COMPUTED_VALUE"""),6.0)</f>
        <v>6</v>
      </c>
      <c r="K697" s="251" t="str">
        <f>IFERROR(__xludf.DUMMYFUNCTION("""COMPUTED_VALUE"""),"Medium")</f>
        <v>Medium</v>
      </c>
      <c r="L697" s="251">
        <f>IFERROR(__xludf.DUMMYFUNCTION("""COMPUTED_VALUE"""),4.0)</f>
        <v>4</v>
      </c>
      <c r="M697" s="251" t="str">
        <f>IFERROR(__xludf.DUMMYFUNCTION("""COMPUTED_VALUE"""),"Forest")</f>
        <v>Forest</v>
      </c>
      <c r="N697" s="251" t="str">
        <f>IFERROR(__xludf.DUMMYFUNCTION("""COMPUTED_VALUE"""),"Flier")</f>
        <v>Flier</v>
      </c>
      <c r="O697" s="251" t="str">
        <f>IFERROR(__xludf.DUMMYFUNCTION("""COMPUTED_VALUE"""),"Phaser")</f>
        <v>Phaser</v>
      </c>
      <c r="P697" s="251" t="str">
        <f>IFERROR(__xludf.DUMMYFUNCTION("""COMPUTED_VALUE"""),"--")</f>
        <v>--</v>
      </c>
      <c r="Q697" s="251" t="str">
        <f>IFERROR(__xludf.DUMMYFUNCTION("""COMPUTED_VALUE"""),"--")</f>
        <v>--</v>
      </c>
      <c r="R697" s="251" t="str">
        <f>IFERROR(__xludf.DUMMYFUNCTION("""COMPUTED_VALUE"""),"Darkvision")</f>
        <v>Darkvision</v>
      </c>
      <c r="S697" s="251" t="str">
        <f>IFERROR(__xludf.DUMMYFUNCTION("""COMPUTED_VALUE"""),"Invisibility")</f>
        <v>Invisibility</v>
      </c>
      <c r="T697" s="251" t="str">
        <f>IFERROR(__xludf.DUMMYFUNCTION("""COMPUTED_VALUE"""),"--")</f>
        <v>--</v>
      </c>
      <c r="U697" s="251" t="str">
        <f>IFERROR(__xludf.DUMMYFUNCTION("""COMPUTED_VALUE"""),"--")</f>
        <v>--</v>
      </c>
      <c r="V697" s="251" t="str">
        <f>IFERROR(__xludf.DUMMYFUNCTION("""COMPUTED_VALUE"""),"Dead Silent")</f>
        <v>Dead Silent</v>
      </c>
      <c r="W697" s="251" t="str">
        <f>IFERROR(__xludf.DUMMYFUNCTION("""COMPUTED_VALUE"""),"--")</f>
        <v>--</v>
      </c>
      <c r="X697" s="251" t="str">
        <f>IFERROR(__xludf.DUMMYFUNCTION("""COMPUTED_VALUE"""),"--")</f>
        <v>--</v>
      </c>
      <c r="Y697" s="251" t="str">
        <f>IFERROR(__xludf.DUMMYFUNCTION("""COMPUTED_VALUE"""),"--")</f>
        <v>--</v>
      </c>
      <c r="Z697" s="251" t="str">
        <f>IFERROR(__xludf.DUMMYFUNCTION("""COMPUTED_VALUE"""),"--")</f>
        <v>--</v>
      </c>
      <c r="AA697" s="251" t="str">
        <f>IFERROR(__xludf.DUMMYFUNCTION("""COMPUTED_VALUE"""),"--")</f>
        <v>--</v>
      </c>
      <c r="AB697" s="251" t="str">
        <f>IFERROR(__xludf.DUMMYFUNCTION("""COMPUTED_VALUE"""),"--")</f>
        <v>--</v>
      </c>
      <c r="AC697" s="251" t="str">
        <f>IFERROR(__xludf.DUMMYFUNCTION("""COMPUTED_VALUE"""),"--")</f>
        <v>--</v>
      </c>
      <c r="AD697" s="251">
        <f>IFERROR(__xludf.DUMMYFUNCTION("""COMPUTED_VALUE"""),3.0)</f>
        <v>3</v>
      </c>
      <c r="AE697" s="251" t="str">
        <f>IFERROR(__xludf.DUMMYFUNCTION("""COMPUTED_VALUE"""),"Nullivore")</f>
        <v>Nullivore</v>
      </c>
    </row>
    <row r="698">
      <c r="A698" s="251" t="str">
        <f>IFERROR(__xludf.DUMMYFUNCTION("""COMPUTED_VALUE"""),"Pumpkaboo")</f>
        <v>Pumpkaboo</v>
      </c>
      <c r="B698" s="251" t="str">
        <f>IFERROR(__xludf.DUMMYFUNCTION("""COMPUTED_VALUE"""),"Ghost")</f>
        <v>Ghost</v>
      </c>
      <c r="C698" s="251" t="str">
        <f>IFERROR(__xludf.DUMMYFUNCTION("""COMPUTED_VALUE"""),"Grass")</f>
        <v>Grass</v>
      </c>
      <c r="D698" s="251">
        <f>IFERROR(__xludf.DUMMYFUNCTION("""COMPUTED_VALUE"""),5.0)</f>
        <v>5</v>
      </c>
      <c r="E698" s="251">
        <f>IFERROR(__xludf.DUMMYFUNCTION("""COMPUTED_VALUE"""),7.0)</f>
        <v>7</v>
      </c>
      <c r="F698" s="251">
        <f>IFERROR(__xludf.DUMMYFUNCTION("""COMPUTED_VALUE"""),7.0)</f>
        <v>7</v>
      </c>
      <c r="G698" s="251">
        <f>IFERROR(__xludf.DUMMYFUNCTION("""COMPUTED_VALUE"""),4.0)</f>
        <v>4</v>
      </c>
      <c r="H698" s="251">
        <f>IFERROR(__xludf.DUMMYFUNCTION("""COMPUTED_VALUE"""),6.0)</f>
        <v>6</v>
      </c>
      <c r="I698" s="251">
        <f>IFERROR(__xludf.DUMMYFUNCTION("""COMPUTED_VALUE"""),5.0)</f>
        <v>5</v>
      </c>
      <c r="J698" s="251">
        <f>IFERROR(__xludf.DUMMYFUNCTION("""COMPUTED_VALUE"""),1.0)</f>
        <v>1</v>
      </c>
      <c r="K698" s="251" t="str">
        <f>IFERROR(__xludf.DUMMYFUNCTION("""COMPUTED_VALUE"""),"Small")</f>
        <v>Small</v>
      </c>
      <c r="L698" s="251">
        <f>IFERROR(__xludf.DUMMYFUNCTION("""COMPUTED_VALUE"""),1.0)</f>
        <v>1</v>
      </c>
      <c r="M698" s="251" t="str">
        <f>IFERROR(__xludf.DUMMYFUNCTION("""COMPUTED_VALUE"""),"Forest, Urban")</f>
        <v>Forest, Urban</v>
      </c>
      <c r="N698" s="251" t="str">
        <f>IFERROR(__xludf.DUMMYFUNCTION("""COMPUTED_VALUE"""),"Flier")</f>
        <v>Flier</v>
      </c>
      <c r="O698" s="251" t="str">
        <f>IFERROR(__xludf.DUMMYFUNCTION("""COMPUTED_VALUE"""),"Phaser")</f>
        <v>Phaser</v>
      </c>
      <c r="P698" s="251" t="str">
        <f>IFERROR(__xludf.DUMMYFUNCTION("""COMPUTED_VALUE"""),"--")</f>
        <v>--</v>
      </c>
      <c r="Q698" s="251" t="str">
        <f>IFERROR(__xludf.DUMMYFUNCTION("""COMPUTED_VALUE"""),"--")</f>
        <v>--</v>
      </c>
      <c r="R698" s="251" t="str">
        <f>IFERROR(__xludf.DUMMYFUNCTION("""COMPUTED_VALUE"""),"Darkvision")</f>
        <v>Darkvision</v>
      </c>
      <c r="S698" s="251" t="str">
        <f>IFERROR(__xludf.DUMMYFUNCTION("""COMPUTED_VALUE"""),"Invisibility")</f>
        <v>Invisibility</v>
      </c>
      <c r="T698" s="251" t="str">
        <f>IFERROR(__xludf.DUMMYFUNCTION("""COMPUTED_VALUE"""),"Underdog")</f>
        <v>Underdog</v>
      </c>
      <c r="U698" s="251" t="str">
        <f>IFERROR(__xludf.DUMMYFUNCTION("""COMPUTED_VALUE"""),"--")</f>
        <v>--</v>
      </c>
      <c r="V698" s="251" t="str">
        <f>IFERROR(__xludf.DUMMYFUNCTION("""COMPUTED_VALUE"""),"Dead Silent")</f>
        <v>Dead Silent</v>
      </c>
      <c r="W698" s="251" t="str">
        <f>IFERROR(__xludf.DUMMYFUNCTION("""COMPUTED_VALUE"""),"Glow")</f>
        <v>Glow</v>
      </c>
      <c r="X698" s="251" t="str">
        <f>IFERROR(__xludf.DUMMYFUNCTION("""COMPUTED_VALUE"""),"--")</f>
        <v>--</v>
      </c>
      <c r="Y698" s="251" t="str">
        <f>IFERROR(__xludf.DUMMYFUNCTION("""COMPUTED_VALUE"""),"--")</f>
        <v>--</v>
      </c>
      <c r="Z698" s="251" t="str">
        <f>IFERROR(__xludf.DUMMYFUNCTION("""COMPUTED_VALUE"""),"--")</f>
        <v>--</v>
      </c>
      <c r="AA698" s="251" t="str">
        <f>IFERROR(__xludf.DUMMYFUNCTION("""COMPUTED_VALUE"""),"--")</f>
        <v>--</v>
      </c>
      <c r="AB698" s="251" t="str">
        <f>IFERROR(__xludf.DUMMYFUNCTION("""COMPUTED_VALUE"""),"--")</f>
        <v>--</v>
      </c>
      <c r="AC698" s="251" t="str">
        <f>IFERROR(__xludf.DUMMYFUNCTION("""COMPUTED_VALUE"""),"--")</f>
        <v>--</v>
      </c>
      <c r="AD698" s="251">
        <f>IFERROR(__xludf.DUMMYFUNCTION("""COMPUTED_VALUE"""),2.0)</f>
        <v>2</v>
      </c>
      <c r="AE698" s="251" t="str">
        <f>IFERROR(__xludf.DUMMYFUNCTION("""COMPUTED_VALUE"""),"Nullivore")</f>
        <v>Nullivore</v>
      </c>
    </row>
    <row r="699">
      <c r="A699" s="251" t="str">
        <f>IFERROR(__xludf.DUMMYFUNCTION("""COMPUTED_VALUE"""),"Gourgeist")</f>
        <v>Gourgeist</v>
      </c>
      <c r="B699" s="251" t="str">
        <f>IFERROR(__xludf.DUMMYFUNCTION("""COMPUTED_VALUE"""),"Ghost")</f>
        <v>Ghost</v>
      </c>
      <c r="C699" s="251" t="str">
        <f>IFERROR(__xludf.DUMMYFUNCTION("""COMPUTED_VALUE"""),"Grass")</f>
        <v>Grass</v>
      </c>
      <c r="D699" s="251">
        <f>IFERROR(__xludf.DUMMYFUNCTION("""COMPUTED_VALUE"""),8.0)</f>
        <v>8</v>
      </c>
      <c r="E699" s="251">
        <f>IFERROR(__xludf.DUMMYFUNCTION("""COMPUTED_VALUE"""),9.0)</f>
        <v>9</v>
      </c>
      <c r="F699" s="251">
        <f>IFERROR(__xludf.DUMMYFUNCTION("""COMPUTED_VALUE"""),12.0)</f>
        <v>12</v>
      </c>
      <c r="G699" s="251">
        <f>IFERROR(__xludf.DUMMYFUNCTION("""COMPUTED_VALUE"""),6.0)</f>
        <v>6</v>
      </c>
      <c r="H699" s="251">
        <f>IFERROR(__xludf.DUMMYFUNCTION("""COMPUTED_VALUE"""),8.0)</f>
        <v>8</v>
      </c>
      <c r="I699" s="251">
        <f>IFERROR(__xludf.DUMMYFUNCTION("""COMPUTED_VALUE"""),8.0)</f>
        <v>8</v>
      </c>
      <c r="J699" s="251">
        <f>IFERROR(__xludf.DUMMYFUNCTION("""COMPUTED_VALUE"""),3.0)</f>
        <v>3</v>
      </c>
      <c r="K699" s="251" t="str">
        <f>IFERROR(__xludf.DUMMYFUNCTION("""COMPUTED_VALUE"""),"Small")</f>
        <v>Small</v>
      </c>
      <c r="L699" s="251">
        <f>IFERROR(__xludf.DUMMYFUNCTION("""COMPUTED_VALUE"""),1.0)</f>
        <v>1</v>
      </c>
      <c r="M699" s="251" t="str">
        <f>IFERROR(__xludf.DUMMYFUNCTION("""COMPUTED_VALUE"""),"Forest, Urban")</f>
        <v>Forest, Urban</v>
      </c>
      <c r="N699" s="251" t="str">
        <f>IFERROR(__xludf.DUMMYFUNCTION("""COMPUTED_VALUE"""),"Flier")</f>
        <v>Flier</v>
      </c>
      <c r="O699" s="251" t="str">
        <f>IFERROR(__xludf.DUMMYFUNCTION("""COMPUTED_VALUE"""),"Phaser")</f>
        <v>Phaser</v>
      </c>
      <c r="P699" s="251" t="str">
        <f>IFERROR(__xludf.DUMMYFUNCTION("""COMPUTED_VALUE"""),"--")</f>
        <v>--</v>
      </c>
      <c r="Q699" s="251" t="str">
        <f>IFERROR(__xludf.DUMMYFUNCTION("""COMPUTED_VALUE"""),"--")</f>
        <v>--</v>
      </c>
      <c r="R699" s="251" t="str">
        <f>IFERROR(__xludf.DUMMYFUNCTION("""COMPUTED_VALUE"""),"Darkvision")</f>
        <v>Darkvision</v>
      </c>
      <c r="S699" s="251" t="str">
        <f>IFERROR(__xludf.DUMMYFUNCTION("""COMPUTED_VALUE"""),"Invisibility")</f>
        <v>Invisibility</v>
      </c>
      <c r="T699" s="251" t="str">
        <f>IFERROR(__xludf.DUMMYFUNCTION("""COMPUTED_VALUE"""),"--")</f>
        <v>--</v>
      </c>
      <c r="U699" s="251" t="str">
        <f>IFERROR(__xludf.DUMMYFUNCTION("""COMPUTED_VALUE"""),"--")</f>
        <v>--</v>
      </c>
      <c r="V699" s="251" t="str">
        <f>IFERROR(__xludf.DUMMYFUNCTION("""COMPUTED_VALUE"""),"Dead Silent")</f>
        <v>Dead Silent</v>
      </c>
      <c r="W699" s="251" t="str">
        <f>IFERROR(__xludf.DUMMYFUNCTION("""COMPUTED_VALUE"""),"Glow")</f>
        <v>Glow</v>
      </c>
      <c r="X699" s="251" t="str">
        <f>IFERROR(__xludf.DUMMYFUNCTION("""COMPUTED_VALUE"""),"--")</f>
        <v>--</v>
      </c>
      <c r="Y699" s="251" t="str">
        <f>IFERROR(__xludf.DUMMYFUNCTION("""COMPUTED_VALUE"""),"--")</f>
        <v>--</v>
      </c>
      <c r="Z699" s="251" t="str">
        <f>IFERROR(__xludf.DUMMYFUNCTION("""COMPUTED_VALUE"""),"--")</f>
        <v>--</v>
      </c>
      <c r="AA699" s="251" t="str">
        <f>IFERROR(__xludf.DUMMYFUNCTION("""COMPUTED_VALUE"""),"--")</f>
        <v>--</v>
      </c>
      <c r="AB699" s="251" t="str">
        <f>IFERROR(__xludf.DUMMYFUNCTION("""COMPUTED_VALUE"""),"--")</f>
        <v>--</v>
      </c>
      <c r="AC699" s="251" t="str">
        <f>IFERROR(__xludf.DUMMYFUNCTION("""COMPUTED_VALUE"""),"--")</f>
        <v>--</v>
      </c>
      <c r="AD699" s="251">
        <f>IFERROR(__xludf.DUMMYFUNCTION("""COMPUTED_VALUE"""),3.0)</f>
        <v>3</v>
      </c>
      <c r="AE699" s="251" t="str">
        <f>IFERROR(__xludf.DUMMYFUNCTION("""COMPUTED_VALUE"""),"Nullivore")</f>
        <v>Nullivore</v>
      </c>
    </row>
    <row r="700">
      <c r="A700" s="251" t="str">
        <f>IFERROR(__xludf.DUMMYFUNCTION("""COMPUTED_VALUE"""),"Sandygast")</f>
        <v>Sandygast</v>
      </c>
      <c r="B700" s="251" t="str">
        <f>IFERROR(__xludf.DUMMYFUNCTION("""COMPUTED_VALUE"""),"Ghost")</f>
        <v>Ghost</v>
      </c>
      <c r="C700" s="251" t="str">
        <f>IFERROR(__xludf.DUMMYFUNCTION("""COMPUTED_VALUE"""),"Ground")</f>
        <v>Ground</v>
      </c>
      <c r="D700" s="251">
        <f>IFERROR(__xludf.DUMMYFUNCTION("""COMPUTED_VALUE"""),6.0)</f>
        <v>6</v>
      </c>
      <c r="E700" s="251">
        <f>IFERROR(__xludf.DUMMYFUNCTION("""COMPUTED_VALUE"""),6.0)</f>
        <v>6</v>
      </c>
      <c r="F700" s="251">
        <f>IFERROR(__xludf.DUMMYFUNCTION("""COMPUTED_VALUE"""),8.0)</f>
        <v>8</v>
      </c>
      <c r="G700" s="251">
        <f>IFERROR(__xludf.DUMMYFUNCTION("""COMPUTED_VALUE"""),7.0)</f>
        <v>7</v>
      </c>
      <c r="H700" s="251">
        <f>IFERROR(__xludf.DUMMYFUNCTION("""COMPUTED_VALUE"""),5.0)</f>
        <v>5</v>
      </c>
      <c r="I700" s="251">
        <f>IFERROR(__xludf.DUMMYFUNCTION("""COMPUTED_VALUE"""),2.0)</f>
        <v>2</v>
      </c>
      <c r="J700" s="251">
        <f>IFERROR(__xludf.DUMMYFUNCTION("""COMPUTED_VALUE"""),1.0)</f>
        <v>1</v>
      </c>
      <c r="K700" s="251" t="str">
        <f>IFERROR(__xludf.DUMMYFUNCTION("""COMPUTED_VALUE"""),"Small")</f>
        <v>Small</v>
      </c>
      <c r="L700" s="251">
        <f>IFERROR(__xludf.DUMMYFUNCTION("""COMPUTED_VALUE"""),4.0)</f>
        <v>4</v>
      </c>
      <c r="M700" s="251" t="str">
        <f>IFERROR(__xludf.DUMMYFUNCTION("""COMPUTED_VALUE"""),"Desert")</f>
        <v>Desert</v>
      </c>
      <c r="N700" s="251" t="str">
        <f>IFERROR(__xludf.DUMMYFUNCTION("""COMPUTED_VALUE"""),"Burrower")</f>
        <v>Burrower</v>
      </c>
      <c r="O700" s="251" t="str">
        <f>IFERROR(__xludf.DUMMYFUNCTION("""COMPUTED_VALUE"""),"Grounded")</f>
        <v>Grounded</v>
      </c>
      <c r="P700" s="251" t="str">
        <f>IFERROR(__xludf.DUMMYFUNCTION("""COMPUTED_VALUE"""),"Slow")</f>
        <v>Slow</v>
      </c>
      <c r="Q700" s="251" t="str">
        <f>IFERROR(__xludf.DUMMYFUNCTION("""COMPUTED_VALUE"""),"--")</f>
        <v>--</v>
      </c>
      <c r="R700" s="251" t="str">
        <f>IFERROR(__xludf.DUMMYFUNCTION("""COMPUTED_VALUE"""),"Darkvision")</f>
        <v>Darkvision</v>
      </c>
      <c r="S700" s="251" t="str">
        <f>IFERROR(__xludf.DUMMYFUNCTION("""COMPUTED_VALUE"""),"Underdog")</f>
        <v>Underdog</v>
      </c>
      <c r="T700" s="251" t="str">
        <f>IFERROR(__xludf.DUMMYFUNCTION("""COMPUTED_VALUE"""),"--")</f>
        <v>--</v>
      </c>
      <c r="U700" s="251" t="str">
        <f>IFERROR(__xludf.DUMMYFUNCTION("""COMPUTED_VALUE"""),"--")</f>
        <v>--</v>
      </c>
      <c r="V700" s="251" t="str">
        <f>IFERROR(__xludf.DUMMYFUNCTION("""COMPUTED_VALUE"""),"Amorphous")</f>
        <v>Amorphous</v>
      </c>
      <c r="W700" s="251" t="str">
        <f>IFERROR(__xludf.DUMMYFUNCTION("""COMPUTED_VALUE"""),"Dead Silent")</f>
        <v>Dead Silent</v>
      </c>
      <c r="X700" s="251" t="str">
        <f>IFERROR(__xludf.DUMMYFUNCTION("""COMPUTED_VALUE"""),"--")</f>
        <v>--</v>
      </c>
      <c r="Y700" s="251" t="str">
        <f>IFERROR(__xludf.DUMMYFUNCTION("""COMPUTED_VALUE"""),"--")</f>
        <v>--</v>
      </c>
      <c r="Z700" s="251" t="str">
        <f>IFERROR(__xludf.DUMMYFUNCTION("""COMPUTED_VALUE"""),"--")</f>
        <v>--</v>
      </c>
      <c r="AA700" s="251" t="str">
        <f>IFERROR(__xludf.DUMMYFUNCTION("""COMPUTED_VALUE"""),"--")</f>
        <v>--</v>
      </c>
      <c r="AB700" s="251" t="str">
        <f>IFERROR(__xludf.DUMMYFUNCTION("""COMPUTED_VALUE"""),"--")</f>
        <v>--</v>
      </c>
      <c r="AC700" s="251" t="str">
        <f>IFERROR(__xludf.DUMMYFUNCTION("""COMPUTED_VALUE"""),"--")</f>
        <v>--</v>
      </c>
      <c r="AD700" s="251">
        <f>IFERROR(__xludf.DUMMYFUNCTION("""COMPUTED_VALUE"""),2.0)</f>
        <v>2</v>
      </c>
      <c r="AE700" s="251" t="str">
        <f>IFERROR(__xludf.DUMMYFUNCTION("""COMPUTED_VALUE"""),"Nullivore")</f>
        <v>Nullivore</v>
      </c>
    </row>
    <row r="701">
      <c r="A701" s="251" t="str">
        <f>IFERROR(__xludf.DUMMYFUNCTION("""COMPUTED_VALUE"""),"Palossand")</f>
        <v>Palossand</v>
      </c>
      <c r="B701" s="251" t="str">
        <f>IFERROR(__xludf.DUMMYFUNCTION("""COMPUTED_VALUE"""),"Ghost")</f>
        <v>Ghost</v>
      </c>
      <c r="C701" s="251" t="str">
        <f>IFERROR(__xludf.DUMMYFUNCTION("""COMPUTED_VALUE"""),"Ground")</f>
        <v>Ground</v>
      </c>
      <c r="D701" s="251">
        <f>IFERROR(__xludf.DUMMYFUNCTION("""COMPUTED_VALUE"""),9.0)</f>
        <v>9</v>
      </c>
      <c r="E701" s="251">
        <f>IFERROR(__xludf.DUMMYFUNCTION("""COMPUTED_VALUE"""),8.0)</f>
        <v>8</v>
      </c>
      <c r="F701" s="251">
        <f>IFERROR(__xludf.DUMMYFUNCTION("""COMPUTED_VALUE"""),12.0)</f>
        <v>12</v>
      </c>
      <c r="G701" s="251">
        <f>IFERROR(__xludf.DUMMYFUNCTION("""COMPUTED_VALUE"""),10.0)</f>
        <v>10</v>
      </c>
      <c r="H701" s="251">
        <f>IFERROR(__xludf.DUMMYFUNCTION("""COMPUTED_VALUE"""),8.0)</f>
        <v>8</v>
      </c>
      <c r="I701" s="251">
        <f>IFERROR(__xludf.DUMMYFUNCTION("""COMPUTED_VALUE"""),4.0)</f>
        <v>4</v>
      </c>
      <c r="J701" s="251">
        <f>IFERROR(__xludf.DUMMYFUNCTION("""COMPUTED_VALUE"""),4.0)</f>
        <v>4</v>
      </c>
      <c r="K701" s="251" t="str">
        <f>IFERROR(__xludf.DUMMYFUNCTION("""COMPUTED_VALUE"""),"Medium")</f>
        <v>Medium</v>
      </c>
      <c r="L701" s="251">
        <f>IFERROR(__xludf.DUMMYFUNCTION("""COMPUTED_VALUE"""),6.0)</f>
        <v>6</v>
      </c>
      <c r="M701" s="251" t="str">
        <f>IFERROR(__xludf.DUMMYFUNCTION("""COMPUTED_VALUE"""),"Desert")</f>
        <v>Desert</v>
      </c>
      <c r="N701" s="251" t="str">
        <f>IFERROR(__xludf.DUMMYFUNCTION("""COMPUTED_VALUE"""),"Burrower")</f>
        <v>Burrower</v>
      </c>
      <c r="O701" s="251" t="str">
        <f>IFERROR(__xludf.DUMMYFUNCTION("""COMPUTED_VALUE"""),"Grounded")</f>
        <v>Grounded</v>
      </c>
      <c r="P701" s="251" t="str">
        <f>IFERROR(__xludf.DUMMYFUNCTION("""COMPUTED_VALUE"""),"--")</f>
        <v>--</v>
      </c>
      <c r="Q701" s="251" t="str">
        <f>IFERROR(__xludf.DUMMYFUNCTION("""COMPUTED_VALUE"""),"--")</f>
        <v>--</v>
      </c>
      <c r="R701" s="251" t="str">
        <f>IFERROR(__xludf.DUMMYFUNCTION("""COMPUTED_VALUE"""),"Darkvision")</f>
        <v>Darkvision</v>
      </c>
      <c r="S701" s="251" t="str">
        <f>IFERROR(__xludf.DUMMYFUNCTION("""COMPUTED_VALUE"""),"Groundshaper")</f>
        <v>Groundshaper</v>
      </c>
      <c r="T701" s="251" t="str">
        <f>IFERROR(__xludf.DUMMYFUNCTION("""COMPUTED_VALUE"""),"--")</f>
        <v>--</v>
      </c>
      <c r="U701" s="251" t="str">
        <f>IFERROR(__xludf.DUMMYFUNCTION("""COMPUTED_VALUE"""),"--")</f>
        <v>--</v>
      </c>
      <c r="V701" s="251" t="str">
        <f>IFERROR(__xludf.DUMMYFUNCTION("""COMPUTED_VALUE"""),"Amorphous")</f>
        <v>Amorphous</v>
      </c>
      <c r="W701" s="251" t="str">
        <f>IFERROR(__xludf.DUMMYFUNCTION("""COMPUTED_VALUE"""),"Dead Silent")</f>
        <v>Dead Silent</v>
      </c>
      <c r="X701" s="251" t="str">
        <f>IFERROR(__xludf.DUMMYFUNCTION("""COMPUTED_VALUE"""),"Tremorsense")</f>
        <v>Tremorsense</v>
      </c>
      <c r="Y701" s="251" t="str">
        <f>IFERROR(__xludf.DUMMYFUNCTION("""COMPUTED_VALUE"""),"--")</f>
        <v>--</v>
      </c>
      <c r="Z701" s="251" t="str">
        <f>IFERROR(__xludf.DUMMYFUNCTION("""COMPUTED_VALUE"""),"--")</f>
        <v>--</v>
      </c>
      <c r="AA701" s="251" t="str">
        <f>IFERROR(__xludf.DUMMYFUNCTION("""COMPUTED_VALUE"""),"--")</f>
        <v>--</v>
      </c>
      <c r="AB701" s="251" t="str">
        <f>IFERROR(__xludf.DUMMYFUNCTION("""COMPUTED_VALUE"""),"--")</f>
        <v>--</v>
      </c>
      <c r="AC701" s="251" t="str">
        <f>IFERROR(__xludf.DUMMYFUNCTION("""COMPUTED_VALUE"""),"--")</f>
        <v>--</v>
      </c>
      <c r="AD701" s="251">
        <f>IFERROR(__xludf.DUMMYFUNCTION("""COMPUTED_VALUE"""),3.0)</f>
        <v>3</v>
      </c>
      <c r="AE701" s="251" t="str">
        <f>IFERROR(__xludf.DUMMYFUNCTION("""COMPUTED_VALUE"""),"Nullivore")</f>
        <v>Nullivore</v>
      </c>
    </row>
    <row r="702">
      <c r="A702" s="251" t="str">
        <f>IFERROR(__xludf.DUMMYFUNCTION("""COMPUTED_VALUE"""),"Sinistea")</f>
        <v>Sinistea</v>
      </c>
      <c r="B702" s="251" t="str">
        <f>IFERROR(__xludf.DUMMYFUNCTION("""COMPUTED_VALUE"""),"Ghost")</f>
        <v>Ghost</v>
      </c>
      <c r="C702" s="251" t="str">
        <f>IFERROR(__xludf.DUMMYFUNCTION("""COMPUTED_VALUE"""),"None")</f>
        <v>None</v>
      </c>
      <c r="D702" s="251">
        <f>IFERROR(__xludf.DUMMYFUNCTION("""COMPUTED_VALUE"""),4.0)</f>
        <v>4</v>
      </c>
      <c r="E702" s="251">
        <f>IFERROR(__xludf.DUMMYFUNCTION("""COMPUTED_VALUE"""),5.0)</f>
        <v>5</v>
      </c>
      <c r="F702" s="251">
        <f>IFERROR(__xludf.DUMMYFUNCTION("""COMPUTED_VALUE"""),5.0)</f>
        <v>5</v>
      </c>
      <c r="G702" s="251">
        <f>IFERROR(__xludf.DUMMYFUNCTION("""COMPUTED_VALUE"""),7.0)</f>
        <v>7</v>
      </c>
      <c r="H702" s="251">
        <f>IFERROR(__xludf.DUMMYFUNCTION("""COMPUTED_VALUE"""),5.0)</f>
        <v>5</v>
      </c>
      <c r="I702" s="251">
        <f>IFERROR(__xludf.DUMMYFUNCTION("""COMPUTED_VALUE"""),5.0)</f>
        <v>5</v>
      </c>
      <c r="J702" s="251">
        <f>IFERROR(__xludf.DUMMYFUNCTION("""COMPUTED_VALUE"""),1.0)</f>
        <v>1</v>
      </c>
      <c r="K702" s="251" t="str">
        <f>IFERROR(__xludf.DUMMYFUNCTION("""COMPUTED_VALUE"""),"Small")</f>
        <v>Small</v>
      </c>
      <c r="L702" s="251">
        <f>IFERROR(__xludf.DUMMYFUNCTION("""COMPUTED_VALUE"""),1.0)</f>
        <v>1</v>
      </c>
      <c r="M702" s="251" t="str">
        <f>IFERROR(__xludf.DUMMYFUNCTION("""COMPUTED_VALUE"""),"Urban")</f>
        <v>Urban</v>
      </c>
      <c r="N702" s="251" t="str">
        <f>IFERROR(__xludf.DUMMYFUNCTION("""COMPUTED_VALUE"""),"Flier")</f>
        <v>Flier</v>
      </c>
      <c r="O702" s="251" t="str">
        <f>IFERROR(__xludf.DUMMYFUNCTION("""COMPUTED_VALUE"""),"Phaser")</f>
        <v>Phaser</v>
      </c>
      <c r="P702" s="251" t="str">
        <f>IFERROR(__xludf.DUMMYFUNCTION("""COMPUTED_VALUE"""),"--")</f>
        <v>--</v>
      </c>
      <c r="Q702" s="251" t="str">
        <f>IFERROR(__xludf.DUMMYFUNCTION("""COMPUTED_VALUE"""),"--")</f>
        <v>--</v>
      </c>
      <c r="R702" s="251" t="str">
        <f>IFERROR(__xludf.DUMMYFUNCTION("""COMPUTED_VALUE"""),"Darkvision")</f>
        <v>Darkvision</v>
      </c>
      <c r="S702" s="251" t="str">
        <f>IFERROR(__xludf.DUMMYFUNCTION("""COMPUTED_VALUE"""),"Underdog")</f>
        <v>Underdog</v>
      </c>
      <c r="T702" s="251" t="str">
        <f>IFERROR(__xludf.DUMMYFUNCTION("""COMPUTED_VALUE"""),"--")</f>
        <v>--</v>
      </c>
      <c r="U702" s="251" t="str">
        <f>IFERROR(__xludf.DUMMYFUNCTION("""COMPUTED_VALUE"""),"--")</f>
        <v>--</v>
      </c>
      <c r="V702" s="251" t="str">
        <f>IFERROR(__xludf.DUMMYFUNCTION("""COMPUTED_VALUE"""),"Amorphous")</f>
        <v>Amorphous</v>
      </c>
      <c r="W702" s="251" t="str">
        <f>IFERROR(__xludf.DUMMYFUNCTION("""COMPUTED_VALUE"""),"Dead Silent")</f>
        <v>Dead Silent</v>
      </c>
      <c r="X702" s="251" t="str">
        <f>IFERROR(__xludf.DUMMYFUNCTION("""COMPUTED_VALUE"""),"--")</f>
        <v>--</v>
      </c>
      <c r="Y702" s="251" t="str">
        <f>IFERROR(__xludf.DUMMYFUNCTION("""COMPUTED_VALUE"""),"--")</f>
        <v>--</v>
      </c>
      <c r="Z702" s="251" t="str">
        <f>IFERROR(__xludf.DUMMYFUNCTION("""COMPUTED_VALUE"""),"--")</f>
        <v>--</v>
      </c>
      <c r="AA702" s="251" t="str">
        <f>IFERROR(__xludf.DUMMYFUNCTION("""COMPUTED_VALUE"""),"--")</f>
        <v>--</v>
      </c>
      <c r="AB702" s="251" t="str">
        <f>IFERROR(__xludf.DUMMYFUNCTION("""COMPUTED_VALUE"""),"--")</f>
        <v>--</v>
      </c>
      <c r="AC702" s="251" t="str">
        <f>IFERROR(__xludf.DUMMYFUNCTION("""COMPUTED_VALUE"""),"--")</f>
        <v>--</v>
      </c>
      <c r="AD702" s="251">
        <f>IFERROR(__xludf.DUMMYFUNCTION("""COMPUTED_VALUE"""),2.0)</f>
        <v>2</v>
      </c>
      <c r="AE702" s="251" t="str">
        <f>IFERROR(__xludf.DUMMYFUNCTION("""COMPUTED_VALUE"""),"Nullivore")</f>
        <v>Nullivore</v>
      </c>
    </row>
    <row r="703">
      <c r="A703" s="251" t="str">
        <f>IFERROR(__xludf.DUMMYFUNCTION("""COMPUTED_VALUE"""),"Polteageist")</f>
        <v>Polteageist</v>
      </c>
      <c r="B703" s="251" t="str">
        <f>IFERROR(__xludf.DUMMYFUNCTION("""COMPUTED_VALUE"""),"Ghost")</f>
        <v>Ghost</v>
      </c>
      <c r="C703" s="251" t="str">
        <f>IFERROR(__xludf.DUMMYFUNCTION("""COMPUTED_VALUE"""),"None")</f>
        <v>None</v>
      </c>
      <c r="D703" s="251">
        <f>IFERROR(__xludf.DUMMYFUNCTION("""COMPUTED_VALUE"""),6.0)</f>
        <v>6</v>
      </c>
      <c r="E703" s="251">
        <f>IFERROR(__xludf.DUMMYFUNCTION("""COMPUTED_VALUE"""),7.0)</f>
        <v>7</v>
      </c>
      <c r="F703" s="251">
        <f>IFERROR(__xludf.DUMMYFUNCTION("""COMPUTED_VALUE"""),7.0)</f>
        <v>7</v>
      </c>
      <c r="G703" s="251">
        <f>IFERROR(__xludf.DUMMYFUNCTION("""COMPUTED_VALUE"""),13.0)</f>
        <v>13</v>
      </c>
      <c r="H703" s="251">
        <f>IFERROR(__xludf.DUMMYFUNCTION("""COMPUTED_VALUE"""),11.0)</f>
        <v>11</v>
      </c>
      <c r="I703" s="251">
        <f>IFERROR(__xludf.DUMMYFUNCTION("""COMPUTED_VALUE"""),7.0)</f>
        <v>7</v>
      </c>
      <c r="J703" s="251">
        <f>IFERROR(__xludf.DUMMYFUNCTION("""COMPUTED_VALUE"""),1.0)</f>
        <v>1</v>
      </c>
      <c r="K703" s="251" t="str">
        <f>IFERROR(__xludf.DUMMYFUNCTION("""COMPUTED_VALUE"""),"Small")</f>
        <v>Small</v>
      </c>
      <c r="L703" s="251">
        <f>IFERROR(__xludf.DUMMYFUNCTION("""COMPUTED_VALUE"""),1.0)</f>
        <v>1</v>
      </c>
      <c r="M703" s="251" t="str">
        <f>IFERROR(__xludf.DUMMYFUNCTION("""COMPUTED_VALUE"""),"Urban")</f>
        <v>Urban</v>
      </c>
      <c r="N703" s="251" t="str">
        <f>IFERROR(__xludf.DUMMYFUNCTION("""COMPUTED_VALUE"""),"Flier")</f>
        <v>Flier</v>
      </c>
      <c r="O703" s="251" t="str">
        <f>IFERROR(__xludf.DUMMYFUNCTION("""COMPUTED_VALUE"""),"Phaser")</f>
        <v>Phaser</v>
      </c>
      <c r="P703" s="251" t="str">
        <f>IFERROR(__xludf.DUMMYFUNCTION("""COMPUTED_VALUE"""),"--")</f>
        <v>--</v>
      </c>
      <c r="Q703" s="251" t="str">
        <f>IFERROR(__xludf.DUMMYFUNCTION("""COMPUTED_VALUE"""),"--")</f>
        <v>--</v>
      </c>
      <c r="R703" s="251" t="str">
        <f>IFERROR(__xludf.DUMMYFUNCTION("""COMPUTED_VALUE"""),"Darkvision")</f>
        <v>Darkvision</v>
      </c>
      <c r="S703" s="251" t="str">
        <f>IFERROR(__xludf.DUMMYFUNCTION("""COMPUTED_VALUE"""),"--")</f>
        <v>--</v>
      </c>
      <c r="T703" s="251" t="str">
        <f>IFERROR(__xludf.DUMMYFUNCTION("""COMPUTED_VALUE"""),"--")</f>
        <v>--</v>
      </c>
      <c r="U703" s="251" t="str">
        <f>IFERROR(__xludf.DUMMYFUNCTION("""COMPUTED_VALUE"""),"--")</f>
        <v>--</v>
      </c>
      <c r="V703" s="251" t="str">
        <f>IFERROR(__xludf.DUMMYFUNCTION("""COMPUTED_VALUE"""),"Amorphous")</f>
        <v>Amorphous</v>
      </c>
      <c r="W703" s="251" t="str">
        <f>IFERROR(__xludf.DUMMYFUNCTION("""COMPUTED_VALUE"""),"Dead Silent")</f>
        <v>Dead Silent</v>
      </c>
      <c r="X703" s="251" t="str">
        <f>IFERROR(__xludf.DUMMYFUNCTION("""COMPUTED_VALUE"""),"--")</f>
        <v>--</v>
      </c>
      <c r="Y703" s="251" t="str">
        <f>IFERROR(__xludf.DUMMYFUNCTION("""COMPUTED_VALUE"""),"--")</f>
        <v>--</v>
      </c>
      <c r="Z703" s="251" t="str">
        <f>IFERROR(__xludf.DUMMYFUNCTION("""COMPUTED_VALUE"""),"--")</f>
        <v>--</v>
      </c>
      <c r="AA703" s="251" t="str">
        <f>IFERROR(__xludf.DUMMYFUNCTION("""COMPUTED_VALUE"""),"--")</f>
        <v>--</v>
      </c>
      <c r="AB703" s="251" t="str">
        <f>IFERROR(__xludf.DUMMYFUNCTION("""COMPUTED_VALUE"""),"--")</f>
        <v>--</v>
      </c>
      <c r="AC703" s="251" t="str">
        <f>IFERROR(__xludf.DUMMYFUNCTION("""COMPUTED_VALUE"""),"--")</f>
        <v>--</v>
      </c>
      <c r="AD703" s="251">
        <f>IFERROR(__xludf.DUMMYFUNCTION("""COMPUTED_VALUE"""),3.0)</f>
        <v>3</v>
      </c>
      <c r="AE703" s="251" t="str">
        <f>IFERROR(__xludf.DUMMYFUNCTION("""COMPUTED_VALUE"""),"Nullivore")</f>
        <v>Nullivore</v>
      </c>
    </row>
    <row r="704">
      <c r="A704" s="251" t="str">
        <f>IFERROR(__xludf.DUMMYFUNCTION("""COMPUTED_VALUE"""),"Greavard")</f>
        <v>Greavard</v>
      </c>
      <c r="B704" s="251" t="str">
        <f>IFERROR(__xludf.DUMMYFUNCTION("""COMPUTED_VALUE"""),"Ghost")</f>
        <v>Ghost</v>
      </c>
      <c r="C704" s="251" t="str">
        <f>IFERROR(__xludf.DUMMYFUNCTION("""COMPUTED_VALUE"""),"None")</f>
        <v>None</v>
      </c>
      <c r="D704" s="251">
        <f>IFERROR(__xludf.DUMMYFUNCTION("""COMPUTED_VALUE"""),5.0)</f>
        <v>5</v>
      </c>
      <c r="E704" s="251">
        <f>IFERROR(__xludf.DUMMYFUNCTION("""COMPUTED_VALUE"""),6.0)</f>
        <v>6</v>
      </c>
      <c r="F704" s="251">
        <f>IFERROR(__xludf.DUMMYFUNCTION("""COMPUTED_VALUE"""),6.0)</f>
        <v>6</v>
      </c>
      <c r="G704" s="251">
        <f>IFERROR(__xludf.DUMMYFUNCTION("""COMPUTED_VALUE"""),3.0)</f>
        <v>3</v>
      </c>
      <c r="H704" s="251">
        <f>IFERROR(__xludf.DUMMYFUNCTION("""COMPUTED_VALUE"""),6.0)</f>
        <v>6</v>
      </c>
      <c r="I704" s="251">
        <f>IFERROR(__xludf.DUMMYFUNCTION("""COMPUTED_VALUE"""),4.0)</f>
        <v>4</v>
      </c>
      <c r="J704" s="251">
        <f>IFERROR(__xludf.DUMMYFUNCTION("""COMPUTED_VALUE"""),3.0)</f>
        <v>3</v>
      </c>
      <c r="K704" s="251" t="str">
        <f>IFERROR(__xludf.DUMMYFUNCTION("""COMPUTED_VALUE"""),"Small")</f>
        <v>Small</v>
      </c>
      <c r="L704" s="251">
        <f>IFERROR(__xludf.DUMMYFUNCTION("""COMPUTED_VALUE"""),3.0)</f>
        <v>3</v>
      </c>
      <c r="M704" s="251" t="str">
        <f>IFERROR(__xludf.DUMMYFUNCTION("""COMPUTED_VALUE"""),"Urban")</f>
        <v>Urban</v>
      </c>
      <c r="N704" s="251" t="str">
        <f>IFERROR(__xludf.DUMMYFUNCTION("""COMPUTED_VALUE"""),"--")</f>
        <v>--</v>
      </c>
      <c r="O704" s="251" t="str">
        <f>IFERROR(__xludf.DUMMYFUNCTION("""COMPUTED_VALUE"""),"--")</f>
        <v>--</v>
      </c>
      <c r="P704" s="251" t="str">
        <f>IFERROR(__xludf.DUMMYFUNCTION("""COMPUTED_VALUE"""),"--")</f>
        <v>--</v>
      </c>
      <c r="Q704" s="251" t="str">
        <f>IFERROR(__xludf.DUMMYFUNCTION("""COMPUTED_VALUE"""),"--")</f>
        <v>--</v>
      </c>
      <c r="R704" s="251" t="str">
        <f>IFERROR(__xludf.DUMMYFUNCTION("""COMPUTED_VALUE"""),"Darkvision")</f>
        <v>Darkvision</v>
      </c>
      <c r="S704" s="251" t="str">
        <f>IFERROR(__xludf.DUMMYFUNCTION("""COMPUTED_VALUE"""),"Underdog")</f>
        <v>Underdog</v>
      </c>
      <c r="T704" s="251" t="str">
        <f>IFERROR(__xludf.DUMMYFUNCTION("""COMPUTED_VALUE"""),"--")</f>
        <v>--</v>
      </c>
      <c r="U704" s="251" t="str">
        <f>IFERROR(__xludf.DUMMYFUNCTION("""COMPUTED_VALUE"""),"--")</f>
        <v>--</v>
      </c>
      <c r="V704" s="251" t="str">
        <f>IFERROR(__xludf.DUMMYFUNCTION("""COMPUTED_VALUE"""),"Glow")</f>
        <v>Glow</v>
      </c>
      <c r="W704" s="251" t="str">
        <f>IFERROR(__xludf.DUMMYFUNCTION("""COMPUTED_VALUE"""),"Tracker")</f>
        <v>Tracker</v>
      </c>
      <c r="X704" s="251" t="str">
        <f>IFERROR(__xludf.DUMMYFUNCTION("""COMPUTED_VALUE"""),"--")</f>
        <v>--</v>
      </c>
      <c r="Y704" s="251" t="str">
        <f>IFERROR(__xludf.DUMMYFUNCTION("""COMPUTED_VALUE"""),"--")</f>
        <v>--</v>
      </c>
      <c r="Z704" s="251" t="str">
        <f>IFERROR(__xludf.DUMMYFUNCTION("""COMPUTED_VALUE"""),"--")</f>
        <v>--</v>
      </c>
      <c r="AA704" s="251" t="str">
        <f>IFERROR(__xludf.DUMMYFUNCTION("""COMPUTED_VALUE"""),"--")</f>
        <v>--</v>
      </c>
      <c r="AB704" s="251" t="str">
        <f>IFERROR(__xludf.DUMMYFUNCTION("""COMPUTED_VALUE"""),"--")</f>
        <v>--</v>
      </c>
      <c r="AC704" s="251" t="str">
        <f>IFERROR(__xludf.DUMMYFUNCTION("""COMPUTED_VALUE"""),"--")</f>
        <v>--</v>
      </c>
      <c r="AD704" s="251">
        <f>IFERROR(__xludf.DUMMYFUNCTION("""COMPUTED_VALUE"""),2.0)</f>
        <v>2</v>
      </c>
      <c r="AE704" s="251" t="str">
        <f>IFERROR(__xludf.DUMMYFUNCTION("""COMPUTED_VALUE"""),"Carnivore")</f>
        <v>Carnivore</v>
      </c>
    </row>
    <row r="705">
      <c r="A705" s="251" t="str">
        <f>IFERROR(__xludf.DUMMYFUNCTION("""COMPUTED_VALUE"""),"Houndstone")</f>
        <v>Houndstone</v>
      </c>
      <c r="B705" s="251" t="str">
        <f>IFERROR(__xludf.DUMMYFUNCTION("""COMPUTED_VALUE"""),"Ghost")</f>
        <v>Ghost</v>
      </c>
      <c r="C705" s="251" t="str">
        <f>IFERROR(__xludf.DUMMYFUNCTION("""COMPUTED_VALUE"""),"None")</f>
        <v>None</v>
      </c>
      <c r="D705" s="251">
        <f>IFERROR(__xludf.DUMMYFUNCTION("""COMPUTED_VALUE"""),8.0)</f>
        <v>8</v>
      </c>
      <c r="E705" s="251">
        <f>IFERROR(__xludf.DUMMYFUNCTION("""COMPUTED_VALUE"""),10.0)</f>
        <v>10</v>
      </c>
      <c r="F705" s="251">
        <f>IFERROR(__xludf.DUMMYFUNCTION("""COMPUTED_VALUE"""),10.0)</f>
        <v>10</v>
      </c>
      <c r="G705" s="251">
        <f>IFERROR(__xludf.DUMMYFUNCTION("""COMPUTED_VALUE"""),5.0)</f>
        <v>5</v>
      </c>
      <c r="H705" s="251">
        <f>IFERROR(__xludf.DUMMYFUNCTION("""COMPUTED_VALUE"""),10.0)</f>
        <v>10</v>
      </c>
      <c r="I705" s="251">
        <f>IFERROR(__xludf.DUMMYFUNCTION("""COMPUTED_VALUE"""),8.0)</f>
        <v>8</v>
      </c>
      <c r="J705" s="251">
        <f>IFERROR(__xludf.DUMMYFUNCTION("""COMPUTED_VALUE"""),5.0)</f>
        <v>5</v>
      </c>
      <c r="K705" s="251" t="str">
        <f>IFERROR(__xludf.DUMMYFUNCTION("""COMPUTED_VALUE"""),"Large")</f>
        <v>Large</v>
      </c>
      <c r="L705" s="251">
        <f>IFERROR(__xludf.DUMMYFUNCTION("""COMPUTED_VALUE"""),2.0)</f>
        <v>2</v>
      </c>
      <c r="M705" s="251" t="str">
        <f>IFERROR(__xludf.DUMMYFUNCTION("""COMPUTED_VALUE"""),"Urban")</f>
        <v>Urban</v>
      </c>
      <c r="N705" s="251" t="str">
        <f>IFERROR(__xludf.DUMMYFUNCTION("""COMPUTED_VALUE"""),"--")</f>
        <v>--</v>
      </c>
      <c r="O705" s="251" t="str">
        <f>IFERROR(__xludf.DUMMYFUNCTION("""COMPUTED_VALUE"""),"--")</f>
        <v>--</v>
      </c>
      <c r="P705" s="251" t="str">
        <f>IFERROR(__xludf.DUMMYFUNCTION("""COMPUTED_VALUE"""),"--")</f>
        <v>--</v>
      </c>
      <c r="Q705" s="251" t="str">
        <f>IFERROR(__xludf.DUMMYFUNCTION("""COMPUTED_VALUE"""),"--")</f>
        <v>--</v>
      </c>
      <c r="R705" s="251" t="str">
        <f>IFERROR(__xludf.DUMMYFUNCTION("""COMPUTED_VALUE"""),"Darkvision")</f>
        <v>Darkvision</v>
      </c>
      <c r="S705" s="251" t="str">
        <f>IFERROR(__xludf.DUMMYFUNCTION("""COMPUTED_VALUE"""),"Mountable")</f>
        <v>Mountable</v>
      </c>
      <c r="T705" s="251" t="str">
        <f>IFERROR(__xludf.DUMMYFUNCTION("""COMPUTED_VALUE"""),"--")</f>
        <v>--</v>
      </c>
      <c r="U705" s="251" t="str">
        <f>IFERROR(__xludf.DUMMYFUNCTION("""COMPUTED_VALUE"""),"--")</f>
        <v>--</v>
      </c>
      <c r="V705" s="251" t="str">
        <f>IFERROR(__xludf.DUMMYFUNCTION("""COMPUTED_VALUE"""),"Glow")</f>
        <v>Glow</v>
      </c>
      <c r="W705" s="251" t="str">
        <f>IFERROR(__xludf.DUMMYFUNCTION("""COMPUTED_VALUE"""),"Soul Seer")</f>
        <v>Soul Seer</v>
      </c>
      <c r="X705" s="251" t="str">
        <f>IFERROR(__xludf.DUMMYFUNCTION("""COMPUTED_VALUE"""),"Tracker")</f>
        <v>Tracker</v>
      </c>
      <c r="Y705" s="251" t="str">
        <f>IFERROR(__xludf.DUMMYFUNCTION("""COMPUTED_VALUE"""),"--")</f>
        <v>--</v>
      </c>
      <c r="Z705" s="251" t="str">
        <f>IFERROR(__xludf.DUMMYFUNCTION("""COMPUTED_VALUE"""),"--")</f>
        <v>--</v>
      </c>
      <c r="AA705" s="251" t="str">
        <f>IFERROR(__xludf.DUMMYFUNCTION("""COMPUTED_VALUE"""),"--")</f>
        <v>--</v>
      </c>
      <c r="AB705" s="251" t="str">
        <f>IFERROR(__xludf.DUMMYFUNCTION("""COMPUTED_VALUE"""),"--")</f>
        <v>--</v>
      </c>
      <c r="AC705" s="251" t="str">
        <f>IFERROR(__xludf.DUMMYFUNCTION("""COMPUTED_VALUE"""),"--")</f>
        <v>--</v>
      </c>
      <c r="AD705" s="251">
        <f>IFERROR(__xludf.DUMMYFUNCTION("""COMPUTED_VALUE"""),3.0)</f>
        <v>3</v>
      </c>
      <c r="AE705" s="251" t="str">
        <f>IFERROR(__xludf.DUMMYFUNCTION("""COMPUTED_VALUE"""),"Carnivore")</f>
        <v>Carnivore</v>
      </c>
    </row>
    <row r="706">
      <c r="A706" s="251" t="str">
        <f>IFERROR(__xludf.DUMMYFUNCTION("""COMPUTED_VALUE"""),"Exeggcute")</f>
        <v>Exeggcute</v>
      </c>
      <c r="B706" s="251" t="str">
        <f>IFERROR(__xludf.DUMMYFUNCTION("""COMPUTED_VALUE"""),"Grass")</f>
        <v>Grass</v>
      </c>
      <c r="C706" s="251" t="str">
        <f>IFERROR(__xludf.DUMMYFUNCTION("""COMPUTED_VALUE"""),"Psychic")</f>
        <v>Psychic</v>
      </c>
      <c r="D706" s="251">
        <f>IFERROR(__xludf.DUMMYFUNCTION("""COMPUTED_VALUE"""),6.0)</f>
        <v>6</v>
      </c>
      <c r="E706" s="251">
        <f>IFERROR(__xludf.DUMMYFUNCTION("""COMPUTED_VALUE"""),4.0)</f>
        <v>4</v>
      </c>
      <c r="F706" s="251">
        <f>IFERROR(__xludf.DUMMYFUNCTION("""COMPUTED_VALUE"""),8.0)</f>
        <v>8</v>
      </c>
      <c r="G706" s="251">
        <f>IFERROR(__xludf.DUMMYFUNCTION("""COMPUTED_VALUE"""),6.0)</f>
        <v>6</v>
      </c>
      <c r="H706" s="251">
        <f>IFERROR(__xludf.DUMMYFUNCTION("""COMPUTED_VALUE"""),5.0)</f>
        <v>5</v>
      </c>
      <c r="I706" s="251">
        <f>IFERROR(__xludf.DUMMYFUNCTION("""COMPUTED_VALUE"""),4.0)</f>
        <v>4</v>
      </c>
      <c r="J706" s="251">
        <f>IFERROR(__xludf.DUMMYFUNCTION("""COMPUTED_VALUE"""),1.0)</f>
        <v>1</v>
      </c>
      <c r="K706" s="251" t="str">
        <f>IFERROR(__xludf.DUMMYFUNCTION("""COMPUTED_VALUE"""),"Small")</f>
        <v>Small</v>
      </c>
      <c r="L706" s="251">
        <f>IFERROR(__xludf.DUMMYFUNCTION("""COMPUTED_VALUE"""),1.0)</f>
        <v>1</v>
      </c>
      <c r="M706" s="251" t="str">
        <f>IFERROR(__xludf.DUMMYFUNCTION("""COMPUTED_VALUE"""),"Forest")</f>
        <v>Forest</v>
      </c>
      <c r="N706" s="251" t="str">
        <f>IFERROR(__xludf.DUMMYFUNCTION("""COMPUTED_VALUE"""),"Slow")</f>
        <v>Slow</v>
      </c>
      <c r="O706" s="251" t="str">
        <f>IFERROR(__xludf.DUMMYFUNCTION("""COMPUTED_VALUE"""),"--")</f>
        <v>--</v>
      </c>
      <c r="P706" s="251" t="str">
        <f>IFERROR(__xludf.DUMMYFUNCTION("""COMPUTED_VALUE"""),"--")</f>
        <v>--</v>
      </c>
      <c r="Q706" s="251" t="str">
        <f>IFERROR(__xludf.DUMMYFUNCTION("""COMPUTED_VALUE"""),"--")</f>
        <v>--</v>
      </c>
      <c r="R706" s="251" t="str">
        <f>IFERROR(__xludf.DUMMYFUNCTION("""COMPUTED_VALUE"""),"Underdog")</f>
        <v>Underdog</v>
      </c>
      <c r="S706" s="251" t="str">
        <f>IFERROR(__xludf.DUMMYFUNCTION("""COMPUTED_VALUE"""),"--")</f>
        <v>--</v>
      </c>
      <c r="T706" s="251" t="str">
        <f>IFERROR(__xludf.DUMMYFUNCTION("""COMPUTED_VALUE"""),"--")</f>
        <v>--</v>
      </c>
      <c r="U706" s="251" t="str">
        <f>IFERROR(__xludf.DUMMYFUNCTION("""COMPUTED_VALUE"""),"--")</f>
        <v>--</v>
      </c>
      <c r="V706" s="251" t="str">
        <f>IFERROR(__xludf.DUMMYFUNCTION("""COMPUTED_VALUE"""),"--")</f>
        <v>--</v>
      </c>
      <c r="W706" s="251" t="str">
        <f>IFERROR(__xludf.DUMMYFUNCTION("""COMPUTED_VALUE"""),"--")</f>
        <v>--</v>
      </c>
      <c r="X706" s="251" t="str">
        <f>IFERROR(__xludf.DUMMYFUNCTION("""COMPUTED_VALUE"""),"--")</f>
        <v>--</v>
      </c>
      <c r="Y706" s="251" t="str">
        <f>IFERROR(__xludf.DUMMYFUNCTION("""COMPUTED_VALUE"""),"--")</f>
        <v>--</v>
      </c>
      <c r="Z706" s="251" t="str">
        <f>IFERROR(__xludf.DUMMYFUNCTION("""COMPUTED_VALUE"""),"--")</f>
        <v>--</v>
      </c>
      <c r="AA706" s="251" t="str">
        <f>IFERROR(__xludf.DUMMYFUNCTION("""COMPUTED_VALUE"""),"--")</f>
        <v>--</v>
      </c>
      <c r="AB706" s="251" t="str">
        <f>IFERROR(__xludf.DUMMYFUNCTION("""COMPUTED_VALUE"""),"--")</f>
        <v>--</v>
      </c>
      <c r="AC706" s="251" t="str">
        <f>IFERROR(__xludf.DUMMYFUNCTION("""COMPUTED_VALUE"""),"--")</f>
        <v>--</v>
      </c>
      <c r="AD706" s="251">
        <f>IFERROR(__xludf.DUMMYFUNCTION("""COMPUTED_VALUE"""),2.0)</f>
        <v>2</v>
      </c>
      <c r="AE706" s="251" t="str">
        <f>IFERROR(__xludf.DUMMYFUNCTION("""COMPUTED_VALUE"""),"Phototroph")</f>
        <v>Phototroph</v>
      </c>
    </row>
    <row r="707">
      <c r="A707" s="251" t="str">
        <f>IFERROR(__xludf.DUMMYFUNCTION("""COMPUTED_VALUE"""),"Exeggutor")</f>
        <v>Exeggutor</v>
      </c>
      <c r="B707" s="251" t="str">
        <f>IFERROR(__xludf.DUMMYFUNCTION("""COMPUTED_VALUE"""),"Grass")</f>
        <v>Grass</v>
      </c>
      <c r="C707" s="251" t="str">
        <f>IFERROR(__xludf.DUMMYFUNCTION("""COMPUTED_VALUE"""),"Psychic")</f>
        <v>Psychic</v>
      </c>
      <c r="D707" s="251">
        <f>IFERROR(__xludf.DUMMYFUNCTION("""COMPUTED_VALUE"""),10.0)</f>
        <v>10</v>
      </c>
      <c r="E707" s="251">
        <f>IFERROR(__xludf.DUMMYFUNCTION("""COMPUTED_VALUE"""),10.0)</f>
        <v>10</v>
      </c>
      <c r="F707" s="251">
        <f>IFERROR(__xludf.DUMMYFUNCTION("""COMPUTED_VALUE"""),9.0)</f>
        <v>9</v>
      </c>
      <c r="G707" s="251">
        <f>IFERROR(__xludf.DUMMYFUNCTION("""COMPUTED_VALUE"""),13.0)</f>
        <v>13</v>
      </c>
      <c r="H707" s="251">
        <f>IFERROR(__xludf.DUMMYFUNCTION("""COMPUTED_VALUE"""),8.0)</f>
        <v>8</v>
      </c>
      <c r="I707" s="251">
        <f>IFERROR(__xludf.DUMMYFUNCTION("""COMPUTED_VALUE"""),6.0)</f>
        <v>6</v>
      </c>
      <c r="J707" s="251">
        <f>IFERROR(__xludf.DUMMYFUNCTION("""COMPUTED_VALUE"""),6.0)</f>
        <v>6</v>
      </c>
      <c r="K707" s="251" t="str">
        <f>IFERROR(__xludf.DUMMYFUNCTION("""COMPUTED_VALUE"""),"Large")</f>
        <v>Large</v>
      </c>
      <c r="L707" s="251">
        <f>IFERROR(__xludf.DUMMYFUNCTION("""COMPUTED_VALUE"""),5.0)</f>
        <v>5</v>
      </c>
      <c r="M707" s="251" t="str">
        <f>IFERROR(__xludf.DUMMYFUNCTION("""COMPUTED_VALUE"""),"Forest")</f>
        <v>Forest</v>
      </c>
      <c r="N707" s="251" t="str">
        <f>IFERROR(__xludf.DUMMYFUNCTION("""COMPUTED_VALUE"""),"--")</f>
        <v>--</v>
      </c>
      <c r="O707" s="251" t="str">
        <f>IFERROR(__xludf.DUMMYFUNCTION("""COMPUTED_VALUE"""),"--")</f>
        <v>--</v>
      </c>
      <c r="P707" s="251" t="str">
        <f>IFERROR(__xludf.DUMMYFUNCTION("""COMPUTED_VALUE"""),"--")</f>
        <v>--</v>
      </c>
      <c r="Q707" s="251" t="str">
        <f>IFERROR(__xludf.DUMMYFUNCTION("""COMPUTED_VALUE"""),"--")</f>
        <v>--</v>
      </c>
      <c r="R707" s="251" t="str">
        <f>IFERROR(__xludf.DUMMYFUNCTION("""COMPUTED_VALUE"""),"--")</f>
        <v>--</v>
      </c>
      <c r="S707" s="251" t="str">
        <f>IFERROR(__xludf.DUMMYFUNCTION("""COMPUTED_VALUE"""),"--")</f>
        <v>--</v>
      </c>
      <c r="T707" s="251" t="str">
        <f>IFERROR(__xludf.DUMMYFUNCTION("""COMPUTED_VALUE"""),"--")</f>
        <v>--</v>
      </c>
      <c r="U707" s="251" t="str">
        <f>IFERROR(__xludf.DUMMYFUNCTION("""COMPUTED_VALUE"""),"--")</f>
        <v>--</v>
      </c>
      <c r="V707" s="251" t="str">
        <f>IFERROR(__xludf.DUMMYFUNCTION("""COMPUTED_VALUE"""),"--")</f>
        <v>--</v>
      </c>
      <c r="W707" s="251" t="str">
        <f>IFERROR(__xludf.DUMMYFUNCTION("""COMPUTED_VALUE"""),"--")</f>
        <v>--</v>
      </c>
      <c r="X707" s="251" t="str">
        <f>IFERROR(__xludf.DUMMYFUNCTION("""COMPUTED_VALUE"""),"--")</f>
        <v>--</v>
      </c>
      <c r="Y707" s="251" t="str">
        <f>IFERROR(__xludf.DUMMYFUNCTION("""COMPUTED_VALUE"""),"--")</f>
        <v>--</v>
      </c>
      <c r="Z707" s="251" t="str">
        <f>IFERROR(__xludf.DUMMYFUNCTION("""COMPUTED_VALUE"""),"--")</f>
        <v>--</v>
      </c>
      <c r="AA707" s="251" t="str">
        <f>IFERROR(__xludf.DUMMYFUNCTION("""COMPUTED_VALUE"""),"--")</f>
        <v>--</v>
      </c>
      <c r="AB707" s="251" t="str">
        <f>IFERROR(__xludf.DUMMYFUNCTION("""COMPUTED_VALUE"""),"--")</f>
        <v>--</v>
      </c>
      <c r="AC707" s="251" t="str">
        <f>IFERROR(__xludf.DUMMYFUNCTION("""COMPUTED_VALUE"""),"--")</f>
        <v>--</v>
      </c>
      <c r="AD707" s="251">
        <f>IFERROR(__xludf.DUMMYFUNCTION("""COMPUTED_VALUE"""),3.0)</f>
        <v>3</v>
      </c>
      <c r="AE707" s="251" t="str">
        <f>IFERROR(__xludf.DUMMYFUNCTION("""COMPUTED_VALUE"""),"Phototroph")</f>
        <v>Phototroph</v>
      </c>
    </row>
    <row r="708">
      <c r="A708" s="251" t="str">
        <f>IFERROR(__xludf.DUMMYFUNCTION("""COMPUTED_VALUE"""),"Alolan Exeggutor")</f>
        <v>Alolan Exeggutor</v>
      </c>
      <c r="B708" s="251" t="str">
        <f>IFERROR(__xludf.DUMMYFUNCTION("""COMPUTED_VALUE"""),"Grass")</f>
        <v>Grass</v>
      </c>
      <c r="C708" s="251" t="str">
        <f>IFERROR(__xludf.DUMMYFUNCTION("""COMPUTED_VALUE"""),"Dragon")</f>
        <v>Dragon</v>
      </c>
      <c r="D708" s="251">
        <f>IFERROR(__xludf.DUMMYFUNCTION("""COMPUTED_VALUE"""),10.0)</f>
        <v>10</v>
      </c>
      <c r="E708" s="251">
        <f>IFERROR(__xludf.DUMMYFUNCTION("""COMPUTED_VALUE"""),11.0)</f>
        <v>11</v>
      </c>
      <c r="F708" s="251">
        <f>IFERROR(__xludf.DUMMYFUNCTION("""COMPUTED_VALUE"""),9.0)</f>
        <v>9</v>
      </c>
      <c r="G708" s="251">
        <f>IFERROR(__xludf.DUMMYFUNCTION("""COMPUTED_VALUE"""),13.0)</f>
        <v>13</v>
      </c>
      <c r="H708" s="251">
        <f>IFERROR(__xludf.DUMMYFUNCTION("""COMPUTED_VALUE"""),8.0)</f>
        <v>8</v>
      </c>
      <c r="I708" s="251">
        <f>IFERROR(__xludf.DUMMYFUNCTION("""COMPUTED_VALUE"""),5.0)</f>
        <v>5</v>
      </c>
      <c r="J708" s="251">
        <f>IFERROR(__xludf.DUMMYFUNCTION("""COMPUTED_VALUE"""),6.0)</f>
        <v>6</v>
      </c>
      <c r="K708" s="251" t="str">
        <f>IFERROR(__xludf.DUMMYFUNCTION("""COMPUTED_VALUE"""),"Huge")</f>
        <v>Huge</v>
      </c>
      <c r="L708" s="251">
        <f>IFERROR(__xludf.DUMMYFUNCTION("""COMPUTED_VALUE"""),6.0)</f>
        <v>6</v>
      </c>
      <c r="M708" s="251" t="str">
        <f>IFERROR(__xludf.DUMMYFUNCTION("""COMPUTED_VALUE"""),"Forest, Grasslands")</f>
        <v>Forest, Grasslands</v>
      </c>
      <c r="N708" s="251" t="str">
        <f>IFERROR(__xludf.DUMMYFUNCTION("""COMPUTED_VALUE"""),"Grounded")</f>
        <v>Grounded</v>
      </c>
      <c r="O708" s="251" t="str">
        <f>IFERROR(__xludf.DUMMYFUNCTION("""COMPUTED_VALUE"""),"--")</f>
        <v>--</v>
      </c>
      <c r="P708" s="251" t="str">
        <f>IFERROR(__xludf.DUMMYFUNCTION("""COMPUTED_VALUE"""),"--")</f>
        <v>--</v>
      </c>
      <c r="Q708" s="251" t="str">
        <f>IFERROR(__xludf.DUMMYFUNCTION("""COMPUTED_VALUE"""),"--")</f>
        <v>--</v>
      </c>
      <c r="R708" s="251" t="str">
        <f>IFERROR(__xludf.DUMMYFUNCTION("""COMPUTED_VALUE"""),"Reach")</f>
        <v>Reach</v>
      </c>
      <c r="S708" s="251" t="str">
        <f>IFERROR(__xludf.DUMMYFUNCTION("""COMPUTED_VALUE"""),"--")</f>
        <v>--</v>
      </c>
      <c r="T708" s="251" t="str">
        <f>IFERROR(__xludf.DUMMYFUNCTION("""COMPUTED_VALUE"""),"--")</f>
        <v>--</v>
      </c>
      <c r="U708" s="251" t="str">
        <f>IFERROR(__xludf.DUMMYFUNCTION("""COMPUTED_VALUE"""),"--")</f>
        <v>--</v>
      </c>
      <c r="V708" s="251" t="str">
        <f>IFERROR(__xludf.DUMMYFUNCTION("""COMPUTED_VALUE"""),"--")</f>
        <v>--</v>
      </c>
      <c r="W708" s="251" t="str">
        <f>IFERROR(__xludf.DUMMYFUNCTION("""COMPUTED_VALUE"""),"--")</f>
        <v>--</v>
      </c>
      <c r="X708" s="251" t="str">
        <f>IFERROR(__xludf.DUMMYFUNCTION("""COMPUTED_VALUE"""),"--")</f>
        <v>--</v>
      </c>
      <c r="Y708" s="251" t="str">
        <f>IFERROR(__xludf.DUMMYFUNCTION("""COMPUTED_VALUE"""),"--")</f>
        <v>--</v>
      </c>
      <c r="Z708" s="251" t="str">
        <f>IFERROR(__xludf.DUMMYFUNCTION("""COMPUTED_VALUE"""),"--")</f>
        <v>--</v>
      </c>
      <c r="AA708" s="251" t="str">
        <f>IFERROR(__xludf.DUMMYFUNCTION("""COMPUTED_VALUE"""),"--")</f>
        <v>--</v>
      </c>
      <c r="AB708" s="251" t="str">
        <f>IFERROR(__xludf.DUMMYFUNCTION("""COMPUTED_VALUE"""),"--")</f>
        <v>--</v>
      </c>
      <c r="AC708" s="251" t="str">
        <f>IFERROR(__xludf.DUMMYFUNCTION("""COMPUTED_VALUE"""),"--")</f>
        <v>--</v>
      </c>
      <c r="AD708" s="251">
        <f>IFERROR(__xludf.DUMMYFUNCTION("""COMPUTED_VALUE"""),3.0)</f>
        <v>3</v>
      </c>
      <c r="AE708" s="251" t="str">
        <f>IFERROR(__xludf.DUMMYFUNCTION("""COMPUTED_VALUE"""),"Phototroph")</f>
        <v>Phototroph</v>
      </c>
    </row>
    <row r="709">
      <c r="A709" s="251" t="str">
        <f>IFERROR(__xludf.DUMMYFUNCTION("""COMPUTED_VALUE"""),"Tangela")</f>
        <v>Tangela</v>
      </c>
      <c r="B709" s="251" t="str">
        <f>IFERROR(__xludf.DUMMYFUNCTION("""COMPUTED_VALUE"""),"Grass")</f>
        <v>Grass</v>
      </c>
      <c r="C709" s="251" t="str">
        <f>IFERROR(__xludf.DUMMYFUNCTION("""COMPUTED_VALUE"""),"None")</f>
        <v>None</v>
      </c>
      <c r="D709" s="251">
        <f>IFERROR(__xludf.DUMMYFUNCTION("""COMPUTED_VALUE"""),7.0)</f>
        <v>7</v>
      </c>
      <c r="E709" s="251">
        <f>IFERROR(__xludf.DUMMYFUNCTION("""COMPUTED_VALUE"""),6.0)</f>
        <v>6</v>
      </c>
      <c r="F709" s="251">
        <f>IFERROR(__xludf.DUMMYFUNCTION("""COMPUTED_VALUE"""),12.0)</f>
        <v>12</v>
      </c>
      <c r="G709" s="251">
        <f>IFERROR(__xludf.DUMMYFUNCTION("""COMPUTED_VALUE"""),10.0)</f>
        <v>10</v>
      </c>
      <c r="H709" s="251">
        <f>IFERROR(__xludf.DUMMYFUNCTION("""COMPUTED_VALUE"""),4.0)</f>
        <v>4</v>
      </c>
      <c r="I709" s="251">
        <f>IFERROR(__xludf.DUMMYFUNCTION("""COMPUTED_VALUE"""),6.0)</f>
        <v>6</v>
      </c>
      <c r="J709" s="251">
        <f>IFERROR(__xludf.DUMMYFUNCTION("""COMPUTED_VALUE"""),4.0)</f>
        <v>4</v>
      </c>
      <c r="K709" s="251" t="str">
        <f>IFERROR(__xludf.DUMMYFUNCTION("""COMPUTED_VALUE"""),"Medium")</f>
        <v>Medium</v>
      </c>
      <c r="L709" s="251">
        <f>IFERROR(__xludf.DUMMYFUNCTION("""COMPUTED_VALUE"""),3.0)</f>
        <v>3</v>
      </c>
      <c r="M709" s="251" t="str">
        <f>IFERROR(__xludf.DUMMYFUNCTION("""COMPUTED_VALUE"""),"Forest, Grasslands")</f>
        <v>Forest, Grasslands</v>
      </c>
      <c r="N709" s="251" t="str">
        <f>IFERROR(__xludf.DUMMYFUNCTION("""COMPUTED_VALUE"""),"--")</f>
        <v>--</v>
      </c>
      <c r="O709" s="251" t="str">
        <f>IFERROR(__xludf.DUMMYFUNCTION("""COMPUTED_VALUE"""),"--")</f>
        <v>--</v>
      </c>
      <c r="P709" s="251" t="str">
        <f>IFERROR(__xludf.DUMMYFUNCTION("""COMPUTED_VALUE"""),"--")</f>
        <v>--</v>
      </c>
      <c r="Q709" s="251" t="str">
        <f>IFERROR(__xludf.DUMMYFUNCTION("""COMPUTED_VALUE"""),"--")</f>
        <v>--</v>
      </c>
      <c r="R709" s="251" t="str">
        <f>IFERROR(__xludf.DUMMYFUNCTION("""COMPUTED_VALUE"""),"Reach")</f>
        <v>Reach</v>
      </c>
      <c r="S709" s="251" t="str">
        <f>IFERROR(__xludf.DUMMYFUNCTION("""COMPUTED_VALUE"""),"Threaded")</f>
        <v>Threaded</v>
      </c>
      <c r="T709" s="251" t="str">
        <f>IFERROR(__xludf.DUMMYFUNCTION("""COMPUTED_VALUE"""),"Underdog")</f>
        <v>Underdog</v>
      </c>
      <c r="U709" s="251" t="str">
        <f>IFERROR(__xludf.DUMMYFUNCTION("""COMPUTED_VALUE"""),"--")</f>
        <v>--</v>
      </c>
      <c r="V709" s="251" t="str">
        <f>IFERROR(__xludf.DUMMYFUNCTION("""COMPUTED_VALUE"""),"--")</f>
        <v>--</v>
      </c>
      <c r="W709" s="251" t="str">
        <f>IFERROR(__xludf.DUMMYFUNCTION("""COMPUTED_VALUE"""),"--")</f>
        <v>--</v>
      </c>
      <c r="X709" s="251" t="str">
        <f>IFERROR(__xludf.DUMMYFUNCTION("""COMPUTED_VALUE"""),"--")</f>
        <v>--</v>
      </c>
      <c r="Y709" s="251" t="str">
        <f>IFERROR(__xludf.DUMMYFUNCTION("""COMPUTED_VALUE"""),"--")</f>
        <v>--</v>
      </c>
      <c r="Z709" s="251" t="str">
        <f>IFERROR(__xludf.DUMMYFUNCTION("""COMPUTED_VALUE"""),"--")</f>
        <v>--</v>
      </c>
      <c r="AA709" s="251" t="str">
        <f>IFERROR(__xludf.DUMMYFUNCTION("""COMPUTED_VALUE"""),"--")</f>
        <v>--</v>
      </c>
      <c r="AB709" s="251" t="str">
        <f>IFERROR(__xludf.DUMMYFUNCTION("""COMPUTED_VALUE"""),"--")</f>
        <v>--</v>
      </c>
      <c r="AC709" s="251" t="str">
        <f>IFERROR(__xludf.DUMMYFUNCTION("""COMPUTED_VALUE"""),"--")</f>
        <v>--</v>
      </c>
      <c r="AD709" s="251">
        <f>IFERROR(__xludf.DUMMYFUNCTION("""COMPUTED_VALUE"""),2.0)</f>
        <v>2</v>
      </c>
      <c r="AE709" s="251" t="str">
        <f>IFERROR(__xludf.DUMMYFUNCTION("""COMPUTED_VALUE"""),"Phototroph")</f>
        <v>Phototroph</v>
      </c>
    </row>
    <row r="710">
      <c r="A710" s="251" t="str">
        <f>IFERROR(__xludf.DUMMYFUNCTION("""COMPUTED_VALUE"""),"Tangrowth")</f>
        <v>Tangrowth</v>
      </c>
      <c r="B710" s="251" t="str">
        <f>IFERROR(__xludf.DUMMYFUNCTION("""COMPUTED_VALUE"""),"Grass")</f>
        <v>Grass</v>
      </c>
      <c r="C710" s="251" t="str">
        <f>IFERROR(__xludf.DUMMYFUNCTION("""COMPUTED_VALUE"""),"None")</f>
        <v>None</v>
      </c>
      <c r="D710" s="251">
        <f>IFERROR(__xludf.DUMMYFUNCTION("""COMPUTED_VALUE"""),10.0)</f>
        <v>10</v>
      </c>
      <c r="E710" s="251">
        <f>IFERROR(__xludf.DUMMYFUNCTION("""COMPUTED_VALUE"""),10.0)</f>
        <v>10</v>
      </c>
      <c r="F710" s="251">
        <f>IFERROR(__xludf.DUMMYFUNCTION("""COMPUTED_VALUE"""),13.0)</f>
        <v>13</v>
      </c>
      <c r="G710" s="251">
        <f>IFERROR(__xludf.DUMMYFUNCTION("""COMPUTED_VALUE"""),11.0)</f>
        <v>11</v>
      </c>
      <c r="H710" s="251">
        <f>IFERROR(__xludf.DUMMYFUNCTION("""COMPUTED_VALUE"""),5.0)</f>
        <v>5</v>
      </c>
      <c r="I710" s="251">
        <f>IFERROR(__xludf.DUMMYFUNCTION("""COMPUTED_VALUE"""),5.0)</f>
        <v>5</v>
      </c>
      <c r="J710" s="251">
        <f>IFERROR(__xludf.DUMMYFUNCTION("""COMPUTED_VALUE"""),7.0)</f>
        <v>7</v>
      </c>
      <c r="K710" s="251" t="str">
        <f>IFERROR(__xludf.DUMMYFUNCTION("""COMPUTED_VALUE"""),"Large")</f>
        <v>Large</v>
      </c>
      <c r="L710" s="251">
        <f>IFERROR(__xludf.DUMMYFUNCTION("""COMPUTED_VALUE"""),5.0)</f>
        <v>5</v>
      </c>
      <c r="M710" s="251" t="str">
        <f>IFERROR(__xludf.DUMMYFUNCTION("""COMPUTED_VALUE"""),"Forest, Grasslands")</f>
        <v>Forest, Grasslands</v>
      </c>
      <c r="N710" s="251" t="str">
        <f>IFERROR(__xludf.DUMMYFUNCTION("""COMPUTED_VALUE"""),"--")</f>
        <v>--</v>
      </c>
      <c r="O710" s="251" t="str">
        <f>IFERROR(__xludf.DUMMYFUNCTION("""COMPUTED_VALUE"""),"--")</f>
        <v>--</v>
      </c>
      <c r="P710" s="251" t="str">
        <f>IFERROR(__xludf.DUMMYFUNCTION("""COMPUTED_VALUE"""),"--")</f>
        <v>--</v>
      </c>
      <c r="Q710" s="251" t="str">
        <f>IFERROR(__xludf.DUMMYFUNCTION("""COMPUTED_VALUE"""),"--")</f>
        <v>--</v>
      </c>
      <c r="R710" s="251" t="str">
        <f>IFERROR(__xludf.DUMMYFUNCTION("""COMPUTED_VALUE"""),"Reach")</f>
        <v>Reach</v>
      </c>
      <c r="S710" s="251" t="str">
        <f>IFERROR(__xludf.DUMMYFUNCTION("""COMPUTED_VALUE"""),"Threaded")</f>
        <v>Threaded</v>
      </c>
      <c r="T710" s="251" t="str">
        <f>IFERROR(__xludf.DUMMYFUNCTION("""COMPUTED_VALUE"""),"--")</f>
        <v>--</v>
      </c>
      <c r="U710" s="251" t="str">
        <f>IFERROR(__xludf.DUMMYFUNCTION("""COMPUTED_VALUE"""),"--")</f>
        <v>--</v>
      </c>
      <c r="V710" s="251" t="str">
        <f>IFERROR(__xludf.DUMMYFUNCTION("""COMPUTED_VALUE"""),"--")</f>
        <v>--</v>
      </c>
      <c r="W710" s="251" t="str">
        <f>IFERROR(__xludf.DUMMYFUNCTION("""COMPUTED_VALUE"""),"--")</f>
        <v>--</v>
      </c>
      <c r="X710" s="251" t="str">
        <f>IFERROR(__xludf.DUMMYFUNCTION("""COMPUTED_VALUE"""),"--")</f>
        <v>--</v>
      </c>
      <c r="Y710" s="251" t="str">
        <f>IFERROR(__xludf.DUMMYFUNCTION("""COMPUTED_VALUE"""),"--")</f>
        <v>--</v>
      </c>
      <c r="Z710" s="251" t="str">
        <f>IFERROR(__xludf.DUMMYFUNCTION("""COMPUTED_VALUE"""),"--")</f>
        <v>--</v>
      </c>
      <c r="AA710" s="251" t="str">
        <f>IFERROR(__xludf.DUMMYFUNCTION("""COMPUTED_VALUE"""),"--")</f>
        <v>--</v>
      </c>
      <c r="AB710" s="251" t="str">
        <f>IFERROR(__xludf.DUMMYFUNCTION("""COMPUTED_VALUE"""),"--")</f>
        <v>--</v>
      </c>
      <c r="AC710" s="251" t="str">
        <f>IFERROR(__xludf.DUMMYFUNCTION("""COMPUTED_VALUE"""),"--")</f>
        <v>--</v>
      </c>
      <c r="AD710" s="251">
        <f>IFERROR(__xludf.DUMMYFUNCTION("""COMPUTED_VALUE"""),3.0)</f>
        <v>3</v>
      </c>
      <c r="AE710" s="251" t="str">
        <f>IFERROR(__xludf.DUMMYFUNCTION("""COMPUTED_VALUE"""),"Phototroph")</f>
        <v>Phototroph</v>
      </c>
    </row>
    <row r="711">
      <c r="A711" s="251" t="str">
        <f>IFERROR(__xludf.DUMMYFUNCTION("""COMPUTED_VALUE"""),"Sunkern")</f>
        <v>Sunkern</v>
      </c>
      <c r="B711" s="251" t="str">
        <f>IFERROR(__xludf.DUMMYFUNCTION("""COMPUTED_VALUE"""),"Grass")</f>
        <v>Grass</v>
      </c>
      <c r="C711" s="251" t="str">
        <f>IFERROR(__xludf.DUMMYFUNCTION("""COMPUTED_VALUE"""),"None")</f>
        <v>None</v>
      </c>
      <c r="D711" s="251">
        <f>IFERROR(__xludf.DUMMYFUNCTION("""COMPUTED_VALUE"""),5.0)</f>
        <v>5</v>
      </c>
      <c r="E711" s="251">
        <f>IFERROR(__xludf.DUMMYFUNCTION("""COMPUTED_VALUE"""),5.0)</f>
        <v>5</v>
      </c>
      <c r="F711" s="251">
        <f>IFERROR(__xludf.DUMMYFUNCTION("""COMPUTED_VALUE"""),5.0)</f>
        <v>5</v>
      </c>
      <c r="G711" s="251">
        <f>IFERROR(__xludf.DUMMYFUNCTION("""COMPUTED_VALUE"""),5.0)</f>
        <v>5</v>
      </c>
      <c r="H711" s="251">
        <f>IFERROR(__xludf.DUMMYFUNCTION("""COMPUTED_VALUE"""),5.0)</f>
        <v>5</v>
      </c>
      <c r="I711" s="251">
        <f>IFERROR(__xludf.DUMMYFUNCTION("""COMPUTED_VALUE"""),5.0)</f>
        <v>5</v>
      </c>
      <c r="J711" s="251">
        <f>IFERROR(__xludf.DUMMYFUNCTION("""COMPUTED_VALUE"""),1.0)</f>
        <v>1</v>
      </c>
      <c r="K711" s="251" t="str">
        <f>IFERROR(__xludf.DUMMYFUNCTION("""COMPUTED_VALUE"""),"Small")</f>
        <v>Small</v>
      </c>
      <c r="L711" s="251">
        <f>IFERROR(__xludf.DUMMYFUNCTION("""COMPUTED_VALUE"""),1.0)</f>
        <v>1</v>
      </c>
      <c r="M711" s="251" t="str">
        <f>IFERROR(__xludf.DUMMYFUNCTION("""COMPUTED_VALUE"""),"Forest, Grasslands")</f>
        <v>Forest, Grasslands</v>
      </c>
      <c r="N711" s="251" t="str">
        <f>IFERROR(__xludf.DUMMYFUNCTION("""COMPUTED_VALUE"""),"Slow")</f>
        <v>Slow</v>
      </c>
      <c r="O711" s="251" t="str">
        <f>IFERROR(__xludf.DUMMYFUNCTION("""COMPUTED_VALUE"""),"--")</f>
        <v>--</v>
      </c>
      <c r="P711" s="251" t="str">
        <f>IFERROR(__xludf.DUMMYFUNCTION("""COMPUTED_VALUE"""),"--")</f>
        <v>--</v>
      </c>
      <c r="Q711" s="251" t="str">
        <f>IFERROR(__xludf.DUMMYFUNCTION("""COMPUTED_VALUE"""),"--")</f>
        <v>--</v>
      </c>
      <c r="R711" s="251" t="str">
        <f>IFERROR(__xludf.DUMMYFUNCTION("""COMPUTED_VALUE"""),"Underdog")</f>
        <v>Underdog</v>
      </c>
      <c r="S711" s="251" t="str">
        <f>IFERROR(__xludf.DUMMYFUNCTION("""COMPUTED_VALUE"""),"--")</f>
        <v>--</v>
      </c>
      <c r="T711" s="251" t="str">
        <f>IFERROR(__xludf.DUMMYFUNCTION("""COMPUTED_VALUE"""),"--")</f>
        <v>--</v>
      </c>
      <c r="U711" s="251" t="str">
        <f>IFERROR(__xludf.DUMMYFUNCTION("""COMPUTED_VALUE"""),"--")</f>
        <v>--</v>
      </c>
      <c r="V711" s="251" t="str">
        <f>IFERROR(__xludf.DUMMYFUNCTION("""COMPUTED_VALUE"""),"--")</f>
        <v>--</v>
      </c>
      <c r="W711" s="251" t="str">
        <f>IFERROR(__xludf.DUMMYFUNCTION("""COMPUTED_VALUE"""),"--")</f>
        <v>--</v>
      </c>
      <c r="X711" s="251" t="str">
        <f>IFERROR(__xludf.DUMMYFUNCTION("""COMPUTED_VALUE"""),"--")</f>
        <v>--</v>
      </c>
      <c r="Y711" s="251" t="str">
        <f>IFERROR(__xludf.DUMMYFUNCTION("""COMPUTED_VALUE"""),"--")</f>
        <v>--</v>
      </c>
      <c r="Z711" s="251" t="str">
        <f>IFERROR(__xludf.DUMMYFUNCTION("""COMPUTED_VALUE"""),"--")</f>
        <v>--</v>
      </c>
      <c r="AA711" s="251" t="str">
        <f>IFERROR(__xludf.DUMMYFUNCTION("""COMPUTED_VALUE"""),"--")</f>
        <v>--</v>
      </c>
      <c r="AB711" s="251" t="str">
        <f>IFERROR(__xludf.DUMMYFUNCTION("""COMPUTED_VALUE"""),"--")</f>
        <v>--</v>
      </c>
      <c r="AC711" s="251" t="str">
        <f>IFERROR(__xludf.DUMMYFUNCTION("""COMPUTED_VALUE"""),"--")</f>
        <v>--</v>
      </c>
      <c r="AD711" s="251">
        <f>IFERROR(__xludf.DUMMYFUNCTION("""COMPUTED_VALUE"""),2.0)</f>
        <v>2</v>
      </c>
      <c r="AE711" s="251" t="str">
        <f>IFERROR(__xludf.DUMMYFUNCTION("""COMPUTED_VALUE"""),"Phototroph")</f>
        <v>Phototroph</v>
      </c>
    </row>
    <row r="712">
      <c r="A712" s="251" t="str">
        <f>IFERROR(__xludf.DUMMYFUNCTION("""COMPUTED_VALUE"""),"Sunflora")</f>
        <v>Sunflora</v>
      </c>
      <c r="B712" s="251" t="str">
        <f>IFERROR(__xludf.DUMMYFUNCTION("""COMPUTED_VALUE"""),"Grass")</f>
        <v>Grass</v>
      </c>
      <c r="C712" s="251" t="str">
        <f>IFERROR(__xludf.DUMMYFUNCTION("""COMPUTED_VALUE"""),"None")</f>
        <v>None</v>
      </c>
      <c r="D712" s="251">
        <f>IFERROR(__xludf.DUMMYFUNCTION("""COMPUTED_VALUE"""),9.0)</f>
        <v>9</v>
      </c>
      <c r="E712" s="251">
        <f>IFERROR(__xludf.DUMMYFUNCTION("""COMPUTED_VALUE"""),9.0)</f>
        <v>9</v>
      </c>
      <c r="F712" s="251">
        <f>IFERROR(__xludf.DUMMYFUNCTION("""COMPUTED_VALUE"""),7.0)</f>
        <v>7</v>
      </c>
      <c r="G712" s="251">
        <f>IFERROR(__xludf.DUMMYFUNCTION("""COMPUTED_VALUE"""),12.0)</f>
        <v>12</v>
      </c>
      <c r="H712" s="251">
        <f>IFERROR(__xludf.DUMMYFUNCTION("""COMPUTED_VALUE"""),10.0)</f>
        <v>10</v>
      </c>
      <c r="I712" s="251">
        <f>IFERROR(__xludf.DUMMYFUNCTION("""COMPUTED_VALUE"""),4.0)</f>
        <v>4</v>
      </c>
      <c r="J712" s="251">
        <f>IFERROR(__xludf.DUMMYFUNCTION("""COMPUTED_VALUE"""),3.0)</f>
        <v>3</v>
      </c>
      <c r="K712" s="251" t="str">
        <f>IFERROR(__xludf.DUMMYFUNCTION("""COMPUTED_VALUE"""),"Small")</f>
        <v>Small</v>
      </c>
      <c r="L712" s="251">
        <f>IFERROR(__xludf.DUMMYFUNCTION("""COMPUTED_VALUE"""),1.0)</f>
        <v>1</v>
      </c>
      <c r="M712" s="251" t="str">
        <f>IFERROR(__xludf.DUMMYFUNCTION("""COMPUTED_VALUE"""),"Forest, Grasslands")</f>
        <v>Forest, Grasslands</v>
      </c>
      <c r="N712" s="251" t="str">
        <f>IFERROR(__xludf.DUMMYFUNCTION("""COMPUTED_VALUE"""),"--")</f>
        <v>--</v>
      </c>
      <c r="O712" s="251" t="str">
        <f>IFERROR(__xludf.DUMMYFUNCTION("""COMPUTED_VALUE"""),"--")</f>
        <v>--</v>
      </c>
      <c r="P712" s="251" t="str">
        <f>IFERROR(__xludf.DUMMYFUNCTION("""COMPUTED_VALUE"""),"--")</f>
        <v>--</v>
      </c>
      <c r="Q712" s="251" t="str">
        <f>IFERROR(__xludf.DUMMYFUNCTION("""COMPUTED_VALUE"""),"--")</f>
        <v>--</v>
      </c>
      <c r="R712" s="251" t="str">
        <f>IFERROR(__xludf.DUMMYFUNCTION("""COMPUTED_VALUE"""),"--")</f>
        <v>--</v>
      </c>
      <c r="S712" s="251" t="str">
        <f>IFERROR(__xludf.DUMMYFUNCTION("""COMPUTED_VALUE"""),"--")</f>
        <v>--</v>
      </c>
      <c r="T712" s="251" t="str">
        <f>IFERROR(__xludf.DUMMYFUNCTION("""COMPUTED_VALUE"""),"--")</f>
        <v>--</v>
      </c>
      <c r="U712" s="251" t="str">
        <f>IFERROR(__xludf.DUMMYFUNCTION("""COMPUTED_VALUE"""),"--")</f>
        <v>--</v>
      </c>
      <c r="V712" s="251" t="str">
        <f>IFERROR(__xludf.DUMMYFUNCTION("""COMPUTED_VALUE"""),"--")</f>
        <v>--</v>
      </c>
      <c r="W712" s="251" t="str">
        <f>IFERROR(__xludf.DUMMYFUNCTION("""COMPUTED_VALUE"""),"--")</f>
        <v>--</v>
      </c>
      <c r="X712" s="251" t="str">
        <f>IFERROR(__xludf.DUMMYFUNCTION("""COMPUTED_VALUE"""),"--")</f>
        <v>--</v>
      </c>
      <c r="Y712" s="251" t="str">
        <f>IFERROR(__xludf.DUMMYFUNCTION("""COMPUTED_VALUE"""),"--")</f>
        <v>--</v>
      </c>
      <c r="Z712" s="251" t="str">
        <f>IFERROR(__xludf.DUMMYFUNCTION("""COMPUTED_VALUE"""),"--")</f>
        <v>--</v>
      </c>
      <c r="AA712" s="251" t="str">
        <f>IFERROR(__xludf.DUMMYFUNCTION("""COMPUTED_VALUE"""),"--")</f>
        <v>--</v>
      </c>
      <c r="AB712" s="251" t="str">
        <f>IFERROR(__xludf.DUMMYFUNCTION("""COMPUTED_VALUE"""),"--")</f>
        <v>--</v>
      </c>
      <c r="AC712" s="251" t="str">
        <f>IFERROR(__xludf.DUMMYFUNCTION("""COMPUTED_VALUE"""),"--")</f>
        <v>--</v>
      </c>
      <c r="AD712" s="251">
        <f>IFERROR(__xludf.DUMMYFUNCTION("""COMPUTED_VALUE"""),3.0)</f>
        <v>3</v>
      </c>
      <c r="AE712" s="251" t="str">
        <f>IFERROR(__xludf.DUMMYFUNCTION("""COMPUTED_VALUE"""),"Phototroph")</f>
        <v>Phototroph</v>
      </c>
    </row>
    <row r="713">
      <c r="A713" s="251" t="str">
        <f>IFERROR(__xludf.DUMMYFUNCTION("""COMPUTED_VALUE"""),"Shroomish")</f>
        <v>Shroomish</v>
      </c>
      <c r="B713" s="251" t="str">
        <f>IFERROR(__xludf.DUMMYFUNCTION("""COMPUTED_VALUE"""),"Grass")</f>
        <v>Grass</v>
      </c>
      <c r="C713" s="251" t="str">
        <f>IFERROR(__xludf.DUMMYFUNCTION("""COMPUTED_VALUE"""),"None")</f>
        <v>None</v>
      </c>
      <c r="D713" s="251">
        <f>IFERROR(__xludf.DUMMYFUNCTION("""COMPUTED_VALUE"""),6.0)</f>
        <v>6</v>
      </c>
      <c r="E713" s="251">
        <f>IFERROR(__xludf.DUMMYFUNCTION("""COMPUTED_VALUE"""),5.0)</f>
        <v>5</v>
      </c>
      <c r="F713" s="251">
        <f>IFERROR(__xludf.DUMMYFUNCTION("""COMPUTED_VALUE"""),6.0)</f>
        <v>6</v>
      </c>
      <c r="G713" s="251">
        <f>IFERROR(__xludf.DUMMYFUNCTION("""COMPUTED_VALUE"""),5.0)</f>
        <v>5</v>
      </c>
      <c r="H713" s="251">
        <f>IFERROR(__xludf.DUMMYFUNCTION("""COMPUTED_VALUE"""),6.0)</f>
        <v>6</v>
      </c>
      <c r="I713" s="251">
        <f>IFERROR(__xludf.DUMMYFUNCTION("""COMPUTED_VALUE"""),5.0)</f>
        <v>5</v>
      </c>
      <c r="J713" s="251">
        <f>IFERROR(__xludf.DUMMYFUNCTION("""COMPUTED_VALUE"""),2.0)</f>
        <v>2</v>
      </c>
      <c r="K713" s="251" t="str">
        <f>IFERROR(__xludf.DUMMYFUNCTION("""COMPUTED_VALUE"""),"Small")</f>
        <v>Small</v>
      </c>
      <c r="L713" s="251">
        <f>IFERROR(__xludf.DUMMYFUNCTION("""COMPUTED_VALUE"""),1.0)</f>
        <v>1</v>
      </c>
      <c r="M713" s="251" t="str">
        <f>IFERROR(__xludf.DUMMYFUNCTION("""COMPUTED_VALUE"""),"Forest")</f>
        <v>Forest</v>
      </c>
      <c r="N713" s="251" t="str">
        <f>IFERROR(__xludf.DUMMYFUNCTION("""COMPUTED_VALUE"""),"Slow")</f>
        <v>Slow</v>
      </c>
      <c r="O713" s="251" t="str">
        <f>IFERROR(__xludf.DUMMYFUNCTION("""COMPUTED_VALUE"""),"--")</f>
        <v>--</v>
      </c>
      <c r="P713" s="251" t="str">
        <f>IFERROR(__xludf.DUMMYFUNCTION("""COMPUTED_VALUE"""),"--")</f>
        <v>--</v>
      </c>
      <c r="Q713" s="251" t="str">
        <f>IFERROR(__xludf.DUMMYFUNCTION("""COMPUTED_VALUE"""),"--")</f>
        <v>--</v>
      </c>
      <c r="R713" s="251" t="str">
        <f>IFERROR(__xludf.DUMMYFUNCTION("""COMPUTED_VALUE"""),"Underdog")</f>
        <v>Underdog</v>
      </c>
      <c r="S713" s="251" t="str">
        <f>IFERROR(__xludf.DUMMYFUNCTION("""COMPUTED_VALUE"""),"--")</f>
        <v>--</v>
      </c>
      <c r="T713" s="251" t="str">
        <f>IFERROR(__xludf.DUMMYFUNCTION("""COMPUTED_VALUE"""),"--")</f>
        <v>--</v>
      </c>
      <c r="U713" s="251" t="str">
        <f>IFERROR(__xludf.DUMMYFUNCTION("""COMPUTED_VALUE"""),"--")</f>
        <v>--</v>
      </c>
      <c r="V713" s="251" t="str">
        <f>IFERROR(__xludf.DUMMYFUNCTION("""COMPUTED_VALUE"""),"--")</f>
        <v>--</v>
      </c>
      <c r="W713" s="251" t="str">
        <f>IFERROR(__xludf.DUMMYFUNCTION("""COMPUTED_VALUE"""),"--")</f>
        <v>--</v>
      </c>
      <c r="X713" s="251" t="str">
        <f>IFERROR(__xludf.DUMMYFUNCTION("""COMPUTED_VALUE"""),"--")</f>
        <v>--</v>
      </c>
      <c r="Y713" s="251" t="str">
        <f>IFERROR(__xludf.DUMMYFUNCTION("""COMPUTED_VALUE"""),"--")</f>
        <v>--</v>
      </c>
      <c r="Z713" s="251" t="str">
        <f>IFERROR(__xludf.DUMMYFUNCTION("""COMPUTED_VALUE"""),"--")</f>
        <v>--</v>
      </c>
      <c r="AA713" s="251" t="str">
        <f>IFERROR(__xludf.DUMMYFUNCTION("""COMPUTED_VALUE"""),"--")</f>
        <v>--</v>
      </c>
      <c r="AB713" s="251" t="str">
        <f>IFERROR(__xludf.DUMMYFUNCTION("""COMPUTED_VALUE"""),"--")</f>
        <v>--</v>
      </c>
      <c r="AC713" s="251" t="str">
        <f>IFERROR(__xludf.DUMMYFUNCTION("""COMPUTED_VALUE"""),"--")</f>
        <v>--</v>
      </c>
      <c r="AD713" s="251">
        <f>IFERROR(__xludf.DUMMYFUNCTION("""COMPUTED_VALUE"""),2.0)</f>
        <v>2</v>
      </c>
      <c r="AE713" s="251" t="str">
        <f>IFERROR(__xludf.DUMMYFUNCTION("""COMPUTED_VALUE"""),"Phototroph")</f>
        <v>Phototroph</v>
      </c>
    </row>
    <row r="714">
      <c r="A714" s="251" t="str">
        <f>IFERROR(__xludf.DUMMYFUNCTION("""COMPUTED_VALUE"""),"Breloom")</f>
        <v>Breloom</v>
      </c>
      <c r="B714" s="251" t="str">
        <f>IFERROR(__xludf.DUMMYFUNCTION("""COMPUTED_VALUE"""),"Grass")</f>
        <v>Grass</v>
      </c>
      <c r="C714" s="251" t="str">
        <f>IFERROR(__xludf.DUMMYFUNCTION("""COMPUTED_VALUE"""),"Fighting")</f>
        <v>Fighting</v>
      </c>
      <c r="D714" s="251">
        <f>IFERROR(__xludf.DUMMYFUNCTION("""COMPUTED_VALUE"""),8.0)</f>
        <v>8</v>
      </c>
      <c r="E714" s="251">
        <f>IFERROR(__xludf.DUMMYFUNCTION("""COMPUTED_VALUE"""),13.0)</f>
        <v>13</v>
      </c>
      <c r="F714" s="251">
        <f>IFERROR(__xludf.DUMMYFUNCTION("""COMPUTED_VALUE"""),9.0)</f>
        <v>9</v>
      </c>
      <c r="G714" s="251">
        <f>IFERROR(__xludf.DUMMYFUNCTION("""COMPUTED_VALUE"""),6.0)</f>
        <v>6</v>
      </c>
      <c r="H714" s="251">
        <f>IFERROR(__xludf.DUMMYFUNCTION("""COMPUTED_VALUE"""),8.0)</f>
        <v>8</v>
      </c>
      <c r="I714" s="251">
        <f>IFERROR(__xludf.DUMMYFUNCTION("""COMPUTED_VALUE"""),7.0)</f>
        <v>7</v>
      </c>
      <c r="J714" s="251">
        <f>IFERROR(__xludf.DUMMYFUNCTION("""COMPUTED_VALUE"""),6.0)</f>
        <v>6</v>
      </c>
      <c r="K714" s="251" t="str">
        <f>IFERROR(__xludf.DUMMYFUNCTION("""COMPUTED_VALUE"""),"Medium")</f>
        <v>Medium</v>
      </c>
      <c r="L714" s="251">
        <f>IFERROR(__xludf.DUMMYFUNCTION("""COMPUTED_VALUE"""),3.0)</f>
        <v>3</v>
      </c>
      <c r="M714" s="251" t="str">
        <f>IFERROR(__xludf.DUMMYFUNCTION("""COMPUTED_VALUE"""),"Forest")</f>
        <v>Forest</v>
      </c>
      <c r="N714" s="251" t="str">
        <f>IFERROR(__xludf.DUMMYFUNCTION("""COMPUTED_VALUE"""),"--")</f>
        <v>--</v>
      </c>
      <c r="O714" s="251" t="str">
        <f>IFERROR(__xludf.DUMMYFUNCTION("""COMPUTED_VALUE"""),"--")</f>
        <v>--</v>
      </c>
      <c r="P714" s="251" t="str">
        <f>IFERROR(__xludf.DUMMYFUNCTION("""COMPUTED_VALUE"""),"--")</f>
        <v>--</v>
      </c>
      <c r="Q714" s="251" t="str">
        <f>IFERROR(__xludf.DUMMYFUNCTION("""COMPUTED_VALUE"""),"--")</f>
        <v>--</v>
      </c>
      <c r="R714" s="251" t="str">
        <f>IFERROR(__xludf.DUMMYFUNCTION("""COMPUTED_VALUE"""),"--")</f>
        <v>--</v>
      </c>
      <c r="S714" s="251" t="str">
        <f>IFERROR(__xludf.DUMMYFUNCTION("""COMPUTED_VALUE"""),"--")</f>
        <v>--</v>
      </c>
      <c r="T714" s="251" t="str">
        <f>IFERROR(__xludf.DUMMYFUNCTION("""COMPUTED_VALUE"""),"--")</f>
        <v>--</v>
      </c>
      <c r="U714" s="251" t="str">
        <f>IFERROR(__xludf.DUMMYFUNCTION("""COMPUTED_VALUE"""),"--")</f>
        <v>--</v>
      </c>
      <c r="V714" s="251" t="str">
        <f>IFERROR(__xludf.DUMMYFUNCTION("""COMPUTED_VALUE"""),"--")</f>
        <v>--</v>
      </c>
      <c r="W714" s="251" t="str">
        <f>IFERROR(__xludf.DUMMYFUNCTION("""COMPUTED_VALUE"""),"--")</f>
        <v>--</v>
      </c>
      <c r="X714" s="251" t="str">
        <f>IFERROR(__xludf.DUMMYFUNCTION("""COMPUTED_VALUE"""),"--")</f>
        <v>--</v>
      </c>
      <c r="Y714" s="251" t="str">
        <f>IFERROR(__xludf.DUMMYFUNCTION("""COMPUTED_VALUE"""),"--")</f>
        <v>--</v>
      </c>
      <c r="Z714" s="251" t="str">
        <f>IFERROR(__xludf.DUMMYFUNCTION("""COMPUTED_VALUE"""),"--")</f>
        <v>--</v>
      </c>
      <c r="AA714" s="251" t="str">
        <f>IFERROR(__xludf.DUMMYFUNCTION("""COMPUTED_VALUE"""),"--")</f>
        <v>--</v>
      </c>
      <c r="AB714" s="251" t="str">
        <f>IFERROR(__xludf.DUMMYFUNCTION("""COMPUTED_VALUE"""),"--")</f>
        <v>--</v>
      </c>
      <c r="AC714" s="251" t="str">
        <f>IFERROR(__xludf.DUMMYFUNCTION("""COMPUTED_VALUE"""),"--")</f>
        <v>--</v>
      </c>
      <c r="AD714" s="251">
        <f>IFERROR(__xludf.DUMMYFUNCTION("""COMPUTED_VALUE"""),3.0)</f>
        <v>3</v>
      </c>
      <c r="AE714" s="251" t="str">
        <f>IFERROR(__xludf.DUMMYFUNCTION("""COMPUTED_VALUE"""),"Phototroph")</f>
        <v>Phototroph</v>
      </c>
    </row>
    <row r="715">
      <c r="A715" s="251" t="str">
        <f>IFERROR(__xludf.DUMMYFUNCTION("""COMPUTED_VALUE"""),"Cacnea")</f>
        <v>Cacnea</v>
      </c>
      <c r="B715" s="251" t="str">
        <f>IFERROR(__xludf.DUMMYFUNCTION("""COMPUTED_VALUE"""),"Grass")</f>
        <v>Grass</v>
      </c>
      <c r="C715" s="251" t="str">
        <f>IFERROR(__xludf.DUMMYFUNCTION("""COMPUTED_VALUE"""),"None")</f>
        <v>None</v>
      </c>
      <c r="D715" s="251">
        <f>IFERROR(__xludf.DUMMYFUNCTION("""COMPUTED_VALUE"""),5.0)</f>
        <v>5</v>
      </c>
      <c r="E715" s="251">
        <f>IFERROR(__xludf.DUMMYFUNCTION("""COMPUTED_VALUE"""),9.0)</f>
        <v>9</v>
      </c>
      <c r="F715" s="251">
        <f>IFERROR(__xludf.DUMMYFUNCTION("""COMPUTED_VALUE"""),4.0)</f>
        <v>4</v>
      </c>
      <c r="G715" s="251">
        <f>IFERROR(__xludf.DUMMYFUNCTION("""COMPUTED_VALUE"""),9.0)</f>
        <v>9</v>
      </c>
      <c r="H715" s="251">
        <f>IFERROR(__xludf.DUMMYFUNCTION("""COMPUTED_VALUE"""),4.0)</f>
        <v>4</v>
      </c>
      <c r="I715" s="251">
        <f>IFERROR(__xludf.DUMMYFUNCTION("""COMPUTED_VALUE"""),4.0)</f>
        <v>4</v>
      </c>
      <c r="J715" s="251">
        <f>IFERROR(__xludf.DUMMYFUNCTION("""COMPUTED_VALUE"""),1.0)</f>
        <v>1</v>
      </c>
      <c r="K715" s="251" t="str">
        <f>IFERROR(__xludf.DUMMYFUNCTION("""COMPUTED_VALUE"""),"Small")</f>
        <v>Small</v>
      </c>
      <c r="L715" s="251">
        <f>IFERROR(__xludf.DUMMYFUNCTION("""COMPUTED_VALUE"""),4.0)</f>
        <v>4</v>
      </c>
      <c r="M715" s="251" t="str">
        <f>IFERROR(__xludf.DUMMYFUNCTION("""COMPUTED_VALUE"""),"Desert")</f>
        <v>Desert</v>
      </c>
      <c r="N715" s="251" t="str">
        <f>IFERROR(__xludf.DUMMYFUNCTION("""COMPUTED_VALUE"""),"--")</f>
        <v>--</v>
      </c>
      <c r="O715" s="251" t="str">
        <f>IFERROR(__xludf.DUMMYFUNCTION("""COMPUTED_VALUE"""),"--")</f>
        <v>--</v>
      </c>
      <c r="P715" s="251" t="str">
        <f>IFERROR(__xludf.DUMMYFUNCTION("""COMPUTED_VALUE"""),"--")</f>
        <v>--</v>
      </c>
      <c r="Q715" s="251" t="str">
        <f>IFERROR(__xludf.DUMMYFUNCTION("""COMPUTED_VALUE"""),"--")</f>
        <v>--</v>
      </c>
      <c r="R715" s="251" t="str">
        <f>IFERROR(__xludf.DUMMYFUNCTION("""COMPUTED_VALUE"""),"Underdog")</f>
        <v>Underdog</v>
      </c>
      <c r="S715" s="251" t="str">
        <f>IFERROR(__xludf.DUMMYFUNCTION("""COMPUTED_VALUE"""),"--")</f>
        <v>--</v>
      </c>
      <c r="T715" s="251" t="str">
        <f>IFERROR(__xludf.DUMMYFUNCTION("""COMPUTED_VALUE"""),"--")</f>
        <v>--</v>
      </c>
      <c r="U715" s="251" t="str">
        <f>IFERROR(__xludf.DUMMYFUNCTION("""COMPUTED_VALUE"""),"--")</f>
        <v>--</v>
      </c>
      <c r="V715" s="251" t="str">
        <f>IFERROR(__xludf.DUMMYFUNCTION("""COMPUTED_VALUE"""),"--")</f>
        <v>--</v>
      </c>
      <c r="W715" s="251" t="str">
        <f>IFERROR(__xludf.DUMMYFUNCTION("""COMPUTED_VALUE"""),"--")</f>
        <v>--</v>
      </c>
      <c r="X715" s="251" t="str">
        <f>IFERROR(__xludf.DUMMYFUNCTION("""COMPUTED_VALUE"""),"--")</f>
        <v>--</v>
      </c>
      <c r="Y715" s="251" t="str">
        <f>IFERROR(__xludf.DUMMYFUNCTION("""COMPUTED_VALUE"""),"--")</f>
        <v>--</v>
      </c>
      <c r="Z715" s="251" t="str">
        <f>IFERROR(__xludf.DUMMYFUNCTION("""COMPUTED_VALUE"""),"--")</f>
        <v>--</v>
      </c>
      <c r="AA715" s="251" t="str">
        <f>IFERROR(__xludf.DUMMYFUNCTION("""COMPUTED_VALUE"""),"--")</f>
        <v>--</v>
      </c>
      <c r="AB715" s="251" t="str">
        <f>IFERROR(__xludf.DUMMYFUNCTION("""COMPUTED_VALUE"""),"--")</f>
        <v>--</v>
      </c>
      <c r="AC715" s="251" t="str">
        <f>IFERROR(__xludf.DUMMYFUNCTION("""COMPUTED_VALUE"""),"--")</f>
        <v>--</v>
      </c>
      <c r="AD715" s="251">
        <f>IFERROR(__xludf.DUMMYFUNCTION("""COMPUTED_VALUE"""),2.0)</f>
        <v>2</v>
      </c>
      <c r="AE715" s="251" t="str">
        <f>IFERROR(__xludf.DUMMYFUNCTION("""COMPUTED_VALUE"""),"Phototroph")</f>
        <v>Phototroph</v>
      </c>
    </row>
    <row r="716">
      <c r="A716" s="251" t="str">
        <f>IFERROR(__xludf.DUMMYFUNCTION("""COMPUTED_VALUE"""),"Cacturne")</f>
        <v>Cacturne</v>
      </c>
      <c r="B716" s="251" t="str">
        <f>IFERROR(__xludf.DUMMYFUNCTION("""COMPUTED_VALUE"""),"Grass")</f>
        <v>Grass</v>
      </c>
      <c r="C716" s="251" t="str">
        <f>IFERROR(__xludf.DUMMYFUNCTION("""COMPUTED_VALUE"""),"Dark")</f>
        <v>Dark</v>
      </c>
      <c r="D716" s="251">
        <f>IFERROR(__xludf.DUMMYFUNCTION("""COMPUTED_VALUE"""),9.0)</f>
        <v>9</v>
      </c>
      <c r="E716" s="251">
        <f>IFERROR(__xludf.DUMMYFUNCTION("""COMPUTED_VALUE"""),14.0)</f>
        <v>14</v>
      </c>
      <c r="F716" s="251">
        <f>IFERROR(__xludf.DUMMYFUNCTION("""COMPUTED_VALUE"""),7.0)</f>
        <v>7</v>
      </c>
      <c r="G716" s="251">
        <f>IFERROR(__xludf.DUMMYFUNCTION("""COMPUTED_VALUE"""),14.0)</f>
        <v>14</v>
      </c>
      <c r="H716" s="251">
        <f>IFERROR(__xludf.DUMMYFUNCTION("""COMPUTED_VALUE"""),7.0)</f>
        <v>7</v>
      </c>
      <c r="I716" s="251">
        <f>IFERROR(__xludf.DUMMYFUNCTION("""COMPUTED_VALUE"""),7.0)</f>
        <v>7</v>
      </c>
      <c r="J716" s="251">
        <f>IFERROR(__xludf.DUMMYFUNCTION("""COMPUTED_VALUE"""),5.0)</f>
        <v>5</v>
      </c>
      <c r="K716" s="251" t="str">
        <f>IFERROR(__xludf.DUMMYFUNCTION("""COMPUTED_VALUE"""),"Medium")</f>
        <v>Medium</v>
      </c>
      <c r="L716" s="251">
        <f>IFERROR(__xludf.DUMMYFUNCTION("""COMPUTED_VALUE"""),4.0)</f>
        <v>4</v>
      </c>
      <c r="M716" s="251" t="str">
        <f>IFERROR(__xludf.DUMMYFUNCTION("""COMPUTED_VALUE"""),"Desert")</f>
        <v>Desert</v>
      </c>
      <c r="N716" s="251" t="str">
        <f>IFERROR(__xludf.DUMMYFUNCTION("""COMPUTED_VALUE"""),"--")</f>
        <v>--</v>
      </c>
      <c r="O716" s="251" t="str">
        <f>IFERROR(__xludf.DUMMYFUNCTION("""COMPUTED_VALUE"""),"--")</f>
        <v>--</v>
      </c>
      <c r="P716" s="251" t="str">
        <f>IFERROR(__xludf.DUMMYFUNCTION("""COMPUTED_VALUE"""),"--")</f>
        <v>--</v>
      </c>
      <c r="Q716" s="251" t="str">
        <f>IFERROR(__xludf.DUMMYFUNCTION("""COMPUTED_VALUE"""),"--")</f>
        <v>--</v>
      </c>
      <c r="R716" s="251" t="str">
        <f>IFERROR(__xludf.DUMMYFUNCTION("""COMPUTED_VALUE"""),"Darkvision")</f>
        <v>Darkvision</v>
      </c>
      <c r="S716" s="251" t="str">
        <f>IFERROR(__xludf.DUMMYFUNCTION("""COMPUTED_VALUE"""),"--")</f>
        <v>--</v>
      </c>
      <c r="T716" s="251" t="str">
        <f>IFERROR(__xludf.DUMMYFUNCTION("""COMPUTED_VALUE"""),"--")</f>
        <v>--</v>
      </c>
      <c r="U716" s="251" t="str">
        <f>IFERROR(__xludf.DUMMYFUNCTION("""COMPUTED_VALUE"""),"--")</f>
        <v>--</v>
      </c>
      <c r="V716" s="251" t="str">
        <f>IFERROR(__xludf.DUMMYFUNCTION("""COMPUTED_VALUE"""),"--")</f>
        <v>--</v>
      </c>
      <c r="W716" s="251" t="str">
        <f>IFERROR(__xludf.DUMMYFUNCTION("""COMPUTED_VALUE"""),"--")</f>
        <v>--</v>
      </c>
      <c r="X716" s="251" t="str">
        <f>IFERROR(__xludf.DUMMYFUNCTION("""COMPUTED_VALUE"""),"--")</f>
        <v>--</v>
      </c>
      <c r="Y716" s="251" t="str">
        <f>IFERROR(__xludf.DUMMYFUNCTION("""COMPUTED_VALUE"""),"--")</f>
        <v>--</v>
      </c>
      <c r="Z716" s="251" t="str">
        <f>IFERROR(__xludf.DUMMYFUNCTION("""COMPUTED_VALUE"""),"--")</f>
        <v>--</v>
      </c>
      <c r="AA716" s="251" t="str">
        <f>IFERROR(__xludf.DUMMYFUNCTION("""COMPUTED_VALUE"""),"--")</f>
        <v>--</v>
      </c>
      <c r="AB716" s="251" t="str">
        <f>IFERROR(__xludf.DUMMYFUNCTION("""COMPUTED_VALUE"""),"--")</f>
        <v>--</v>
      </c>
      <c r="AC716" s="251" t="str">
        <f>IFERROR(__xludf.DUMMYFUNCTION("""COMPUTED_VALUE"""),"--")</f>
        <v>--</v>
      </c>
      <c r="AD716" s="251">
        <f>IFERROR(__xludf.DUMMYFUNCTION("""COMPUTED_VALUE"""),3.0)</f>
        <v>3</v>
      </c>
      <c r="AE716" s="251" t="str">
        <f>IFERROR(__xludf.DUMMYFUNCTION("""COMPUTED_VALUE"""),"Phototroph")</f>
        <v>Phototroph</v>
      </c>
    </row>
    <row r="717">
      <c r="A717" s="251" t="str">
        <f>IFERROR(__xludf.DUMMYFUNCTION("""COMPUTED_VALUE"""),"Cherubi")</f>
        <v>Cherubi</v>
      </c>
      <c r="B717" s="251" t="str">
        <f>IFERROR(__xludf.DUMMYFUNCTION("""COMPUTED_VALUE"""),"Grass")</f>
        <v>Grass</v>
      </c>
      <c r="C717" s="251" t="str">
        <f>IFERROR(__xludf.DUMMYFUNCTION("""COMPUTED_VALUE"""),"None")</f>
        <v>None</v>
      </c>
      <c r="D717" s="251">
        <f>IFERROR(__xludf.DUMMYFUNCTION("""COMPUTED_VALUE"""),5.0)</f>
        <v>5</v>
      </c>
      <c r="E717" s="251">
        <f>IFERROR(__xludf.DUMMYFUNCTION("""COMPUTED_VALUE"""),5.0)</f>
        <v>5</v>
      </c>
      <c r="F717" s="251">
        <f>IFERROR(__xludf.DUMMYFUNCTION("""COMPUTED_VALUE"""),5.0)</f>
        <v>5</v>
      </c>
      <c r="G717" s="251">
        <f>IFERROR(__xludf.DUMMYFUNCTION("""COMPUTED_VALUE"""),6.0)</f>
        <v>6</v>
      </c>
      <c r="H717" s="251">
        <f>IFERROR(__xludf.DUMMYFUNCTION("""COMPUTED_VALUE"""),5.0)</f>
        <v>5</v>
      </c>
      <c r="I717" s="251">
        <f>IFERROR(__xludf.DUMMYFUNCTION("""COMPUTED_VALUE"""),4.0)</f>
        <v>4</v>
      </c>
      <c r="J717" s="251">
        <f>IFERROR(__xludf.DUMMYFUNCTION("""COMPUTED_VALUE"""),1.0)</f>
        <v>1</v>
      </c>
      <c r="K717" s="251" t="str">
        <f>IFERROR(__xludf.DUMMYFUNCTION("""COMPUTED_VALUE"""),"Small")</f>
        <v>Small</v>
      </c>
      <c r="L717" s="251">
        <f>IFERROR(__xludf.DUMMYFUNCTION("""COMPUTED_VALUE"""),1.0)</f>
        <v>1</v>
      </c>
      <c r="M717" s="251" t="str">
        <f>IFERROR(__xludf.DUMMYFUNCTION("""COMPUTED_VALUE"""),"Forest, Grasslands")</f>
        <v>Forest, Grasslands</v>
      </c>
      <c r="N717" s="251" t="str">
        <f>IFERROR(__xludf.DUMMYFUNCTION("""COMPUTED_VALUE"""),"Slow")</f>
        <v>Slow</v>
      </c>
      <c r="O717" s="251" t="str">
        <f>IFERROR(__xludf.DUMMYFUNCTION("""COMPUTED_VALUE"""),"--")</f>
        <v>--</v>
      </c>
      <c r="P717" s="251" t="str">
        <f>IFERROR(__xludf.DUMMYFUNCTION("""COMPUTED_VALUE"""),"--")</f>
        <v>--</v>
      </c>
      <c r="Q717" s="251" t="str">
        <f>IFERROR(__xludf.DUMMYFUNCTION("""COMPUTED_VALUE"""),"--")</f>
        <v>--</v>
      </c>
      <c r="R717" s="251" t="str">
        <f>IFERROR(__xludf.DUMMYFUNCTION("""COMPUTED_VALUE"""),"Underdog")</f>
        <v>Underdog</v>
      </c>
      <c r="S717" s="251" t="str">
        <f>IFERROR(__xludf.DUMMYFUNCTION("""COMPUTED_VALUE"""),"--")</f>
        <v>--</v>
      </c>
      <c r="T717" s="251" t="str">
        <f>IFERROR(__xludf.DUMMYFUNCTION("""COMPUTED_VALUE"""),"--")</f>
        <v>--</v>
      </c>
      <c r="U717" s="251" t="str">
        <f>IFERROR(__xludf.DUMMYFUNCTION("""COMPUTED_VALUE"""),"--")</f>
        <v>--</v>
      </c>
      <c r="V717" s="251" t="str">
        <f>IFERROR(__xludf.DUMMYFUNCTION("""COMPUTED_VALUE"""),"--")</f>
        <v>--</v>
      </c>
      <c r="W717" s="251" t="str">
        <f>IFERROR(__xludf.DUMMYFUNCTION("""COMPUTED_VALUE"""),"--")</f>
        <v>--</v>
      </c>
      <c r="X717" s="251" t="str">
        <f>IFERROR(__xludf.DUMMYFUNCTION("""COMPUTED_VALUE"""),"--")</f>
        <v>--</v>
      </c>
      <c r="Y717" s="251" t="str">
        <f>IFERROR(__xludf.DUMMYFUNCTION("""COMPUTED_VALUE"""),"--")</f>
        <v>--</v>
      </c>
      <c r="Z717" s="251" t="str">
        <f>IFERROR(__xludf.DUMMYFUNCTION("""COMPUTED_VALUE"""),"--")</f>
        <v>--</v>
      </c>
      <c r="AA717" s="251" t="str">
        <f>IFERROR(__xludf.DUMMYFUNCTION("""COMPUTED_VALUE"""),"--")</f>
        <v>--</v>
      </c>
      <c r="AB717" s="251" t="str">
        <f>IFERROR(__xludf.DUMMYFUNCTION("""COMPUTED_VALUE"""),"--")</f>
        <v>--</v>
      </c>
      <c r="AC717" s="251" t="str">
        <f>IFERROR(__xludf.DUMMYFUNCTION("""COMPUTED_VALUE"""),"--")</f>
        <v>--</v>
      </c>
      <c r="AD717" s="251">
        <f>IFERROR(__xludf.DUMMYFUNCTION("""COMPUTED_VALUE"""),2.0)</f>
        <v>2</v>
      </c>
      <c r="AE717" s="251" t="str">
        <f>IFERROR(__xludf.DUMMYFUNCTION("""COMPUTED_VALUE"""),"Phototroph")</f>
        <v>Phototroph</v>
      </c>
    </row>
    <row r="718">
      <c r="A718" s="251" t="str">
        <f>IFERROR(__xludf.DUMMYFUNCTION("""COMPUTED_VALUE"""),"Cherrim")</f>
        <v>Cherrim</v>
      </c>
      <c r="B718" s="251" t="str">
        <f>IFERROR(__xludf.DUMMYFUNCTION("""COMPUTED_VALUE"""),"Grass")</f>
        <v>Grass</v>
      </c>
      <c r="C718" s="251" t="str">
        <f>IFERROR(__xludf.DUMMYFUNCTION("""COMPUTED_VALUE"""),"None")</f>
        <v>None</v>
      </c>
      <c r="D718" s="251">
        <f>IFERROR(__xludf.DUMMYFUNCTION("""COMPUTED_VALUE"""),7.0)</f>
        <v>7</v>
      </c>
      <c r="E718" s="251">
        <f>IFERROR(__xludf.DUMMYFUNCTION("""COMPUTED_VALUE"""),7.0)</f>
        <v>7</v>
      </c>
      <c r="F718" s="251">
        <f>IFERROR(__xludf.DUMMYFUNCTION("""COMPUTED_VALUE"""),9.0)</f>
        <v>9</v>
      </c>
      <c r="G718" s="251">
        <f>IFERROR(__xludf.DUMMYFUNCTION("""COMPUTED_VALUE"""),10.0)</f>
        <v>10</v>
      </c>
      <c r="H718" s="251">
        <f>IFERROR(__xludf.DUMMYFUNCTION("""COMPUTED_VALUE"""),9.0)</f>
        <v>9</v>
      </c>
      <c r="I718" s="251">
        <f>IFERROR(__xludf.DUMMYFUNCTION("""COMPUTED_VALUE"""),9.0)</f>
        <v>9</v>
      </c>
      <c r="J718" s="251">
        <f>IFERROR(__xludf.DUMMYFUNCTION("""COMPUTED_VALUE"""),3.0)</f>
        <v>3</v>
      </c>
      <c r="K718" s="251" t="str">
        <f>IFERROR(__xludf.DUMMYFUNCTION("""COMPUTED_VALUE"""),"Small")</f>
        <v>Small</v>
      </c>
      <c r="L718" s="251">
        <f>IFERROR(__xludf.DUMMYFUNCTION("""COMPUTED_VALUE"""),1.0)</f>
        <v>1</v>
      </c>
      <c r="M718" s="251" t="str">
        <f>IFERROR(__xludf.DUMMYFUNCTION("""COMPUTED_VALUE"""),"Forest, Grasslands")</f>
        <v>Forest, Grasslands</v>
      </c>
      <c r="N718" s="251" t="str">
        <f>IFERROR(__xludf.DUMMYFUNCTION("""COMPUTED_VALUE"""),"--")</f>
        <v>--</v>
      </c>
      <c r="O718" s="251" t="str">
        <f>IFERROR(__xludf.DUMMYFUNCTION("""COMPUTED_VALUE"""),"--")</f>
        <v>--</v>
      </c>
      <c r="P718" s="251" t="str">
        <f>IFERROR(__xludf.DUMMYFUNCTION("""COMPUTED_VALUE"""),"--")</f>
        <v>--</v>
      </c>
      <c r="Q718" s="251" t="str">
        <f>IFERROR(__xludf.DUMMYFUNCTION("""COMPUTED_VALUE"""),"--")</f>
        <v>--</v>
      </c>
      <c r="R718" s="251" t="str">
        <f>IFERROR(__xludf.DUMMYFUNCTION("""COMPUTED_VALUE"""),"--")</f>
        <v>--</v>
      </c>
      <c r="S718" s="251" t="str">
        <f>IFERROR(__xludf.DUMMYFUNCTION("""COMPUTED_VALUE"""),"--")</f>
        <v>--</v>
      </c>
      <c r="T718" s="251" t="str">
        <f>IFERROR(__xludf.DUMMYFUNCTION("""COMPUTED_VALUE"""),"--")</f>
        <v>--</v>
      </c>
      <c r="U718" s="251" t="str">
        <f>IFERROR(__xludf.DUMMYFUNCTION("""COMPUTED_VALUE"""),"--")</f>
        <v>--</v>
      </c>
      <c r="V718" s="251" t="str">
        <f>IFERROR(__xludf.DUMMYFUNCTION("""COMPUTED_VALUE"""),"--")</f>
        <v>--</v>
      </c>
      <c r="W718" s="251" t="str">
        <f>IFERROR(__xludf.DUMMYFUNCTION("""COMPUTED_VALUE"""),"--")</f>
        <v>--</v>
      </c>
      <c r="X718" s="251" t="str">
        <f>IFERROR(__xludf.DUMMYFUNCTION("""COMPUTED_VALUE"""),"--")</f>
        <v>--</v>
      </c>
      <c r="Y718" s="251" t="str">
        <f>IFERROR(__xludf.DUMMYFUNCTION("""COMPUTED_VALUE"""),"--")</f>
        <v>--</v>
      </c>
      <c r="Z718" s="251" t="str">
        <f>IFERROR(__xludf.DUMMYFUNCTION("""COMPUTED_VALUE"""),"--")</f>
        <v>--</v>
      </c>
      <c r="AA718" s="251" t="str">
        <f>IFERROR(__xludf.DUMMYFUNCTION("""COMPUTED_VALUE"""),"--")</f>
        <v>--</v>
      </c>
      <c r="AB718" s="251" t="str">
        <f>IFERROR(__xludf.DUMMYFUNCTION("""COMPUTED_VALUE"""),"--")</f>
        <v>--</v>
      </c>
      <c r="AC718" s="251" t="str">
        <f>IFERROR(__xludf.DUMMYFUNCTION("""COMPUTED_VALUE"""),"--")</f>
        <v>--</v>
      </c>
      <c r="AD718" s="251">
        <f>IFERROR(__xludf.DUMMYFUNCTION("""COMPUTED_VALUE"""),3.0)</f>
        <v>3</v>
      </c>
      <c r="AE718" s="251" t="str">
        <f>IFERROR(__xludf.DUMMYFUNCTION("""COMPUTED_VALUE"""),"Phototroph")</f>
        <v>Phototroph</v>
      </c>
    </row>
    <row r="719">
      <c r="A719" s="251" t="str">
        <f>IFERROR(__xludf.DUMMYFUNCTION("""COMPUTED_VALUE"""),"Snover")</f>
        <v>Snover</v>
      </c>
      <c r="B719" s="251" t="str">
        <f>IFERROR(__xludf.DUMMYFUNCTION("""COMPUTED_VALUE"""),"Grass")</f>
        <v>Grass</v>
      </c>
      <c r="C719" s="251" t="str">
        <f>IFERROR(__xludf.DUMMYFUNCTION("""COMPUTED_VALUE"""),"Ice")</f>
        <v>Ice</v>
      </c>
      <c r="D719" s="251">
        <f>IFERROR(__xludf.DUMMYFUNCTION("""COMPUTED_VALUE"""),6.0)</f>
        <v>6</v>
      </c>
      <c r="E719" s="251">
        <f>IFERROR(__xludf.DUMMYFUNCTION("""COMPUTED_VALUE"""),6.0)</f>
        <v>6</v>
      </c>
      <c r="F719" s="251">
        <f>IFERROR(__xludf.DUMMYFUNCTION("""COMPUTED_VALUE"""),5.0)</f>
        <v>5</v>
      </c>
      <c r="G719" s="251">
        <f>IFERROR(__xludf.DUMMYFUNCTION("""COMPUTED_VALUE"""),6.0)</f>
        <v>6</v>
      </c>
      <c r="H719" s="251">
        <f>IFERROR(__xludf.DUMMYFUNCTION("""COMPUTED_VALUE"""),6.0)</f>
        <v>6</v>
      </c>
      <c r="I719" s="251">
        <f>IFERROR(__xludf.DUMMYFUNCTION("""COMPUTED_VALUE"""),5.0)</f>
        <v>5</v>
      </c>
      <c r="J719" s="251">
        <f>IFERROR(__xludf.DUMMYFUNCTION("""COMPUTED_VALUE"""),2.0)</f>
        <v>2</v>
      </c>
      <c r="K719" s="251" t="str">
        <f>IFERROR(__xludf.DUMMYFUNCTION("""COMPUTED_VALUE"""),"Medium")</f>
        <v>Medium</v>
      </c>
      <c r="L719" s="251">
        <f>IFERROR(__xludf.DUMMYFUNCTION("""COMPUTED_VALUE"""),4.0)</f>
        <v>4</v>
      </c>
      <c r="M719" s="251" t="str">
        <f>IFERROR(__xludf.DUMMYFUNCTION("""COMPUTED_VALUE"""),"Forest, Tundra")</f>
        <v>Forest, Tundra</v>
      </c>
      <c r="N719" s="251" t="str">
        <f>IFERROR(__xludf.DUMMYFUNCTION("""COMPUTED_VALUE"""),"--")</f>
        <v>--</v>
      </c>
      <c r="O719" s="251" t="str">
        <f>IFERROR(__xludf.DUMMYFUNCTION("""COMPUTED_VALUE"""),"--")</f>
        <v>--</v>
      </c>
      <c r="P719" s="251" t="str">
        <f>IFERROR(__xludf.DUMMYFUNCTION("""COMPUTED_VALUE"""),"--")</f>
        <v>--</v>
      </c>
      <c r="Q719" s="251" t="str">
        <f>IFERROR(__xludf.DUMMYFUNCTION("""COMPUTED_VALUE"""),"--")</f>
        <v>--</v>
      </c>
      <c r="R719" s="251" t="str">
        <f>IFERROR(__xludf.DUMMYFUNCTION("""COMPUTED_VALUE"""),"Underdog")</f>
        <v>Underdog</v>
      </c>
      <c r="S719" s="251" t="str">
        <f>IFERROR(__xludf.DUMMYFUNCTION("""COMPUTED_VALUE"""),"--")</f>
        <v>--</v>
      </c>
      <c r="T719" s="251" t="str">
        <f>IFERROR(__xludf.DUMMYFUNCTION("""COMPUTED_VALUE"""),"--")</f>
        <v>--</v>
      </c>
      <c r="U719" s="251" t="str">
        <f>IFERROR(__xludf.DUMMYFUNCTION("""COMPUTED_VALUE"""),"--")</f>
        <v>--</v>
      </c>
      <c r="V719" s="251" t="str">
        <f>IFERROR(__xludf.DUMMYFUNCTION("""COMPUTED_VALUE"""),"Chilled")</f>
        <v>Chilled</v>
      </c>
      <c r="W719" s="251" t="str">
        <f>IFERROR(__xludf.DUMMYFUNCTION("""COMPUTED_VALUE"""),"--")</f>
        <v>--</v>
      </c>
      <c r="X719" s="251" t="str">
        <f>IFERROR(__xludf.DUMMYFUNCTION("""COMPUTED_VALUE"""),"--")</f>
        <v>--</v>
      </c>
      <c r="Y719" s="251" t="str">
        <f>IFERROR(__xludf.DUMMYFUNCTION("""COMPUTED_VALUE"""),"--")</f>
        <v>--</v>
      </c>
      <c r="Z719" s="251" t="str">
        <f>IFERROR(__xludf.DUMMYFUNCTION("""COMPUTED_VALUE"""),"--")</f>
        <v>--</v>
      </c>
      <c r="AA719" s="251" t="str">
        <f>IFERROR(__xludf.DUMMYFUNCTION("""COMPUTED_VALUE"""),"--")</f>
        <v>--</v>
      </c>
      <c r="AB719" s="251" t="str">
        <f>IFERROR(__xludf.DUMMYFUNCTION("""COMPUTED_VALUE"""),"--")</f>
        <v>--</v>
      </c>
      <c r="AC719" s="251" t="str">
        <f>IFERROR(__xludf.DUMMYFUNCTION("""COMPUTED_VALUE"""),"--")</f>
        <v>--</v>
      </c>
      <c r="AD719" s="251">
        <f>IFERROR(__xludf.DUMMYFUNCTION("""COMPUTED_VALUE"""),2.0)</f>
        <v>2</v>
      </c>
      <c r="AE719" s="251" t="str">
        <f>IFERROR(__xludf.DUMMYFUNCTION("""COMPUTED_VALUE"""),"Phototroph")</f>
        <v>Phototroph</v>
      </c>
    </row>
    <row r="720">
      <c r="A720" s="251" t="str">
        <f>IFERROR(__xludf.DUMMYFUNCTION("""COMPUTED_VALUE"""),"Abomasnow")</f>
        <v>Abomasnow</v>
      </c>
      <c r="B720" s="251" t="str">
        <f>IFERROR(__xludf.DUMMYFUNCTION("""COMPUTED_VALUE"""),"Grass")</f>
        <v>Grass</v>
      </c>
      <c r="C720" s="251" t="str">
        <f>IFERROR(__xludf.DUMMYFUNCTION("""COMPUTED_VALUE"""),"Ice")</f>
        <v>Ice</v>
      </c>
      <c r="D720" s="251">
        <f>IFERROR(__xludf.DUMMYFUNCTION("""COMPUTED_VALUE"""),10.0)</f>
        <v>10</v>
      </c>
      <c r="E720" s="251">
        <f>IFERROR(__xludf.DUMMYFUNCTION("""COMPUTED_VALUE"""),9.0)</f>
        <v>9</v>
      </c>
      <c r="F720" s="251">
        <f>IFERROR(__xludf.DUMMYFUNCTION("""COMPUTED_VALUE"""),8.0)</f>
        <v>8</v>
      </c>
      <c r="G720" s="251">
        <f>IFERROR(__xludf.DUMMYFUNCTION("""COMPUTED_VALUE"""),9.0)</f>
        <v>9</v>
      </c>
      <c r="H720" s="251">
        <f>IFERROR(__xludf.DUMMYFUNCTION("""COMPUTED_VALUE"""),9.0)</f>
        <v>9</v>
      </c>
      <c r="I720" s="251">
        <f>IFERROR(__xludf.DUMMYFUNCTION("""COMPUTED_VALUE"""),6.0)</f>
        <v>6</v>
      </c>
      <c r="J720" s="251">
        <f>IFERROR(__xludf.DUMMYFUNCTION("""COMPUTED_VALUE"""),10.0)</f>
        <v>10</v>
      </c>
      <c r="K720" s="251" t="str">
        <f>IFERROR(__xludf.DUMMYFUNCTION("""COMPUTED_VALUE"""),"Large")</f>
        <v>Large</v>
      </c>
      <c r="L720" s="251">
        <f>IFERROR(__xludf.DUMMYFUNCTION("""COMPUTED_VALUE"""),5.0)</f>
        <v>5</v>
      </c>
      <c r="M720" s="251" t="str">
        <f>IFERROR(__xludf.DUMMYFUNCTION("""COMPUTED_VALUE"""),"Forest, Tundra")</f>
        <v>Forest, Tundra</v>
      </c>
      <c r="N720" s="251" t="str">
        <f>IFERROR(__xludf.DUMMYFUNCTION("""COMPUTED_VALUE"""),"--")</f>
        <v>--</v>
      </c>
      <c r="O720" s="251" t="str">
        <f>IFERROR(__xludf.DUMMYFUNCTION("""COMPUTED_VALUE"""),"--")</f>
        <v>--</v>
      </c>
      <c r="P720" s="251" t="str">
        <f>IFERROR(__xludf.DUMMYFUNCTION("""COMPUTED_VALUE"""),"--")</f>
        <v>--</v>
      </c>
      <c r="Q720" s="251" t="str">
        <f>IFERROR(__xludf.DUMMYFUNCTION("""COMPUTED_VALUE"""),"--")</f>
        <v>--</v>
      </c>
      <c r="R720" s="251" t="str">
        <f>IFERROR(__xludf.DUMMYFUNCTION("""COMPUTED_VALUE"""),"--")</f>
        <v>--</v>
      </c>
      <c r="S720" s="251" t="str">
        <f>IFERROR(__xludf.DUMMYFUNCTION("""COMPUTED_VALUE"""),"--")</f>
        <v>--</v>
      </c>
      <c r="T720" s="251" t="str">
        <f>IFERROR(__xludf.DUMMYFUNCTION("""COMPUTED_VALUE"""),"--")</f>
        <v>--</v>
      </c>
      <c r="U720" s="251" t="str">
        <f>IFERROR(__xludf.DUMMYFUNCTION("""COMPUTED_VALUE"""),"--")</f>
        <v>--</v>
      </c>
      <c r="V720" s="251" t="str">
        <f>IFERROR(__xludf.DUMMYFUNCTION("""COMPUTED_VALUE"""),"Chilled")</f>
        <v>Chilled</v>
      </c>
      <c r="W720" s="251" t="str">
        <f>IFERROR(__xludf.DUMMYFUNCTION("""COMPUTED_VALUE"""),"--")</f>
        <v>--</v>
      </c>
      <c r="X720" s="251" t="str">
        <f>IFERROR(__xludf.DUMMYFUNCTION("""COMPUTED_VALUE"""),"--")</f>
        <v>--</v>
      </c>
      <c r="Y720" s="251" t="str">
        <f>IFERROR(__xludf.DUMMYFUNCTION("""COMPUTED_VALUE"""),"--")</f>
        <v>--</v>
      </c>
      <c r="Z720" s="251" t="str">
        <f>IFERROR(__xludf.DUMMYFUNCTION("""COMPUTED_VALUE"""),"--")</f>
        <v>--</v>
      </c>
      <c r="AA720" s="251" t="str">
        <f>IFERROR(__xludf.DUMMYFUNCTION("""COMPUTED_VALUE"""),"--")</f>
        <v>--</v>
      </c>
      <c r="AB720" s="251" t="str">
        <f>IFERROR(__xludf.DUMMYFUNCTION("""COMPUTED_VALUE"""),"--")</f>
        <v>--</v>
      </c>
      <c r="AC720" s="251" t="str">
        <f>IFERROR(__xludf.DUMMYFUNCTION("""COMPUTED_VALUE"""),"--")</f>
        <v>--</v>
      </c>
      <c r="AD720" s="251">
        <f>IFERROR(__xludf.DUMMYFUNCTION("""COMPUTED_VALUE"""),3.0)</f>
        <v>3</v>
      </c>
      <c r="AE720" s="251" t="str">
        <f>IFERROR(__xludf.DUMMYFUNCTION("""COMPUTED_VALUE"""),"Phototroph")</f>
        <v>Phototroph</v>
      </c>
    </row>
    <row r="721">
      <c r="A721" s="251" t="str">
        <f>IFERROR(__xludf.DUMMYFUNCTION("""COMPUTED_VALUE"""),"Pansage")</f>
        <v>Pansage</v>
      </c>
      <c r="B721" s="251" t="str">
        <f>IFERROR(__xludf.DUMMYFUNCTION("""COMPUTED_VALUE"""),"Grass")</f>
        <v>Grass</v>
      </c>
      <c r="C721" s="251" t="str">
        <f>IFERROR(__xludf.DUMMYFUNCTION("""COMPUTED_VALUE"""),"None")</f>
        <v>None</v>
      </c>
      <c r="D721" s="251">
        <f>IFERROR(__xludf.DUMMYFUNCTION("""COMPUTED_VALUE"""),5.0)</f>
        <v>5</v>
      </c>
      <c r="E721" s="251">
        <f>IFERROR(__xludf.DUMMYFUNCTION("""COMPUTED_VALUE"""),5.0)</f>
        <v>5</v>
      </c>
      <c r="F721" s="251">
        <f>IFERROR(__xludf.DUMMYFUNCTION("""COMPUTED_VALUE"""),5.0)</f>
        <v>5</v>
      </c>
      <c r="G721" s="251">
        <f>IFERROR(__xludf.DUMMYFUNCTION("""COMPUTED_VALUE"""),5.0)</f>
        <v>5</v>
      </c>
      <c r="H721" s="251">
        <f>IFERROR(__xludf.DUMMYFUNCTION("""COMPUTED_VALUE"""),5.0)</f>
        <v>5</v>
      </c>
      <c r="I721" s="251">
        <f>IFERROR(__xludf.DUMMYFUNCTION("""COMPUTED_VALUE"""),6.0)</f>
        <v>6</v>
      </c>
      <c r="J721" s="251">
        <f>IFERROR(__xludf.DUMMYFUNCTION("""COMPUTED_VALUE"""),3.0)</f>
        <v>3</v>
      </c>
      <c r="K721" s="251" t="str">
        <f>IFERROR(__xludf.DUMMYFUNCTION("""COMPUTED_VALUE"""),"Small")</f>
        <v>Small</v>
      </c>
      <c r="L721" s="251">
        <f>IFERROR(__xludf.DUMMYFUNCTION("""COMPUTED_VALUE"""),1.0)</f>
        <v>1</v>
      </c>
      <c r="M721" s="251" t="str">
        <f>IFERROR(__xludf.DUMMYFUNCTION("""COMPUTED_VALUE"""),"Forest, Grasslands")</f>
        <v>Forest, Grasslands</v>
      </c>
      <c r="N721" s="251" t="str">
        <f>IFERROR(__xludf.DUMMYFUNCTION("""COMPUTED_VALUE"""),"Climber")</f>
        <v>Climber</v>
      </c>
      <c r="O721" s="251" t="str">
        <f>IFERROR(__xludf.DUMMYFUNCTION("""COMPUTED_VALUE"""),"Jumper")</f>
        <v>Jumper</v>
      </c>
      <c r="P721" s="251" t="str">
        <f>IFERROR(__xludf.DUMMYFUNCTION("""COMPUTED_VALUE"""),"--")</f>
        <v>--</v>
      </c>
      <c r="Q721" s="251" t="str">
        <f>IFERROR(__xludf.DUMMYFUNCTION("""COMPUTED_VALUE"""),"--")</f>
        <v>--</v>
      </c>
      <c r="R721" s="251" t="str">
        <f>IFERROR(__xludf.DUMMYFUNCTION("""COMPUTED_VALUE"""),"Underdog")</f>
        <v>Underdog</v>
      </c>
      <c r="S721" s="251" t="str">
        <f>IFERROR(__xludf.DUMMYFUNCTION("""COMPUTED_VALUE"""),"--")</f>
        <v>--</v>
      </c>
      <c r="T721" s="251" t="str">
        <f>IFERROR(__xludf.DUMMYFUNCTION("""COMPUTED_VALUE"""),"--")</f>
        <v>--</v>
      </c>
      <c r="U721" s="251" t="str">
        <f>IFERROR(__xludf.DUMMYFUNCTION("""COMPUTED_VALUE"""),"--")</f>
        <v>--</v>
      </c>
      <c r="V721" s="251" t="str">
        <f>IFERROR(__xludf.DUMMYFUNCTION("""COMPUTED_VALUE"""),"--")</f>
        <v>--</v>
      </c>
      <c r="W721" s="251" t="str">
        <f>IFERROR(__xludf.DUMMYFUNCTION("""COMPUTED_VALUE"""),"--")</f>
        <v>--</v>
      </c>
      <c r="X721" s="251" t="str">
        <f>IFERROR(__xludf.DUMMYFUNCTION("""COMPUTED_VALUE"""),"--")</f>
        <v>--</v>
      </c>
      <c r="Y721" s="251" t="str">
        <f>IFERROR(__xludf.DUMMYFUNCTION("""COMPUTED_VALUE"""),"--")</f>
        <v>--</v>
      </c>
      <c r="Z721" s="251" t="str">
        <f>IFERROR(__xludf.DUMMYFUNCTION("""COMPUTED_VALUE"""),"--")</f>
        <v>--</v>
      </c>
      <c r="AA721" s="251" t="str">
        <f>IFERROR(__xludf.DUMMYFUNCTION("""COMPUTED_VALUE"""),"--")</f>
        <v>--</v>
      </c>
      <c r="AB721" s="251" t="str">
        <f>IFERROR(__xludf.DUMMYFUNCTION("""COMPUTED_VALUE"""),"--")</f>
        <v>--</v>
      </c>
      <c r="AC721" s="251" t="str">
        <f>IFERROR(__xludf.DUMMYFUNCTION("""COMPUTED_VALUE"""),"--")</f>
        <v>--</v>
      </c>
      <c r="AD721" s="251">
        <f>IFERROR(__xludf.DUMMYFUNCTION("""COMPUTED_VALUE"""),2.0)</f>
        <v>2</v>
      </c>
      <c r="AE721" s="251" t="str">
        <f>IFERROR(__xludf.DUMMYFUNCTION("""COMPUTED_VALUE"""),"Omnivore")</f>
        <v>Omnivore</v>
      </c>
    </row>
    <row r="722">
      <c r="A722" s="251" t="str">
        <f>IFERROR(__xludf.DUMMYFUNCTION("""COMPUTED_VALUE"""),"Simisage")</f>
        <v>Simisage</v>
      </c>
      <c r="B722" s="251" t="str">
        <f>IFERROR(__xludf.DUMMYFUNCTION("""COMPUTED_VALUE"""),"Grass")</f>
        <v>Grass</v>
      </c>
      <c r="C722" s="251" t="str">
        <f>IFERROR(__xludf.DUMMYFUNCTION("""COMPUTED_VALUE"""),"None")</f>
        <v>None</v>
      </c>
      <c r="D722" s="251">
        <f>IFERROR(__xludf.DUMMYFUNCTION("""COMPUTED_VALUE"""),9.0)</f>
        <v>9</v>
      </c>
      <c r="E722" s="251">
        <f>IFERROR(__xludf.DUMMYFUNCTION("""COMPUTED_VALUE"""),10.0)</f>
        <v>10</v>
      </c>
      <c r="F722" s="251">
        <f>IFERROR(__xludf.DUMMYFUNCTION("""COMPUTED_VALUE"""),6.0)</f>
        <v>6</v>
      </c>
      <c r="G722" s="251">
        <f>IFERROR(__xludf.DUMMYFUNCTION("""COMPUTED_VALUE"""),10.0)</f>
        <v>10</v>
      </c>
      <c r="H722" s="251">
        <f>IFERROR(__xludf.DUMMYFUNCTION("""COMPUTED_VALUE"""),6.0)</f>
        <v>6</v>
      </c>
      <c r="I722" s="251">
        <f>IFERROR(__xludf.DUMMYFUNCTION("""COMPUTED_VALUE"""),10.0)</f>
        <v>10</v>
      </c>
      <c r="J722" s="251">
        <f>IFERROR(__xludf.DUMMYFUNCTION("""COMPUTED_VALUE"""),4.0)</f>
        <v>4</v>
      </c>
      <c r="K722" s="251" t="str">
        <f>IFERROR(__xludf.DUMMYFUNCTION("""COMPUTED_VALUE"""),"Medium")</f>
        <v>Medium</v>
      </c>
      <c r="L722" s="251">
        <f>IFERROR(__xludf.DUMMYFUNCTION("""COMPUTED_VALUE"""),3.0)</f>
        <v>3</v>
      </c>
      <c r="M722" s="251" t="str">
        <f>IFERROR(__xludf.DUMMYFUNCTION("""COMPUTED_VALUE"""),"Forest, Grasslands")</f>
        <v>Forest, Grasslands</v>
      </c>
      <c r="N722" s="251" t="str">
        <f>IFERROR(__xludf.DUMMYFUNCTION("""COMPUTED_VALUE"""),"Climber")</f>
        <v>Climber</v>
      </c>
      <c r="O722" s="251" t="str">
        <f>IFERROR(__xludf.DUMMYFUNCTION("""COMPUTED_VALUE"""),"Jumper")</f>
        <v>Jumper</v>
      </c>
      <c r="P722" s="251" t="str">
        <f>IFERROR(__xludf.DUMMYFUNCTION("""COMPUTED_VALUE"""),"--")</f>
        <v>--</v>
      </c>
      <c r="Q722" s="251" t="str">
        <f>IFERROR(__xludf.DUMMYFUNCTION("""COMPUTED_VALUE"""),"--")</f>
        <v>--</v>
      </c>
      <c r="R722" s="251" t="str">
        <f>IFERROR(__xludf.DUMMYFUNCTION("""COMPUTED_VALUE"""),"--")</f>
        <v>--</v>
      </c>
      <c r="S722" s="251" t="str">
        <f>IFERROR(__xludf.DUMMYFUNCTION("""COMPUTED_VALUE"""),"--")</f>
        <v>--</v>
      </c>
      <c r="T722" s="251" t="str">
        <f>IFERROR(__xludf.DUMMYFUNCTION("""COMPUTED_VALUE"""),"--")</f>
        <v>--</v>
      </c>
      <c r="U722" s="251" t="str">
        <f>IFERROR(__xludf.DUMMYFUNCTION("""COMPUTED_VALUE"""),"--")</f>
        <v>--</v>
      </c>
      <c r="V722" s="251" t="str">
        <f>IFERROR(__xludf.DUMMYFUNCTION("""COMPUTED_VALUE"""),"--")</f>
        <v>--</v>
      </c>
      <c r="W722" s="251" t="str">
        <f>IFERROR(__xludf.DUMMYFUNCTION("""COMPUTED_VALUE"""),"--")</f>
        <v>--</v>
      </c>
      <c r="X722" s="251" t="str">
        <f>IFERROR(__xludf.DUMMYFUNCTION("""COMPUTED_VALUE"""),"--")</f>
        <v>--</v>
      </c>
      <c r="Y722" s="251" t="str">
        <f>IFERROR(__xludf.DUMMYFUNCTION("""COMPUTED_VALUE"""),"--")</f>
        <v>--</v>
      </c>
      <c r="Z722" s="251" t="str">
        <f>IFERROR(__xludf.DUMMYFUNCTION("""COMPUTED_VALUE"""),"--")</f>
        <v>--</v>
      </c>
      <c r="AA722" s="251" t="str">
        <f>IFERROR(__xludf.DUMMYFUNCTION("""COMPUTED_VALUE"""),"--")</f>
        <v>--</v>
      </c>
      <c r="AB722" s="251" t="str">
        <f>IFERROR(__xludf.DUMMYFUNCTION("""COMPUTED_VALUE"""),"--")</f>
        <v>--</v>
      </c>
      <c r="AC722" s="251" t="str">
        <f>IFERROR(__xludf.DUMMYFUNCTION("""COMPUTED_VALUE"""),"--")</f>
        <v>--</v>
      </c>
      <c r="AD722" s="251">
        <f>IFERROR(__xludf.DUMMYFUNCTION("""COMPUTED_VALUE"""),3.0)</f>
        <v>3</v>
      </c>
      <c r="AE722" s="251" t="str">
        <f>IFERROR(__xludf.DUMMYFUNCTION("""COMPUTED_VALUE"""),"Omnivore")</f>
        <v>Omnivore</v>
      </c>
    </row>
    <row r="723">
      <c r="A723" s="251" t="str">
        <f>IFERROR(__xludf.DUMMYFUNCTION("""COMPUTED_VALUE"""),"Cottonee")</f>
        <v>Cottonee</v>
      </c>
      <c r="B723" s="251" t="str">
        <f>IFERROR(__xludf.DUMMYFUNCTION("""COMPUTED_VALUE"""),"Grass")</f>
        <v>Grass</v>
      </c>
      <c r="C723" s="251" t="str">
        <f>IFERROR(__xludf.DUMMYFUNCTION("""COMPUTED_VALUE"""),"Fairy")</f>
        <v>Fairy</v>
      </c>
      <c r="D723" s="251">
        <f>IFERROR(__xludf.DUMMYFUNCTION("""COMPUTED_VALUE"""),4.0)</f>
        <v>4</v>
      </c>
      <c r="E723" s="251">
        <f>IFERROR(__xludf.DUMMYFUNCTION("""COMPUTED_VALUE"""),3.0)</f>
        <v>3</v>
      </c>
      <c r="F723" s="251">
        <f>IFERROR(__xludf.DUMMYFUNCTION("""COMPUTED_VALUE"""),6.0)</f>
        <v>6</v>
      </c>
      <c r="G723" s="251">
        <f>IFERROR(__xludf.DUMMYFUNCTION("""COMPUTED_VALUE"""),4.0)</f>
        <v>4</v>
      </c>
      <c r="H723" s="251">
        <f>IFERROR(__xludf.DUMMYFUNCTION("""COMPUTED_VALUE"""),6.0)</f>
        <v>6</v>
      </c>
      <c r="I723" s="251">
        <f>IFERROR(__xludf.DUMMYFUNCTION("""COMPUTED_VALUE"""),7.0)</f>
        <v>7</v>
      </c>
      <c r="J723" s="251">
        <f>IFERROR(__xludf.DUMMYFUNCTION("""COMPUTED_VALUE"""),1.0)</f>
        <v>1</v>
      </c>
      <c r="K723" s="251" t="str">
        <f>IFERROR(__xludf.DUMMYFUNCTION("""COMPUTED_VALUE"""),"Small")</f>
        <v>Small</v>
      </c>
      <c r="L723" s="251">
        <f>IFERROR(__xludf.DUMMYFUNCTION("""COMPUTED_VALUE"""),1.0)</f>
        <v>1</v>
      </c>
      <c r="M723" s="251" t="str">
        <f>IFERROR(__xludf.DUMMYFUNCTION("""COMPUTED_VALUE"""),"Grasslands")</f>
        <v>Grasslands</v>
      </c>
      <c r="N723" s="251" t="str">
        <f>IFERROR(__xludf.DUMMYFUNCTION("""COMPUTED_VALUE"""),"Flier")</f>
        <v>Flier</v>
      </c>
      <c r="O723" s="251" t="str">
        <f>IFERROR(__xludf.DUMMYFUNCTION("""COMPUTED_VALUE"""),"--")</f>
        <v>--</v>
      </c>
      <c r="P723" s="251" t="str">
        <f>IFERROR(__xludf.DUMMYFUNCTION("""COMPUTED_VALUE"""),"--")</f>
        <v>--</v>
      </c>
      <c r="Q723" s="251" t="str">
        <f>IFERROR(__xludf.DUMMYFUNCTION("""COMPUTED_VALUE"""),"--")</f>
        <v>--</v>
      </c>
      <c r="R723" s="251" t="str">
        <f>IFERROR(__xludf.DUMMYFUNCTION("""COMPUTED_VALUE"""),"Underdog")</f>
        <v>Underdog</v>
      </c>
      <c r="S723" s="251" t="str">
        <f>IFERROR(__xludf.DUMMYFUNCTION("""COMPUTED_VALUE"""),"--")</f>
        <v>--</v>
      </c>
      <c r="T723" s="251" t="str">
        <f>IFERROR(__xludf.DUMMYFUNCTION("""COMPUTED_VALUE"""),"--")</f>
        <v>--</v>
      </c>
      <c r="U723" s="251" t="str">
        <f>IFERROR(__xludf.DUMMYFUNCTION("""COMPUTED_VALUE"""),"--")</f>
        <v>--</v>
      </c>
      <c r="V723" s="251" t="str">
        <f>IFERROR(__xludf.DUMMYFUNCTION("""COMPUTED_VALUE"""),"--")</f>
        <v>--</v>
      </c>
      <c r="W723" s="251" t="str">
        <f>IFERROR(__xludf.DUMMYFUNCTION("""COMPUTED_VALUE"""),"--")</f>
        <v>--</v>
      </c>
      <c r="X723" s="251" t="str">
        <f>IFERROR(__xludf.DUMMYFUNCTION("""COMPUTED_VALUE"""),"--")</f>
        <v>--</v>
      </c>
      <c r="Y723" s="251" t="str">
        <f>IFERROR(__xludf.DUMMYFUNCTION("""COMPUTED_VALUE"""),"--")</f>
        <v>--</v>
      </c>
      <c r="Z723" s="251" t="str">
        <f>IFERROR(__xludf.DUMMYFUNCTION("""COMPUTED_VALUE"""),"--")</f>
        <v>--</v>
      </c>
      <c r="AA723" s="251" t="str">
        <f>IFERROR(__xludf.DUMMYFUNCTION("""COMPUTED_VALUE"""),"--")</f>
        <v>--</v>
      </c>
      <c r="AB723" s="251" t="str">
        <f>IFERROR(__xludf.DUMMYFUNCTION("""COMPUTED_VALUE"""),"--")</f>
        <v>--</v>
      </c>
      <c r="AC723" s="251" t="str">
        <f>IFERROR(__xludf.DUMMYFUNCTION("""COMPUTED_VALUE"""),"--")</f>
        <v>--</v>
      </c>
      <c r="AD723" s="251">
        <f>IFERROR(__xludf.DUMMYFUNCTION("""COMPUTED_VALUE"""),2.0)</f>
        <v>2</v>
      </c>
      <c r="AE723" s="251" t="str">
        <f>IFERROR(__xludf.DUMMYFUNCTION("""COMPUTED_VALUE"""),"Phototroph")</f>
        <v>Phototroph</v>
      </c>
    </row>
    <row r="724">
      <c r="A724" s="251" t="str">
        <f>IFERROR(__xludf.DUMMYFUNCTION("""COMPUTED_VALUE"""),"Whimsicott")</f>
        <v>Whimsicott</v>
      </c>
      <c r="B724" s="251" t="str">
        <f>IFERROR(__xludf.DUMMYFUNCTION("""COMPUTED_VALUE"""),"Grass")</f>
        <v>Grass</v>
      </c>
      <c r="C724" s="251" t="str">
        <f>IFERROR(__xludf.DUMMYFUNCTION("""COMPUTED_VALUE"""),"Fairy")</f>
        <v>Fairy</v>
      </c>
      <c r="D724" s="251">
        <f>IFERROR(__xludf.DUMMYFUNCTION("""COMPUTED_VALUE"""),6.0)</f>
        <v>6</v>
      </c>
      <c r="E724" s="251">
        <f>IFERROR(__xludf.DUMMYFUNCTION("""COMPUTED_VALUE"""),7.0)</f>
        <v>7</v>
      </c>
      <c r="F724" s="251">
        <f>IFERROR(__xludf.DUMMYFUNCTION("""COMPUTED_VALUE"""),9.0)</f>
        <v>9</v>
      </c>
      <c r="G724" s="251">
        <f>IFERROR(__xludf.DUMMYFUNCTION("""COMPUTED_VALUE"""),9.0)</f>
        <v>9</v>
      </c>
      <c r="H724" s="251">
        <f>IFERROR(__xludf.DUMMYFUNCTION("""COMPUTED_VALUE"""),8.0)</f>
        <v>8</v>
      </c>
      <c r="I724" s="251">
        <f>IFERROR(__xludf.DUMMYFUNCTION("""COMPUTED_VALUE"""),12.0)</f>
        <v>12</v>
      </c>
      <c r="J724" s="251">
        <f>IFERROR(__xludf.DUMMYFUNCTION("""COMPUTED_VALUE"""),2.0)</f>
        <v>2</v>
      </c>
      <c r="K724" s="251" t="str">
        <f>IFERROR(__xludf.DUMMYFUNCTION("""COMPUTED_VALUE"""),"Small")</f>
        <v>Small</v>
      </c>
      <c r="L724" s="251">
        <f>IFERROR(__xludf.DUMMYFUNCTION("""COMPUTED_VALUE"""),1.0)</f>
        <v>1</v>
      </c>
      <c r="M724" s="251" t="str">
        <f>IFERROR(__xludf.DUMMYFUNCTION("""COMPUTED_VALUE"""),"Grasslands")</f>
        <v>Grasslands</v>
      </c>
      <c r="N724" s="251" t="str">
        <f>IFERROR(__xludf.DUMMYFUNCTION("""COMPUTED_VALUE"""),"Flier")</f>
        <v>Flier</v>
      </c>
      <c r="O724" s="251" t="str">
        <f>IFERROR(__xludf.DUMMYFUNCTION("""COMPUTED_VALUE"""),"--")</f>
        <v>--</v>
      </c>
      <c r="P724" s="251" t="str">
        <f>IFERROR(__xludf.DUMMYFUNCTION("""COMPUTED_VALUE"""),"--")</f>
        <v>--</v>
      </c>
      <c r="Q724" s="251" t="str">
        <f>IFERROR(__xludf.DUMMYFUNCTION("""COMPUTED_VALUE"""),"--")</f>
        <v>--</v>
      </c>
      <c r="R724" s="251" t="str">
        <f>IFERROR(__xludf.DUMMYFUNCTION("""COMPUTED_VALUE"""),"--")</f>
        <v>--</v>
      </c>
      <c r="S724" s="251" t="str">
        <f>IFERROR(__xludf.DUMMYFUNCTION("""COMPUTED_VALUE"""),"--")</f>
        <v>--</v>
      </c>
      <c r="T724" s="251" t="str">
        <f>IFERROR(__xludf.DUMMYFUNCTION("""COMPUTED_VALUE"""),"--")</f>
        <v>--</v>
      </c>
      <c r="U724" s="251" t="str">
        <f>IFERROR(__xludf.DUMMYFUNCTION("""COMPUTED_VALUE"""),"--")</f>
        <v>--</v>
      </c>
      <c r="V724" s="251" t="str">
        <f>IFERROR(__xludf.DUMMYFUNCTION("""COMPUTED_VALUE"""),"--")</f>
        <v>--</v>
      </c>
      <c r="W724" s="251" t="str">
        <f>IFERROR(__xludf.DUMMYFUNCTION("""COMPUTED_VALUE"""),"--")</f>
        <v>--</v>
      </c>
      <c r="X724" s="251" t="str">
        <f>IFERROR(__xludf.DUMMYFUNCTION("""COMPUTED_VALUE"""),"--")</f>
        <v>--</v>
      </c>
      <c r="Y724" s="251" t="str">
        <f>IFERROR(__xludf.DUMMYFUNCTION("""COMPUTED_VALUE"""),"--")</f>
        <v>--</v>
      </c>
      <c r="Z724" s="251" t="str">
        <f>IFERROR(__xludf.DUMMYFUNCTION("""COMPUTED_VALUE"""),"--")</f>
        <v>--</v>
      </c>
      <c r="AA724" s="251" t="str">
        <f>IFERROR(__xludf.DUMMYFUNCTION("""COMPUTED_VALUE"""),"--")</f>
        <v>--</v>
      </c>
      <c r="AB724" s="251" t="str">
        <f>IFERROR(__xludf.DUMMYFUNCTION("""COMPUTED_VALUE"""),"--")</f>
        <v>--</v>
      </c>
      <c r="AC724" s="251" t="str">
        <f>IFERROR(__xludf.DUMMYFUNCTION("""COMPUTED_VALUE"""),"--")</f>
        <v>--</v>
      </c>
      <c r="AD724" s="251">
        <f>IFERROR(__xludf.DUMMYFUNCTION("""COMPUTED_VALUE"""),3.0)</f>
        <v>3</v>
      </c>
      <c r="AE724" s="251" t="str">
        <f>IFERROR(__xludf.DUMMYFUNCTION("""COMPUTED_VALUE"""),"Phototroph")</f>
        <v>Phototroph</v>
      </c>
    </row>
    <row r="725">
      <c r="A725" s="251" t="str">
        <f>IFERROR(__xludf.DUMMYFUNCTION("""COMPUTED_VALUE"""),"Petilil")</f>
        <v>Petilil</v>
      </c>
      <c r="B725" s="251" t="str">
        <f>IFERROR(__xludf.DUMMYFUNCTION("""COMPUTED_VALUE"""),"Grass")</f>
        <v>Grass</v>
      </c>
      <c r="C725" s="251" t="str">
        <f>IFERROR(__xludf.DUMMYFUNCTION("""COMPUTED_VALUE"""),"None")</f>
        <v>None</v>
      </c>
      <c r="D725" s="251">
        <f>IFERROR(__xludf.DUMMYFUNCTION("""COMPUTED_VALUE"""),5.0)</f>
        <v>5</v>
      </c>
      <c r="E725" s="251">
        <f>IFERROR(__xludf.DUMMYFUNCTION("""COMPUTED_VALUE"""),4.0)</f>
        <v>4</v>
      </c>
      <c r="F725" s="251">
        <f>IFERROR(__xludf.DUMMYFUNCTION("""COMPUTED_VALUE"""),5.0)</f>
        <v>5</v>
      </c>
      <c r="G725" s="251">
        <f>IFERROR(__xludf.DUMMYFUNCTION("""COMPUTED_VALUE"""),7.0)</f>
        <v>7</v>
      </c>
      <c r="H725" s="251">
        <f>IFERROR(__xludf.DUMMYFUNCTION("""COMPUTED_VALUE"""),5.0)</f>
        <v>5</v>
      </c>
      <c r="I725" s="251">
        <f>IFERROR(__xludf.DUMMYFUNCTION("""COMPUTED_VALUE"""),4.0)</f>
        <v>4</v>
      </c>
      <c r="J725" s="251">
        <f>IFERROR(__xludf.DUMMYFUNCTION("""COMPUTED_VALUE"""),2.0)</f>
        <v>2</v>
      </c>
      <c r="K725" s="251" t="str">
        <f>IFERROR(__xludf.DUMMYFUNCTION("""COMPUTED_VALUE"""),"Small")</f>
        <v>Small</v>
      </c>
      <c r="L725" s="251">
        <f>IFERROR(__xludf.DUMMYFUNCTION("""COMPUTED_VALUE"""),1.0)</f>
        <v>1</v>
      </c>
      <c r="M725" s="251" t="str">
        <f>IFERROR(__xludf.DUMMYFUNCTION("""COMPUTED_VALUE"""),"Forest, Grasslands")</f>
        <v>Forest, Grasslands</v>
      </c>
      <c r="N725" s="251" t="str">
        <f>IFERROR(__xludf.DUMMYFUNCTION("""COMPUTED_VALUE"""),"--")</f>
        <v>--</v>
      </c>
      <c r="O725" s="251" t="str">
        <f>IFERROR(__xludf.DUMMYFUNCTION("""COMPUTED_VALUE"""),"--")</f>
        <v>--</v>
      </c>
      <c r="P725" s="251" t="str">
        <f>IFERROR(__xludf.DUMMYFUNCTION("""COMPUTED_VALUE"""),"--")</f>
        <v>--</v>
      </c>
      <c r="Q725" s="251" t="str">
        <f>IFERROR(__xludf.DUMMYFUNCTION("""COMPUTED_VALUE"""),"--")</f>
        <v>--</v>
      </c>
      <c r="R725" s="251" t="str">
        <f>IFERROR(__xludf.DUMMYFUNCTION("""COMPUTED_VALUE"""),"Underdog")</f>
        <v>Underdog</v>
      </c>
      <c r="S725" s="251" t="str">
        <f>IFERROR(__xludf.DUMMYFUNCTION("""COMPUTED_VALUE"""),"--")</f>
        <v>--</v>
      </c>
      <c r="T725" s="251" t="str">
        <f>IFERROR(__xludf.DUMMYFUNCTION("""COMPUTED_VALUE"""),"--")</f>
        <v>--</v>
      </c>
      <c r="U725" s="251" t="str">
        <f>IFERROR(__xludf.DUMMYFUNCTION("""COMPUTED_VALUE"""),"--")</f>
        <v>--</v>
      </c>
      <c r="V725" s="251" t="str">
        <f>IFERROR(__xludf.DUMMYFUNCTION("""COMPUTED_VALUE"""),"Mender")</f>
        <v>Mender</v>
      </c>
      <c r="W725" s="251" t="str">
        <f>IFERROR(__xludf.DUMMYFUNCTION("""COMPUTED_VALUE"""),"--")</f>
        <v>--</v>
      </c>
      <c r="X725" s="251" t="str">
        <f>IFERROR(__xludf.DUMMYFUNCTION("""COMPUTED_VALUE"""),"--")</f>
        <v>--</v>
      </c>
      <c r="Y725" s="251" t="str">
        <f>IFERROR(__xludf.DUMMYFUNCTION("""COMPUTED_VALUE"""),"--")</f>
        <v>--</v>
      </c>
      <c r="Z725" s="251" t="str">
        <f>IFERROR(__xludf.DUMMYFUNCTION("""COMPUTED_VALUE"""),"--")</f>
        <v>--</v>
      </c>
      <c r="AA725" s="251" t="str">
        <f>IFERROR(__xludf.DUMMYFUNCTION("""COMPUTED_VALUE"""),"--")</f>
        <v>--</v>
      </c>
      <c r="AB725" s="251" t="str">
        <f>IFERROR(__xludf.DUMMYFUNCTION("""COMPUTED_VALUE"""),"--")</f>
        <v>--</v>
      </c>
      <c r="AC725" s="251" t="str">
        <f>IFERROR(__xludf.DUMMYFUNCTION("""COMPUTED_VALUE"""),"--")</f>
        <v>--</v>
      </c>
      <c r="AD725" s="251">
        <f>IFERROR(__xludf.DUMMYFUNCTION("""COMPUTED_VALUE"""),2.0)</f>
        <v>2</v>
      </c>
      <c r="AE725" s="251" t="str">
        <f>IFERROR(__xludf.DUMMYFUNCTION("""COMPUTED_VALUE"""),"Phototroph")</f>
        <v>Phototroph</v>
      </c>
    </row>
    <row r="726">
      <c r="A726" s="251" t="str">
        <f>IFERROR(__xludf.DUMMYFUNCTION("""COMPUTED_VALUE"""),"Lilligant")</f>
        <v>Lilligant</v>
      </c>
      <c r="B726" s="251" t="str">
        <f>IFERROR(__xludf.DUMMYFUNCTION("""COMPUTED_VALUE"""),"Grass")</f>
        <v>Grass</v>
      </c>
      <c r="C726" s="251" t="str">
        <f>IFERROR(__xludf.DUMMYFUNCTION("""COMPUTED_VALUE"""),"None")</f>
        <v>None</v>
      </c>
      <c r="D726" s="251">
        <f>IFERROR(__xludf.DUMMYFUNCTION("""COMPUTED_VALUE"""),8.0)</f>
        <v>8</v>
      </c>
      <c r="E726" s="251">
        <f>IFERROR(__xludf.DUMMYFUNCTION("""COMPUTED_VALUE"""),6.0)</f>
        <v>6</v>
      </c>
      <c r="F726" s="251">
        <f>IFERROR(__xludf.DUMMYFUNCTION("""COMPUTED_VALUE"""),8.0)</f>
        <v>8</v>
      </c>
      <c r="G726" s="251">
        <f>IFERROR(__xludf.DUMMYFUNCTION("""COMPUTED_VALUE"""),12.0)</f>
        <v>12</v>
      </c>
      <c r="H726" s="251">
        <f>IFERROR(__xludf.DUMMYFUNCTION("""COMPUTED_VALUE"""),8.0)</f>
        <v>8</v>
      </c>
      <c r="I726" s="251">
        <f>IFERROR(__xludf.DUMMYFUNCTION("""COMPUTED_VALUE"""),9.0)</f>
        <v>9</v>
      </c>
      <c r="J726" s="251">
        <f>IFERROR(__xludf.DUMMYFUNCTION("""COMPUTED_VALUE"""),4.0)</f>
        <v>4</v>
      </c>
      <c r="K726" s="251" t="str">
        <f>IFERROR(__xludf.DUMMYFUNCTION("""COMPUTED_VALUE"""),"Medium")</f>
        <v>Medium</v>
      </c>
      <c r="L726" s="251">
        <f>IFERROR(__xludf.DUMMYFUNCTION("""COMPUTED_VALUE"""),2.0)</f>
        <v>2</v>
      </c>
      <c r="M726" s="251" t="str">
        <f>IFERROR(__xludf.DUMMYFUNCTION("""COMPUTED_VALUE"""),"Forest, Grasslands")</f>
        <v>Forest, Grasslands</v>
      </c>
      <c r="N726" s="251" t="str">
        <f>IFERROR(__xludf.DUMMYFUNCTION("""COMPUTED_VALUE"""),"--")</f>
        <v>--</v>
      </c>
      <c r="O726" s="251" t="str">
        <f>IFERROR(__xludf.DUMMYFUNCTION("""COMPUTED_VALUE"""),"--")</f>
        <v>--</v>
      </c>
      <c r="P726" s="251" t="str">
        <f>IFERROR(__xludf.DUMMYFUNCTION("""COMPUTED_VALUE"""),"--")</f>
        <v>--</v>
      </c>
      <c r="Q726" s="251" t="str">
        <f>IFERROR(__xludf.DUMMYFUNCTION("""COMPUTED_VALUE"""),"--")</f>
        <v>--</v>
      </c>
      <c r="R726" s="251" t="str">
        <f>IFERROR(__xludf.DUMMYFUNCTION("""COMPUTED_VALUE"""),"--")</f>
        <v>--</v>
      </c>
      <c r="S726" s="251" t="str">
        <f>IFERROR(__xludf.DUMMYFUNCTION("""COMPUTED_VALUE"""),"--")</f>
        <v>--</v>
      </c>
      <c r="T726" s="251" t="str">
        <f>IFERROR(__xludf.DUMMYFUNCTION("""COMPUTED_VALUE"""),"--")</f>
        <v>--</v>
      </c>
      <c r="U726" s="251" t="str">
        <f>IFERROR(__xludf.DUMMYFUNCTION("""COMPUTED_VALUE"""),"--")</f>
        <v>--</v>
      </c>
      <c r="V726" s="251" t="str">
        <f>IFERROR(__xludf.DUMMYFUNCTION("""COMPUTED_VALUE"""),"Alluring")</f>
        <v>Alluring</v>
      </c>
      <c r="W726" s="251" t="str">
        <f>IFERROR(__xludf.DUMMYFUNCTION("""COMPUTED_VALUE"""),"Mender")</f>
        <v>Mender</v>
      </c>
      <c r="X726" s="251" t="str">
        <f>IFERROR(__xludf.DUMMYFUNCTION("""COMPUTED_VALUE"""),"--")</f>
        <v>--</v>
      </c>
      <c r="Y726" s="251" t="str">
        <f>IFERROR(__xludf.DUMMYFUNCTION("""COMPUTED_VALUE"""),"--")</f>
        <v>--</v>
      </c>
      <c r="Z726" s="251" t="str">
        <f>IFERROR(__xludf.DUMMYFUNCTION("""COMPUTED_VALUE"""),"--")</f>
        <v>--</v>
      </c>
      <c r="AA726" s="251" t="str">
        <f>IFERROR(__xludf.DUMMYFUNCTION("""COMPUTED_VALUE"""),"--")</f>
        <v>--</v>
      </c>
      <c r="AB726" s="251" t="str">
        <f>IFERROR(__xludf.DUMMYFUNCTION("""COMPUTED_VALUE"""),"--")</f>
        <v>--</v>
      </c>
      <c r="AC726" s="251" t="str">
        <f>IFERROR(__xludf.DUMMYFUNCTION("""COMPUTED_VALUE"""),"--")</f>
        <v>--</v>
      </c>
      <c r="AD726" s="251">
        <f>IFERROR(__xludf.DUMMYFUNCTION("""COMPUTED_VALUE"""),3.0)</f>
        <v>3</v>
      </c>
      <c r="AE726" s="251" t="str">
        <f>IFERROR(__xludf.DUMMYFUNCTION("""COMPUTED_VALUE"""),"Phototroph")</f>
        <v>Phototroph</v>
      </c>
    </row>
    <row r="727">
      <c r="A727" s="251" t="str">
        <f>IFERROR(__xludf.DUMMYFUNCTION("""COMPUTED_VALUE"""),"Hisuian Lilligant")</f>
        <v>Hisuian Lilligant</v>
      </c>
      <c r="B727" s="251" t="str">
        <f>IFERROR(__xludf.DUMMYFUNCTION("""COMPUTED_VALUE"""),"Grass")</f>
        <v>Grass</v>
      </c>
      <c r="C727" s="251" t="str">
        <f>IFERROR(__xludf.DUMMYFUNCTION("""COMPUTED_VALUE"""),"Fighting")</f>
        <v>Fighting</v>
      </c>
      <c r="D727" s="251">
        <f>IFERROR(__xludf.DUMMYFUNCTION("""COMPUTED_VALUE"""),8.0)</f>
        <v>8</v>
      </c>
      <c r="E727" s="251">
        <f>IFERROR(__xludf.DUMMYFUNCTION("""COMPUTED_VALUE"""),12.0)</f>
        <v>12</v>
      </c>
      <c r="F727" s="251">
        <f>IFERROR(__xludf.DUMMYFUNCTION("""COMPUTED_VALUE"""),8.0)</f>
        <v>8</v>
      </c>
      <c r="G727" s="251">
        <f>IFERROR(__xludf.DUMMYFUNCTION("""COMPUTED_VALUE"""),6.0)</f>
        <v>6</v>
      </c>
      <c r="H727" s="251">
        <f>IFERROR(__xludf.DUMMYFUNCTION("""COMPUTED_VALUE"""),7.0)</f>
        <v>7</v>
      </c>
      <c r="I727" s="251">
        <f>IFERROR(__xludf.DUMMYFUNCTION("""COMPUTED_VALUE"""),10.0)</f>
        <v>10</v>
      </c>
      <c r="J727" s="251">
        <f>IFERROR(__xludf.DUMMYFUNCTION("""COMPUTED_VALUE"""),7.0)</f>
        <v>7</v>
      </c>
      <c r="K727" s="251" t="str">
        <f>IFERROR(__xludf.DUMMYFUNCTION("""COMPUTED_VALUE"""),"Medium")</f>
        <v>Medium</v>
      </c>
      <c r="L727" s="251">
        <f>IFERROR(__xludf.DUMMYFUNCTION("""COMPUTED_VALUE"""),2.0)</f>
        <v>2</v>
      </c>
      <c r="M727" s="251" t="str">
        <f>IFERROR(__xludf.DUMMYFUNCTION("""COMPUTED_VALUE"""),"Forest, Grasslands")</f>
        <v>Forest, Grasslands</v>
      </c>
      <c r="N727" s="251" t="str">
        <f>IFERROR(__xludf.DUMMYFUNCTION("""COMPUTED_VALUE"""),"Jumper")</f>
        <v>Jumper</v>
      </c>
      <c r="O727" s="251" t="str">
        <f>IFERROR(__xludf.DUMMYFUNCTION("""COMPUTED_VALUE"""),"Quick")</f>
        <v>Quick</v>
      </c>
      <c r="P727" s="251" t="str">
        <f>IFERROR(__xludf.DUMMYFUNCTION("""COMPUTED_VALUE"""),"--")</f>
        <v>--</v>
      </c>
      <c r="Q727" s="251" t="str">
        <f>IFERROR(__xludf.DUMMYFUNCTION("""COMPUTED_VALUE"""),"--")</f>
        <v>--</v>
      </c>
      <c r="R727" s="251" t="str">
        <f>IFERROR(__xludf.DUMMYFUNCTION("""COMPUTED_VALUE"""),"--")</f>
        <v>--</v>
      </c>
      <c r="S727" s="251" t="str">
        <f>IFERROR(__xludf.DUMMYFUNCTION("""COMPUTED_VALUE"""),"--")</f>
        <v>--</v>
      </c>
      <c r="T727" s="251" t="str">
        <f>IFERROR(__xludf.DUMMYFUNCTION("""COMPUTED_VALUE"""),"--")</f>
        <v>--</v>
      </c>
      <c r="U727" s="251" t="str">
        <f>IFERROR(__xludf.DUMMYFUNCTION("""COMPUTED_VALUE"""),"--")</f>
        <v>--</v>
      </c>
      <c r="V727" s="251" t="str">
        <f>IFERROR(__xludf.DUMMYFUNCTION("""COMPUTED_VALUE"""),"Alluring")</f>
        <v>Alluring</v>
      </c>
      <c r="W727" s="251" t="str">
        <f>IFERROR(__xludf.DUMMYFUNCTION("""COMPUTED_VALUE"""),"--")</f>
        <v>--</v>
      </c>
      <c r="X727" s="251" t="str">
        <f>IFERROR(__xludf.DUMMYFUNCTION("""COMPUTED_VALUE"""),"--")</f>
        <v>--</v>
      </c>
      <c r="Y727" s="251" t="str">
        <f>IFERROR(__xludf.DUMMYFUNCTION("""COMPUTED_VALUE"""),"--")</f>
        <v>--</v>
      </c>
      <c r="Z727" s="251" t="str">
        <f>IFERROR(__xludf.DUMMYFUNCTION("""COMPUTED_VALUE"""),"--")</f>
        <v>--</v>
      </c>
      <c r="AA727" s="251" t="str">
        <f>IFERROR(__xludf.DUMMYFUNCTION("""COMPUTED_VALUE"""),"--")</f>
        <v>--</v>
      </c>
      <c r="AB727" s="251" t="str">
        <f>IFERROR(__xludf.DUMMYFUNCTION("""COMPUTED_VALUE"""),"--")</f>
        <v>--</v>
      </c>
      <c r="AC727" s="251" t="str">
        <f>IFERROR(__xludf.DUMMYFUNCTION("""COMPUTED_VALUE"""),"--")</f>
        <v>--</v>
      </c>
      <c r="AD727" s="251">
        <f>IFERROR(__xludf.DUMMYFUNCTION("""COMPUTED_VALUE"""),3.0)</f>
        <v>3</v>
      </c>
      <c r="AE727" s="251" t="str">
        <f>IFERROR(__xludf.DUMMYFUNCTION("""COMPUTED_VALUE"""),"Phototroph")</f>
        <v>Phototroph</v>
      </c>
    </row>
    <row r="728">
      <c r="A728" s="251" t="str">
        <f>IFERROR(__xludf.DUMMYFUNCTION("""COMPUTED_VALUE"""),"Foongus")</f>
        <v>Foongus</v>
      </c>
      <c r="B728" s="251" t="str">
        <f>IFERROR(__xludf.DUMMYFUNCTION("""COMPUTED_VALUE"""),"Grass")</f>
        <v>Grass</v>
      </c>
      <c r="C728" s="251" t="str">
        <f>IFERROR(__xludf.DUMMYFUNCTION("""COMPUTED_VALUE"""),"Poison")</f>
        <v>Poison</v>
      </c>
      <c r="D728" s="251">
        <f>IFERROR(__xludf.DUMMYFUNCTION("""COMPUTED_VALUE"""),7.0)</f>
        <v>7</v>
      </c>
      <c r="E728" s="251">
        <f>IFERROR(__xludf.DUMMYFUNCTION("""COMPUTED_VALUE"""),6.0)</f>
        <v>6</v>
      </c>
      <c r="F728" s="251">
        <f>IFERROR(__xludf.DUMMYFUNCTION("""COMPUTED_VALUE"""),5.0)</f>
        <v>5</v>
      </c>
      <c r="G728" s="251">
        <f>IFERROR(__xludf.DUMMYFUNCTION("""COMPUTED_VALUE"""),6.0)</f>
        <v>6</v>
      </c>
      <c r="H728" s="251">
        <f>IFERROR(__xludf.DUMMYFUNCTION("""COMPUTED_VALUE"""),6.0)</f>
        <v>6</v>
      </c>
      <c r="I728" s="251">
        <f>IFERROR(__xludf.DUMMYFUNCTION("""COMPUTED_VALUE"""),2.0)</f>
        <v>2</v>
      </c>
      <c r="J728" s="251">
        <f>IFERROR(__xludf.DUMMYFUNCTION("""COMPUTED_VALUE"""),2.0)</f>
        <v>2</v>
      </c>
      <c r="K728" s="251" t="str">
        <f>IFERROR(__xludf.DUMMYFUNCTION("""COMPUTED_VALUE"""),"Small")</f>
        <v>Small</v>
      </c>
      <c r="L728" s="251">
        <f>IFERROR(__xludf.DUMMYFUNCTION("""COMPUTED_VALUE"""),1.0)</f>
        <v>1</v>
      </c>
      <c r="M728" s="251" t="str">
        <f>IFERROR(__xludf.DUMMYFUNCTION("""COMPUTED_VALUE"""),"Forest")</f>
        <v>Forest</v>
      </c>
      <c r="N728" s="251" t="str">
        <f>IFERROR(__xludf.DUMMYFUNCTION("""COMPUTED_VALUE"""),"Slow")</f>
        <v>Slow</v>
      </c>
      <c r="O728" s="251" t="str">
        <f>IFERROR(__xludf.DUMMYFUNCTION("""COMPUTED_VALUE"""),"--")</f>
        <v>--</v>
      </c>
      <c r="P728" s="251" t="str">
        <f>IFERROR(__xludf.DUMMYFUNCTION("""COMPUTED_VALUE"""),"--")</f>
        <v>--</v>
      </c>
      <c r="Q728" s="251" t="str">
        <f>IFERROR(__xludf.DUMMYFUNCTION("""COMPUTED_VALUE"""),"--")</f>
        <v>--</v>
      </c>
      <c r="R728" s="251" t="str">
        <f>IFERROR(__xludf.DUMMYFUNCTION("""COMPUTED_VALUE"""),"--")</f>
        <v>--</v>
      </c>
      <c r="S728" s="251" t="str">
        <f>IFERROR(__xludf.DUMMYFUNCTION("""COMPUTED_VALUE"""),"--")</f>
        <v>--</v>
      </c>
      <c r="T728" s="251" t="str">
        <f>IFERROR(__xludf.DUMMYFUNCTION("""COMPUTED_VALUE"""),"--")</f>
        <v>--</v>
      </c>
      <c r="U728" s="251" t="str">
        <f>IFERROR(__xludf.DUMMYFUNCTION("""COMPUTED_VALUE"""),"--")</f>
        <v>--</v>
      </c>
      <c r="V728" s="251" t="str">
        <f>IFERROR(__xludf.DUMMYFUNCTION("""COMPUTED_VALUE"""),"--")</f>
        <v>--</v>
      </c>
      <c r="W728" s="251" t="str">
        <f>IFERROR(__xludf.DUMMYFUNCTION("""COMPUTED_VALUE"""),"--")</f>
        <v>--</v>
      </c>
      <c r="X728" s="251" t="str">
        <f>IFERROR(__xludf.DUMMYFUNCTION("""COMPUTED_VALUE"""),"--")</f>
        <v>--</v>
      </c>
      <c r="Y728" s="251" t="str">
        <f>IFERROR(__xludf.DUMMYFUNCTION("""COMPUTED_VALUE"""),"--")</f>
        <v>--</v>
      </c>
      <c r="Z728" s="251" t="str">
        <f>IFERROR(__xludf.DUMMYFUNCTION("""COMPUTED_VALUE"""),"--")</f>
        <v>--</v>
      </c>
      <c r="AA728" s="251" t="str">
        <f>IFERROR(__xludf.DUMMYFUNCTION("""COMPUTED_VALUE"""),"--")</f>
        <v>--</v>
      </c>
      <c r="AB728" s="251" t="str">
        <f>IFERROR(__xludf.DUMMYFUNCTION("""COMPUTED_VALUE"""),"--")</f>
        <v>--</v>
      </c>
      <c r="AC728" s="251" t="str">
        <f>IFERROR(__xludf.DUMMYFUNCTION("""COMPUTED_VALUE"""),"--")</f>
        <v>--</v>
      </c>
      <c r="AD728" s="251">
        <f>IFERROR(__xludf.DUMMYFUNCTION("""COMPUTED_VALUE"""),2.0)</f>
        <v>2</v>
      </c>
      <c r="AE728" s="251" t="str">
        <f>IFERROR(__xludf.DUMMYFUNCTION("""COMPUTED_VALUE"""),"Phototroph")</f>
        <v>Phototroph</v>
      </c>
    </row>
    <row r="729">
      <c r="A729" s="251" t="str">
        <f>IFERROR(__xludf.DUMMYFUNCTION("""COMPUTED_VALUE"""),"Amoonguss")</f>
        <v>Amoonguss</v>
      </c>
      <c r="B729" s="251" t="str">
        <f>IFERROR(__xludf.DUMMYFUNCTION("""COMPUTED_VALUE"""),"Grass")</f>
        <v>Grass</v>
      </c>
      <c r="C729" s="251" t="str">
        <f>IFERROR(__xludf.DUMMYFUNCTION("""COMPUTED_VALUE"""),"Poison")</f>
        <v>Poison</v>
      </c>
      <c r="D729" s="251">
        <f>IFERROR(__xludf.DUMMYFUNCTION("""COMPUTED_VALUE"""),12.0)</f>
        <v>12</v>
      </c>
      <c r="E729" s="251">
        <f>IFERROR(__xludf.DUMMYFUNCTION("""COMPUTED_VALUE"""),9.0)</f>
        <v>9</v>
      </c>
      <c r="F729" s="251">
        <f>IFERROR(__xludf.DUMMYFUNCTION("""COMPUTED_VALUE"""),9.0)</f>
        <v>9</v>
      </c>
      <c r="G729" s="251">
        <f>IFERROR(__xludf.DUMMYFUNCTION("""COMPUTED_VALUE"""),9.0)</f>
        <v>9</v>
      </c>
      <c r="H729" s="251">
        <f>IFERROR(__xludf.DUMMYFUNCTION("""COMPUTED_VALUE"""),9.0)</f>
        <v>9</v>
      </c>
      <c r="I729" s="251">
        <f>IFERROR(__xludf.DUMMYFUNCTION("""COMPUTED_VALUE"""),3.0)</f>
        <v>3</v>
      </c>
      <c r="J729" s="251">
        <f>IFERROR(__xludf.DUMMYFUNCTION("""COMPUTED_VALUE"""),4.0)</f>
        <v>4</v>
      </c>
      <c r="K729" s="251" t="str">
        <f>IFERROR(__xludf.DUMMYFUNCTION("""COMPUTED_VALUE"""),"Small")</f>
        <v>Small</v>
      </c>
      <c r="L729" s="251">
        <f>IFERROR(__xludf.DUMMYFUNCTION("""COMPUTED_VALUE"""),1.0)</f>
        <v>1</v>
      </c>
      <c r="M729" s="251" t="str">
        <f>IFERROR(__xludf.DUMMYFUNCTION("""COMPUTED_VALUE"""),"Forest")</f>
        <v>Forest</v>
      </c>
      <c r="N729" s="251" t="str">
        <f>IFERROR(__xludf.DUMMYFUNCTION("""COMPUTED_VALUE"""),"--")</f>
        <v>--</v>
      </c>
      <c r="O729" s="251" t="str">
        <f>IFERROR(__xludf.DUMMYFUNCTION("""COMPUTED_VALUE"""),"--")</f>
        <v>--</v>
      </c>
      <c r="P729" s="251" t="str">
        <f>IFERROR(__xludf.DUMMYFUNCTION("""COMPUTED_VALUE"""),"--")</f>
        <v>--</v>
      </c>
      <c r="Q729" s="251" t="str">
        <f>IFERROR(__xludf.DUMMYFUNCTION("""COMPUTED_VALUE"""),"--")</f>
        <v>--</v>
      </c>
      <c r="R729" s="251" t="str">
        <f>IFERROR(__xludf.DUMMYFUNCTION("""COMPUTED_VALUE"""),"--")</f>
        <v>--</v>
      </c>
      <c r="S729" s="251" t="str">
        <f>IFERROR(__xludf.DUMMYFUNCTION("""COMPUTED_VALUE"""),"--")</f>
        <v>--</v>
      </c>
      <c r="T729" s="251" t="str">
        <f>IFERROR(__xludf.DUMMYFUNCTION("""COMPUTED_VALUE"""),"--")</f>
        <v>--</v>
      </c>
      <c r="U729" s="251" t="str">
        <f>IFERROR(__xludf.DUMMYFUNCTION("""COMPUTED_VALUE"""),"--")</f>
        <v>--</v>
      </c>
      <c r="V729" s="251" t="str">
        <f>IFERROR(__xludf.DUMMYFUNCTION("""COMPUTED_VALUE"""),"--")</f>
        <v>--</v>
      </c>
      <c r="W729" s="251" t="str">
        <f>IFERROR(__xludf.DUMMYFUNCTION("""COMPUTED_VALUE"""),"--")</f>
        <v>--</v>
      </c>
      <c r="X729" s="251" t="str">
        <f>IFERROR(__xludf.DUMMYFUNCTION("""COMPUTED_VALUE"""),"--")</f>
        <v>--</v>
      </c>
      <c r="Y729" s="251" t="str">
        <f>IFERROR(__xludf.DUMMYFUNCTION("""COMPUTED_VALUE"""),"--")</f>
        <v>--</v>
      </c>
      <c r="Z729" s="251" t="str">
        <f>IFERROR(__xludf.DUMMYFUNCTION("""COMPUTED_VALUE"""),"--")</f>
        <v>--</v>
      </c>
      <c r="AA729" s="251" t="str">
        <f>IFERROR(__xludf.DUMMYFUNCTION("""COMPUTED_VALUE"""),"--")</f>
        <v>--</v>
      </c>
      <c r="AB729" s="251" t="str">
        <f>IFERROR(__xludf.DUMMYFUNCTION("""COMPUTED_VALUE"""),"--")</f>
        <v>--</v>
      </c>
      <c r="AC729" s="251" t="str">
        <f>IFERROR(__xludf.DUMMYFUNCTION("""COMPUTED_VALUE"""),"--")</f>
        <v>--</v>
      </c>
      <c r="AD729" s="251">
        <f>IFERROR(__xludf.DUMMYFUNCTION("""COMPUTED_VALUE"""),3.0)</f>
        <v>3</v>
      </c>
      <c r="AE729" s="251" t="str">
        <f>IFERROR(__xludf.DUMMYFUNCTION("""COMPUTED_VALUE"""),"Phototroph")</f>
        <v>Phototroph</v>
      </c>
    </row>
    <row r="730">
      <c r="A730" s="251" t="str">
        <f>IFERROR(__xludf.DUMMYFUNCTION("""COMPUTED_VALUE"""),"Ferroseed")</f>
        <v>Ferroseed</v>
      </c>
      <c r="B730" s="251" t="str">
        <f>IFERROR(__xludf.DUMMYFUNCTION("""COMPUTED_VALUE"""),"Grass")</f>
        <v>Grass</v>
      </c>
      <c r="C730" s="251" t="str">
        <f>IFERROR(__xludf.DUMMYFUNCTION("""COMPUTED_VALUE"""),"Steel")</f>
        <v>Steel</v>
      </c>
      <c r="D730" s="251">
        <f>IFERROR(__xludf.DUMMYFUNCTION("""COMPUTED_VALUE"""),4.0)</f>
        <v>4</v>
      </c>
      <c r="E730" s="251">
        <f>IFERROR(__xludf.DUMMYFUNCTION("""COMPUTED_VALUE"""),5.0)</f>
        <v>5</v>
      </c>
      <c r="F730" s="251">
        <f>IFERROR(__xludf.DUMMYFUNCTION("""COMPUTED_VALUE"""),9.0)</f>
        <v>9</v>
      </c>
      <c r="G730" s="251">
        <f>IFERROR(__xludf.DUMMYFUNCTION("""COMPUTED_VALUE"""),2.0)</f>
        <v>2</v>
      </c>
      <c r="H730" s="251">
        <f>IFERROR(__xludf.DUMMYFUNCTION("""COMPUTED_VALUE"""),9.0)</f>
        <v>9</v>
      </c>
      <c r="I730" s="251">
        <f>IFERROR(__xludf.DUMMYFUNCTION("""COMPUTED_VALUE"""),1.0)</f>
        <v>1</v>
      </c>
      <c r="J730" s="251">
        <f>IFERROR(__xludf.DUMMYFUNCTION("""COMPUTED_VALUE"""),4.0)</f>
        <v>4</v>
      </c>
      <c r="K730" s="251" t="str">
        <f>IFERROR(__xludf.DUMMYFUNCTION("""COMPUTED_VALUE"""),"Small")</f>
        <v>Small</v>
      </c>
      <c r="L730" s="251">
        <f>IFERROR(__xludf.DUMMYFUNCTION("""COMPUTED_VALUE"""),2.0)</f>
        <v>2</v>
      </c>
      <c r="M730" s="251" t="str">
        <f>IFERROR(__xludf.DUMMYFUNCTION("""COMPUTED_VALUE"""),"Cave, Forest")</f>
        <v>Cave, Forest</v>
      </c>
      <c r="N730" s="251" t="str">
        <f>IFERROR(__xludf.DUMMYFUNCTION("""COMPUTED_VALUE"""),"Climber")</f>
        <v>Climber</v>
      </c>
      <c r="O730" s="251" t="str">
        <f>IFERROR(__xludf.DUMMYFUNCTION("""COMPUTED_VALUE"""),"Slow")</f>
        <v>Slow</v>
      </c>
      <c r="P730" s="251" t="str">
        <f>IFERROR(__xludf.DUMMYFUNCTION("""COMPUTED_VALUE"""),"--")</f>
        <v>--</v>
      </c>
      <c r="Q730" s="251" t="str">
        <f>IFERROR(__xludf.DUMMYFUNCTION("""COMPUTED_VALUE"""),"--")</f>
        <v>--</v>
      </c>
      <c r="R730" s="251" t="str">
        <f>IFERROR(__xludf.DUMMYFUNCTION("""COMPUTED_VALUE"""),"Underdog")</f>
        <v>Underdog</v>
      </c>
      <c r="S730" s="251" t="str">
        <f>IFERROR(__xludf.DUMMYFUNCTION("""COMPUTED_VALUE"""),"--")</f>
        <v>--</v>
      </c>
      <c r="T730" s="251" t="str">
        <f>IFERROR(__xludf.DUMMYFUNCTION("""COMPUTED_VALUE"""),"--")</f>
        <v>--</v>
      </c>
      <c r="U730" s="251" t="str">
        <f>IFERROR(__xludf.DUMMYFUNCTION("""COMPUTED_VALUE"""),"--")</f>
        <v>--</v>
      </c>
      <c r="V730" s="251" t="str">
        <f>IFERROR(__xludf.DUMMYFUNCTION("""COMPUTED_VALUE"""),"--")</f>
        <v>--</v>
      </c>
      <c r="W730" s="251" t="str">
        <f>IFERROR(__xludf.DUMMYFUNCTION("""COMPUTED_VALUE"""),"--")</f>
        <v>--</v>
      </c>
      <c r="X730" s="251" t="str">
        <f>IFERROR(__xludf.DUMMYFUNCTION("""COMPUTED_VALUE"""),"--")</f>
        <v>--</v>
      </c>
      <c r="Y730" s="251" t="str">
        <f>IFERROR(__xludf.DUMMYFUNCTION("""COMPUTED_VALUE"""),"--")</f>
        <v>--</v>
      </c>
      <c r="Z730" s="251" t="str">
        <f>IFERROR(__xludf.DUMMYFUNCTION("""COMPUTED_VALUE"""),"--")</f>
        <v>--</v>
      </c>
      <c r="AA730" s="251" t="str">
        <f>IFERROR(__xludf.DUMMYFUNCTION("""COMPUTED_VALUE"""),"--")</f>
        <v>--</v>
      </c>
      <c r="AB730" s="251" t="str">
        <f>IFERROR(__xludf.DUMMYFUNCTION("""COMPUTED_VALUE"""),"--")</f>
        <v>--</v>
      </c>
      <c r="AC730" s="251" t="str">
        <f>IFERROR(__xludf.DUMMYFUNCTION("""COMPUTED_VALUE"""),"--")</f>
        <v>--</v>
      </c>
      <c r="AD730" s="251">
        <f>IFERROR(__xludf.DUMMYFUNCTION("""COMPUTED_VALUE"""),2.0)</f>
        <v>2</v>
      </c>
      <c r="AE730" s="251" t="str">
        <f>IFERROR(__xludf.DUMMYFUNCTION("""COMPUTED_VALUE"""),"Phototroph, Terravore")</f>
        <v>Phototroph, Terravore</v>
      </c>
    </row>
    <row r="731">
      <c r="A731" s="251" t="str">
        <f>IFERROR(__xludf.DUMMYFUNCTION("""COMPUTED_VALUE"""),"Ferrothorn")</f>
        <v>Ferrothorn</v>
      </c>
      <c r="B731" s="251" t="str">
        <f>IFERROR(__xludf.DUMMYFUNCTION("""COMPUTED_VALUE"""),"Grass")</f>
        <v>Grass</v>
      </c>
      <c r="C731" s="251" t="str">
        <f>IFERROR(__xludf.DUMMYFUNCTION("""COMPUTED_VALUE"""),"Steel")</f>
        <v>Steel</v>
      </c>
      <c r="D731" s="251">
        <f>IFERROR(__xludf.DUMMYFUNCTION("""COMPUTED_VALUE"""),8.0)</f>
        <v>8</v>
      </c>
      <c r="E731" s="251">
        <f>IFERROR(__xludf.DUMMYFUNCTION("""COMPUTED_VALUE"""),9.0)</f>
        <v>9</v>
      </c>
      <c r="F731" s="251">
        <f>IFERROR(__xludf.DUMMYFUNCTION("""COMPUTED_VALUE"""),14.0)</f>
        <v>14</v>
      </c>
      <c r="G731" s="251">
        <f>IFERROR(__xludf.DUMMYFUNCTION("""COMPUTED_VALUE"""),5.0)</f>
        <v>5</v>
      </c>
      <c r="H731" s="251">
        <f>IFERROR(__xludf.DUMMYFUNCTION("""COMPUTED_VALUE"""),13.0)</f>
        <v>13</v>
      </c>
      <c r="I731" s="251">
        <f>IFERROR(__xludf.DUMMYFUNCTION("""COMPUTED_VALUE"""),2.0)</f>
        <v>2</v>
      </c>
      <c r="J731" s="251">
        <f>IFERROR(__xludf.DUMMYFUNCTION("""COMPUTED_VALUE"""),7.0)</f>
        <v>7</v>
      </c>
      <c r="K731" s="251" t="str">
        <f>IFERROR(__xludf.DUMMYFUNCTION("""COMPUTED_VALUE"""),"Medium")</f>
        <v>Medium</v>
      </c>
      <c r="L731" s="251">
        <f>IFERROR(__xludf.DUMMYFUNCTION("""COMPUTED_VALUE"""),5.0)</f>
        <v>5</v>
      </c>
      <c r="M731" s="251" t="str">
        <f>IFERROR(__xludf.DUMMYFUNCTION("""COMPUTED_VALUE"""),"Cave, Forest")</f>
        <v>Cave, Forest</v>
      </c>
      <c r="N731" s="251" t="str">
        <f>IFERROR(__xludf.DUMMYFUNCTION("""COMPUTED_VALUE"""),"Climber")</f>
        <v>Climber</v>
      </c>
      <c r="O731" s="251" t="str">
        <f>IFERROR(__xludf.DUMMYFUNCTION("""COMPUTED_VALUE"""),"--")</f>
        <v>--</v>
      </c>
      <c r="P731" s="251" t="str">
        <f>IFERROR(__xludf.DUMMYFUNCTION("""COMPUTED_VALUE"""),"--")</f>
        <v>--</v>
      </c>
      <c r="Q731" s="251" t="str">
        <f>IFERROR(__xludf.DUMMYFUNCTION("""COMPUTED_VALUE"""),"--")</f>
        <v>--</v>
      </c>
      <c r="R731" s="251" t="str">
        <f>IFERROR(__xludf.DUMMYFUNCTION("""COMPUTED_VALUE"""),"Reach")</f>
        <v>Reach</v>
      </c>
      <c r="S731" s="251" t="str">
        <f>IFERROR(__xludf.DUMMYFUNCTION("""COMPUTED_VALUE"""),"--")</f>
        <v>--</v>
      </c>
      <c r="T731" s="251" t="str">
        <f>IFERROR(__xludf.DUMMYFUNCTION("""COMPUTED_VALUE"""),"--")</f>
        <v>--</v>
      </c>
      <c r="U731" s="251" t="str">
        <f>IFERROR(__xludf.DUMMYFUNCTION("""COMPUTED_VALUE"""),"--")</f>
        <v>--</v>
      </c>
      <c r="V731" s="251" t="str">
        <f>IFERROR(__xludf.DUMMYFUNCTION("""COMPUTED_VALUE"""),"--")</f>
        <v>--</v>
      </c>
      <c r="W731" s="251" t="str">
        <f>IFERROR(__xludf.DUMMYFUNCTION("""COMPUTED_VALUE"""),"--")</f>
        <v>--</v>
      </c>
      <c r="X731" s="251" t="str">
        <f>IFERROR(__xludf.DUMMYFUNCTION("""COMPUTED_VALUE"""),"--")</f>
        <v>--</v>
      </c>
      <c r="Y731" s="251" t="str">
        <f>IFERROR(__xludf.DUMMYFUNCTION("""COMPUTED_VALUE"""),"--")</f>
        <v>--</v>
      </c>
      <c r="Z731" s="251" t="str">
        <f>IFERROR(__xludf.DUMMYFUNCTION("""COMPUTED_VALUE"""),"--")</f>
        <v>--</v>
      </c>
      <c r="AA731" s="251" t="str">
        <f>IFERROR(__xludf.DUMMYFUNCTION("""COMPUTED_VALUE"""),"--")</f>
        <v>--</v>
      </c>
      <c r="AB731" s="251" t="str">
        <f>IFERROR(__xludf.DUMMYFUNCTION("""COMPUTED_VALUE"""),"--")</f>
        <v>--</v>
      </c>
      <c r="AC731" s="251" t="str">
        <f>IFERROR(__xludf.DUMMYFUNCTION("""COMPUTED_VALUE"""),"--")</f>
        <v>--</v>
      </c>
      <c r="AD731" s="251">
        <f>IFERROR(__xludf.DUMMYFUNCTION("""COMPUTED_VALUE"""),3.0)</f>
        <v>3</v>
      </c>
      <c r="AE731" s="251" t="str">
        <f>IFERROR(__xludf.DUMMYFUNCTION("""COMPUTED_VALUE"""),"Phototroph, Terravore")</f>
        <v>Phototroph, Terravore</v>
      </c>
    </row>
    <row r="732">
      <c r="A732" s="251" t="str">
        <f>IFERROR(__xludf.DUMMYFUNCTION("""COMPUTED_VALUE"""),"Skiddo")</f>
        <v>Skiddo</v>
      </c>
      <c r="B732" s="251" t="str">
        <f>IFERROR(__xludf.DUMMYFUNCTION("""COMPUTED_VALUE"""),"Grass")</f>
        <v>Grass</v>
      </c>
      <c r="C732" s="251" t="str">
        <f>IFERROR(__xludf.DUMMYFUNCTION("""COMPUTED_VALUE"""),"None")</f>
        <v>None</v>
      </c>
      <c r="D732" s="251">
        <f>IFERROR(__xludf.DUMMYFUNCTION("""COMPUTED_VALUE"""),7.0)</f>
        <v>7</v>
      </c>
      <c r="E732" s="251">
        <f>IFERROR(__xludf.DUMMYFUNCTION("""COMPUTED_VALUE"""),7.0)</f>
        <v>7</v>
      </c>
      <c r="F732" s="251">
        <f>IFERROR(__xludf.DUMMYFUNCTION("""COMPUTED_VALUE"""),5.0)</f>
        <v>5</v>
      </c>
      <c r="G732" s="251">
        <f>IFERROR(__xludf.DUMMYFUNCTION("""COMPUTED_VALUE"""),6.0)</f>
        <v>6</v>
      </c>
      <c r="H732" s="251">
        <f>IFERROR(__xludf.DUMMYFUNCTION("""COMPUTED_VALUE"""),6.0)</f>
        <v>6</v>
      </c>
      <c r="I732" s="251">
        <f>IFERROR(__xludf.DUMMYFUNCTION("""COMPUTED_VALUE"""),5.0)</f>
        <v>5</v>
      </c>
      <c r="J732" s="251">
        <f>IFERROR(__xludf.DUMMYFUNCTION("""COMPUTED_VALUE"""),3.0)</f>
        <v>3</v>
      </c>
      <c r="K732" s="251" t="str">
        <f>IFERROR(__xludf.DUMMYFUNCTION("""COMPUTED_VALUE"""),"Small")</f>
        <v>Small</v>
      </c>
      <c r="L732" s="251">
        <f>IFERROR(__xludf.DUMMYFUNCTION("""COMPUTED_VALUE"""),3.0)</f>
        <v>3</v>
      </c>
      <c r="M732" s="251" t="str">
        <f>IFERROR(__xludf.DUMMYFUNCTION("""COMPUTED_VALUE"""),"Forest, Grasslands")</f>
        <v>Forest, Grasslands</v>
      </c>
      <c r="N732" s="251" t="str">
        <f>IFERROR(__xludf.DUMMYFUNCTION("""COMPUTED_VALUE"""),"Jumper")</f>
        <v>Jumper</v>
      </c>
      <c r="O732" s="251" t="str">
        <f>IFERROR(__xludf.DUMMYFUNCTION("""COMPUTED_VALUE"""),"--")</f>
        <v>--</v>
      </c>
      <c r="P732" s="251" t="str">
        <f>IFERROR(__xludf.DUMMYFUNCTION("""COMPUTED_VALUE"""),"--")</f>
        <v>--</v>
      </c>
      <c r="Q732" s="251" t="str">
        <f>IFERROR(__xludf.DUMMYFUNCTION("""COMPUTED_VALUE"""),"--")</f>
        <v>--</v>
      </c>
      <c r="R732" s="251" t="str">
        <f>IFERROR(__xludf.DUMMYFUNCTION("""COMPUTED_VALUE"""),"Mountable")</f>
        <v>Mountable</v>
      </c>
      <c r="S732" s="251" t="str">
        <f>IFERROR(__xludf.DUMMYFUNCTION("""COMPUTED_VALUE"""),"Underdog")</f>
        <v>Underdog</v>
      </c>
      <c r="T732" s="251" t="str">
        <f>IFERROR(__xludf.DUMMYFUNCTION("""COMPUTED_VALUE"""),"--")</f>
        <v>--</v>
      </c>
      <c r="U732" s="251" t="str">
        <f>IFERROR(__xludf.DUMMYFUNCTION("""COMPUTED_VALUE"""),"--")</f>
        <v>--</v>
      </c>
      <c r="V732" s="251" t="str">
        <f>IFERROR(__xludf.DUMMYFUNCTION("""COMPUTED_VALUE"""),"--")</f>
        <v>--</v>
      </c>
      <c r="W732" s="251" t="str">
        <f>IFERROR(__xludf.DUMMYFUNCTION("""COMPUTED_VALUE"""),"--")</f>
        <v>--</v>
      </c>
      <c r="X732" s="251" t="str">
        <f>IFERROR(__xludf.DUMMYFUNCTION("""COMPUTED_VALUE"""),"--")</f>
        <v>--</v>
      </c>
      <c r="Y732" s="251" t="str">
        <f>IFERROR(__xludf.DUMMYFUNCTION("""COMPUTED_VALUE"""),"--")</f>
        <v>--</v>
      </c>
      <c r="Z732" s="251" t="str">
        <f>IFERROR(__xludf.DUMMYFUNCTION("""COMPUTED_VALUE"""),"--")</f>
        <v>--</v>
      </c>
      <c r="AA732" s="251" t="str">
        <f>IFERROR(__xludf.DUMMYFUNCTION("""COMPUTED_VALUE"""),"--")</f>
        <v>--</v>
      </c>
      <c r="AB732" s="251" t="str">
        <f>IFERROR(__xludf.DUMMYFUNCTION("""COMPUTED_VALUE"""),"--")</f>
        <v>--</v>
      </c>
      <c r="AC732" s="251" t="str">
        <f>IFERROR(__xludf.DUMMYFUNCTION("""COMPUTED_VALUE"""),"--")</f>
        <v>--</v>
      </c>
      <c r="AD732" s="251">
        <f>IFERROR(__xludf.DUMMYFUNCTION("""COMPUTED_VALUE"""),2.0)</f>
        <v>2</v>
      </c>
      <c r="AE732" s="251" t="str">
        <f>IFERROR(__xludf.DUMMYFUNCTION("""COMPUTED_VALUE"""),"Herbivore")</f>
        <v>Herbivore</v>
      </c>
    </row>
    <row r="733">
      <c r="A733" s="251" t="str">
        <f>IFERROR(__xludf.DUMMYFUNCTION("""COMPUTED_VALUE"""),"Gogoat")</f>
        <v>Gogoat</v>
      </c>
      <c r="B733" s="251" t="str">
        <f>IFERROR(__xludf.DUMMYFUNCTION("""COMPUTED_VALUE"""),"Grass")</f>
        <v>Grass</v>
      </c>
      <c r="C733" s="251" t="str">
        <f>IFERROR(__xludf.DUMMYFUNCTION("""COMPUTED_VALUE"""),"None")</f>
        <v>None</v>
      </c>
      <c r="D733" s="251">
        <f>IFERROR(__xludf.DUMMYFUNCTION("""COMPUTED_VALUE"""),12.0)</f>
        <v>12</v>
      </c>
      <c r="E733" s="251">
        <f>IFERROR(__xludf.DUMMYFUNCTION("""COMPUTED_VALUE"""),10.0)</f>
        <v>10</v>
      </c>
      <c r="F733" s="251">
        <f>IFERROR(__xludf.DUMMYFUNCTION("""COMPUTED_VALUE"""),6.0)</f>
        <v>6</v>
      </c>
      <c r="G733" s="251">
        <f>IFERROR(__xludf.DUMMYFUNCTION("""COMPUTED_VALUE"""),10.0)</f>
        <v>10</v>
      </c>
      <c r="H733" s="251">
        <f>IFERROR(__xludf.DUMMYFUNCTION("""COMPUTED_VALUE"""),8.0)</f>
        <v>8</v>
      </c>
      <c r="I733" s="251">
        <f>IFERROR(__xludf.DUMMYFUNCTION("""COMPUTED_VALUE"""),7.0)</f>
        <v>7</v>
      </c>
      <c r="J733" s="251">
        <f>IFERROR(__xludf.DUMMYFUNCTION("""COMPUTED_VALUE"""),6.0)</f>
        <v>6</v>
      </c>
      <c r="K733" s="251" t="str">
        <f>IFERROR(__xludf.DUMMYFUNCTION("""COMPUTED_VALUE"""),"Medium")</f>
        <v>Medium</v>
      </c>
      <c r="L733" s="251">
        <f>IFERROR(__xludf.DUMMYFUNCTION("""COMPUTED_VALUE"""),4.0)</f>
        <v>4</v>
      </c>
      <c r="M733" s="251" t="str">
        <f>IFERROR(__xludf.DUMMYFUNCTION("""COMPUTED_VALUE"""),"Forest, Grasslands")</f>
        <v>Forest, Grasslands</v>
      </c>
      <c r="N733" s="251" t="str">
        <f>IFERROR(__xludf.DUMMYFUNCTION("""COMPUTED_VALUE"""),"Jumper")</f>
        <v>Jumper</v>
      </c>
      <c r="O733" s="251" t="str">
        <f>IFERROR(__xludf.DUMMYFUNCTION("""COMPUTED_VALUE"""),"Quick")</f>
        <v>Quick</v>
      </c>
      <c r="P733" s="251" t="str">
        <f>IFERROR(__xludf.DUMMYFUNCTION("""COMPUTED_VALUE"""),"--")</f>
        <v>--</v>
      </c>
      <c r="Q733" s="251" t="str">
        <f>IFERROR(__xludf.DUMMYFUNCTION("""COMPUTED_VALUE"""),"--")</f>
        <v>--</v>
      </c>
      <c r="R733" s="251" t="str">
        <f>IFERROR(__xludf.DUMMYFUNCTION("""COMPUTED_VALUE"""),"Mountable")</f>
        <v>Mountable</v>
      </c>
      <c r="S733" s="251" t="str">
        <f>IFERROR(__xludf.DUMMYFUNCTION("""COMPUTED_VALUE"""),"--")</f>
        <v>--</v>
      </c>
      <c r="T733" s="251" t="str">
        <f>IFERROR(__xludf.DUMMYFUNCTION("""COMPUTED_VALUE"""),"--")</f>
        <v>--</v>
      </c>
      <c r="U733" s="251" t="str">
        <f>IFERROR(__xludf.DUMMYFUNCTION("""COMPUTED_VALUE"""),"--")</f>
        <v>--</v>
      </c>
      <c r="V733" s="251" t="str">
        <f>IFERROR(__xludf.DUMMYFUNCTION("""COMPUTED_VALUE"""),"--")</f>
        <v>--</v>
      </c>
      <c r="W733" s="251" t="str">
        <f>IFERROR(__xludf.DUMMYFUNCTION("""COMPUTED_VALUE"""),"--")</f>
        <v>--</v>
      </c>
      <c r="X733" s="251" t="str">
        <f>IFERROR(__xludf.DUMMYFUNCTION("""COMPUTED_VALUE"""),"--")</f>
        <v>--</v>
      </c>
      <c r="Y733" s="251" t="str">
        <f>IFERROR(__xludf.DUMMYFUNCTION("""COMPUTED_VALUE"""),"--")</f>
        <v>--</v>
      </c>
      <c r="Z733" s="251" t="str">
        <f>IFERROR(__xludf.DUMMYFUNCTION("""COMPUTED_VALUE"""),"--")</f>
        <v>--</v>
      </c>
      <c r="AA733" s="251" t="str">
        <f>IFERROR(__xludf.DUMMYFUNCTION("""COMPUTED_VALUE"""),"--")</f>
        <v>--</v>
      </c>
      <c r="AB733" s="251" t="str">
        <f>IFERROR(__xludf.DUMMYFUNCTION("""COMPUTED_VALUE"""),"--")</f>
        <v>--</v>
      </c>
      <c r="AC733" s="251" t="str">
        <f>IFERROR(__xludf.DUMMYFUNCTION("""COMPUTED_VALUE"""),"--")</f>
        <v>--</v>
      </c>
      <c r="AD733" s="251">
        <f>IFERROR(__xludf.DUMMYFUNCTION("""COMPUTED_VALUE"""),3.0)</f>
        <v>3</v>
      </c>
      <c r="AE733" s="251" t="str">
        <f>IFERROR(__xludf.DUMMYFUNCTION("""COMPUTED_VALUE"""),"Herbivore")</f>
        <v>Herbivore</v>
      </c>
    </row>
    <row r="734">
      <c r="A734" s="251" t="str">
        <f>IFERROR(__xludf.DUMMYFUNCTION("""COMPUTED_VALUE"""),"Fomantis")</f>
        <v>Fomantis</v>
      </c>
      <c r="B734" s="251" t="str">
        <f>IFERROR(__xludf.DUMMYFUNCTION("""COMPUTED_VALUE"""),"Grass")</f>
        <v>Grass</v>
      </c>
      <c r="C734" s="251" t="str">
        <f>IFERROR(__xludf.DUMMYFUNCTION("""COMPUTED_VALUE"""),"None")</f>
        <v>None</v>
      </c>
      <c r="D734" s="251">
        <f>IFERROR(__xludf.DUMMYFUNCTION("""COMPUTED_VALUE"""),4.0)</f>
        <v>4</v>
      </c>
      <c r="E734" s="251">
        <f>IFERROR(__xludf.DUMMYFUNCTION("""COMPUTED_VALUE"""),7.0)</f>
        <v>7</v>
      </c>
      <c r="F734" s="251">
        <f>IFERROR(__xludf.DUMMYFUNCTION("""COMPUTED_VALUE"""),4.0)</f>
        <v>4</v>
      </c>
      <c r="G734" s="251">
        <f>IFERROR(__xludf.DUMMYFUNCTION("""COMPUTED_VALUE"""),6.0)</f>
        <v>6</v>
      </c>
      <c r="H734" s="251">
        <f>IFERROR(__xludf.DUMMYFUNCTION("""COMPUTED_VALUE"""),4.0)</f>
        <v>4</v>
      </c>
      <c r="I734" s="251">
        <f>IFERROR(__xludf.DUMMYFUNCTION("""COMPUTED_VALUE"""),5.0)</f>
        <v>5</v>
      </c>
      <c r="J734" s="251">
        <f>IFERROR(__xludf.DUMMYFUNCTION("""COMPUTED_VALUE"""),2.0)</f>
        <v>2</v>
      </c>
      <c r="K734" s="251" t="str">
        <f>IFERROR(__xludf.DUMMYFUNCTION("""COMPUTED_VALUE"""),"Small")</f>
        <v>Small</v>
      </c>
      <c r="L734" s="251">
        <f>IFERROR(__xludf.DUMMYFUNCTION("""COMPUTED_VALUE"""),1.0)</f>
        <v>1</v>
      </c>
      <c r="M734" s="251" t="str">
        <f>IFERROR(__xludf.DUMMYFUNCTION("""COMPUTED_VALUE"""),"Forest")</f>
        <v>Forest</v>
      </c>
      <c r="N734" s="251" t="str">
        <f>IFERROR(__xludf.DUMMYFUNCTION("""COMPUTED_VALUE"""),"--")</f>
        <v>--</v>
      </c>
      <c r="O734" s="251" t="str">
        <f>IFERROR(__xludf.DUMMYFUNCTION("""COMPUTED_VALUE"""),"--")</f>
        <v>--</v>
      </c>
      <c r="P734" s="251" t="str">
        <f>IFERROR(__xludf.DUMMYFUNCTION("""COMPUTED_VALUE"""),"--")</f>
        <v>--</v>
      </c>
      <c r="Q734" s="251" t="str">
        <f>IFERROR(__xludf.DUMMYFUNCTION("""COMPUTED_VALUE"""),"--")</f>
        <v>--</v>
      </c>
      <c r="R734" s="251" t="str">
        <f>IFERROR(__xludf.DUMMYFUNCTION("""COMPUTED_VALUE"""),"Underdog")</f>
        <v>Underdog</v>
      </c>
      <c r="S734" s="251" t="str">
        <f>IFERROR(__xludf.DUMMYFUNCTION("""COMPUTED_VALUE"""),"--")</f>
        <v>--</v>
      </c>
      <c r="T734" s="251" t="str">
        <f>IFERROR(__xludf.DUMMYFUNCTION("""COMPUTED_VALUE"""),"--")</f>
        <v>--</v>
      </c>
      <c r="U734" s="251" t="str">
        <f>IFERROR(__xludf.DUMMYFUNCTION("""COMPUTED_VALUE"""),"--")</f>
        <v>--</v>
      </c>
      <c r="V734" s="251" t="str">
        <f>IFERROR(__xludf.DUMMYFUNCTION("""COMPUTED_VALUE"""),"Alluring")</f>
        <v>Alluring</v>
      </c>
      <c r="W734" s="251" t="str">
        <f>IFERROR(__xludf.DUMMYFUNCTION("""COMPUTED_VALUE"""),"--")</f>
        <v>--</v>
      </c>
      <c r="X734" s="251" t="str">
        <f>IFERROR(__xludf.DUMMYFUNCTION("""COMPUTED_VALUE"""),"--")</f>
        <v>--</v>
      </c>
      <c r="Y734" s="251" t="str">
        <f>IFERROR(__xludf.DUMMYFUNCTION("""COMPUTED_VALUE"""),"--")</f>
        <v>--</v>
      </c>
      <c r="Z734" s="251" t="str">
        <f>IFERROR(__xludf.DUMMYFUNCTION("""COMPUTED_VALUE"""),"--")</f>
        <v>--</v>
      </c>
      <c r="AA734" s="251" t="str">
        <f>IFERROR(__xludf.DUMMYFUNCTION("""COMPUTED_VALUE"""),"--")</f>
        <v>--</v>
      </c>
      <c r="AB734" s="251" t="str">
        <f>IFERROR(__xludf.DUMMYFUNCTION("""COMPUTED_VALUE"""),"--")</f>
        <v>--</v>
      </c>
      <c r="AC734" s="251" t="str">
        <f>IFERROR(__xludf.DUMMYFUNCTION("""COMPUTED_VALUE"""),"--")</f>
        <v>--</v>
      </c>
      <c r="AD734" s="251">
        <f>IFERROR(__xludf.DUMMYFUNCTION("""COMPUTED_VALUE"""),2.0)</f>
        <v>2</v>
      </c>
      <c r="AE734" s="251" t="str">
        <f>IFERROR(__xludf.DUMMYFUNCTION("""COMPUTED_VALUE"""),"Omnivore")</f>
        <v>Omnivore</v>
      </c>
    </row>
    <row r="735">
      <c r="A735" s="251" t="str">
        <f>IFERROR(__xludf.DUMMYFUNCTION("""COMPUTED_VALUE"""),"Lurantis")</f>
        <v>Lurantis</v>
      </c>
      <c r="B735" s="251" t="str">
        <f>IFERROR(__xludf.DUMMYFUNCTION("""COMPUTED_VALUE"""),"Grass")</f>
        <v>Grass</v>
      </c>
      <c r="C735" s="251" t="str">
        <f>IFERROR(__xludf.DUMMYFUNCTION("""COMPUTED_VALUE"""),"None")</f>
        <v>None</v>
      </c>
      <c r="D735" s="251">
        <f>IFERROR(__xludf.DUMMYFUNCTION("""COMPUTED_VALUE"""),7.0)</f>
        <v>7</v>
      </c>
      <c r="E735" s="251">
        <f>IFERROR(__xludf.DUMMYFUNCTION("""COMPUTED_VALUE"""),12.0)</f>
        <v>12</v>
      </c>
      <c r="F735" s="251">
        <f>IFERROR(__xludf.DUMMYFUNCTION("""COMPUTED_VALUE"""),9.0)</f>
        <v>9</v>
      </c>
      <c r="G735" s="251">
        <f>IFERROR(__xludf.DUMMYFUNCTION("""COMPUTED_VALUE"""),8.0)</f>
        <v>8</v>
      </c>
      <c r="H735" s="251">
        <f>IFERROR(__xludf.DUMMYFUNCTION("""COMPUTED_VALUE"""),9.0)</f>
        <v>9</v>
      </c>
      <c r="I735" s="251">
        <f>IFERROR(__xludf.DUMMYFUNCTION("""COMPUTED_VALUE"""),6.0)</f>
        <v>6</v>
      </c>
      <c r="J735" s="251">
        <f>IFERROR(__xludf.DUMMYFUNCTION("""COMPUTED_VALUE"""),4.0)</f>
        <v>4</v>
      </c>
      <c r="K735" s="251" t="str">
        <f>IFERROR(__xludf.DUMMYFUNCTION("""COMPUTED_VALUE"""),"Small")</f>
        <v>Small</v>
      </c>
      <c r="L735" s="251">
        <f>IFERROR(__xludf.DUMMYFUNCTION("""COMPUTED_VALUE"""),2.0)</f>
        <v>2</v>
      </c>
      <c r="M735" s="251" t="str">
        <f>IFERROR(__xludf.DUMMYFUNCTION("""COMPUTED_VALUE"""),"Forest")</f>
        <v>Forest</v>
      </c>
      <c r="N735" s="251" t="str">
        <f>IFERROR(__xludf.DUMMYFUNCTION("""COMPUTED_VALUE"""),"Quick")</f>
        <v>Quick</v>
      </c>
      <c r="O735" s="251" t="str">
        <f>IFERROR(__xludf.DUMMYFUNCTION("""COMPUTED_VALUE"""),"--")</f>
        <v>--</v>
      </c>
      <c r="P735" s="251" t="str">
        <f>IFERROR(__xludf.DUMMYFUNCTION("""COMPUTED_VALUE"""),"--")</f>
        <v>--</v>
      </c>
      <c r="Q735" s="251" t="str">
        <f>IFERROR(__xludf.DUMMYFUNCTION("""COMPUTED_VALUE"""),"--")</f>
        <v>--</v>
      </c>
      <c r="R735" s="251" t="str">
        <f>IFERROR(__xludf.DUMMYFUNCTION("""COMPUTED_VALUE"""),"--")</f>
        <v>--</v>
      </c>
      <c r="S735" s="251" t="str">
        <f>IFERROR(__xludf.DUMMYFUNCTION("""COMPUTED_VALUE"""),"--")</f>
        <v>--</v>
      </c>
      <c r="T735" s="251" t="str">
        <f>IFERROR(__xludf.DUMMYFUNCTION("""COMPUTED_VALUE"""),"--")</f>
        <v>--</v>
      </c>
      <c r="U735" s="251" t="str">
        <f>IFERROR(__xludf.DUMMYFUNCTION("""COMPUTED_VALUE"""),"--")</f>
        <v>--</v>
      </c>
      <c r="V735" s="251" t="str">
        <f>IFERROR(__xludf.DUMMYFUNCTION("""COMPUTED_VALUE"""),"Alluring")</f>
        <v>Alluring</v>
      </c>
      <c r="W735" s="251" t="str">
        <f>IFERROR(__xludf.DUMMYFUNCTION("""COMPUTED_VALUE"""),"--")</f>
        <v>--</v>
      </c>
      <c r="X735" s="251" t="str">
        <f>IFERROR(__xludf.DUMMYFUNCTION("""COMPUTED_VALUE"""),"--")</f>
        <v>--</v>
      </c>
      <c r="Y735" s="251" t="str">
        <f>IFERROR(__xludf.DUMMYFUNCTION("""COMPUTED_VALUE"""),"--")</f>
        <v>--</v>
      </c>
      <c r="Z735" s="251" t="str">
        <f>IFERROR(__xludf.DUMMYFUNCTION("""COMPUTED_VALUE"""),"--")</f>
        <v>--</v>
      </c>
      <c r="AA735" s="251" t="str">
        <f>IFERROR(__xludf.DUMMYFUNCTION("""COMPUTED_VALUE"""),"--")</f>
        <v>--</v>
      </c>
      <c r="AB735" s="251" t="str">
        <f>IFERROR(__xludf.DUMMYFUNCTION("""COMPUTED_VALUE"""),"--")</f>
        <v>--</v>
      </c>
      <c r="AC735" s="251" t="str">
        <f>IFERROR(__xludf.DUMMYFUNCTION("""COMPUTED_VALUE"""),"--")</f>
        <v>--</v>
      </c>
      <c r="AD735" s="251">
        <f>IFERROR(__xludf.DUMMYFUNCTION("""COMPUTED_VALUE"""),3.0)</f>
        <v>3</v>
      </c>
      <c r="AE735" s="251" t="str">
        <f>IFERROR(__xludf.DUMMYFUNCTION("""COMPUTED_VALUE"""),"Omnivore")</f>
        <v>Omnivore</v>
      </c>
    </row>
    <row r="736">
      <c r="A736" s="251" t="str">
        <f>IFERROR(__xludf.DUMMYFUNCTION("""COMPUTED_VALUE"""),"Morelull")</f>
        <v>Morelull</v>
      </c>
      <c r="B736" s="251" t="str">
        <f>IFERROR(__xludf.DUMMYFUNCTION("""COMPUTED_VALUE"""),"Grass")</f>
        <v>Grass</v>
      </c>
      <c r="C736" s="251" t="str">
        <f>IFERROR(__xludf.DUMMYFUNCTION("""COMPUTED_VALUE"""),"Fairy")</f>
        <v>Fairy</v>
      </c>
      <c r="D736" s="251">
        <f>IFERROR(__xludf.DUMMYFUNCTION("""COMPUTED_VALUE"""),4.0)</f>
        <v>4</v>
      </c>
      <c r="E736" s="251">
        <f>IFERROR(__xludf.DUMMYFUNCTION("""COMPUTED_VALUE"""),4.0)</f>
        <v>4</v>
      </c>
      <c r="F736" s="251">
        <f>IFERROR(__xludf.DUMMYFUNCTION("""COMPUTED_VALUE"""),6.0)</f>
        <v>6</v>
      </c>
      <c r="G736" s="251">
        <f>IFERROR(__xludf.DUMMYFUNCTION("""COMPUTED_VALUE"""),7.0)</f>
        <v>7</v>
      </c>
      <c r="H736" s="251">
        <f>IFERROR(__xludf.DUMMYFUNCTION("""COMPUTED_VALUE"""),8.0)</f>
        <v>8</v>
      </c>
      <c r="I736" s="251">
        <f>IFERROR(__xludf.DUMMYFUNCTION("""COMPUTED_VALUE"""),2.0)</f>
        <v>2</v>
      </c>
      <c r="J736" s="251">
        <f>IFERROR(__xludf.DUMMYFUNCTION("""COMPUTED_VALUE"""),1.0)</f>
        <v>1</v>
      </c>
      <c r="K736" s="251" t="str">
        <f>IFERROR(__xludf.DUMMYFUNCTION("""COMPUTED_VALUE"""),"Small")</f>
        <v>Small</v>
      </c>
      <c r="L736" s="251">
        <f>IFERROR(__xludf.DUMMYFUNCTION("""COMPUTED_VALUE"""),1.0)</f>
        <v>1</v>
      </c>
      <c r="M736" s="251" t="str">
        <f>IFERROR(__xludf.DUMMYFUNCTION("""COMPUTED_VALUE"""),"Forest")</f>
        <v>Forest</v>
      </c>
      <c r="N736" s="251" t="str">
        <f>IFERROR(__xludf.DUMMYFUNCTION("""COMPUTED_VALUE"""),"Slow")</f>
        <v>Slow</v>
      </c>
      <c r="O736" s="251" t="str">
        <f>IFERROR(__xludf.DUMMYFUNCTION("""COMPUTED_VALUE"""),"--")</f>
        <v>--</v>
      </c>
      <c r="P736" s="251" t="str">
        <f>IFERROR(__xludf.DUMMYFUNCTION("""COMPUTED_VALUE"""),"--")</f>
        <v>--</v>
      </c>
      <c r="Q736" s="251" t="str">
        <f>IFERROR(__xludf.DUMMYFUNCTION("""COMPUTED_VALUE"""),"--")</f>
        <v>--</v>
      </c>
      <c r="R736" s="251" t="str">
        <f>IFERROR(__xludf.DUMMYFUNCTION("""COMPUTED_VALUE"""),"Underdog")</f>
        <v>Underdog</v>
      </c>
      <c r="S736" s="251" t="str">
        <f>IFERROR(__xludf.DUMMYFUNCTION("""COMPUTED_VALUE"""),"--")</f>
        <v>--</v>
      </c>
      <c r="T736" s="251" t="str">
        <f>IFERROR(__xludf.DUMMYFUNCTION("""COMPUTED_VALUE"""),"--")</f>
        <v>--</v>
      </c>
      <c r="U736" s="251" t="str">
        <f>IFERROR(__xludf.DUMMYFUNCTION("""COMPUTED_VALUE"""),"--")</f>
        <v>--</v>
      </c>
      <c r="V736" s="251" t="str">
        <f>IFERROR(__xludf.DUMMYFUNCTION("""COMPUTED_VALUE"""),"Glow")</f>
        <v>Glow</v>
      </c>
      <c r="W736" s="251" t="str">
        <f>IFERROR(__xludf.DUMMYFUNCTION("""COMPUTED_VALUE"""),"--")</f>
        <v>--</v>
      </c>
      <c r="X736" s="251" t="str">
        <f>IFERROR(__xludf.DUMMYFUNCTION("""COMPUTED_VALUE"""),"--")</f>
        <v>--</v>
      </c>
      <c r="Y736" s="251" t="str">
        <f>IFERROR(__xludf.DUMMYFUNCTION("""COMPUTED_VALUE"""),"--")</f>
        <v>--</v>
      </c>
      <c r="Z736" s="251" t="str">
        <f>IFERROR(__xludf.DUMMYFUNCTION("""COMPUTED_VALUE"""),"--")</f>
        <v>--</v>
      </c>
      <c r="AA736" s="251" t="str">
        <f>IFERROR(__xludf.DUMMYFUNCTION("""COMPUTED_VALUE"""),"--")</f>
        <v>--</v>
      </c>
      <c r="AB736" s="251" t="str">
        <f>IFERROR(__xludf.DUMMYFUNCTION("""COMPUTED_VALUE"""),"--")</f>
        <v>--</v>
      </c>
      <c r="AC736" s="251" t="str">
        <f>IFERROR(__xludf.DUMMYFUNCTION("""COMPUTED_VALUE"""),"--")</f>
        <v>--</v>
      </c>
      <c r="AD736" s="251">
        <f>IFERROR(__xludf.DUMMYFUNCTION("""COMPUTED_VALUE"""),2.0)</f>
        <v>2</v>
      </c>
      <c r="AE736" s="251" t="str">
        <f>IFERROR(__xludf.DUMMYFUNCTION("""COMPUTED_VALUE"""),"Phototroph")</f>
        <v>Phototroph</v>
      </c>
    </row>
    <row r="737">
      <c r="A737" s="251" t="str">
        <f>IFERROR(__xludf.DUMMYFUNCTION("""COMPUTED_VALUE"""),"Shiinotic")</f>
        <v>Shiinotic</v>
      </c>
      <c r="B737" s="251" t="str">
        <f>IFERROR(__xludf.DUMMYFUNCTION("""COMPUTED_VALUE"""),"Grass")</f>
        <v>Grass</v>
      </c>
      <c r="C737" s="251" t="str">
        <f>IFERROR(__xludf.DUMMYFUNCTION("""COMPUTED_VALUE"""),"Fairy")</f>
        <v>Fairy</v>
      </c>
      <c r="D737" s="251">
        <f>IFERROR(__xludf.DUMMYFUNCTION("""COMPUTED_VALUE"""),6.0)</f>
        <v>6</v>
      </c>
      <c r="E737" s="251">
        <f>IFERROR(__xludf.DUMMYFUNCTION("""COMPUTED_VALUE"""),5.0)</f>
        <v>5</v>
      </c>
      <c r="F737" s="251">
        <f>IFERROR(__xludf.DUMMYFUNCTION("""COMPUTED_VALUE"""),8.0)</f>
        <v>8</v>
      </c>
      <c r="G737" s="251">
        <f>IFERROR(__xludf.DUMMYFUNCTION("""COMPUTED_VALUE"""),9.0)</f>
        <v>9</v>
      </c>
      <c r="H737" s="251">
        <f>IFERROR(__xludf.DUMMYFUNCTION("""COMPUTED_VALUE"""),10.0)</f>
        <v>10</v>
      </c>
      <c r="I737" s="251">
        <f>IFERROR(__xludf.DUMMYFUNCTION("""COMPUTED_VALUE"""),3.0)</f>
        <v>3</v>
      </c>
      <c r="J737" s="251">
        <f>IFERROR(__xludf.DUMMYFUNCTION("""COMPUTED_VALUE"""),3.0)</f>
        <v>3</v>
      </c>
      <c r="K737" s="251" t="str">
        <f>IFERROR(__xludf.DUMMYFUNCTION("""COMPUTED_VALUE"""),"Medium")</f>
        <v>Medium</v>
      </c>
      <c r="L737" s="251">
        <f>IFERROR(__xludf.DUMMYFUNCTION("""COMPUTED_VALUE"""),2.0)</f>
        <v>2</v>
      </c>
      <c r="M737" s="251" t="str">
        <f>IFERROR(__xludf.DUMMYFUNCTION("""COMPUTED_VALUE"""),"Forest")</f>
        <v>Forest</v>
      </c>
      <c r="N737" s="251" t="str">
        <f>IFERROR(__xludf.DUMMYFUNCTION("""COMPUTED_VALUE"""),"--")</f>
        <v>--</v>
      </c>
      <c r="O737" s="251" t="str">
        <f>IFERROR(__xludf.DUMMYFUNCTION("""COMPUTED_VALUE"""),"--")</f>
        <v>--</v>
      </c>
      <c r="P737" s="251" t="str">
        <f>IFERROR(__xludf.DUMMYFUNCTION("""COMPUTED_VALUE"""),"--")</f>
        <v>--</v>
      </c>
      <c r="Q737" s="251" t="str">
        <f>IFERROR(__xludf.DUMMYFUNCTION("""COMPUTED_VALUE"""),"--")</f>
        <v>--</v>
      </c>
      <c r="R737" s="251" t="str">
        <f>IFERROR(__xludf.DUMMYFUNCTION("""COMPUTED_VALUE"""),"Underdog")</f>
        <v>Underdog</v>
      </c>
      <c r="S737" s="251" t="str">
        <f>IFERROR(__xludf.DUMMYFUNCTION("""COMPUTED_VALUE"""),"--")</f>
        <v>--</v>
      </c>
      <c r="T737" s="251" t="str">
        <f>IFERROR(__xludf.DUMMYFUNCTION("""COMPUTED_VALUE"""),"--")</f>
        <v>--</v>
      </c>
      <c r="U737" s="251" t="str">
        <f>IFERROR(__xludf.DUMMYFUNCTION("""COMPUTED_VALUE"""),"--")</f>
        <v>--</v>
      </c>
      <c r="V737" s="251" t="str">
        <f>IFERROR(__xludf.DUMMYFUNCTION("""COMPUTED_VALUE"""),"Glow")</f>
        <v>Glow</v>
      </c>
      <c r="W737" s="251" t="str">
        <f>IFERROR(__xludf.DUMMYFUNCTION("""COMPUTED_VALUE"""),"--")</f>
        <v>--</v>
      </c>
      <c r="X737" s="251" t="str">
        <f>IFERROR(__xludf.DUMMYFUNCTION("""COMPUTED_VALUE"""),"--")</f>
        <v>--</v>
      </c>
      <c r="Y737" s="251" t="str">
        <f>IFERROR(__xludf.DUMMYFUNCTION("""COMPUTED_VALUE"""),"--")</f>
        <v>--</v>
      </c>
      <c r="Z737" s="251" t="str">
        <f>IFERROR(__xludf.DUMMYFUNCTION("""COMPUTED_VALUE"""),"--")</f>
        <v>--</v>
      </c>
      <c r="AA737" s="251" t="str">
        <f>IFERROR(__xludf.DUMMYFUNCTION("""COMPUTED_VALUE"""),"--")</f>
        <v>--</v>
      </c>
      <c r="AB737" s="251" t="str">
        <f>IFERROR(__xludf.DUMMYFUNCTION("""COMPUTED_VALUE"""),"--")</f>
        <v>--</v>
      </c>
      <c r="AC737" s="251" t="str">
        <f>IFERROR(__xludf.DUMMYFUNCTION("""COMPUTED_VALUE"""),"--")</f>
        <v>--</v>
      </c>
      <c r="AD737" s="251">
        <f>IFERROR(__xludf.DUMMYFUNCTION("""COMPUTED_VALUE"""),3.0)</f>
        <v>3</v>
      </c>
      <c r="AE737" s="251" t="str">
        <f>IFERROR(__xludf.DUMMYFUNCTION("""COMPUTED_VALUE"""),"Phototroph")</f>
        <v>Phototroph</v>
      </c>
    </row>
    <row r="738">
      <c r="A738" s="251" t="str">
        <f>IFERROR(__xludf.DUMMYFUNCTION("""COMPUTED_VALUE"""),"Gossifleur")</f>
        <v>Gossifleur</v>
      </c>
      <c r="B738" s="251" t="str">
        <f>IFERROR(__xludf.DUMMYFUNCTION("""COMPUTED_VALUE"""),"Grass")</f>
        <v>Grass</v>
      </c>
      <c r="C738" s="251" t="str">
        <f>IFERROR(__xludf.DUMMYFUNCTION("""COMPUTED_VALUE"""),"None")</f>
        <v>None</v>
      </c>
      <c r="D738" s="251">
        <f>IFERROR(__xludf.DUMMYFUNCTION("""COMPUTED_VALUE"""),5.0)</f>
        <v>5</v>
      </c>
      <c r="E738" s="251">
        <f>IFERROR(__xludf.DUMMYFUNCTION("""COMPUTED_VALUE"""),5.0)</f>
        <v>5</v>
      </c>
      <c r="F738" s="251">
        <f>IFERROR(__xludf.DUMMYFUNCTION("""COMPUTED_VALUE"""),7.0)</f>
        <v>7</v>
      </c>
      <c r="G738" s="251">
        <f>IFERROR(__xludf.DUMMYFUNCTION("""COMPUTED_VALUE"""),5.0)</f>
        <v>5</v>
      </c>
      <c r="H738" s="251">
        <f>IFERROR(__xludf.DUMMYFUNCTION("""COMPUTED_VALUE"""),7.0)</f>
        <v>7</v>
      </c>
      <c r="I738" s="251">
        <f>IFERROR(__xludf.DUMMYFUNCTION("""COMPUTED_VALUE"""),1.0)</f>
        <v>1</v>
      </c>
      <c r="J738" s="251">
        <f>IFERROR(__xludf.DUMMYFUNCTION("""COMPUTED_VALUE"""),1.0)</f>
        <v>1</v>
      </c>
      <c r="K738" s="251" t="str">
        <f>IFERROR(__xludf.DUMMYFUNCTION("""COMPUTED_VALUE"""),"Small")</f>
        <v>Small</v>
      </c>
      <c r="L738" s="251">
        <f>IFERROR(__xludf.DUMMYFUNCTION("""COMPUTED_VALUE"""),1.0)</f>
        <v>1</v>
      </c>
      <c r="M738" s="251" t="str">
        <f>IFERROR(__xludf.DUMMYFUNCTION("""COMPUTED_VALUE"""),"Grasslands")</f>
        <v>Grasslands</v>
      </c>
      <c r="N738" s="251" t="str">
        <f>IFERROR(__xludf.DUMMYFUNCTION("""COMPUTED_VALUE"""),"Flier")</f>
        <v>Flier</v>
      </c>
      <c r="O738" s="251" t="str">
        <f>IFERROR(__xludf.DUMMYFUNCTION("""COMPUTED_VALUE"""),"--")</f>
        <v>--</v>
      </c>
      <c r="P738" s="251" t="str">
        <f>IFERROR(__xludf.DUMMYFUNCTION("""COMPUTED_VALUE"""),"--")</f>
        <v>--</v>
      </c>
      <c r="Q738" s="251" t="str">
        <f>IFERROR(__xludf.DUMMYFUNCTION("""COMPUTED_VALUE"""),"--")</f>
        <v>--</v>
      </c>
      <c r="R738" s="251" t="str">
        <f>IFERROR(__xludf.DUMMYFUNCTION("""COMPUTED_VALUE"""),"Underdog")</f>
        <v>Underdog</v>
      </c>
      <c r="S738" s="251" t="str">
        <f>IFERROR(__xludf.DUMMYFUNCTION("""COMPUTED_VALUE"""),"--")</f>
        <v>--</v>
      </c>
      <c r="T738" s="251" t="str">
        <f>IFERROR(__xludf.DUMMYFUNCTION("""COMPUTED_VALUE"""),"--")</f>
        <v>--</v>
      </c>
      <c r="U738" s="251" t="str">
        <f>IFERROR(__xludf.DUMMYFUNCTION("""COMPUTED_VALUE"""),"--")</f>
        <v>--</v>
      </c>
      <c r="V738" s="251" t="str">
        <f>IFERROR(__xludf.DUMMYFUNCTION("""COMPUTED_VALUE"""),"Alluring")</f>
        <v>Alluring</v>
      </c>
      <c r="W738" s="251" t="str">
        <f>IFERROR(__xludf.DUMMYFUNCTION("""COMPUTED_VALUE"""),"--")</f>
        <v>--</v>
      </c>
      <c r="X738" s="251" t="str">
        <f>IFERROR(__xludf.DUMMYFUNCTION("""COMPUTED_VALUE"""),"--")</f>
        <v>--</v>
      </c>
      <c r="Y738" s="251" t="str">
        <f>IFERROR(__xludf.DUMMYFUNCTION("""COMPUTED_VALUE"""),"--")</f>
        <v>--</v>
      </c>
      <c r="Z738" s="251" t="str">
        <f>IFERROR(__xludf.DUMMYFUNCTION("""COMPUTED_VALUE"""),"--")</f>
        <v>--</v>
      </c>
      <c r="AA738" s="251" t="str">
        <f>IFERROR(__xludf.DUMMYFUNCTION("""COMPUTED_VALUE"""),"--")</f>
        <v>--</v>
      </c>
      <c r="AB738" s="251" t="str">
        <f>IFERROR(__xludf.DUMMYFUNCTION("""COMPUTED_VALUE"""),"--")</f>
        <v>--</v>
      </c>
      <c r="AC738" s="251" t="str">
        <f>IFERROR(__xludf.DUMMYFUNCTION("""COMPUTED_VALUE"""),"--")</f>
        <v>--</v>
      </c>
      <c r="AD738" s="251">
        <f>IFERROR(__xludf.DUMMYFUNCTION("""COMPUTED_VALUE"""),2.0)</f>
        <v>2</v>
      </c>
      <c r="AE738" s="251" t="str">
        <f>IFERROR(__xludf.DUMMYFUNCTION("""COMPUTED_VALUE"""),"Phototroph")</f>
        <v>Phototroph</v>
      </c>
    </row>
    <row r="739">
      <c r="A739" s="251" t="str">
        <f>IFERROR(__xludf.DUMMYFUNCTION("""COMPUTED_VALUE"""),"Eldegoss")</f>
        <v>Eldegoss</v>
      </c>
      <c r="B739" s="251" t="str">
        <f>IFERROR(__xludf.DUMMYFUNCTION("""COMPUTED_VALUE"""),"Grass")</f>
        <v>Grass</v>
      </c>
      <c r="C739" s="251" t="str">
        <f>IFERROR(__xludf.DUMMYFUNCTION("""COMPUTED_VALUE"""),"None")</f>
        <v>None</v>
      </c>
      <c r="D739" s="251">
        <f>IFERROR(__xludf.DUMMYFUNCTION("""COMPUTED_VALUE"""),7.0)</f>
        <v>7</v>
      </c>
      <c r="E739" s="251">
        <f>IFERROR(__xludf.DUMMYFUNCTION("""COMPUTED_VALUE"""),5.0)</f>
        <v>5</v>
      </c>
      <c r="F739" s="251">
        <f>IFERROR(__xludf.DUMMYFUNCTION("""COMPUTED_VALUE"""),10.0)</f>
        <v>10</v>
      </c>
      <c r="G739" s="251">
        <f>IFERROR(__xludf.DUMMYFUNCTION("""COMPUTED_VALUE"""),9.0)</f>
        <v>9</v>
      </c>
      <c r="H739" s="251">
        <f>IFERROR(__xludf.DUMMYFUNCTION("""COMPUTED_VALUE"""),13.0)</f>
        <v>13</v>
      </c>
      <c r="I739" s="251">
        <f>IFERROR(__xludf.DUMMYFUNCTION("""COMPUTED_VALUE"""),7.0)</f>
        <v>7</v>
      </c>
      <c r="J739" s="251">
        <f>IFERROR(__xludf.DUMMYFUNCTION("""COMPUTED_VALUE"""),1.0)</f>
        <v>1</v>
      </c>
      <c r="K739" s="251" t="str">
        <f>IFERROR(__xludf.DUMMYFUNCTION("""COMPUTED_VALUE"""),"Small")</f>
        <v>Small</v>
      </c>
      <c r="L739" s="251">
        <f>IFERROR(__xludf.DUMMYFUNCTION("""COMPUTED_VALUE"""),1.0)</f>
        <v>1</v>
      </c>
      <c r="M739" s="251" t="str">
        <f>IFERROR(__xludf.DUMMYFUNCTION("""COMPUTED_VALUE"""),"Grasslands")</f>
        <v>Grasslands</v>
      </c>
      <c r="N739" s="251" t="str">
        <f>IFERROR(__xludf.DUMMYFUNCTION("""COMPUTED_VALUE"""),"Flier")</f>
        <v>Flier</v>
      </c>
      <c r="O739" s="251" t="str">
        <f>IFERROR(__xludf.DUMMYFUNCTION("""COMPUTED_VALUE"""),"--")</f>
        <v>--</v>
      </c>
      <c r="P739" s="251" t="str">
        <f>IFERROR(__xludf.DUMMYFUNCTION("""COMPUTED_VALUE"""),"--")</f>
        <v>--</v>
      </c>
      <c r="Q739" s="251" t="str">
        <f>IFERROR(__xludf.DUMMYFUNCTION("""COMPUTED_VALUE"""),"--")</f>
        <v>--</v>
      </c>
      <c r="R739" s="251" t="str">
        <f>IFERROR(__xludf.DUMMYFUNCTION("""COMPUTED_VALUE"""),"--")</f>
        <v>--</v>
      </c>
      <c r="S739" s="251" t="str">
        <f>IFERROR(__xludf.DUMMYFUNCTION("""COMPUTED_VALUE"""),"--")</f>
        <v>--</v>
      </c>
      <c r="T739" s="251" t="str">
        <f>IFERROR(__xludf.DUMMYFUNCTION("""COMPUTED_VALUE"""),"--")</f>
        <v>--</v>
      </c>
      <c r="U739" s="251" t="str">
        <f>IFERROR(__xludf.DUMMYFUNCTION("""COMPUTED_VALUE"""),"--")</f>
        <v>--</v>
      </c>
      <c r="V739" s="251" t="str">
        <f>IFERROR(__xludf.DUMMYFUNCTION("""COMPUTED_VALUE"""),"Alluring")</f>
        <v>Alluring</v>
      </c>
      <c r="W739" s="251" t="str">
        <f>IFERROR(__xludf.DUMMYFUNCTION("""COMPUTED_VALUE"""),"--")</f>
        <v>--</v>
      </c>
      <c r="X739" s="251" t="str">
        <f>IFERROR(__xludf.DUMMYFUNCTION("""COMPUTED_VALUE"""),"--")</f>
        <v>--</v>
      </c>
      <c r="Y739" s="251" t="str">
        <f>IFERROR(__xludf.DUMMYFUNCTION("""COMPUTED_VALUE"""),"--")</f>
        <v>--</v>
      </c>
      <c r="Z739" s="251" t="str">
        <f>IFERROR(__xludf.DUMMYFUNCTION("""COMPUTED_VALUE"""),"--")</f>
        <v>--</v>
      </c>
      <c r="AA739" s="251" t="str">
        <f>IFERROR(__xludf.DUMMYFUNCTION("""COMPUTED_VALUE"""),"--")</f>
        <v>--</v>
      </c>
      <c r="AB739" s="251" t="str">
        <f>IFERROR(__xludf.DUMMYFUNCTION("""COMPUTED_VALUE"""),"--")</f>
        <v>--</v>
      </c>
      <c r="AC739" s="251" t="str">
        <f>IFERROR(__xludf.DUMMYFUNCTION("""COMPUTED_VALUE"""),"--")</f>
        <v>--</v>
      </c>
      <c r="AD739" s="251">
        <f>IFERROR(__xludf.DUMMYFUNCTION("""COMPUTED_VALUE"""),3.0)</f>
        <v>3</v>
      </c>
      <c r="AE739" s="251" t="str">
        <f>IFERROR(__xludf.DUMMYFUNCTION("""COMPUTED_VALUE"""),"Phototroph")</f>
        <v>Phototroph</v>
      </c>
    </row>
    <row r="740">
      <c r="A740" s="251" t="str">
        <f>IFERROR(__xludf.DUMMYFUNCTION("""COMPUTED_VALUE"""),"Applin")</f>
        <v>Applin</v>
      </c>
      <c r="B740" s="251" t="str">
        <f>IFERROR(__xludf.DUMMYFUNCTION("""COMPUTED_VALUE"""),"Grass")</f>
        <v>Grass</v>
      </c>
      <c r="C740" s="251" t="str">
        <f>IFERROR(__xludf.DUMMYFUNCTION("""COMPUTED_VALUE"""),"Dragon")</f>
        <v>Dragon</v>
      </c>
      <c r="D740" s="251">
        <f>IFERROR(__xludf.DUMMYFUNCTION("""COMPUTED_VALUE"""),5.0)</f>
        <v>5</v>
      </c>
      <c r="E740" s="251">
        <f>IFERROR(__xludf.DUMMYFUNCTION("""COMPUTED_VALUE"""),5.0)</f>
        <v>5</v>
      </c>
      <c r="F740" s="251">
        <f>IFERROR(__xludf.DUMMYFUNCTION("""COMPUTED_VALUE"""),8.0)</f>
        <v>8</v>
      </c>
      <c r="G740" s="251">
        <f>IFERROR(__xludf.DUMMYFUNCTION("""COMPUTED_VALUE"""),5.0)</f>
        <v>5</v>
      </c>
      <c r="H740" s="251">
        <f>IFERROR(__xludf.DUMMYFUNCTION("""COMPUTED_VALUE"""),5.0)</f>
        <v>5</v>
      </c>
      <c r="I740" s="251">
        <f>IFERROR(__xludf.DUMMYFUNCTION("""COMPUTED_VALUE"""),2.0)</f>
        <v>2</v>
      </c>
      <c r="J740" s="251">
        <f>IFERROR(__xludf.DUMMYFUNCTION("""COMPUTED_VALUE"""),1.0)</f>
        <v>1</v>
      </c>
      <c r="K740" s="251" t="str">
        <f>IFERROR(__xludf.DUMMYFUNCTION("""COMPUTED_VALUE"""),"Small")</f>
        <v>Small</v>
      </c>
      <c r="L740" s="251">
        <f>IFERROR(__xludf.DUMMYFUNCTION("""COMPUTED_VALUE"""),1.0)</f>
        <v>1</v>
      </c>
      <c r="M740" s="251" t="str">
        <f>IFERROR(__xludf.DUMMYFUNCTION("""COMPUTED_VALUE"""),"Forest")</f>
        <v>Forest</v>
      </c>
      <c r="N740" s="251" t="str">
        <f>IFERROR(__xludf.DUMMYFUNCTION("""COMPUTED_VALUE"""),"Slow")</f>
        <v>Slow</v>
      </c>
      <c r="O740" s="251" t="str">
        <f>IFERROR(__xludf.DUMMYFUNCTION("""COMPUTED_VALUE"""),"--")</f>
        <v>--</v>
      </c>
      <c r="P740" s="251" t="str">
        <f>IFERROR(__xludf.DUMMYFUNCTION("""COMPUTED_VALUE"""),"--")</f>
        <v>--</v>
      </c>
      <c r="Q740" s="251" t="str">
        <f>IFERROR(__xludf.DUMMYFUNCTION("""COMPUTED_VALUE"""),"--")</f>
        <v>--</v>
      </c>
      <c r="R740" s="251" t="str">
        <f>IFERROR(__xludf.DUMMYFUNCTION("""COMPUTED_VALUE"""),"Underdog")</f>
        <v>Underdog</v>
      </c>
      <c r="S740" s="251" t="str">
        <f>IFERROR(__xludf.DUMMYFUNCTION("""COMPUTED_VALUE"""),"--")</f>
        <v>--</v>
      </c>
      <c r="T740" s="251" t="str">
        <f>IFERROR(__xludf.DUMMYFUNCTION("""COMPUTED_VALUE"""),"--")</f>
        <v>--</v>
      </c>
      <c r="U740" s="251" t="str">
        <f>IFERROR(__xludf.DUMMYFUNCTION("""COMPUTED_VALUE"""),"--")</f>
        <v>--</v>
      </c>
      <c r="V740" s="251" t="str">
        <f>IFERROR(__xludf.DUMMYFUNCTION("""COMPUTED_VALUE"""),"--")</f>
        <v>--</v>
      </c>
      <c r="W740" s="251" t="str">
        <f>IFERROR(__xludf.DUMMYFUNCTION("""COMPUTED_VALUE"""),"--")</f>
        <v>--</v>
      </c>
      <c r="X740" s="251" t="str">
        <f>IFERROR(__xludf.DUMMYFUNCTION("""COMPUTED_VALUE"""),"--")</f>
        <v>--</v>
      </c>
      <c r="Y740" s="251" t="str">
        <f>IFERROR(__xludf.DUMMYFUNCTION("""COMPUTED_VALUE"""),"--")</f>
        <v>--</v>
      </c>
      <c r="Z740" s="251" t="str">
        <f>IFERROR(__xludf.DUMMYFUNCTION("""COMPUTED_VALUE"""),"--")</f>
        <v>--</v>
      </c>
      <c r="AA740" s="251" t="str">
        <f>IFERROR(__xludf.DUMMYFUNCTION("""COMPUTED_VALUE"""),"--")</f>
        <v>--</v>
      </c>
      <c r="AB740" s="251" t="str">
        <f>IFERROR(__xludf.DUMMYFUNCTION("""COMPUTED_VALUE"""),"--")</f>
        <v>--</v>
      </c>
      <c r="AC740" s="251" t="str">
        <f>IFERROR(__xludf.DUMMYFUNCTION("""COMPUTED_VALUE"""),"--")</f>
        <v>--</v>
      </c>
      <c r="AD740" s="251">
        <f>IFERROR(__xludf.DUMMYFUNCTION("""COMPUTED_VALUE"""),1.0)</f>
        <v>1</v>
      </c>
      <c r="AE740" s="251" t="str">
        <f>IFERROR(__xludf.DUMMYFUNCTION("""COMPUTED_VALUE"""),"Herbivore")</f>
        <v>Herbivore</v>
      </c>
    </row>
    <row r="741">
      <c r="A741" s="251" t="str">
        <f>IFERROR(__xludf.DUMMYFUNCTION("""COMPUTED_VALUE"""),"Flapple")</f>
        <v>Flapple</v>
      </c>
      <c r="B741" s="251" t="str">
        <f>IFERROR(__xludf.DUMMYFUNCTION("""COMPUTED_VALUE"""),"Grass")</f>
        <v>Grass</v>
      </c>
      <c r="C741" s="251" t="str">
        <f>IFERROR(__xludf.DUMMYFUNCTION("""COMPUTED_VALUE"""),"Dragon")</f>
        <v>Dragon</v>
      </c>
      <c r="D741" s="251">
        <f>IFERROR(__xludf.DUMMYFUNCTION("""COMPUTED_VALUE"""),7.0)</f>
        <v>7</v>
      </c>
      <c r="E741" s="251">
        <f>IFERROR(__xludf.DUMMYFUNCTION("""COMPUTED_VALUE"""),12.0)</f>
        <v>12</v>
      </c>
      <c r="F741" s="251">
        <f>IFERROR(__xludf.DUMMYFUNCTION("""COMPUTED_VALUE"""),8.0)</f>
        <v>8</v>
      </c>
      <c r="G741" s="251">
        <f>IFERROR(__xludf.DUMMYFUNCTION("""COMPUTED_VALUE"""),10.0)</f>
        <v>10</v>
      </c>
      <c r="H741" s="251">
        <f>IFERROR(__xludf.DUMMYFUNCTION("""COMPUTED_VALUE"""),6.0)</f>
        <v>6</v>
      </c>
      <c r="I741" s="251">
        <f>IFERROR(__xludf.DUMMYFUNCTION("""COMPUTED_VALUE"""),8.0)</f>
        <v>8</v>
      </c>
      <c r="J741" s="251">
        <f>IFERROR(__xludf.DUMMYFUNCTION("""COMPUTED_VALUE"""),1.0)</f>
        <v>1</v>
      </c>
      <c r="K741" s="251" t="str">
        <f>IFERROR(__xludf.DUMMYFUNCTION("""COMPUTED_VALUE"""),"Small")</f>
        <v>Small</v>
      </c>
      <c r="L741" s="251">
        <f>IFERROR(__xludf.DUMMYFUNCTION("""COMPUTED_VALUE"""),1.0)</f>
        <v>1</v>
      </c>
      <c r="M741" s="251" t="str">
        <f>IFERROR(__xludf.DUMMYFUNCTION("""COMPUTED_VALUE"""),"Forest")</f>
        <v>Forest</v>
      </c>
      <c r="N741" s="251" t="str">
        <f>IFERROR(__xludf.DUMMYFUNCTION("""COMPUTED_VALUE"""),"Flier")</f>
        <v>Flier</v>
      </c>
      <c r="O741" s="251" t="str">
        <f>IFERROR(__xludf.DUMMYFUNCTION("""COMPUTED_VALUE"""),"--")</f>
        <v>--</v>
      </c>
      <c r="P741" s="251" t="str">
        <f>IFERROR(__xludf.DUMMYFUNCTION("""COMPUTED_VALUE"""),"--")</f>
        <v>--</v>
      </c>
      <c r="Q741" s="251" t="str">
        <f>IFERROR(__xludf.DUMMYFUNCTION("""COMPUTED_VALUE"""),"--")</f>
        <v>--</v>
      </c>
      <c r="R741" s="251" t="str">
        <f>IFERROR(__xludf.DUMMYFUNCTION("""COMPUTED_VALUE"""),"--")</f>
        <v>--</v>
      </c>
      <c r="S741" s="251" t="str">
        <f>IFERROR(__xludf.DUMMYFUNCTION("""COMPUTED_VALUE"""),"--")</f>
        <v>--</v>
      </c>
      <c r="T741" s="251" t="str">
        <f>IFERROR(__xludf.DUMMYFUNCTION("""COMPUTED_VALUE"""),"--")</f>
        <v>--</v>
      </c>
      <c r="U741" s="251" t="str">
        <f>IFERROR(__xludf.DUMMYFUNCTION("""COMPUTED_VALUE"""),"--")</f>
        <v>--</v>
      </c>
      <c r="V741" s="251" t="str">
        <f>IFERROR(__xludf.DUMMYFUNCTION("""COMPUTED_VALUE"""),"--")</f>
        <v>--</v>
      </c>
      <c r="W741" s="251" t="str">
        <f>IFERROR(__xludf.DUMMYFUNCTION("""COMPUTED_VALUE"""),"--")</f>
        <v>--</v>
      </c>
      <c r="X741" s="251" t="str">
        <f>IFERROR(__xludf.DUMMYFUNCTION("""COMPUTED_VALUE"""),"--")</f>
        <v>--</v>
      </c>
      <c r="Y741" s="251" t="str">
        <f>IFERROR(__xludf.DUMMYFUNCTION("""COMPUTED_VALUE"""),"--")</f>
        <v>--</v>
      </c>
      <c r="Z741" s="251" t="str">
        <f>IFERROR(__xludf.DUMMYFUNCTION("""COMPUTED_VALUE"""),"--")</f>
        <v>--</v>
      </c>
      <c r="AA741" s="251" t="str">
        <f>IFERROR(__xludf.DUMMYFUNCTION("""COMPUTED_VALUE"""),"--")</f>
        <v>--</v>
      </c>
      <c r="AB741" s="251" t="str">
        <f>IFERROR(__xludf.DUMMYFUNCTION("""COMPUTED_VALUE"""),"--")</f>
        <v>--</v>
      </c>
      <c r="AC741" s="251" t="str">
        <f>IFERROR(__xludf.DUMMYFUNCTION("""COMPUTED_VALUE"""),"--")</f>
        <v>--</v>
      </c>
      <c r="AD741" s="251">
        <f>IFERROR(__xludf.DUMMYFUNCTION("""COMPUTED_VALUE"""),3.0)</f>
        <v>3</v>
      </c>
      <c r="AE741" s="251" t="str">
        <f>IFERROR(__xludf.DUMMYFUNCTION("""COMPUTED_VALUE"""),"Herbivore")</f>
        <v>Herbivore</v>
      </c>
    </row>
    <row r="742">
      <c r="A742" s="251" t="str">
        <f>IFERROR(__xludf.DUMMYFUNCTION("""COMPUTED_VALUE"""),"Appletun")</f>
        <v>Appletun</v>
      </c>
      <c r="B742" s="251" t="str">
        <f>IFERROR(__xludf.DUMMYFUNCTION("""COMPUTED_VALUE"""),"Grass")</f>
        <v>Grass</v>
      </c>
      <c r="C742" s="251" t="str">
        <f>IFERROR(__xludf.DUMMYFUNCTION("""COMPUTED_VALUE"""),"Dragon")</f>
        <v>Dragon</v>
      </c>
      <c r="D742" s="251">
        <f>IFERROR(__xludf.DUMMYFUNCTION("""COMPUTED_VALUE"""),11.0)</f>
        <v>11</v>
      </c>
      <c r="E742" s="251">
        <f>IFERROR(__xludf.DUMMYFUNCTION("""COMPUTED_VALUE"""),9.0)</f>
        <v>9</v>
      </c>
      <c r="F742" s="251">
        <f>IFERROR(__xludf.DUMMYFUNCTION("""COMPUTED_VALUE"""),9.0)</f>
        <v>9</v>
      </c>
      <c r="G742" s="251">
        <f>IFERROR(__xludf.DUMMYFUNCTION("""COMPUTED_VALUE"""),10.0)</f>
        <v>10</v>
      </c>
      <c r="H742" s="251">
        <f>IFERROR(__xludf.DUMMYFUNCTION("""COMPUTED_VALUE"""),9.0)</f>
        <v>9</v>
      </c>
      <c r="I742" s="251">
        <f>IFERROR(__xludf.DUMMYFUNCTION("""COMPUTED_VALUE"""),3.0)</f>
        <v>3</v>
      </c>
      <c r="J742" s="251">
        <f>IFERROR(__xludf.DUMMYFUNCTION("""COMPUTED_VALUE"""),2.0)</f>
        <v>2</v>
      </c>
      <c r="K742" s="251" t="str">
        <f>IFERROR(__xludf.DUMMYFUNCTION("""COMPUTED_VALUE"""),"Small")</f>
        <v>Small</v>
      </c>
      <c r="L742" s="251">
        <f>IFERROR(__xludf.DUMMYFUNCTION("""COMPUTED_VALUE"""),2.0)</f>
        <v>2</v>
      </c>
      <c r="M742" s="251" t="str">
        <f>IFERROR(__xludf.DUMMYFUNCTION("""COMPUTED_VALUE"""),"Forest")</f>
        <v>Forest</v>
      </c>
      <c r="N742" s="251" t="str">
        <f>IFERROR(__xludf.DUMMYFUNCTION("""COMPUTED_VALUE"""),"--")</f>
        <v>--</v>
      </c>
      <c r="O742" s="251" t="str">
        <f>IFERROR(__xludf.DUMMYFUNCTION("""COMPUTED_VALUE"""),"--")</f>
        <v>--</v>
      </c>
      <c r="P742" s="251" t="str">
        <f>IFERROR(__xludf.DUMMYFUNCTION("""COMPUTED_VALUE"""),"--")</f>
        <v>--</v>
      </c>
      <c r="Q742" s="251" t="str">
        <f>IFERROR(__xludf.DUMMYFUNCTION("""COMPUTED_VALUE"""),"--")</f>
        <v>--</v>
      </c>
      <c r="R742" s="251" t="str">
        <f>IFERROR(__xludf.DUMMYFUNCTION("""COMPUTED_VALUE"""),"--")</f>
        <v>--</v>
      </c>
      <c r="S742" s="251" t="str">
        <f>IFERROR(__xludf.DUMMYFUNCTION("""COMPUTED_VALUE"""),"--")</f>
        <v>--</v>
      </c>
      <c r="T742" s="251" t="str">
        <f>IFERROR(__xludf.DUMMYFUNCTION("""COMPUTED_VALUE"""),"--")</f>
        <v>--</v>
      </c>
      <c r="U742" s="251" t="str">
        <f>IFERROR(__xludf.DUMMYFUNCTION("""COMPUTED_VALUE"""),"--")</f>
        <v>--</v>
      </c>
      <c r="V742" s="251" t="str">
        <f>IFERROR(__xludf.DUMMYFUNCTION("""COMPUTED_VALUE"""),"Alluring")</f>
        <v>Alluring</v>
      </c>
      <c r="W742" s="251" t="str">
        <f>IFERROR(__xludf.DUMMYFUNCTION("""COMPUTED_VALUE"""),"--")</f>
        <v>--</v>
      </c>
      <c r="X742" s="251" t="str">
        <f>IFERROR(__xludf.DUMMYFUNCTION("""COMPUTED_VALUE"""),"--")</f>
        <v>--</v>
      </c>
      <c r="Y742" s="251" t="str">
        <f>IFERROR(__xludf.DUMMYFUNCTION("""COMPUTED_VALUE"""),"--")</f>
        <v>--</v>
      </c>
      <c r="Z742" s="251" t="str">
        <f>IFERROR(__xludf.DUMMYFUNCTION("""COMPUTED_VALUE"""),"--")</f>
        <v>--</v>
      </c>
      <c r="AA742" s="251" t="str">
        <f>IFERROR(__xludf.DUMMYFUNCTION("""COMPUTED_VALUE"""),"--")</f>
        <v>--</v>
      </c>
      <c r="AB742" s="251" t="str">
        <f>IFERROR(__xludf.DUMMYFUNCTION("""COMPUTED_VALUE"""),"--")</f>
        <v>--</v>
      </c>
      <c r="AC742" s="251" t="str">
        <f>IFERROR(__xludf.DUMMYFUNCTION("""COMPUTED_VALUE"""),"--")</f>
        <v>--</v>
      </c>
      <c r="AD742" s="251">
        <f>IFERROR(__xludf.DUMMYFUNCTION("""COMPUTED_VALUE"""),3.0)</f>
        <v>3</v>
      </c>
      <c r="AE742" s="251" t="str">
        <f>IFERROR(__xludf.DUMMYFUNCTION("""COMPUTED_VALUE"""),"Herbivore")</f>
        <v>Herbivore</v>
      </c>
    </row>
    <row r="743">
      <c r="A743" s="251" t="str">
        <f>IFERROR(__xludf.DUMMYFUNCTION("""COMPUTED_VALUE"""),"Dipplin")</f>
        <v>Dipplin</v>
      </c>
      <c r="B743" s="251" t="str">
        <f>IFERROR(__xludf.DUMMYFUNCTION("""COMPUTED_VALUE"""),"Grass")</f>
        <v>Grass</v>
      </c>
      <c r="C743" s="251" t="str">
        <f>IFERROR(__xludf.DUMMYFUNCTION("""COMPUTED_VALUE"""),"Dragon")</f>
        <v>Dragon</v>
      </c>
      <c r="D743" s="251">
        <f>IFERROR(__xludf.DUMMYFUNCTION("""COMPUTED_VALUE"""),8.0)</f>
        <v>8</v>
      </c>
      <c r="E743" s="251">
        <f>IFERROR(__xludf.DUMMYFUNCTION("""COMPUTED_VALUE"""),8.0)</f>
        <v>8</v>
      </c>
      <c r="F743" s="251">
        <f>IFERROR(__xludf.DUMMYFUNCTION("""COMPUTED_VALUE"""),11.0)</f>
        <v>11</v>
      </c>
      <c r="G743" s="251">
        <f>IFERROR(__xludf.DUMMYFUNCTION("""COMPUTED_VALUE"""),10.0)</f>
        <v>10</v>
      </c>
      <c r="H743" s="251">
        <f>IFERROR(__xludf.DUMMYFUNCTION("""COMPUTED_VALUE"""),8.0)</f>
        <v>8</v>
      </c>
      <c r="I743" s="251">
        <f>IFERROR(__xludf.DUMMYFUNCTION("""COMPUTED_VALUE"""),4.0)</f>
        <v>4</v>
      </c>
      <c r="J743" s="251">
        <f>IFERROR(__xludf.DUMMYFUNCTION("""COMPUTED_VALUE"""),1.0)</f>
        <v>1</v>
      </c>
      <c r="K743" s="251" t="str">
        <f>IFERROR(__xludf.DUMMYFUNCTION("""COMPUTED_VALUE"""),"Small")</f>
        <v>Small</v>
      </c>
      <c r="L743" s="251">
        <f>IFERROR(__xludf.DUMMYFUNCTION("""COMPUTED_VALUE"""),1.0)</f>
        <v>1</v>
      </c>
      <c r="M743" s="251" t="str">
        <f>IFERROR(__xludf.DUMMYFUNCTION("""COMPUTED_VALUE"""),"Forest")</f>
        <v>Forest</v>
      </c>
      <c r="N743" s="251" t="str">
        <f>IFERROR(__xludf.DUMMYFUNCTION("""COMPUTED_VALUE"""),"Slow")</f>
        <v>Slow</v>
      </c>
      <c r="O743" s="251" t="str">
        <f>IFERROR(__xludf.DUMMYFUNCTION("""COMPUTED_VALUE"""),"--")</f>
        <v>--</v>
      </c>
      <c r="P743" s="251" t="str">
        <f>IFERROR(__xludf.DUMMYFUNCTION("""COMPUTED_VALUE"""),"--")</f>
        <v>--</v>
      </c>
      <c r="Q743" s="251" t="str">
        <f>IFERROR(__xludf.DUMMYFUNCTION("""COMPUTED_VALUE"""),"--")</f>
        <v>--</v>
      </c>
      <c r="R743" s="251" t="str">
        <f>IFERROR(__xludf.DUMMYFUNCTION("""COMPUTED_VALUE"""),"--")</f>
        <v>--</v>
      </c>
      <c r="S743" s="251" t="str">
        <f>IFERROR(__xludf.DUMMYFUNCTION("""COMPUTED_VALUE"""),"--")</f>
        <v>--</v>
      </c>
      <c r="T743" s="251" t="str">
        <f>IFERROR(__xludf.DUMMYFUNCTION("""COMPUTED_VALUE"""),"--")</f>
        <v>--</v>
      </c>
      <c r="U743" s="251" t="str">
        <f>IFERROR(__xludf.DUMMYFUNCTION("""COMPUTED_VALUE"""),"--")</f>
        <v>--</v>
      </c>
      <c r="V743" s="251" t="str">
        <f>IFERROR(__xludf.DUMMYFUNCTION("""COMPUTED_VALUE"""),"Alluring")</f>
        <v>Alluring</v>
      </c>
      <c r="W743" s="251" t="str">
        <f>IFERROR(__xludf.DUMMYFUNCTION("""COMPUTED_VALUE"""),"--")</f>
        <v>--</v>
      </c>
      <c r="X743" s="251" t="str">
        <f>IFERROR(__xludf.DUMMYFUNCTION("""COMPUTED_VALUE"""),"--")</f>
        <v>--</v>
      </c>
      <c r="Y743" s="251" t="str">
        <f>IFERROR(__xludf.DUMMYFUNCTION("""COMPUTED_VALUE"""),"--")</f>
        <v>--</v>
      </c>
      <c r="Z743" s="251" t="str">
        <f>IFERROR(__xludf.DUMMYFUNCTION("""COMPUTED_VALUE"""),"--")</f>
        <v>--</v>
      </c>
      <c r="AA743" s="251" t="str">
        <f>IFERROR(__xludf.DUMMYFUNCTION("""COMPUTED_VALUE"""),"--")</f>
        <v>--</v>
      </c>
      <c r="AB743" s="251" t="str">
        <f>IFERROR(__xludf.DUMMYFUNCTION("""COMPUTED_VALUE"""),"--")</f>
        <v>--</v>
      </c>
      <c r="AC743" s="251" t="str">
        <f>IFERROR(__xludf.DUMMYFUNCTION("""COMPUTED_VALUE"""),"--")</f>
        <v>--</v>
      </c>
      <c r="AD743" s="251">
        <f>IFERROR(__xludf.DUMMYFUNCTION("""COMPUTED_VALUE"""),2.0)</f>
        <v>2</v>
      </c>
      <c r="AE743" s="251" t="str">
        <f>IFERROR(__xludf.DUMMYFUNCTION("""COMPUTED_VALUE"""),"Herbivore")</f>
        <v>Herbivore</v>
      </c>
    </row>
    <row r="744">
      <c r="A744" s="251" t="str">
        <f>IFERROR(__xludf.DUMMYFUNCTION("""COMPUTED_VALUE"""),"Hydrapple")</f>
        <v>Hydrapple</v>
      </c>
      <c r="B744" s="251" t="str">
        <f>IFERROR(__xludf.DUMMYFUNCTION("""COMPUTED_VALUE"""),"Grass")</f>
        <v>Grass</v>
      </c>
      <c r="C744" s="251" t="str">
        <f>IFERROR(__xludf.DUMMYFUNCTION("""COMPUTED_VALUE"""),"Dragon")</f>
        <v>Dragon</v>
      </c>
      <c r="D744" s="251">
        <f>IFERROR(__xludf.DUMMYFUNCTION("""COMPUTED_VALUE"""),11.0)</f>
        <v>11</v>
      </c>
      <c r="E744" s="251">
        <f>IFERROR(__xludf.DUMMYFUNCTION("""COMPUTED_VALUE"""),8.0)</f>
        <v>8</v>
      </c>
      <c r="F744" s="251">
        <f>IFERROR(__xludf.DUMMYFUNCTION("""COMPUTED_VALUE"""),11.0)</f>
        <v>11</v>
      </c>
      <c r="G744" s="251">
        <f>IFERROR(__xludf.DUMMYFUNCTION("""COMPUTED_VALUE"""),12.0)</f>
        <v>12</v>
      </c>
      <c r="H744" s="251">
        <f>IFERROR(__xludf.DUMMYFUNCTION("""COMPUTED_VALUE"""),8.0)</f>
        <v>8</v>
      </c>
      <c r="I744" s="251">
        <f>IFERROR(__xludf.DUMMYFUNCTION("""COMPUTED_VALUE"""),5.0)</f>
        <v>5</v>
      </c>
      <c r="J744" s="251">
        <f>IFERROR(__xludf.DUMMYFUNCTION("""COMPUTED_VALUE"""),6.0)</f>
        <v>6</v>
      </c>
      <c r="K744" s="251" t="str">
        <f>IFERROR(__xludf.DUMMYFUNCTION("""COMPUTED_VALUE"""),"Medium")</f>
        <v>Medium</v>
      </c>
      <c r="L744" s="251">
        <f>IFERROR(__xludf.DUMMYFUNCTION("""COMPUTED_VALUE"""),5.0)</f>
        <v>5</v>
      </c>
      <c r="M744" s="251" t="str">
        <f>IFERROR(__xludf.DUMMYFUNCTION("""COMPUTED_VALUE"""),"Forest")</f>
        <v>Forest</v>
      </c>
      <c r="N744" s="251" t="str">
        <f>IFERROR(__xludf.DUMMYFUNCTION("""COMPUTED_VALUE"""),"--")</f>
        <v>--</v>
      </c>
      <c r="O744" s="251" t="str">
        <f>IFERROR(__xludf.DUMMYFUNCTION("""COMPUTED_VALUE"""),"--")</f>
        <v>--</v>
      </c>
      <c r="P744" s="251" t="str">
        <f>IFERROR(__xludf.DUMMYFUNCTION("""COMPUTED_VALUE"""),"--")</f>
        <v>--</v>
      </c>
      <c r="Q744" s="251" t="str">
        <f>IFERROR(__xludf.DUMMYFUNCTION("""COMPUTED_VALUE"""),"--")</f>
        <v>--</v>
      </c>
      <c r="R744" s="251" t="str">
        <f>IFERROR(__xludf.DUMMYFUNCTION("""COMPUTED_VALUE"""),"Reach")</f>
        <v>Reach</v>
      </c>
      <c r="S744" s="251" t="str">
        <f>IFERROR(__xludf.DUMMYFUNCTION("""COMPUTED_VALUE"""),"--")</f>
        <v>--</v>
      </c>
      <c r="T744" s="251" t="str">
        <f>IFERROR(__xludf.DUMMYFUNCTION("""COMPUTED_VALUE"""),"--")</f>
        <v>--</v>
      </c>
      <c r="U744" s="251" t="str">
        <f>IFERROR(__xludf.DUMMYFUNCTION("""COMPUTED_VALUE"""),"--")</f>
        <v>--</v>
      </c>
      <c r="V744" s="251" t="str">
        <f>IFERROR(__xludf.DUMMYFUNCTION("""COMPUTED_VALUE"""),"Alluring")</f>
        <v>Alluring</v>
      </c>
      <c r="W744" s="251" t="str">
        <f>IFERROR(__xludf.DUMMYFUNCTION("""COMPUTED_VALUE"""),"--")</f>
        <v>--</v>
      </c>
      <c r="X744" s="251" t="str">
        <f>IFERROR(__xludf.DUMMYFUNCTION("""COMPUTED_VALUE"""),"--")</f>
        <v>--</v>
      </c>
      <c r="Y744" s="251" t="str">
        <f>IFERROR(__xludf.DUMMYFUNCTION("""COMPUTED_VALUE"""),"--")</f>
        <v>--</v>
      </c>
      <c r="Z744" s="251" t="str">
        <f>IFERROR(__xludf.DUMMYFUNCTION("""COMPUTED_VALUE"""),"--")</f>
        <v>--</v>
      </c>
      <c r="AA744" s="251" t="str">
        <f>IFERROR(__xludf.DUMMYFUNCTION("""COMPUTED_VALUE"""),"--")</f>
        <v>--</v>
      </c>
      <c r="AB744" s="251" t="str">
        <f>IFERROR(__xludf.DUMMYFUNCTION("""COMPUTED_VALUE"""),"--")</f>
        <v>--</v>
      </c>
      <c r="AC744" s="251" t="str">
        <f>IFERROR(__xludf.DUMMYFUNCTION("""COMPUTED_VALUE"""),"--")</f>
        <v>--</v>
      </c>
      <c r="AD744" s="251">
        <f>IFERROR(__xludf.DUMMYFUNCTION("""COMPUTED_VALUE"""),3.0)</f>
        <v>3</v>
      </c>
      <c r="AE744" s="251" t="str">
        <f>IFERROR(__xludf.DUMMYFUNCTION("""COMPUTED_VALUE"""),"Herbivore")</f>
        <v>Herbivore</v>
      </c>
    </row>
    <row r="745">
      <c r="A745" s="251" t="str">
        <f>IFERROR(__xludf.DUMMYFUNCTION("""COMPUTED_VALUE"""),"Capsakid")</f>
        <v>Capsakid</v>
      </c>
      <c r="B745" s="251" t="str">
        <f>IFERROR(__xludf.DUMMYFUNCTION("""COMPUTED_VALUE"""),"Grass")</f>
        <v>Grass</v>
      </c>
      <c r="C745" s="251" t="str">
        <f>IFERROR(__xludf.DUMMYFUNCTION("""COMPUTED_VALUE"""),"None")</f>
        <v>None</v>
      </c>
      <c r="D745" s="251">
        <f>IFERROR(__xludf.DUMMYFUNCTION("""COMPUTED_VALUE"""),5.0)</f>
        <v>5</v>
      </c>
      <c r="E745" s="251">
        <f>IFERROR(__xludf.DUMMYFUNCTION("""COMPUTED_VALUE"""),6.0)</f>
        <v>6</v>
      </c>
      <c r="F745" s="251">
        <f>IFERROR(__xludf.DUMMYFUNCTION("""COMPUTED_VALUE"""),4.0)</f>
        <v>4</v>
      </c>
      <c r="G745" s="251">
        <f>IFERROR(__xludf.DUMMYFUNCTION("""COMPUTED_VALUE"""),6.0)</f>
        <v>6</v>
      </c>
      <c r="H745" s="251">
        <f>IFERROR(__xludf.DUMMYFUNCTION("""COMPUTED_VALUE"""),4.0)</f>
        <v>4</v>
      </c>
      <c r="I745" s="251">
        <f>IFERROR(__xludf.DUMMYFUNCTION("""COMPUTED_VALUE"""),5.0)</f>
        <v>5</v>
      </c>
      <c r="J745" s="251">
        <f>IFERROR(__xludf.DUMMYFUNCTION("""COMPUTED_VALUE"""),3.0)</f>
        <v>3</v>
      </c>
      <c r="K745" s="251" t="str">
        <f>IFERROR(__xludf.DUMMYFUNCTION("""COMPUTED_VALUE"""),"Small")</f>
        <v>Small</v>
      </c>
      <c r="L745" s="251">
        <f>IFERROR(__xludf.DUMMYFUNCTION("""COMPUTED_VALUE"""),1.0)</f>
        <v>1</v>
      </c>
      <c r="M745" s="251" t="str">
        <f>IFERROR(__xludf.DUMMYFUNCTION("""COMPUTED_VALUE"""),"Forest")</f>
        <v>Forest</v>
      </c>
      <c r="N745" s="251" t="str">
        <f>IFERROR(__xludf.DUMMYFUNCTION("""COMPUTED_VALUE"""),"--")</f>
        <v>--</v>
      </c>
      <c r="O745" s="251" t="str">
        <f>IFERROR(__xludf.DUMMYFUNCTION("""COMPUTED_VALUE"""),"--")</f>
        <v>--</v>
      </c>
      <c r="P745" s="251" t="str">
        <f>IFERROR(__xludf.DUMMYFUNCTION("""COMPUTED_VALUE"""),"--")</f>
        <v>--</v>
      </c>
      <c r="Q745" s="251" t="str">
        <f>IFERROR(__xludf.DUMMYFUNCTION("""COMPUTED_VALUE"""),"--")</f>
        <v>--</v>
      </c>
      <c r="R745" s="251" t="str">
        <f>IFERROR(__xludf.DUMMYFUNCTION("""COMPUTED_VALUE"""),"Underdog")</f>
        <v>Underdog</v>
      </c>
      <c r="S745" s="251" t="str">
        <f>IFERROR(__xludf.DUMMYFUNCTION("""COMPUTED_VALUE"""),"--")</f>
        <v>--</v>
      </c>
      <c r="T745" s="251" t="str">
        <f>IFERROR(__xludf.DUMMYFUNCTION("""COMPUTED_VALUE"""),"--")</f>
        <v>--</v>
      </c>
      <c r="U745" s="251" t="str">
        <f>IFERROR(__xludf.DUMMYFUNCTION("""COMPUTED_VALUE"""),"--")</f>
        <v>--</v>
      </c>
      <c r="V745" s="251" t="str">
        <f>IFERROR(__xludf.DUMMYFUNCTION("""COMPUTED_VALUE"""),"--")</f>
        <v>--</v>
      </c>
      <c r="W745" s="251" t="str">
        <f>IFERROR(__xludf.DUMMYFUNCTION("""COMPUTED_VALUE"""),"--")</f>
        <v>--</v>
      </c>
      <c r="X745" s="251" t="str">
        <f>IFERROR(__xludf.DUMMYFUNCTION("""COMPUTED_VALUE"""),"--")</f>
        <v>--</v>
      </c>
      <c r="Y745" s="251" t="str">
        <f>IFERROR(__xludf.DUMMYFUNCTION("""COMPUTED_VALUE"""),"--")</f>
        <v>--</v>
      </c>
      <c r="Z745" s="251" t="str">
        <f>IFERROR(__xludf.DUMMYFUNCTION("""COMPUTED_VALUE"""),"--")</f>
        <v>--</v>
      </c>
      <c r="AA745" s="251" t="str">
        <f>IFERROR(__xludf.DUMMYFUNCTION("""COMPUTED_VALUE"""),"--")</f>
        <v>--</v>
      </c>
      <c r="AB745" s="251" t="str">
        <f>IFERROR(__xludf.DUMMYFUNCTION("""COMPUTED_VALUE"""),"--")</f>
        <v>--</v>
      </c>
      <c r="AC745" s="251" t="str">
        <f>IFERROR(__xludf.DUMMYFUNCTION("""COMPUTED_VALUE"""),"--")</f>
        <v>--</v>
      </c>
      <c r="AD745" s="251">
        <f>IFERROR(__xludf.DUMMYFUNCTION("""COMPUTED_VALUE"""),2.0)</f>
        <v>2</v>
      </c>
      <c r="AE745" s="251" t="str">
        <f>IFERROR(__xludf.DUMMYFUNCTION("""COMPUTED_VALUE"""),"Phototroph")</f>
        <v>Phototroph</v>
      </c>
    </row>
    <row r="746">
      <c r="A746" s="251" t="str">
        <f>IFERROR(__xludf.DUMMYFUNCTION("""COMPUTED_VALUE"""),"Scovillain")</f>
        <v>Scovillain</v>
      </c>
      <c r="B746" s="251" t="str">
        <f>IFERROR(__xludf.DUMMYFUNCTION("""COMPUTED_VALUE"""),"Grass")</f>
        <v>Grass</v>
      </c>
      <c r="C746" s="251" t="str">
        <f>IFERROR(__xludf.DUMMYFUNCTION("""COMPUTED_VALUE"""),"Fire")</f>
        <v>Fire</v>
      </c>
      <c r="D746" s="251">
        <f>IFERROR(__xludf.DUMMYFUNCTION("""COMPUTED_VALUE"""),7.0)</f>
        <v>7</v>
      </c>
      <c r="E746" s="251">
        <f>IFERROR(__xludf.DUMMYFUNCTION("""COMPUTED_VALUE"""),13.0)</f>
        <v>13</v>
      </c>
      <c r="F746" s="251">
        <f>IFERROR(__xludf.DUMMYFUNCTION("""COMPUTED_VALUE"""),7.0)</f>
        <v>7</v>
      </c>
      <c r="G746" s="251">
        <f>IFERROR(__xludf.DUMMYFUNCTION("""COMPUTED_VALUE"""),13.0)</f>
        <v>13</v>
      </c>
      <c r="H746" s="251">
        <f>IFERROR(__xludf.DUMMYFUNCTION("""COMPUTED_VALUE"""),7.0)</f>
        <v>7</v>
      </c>
      <c r="I746" s="251">
        <f>IFERROR(__xludf.DUMMYFUNCTION("""COMPUTED_VALUE"""),8.0)</f>
        <v>8</v>
      </c>
      <c r="J746" s="251">
        <f>IFERROR(__xludf.DUMMYFUNCTION("""COMPUTED_VALUE"""),6.0)</f>
        <v>6</v>
      </c>
      <c r="K746" s="251" t="str">
        <f>IFERROR(__xludf.DUMMYFUNCTION("""COMPUTED_VALUE"""),"Small")</f>
        <v>Small</v>
      </c>
      <c r="L746" s="251">
        <f>IFERROR(__xludf.DUMMYFUNCTION("""COMPUTED_VALUE"""),2.0)</f>
        <v>2</v>
      </c>
      <c r="M746" s="251" t="str">
        <f>IFERROR(__xludf.DUMMYFUNCTION("""COMPUTED_VALUE"""),"Forest")</f>
        <v>Forest</v>
      </c>
      <c r="N746" s="251" t="str">
        <f>IFERROR(__xludf.DUMMYFUNCTION("""COMPUTED_VALUE"""),"--")</f>
        <v>--</v>
      </c>
      <c r="O746" s="251" t="str">
        <f>IFERROR(__xludf.DUMMYFUNCTION("""COMPUTED_VALUE"""),"--")</f>
        <v>--</v>
      </c>
      <c r="P746" s="251" t="str">
        <f>IFERROR(__xludf.DUMMYFUNCTION("""COMPUTED_VALUE"""),"--")</f>
        <v>--</v>
      </c>
      <c r="Q746" s="251" t="str">
        <f>IFERROR(__xludf.DUMMYFUNCTION("""COMPUTED_VALUE"""),"--")</f>
        <v>--</v>
      </c>
      <c r="R746" s="251" t="str">
        <f>IFERROR(__xludf.DUMMYFUNCTION("""COMPUTED_VALUE"""),"--")</f>
        <v>--</v>
      </c>
      <c r="S746" s="251" t="str">
        <f>IFERROR(__xludf.DUMMYFUNCTION("""COMPUTED_VALUE"""),"--")</f>
        <v>--</v>
      </c>
      <c r="T746" s="251" t="str">
        <f>IFERROR(__xludf.DUMMYFUNCTION("""COMPUTED_VALUE"""),"--")</f>
        <v>--</v>
      </c>
      <c r="U746" s="251" t="str">
        <f>IFERROR(__xludf.DUMMYFUNCTION("""COMPUTED_VALUE"""),"--")</f>
        <v>--</v>
      </c>
      <c r="V746" s="251" t="str">
        <f>IFERROR(__xludf.DUMMYFUNCTION("""COMPUTED_VALUE"""),"--")</f>
        <v>--</v>
      </c>
      <c r="W746" s="251" t="str">
        <f>IFERROR(__xludf.DUMMYFUNCTION("""COMPUTED_VALUE"""),"--")</f>
        <v>--</v>
      </c>
      <c r="X746" s="251" t="str">
        <f>IFERROR(__xludf.DUMMYFUNCTION("""COMPUTED_VALUE"""),"--")</f>
        <v>--</v>
      </c>
      <c r="Y746" s="251" t="str">
        <f>IFERROR(__xludf.DUMMYFUNCTION("""COMPUTED_VALUE"""),"--")</f>
        <v>--</v>
      </c>
      <c r="Z746" s="251" t="str">
        <f>IFERROR(__xludf.DUMMYFUNCTION("""COMPUTED_VALUE"""),"--")</f>
        <v>--</v>
      </c>
      <c r="AA746" s="251" t="str">
        <f>IFERROR(__xludf.DUMMYFUNCTION("""COMPUTED_VALUE"""),"--")</f>
        <v>--</v>
      </c>
      <c r="AB746" s="251" t="str">
        <f>IFERROR(__xludf.DUMMYFUNCTION("""COMPUTED_VALUE"""),"--")</f>
        <v>--</v>
      </c>
      <c r="AC746" s="251" t="str">
        <f>IFERROR(__xludf.DUMMYFUNCTION("""COMPUTED_VALUE"""),"--")</f>
        <v>--</v>
      </c>
      <c r="AD746" s="251">
        <f>IFERROR(__xludf.DUMMYFUNCTION("""COMPUTED_VALUE"""),3.0)</f>
        <v>3</v>
      </c>
      <c r="AE746" s="251" t="str">
        <f>IFERROR(__xludf.DUMMYFUNCTION("""COMPUTED_VALUE"""),"Phototroph")</f>
        <v>Phototroph</v>
      </c>
    </row>
    <row r="747">
      <c r="A747" s="251" t="str">
        <f>IFERROR(__xludf.DUMMYFUNCTION("""COMPUTED_VALUE"""),"Bramblin")</f>
        <v>Bramblin</v>
      </c>
      <c r="B747" s="251" t="str">
        <f>IFERROR(__xludf.DUMMYFUNCTION("""COMPUTED_VALUE"""),"Grass")</f>
        <v>Grass</v>
      </c>
      <c r="C747" s="251" t="str">
        <f>IFERROR(__xludf.DUMMYFUNCTION("""COMPUTED_VALUE"""),"Ghost")</f>
        <v>Ghost</v>
      </c>
      <c r="D747" s="251">
        <f>IFERROR(__xludf.DUMMYFUNCTION("""COMPUTED_VALUE"""),5.0)</f>
        <v>5</v>
      </c>
      <c r="E747" s="251">
        <f>IFERROR(__xludf.DUMMYFUNCTION("""COMPUTED_VALUE"""),7.0)</f>
        <v>7</v>
      </c>
      <c r="F747" s="251">
        <f>IFERROR(__xludf.DUMMYFUNCTION("""COMPUTED_VALUE"""),3.0)</f>
        <v>3</v>
      </c>
      <c r="G747" s="251">
        <f>IFERROR(__xludf.DUMMYFUNCTION("""COMPUTED_VALUE"""),5.0)</f>
        <v>5</v>
      </c>
      <c r="H747" s="251">
        <f>IFERROR(__xludf.DUMMYFUNCTION("""COMPUTED_VALUE"""),4.0)</f>
        <v>4</v>
      </c>
      <c r="I747" s="251">
        <f>IFERROR(__xludf.DUMMYFUNCTION("""COMPUTED_VALUE"""),6.0)</f>
        <v>6</v>
      </c>
      <c r="J747" s="251">
        <f>IFERROR(__xludf.DUMMYFUNCTION("""COMPUTED_VALUE"""),2.0)</f>
        <v>2</v>
      </c>
      <c r="K747" s="251" t="str">
        <f>IFERROR(__xludf.DUMMYFUNCTION("""COMPUTED_VALUE"""),"Small")</f>
        <v>Small</v>
      </c>
      <c r="L747" s="251">
        <f>IFERROR(__xludf.DUMMYFUNCTION("""COMPUTED_VALUE"""),1.0)</f>
        <v>1</v>
      </c>
      <c r="M747" s="251" t="str">
        <f>IFERROR(__xludf.DUMMYFUNCTION("""COMPUTED_VALUE"""),"Desert")</f>
        <v>Desert</v>
      </c>
      <c r="N747" s="251" t="str">
        <f>IFERROR(__xludf.DUMMYFUNCTION("""COMPUTED_VALUE"""),"--")</f>
        <v>--</v>
      </c>
      <c r="O747" s="251" t="str">
        <f>IFERROR(__xludf.DUMMYFUNCTION("""COMPUTED_VALUE"""),"--")</f>
        <v>--</v>
      </c>
      <c r="P747" s="251" t="str">
        <f>IFERROR(__xludf.DUMMYFUNCTION("""COMPUTED_VALUE"""),"--")</f>
        <v>--</v>
      </c>
      <c r="Q747" s="251" t="str">
        <f>IFERROR(__xludf.DUMMYFUNCTION("""COMPUTED_VALUE"""),"--")</f>
        <v>--</v>
      </c>
      <c r="R747" s="251" t="str">
        <f>IFERROR(__xludf.DUMMYFUNCTION("""COMPUTED_VALUE"""),"Darkvision")</f>
        <v>Darkvision</v>
      </c>
      <c r="S747" s="251" t="str">
        <f>IFERROR(__xludf.DUMMYFUNCTION("""COMPUTED_VALUE"""),"Underdog")</f>
        <v>Underdog</v>
      </c>
      <c r="T747" s="251" t="str">
        <f>IFERROR(__xludf.DUMMYFUNCTION("""COMPUTED_VALUE"""),"--")</f>
        <v>--</v>
      </c>
      <c r="U747" s="251" t="str">
        <f>IFERROR(__xludf.DUMMYFUNCTION("""COMPUTED_VALUE"""),"--")</f>
        <v>--</v>
      </c>
      <c r="V747" s="251" t="str">
        <f>IFERROR(__xludf.DUMMYFUNCTION("""COMPUTED_VALUE"""),"Breathless")</f>
        <v>Breathless</v>
      </c>
      <c r="W747" s="251" t="str">
        <f>IFERROR(__xludf.DUMMYFUNCTION("""COMPUTED_VALUE"""),"--")</f>
        <v>--</v>
      </c>
      <c r="X747" s="251" t="str">
        <f>IFERROR(__xludf.DUMMYFUNCTION("""COMPUTED_VALUE"""),"--")</f>
        <v>--</v>
      </c>
      <c r="Y747" s="251" t="str">
        <f>IFERROR(__xludf.DUMMYFUNCTION("""COMPUTED_VALUE"""),"--")</f>
        <v>--</v>
      </c>
      <c r="Z747" s="251" t="str">
        <f>IFERROR(__xludf.DUMMYFUNCTION("""COMPUTED_VALUE"""),"--")</f>
        <v>--</v>
      </c>
      <c r="AA747" s="251" t="str">
        <f>IFERROR(__xludf.DUMMYFUNCTION("""COMPUTED_VALUE"""),"--")</f>
        <v>--</v>
      </c>
      <c r="AB747" s="251" t="str">
        <f>IFERROR(__xludf.DUMMYFUNCTION("""COMPUTED_VALUE"""),"--")</f>
        <v>--</v>
      </c>
      <c r="AC747" s="251" t="str">
        <f>IFERROR(__xludf.DUMMYFUNCTION("""COMPUTED_VALUE"""),"--")</f>
        <v>--</v>
      </c>
      <c r="AD747" s="251">
        <f>IFERROR(__xludf.DUMMYFUNCTION("""COMPUTED_VALUE"""),2.0)</f>
        <v>2</v>
      </c>
      <c r="AE747" s="251" t="str">
        <f>IFERROR(__xludf.DUMMYFUNCTION("""COMPUTED_VALUE"""),"Nullivore")</f>
        <v>Nullivore</v>
      </c>
    </row>
    <row r="748">
      <c r="A748" s="251" t="str">
        <f>IFERROR(__xludf.DUMMYFUNCTION("""COMPUTED_VALUE"""),"Brambleghast")</f>
        <v>Brambleghast</v>
      </c>
      <c r="B748" s="251" t="str">
        <f>IFERROR(__xludf.DUMMYFUNCTION("""COMPUTED_VALUE"""),"Grass")</f>
        <v>Grass</v>
      </c>
      <c r="C748" s="251" t="str">
        <f>IFERROR(__xludf.DUMMYFUNCTION("""COMPUTED_VALUE"""),"Ghost")</f>
        <v>Ghost</v>
      </c>
      <c r="D748" s="251">
        <f>IFERROR(__xludf.DUMMYFUNCTION("""COMPUTED_VALUE"""),7.0)</f>
        <v>7</v>
      </c>
      <c r="E748" s="251">
        <f>IFERROR(__xludf.DUMMYFUNCTION("""COMPUTED_VALUE"""),12.0)</f>
        <v>12</v>
      </c>
      <c r="F748" s="251">
        <f>IFERROR(__xludf.DUMMYFUNCTION("""COMPUTED_VALUE"""),7.0)</f>
        <v>7</v>
      </c>
      <c r="G748" s="251">
        <f>IFERROR(__xludf.DUMMYFUNCTION("""COMPUTED_VALUE"""),8.0)</f>
        <v>8</v>
      </c>
      <c r="H748" s="251">
        <f>IFERROR(__xludf.DUMMYFUNCTION("""COMPUTED_VALUE"""),7.0)</f>
        <v>7</v>
      </c>
      <c r="I748" s="251">
        <f>IFERROR(__xludf.DUMMYFUNCTION("""COMPUTED_VALUE"""),10.0)</f>
        <v>10</v>
      </c>
      <c r="J748" s="251">
        <f>IFERROR(__xludf.DUMMYFUNCTION("""COMPUTED_VALUE"""),4.0)</f>
        <v>4</v>
      </c>
      <c r="K748" s="251" t="str">
        <f>IFERROR(__xludf.DUMMYFUNCTION("""COMPUTED_VALUE"""),"Medium")</f>
        <v>Medium</v>
      </c>
      <c r="L748" s="251">
        <f>IFERROR(__xludf.DUMMYFUNCTION("""COMPUTED_VALUE"""),1.0)</f>
        <v>1</v>
      </c>
      <c r="M748" s="251" t="str">
        <f>IFERROR(__xludf.DUMMYFUNCTION("""COMPUTED_VALUE"""),"Desert")</f>
        <v>Desert</v>
      </c>
      <c r="N748" s="251" t="str">
        <f>IFERROR(__xludf.DUMMYFUNCTION("""COMPUTED_VALUE"""),"Quick")</f>
        <v>Quick</v>
      </c>
      <c r="O748" s="251" t="str">
        <f>IFERROR(__xludf.DUMMYFUNCTION("""COMPUTED_VALUE"""),"--")</f>
        <v>--</v>
      </c>
      <c r="P748" s="251" t="str">
        <f>IFERROR(__xludf.DUMMYFUNCTION("""COMPUTED_VALUE"""),"--")</f>
        <v>--</v>
      </c>
      <c r="Q748" s="251" t="str">
        <f>IFERROR(__xludf.DUMMYFUNCTION("""COMPUTED_VALUE"""),"--")</f>
        <v>--</v>
      </c>
      <c r="R748" s="251" t="str">
        <f>IFERROR(__xludf.DUMMYFUNCTION("""COMPUTED_VALUE"""),"Darkvision")</f>
        <v>Darkvision</v>
      </c>
      <c r="S748" s="251" t="str">
        <f>IFERROR(__xludf.DUMMYFUNCTION("""COMPUTED_VALUE"""),"--")</f>
        <v>--</v>
      </c>
      <c r="T748" s="251" t="str">
        <f>IFERROR(__xludf.DUMMYFUNCTION("""COMPUTED_VALUE"""),"--")</f>
        <v>--</v>
      </c>
      <c r="U748" s="251" t="str">
        <f>IFERROR(__xludf.DUMMYFUNCTION("""COMPUTED_VALUE"""),"--")</f>
        <v>--</v>
      </c>
      <c r="V748" s="251" t="str">
        <f>IFERROR(__xludf.DUMMYFUNCTION("""COMPUTED_VALUE"""),"Breathless")</f>
        <v>Breathless</v>
      </c>
      <c r="W748" s="251" t="str">
        <f>IFERROR(__xludf.DUMMYFUNCTION("""COMPUTED_VALUE"""),"--")</f>
        <v>--</v>
      </c>
      <c r="X748" s="251" t="str">
        <f>IFERROR(__xludf.DUMMYFUNCTION("""COMPUTED_VALUE"""),"--")</f>
        <v>--</v>
      </c>
      <c r="Y748" s="251" t="str">
        <f>IFERROR(__xludf.DUMMYFUNCTION("""COMPUTED_VALUE"""),"--")</f>
        <v>--</v>
      </c>
      <c r="Z748" s="251" t="str">
        <f>IFERROR(__xludf.DUMMYFUNCTION("""COMPUTED_VALUE"""),"--")</f>
        <v>--</v>
      </c>
      <c r="AA748" s="251" t="str">
        <f>IFERROR(__xludf.DUMMYFUNCTION("""COMPUTED_VALUE"""),"--")</f>
        <v>--</v>
      </c>
      <c r="AB748" s="251" t="str">
        <f>IFERROR(__xludf.DUMMYFUNCTION("""COMPUTED_VALUE"""),"--")</f>
        <v>--</v>
      </c>
      <c r="AC748" s="251" t="str">
        <f>IFERROR(__xludf.DUMMYFUNCTION("""COMPUTED_VALUE"""),"--")</f>
        <v>--</v>
      </c>
      <c r="AD748" s="251">
        <f>IFERROR(__xludf.DUMMYFUNCTION("""COMPUTED_VALUE"""),3.0)</f>
        <v>3</v>
      </c>
      <c r="AE748" s="251" t="str">
        <f>IFERROR(__xludf.DUMMYFUNCTION("""COMPUTED_VALUE"""),"Nullivore")</f>
        <v>Nullivore</v>
      </c>
    </row>
    <row r="749">
      <c r="A749" s="251" t="str">
        <f>IFERROR(__xludf.DUMMYFUNCTION("""COMPUTED_VALUE"""),"Sandshrew")</f>
        <v>Sandshrew</v>
      </c>
      <c r="B749" s="251" t="str">
        <f>IFERROR(__xludf.DUMMYFUNCTION("""COMPUTED_VALUE"""),"Ground")</f>
        <v>Ground</v>
      </c>
      <c r="C749" s="251" t="str">
        <f>IFERROR(__xludf.DUMMYFUNCTION("""COMPUTED_VALUE"""),"None")</f>
        <v>None</v>
      </c>
      <c r="D749" s="251">
        <f>IFERROR(__xludf.DUMMYFUNCTION("""COMPUTED_VALUE"""),5.0)</f>
        <v>5</v>
      </c>
      <c r="E749" s="251">
        <f>IFERROR(__xludf.DUMMYFUNCTION("""COMPUTED_VALUE"""),8.0)</f>
        <v>8</v>
      </c>
      <c r="F749" s="251">
        <f>IFERROR(__xludf.DUMMYFUNCTION("""COMPUTED_VALUE"""),9.0)</f>
        <v>9</v>
      </c>
      <c r="G749" s="251">
        <f>IFERROR(__xludf.DUMMYFUNCTION("""COMPUTED_VALUE"""),2.0)</f>
        <v>2</v>
      </c>
      <c r="H749" s="251">
        <f>IFERROR(__xludf.DUMMYFUNCTION("""COMPUTED_VALUE"""),3.0)</f>
        <v>3</v>
      </c>
      <c r="I749" s="251">
        <f>IFERROR(__xludf.DUMMYFUNCTION("""COMPUTED_VALUE"""),4.0)</f>
        <v>4</v>
      </c>
      <c r="J749" s="251">
        <f>IFERROR(__xludf.DUMMYFUNCTION("""COMPUTED_VALUE"""),3.0)</f>
        <v>3</v>
      </c>
      <c r="K749" s="251" t="str">
        <f>IFERROR(__xludf.DUMMYFUNCTION("""COMPUTED_VALUE"""),"Small")</f>
        <v>Small</v>
      </c>
      <c r="L749" s="251">
        <f>IFERROR(__xludf.DUMMYFUNCTION("""COMPUTED_VALUE"""),2.0)</f>
        <v>2</v>
      </c>
      <c r="M749" s="251" t="str">
        <f>IFERROR(__xludf.DUMMYFUNCTION("""COMPUTED_VALUE"""),"Desert")</f>
        <v>Desert</v>
      </c>
      <c r="N749" s="251" t="str">
        <f>IFERROR(__xludf.DUMMYFUNCTION("""COMPUTED_VALUE"""),"Burrower")</f>
        <v>Burrower</v>
      </c>
      <c r="O749" s="251" t="str">
        <f>IFERROR(__xludf.DUMMYFUNCTION("""COMPUTED_VALUE"""),"--")</f>
        <v>--</v>
      </c>
      <c r="P749" s="251" t="str">
        <f>IFERROR(__xludf.DUMMYFUNCTION("""COMPUTED_VALUE"""),"--")</f>
        <v>--</v>
      </c>
      <c r="Q749" s="251" t="str">
        <f>IFERROR(__xludf.DUMMYFUNCTION("""COMPUTED_VALUE"""),"--")</f>
        <v>--</v>
      </c>
      <c r="R749" s="251" t="str">
        <f>IFERROR(__xludf.DUMMYFUNCTION("""COMPUTED_VALUE"""),"Underdog")</f>
        <v>Underdog</v>
      </c>
      <c r="S749" s="251" t="str">
        <f>IFERROR(__xludf.DUMMYFUNCTION("""COMPUTED_VALUE"""),"--")</f>
        <v>--</v>
      </c>
      <c r="T749" s="251" t="str">
        <f>IFERROR(__xludf.DUMMYFUNCTION("""COMPUTED_VALUE"""),"--")</f>
        <v>--</v>
      </c>
      <c r="U749" s="251" t="str">
        <f>IFERROR(__xludf.DUMMYFUNCTION("""COMPUTED_VALUE"""),"--")</f>
        <v>--</v>
      </c>
      <c r="V749" s="251" t="str">
        <f>IFERROR(__xludf.DUMMYFUNCTION("""COMPUTED_VALUE"""),"Tremorsense")</f>
        <v>Tremorsense</v>
      </c>
      <c r="W749" s="251" t="str">
        <f>IFERROR(__xludf.DUMMYFUNCTION("""COMPUTED_VALUE"""),"--")</f>
        <v>--</v>
      </c>
      <c r="X749" s="251" t="str">
        <f>IFERROR(__xludf.DUMMYFUNCTION("""COMPUTED_VALUE"""),"--")</f>
        <v>--</v>
      </c>
      <c r="Y749" s="251" t="str">
        <f>IFERROR(__xludf.DUMMYFUNCTION("""COMPUTED_VALUE"""),"--")</f>
        <v>--</v>
      </c>
      <c r="Z749" s="251" t="str">
        <f>IFERROR(__xludf.DUMMYFUNCTION("""COMPUTED_VALUE"""),"--")</f>
        <v>--</v>
      </c>
      <c r="AA749" s="251" t="str">
        <f>IFERROR(__xludf.DUMMYFUNCTION("""COMPUTED_VALUE"""),"--")</f>
        <v>--</v>
      </c>
      <c r="AB749" s="251" t="str">
        <f>IFERROR(__xludf.DUMMYFUNCTION("""COMPUTED_VALUE"""),"--")</f>
        <v>--</v>
      </c>
      <c r="AC749" s="251" t="str">
        <f>IFERROR(__xludf.DUMMYFUNCTION("""COMPUTED_VALUE"""),"--")</f>
        <v>--</v>
      </c>
      <c r="AD749" s="251">
        <f>IFERROR(__xludf.DUMMYFUNCTION("""COMPUTED_VALUE"""),2.0)</f>
        <v>2</v>
      </c>
      <c r="AE749" s="251" t="str">
        <f>IFERROR(__xludf.DUMMYFUNCTION("""COMPUTED_VALUE"""),"Omnivore")</f>
        <v>Omnivore</v>
      </c>
    </row>
    <row r="750">
      <c r="A750" s="251" t="str">
        <f>IFERROR(__xludf.DUMMYFUNCTION("""COMPUTED_VALUE"""),"Sandslash")</f>
        <v>Sandslash</v>
      </c>
      <c r="B750" s="251" t="str">
        <f>IFERROR(__xludf.DUMMYFUNCTION("""COMPUTED_VALUE"""),"Ground")</f>
        <v>Ground</v>
      </c>
      <c r="C750" s="251" t="str">
        <f>IFERROR(__xludf.DUMMYFUNCTION("""COMPUTED_VALUE"""),"None")</f>
        <v>None</v>
      </c>
      <c r="D750" s="251">
        <f>IFERROR(__xludf.DUMMYFUNCTION("""COMPUTED_VALUE"""),9.0)</f>
        <v>9</v>
      </c>
      <c r="E750" s="251">
        <f>IFERROR(__xludf.DUMMYFUNCTION("""COMPUTED_VALUE"""),11.0)</f>
        <v>11</v>
      </c>
      <c r="F750" s="251">
        <f>IFERROR(__xludf.DUMMYFUNCTION("""COMPUTED_VALUE"""),11.0)</f>
        <v>11</v>
      </c>
      <c r="G750" s="251">
        <f>IFERROR(__xludf.DUMMYFUNCTION("""COMPUTED_VALUE"""),5.0)</f>
        <v>5</v>
      </c>
      <c r="H750" s="251">
        <f>IFERROR(__xludf.DUMMYFUNCTION("""COMPUTED_VALUE"""),6.0)</f>
        <v>6</v>
      </c>
      <c r="I750" s="251">
        <f>IFERROR(__xludf.DUMMYFUNCTION("""COMPUTED_VALUE"""),9.0)</f>
        <v>9</v>
      </c>
      <c r="J750" s="251">
        <f>IFERROR(__xludf.DUMMYFUNCTION("""COMPUTED_VALUE"""),4.0)</f>
        <v>4</v>
      </c>
      <c r="K750" s="251" t="str">
        <f>IFERROR(__xludf.DUMMYFUNCTION("""COMPUTED_VALUE"""),"Medium")</f>
        <v>Medium</v>
      </c>
      <c r="L750" s="251">
        <f>IFERROR(__xludf.DUMMYFUNCTION("""COMPUTED_VALUE"""),3.0)</f>
        <v>3</v>
      </c>
      <c r="M750" s="251" t="str">
        <f>IFERROR(__xludf.DUMMYFUNCTION("""COMPUTED_VALUE"""),"Desert")</f>
        <v>Desert</v>
      </c>
      <c r="N750" s="251" t="str">
        <f>IFERROR(__xludf.DUMMYFUNCTION("""COMPUTED_VALUE"""),"Burrower")</f>
        <v>Burrower</v>
      </c>
      <c r="O750" s="251" t="str">
        <f>IFERROR(__xludf.DUMMYFUNCTION("""COMPUTED_VALUE"""),"--")</f>
        <v>--</v>
      </c>
      <c r="P750" s="251" t="str">
        <f>IFERROR(__xludf.DUMMYFUNCTION("""COMPUTED_VALUE"""),"--")</f>
        <v>--</v>
      </c>
      <c r="Q750" s="251" t="str">
        <f>IFERROR(__xludf.DUMMYFUNCTION("""COMPUTED_VALUE"""),"--")</f>
        <v>--</v>
      </c>
      <c r="R750" s="251" t="str">
        <f>IFERROR(__xludf.DUMMYFUNCTION("""COMPUTED_VALUE"""),"Groundshaper")</f>
        <v>Groundshaper</v>
      </c>
      <c r="S750" s="251" t="str">
        <f>IFERROR(__xludf.DUMMYFUNCTION("""COMPUTED_VALUE"""),"--")</f>
        <v>--</v>
      </c>
      <c r="T750" s="251" t="str">
        <f>IFERROR(__xludf.DUMMYFUNCTION("""COMPUTED_VALUE"""),"--")</f>
        <v>--</v>
      </c>
      <c r="U750" s="251" t="str">
        <f>IFERROR(__xludf.DUMMYFUNCTION("""COMPUTED_VALUE"""),"--")</f>
        <v>--</v>
      </c>
      <c r="V750" s="251" t="str">
        <f>IFERROR(__xludf.DUMMYFUNCTION("""COMPUTED_VALUE"""),"Tremorsense")</f>
        <v>Tremorsense</v>
      </c>
      <c r="W750" s="251" t="str">
        <f>IFERROR(__xludf.DUMMYFUNCTION("""COMPUTED_VALUE"""),"--")</f>
        <v>--</v>
      </c>
      <c r="X750" s="251" t="str">
        <f>IFERROR(__xludf.DUMMYFUNCTION("""COMPUTED_VALUE"""),"--")</f>
        <v>--</v>
      </c>
      <c r="Y750" s="251" t="str">
        <f>IFERROR(__xludf.DUMMYFUNCTION("""COMPUTED_VALUE"""),"--")</f>
        <v>--</v>
      </c>
      <c r="Z750" s="251" t="str">
        <f>IFERROR(__xludf.DUMMYFUNCTION("""COMPUTED_VALUE"""),"--")</f>
        <v>--</v>
      </c>
      <c r="AA750" s="251" t="str">
        <f>IFERROR(__xludf.DUMMYFUNCTION("""COMPUTED_VALUE"""),"--")</f>
        <v>--</v>
      </c>
      <c r="AB750" s="251" t="str">
        <f>IFERROR(__xludf.DUMMYFUNCTION("""COMPUTED_VALUE"""),"--")</f>
        <v>--</v>
      </c>
      <c r="AC750" s="251" t="str">
        <f>IFERROR(__xludf.DUMMYFUNCTION("""COMPUTED_VALUE"""),"--")</f>
        <v>--</v>
      </c>
      <c r="AD750" s="251">
        <f>IFERROR(__xludf.DUMMYFUNCTION("""COMPUTED_VALUE"""),3.0)</f>
        <v>3</v>
      </c>
      <c r="AE750" s="251" t="str">
        <f>IFERROR(__xludf.DUMMYFUNCTION("""COMPUTED_VALUE"""),"Omnivore")</f>
        <v>Omnivore</v>
      </c>
    </row>
    <row r="751">
      <c r="A751" s="251" t="str">
        <f>IFERROR(__xludf.DUMMYFUNCTION("""COMPUTED_VALUE"""),"Diglett")</f>
        <v>Diglett</v>
      </c>
      <c r="B751" s="251" t="str">
        <f>IFERROR(__xludf.DUMMYFUNCTION("""COMPUTED_VALUE"""),"Ground")</f>
        <v>Ground</v>
      </c>
      <c r="C751" s="251" t="str">
        <f>IFERROR(__xludf.DUMMYFUNCTION("""COMPUTED_VALUE"""),"None")</f>
        <v>None</v>
      </c>
      <c r="D751" s="251">
        <f>IFERROR(__xludf.DUMMYFUNCTION("""COMPUTED_VALUE"""),2.0)</f>
        <v>2</v>
      </c>
      <c r="E751" s="251">
        <f>IFERROR(__xludf.DUMMYFUNCTION("""COMPUTED_VALUE"""),6.0)</f>
        <v>6</v>
      </c>
      <c r="F751" s="251">
        <f>IFERROR(__xludf.DUMMYFUNCTION("""COMPUTED_VALUE"""),3.0)</f>
        <v>3</v>
      </c>
      <c r="G751" s="251">
        <f>IFERROR(__xludf.DUMMYFUNCTION("""COMPUTED_VALUE"""),4.0)</f>
        <v>4</v>
      </c>
      <c r="H751" s="251">
        <f>IFERROR(__xludf.DUMMYFUNCTION("""COMPUTED_VALUE"""),5.0)</f>
        <v>5</v>
      </c>
      <c r="I751" s="251">
        <f>IFERROR(__xludf.DUMMYFUNCTION("""COMPUTED_VALUE"""),10.0)</f>
        <v>10</v>
      </c>
      <c r="J751" s="251">
        <f>IFERROR(__xludf.DUMMYFUNCTION("""COMPUTED_VALUE"""),1.0)</f>
        <v>1</v>
      </c>
      <c r="K751" s="251" t="str">
        <f>IFERROR(__xludf.DUMMYFUNCTION("""COMPUTED_VALUE"""),"Small")</f>
        <v>Small</v>
      </c>
      <c r="L751" s="251">
        <f>IFERROR(__xludf.DUMMYFUNCTION("""COMPUTED_VALUE"""),1.0)</f>
        <v>1</v>
      </c>
      <c r="M751" s="251" t="str">
        <f>IFERROR(__xludf.DUMMYFUNCTION("""COMPUTED_VALUE"""),"Cave, Desert")</f>
        <v>Cave, Desert</v>
      </c>
      <c r="N751" s="251" t="str">
        <f>IFERROR(__xludf.DUMMYFUNCTION("""COMPUTED_VALUE"""),"Burrower")</f>
        <v>Burrower</v>
      </c>
      <c r="O751" s="251" t="str">
        <f>IFERROR(__xludf.DUMMYFUNCTION("""COMPUTED_VALUE"""),"Grounded")</f>
        <v>Grounded</v>
      </c>
      <c r="P751" s="251" t="str">
        <f>IFERROR(__xludf.DUMMYFUNCTION("""COMPUTED_VALUE"""),"Quick")</f>
        <v>Quick</v>
      </c>
      <c r="Q751" s="251" t="str">
        <f>IFERROR(__xludf.DUMMYFUNCTION("""COMPUTED_VALUE"""),"--")</f>
        <v>--</v>
      </c>
      <c r="R751" s="251" t="str">
        <f>IFERROR(__xludf.DUMMYFUNCTION("""COMPUTED_VALUE"""),"Underdog")</f>
        <v>Underdog</v>
      </c>
      <c r="S751" s="251" t="str">
        <f>IFERROR(__xludf.DUMMYFUNCTION("""COMPUTED_VALUE"""),"--")</f>
        <v>--</v>
      </c>
      <c r="T751" s="251" t="str">
        <f>IFERROR(__xludf.DUMMYFUNCTION("""COMPUTED_VALUE"""),"--")</f>
        <v>--</v>
      </c>
      <c r="U751" s="251" t="str">
        <f>IFERROR(__xludf.DUMMYFUNCTION("""COMPUTED_VALUE"""),"--")</f>
        <v>--</v>
      </c>
      <c r="V751" s="251" t="str">
        <f>IFERROR(__xludf.DUMMYFUNCTION("""COMPUTED_VALUE"""),"Tremorsense")</f>
        <v>Tremorsense</v>
      </c>
      <c r="W751" s="251" t="str">
        <f>IFERROR(__xludf.DUMMYFUNCTION("""COMPUTED_VALUE"""),"--")</f>
        <v>--</v>
      </c>
      <c r="X751" s="251" t="str">
        <f>IFERROR(__xludf.DUMMYFUNCTION("""COMPUTED_VALUE"""),"--")</f>
        <v>--</v>
      </c>
      <c r="Y751" s="251" t="str">
        <f>IFERROR(__xludf.DUMMYFUNCTION("""COMPUTED_VALUE"""),"--")</f>
        <v>--</v>
      </c>
      <c r="Z751" s="251" t="str">
        <f>IFERROR(__xludf.DUMMYFUNCTION("""COMPUTED_VALUE"""),"--")</f>
        <v>--</v>
      </c>
      <c r="AA751" s="251" t="str">
        <f>IFERROR(__xludf.DUMMYFUNCTION("""COMPUTED_VALUE"""),"--")</f>
        <v>--</v>
      </c>
      <c r="AB751" s="251" t="str">
        <f>IFERROR(__xludf.DUMMYFUNCTION("""COMPUTED_VALUE"""),"--")</f>
        <v>--</v>
      </c>
      <c r="AC751" s="251" t="str">
        <f>IFERROR(__xludf.DUMMYFUNCTION("""COMPUTED_VALUE"""),"--")</f>
        <v>--</v>
      </c>
      <c r="AD751" s="251">
        <f>IFERROR(__xludf.DUMMYFUNCTION("""COMPUTED_VALUE"""),2.0)</f>
        <v>2</v>
      </c>
      <c r="AE751" s="251" t="str">
        <f>IFERROR(__xludf.DUMMYFUNCTION("""COMPUTED_VALUE"""),"Herbivore")</f>
        <v>Herbivore</v>
      </c>
    </row>
    <row r="752">
      <c r="A752" s="251" t="str">
        <f>IFERROR(__xludf.DUMMYFUNCTION("""COMPUTED_VALUE"""),"Dugtrio")</f>
        <v>Dugtrio</v>
      </c>
      <c r="B752" s="251" t="str">
        <f>IFERROR(__xludf.DUMMYFUNCTION("""COMPUTED_VALUE"""),"Ground")</f>
        <v>Ground</v>
      </c>
      <c r="C752" s="251" t="str">
        <f>IFERROR(__xludf.DUMMYFUNCTION("""COMPUTED_VALUE"""),"None")</f>
        <v>None</v>
      </c>
      <c r="D752" s="251">
        <f>IFERROR(__xludf.DUMMYFUNCTION("""COMPUTED_VALUE"""),4.0)</f>
        <v>4</v>
      </c>
      <c r="E752" s="251">
        <f>IFERROR(__xludf.DUMMYFUNCTION("""COMPUTED_VALUE"""),10.0)</f>
        <v>10</v>
      </c>
      <c r="F752" s="251">
        <f>IFERROR(__xludf.DUMMYFUNCTION("""COMPUTED_VALUE"""),5.0)</f>
        <v>5</v>
      </c>
      <c r="G752" s="251">
        <f>IFERROR(__xludf.DUMMYFUNCTION("""COMPUTED_VALUE"""),5.0)</f>
        <v>5</v>
      </c>
      <c r="H752" s="251">
        <f>IFERROR(__xludf.DUMMYFUNCTION("""COMPUTED_VALUE"""),7.0)</f>
        <v>7</v>
      </c>
      <c r="I752" s="251">
        <f>IFERROR(__xludf.DUMMYFUNCTION("""COMPUTED_VALUE"""),12.0)</f>
        <v>12</v>
      </c>
      <c r="J752" s="251">
        <f>IFERROR(__xludf.DUMMYFUNCTION("""COMPUTED_VALUE"""),4.0)</f>
        <v>4</v>
      </c>
      <c r="K752" s="251" t="str">
        <f>IFERROR(__xludf.DUMMYFUNCTION("""COMPUTED_VALUE"""),"Small")</f>
        <v>Small</v>
      </c>
      <c r="L752" s="251">
        <f>IFERROR(__xludf.DUMMYFUNCTION("""COMPUTED_VALUE"""),3.0)</f>
        <v>3</v>
      </c>
      <c r="M752" s="251" t="str">
        <f>IFERROR(__xludf.DUMMYFUNCTION("""COMPUTED_VALUE"""),"Cave, Desert")</f>
        <v>Cave, Desert</v>
      </c>
      <c r="N752" s="251" t="str">
        <f>IFERROR(__xludf.DUMMYFUNCTION("""COMPUTED_VALUE"""),"Burrower")</f>
        <v>Burrower</v>
      </c>
      <c r="O752" s="251" t="str">
        <f>IFERROR(__xludf.DUMMYFUNCTION("""COMPUTED_VALUE"""),"Grounded")</f>
        <v>Grounded</v>
      </c>
      <c r="P752" s="251" t="str">
        <f>IFERROR(__xludf.DUMMYFUNCTION("""COMPUTED_VALUE"""),"Quick")</f>
        <v>Quick</v>
      </c>
      <c r="Q752" s="251" t="str">
        <f>IFERROR(__xludf.DUMMYFUNCTION("""COMPUTED_VALUE"""),"--")</f>
        <v>--</v>
      </c>
      <c r="R752" s="251" t="str">
        <f>IFERROR(__xludf.DUMMYFUNCTION("""COMPUTED_VALUE"""),"Groundshaper")</f>
        <v>Groundshaper</v>
      </c>
      <c r="S752" s="251" t="str">
        <f>IFERROR(__xludf.DUMMYFUNCTION("""COMPUTED_VALUE"""),"Underdog")</f>
        <v>Underdog</v>
      </c>
      <c r="T752" s="251" t="str">
        <f>IFERROR(__xludf.DUMMYFUNCTION("""COMPUTED_VALUE"""),"--")</f>
        <v>--</v>
      </c>
      <c r="U752" s="251" t="str">
        <f>IFERROR(__xludf.DUMMYFUNCTION("""COMPUTED_VALUE"""),"--")</f>
        <v>--</v>
      </c>
      <c r="V752" s="251" t="str">
        <f>IFERROR(__xludf.DUMMYFUNCTION("""COMPUTED_VALUE"""),"Tremorsense")</f>
        <v>Tremorsense</v>
      </c>
      <c r="W752" s="251" t="str">
        <f>IFERROR(__xludf.DUMMYFUNCTION("""COMPUTED_VALUE"""),"--")</f>
        <v>--</v>
      </c>
      <c r="X752" s="251" t="str">
        <f>IFERROR(__xludf.DUMMYFUNCTION("""COMPUTED_VALUE"""),"--")</f>
        <v>--</v>
      </c>
      <c r="Y752" s="251" t="str">
        <f>IFERROR(__xludf.DUMMYFUNCTION("""COMPUTED_VALUE"""),"--")</f>
        <v>--</v>
      </c>
      <c r="Z752" s="251" t="str">
        <f>IFERROR(__xludf.DUMMYFUNCTION("""COMPUTED_VALUE"""),"--")</f>
        <v>--</v>
      </c>
      <c r="AA752" s="251" t="str">
        <f>IFERROR(__xludf.DUMMYFUNCTION("""COMPUTED_VALUE"""),"--")</f>
        <v>--</v>
      </c>
      <c r="AB752" s="251" t="str">
        <f>IFERROR(__xludf.DUMMYFUNCTION("""COMPUTED_VALUE"""),"--")</f>
        <v>--</v>
      </c>
      <c r="AC752" s="251" t="str">
        <f>IFERROR(__xludf.DUMMYFUNCTION("""COMPUTED_VALUE"""),"--")</f>
        <v>--</v>
      </c>
      <c r="AD752" s="251">
        <f>IFERROR(__xludf.DUMMYFUNCTION("""COMPUTED_VALUE"""),3.0)</f>
        <v>3</v>
      </c>
      <c r="AE752" s="251" t="str">
        <f>IFERROR(__xludf.DUMMYFUNCTION("""COMPUTED_VALUE"""),"Herbivore")</f>
        <v>Herbivore</v>
      </c>
    </row>
    <row r="753">
      <c r="A753" s="251" t="str">
        <f>IFERROR(__xludf.DUMMYFUNCTION("""COMPUTED_VALUE"""),"Cubone")</f>
        <v>Cubone</v>
      </c>
      <c r="B753" s="251" t="str">
        <f>IFERROR(__xludf.DUMMYFUNCTION("""COMPUTED_VALUE"""),"Ground")</f>
        <v>Ground</v>
      </c>
      <c r="C753" s="251" t="str">
        <f>IFERROR(__xludf.DUMMYFUNCTION("""COMPUTED_VALUE"""),"None")</f>
        <v>None</v>
      </c>
      <c r="D753" s="251">
        <f>IFERROR(__xludf.DUMMYFUNCTION("""COMPUTED_VALUE"""),5.0)</f>
        <v>5</v>
      </c>
      <c r="E753" s="251">
        <f>IFERROR(__xludf.DUMMYFUNCTION("""COMPUTED_VALUE"""),5.0)</f>
        <v>5</v>
      </c>
      <c r="F753" s="251">
        <f>IFERROR(__xludf.DUMMYFUNCTION("""COMPUTED_VALUE"""),10.0)</f>
        <v>10</v>
      </c>
      <c r="G753" s="251">
        <f>IFERROR(__xludf.DUMMYFUNCTION("""COMPUTED_VALUE"""),4.0)</f>
        <v>4</v>
      </c>
      <c r="H753" s="251">
        <f>IFERROR(__xludf.DUMMYFUNCTION("""COMPUTED_VALUE"""),5.0)</f>
        <v>5</v>
      </c>
      <c r="I753" s="251">
        <f>IFERROR(__xludf.DUMMYFUNCTION("""COMPUTED_VALUE"""),4.0)</f>
        <v>4</v>
      </c>
      <c r="J753" s="251">
        <f>IFERROR(__xludf.DUMMYFUNCTION("""COMPUTED_VALUE"""),2.0)</f>
        <v>2</v>
      </c>
      <c r="K753" s="251" t="str">
        <f>IFERROR(__xludf.DUMMYFUNCTION("""COMPUTED_VALUE"""),"Small")</f>
        <v>Small</v>
      </c>
      <c r="L753" s="251">
        <f>IFERROR(__xludf.DUMMYFUNCTION("""COMPUTED_VALUE"""),1.0)</f>
        <v>1</v>
      </c>
      <c r="M753" s="251" t="str">
        <f>IFERROR(__xludf.DUMMYFUNCTION("""COMPUTED_VALUE"""),"Cave, Grasslands")</f>
        <v>Cave, Grasslands</v>
      </c>
      <c r="N753" s="251" t="str">
        <f>IFERROR(__xludf.DUMMYFUNCTION("""COMPUTED_VALUE"""),"--")</f>
        <v>--</v>
      </c>
      <c r="O753" s="251" t="str">
        <f>IFERROR(__xludf.DUMMYFUNCTION("""COMPUTED_VALUE"""),"--")</f>
        <v>--</v>
      </c>
      <c r="P753" s="251" t="str">
        <f>IFERROR(__xludf.DUMMYFUNCTION("""COMPUTED_VALUE"""),"--")</f>
        <v>--</v>
      </c>
      <c r="Q753" s="251" t="str">
        <f>IFERROR(__xludf.DUMMYFUNCTION("""COMPUTED_VALUE"""),"--")</f>
        <v>--</v>
      </c>
      <c r="R753" s="251" t="str">
        <f>IFERROR(__xludf.DUMMYFUNCTION("""COMPUTED_VALUE"""),"Darkvision")</f>
        <v>Darkvision</v>
      </c>
      <c r="S753" s="251" t="str">
        <f>IFERROR(__xludf.DUMMYFUNCTION("""COMPUTED_VALUE"""),"Underdog")</f>
        <v>Underdog</v>
      </c>
      <c r="T753" s="251" t="str">
        <f>IFERROR(__xludf.DUMMYFUNCTION("""COMPUTED_VALUE"""),"Wielder (Martial, Melee, Small)")</f>
        <v>Wielder (Martial, Melee, Small)</v>
      </c>
      <c r="U753" s="251" t="str">
        <f>IFERROR(__xludf.DUMMYFUNCTION("""COMPUTED_VALUE"""),"--")</f>
        <v>--</v>
      </c>
      <c r="V753" s="251" t="str">
        <f>IFERROR(__xludf.DUMMYFUNCTION("""COMPUTED_VALUE"""),"--")</f>
        <v>--</v>
      </c>
      <c r="W753" s="251" t="str">
        <f>IFERROR(__xludf.DUMMYFUNCTION("""COMPUTED_VALUE"""),"--")</f>
        <v>--</v>
      </c>
      <c r="X753" s="251" t="str">
        <f>IFERROR(__xludf.DUMMYFUNCTION("""COMPUTED_VALUE"""),"--")</f>
        <v>--</v>
      </c>
      <c r="Y753" s="251" t="str">
        <f>IFERROR(__xludf.DUMMYFUNCTION("""COMPUTED_VALUE"""),"--")</f>
        <v>--</v>
      </c>
      <c r="Z753" s="251" t="str">
        <f>IFERROR(__xludf.DUMMYFUNCTION("""COMPUTED_VALUE"""),"--")</f>
        <v>--</v>
      </c>
      <c r="AA753" s="251" t="str">
        <f>IFERROR(__xludf.DUMMYFUNCTION("""COMPUTED_VALUE"""),"--")</f>
        <v>--</v>
      </c>
      <c r="AB753" s="251" t="str">
        <f>IFERROR(__xludf.DUMMYFUNCTION("""COMPUTED_VALUE"""),"--")</f>
        <v>--</v>
      </c>
      <c r="AC753" s="251" t="str">
        <f>IFERROR(__xludf.DUMMYFUNCTION("""COMPUTED_VALUE"""),"--")</f>
        <v>--</v>
      </c>
      <c r="AD753" s="251">
        <f>IFERROR(__xludf.DUMMYFUNCTION("""COMPUTED_VALUE"""),2.0)</f>
        <v>2</v>
      </c>
      <c r="AE753" s="251" t="str">
        <f>IFERROR(__xludf.DUMMYFUNCTION("""COMPUTED_VALUE"""),"Herbivore")</f>
        <v>Herbivore</v>
      </c>
    </row>
    <row r="754">
      <c r="A754" s="251" t="str">
        <f>IFERROR(__xludf.DUMMYFUNCTION("""COMPUTED_VALUE"""),"Marowak")</f>
        <v>Marowak</v>
      </c>
      <c r="B754" s="251" t="str">
        <f>IFERROR(__xludf.DUMMYFUNCTION("""COMPUTED_VALUE"""),"Ground")</f>
        <v>Ground</v>
      </c>
      <c r="C754" s="251" t="str">
        <f>IFERROR(__xludf.DUMMYFUNCTION("""COMPUTED_VALUE"""),"None")</f>
        <v>None</v>
      </c>
      <c r="D754" s="251">
        <f>IFERROR(__xludf.DUMMYFUNCTION("""COMPUTED_VALUE"""),6.0)</f>
        <v>6</v>
      </c>
      <c r="E754" s="251">
        <f>IFERROR(__xludf.DUMMYFUNCTION("""COMPUTED_VALUE"""),8.0)</f>
        <v>8</v>
      </c>
      <c r="F754" s="251">
        <f>IFERROR(__xludf.DUMMYFUNCTION("""COMPUTED_VALUE"""),11.0)</f>
        <v>11</v>
      </c>
      <c r="G754" s="251">
        <f>IFERROR(__xludf.DUMMYFUNCTION("""COMPUTED_VALUE"""),5.0)</f>
        <v>5</v>
      </c>
      <c r="H754" s="251">
        <f>IFERROR(__xludf.DUMMYFUNCTION("""COMPUTED_VALUE"""),8.0)</f>
        <v>8</v>
      </c>
      <c r="I754" s="251">
        <f>IFERROR(__xludf.DUMMYFUNCTION("""COMPUTED_VALUE"""),5.0)</f>
        <v>5</v>
      </c>
      <c r="J754" s="251">
        <f>IFERROR(__xludf.DUMMYFUNCTION("""COMPUTED_VALUE"""),4.0)</f>
        <v>4</v>
      </c>
      <c r="K754" s="251" t="str">
        <f>IFERROR(__xludf.DUMMYFUNCTION("""COMPUTED_VALUE"""),"Medium")</f>
        <v>Medium</v>
      </c>
      <c r="L754" s="251">
        <f>IFERROR(__xludf.DUMMYFUNCTION("""COMPUTED_VALUE"""),3.0)</f>
        <v>3</v>
      </c>
      <c r="M754" s="251" t="str">
        <f>IFERROR(__xludf.DUMMYFUNCTION("""COMPUTED_VALUE"""),"Cave, Grasslands")</f>
        <v>Cave, Grasslands</v>
      </c>
      <c r="N754" s="251" t="str">
        <f>IFERROR(__xludf.DUMMYFUNCTION("""COMPUTED_VALUE"""),"--")</f>
        <v>--</v>
      </c>
      <c r="O754" s="251" t="str">
        <f>IFERROR(__xludf.DUMMYFUNCTION("""COMPUTED_VALUE"""),"--")</f>
        <v>--</v>
      </c>
      <c r="P754" s="251" t="str">
        <f>IFERROR(__xludf.DUMMYFUNCTION("""COMPUTED_VALUE"""),"--")</f>
        <v>--</v>
      </c>
      <c r="Q754" s="251" t="str">
        <f>IFERROR(__xludf.DUMMYFUNCTION("""COMPUTED_VALUE"""),"--")</f>
        <v>--</v>
      </c>
      <c r="R754" s="251" t="str">
        <f>IFERROR(__xludf.DUMMYFUNCTION("""COMPUTED_VALUE"""),"Darkvision")</f>
        <v>Darkvision</v>
      </c>
      <c r="S754" s="251" t="str">
        <f>IFERROR(__xludf.DUMMYFUNCTION("""COMPUTED_VALUE"""),"Underdog")</f>
        <v>Underdog</v>
      </c>
      <c r="T754" s="251" t="str">
        <f>IFERROR(__xludf.DUMMYFUNCTION("""COMPUTED_VALUE"""),"Wielder (Martial, Melee, Small)")</f>
        <v>Wielder (Martial, Melee, Small)</v>
      </c>
      <c r="U754" s="251" t="str">
        <f>IFERROR(__xludf.DUMMYFUNCTION("""COMPUTED_VALUE"""),"--")</f>
        <v>--</v>
      </c>
      <c r="V754" s="251" t="str">
        <f>IFERROR(__xludf.DUMMYFUNCTION("""COMPUTED_VALUE"""),"--")</f>
        <v>--</v>
      </c>
      <c r="W754" s="251" t="str">
        <f>IFERROR(__xludf.DUMMYFUNCTION("""COMPUTED_VALUE"""),"--")</f>
        <v>--</v>
      </c>
      <c r="X754" s="251" t="str">
        <f>IFERROR(__xludf.DUMMYFUNCTION("""COMPUTED_VALUE"""),"--")</f>
        <v>--</v>
      </c>
      <c r="Y754" s="251" t="str">
        <f>IFERROR(__xludf.DUMMYFUNCTION("""COMPUTED_VALUE"""),"--")</f>
        <v>--</v>
      </c>
      <c r="Z754" s="251" t="str">
        <f>IFERROR(__xludf.DUMMYFUNCTION("""COMPUTED_VALUE"""),"--")</f>
        <v>--</v>
      </c>
      <c r="AA754" s="251" t="str">
        <f>IFERROR(__xludf.DUMMYFUNCTION("""COMPUTED_VALUE"""),"--")</f>
        <v>--</v>
      </c>
      <c r="AB754" s="251" t="str">
        <f>IFERROR(__xludf.DUMMYFUNCTION("""COMPUTED_VALUE"""),"--")</f>
        <v>--</v>
      </c>
      <c r="AC754" s="251" t="str">
        <f>IFERROR(__xludf.DUMMYFUNCTION("""COMPUTED_VALUE"""),"--")</f>
        <v>--</v>
      </c>
      <c r="AD754" s="251">
        <f>IFERROR(__xludf.DUMMYFUNCTION("""COMPUTED_VALUE"""),3.0)</f>
        <v>3</v>
      </c>
      <c r="AE754" s="251" t="str">
        <f>IFERROR(__xludf.DUMMYFUNCTION("""COMPUTED_VALUE"""),"Herbivore")</f>
        <v>Herbivore</v>
      </c>
    </row>
    <row r="755">
      <c r="A755" s="251" t="str">
        <f>IFERROR(__xludf.DUMMYFUNCTION("""COMPUTED_VALUE"""),"Alolan Marowak")</f>
        <v>Alolan Marowak</v>
      </c>
      <c r="B755" s="251" t="str">
        <f>IFERROR(__xludf.DUMMYFUNCTION("""COMPUTED_VALUE"""),"Fire")</f>
        <v>Fire</v>
      </c>
      <c r="C755" s="251" t="str">
        <f>IFERROR(__xludf.DUMMYFUNCTION("""COMPUTED_VALUE"""),"Ghost")</f>
        <v>Ghost</v>
      </c>
      <c r="D755" s="251">
        <f>IFERROR(__xludf.DUMMYFUNCTION("""COMPUTED_VALUE"""),6.0)</f>
        <v>6</v>
      </c>
      <c r="E755" s="251">
        <f>IFERROR(__xludf.DUMMYFUNCTION("""COMPUTED_VALUE"""),8.0)</f>
        <v>8</v>
      </c>
      <c r="F755" s="251">
        <f>IFERROR(__xludf.DUMMYFUNCTION("""COMPUTED_VALUE"""),11.0)</f>
        <v>11</v>
      </c>
      <c r="G755" s="251">
        <f>IFERROR(__xludf.DUMMYFUNCTION("""COMPUTED_VALUE"""),5.0)</f>
        <v>5</v>
      </c>
      <c r="H755" s="251">
        <f>IFERROR(__xludf.DUMMYFUNCTION("""COMPUTED_VALUE"""),8.0)</f>
        <v>8</v>
      </c>
      <c r="I755" s="251">
        <f>IFERROR(__xludf.DUMMYFUNCTION("""COMPUTED_VALUE"""),5.0)</f>
        <v>5</v>
      </c>
      <c r="J755" s="251">
        <f>IFERROR(__xludf.DUMMYFUNCTION("""COMPUTED_VALUE"""),4.0)</f>
        <v>4</v>
      </c>
      <c r="K755" s="251" t="str">
        <f>IFERROR(__xludf.DUMMYFUNCTION("""COMPUTED_VALUE"""),"Medium")</f>
        <v>Medium</v>
      </c>
      <c r="L755" s="251">
        <f>IFERROR(__xludf.DUMMYFUNCTION("""COMPUTED_VALUE"""),3.0)</f>
        <v>3</v>
      </c>
      <c r="M755" s="251" t="str">
        <f>IFERROR(__xludf.DUMMYFUNCTION("""COMPUTED_VALUE"""),"Cave, Mountain")</f>
        <v>Cave, Mountain</v>
      </c>
      <c r="N755" s="251" t="str">
        <f>IFERROR(__xludf.DUMMYFUNCTION("""COMPUTED_VALUE"""),"--")</f>
        <v>--</v>
      </c>
      <c r="O755" s="251" t="str">
        <f>IFERROR(__xludf.DUMMYFUNCTION("""COMPUTED_VALUE"""),"--")</f>
        <v>--</v>
      </c>
      <c r="P755" s="251" t="str">
        <f>IFERROR(__xludf.DUMMYFUNCTION("""COMPUTED_VALUE"""),"--")</f>
        <v>--</v>
      </c>
      <c r="Q755" s="251" t="str">
        <f>IFERROR(__xludf.DUMMYFUNCTION("""COMPUTED_VALUE"""),"--")</f>
        <v>--</v>
      </c>
      <c r="R755" s="251" t="str">
        <f>IFERROR(__xludf.DUMMYFUNCTION("""COMPUTED_VALUE"""),"Darkvision")</f>
        <v>Darkvision</v>
      </c>
      <c r="S755" s="251" t="str">
        <f>IFERROR(__xludf.DUMMYFUNCTION("""COMPUTED_VALUE"""),"Underdog")</f>
        <v>Underdog</v>
      </c>
      <c r="T755" s="251" t="str">
        <f>IFERROR(__xludf.DUMMYFUNCTION("""COMPUTED_VALUE"""),"Wielder (Melee)")</f>
        <v>Wielder (Melee)</v>
      </c>
      <c r="U755" s="251" t="str">
        <f>IFERROR(__xludf.DUMMYFUNCTION("""COMPUTED_VALUE"""),"--")</f>
        <v>--</v>
      </c>
      <c r="V755" s="251" t="str">
        <f>IFERROR(__xludf.DUMMYFUNCTION("""COMPUTED_VALUE"""),"Glow")</f>
        <v>Glow</v>
      </c>
      <c r="W755" s="251" t="str">
        <f>IFERROR(__xludf.DUMMYFUNCTION("""COMPUTED_VALUE"""),"--")</f>
        <v>--</v>
      </c>
      <c r="X755" s="251" t="str">
        <f>IFERROR(__xludf.DUMMYFUNCTION("""COMPUTED_VALUE"""),"--")</f>
        <v>--</v>
      </c>
      <c r="Y755" s="251" t="str">
        <f>IFERROR(__xludf.DUMMYFUNCTION("""COMPUTED_VALUE"""),"--")</f>
        <v>--</v>
      </c>
      <c r="Z755" s="251" t="str">
        <f>IFERROR(__xludf.DUMMYFUNCTION("""COMPUTED_VALUE"""),"--")</f>
        <v>--</v>
      </c>
      <c r="AA755" s="251" t="str">
        <f>IFERROR(__xludf.DUMMYFUNCTION("""COMPUTED_VALUE"""),"--")</f>
        <v>--</v>
      </c>
      <c r="AB755" s="251" t="str">
        <f>IFERROR(__xludf.DUMMYFUNCTION("""COMPUTED_VALUE"""),"--")</f>
        <v>--</v>
      </c>
      <c r="AC755" s="251" t="str">
        <f>IFERROR(__xludf.DUMMYFUNCTION("""COMPUTED_VALUE"""),"--")</f>
        <v>--</v>
      </c>
      <c r="AD755" s="251">
        <f>IFERROR(__xludf.DUMMYFUNCTION("""COMPUTED_VALUE"""),3.0)</f>
        <v>3</v>
      </c>
      <c r="AE755" s="251" t="str">
        <f>IFERROR(__xludf.DUMMYFUNCTION("""COMPUTED_VALUE"""),"Omnivore")</f>
        <v>Omnivore</v>
      </c>
    </row>
    <row r="756">
      <c r="A756" s="251" t="str">
        <f>IFERROR(__xludf.DUMMYFUNCTION("""COMPUTED_VALUE"""),"Gligar")</f>
        <v>Gligar</v>
      </c>
      <c r="B756" s="251" t="str">
        <f>IFERROR(__xludf.DUMMYFUNCTION("""COMPUTED_VALUE"""),"Ground")</f>
        <v>Ground</v>
      </c>
      <c r="C756" s="251" t="str">
        <f>IFERROR(__xludf.DUMMYFUNCTION("""COMPUTED_VALUE"""),"Flying")</f>
        <v>Flying</v>
      </c>
      <c r="D756" s="251">
        <f>IFERROR(__xludf.DUMMYFUNCTION("""COMPUTED_VALUE"""),7.0)</f>
        <v>7</v>
      </c>
      <c r="E756" s="251">
        <f>IFERROR(__xludf.DUMMYFUNCTION("""COMPUTED_VALUE"""),8.0)</f>
        <v>8</v>
      </c>
      <c r="F756" s="251">
        <f>IFERROR(__xludf.DUMMYFUNCTION("""COMPUTED_VALUE"""),11.0)</f>
        <v>11</v>
      </c>
      <c r="G756" s="251">
        <f>IFERROR(__xludf.DUMMYFUNCTION("""COMPUTED_VALUE"""),4.0)</f>
        <v>4</v>
      </c>
      <c r="H756" s="251">
        <f>IFERROR(__xludf.DUMMYFUNCTION("""COMPUTED_VALUE"""),7.0)</f>
        <v>7</v>
      </c>
      <c r="I756" s="251">
        <f>IFERROR(__xludf.DUMMYFUNCTION("""COMPUTED_VALUE"""),9.0)</f>
        <v>9</v>
      </c>
      <c r="J756" s="251">
        <f>IFERROR(__xludf.DUMMYFUNCTION("""COMPUTED_VALUE"""),3.0)</f>
        <v>3</v>
      </c>
      <c r="K756" s="251" t="str">
        <f>IFERROR(__xludf.DUMMYFUNCTION("""COMPUTED_VALUE"""),"Medium")</f>
        <v>Medium</v>
      </c>
      <c r="L756" s="251">
        <f>IFERROR(__xludf.DUMMYFUNCTION("""COMPUTED_VALUE"""),4.0)</f>
        <v>4</v>
      </c>
      <c r="M756" s="251" t="str">
        <f>IFERROR(__xludf.DUMMYFUNCTION("""COMPUTED_VALUE"""),"Mountain")</f>
        <v>Mountain</v>
      </c>
      <c r="N756" s="251" t="str">
        <f>IFERROR(__xludf.DUMMYFUNCTION("""COMPUTED_VALUE"""),"Climber")</f>
        <v>Climber</v>
      </c>
      <c r="O756" s="251" t="str">
        <f>IFERROR(__xludf.DUMMYFUNCTION("""COMPUTED_VALUE"""),"Glider")</f>
        <v>Glider</v>
      </c>
      <c r="P756" s="251" t="str">
        <f>IFERROR(__xludf.DUMMYFUNCTION("""COMPUTED_VALUE"""),"--")</f>
        <v>--</v>
      </c>
      <c r="Q756" s="251" t="str">
        <f>IFERROR(__xludf.DUMMYFUNCTION("""COMPUTED_VALUE"""),"--")</f>
        <v>--</v>
      </c>
      <c r="R756" s="251" t="str">
        <f>IFERROR(__xludf.DUMMYFUNCTION("""COMPUTED_VALUE"""),"--")</f>
        <v>--</v>
      </c>
      <c r="S756" s="251" t="str">
        <f>IFERROR(__xludf.DUMMYFUNCTION("""COMPUTED_VALUE"""),"--")</f>
        <v>--</v>
      </c>
      <c r="T756" s="251" t="str">
        <f>IFERROR(__xludf.DUMMYFUNCTION("""COMPUTED_VALUE"""),"--")</f>
        <v>--</v>
      </c>
      <c r="U756" s="251" t="str">
        <f>IFERROR(__xludf.DUMMYFUNCTION("""COMPUTED_VALUE"""),"--")</f>
        <v>--</v>
      </c>
      <c r="V756" s="251" t="str">
        <f>IFERROR(__xludf.DUMMYFUNCTION("""COMPUTED_VALUE"""),"--")</f>
        <v>--</v>
      </c>
      <c r="W756" s="251" t="str">
        <f>IFERROR(__xludf.DUMMYFUNCTION("""COMPUTED_VALUE"""),"--")</f>
        <v>--</v>
      </c>
      <c r="X756" s="251" t="str">
        <f>IFERROR(__xludf.DUMMYFUNCTION("""COMPUTED_VALUE"""),"--")</f>
        <v>--</v>
      </c>
      <c r="Y756" s="251" t="str">
        <f>IFERROR(__xludf.DUMMYFUNCTION("""COMPUTED_VALUE"""),"--")</f>
        <v>--</v>
      </c>
      <c r="Z756" s="251" t="str">
        <f>IFERROR(__xludf.DUMMYFUNCTION("""COMPUTED_VALUE"""),"--")</f>
        <v>--</v>
      </c>
      <c r="AA756" s="251" t="str">
        <f>IFERROR(__xludf.DUMMYFUNCTION("""COMPUTED_VALUE"""),"--")</f>
        <v>--</v>
      </c>
      <c r="AB756" s="251" t="str">
        <f>IFERROR(__xludf.DUMMYFUNCTION("""COMPUTED_VALUE"""),"--")</f>
        <v>--</v>
      </c>
      <c r="AC756" s="251" t="str">
        <f>IFERROR(__xludf.DUMMYFUNCTION("""COMPUTED_VALUE"""),"--")</f>
        <v>--</v>
      </c>
      <c r="AD756" s="251">
        <f>IFERROR(__xludf.DUMMYFUNCTION("""COMPUTED_VALUE"""),2.0)</f>
        <v>2</v>
      </c>
      <c r="AE756" s="251" t="str">
        <f>IFERROR(__xludf.DUMMYFUNCTION("""COMPUTED_VALUE"""),"Carnivore")</f>
        <v>Carnivore</v>
      </c>
    </row>
    <row r="757">
      <c r="A757" s="251" t="str">
        <f>IFERROR(__xludf.DUMMYFUNCTION("""COMPUTED_VALUE"""),"Gliscor")</f>
        <v>Gliscor</v>
      </c>
      <c r="B757" s="251" t="str">
        <f>IFERROR(__xludf.DUMMYFUNCTION("""COMPUTED_VALUE"""),"Ground")</f>
        <v>Ground</v>
      </c>
      <c r="C757" s="251" t="str">
        <f>IFERROR(__xludf.DUMMYFUNCTION("""COMPUTED_VALUE"""),"Flying")</f>
        <v>Flying</v>
      </c>
      <c r="D757" s="251">
        <f>IFERROR(__xludf.DUMMYFUNCTION("""COMPUTED_VALUE"""),8.0)</f>
        <v>8</v>
      </c>
      <c r="E757" s="251">
        <f>IFERROR(__xludf.DUMMYFUNCTION("""COMPUTED_VALUE"""),10.0)</f>
        <v>10</v>
      </c>
      <c r="F757" s="251">
        <f>IFERROR(__xludf.DUMMYFUNCTION("""COMPUTED_VALUE"""),13.0)</f>
        <v>13</v>
      </c>
      <c r="G757" s="251">
        <f>IFERROR(__xludf.DUMMYFUNCTION("""COMPUTED_VALUE"""),5.0)</f>
        <v>5</v>
      </c>
      <c r="H757" s="251">
        <f>IFERROR(__xludf.DUMMYFUNCTION("""COMPUTED_VALUE"""),8.0)</f>
        <v>8</v>
      </c>
      <c r="I757" s="251">
        <f>IFERROR(__xludf.DUMMYFUNCTION("""COMPUTED_VALUE"""),10.0)</f>
        <v>10</v>
      </c>
      <c r="J757" s="251">
        <f>IFERROR(__xludf.DUMMYFUNCTION("""COMPUTED_VALUE"""),5.0)</f>
        <v>5</v>
      </c>
      <c r="K757" s="251" t="str">
        <f>IFERROR(__xludf.DUMMYFUNCTION("""COMPUTED_VALUE"""),"Large")</f>
        <v>Large</v>
      </c>
      <c r="L757" s="251">
        <f>IFERROR(__xludf.DUMMYFUNCTION("""COMPUTED_VALUE"""),3.0)</f>
        <v>3</v>
      </c>
      <c r="M757" s="251" t="str">
        <f>IFERROR(__xludf.DUMMYFUNCTION("""COMPUTED_VALUE"""),"Mountain")</f>
        <v>Mountain</v>
      </c>
      <c r="N757" s="251" t="str">
        <f>IFERROR(__xludf.DUMMYFUNCTION("""COMPUTED_VALUE"""),"Climber")</f>
        <v>Climber</v>
      </c>
      <c r="O757" s="251" t="str">
        <f>IFERROR(__xludf.DUMMYFUNCTION("""COMPUTED_VALUE"""),"Glider")</f>
        <v>Glider</v>
      </c>
      <c r="P757" s="251" t="str">
        <f>IFERROR(__xludf.DUMMYFUNCTION("""COMPUTED_VALUE"""),"--")</f>
        <v>--</v>
      </c>
      <c r="Q757" s="251" t="str">
        <f>IFERROR(__xludf.DUMMYFUNCTION("""COMPUTED_VALUE"""),"--")</f>
        <v>--</v>
      </c>
      <c r="R757" s="251" t="str">
        <f>IFERROR(__xludf.DUMMYFUNCTION("""COMPUTED_VALUE"""),"--")</f>
        <v>--</v>
      </c>
      <c r="S757" s="251" t="str">
        <f>IFERROR(__xludf.DUMMYFUNCTION("""COMPUTED_VALUE"""),"--")</f>
        <v>--</v>
      </c>
      <c r="T757" s="251" t="str">
        <f>IFERROR(__xludf.DUMMYFUNCTION("""COMPUTED_VALUE"""),"--")</f>
        <v>--</v>
      </c>
      <c r="U757" s="251" t="str">
        <f>IFERROR(__xludf.DUMMYFUNCTION("""COMPUTED_VALUE"""),"--")</f>
        <v>--</v>
      </c>
      <c r="V757" s="251" t="str">
        <f>IFERROR(__xludf.DUMMYFUNCTION("""COMPUTED_VALUE"""),"--")</f>
        <v>--</v>
      </c>
      <c r="W757" s="251" t="str">
        <f>IFERROR(__xludf.DUMMYFUNCTION("""COMPUTED_VALUE"""),"--")</f>
        <v>--</v>
      </c>
      <c r="X757" s="251" t="str">
        <f>IFERROR(__xludf.DUMMYFUNCTION("""COMPUTED_VALUE"""),"--")</f>
        <v>--</v>
      </c>
      <c r="Y757" s="251" t="str">
        <f>IFERROR(__xludf.DUMMYFUNCTION("""COMPUTED_VALUE"""),"--")</f>
        <v>--</v>
      </c>
      <c r="Z757" s="251" t="str">
        <f>IFERROR(__xludf.DUMMYFUNCTION("""COMPUTED_VALUE"""),"--")</f>
        <v>--</v>
      </c>
      <c r="AA757" s="251" t="str">
        <f>IFERROR(__xludf.DUMMYFUNCTION("""COMPUTED_VALUE"""),"--")</f>
        <v>--</v>
      </c>
      <c r="AB757" s="251" t="str">
        <f>IFERROR(__xludf.DUMMYFUNCTION("""COMPUTED_VALUE"""),"--")</f>
        <v>--</v>
      </c>
      <c r="AC757" s="251" t="str">
        <f>IFERROR(__xludf.DUMMYFUNCTION("""COMPUTED_VALUE"""),"--")</f>
        <v>--</v>
      </c>
      <c r="AD757" s="251">
        <f>IFERROR(__xludf.DUMMYFUNCTION("""COMPUTED_VALUE"""),3.0)</f>
        <v>3</v>
      </c>
      <c r="AE757" s="251" t="str">
        <f>IFERROR(__xludf.DUMMYFUNCTION("""COMPUTED_VALUE"""),"Carnivore")</f>
        <v>Carnivore</v>
      </c>
    </row>
    <row r="758">
      <c r="A758" s="251" t="str">
        <f>IFERROR(__xludf.DUMMYFUNCTION("""COMPUTED_VALUE"""),"Phanpy")</f>
        <v>Phanpy</v>
      </c>
      <c r="B758" s="251" t="str">
        <f>IFERROR(__xludf.DUMMYFUNCTION("""COMPUTED_VALUE"""),"Ground")</f>
        <v>Ground</v>
      </c>
      <c r="C758" s="251" t="str">
        <f>IFERROR(__xludf.DUMMYFUNCTION("""COMPUTED_VALUE"""),"None")</f>
        <v>None</v>
      </c>
      <c r="D758" s="251">
        <f>IFERROR(__xludf.DUMMYFUNCTION("""COMPUTED_VALUE"""),9.0)</f>
        <v>9</v>
      </c>
      <c r="E758" s="251">
        <f>IFERROR(__xludf.DUMMYFUNCTION("""COMPUTED_VALUE"""),6.0)</f>
        <v>6</v>
      </c>
      <c r="F758" s="251">
        <f>IFERROR(__xludf.DUMMYFUNCTION("""COMPUTED_VALUE"""),6.0)</f>
        <v>6</v>
      </c>
      <c r="G758" s="251">
        <f>IFERROR(__xludf.DUMMYFUNCTION("""COMPUTED_VALUE"""),4.0)</f>
        <v>4</v>
      </c>
      <c r="H758" s="251">
        <f>IFERROR(__xludf.DUMMYFUNCTION("""COMPUTED_VALUE"""),4.0)</f>
        <v>4</v>
      </c>
      <c r="I758" s="251">
        <f>IFERROR(__xludf.DUMMYFUNCTION("""COMPUTED_VALUE"""),4.0)</f>
        <v>4</v>
      </c>
      <c r="J758" s="251">
        <f>IFERROR(__xludf.DUMMYFUNCTION("""COMPUTED_VALUE"""),4.0)</f>
        <v>4</v>
      </c>
      <c r="K758" s="251" t="str">
        <f>IFERROR(__xludf.DUMMYFUNCTION("""COMPUTED_VALUE"""),"Small")</f>
        <v>Small</v>
      </c>
      <c r="L758" s="251">
        <f>IFERROR(__xludf.DUMMYFUNCTION("""COMPUTED_VALUE"""),3.0)</f>
        <v>3</v>
      </c>
      <c r="M758" s="251" t="str">
        <f>IFERROR(__xludf.DUMMYFUNCTION("""COMPUTED_VALUE"""),"Grasslands, Mountain")</f>
        <v>Grasslands, Mountain</v>
      </c>
      <c r="N758" s="251" t="str">
        <f>IFERROR(__xludf.DUMMYFUNCTION("""COMPUTED_VALUE"""),"--")</f>
        <v>--</v>
      </c>
      <c r="O758" s="251" t="str">
        <f>IFERROR(__xludf.DUMMYFUNCTION("""COMPUTED_VALUE"""),"--")</f>
        <v>--</v>
      </c>
      <c r="P758" s="251" t="str">
        <f>IFERROR(__xludf.DUMMYFUNCTION("""COMPUTED_VALUE"""),"--")</f>
        <v>--</v>
      </c>
      <c r="Q758" s="251" t="str">
        <f>IFERROR(__xludf.DUMMYFUNCTION("""COMPUTED_VALUE"""),"--")</f>
        <v>--</v>
      </c>
      <c r="R758" s="251" t="str">
        <f>IFERROR(__xludf.DUMMYFUNCTION("""COMPUTED_VALUE"""),"Underdog")</f>
        <v>Underdog</v>
      </c>
      <c r="S758" s="251" t="str">
        <f>IFERROR(__xludf.DUMMYFUNCTION("""COMPUTED_VALUE"""),"--")</f>
        <v>--</v>
      </c>
      <c r="T758" s="251" t="str">
        <f>IFERROR(__xludf.DUMMYFUNCTION("""COMPUTED_VALUE"""),"--")</f>
        <v>--</v>
      </c>
      <c r="U758" s="251" t="str">
        <f>IFERROR(__xludf.DUMMYFUNCTION("""COMPUTED_VALUE"""),"--")</f>
        <v>--</v>
      </c>
      <c r="V758" s="251" t="str">
        <f>IFERROR(__xludf.DUMMYFUNCTION("""COMPUTED_VALUE"""),"Tracker")</f>
        <v>Tracker</v>
      </c>
      <c r="W758" s="251" t="str">
        <f>IFERROR(__xludf.DUMMYFUNCTION("""COMPUTED_VALUE"""),"--")</f>
        <v>--</v>
      </c>
      <c r="X758" s="251" t="str">
        <f>IFERROR(__xludf.DUMMYFUNCTION("""COMPUTED_VALUE"""),"--")</f>
        <v>--</v>
      </c>
      <c r="Y758" s="251" t="str">
        <f>IFERROR(__xludf.DUMMYFUNCTION("""COMPUTED_VALUE"""),"--")</f>
        <v>--</v>
      </c>
      <c r="Z758" s="251" t="str">
        <f>IFERROR(__xludf.DUMMYFUNCTION("""COMPUTED_VALUE"""),"--")</f>
        <v>--</v>
      </c>
      <c r="AA758" s="251" t="str">
        <f>IFERROR(__xludf.DUMMYFUNCTION("""COMPUTED_VALUE"""),"--")</f>
        <v>--</v>
      </c>
      <c r="AB758" s="251" t="str">
        <f>IFERROR(__xludf.DUMMYFUNCTION("""COMPUTED_VALUE"""),"--")</f>
        <v>--</v>
      </c>
      <c r="AC758" s="251" t="str">
        <f>IFERROR(__xludf.DUMMYFUNCTION("""COMPUTED_VALUE"""),"--")</f>
        <v>--</v>
      </c>
      <c r="AD758" s="251">
        <f>IFERROR(__xludf.DUMMYFUNCTION("""COMPUTED_VALUE"""),2.0)</f>
        <v>2</v>
      </c>
      <c r="AE758" s="251" t="str">
        <f>IFERROR(__xludf.DUMMYFUNCTION("""COMPUTED_VALUE"""),"Herbivore")</f>
        <v>Herbivore</v>
      </c>
    </row>
    <row r="759">
      <c r="A759" s="251" t="str">
        <f>IFERROR(__xludf.DUMMYFUNCTION("""COMPUTED_VALUE"""),"Donphan")</f>
        <v>Donphan</v>
      </c>
      <c r="B759" s="251" t="str">
        <f>IFERROR(__xludf.DUMMYFUNCTION("""COMPUTED_VALUE"""),"Ground")</f>
        <v>Ground</v>
      </c>
      <c r="C759" s="251" t="str">
        <f>IFERROR(__xludf.DUMMYFUNCTION("""COMPUTED_VALUE"""),"None")</f>
        <v>None</v>
      </c>
      <c r="D759" s="251">
        <f>IFERROR(__xludf.DUMMYFUNCTION("""COMPUTED_VALUE"""),10.0)</f>
        <v>10</v>
      </c>
      <c r="E759" s="251">
        <f>IFERROR(__xludf.DUMMYFUNCTION("""COMPUTED_VALUE"""),12.0)</f>
        <v>12</v>
      </c>
      <c r="F759" s="251">
        <f>IFERROR(__xludf.DUMMYFUNCTION("""COMPUTED_VALUE"""),12.0)</f>
        <v>12</v>
      </c>
      <c r="G759" s="251">
        <f>IFERROR(__xludf.DUMMYFUNCTION("""COMPUTED_VALUE"""),6.0)</f>
        <v>6</v>
      </c>
      <c r="H759" s="251">
        <f>IFERROR(__xludf.DUMMYFUNCTION("""COMPUTED_VALUE"""),6.0)</f>
        <v>6</v>
      </c>
      <c r="I759" s="251">
        <f>IFERROR(__xludf.DUMMYFUNCTION("""COMPUTED_VALUE"""),5.0)</f>
        <v>5</v>
      </c>
      <c r="J759" s="251">
        <f>IFERROR(__xludf.DUMMYFUNCTION("""COMPUTED_VALUE"""),7.0)</f>
        <v>7</v>
      </c>
      <c r="K759" s="251" t="str">
        <f>IFERROR(__xludf.DUMMYFUNCTION("""COMPUTED_VALUE"""),"Medium")</f>
        <v>Medium</v>
      </c>
      <c r="L759" s="251">
        <f>IFERROR(__xludf.DUMMYFUNCTION("""COMPUTED_VALUE"""),5.0)</f>
        <v>5</v>
      </c>
      <c r="M759" s="251" t="str">
        <f>IFERROR(__xludf.DUMMYFUNCTION("""COMPUTED_VALUE"""),"Grasslands, Mountain")</f>
        <v>Grasslands, Mountain</v>
      </c>
      <c r="N759" s="251" t="str">
        <f>IFERROR(__xludf.DUMMYFUNCTION("""COMPUTED_VALUE"""),"Quick")</f>
        <v>Quick</v>
      </c>
      <c r="O759" s="251" t="str">
        <f>IFERROR(__xludf.DUMMYFUNCTION("""COMPUTED_VALUE"""),"--")</f>
        <v>--</v>
      </c>
      <c r="P759" s="251" t="str">
        <f>IFERROR(__xludf.DUMMYFUNCTION("""COMPUTED_VALUE"""),"--")</f>
        <v>--</v>
      </c>
      <c r="Q759" s="251" t="str">
        <f>IFERROR(__xludf.DUMMYFUNCTION("""COMPUTED_VALUE"""),"--")</f>
        <v>--</v>
      </c>
      <c r="R759" s="251" t="str">
        <f>IFERROR(__xludf.DUMMYFUNCTION("""COMPUTED_VALUE"""),"Mountable")</f>
        <v>Mountable</v>
      </c>
      <c r="S759" s="251" t="str">
        <f>IFERROR(__xludf.DUMMYFUNCTION("""COMPUTED_VALUE"""),"--")</f>
        <v>--</v>
      </c>
      <c r="T759" s="251" t="str">
        <f>IFERROR(__xludf.DUMMYFUNCTION("""COMPUTED_VALUE"""),"--")</f>
        <v>--</v>
      </c>
      <c r="U759" s="251" t="str">
        <f>IFERROR(__xludf.DUMMYFUNCTION("""COMPUTED_VALUE"""),"--")</f>
        <v>--</v>
      </c>
      <c r="V759" s="251" t="str">
        <f>IFERROR(__xludf.DUMMYFUNCTION("""COMPUTED_VALUE"""),"Tracker")</f>
        <v>Tracker</v>
      </c>
      <c r="W759" s="251" t="str">
        <f>IFERROR(__xludf.DUMMYFUNCTION("""COMPUTED_VALUE"""),"--")</f>
        <v>--</v>
      </c>
      <c r="X759" s="251" t="str">
        <f>IFERROR(__xludf.DUMMYFUNCTION("""COMPUTED_VALUE"""),"--")</f>
        <v>--</v>
      </c>
      <c r="Y759" s="251" t="str">
        <f>IFERROR(__xludf.DUMMYFUNCTION("""COMPUTED_VALUE"""),"--")</f>
        <v>--</v>
      </c>
      <c r="Z759" s="251" t="str">
        <f>IFERROR(__xludf.DUMMYFUNCTION("""COMPUTED_VALUE"""),"--")</f>
        <v>--</v>
      </c>
      <c r="AA759" s="251" t="str">
        <f>IFERROR(__xludf.DUMMYFUNCTION("""COMPUTED_VALUE"""),"--")</f>
        <v>--</v>
      </c>
      <c r="AB759" s="251" t="str">
        <f>IFERROR(__xludf.DUMMYFUNCTION("""COMPUTED_VALUE"""),"--")</f>
        <v>--</v>
      </c>
      <c r="AC759" s="251" t="str">
        <f>IFERROR(__xludf.DUMMYFUNCTION("""COMPUTED_VALUE"""),"--")</f>
        <v>--</v>
      </c>
      <c r="AD759" s="251">
        <f>IFERROR(__xludf.DUMMYFUNCTION("""COMPUTED_VALUE"""),3.0)</f>
        <v>3</v>
      </c>
      <c r="AE759" s="251" t="str">
        <f>IFERROR(__xludf.DUMMYFUNCTION("""COMPUTED_VALUE"""),"Omnivore")</f>
        <v>Omnivore</v>
      </c>
    </row>
    <row r="760">
      <c r="A760" s="251" t="str">
        <f>IFERROR(__xludf.DUMMYFUNCTION("""COMPUTED_VALUE"""),"Baltoy")</f>
        <v>Baltoy</v>
      </c>
      <c r="B760" s="251" t="str">
        <f>IFERROR(__xludf.DUMMYFUNCTION("""COMPUTED_VALUE"""),"Ground")</f>
        <v>Ground</v>
      </c>
      <c r="C760" s="251" t="str">
        <f>IFERROR(__xludf.DUMMYFUNCTION("""COMPUTED_VALUE"""),"Psychic")</f>
        <v>Psychic</v>
      </c>
      <c r="D760" s="251">
        <f>IFERROR(__xludf.DUMMYFUNCTION("""COMPUTED_VALUE"""),4.0)</f>
        <v>4</v>
      </c>
      <c r="E760" s="251">
        <f>IFERROR(__xludf.DUMMYFUNCTION("""COMPUTED_VALUE"""),4.0)</f>
        <v>4</v>
      </c>
      <c r="F760" s="251">
        <f>IFERROR(__xludf.DUMMYFUNCTION("""COMPUTED_VALUE"""),6.0)</f>
        <v>6</v>
      </c>
      <c r="G760" s="251">
        <f>IFERROR(__xludf.DUMMYFUNCTION("""COMPUTED_VALUE"""),4.0)</f>
        <v>4</v>
      </c>
      <c r="H760" s="251">
        <f>IFERROR(__xludf.DUMMYFUNCTION("""COMPUTED_VALUE"""),7.0)</f>
        <v>7</v>
      </c>
      <c r="I760" s="251">
        <f>IFERROR(__xludf.DUMMYFUNCTION("""COMPUTED_VALUE"""),6.0)</f>
        <v>6</v>
      </c>
      <c r="J760" s="251">
        <f>IFERROR(__xludf.DUMMYFUNCTION("""COMPUTED_VALUE"""),5.0)</f>
        <v>5</v>
      </c>
      <c r="K760" s="251" t="str">
        <f>IFERROR(__xludf.DUMMYFUNCTION("""COMPUTED_VALUE"""),"Small")</f>
        <v>Small</v>
      </c>
      <c r="L760" s="251">
        <f>IFERROR(__xludf.DUMMYFUNCTION("""COMPUTED_VALUE"""),2.0)</f>
        <v>2</v>
      </c>
      <c r="M760" s="251" t="str">
        <f>IFERROR(__xludf.DUMMYFUNCTION("""COMPUTED_VALUE"""),"Cave, Desert")</f>
        <v>Cave, Desert</v>
      </c>
      <c r="N760" s="251" t="str">
        <f>IFERROR(__xludf.DUMMYFUNCTION("""COMPUTED_VALUE"""),"Flier")</f>
        <v>Flier</v>
      </c>
      <c r="O760" s="251" t="str">
        <f>IFERROR(__xludf.DUMMYFUNCTION("""COMPUTED_VALUE"""),"--")</f>
        <v>--</v>
      </c>
      <c r="P760" s="251" t="str">
        <f>IFERROR(__xludf.DUMMYFUNCTION("""COMPUTED_VALUE"""),"--")</f>
        <v>--</v>
      </c>
      <c r="Q760" s="251" t="str">
        <f>IFERROR(__xludf.DUMMYFUNCTION("""COMPUTED_VALUE"""),"--")</f>
        <v>--</v>
      </c>
      <c r="R760" s="251" t="str">
        <f>IFERROR(__xludf.DUMMYFUNCTION("""COMPUTED_VALUE"""),"Underdog")</f>
        <v>Underdog</v>
      </c>
      <c r="S760" s="251" t="str">
        <f>IFERROR(__xludf.DUMMYFUNCTION("""COMPUTED_VALUE"""),"--")</f>
        <v>--</v>
      </c>
      <c r="T760" s="251" t="str">
        <f>IFERROR(__xludf.DUMMYFUNCTION("""COMPUTED_VALUE"""),"--")</f>
        <v>--</v>
      </c>
      <c r="U760" s="251" t="str">
        <f>IFERROR(__xludf.DUMMYFUNCTION("""COMPUTED_VALUE"""),"--")</f>
        <v>--</v>
      </c>
      <c r="V760" s="251" t="str">
        <f>IFERROR(__xludf.DUMMYFUNCTION("""COMPUTED_VALUE"""),"Breathless")</f>
        <v>Breathless</v>
      </c>
      <c r="W760" s="251" t="str">
        <f>IFERROR(__xludf.DUMMYFUNCTION("""COMPUTED_VALUE"""),"Dead Silent")</f>
        <v>Dead Silent</v>
      </c>
      <c r="X760" s="251" t="str">
        <f>IFERROR(__xludf.DUMMYFUNCTION("""COMPUTED_VALUE"""),"--")</f>
        <v>--</v>
      </c>
      <c r="Y760" s="251" t="str">
        <f>IFERROR(__xludf.DUMMYFUNCTION("""COMPUTED_VALUE"""),"--")</f>
        <v>--</v>
      </c>
      <c r="Z760" s="251" t="str">
        <f>IFERROR(__xludf.DUMMYFUNCTION("""COMPUTED_VALUE"""),"--")</f>
        <v>--</v>
      </c>
      <c r="AA760" s="251" t="str">
        <f>IFERROR(__xludf.DUMMYFUNCTION("""COMPUTED_VALUE"""),"--")</f>
        <v>--</v>
      </c>
      <c r="AB760" s="251" t="str">
        <f>IFERROR(__xludf.DUMMYFUNCTION("""COMPUTED_VALUE"""),"--")</f>
        <v>--</v>
      </c>
      <c r="AC760" s="251" t="str">
        <f>IFERROR(__xludf.DUMMYFUNCTION("""COMPUTED_VALUE"""),"--")</f>
        <v>--</v>
      </c>
      <c r="AD760" s="251">
        <f>IFERROR(__xludf.DUMMYFUNCTION("""COMPUTED_VALUE"""),2.0)</f>
        <v>2</v>
      </c>
      <c r="AE760" s="251" t="str">
        <f>IFERROR(__xludf.DUMMYFUNCTION("""COMPUTED_VALUE"""),"Terravore")</f>
        <v>Terravore</v>
      </c>
    </row>
    <row r="761">
      <c r="A761" s="251" t="str">
        <f>IFERROR(__xludf.DUMMYFUNCTION("""COMPUTED_VALUE"""),"Claydol")</f>
        <v>Claydol</v>
      </c>
      <c r="B761" s="251" t="str">
        <f>IFERROR(__xludf.DUMMYFUNCTION("""COMPUTED_VALUE"""),"Ground")</f>
        <v>Ground</v>
      </c>
      <c r="C761" s="251" t="str">
        <f>IFERROR(__xludf.DUMMYFUNCTION("""COMPUTED_VALUE"""),"Psychic")</f>
        <v>Psychic</v>
      </c>
      <c r="D761" s="251">
        <f>IFERROR(__xludf.DUMMYFUNCTION("""COMPUTED_VALUE"""),6.0)</f>
        <v>6</v>
      </c>
      <c r="E761" s="251">
        <f>IFERROR(__xludf.DUMMYFUNCTION("""COMPUTED_VALUE"""),7.0)</f>
        <v>7</v>
      </c>
      <c r="F761" s="251">
        <f>IFERROR(__xludf.DUMMYFUNCTION("""COMPUTED_VALUE"""),11.0)</f>
        <v>11</v>
      </c>
      <c r="G761" s="251">
        <f>IFERROR(__xludf.DUMMYFUNCTION("""COMPUTED_VALUE"""),7.0)</f>
        <v>7</v>
      </c>
      <c r="H761" s="251">
        <f>IFERROR(__xludf.DUMMYFUNCTION("""COMPUTED_VALUE"""),12.0)</f>
        <v>12</v>
      </c>
      <c r="I761" s="251">
        <f>IFERROR(__xludf.DUMMYFUNCTION("""COMPUTED_VALUE"""),8.0)</f>
        <v>8</v>
      </c>
      <c r="J761" s="251">
        <f>IFERROR(__xludf.DUMMYFUNCTION("""COMPUTED_VALUE"""),6.0)</f>
        <v>6</v>
      </c>
      <c r="K761" s="251" t="str">
        <f>IFERROR(__xludf.DUMMYFUNCTION("""COMPUTED_VALUE"""),"Medium")</f>
        <v>Medium</v>
      </c>
      <c r="L761" s="251">
        <f>IFERROR(__xludf.DUMMYFUNCTION("""COMPUTED_VALUE"""),5.0)</f>
        <v>5</v>
      </c>
      <c r="M761" s="251" t="str">
        <f>IFERROR(__xludf.DUMMYFUNCTION("""COMPUTED_VALUE"""),"Cave, Desert")</f>
        <v>Cave, Desert</v>
      </c>
      <c r="N761" s="251" t="str">
        <f>IFERROR(__xludf.DUMMYFUNCTION("""COMPUTED_VALUE"""),"Flier")</f>
        <v>Flier</v>
      </c>
      <c r="O761" s="251" t="str">
        <f>IFERROR(__xludf.DUMMYFUNCTION("""COMPUTED_VALUE"""),"--")</f>
        <v>--</v>
      </c>
      <c r="P761" s="251" t="str">
        <f>IFERROR(__xludf.DUMMYFUNCTION("""COMPUTED_VALUE"""),"--")</f>
        <v>--</v>
      </c>
      <c r="Q761" s="251" t="str">
        <f>IFERROR(__xludf.DUMMYFUNCTION("""COMPUTED_VALUE"""),"--")</f>
        <v>--</v>
      </c>
      <c r="R761" s="251" t="str">
        <f>IFERROR(__xludf.DUMMYFUNCTION("""COMPUTED_VALUE"""),"--")</f>
        <v>--</v>
      </c>
      <c r="S761" s="251" t="str">
        <f>IFERROR(__xludf.DUMMYFUNCTION("""COMPUTED_VALUE"""),"--")</f>
        <v>--</v>
      </c>
      <c r="T761" s="251" t="str">
        <f>IFERROR(__xludf.DUMMYFUNCTION("""COMPUTED_VALUE"""),"--")</f>
        <v>--</v>
      </c>
      <c r="U761" s="251" t="str">
        <f>IFERROR(__xludf.DUMMYFUNCTION("""COMPUTED_VALUE"""),"--")</f>
        <v>--</v>
      </c>
      <c r="V761" s="251" t="str">
        <f>IFERROR(__xludf.DUMMYFUNCTION("""COMPUTED_VALUE"""),"Breathless")</f>
        <v>Breathless</v>
      </c>
      <c r="W761" s="251" t="str">
        <f>IFERROR(__xludf.DUMMYFUNCTION("""COMPUTED_VALUE"""),"Dead Silent")</f>
        <v>Dead Silent</v>
      </c>
      <c r="X761" s="251" t="str">
        <f>IFERROR(__xludf.DUMMYFUNCTION("""COMPUTED_VALUE"""),"--")</f>
        <v>--</v>
      </c>
      <c r="Y761" s="251" t="str">
        <f>IFERROR(__xludf.DUMMYFUNCTION("""COMPUTED_VALUE"""),"--")</f>
        <v>--</v>
      </c>
      <c r="Z761" s="251" t="str">
        <f>IFERROR(__xludf.DUMMYFUNCTION("""COMPUTED_VALUE"""),"--")</f>
        <v>--</v>
      </c>
      <c r="AA761" s="251" t="str">
        <f>IFERROR(__xludf.DUMMYFUNCTION("""COMPUTED_VALUE"""),"--")</f>
        <v>--</v>
      </c>
      <c r="AB761" s="251" t="str">
        <f>IFERROR(__xludf.DUMMYFUNCTION("""COMPUTED_VALUE"""),"--")</f>
        <v>--</v>
      </c>
      <c r="AC761" s="251" t="str">
        <f>IFERROR(__xludf.DUMMYFUNCTION("""COMPUTED_VALUE"""),"--")</f>
        <v>--</v>
      </c>
      <c r="AD761" s="251">
        <f>IFERROR(__xludf.DUMMYFUNCTION("""COMPUTED_VALUE"""),3.0)</f>
        <v>3</v>
      </c>
      <c r="AE761" s="251" t="str">
        <f>IFERROR(__xludf.DUMMYFUNCTION("""COMPUTED_VALUE"""),"Terravore")</f>
        <v>Terravore</v>
      </c>
    </row>
    <row r="762">
      <c r="A762" s="251" t="str">
        <f>IFERROR(__xludf.DUMMYFUNCTION("""COMPUTED_VALUE"""),"Hippopotas")</f>
        <v>Hippopotas</v>
      </c>
      <c r="B762" s="251" t="str">
        <f>IFERROR(__xludf.DUMMYFUNCTION("""COMPUTED_VALUE"""),"Ground")</f>
        <v>Ground</v>
      </c>
      <c r="C762" s="251" t="str">
        <f>IFERROR(__xludf.DUMMYFUNCTION("""COMPUTED_VALUE"""),"None")</f>
        <v>None</v>
      </c>
      <c r="D762" s="251">
        <f>IFERROR(__xludf.DUMMYFUNCTION("""COMPUTED_VALUE"""),7.0)</f>
        <v>7</v>
      </c>
      <c r="E762" s="251">
        <f>IFERROR(__xludf.DUMMYFUNCTION("""COMPUTED_VALUE"""),7.0)</f>
        <v>7</v>
      </c>
      <c r="F762" s="251">
        <f>IFERROR(__xludf.DUMMYFUNCTION("""COMPUTED_VALUE"""),8.0)</f>
        <v>8</v>
      </c>
      <c r="G762" s="251">
        <f>IFERROR(__xludf.DUMMYFUNCTION("""COMPUTED_VALUE"""),4.0)</f>
        <v>4</v>
      </c>
      <c r="H762" s="251">
        <f>IFERROR(__xludf.DUMMYFUNCTION("""COMPUTED_VALUE"""),4.0)</f>
        <v>4</v>
      </c>
      <c r="I762" s="251">
        <f>IFERROR(__xludf.DUMMYFUNCTION("""COMPUTED_VALUE"""),3.0)</f>
        <v>3</v>
      </c>
      <c r="J762" s="251">
        <f>IFERROR(__xludf.DUMMYFUNCTION("""COMPUTED_VALUE"""),5.0)</f>
        <v>5</v>
      </c>
      <c r="K762" s="251" t="str">
        <f>IFERROR(__xludf.DUMMYFUNCTION("""COMPUTED_VALUE"""),"Small")</f>
        <v>Small</v>
      </c>
      <c r="L762" s="251">
        <f>IFERROR(__xludf.DUMMYFUNCTION("""COMPUTED_VALUE"""),3.0)</f>
        <v>3</v>
      </c>
      <c r="M762" s="251" t="str">
        <f>IFERROR(__xludf.DUMMYFUNCTION("""COMPUTED_VALUE"""),"Desert")</f>
        <v>Desert</v>
      </c>
      <c r="N762" s="251" t="str">
        <f>IFERROR(__xludf.DUMMYFUNCTION("""COMPUTED_VALUE"""),"Burrower")</f>
        <v>Burrower</v>
      </c>
      <c r="O762" s="251" t="str">
        <f>IFERROR(__xludf.DUMMYFUNCTION("""COMPUTED_VALUE"""),"Slow")</f>
        <v>Slow</v>
      </c>
      <c r="P762" s="251" t="str">
        <f>IFERROR(__xludf.DUMMYFUNCTION("""COMPUTED_VALUE"""),"--")</f>
        <v>--</v>
      </c>
      <c r="Q762" s="251" t="str">
        <f>IFERROR(__xludf.DUMMYFUNCTION("""COMPUTED_VALUE"""),"--")</f>
        <v>--</v>
      </c>
      <c r="R762" s="251" t="str">
        <f>IFERROR(__xludf.DUMMYFUNCTION("""COMPUTED_VALUE"""),"Groundshaper")</f>
        <v>Groundshaper</v>
      </c>
      <c r="S762" s="251" t="str">
        <f>IFERROR(__xludf.DUMMYFUNCTION("""COMPUTED_VALUE"""),"Underdog")</f>
        <v>Underdog</v>
      </c>
      <c r="T762" s="251" t="str">
        <f>IFERROR(__xludf.DUMMYFUNCTION("""COMPUTED_VALUE"""),"--")</f>
        <v>--</v>
      </c>
      <c r="U762" s="251" t="str">
        <f>IFERROR(__xludf.DUMMYFUNCTION("""COMPUTED_VALUE"""),"--")</f>
        <v>--</v>
      </c>
      <c r="V762" s="251" t="str">
        <f>IFERROR(__xludf.DUMMYFUNCTION("""COMPUTED_VALUE"""),"Tremorsense")</f>
        <v>Tremorsense</v>
      </c>
      <c r="W762" s="251" t="str">
        <f>IFERROR(__xludf.DUMMYFUNCTION("""COMPUTED_VALUE"""),"--")</f>
        <v>--</v>
      </c>
      <c r="X762" s="251" t="str">
        <f>IFERROR(__xludf.DUMMYFUNCTION("""COMPUTED_VALUE"""),"--")</f>
        <v>--</v>
      </c>
      <c r="Y762" s="251" t="str">
        <f>IFERROR(__xludf.DUMMYFUNCTION("""COMPUTED_VALUE"""),"--")</f>
        <v>--</v>
      </c>
      <c r="Z762" s="251" t="str">
        <f>IFERROR(__xludf.DUMMYFUNCTION("""COMPUTED_VALUE"""),"--")</f>
        <v>--</v>
      </c>
      <c r="AA762" s="251" t="str">
        <f>IFERROR(__xludf.DUMMYFUNCTION("""COMPUTED_VALUE"""),"--")</f>
        <v>--</v>
      </c>
      <c r="AB762" s="251" t="str">
        <f>IFERROR(__xludf.DUMMYFUNCTION("""COMPUTED_VALUE"""),"--")</f>
        <v>--</v>
      </c>
      <c r="AC762" s="251" t="str">
        <f>IFERROR(__xludf.DUMMYFUNCTION("""COMPUTED_VALUE"""),"--")</f>
        <v>--</v>
      </c>
      <c r="AD762" s="251">
        <f>IFERROR(__xludf.DUMMYFUNCTION("""COMPUTED_VALUE"""),2.0)</f>
        <v>2</v>
      </c>
      <c r="AE762" s="251" t="str">
        <f>IFERROR(__xludf.DUMMYFUNCTION("""COMPUTED_VALUE"""),"Herbivore")</f>
        <v>Herbivore</v>
      </c>
    </row>
    <row r="763">
      <c r="A763" s="251" t="str">
        <f>IFERROR(__xludf.DUMMYFUNCTION("""COMPUTED_VALUE"""),"Hippowdon")</f>
        <v>Hippowdon</v>
      </c>
      <c r="B763" s="251" t="str">
        <f>IFERROR(__xludf.DUMMYFUNCTION("""COMPUTED_VALUE"""),"Ground")</f>
        <v>Ground</v>
      </c>
      <c r="C763" s="251" t="str">
        <f>IFERROR(__xludf.DUMMYFUNCTION("""COMPUTED_VALUE"""),"None")</f>
        <v>None</v>
      </c>
      <c r="D763" s="251">
        <f>IFERROR(__xludf.DUMMYFUNCTION("""COMPUTED_VALUE"""),10.0)</f>
        <v>10</v>
      </c>
      <c r="E763" s="251">
        <f>IFERROR(__xludf.DUMMYFUNCTION("""COMPUTED_VALUE"""),11.0)</f>
        <v>11</v>
      </c>
      <c r="F763" s="251">
        <f>IFERROR(__xludf.DUMMYFUNCTION("""COMPUTED_VALUE"""),12.0)</f>
        <v>12</v>
      </c>
      <c r="G763" s="251">
        <f>IFERROR(__xludf.DUMMYFUNCTION("""COMPUTED_VALUE"""),7.0)</f>
        <v>7</v>
      </c>
      <c r="H763" s="251">
        <f>IFERROR(__xludf.DUMMYFUNCTION("""COMPUTED_VALUE"""),7.0)</f>
        <v>7</v>
      </c>
      <c r="I763" s="251">
        <f>IFERROR(__xludf.DUMMYFUNCTION("""COMPUTED_VALUE"""),5.0)</f>
        <v>5</v>
      </c>
      <c r="J763" s="251">
        <f>IFERROR(__xludf.DUMMYFUNCTION("""COMPUTED_VALUE"""),9.0)</f>
        <v>9</v>
      </c>
      <c r="K763" s="251" t="str">
        <f>IFERROR(__xludf.DUMMYFUNCTION("""COMPUTED_VALUE"""),"Large")</f>
        <v>Large</v>
      </c>
      <c r="L763" s="251">
        <f>IFERROR(__xludf.DUMMYFUNCTION("""COMPUTED_VALUE"""),6.0)</f>
        <v>6</v>
      </c>
      <c r="M763" s="251" t="str">
        <f>IFERROR(__xludf.DUMMYFUNCTION("""COMPUTED_VALUE"""),"Desert")</f>
        <v>Desert</v>
      </c>
      <c r="N763" s="251" t="str">
        <f>IFERROR(__xludf.DUMMYFUNCTION("""COMPUTED_VALUE"""),"Burrower")</f>
        <v>Burrower</v>
      </c>
      <c r="O763" s="251" t="str">
        <f>IFERROR(__xludf.DUMMYFUNCTION("""COMPUTED_VALUE"""),"--")</f>
        <v>--</v>
      </c>
      <c r="P763" s="251" t="str">
        <f>IFERROR(__xludf.DUMMYFUNCTION("""COMPUTED_VALUE"""),"--")</f>
        <v>--</v>
      </c>
      <c r="Q763" s="251" t="str">
        <f>IFERROR(__xludf.DUMMYFUNCTION("""COMPUTED_VALUE"""),"--")</f>
        <v>--</v>
      </c>
      <c r="R763" s="251" t="str">
        <f>IFERROR(__xludf.DUMMYFUNCTION("""COMPUTED_VALUE"""),"Groundshaper")</f>
        <v>Groundshaper</v>
      </c>
      <c r="S763" s="251" t="str">
        <f>IFERROR(__xludf.DUMMYFUNCTION("""COMPUTED_VALUE"""),"--")</f>
        <v>--</v>
      </c>
      <c r="T763" s="251" t="str">
        <f>IFERROR(__xludf.DUMMYFUNCTION("""COMPUTED_VALUE"""),"--")</f>
        <v>--</v>
      </c>
      <c r="U763" s="251" t="str">
        <f>IFERROR(__xludf.DUMMYFUNCTION("""COMPUTED_VALUE"""),"--")</f>
        <v>--</v>
      </c>
      <c r="V763" s="251" t="str">
        <f>IFERROR(__xludf.DUMMYFUNCTION("""COMPUTED_VALUE"""),"Tremorsense")</f>
        <v>Tremorsense</v>
      </c>
      <c r="W763" s="251" t="str">
        <f>IFERROR(__xludf.DUMMYFUNCTION("""COMPUTED_VALUE"""),"--")</f>
        <v>--</v>
      </c>
      <c r="X763" s="251" t="str">
        <f>IFERROR(__xludf.DUMMYFUNCTION("""COMPUTED_VALUE"""),"--")</f>
        <v>--</v>
      </c>
      <c r="Y763" s="251" t="str">
        <f>IFERROR(__xludf.DUMMYFUNCTION("""COMPUTED_VALUE"""),"--")</f>
        <v>--</v>
      </c>
      <c r="Z763" s="251" t="str">
        <f>IFERROR(__xludf.DUMMYFUNCTION("""COMPUTED_VALUE"""),"--")</f>
        <v>--</v>
      </c>
      <c r="AA763" s="251" t="str">
        <f>IFERROR(__xludf.DUMMYFUNCTION("""COMPUTED_VALUE"""),"--")</f>
        <v>--</v>
      </c>
      <c r="AB763" s="251" t="str">
        <f>IFERROR(__xludf.DUMMYFUNCTION("""COMPUTED_VALUE"""),"--")</f>
        <v>--</v>
      </c>
      <c r="AC763" s="251" t="str">
        <f>IFERROR(__xludf.DUMMYFUNCTION("""COMPUTED_VALUE"""),"--")</f>
        <v>--</v>
      </c>
      <c r="AD763" s="251">
        <f>IFERROR(__xludf.DUMMYFUNCTION("""COMPUTED_VALUE"""),3.0)</f>
        <v>3</v>
      </c>
      <c r="AE763" s="251" t="str">
        <f>IFERROR(__xludf.DUMMYFUNCTION("""COMPUTED_VALUE"""),"Omnivore")</f>
        <v>Omnivore</v>
      </c>
    </row>
    <row r="764">
      <c r="A764" s="251" t="str">
        <f>IFERROR(__xludf.DUMMYFUNCTION("""COMPUTED_VALUE"""),"Drilbur")</f>
        <v>Drilbur</v>
      </c>
      <c r="B764" s="251" t="str">
        <f>IFERROR(__xludf.DUMMYFUNCTION("""COMPUTED_VALUE"""),"Ground")</f>
        <v>Ground</v>
      </c>
      <c r="C764" s="251" t="str">
        <f>IFERROR(__xludf.DUMMYFUNCTION("""COMPUTED_VALUE"""),"None")</f>
        <v>None</v>
      </c>
      <c r="D764" s="251">
        <f>IFERROR(__xludf.DUMMYFUNCTION("""COMPUTED_VALUE"""),6.0)</f>
        <v>6</v>
      </c>
      <c r="E764" s="251">
        <f>IFERROR(__xludf.DUMMYFUNCTION("""COMPUTED_VALUE"""),9.0)</f>
        <v>9</v>
      </c>
      <c r="F764" s="251">
        <f>IFERROR(__xludf.DUMMYFUNCTION("""COMPUTED_VALUE"""),4.0)</f>
        <v>4</v>
      </c>
      <c r="G764" s="251">
        <f>IFERROR(__xludf.DUMMYFUNCTION("""COMPUTED_VALUE"""),3.0)</f>
        <v>3</v>
      </c>
      <c r="H764" s="251">
        <f>IFERROR(__xludf.DUMMYFUNCTION("""COMPUTED_VALUE"""),5.0)</f>
        <v>5</v>
      </c>
      <c r="I764" s="251">
        <f>IFERROR(__xludf.DUMMYFUNCTION("""COMPUTED_VALUE"""),7.0)</f>
        <v>7</v>
      </c>
      <c r="J764" s="251">
        <f>IFERROR(__xludf.DUMMYFUNCTION("""COMPUTED_VALUE"""),2.0)</f>
        <v>2</v>
      </c>
      <c r="K764" s="251" t="str">
        <f>IFERROR(__xludf.DUMMYFUNCTION("""COMPUTED_VALUE"""),"Small")</f>
        <v>Small</v>
      </c>
      <c r="L764" s="251">
        <f>IFERROR(__xludf.DUMMYFUNCTION("""COMPUTED_VALUE"""),1.0)</f>
        <v>1</v>
      </c>
      <c r="M764" s="251" t="str">
        <f>IFERROR(__xludf.DUMMYFUNCTION("""COMPUTED_VALUE"""),"Cave, Desert")</f>
        <v>Cave, Desert</v>
      </c>
      <c r="N764" s="251" t="str">
        <f>IFERROR(__xludf.DUMMYFUNCTION("""COMPUTED_VALUE"""),"Burrower")</f>
        <v>Burrower</v>
      </c>
      <c r="O764" s="251" t="str">
        <f>IFERROR(__xludf.DUMMYFUNCTION("""COMPUTED_VALUE"""),"Quick")</f>
        <v>Quick</v>
      </c>
      <c r="P764" s="251" t="str">
        <f>IFERROR(__xludf.DUMMYFUNCTION("""COMPUTED_VALUE"""),"--")</f>
        <v>--</v>
      </c>
      <c r="Q764" s="251" t="str">
        <f>IFERROR(__xludf.DUMMYFUNCTION("""COMPUTED_VALUE"""),"--")</f>
        <v>--</v>
      </c>
      <c r="R764" s="251" t="str">
        <f>IFERROR(__xludf.DUMMYFUNCTION("""COMPUTED_VALUE"""),"Underdog")</f>
        <v>Underdog</v>
      </c>
      <c r="S764" s="251" t="str">
        <f>IFERROR(__xludf.DUMMYFUNCTION("""COMPUTED_VALUE"""),"--")</f>
        <v>--</v>
      </c>
      <c r="T764" s="251" t="str">
        <f>IFERROR(__xludf.DUMMYFUNCTION("""COMPUTED_VALUE"""),"--")</f>
        <v>--</v>
      </c>
      <c r="U764" s="251" t="str">
        <f>IFERROR(__xludf.DUMMYFUNCTION("""COMPUTED_VALUE"""),"--")</f>
        <v>--</v>
      </c>
      <c r="V764" s="251" t="str">
        <f>IFERROR(__xludf.DUMMYFUNCTION("""COMPUTED_VALUE"""),"Tremorsense")</f>
        <v>Tremorsense</v>
      </c>
      <c r="W764" s="251" t="str">
        <f>IFERROR(__xludf.DUMMYFUNCTION("""COMPUTED_VALUE"""),"--")</f>
        <v>--</v>
      </c>
      <c r="X764" s="251" t="str">
        <f>IFERROR(__xludf.DUMMYFUNCTION("""COMPUTED_VALUE"""),"--")</f>
        <v>--</v>
      </c>
      <c r="Y764" s="251" t="str">
        <f>IFERROR(__xludf.DUMMYFUNCTION("""COMPUTED_VALUE"""),"--")</f>
        <v>--</v>
      </c>
      <c r="Z764" s="251" t="str">
        <f>IFERROR(__xludf.DUMMYFUNCTION("""COMPUTED_VALUE"""),"--")</f>
        <v>--</v>
      </c>
      <c r="AA764" s="251" t="str">
        <f>IFERROR(__xludf.DUMMYFUNCTION("""COMPUTED_VALUE"""),"--")</f>
        <v>--</v>
      </c>
      <c r="AB764" s="251" t="str">
        <f>IFERROR(__xludf.DUMMYFUNCTION("""COMPUTED_VALUE"""),"--")</f>
        <v>--</v>
      </c>
      <c r="AC764" s="251" t="str">
        <f>IFERROR(__xludf.DUMMYFUNCTION("""COMPUTED_VALUE"""),"--")</f>
        <v>--</v>
      </c>
      <c r="AD764" s="251">
        <f>IFERROR(__xludf.DUMMYFUNCTION("""COMPUTED_VALUE"""),2.0)</f>
        <v>2</v>
      </c>
      <c r="AE764" s="251" t="str">
        <f>IFERROR(__xludf.DUMMYFUNCTION("""COMPUTED_VALUE"""),"Herbivore")</f>
        <v>Herbivore</v>
      </c>
    </row>
    <row r="765">
      <c r="A765" s="251" t="str">
        <f>IFERROR(__xludf.DUMMYFUNCTION("""COMPUTED_VALUE"""),"Excadrill")</f>
        <v>Excadrill</v>
      </c>
      <c r="B765" s="251" t="str">
        <f>IFERROR(__xludf.DUMMYFUNCTION("""COMPUTED_VALUE"""),"Ground")</f>
        <v>Ground</v>
      </c>
      <c r="C765" s="251" t="str">
        <f>IFERROR(__xludf.DUMMYFUNCTION("""COMPUTED_VALUE"""),"Steel")</f>
        <v>Steel</v>
      </c>
      <c r="D765" s="251">
        <f>IFERROR(__xludf.DUMMYFUNCTION("""COMPUTED_VALUE"""),11.0)</f>
        <v>11</v>
      </c>
      <c r="E765" s="251">
        <f>IFERROR(__xludf.DUMMYFUNCTION("""COMPUTED_VALUE"""),14.0)</f>
        <v>14</v>
      </c>
      <c r="F765" s="251">
        <f>IFERROR(__xludf.DUMMYFUNCTION("""COMPUTED_VALUE"""),6.0)</f>
        <v>6</v>
      </c>
      <c r="G765" s="251">
        <f>IFERROR(__xludf.DUMMYFUNCTION("""COMPUTED_VALUE"""),5.0)</f>
        <v>5</v>
      </c>
      <c r="H765" s="251">
        <f>IFERROR(__xludf.DUMMYFUNCTION("""COMPUTED_VALUE"""),7.0)</f>
        <v>7</v>
      </c>
      <c r="I765" s="251">
        <f>IFERROR(__xludf.DUMMYFUNCTION("""COMPUTED_VALUE"""),9.0)</f>
        <v>9</v>
      </c>
      <c r="J765" s="251">
        <f>IFERROR(__xludf.DUMMYFUNCTION("""COMPUTED_VALUE"""),6.0)</f>
        <v>6</v>
      </c>
      <c r="K765" s="251" t="str">
        <f>IFERROR(__xludf.DUMMYFUNCTION("""COMPUTED_VALUE"""),"Small")</f>
        <v>Small</v>
      </c>
      <c r="L765" s="251">
        <f>IFERROR(__xludf.DUMMYFUNCTION("""COMPUTED_VALUE"""),3.0)</f>
        <v>3</v>
      </c>
      <c r="M765" s="251" t="str">
        <f>IFERROR(__xludf.DUMMYFUNCTION("""COMPUTED_VALUE"""),"Cave, Desert")</f>
        <v>Cave, Desert</v>
      </c>
      <c r="N765" s="251" t="str">
        <f>IFERROR(__xludf.DUMMYFUNCTION("""COMPUTED_VALUE"""),"Burrower")</f>
        <v>Burrower</v>
      </c>
      <c r="O765" s="251" t="str">
        <f>IFERROR(__xludf.DUMMYFUNCTION("""COMPUTED_VALUE"""),"Quick")</f>
        <v>Quick</v>
      </c>
      <c r="P765" s="251" t="str">
        <f>IFERROR(__xludf.DUMMYFUNCTION("""COMPUTED_VALUE"""),"--")</f>
        <v>--</v>
      </c>
      <c r="Q765" s="251" t="str">
        <f>IFERROR(__xludf.DUMMYFUNCTION("""COMPUTED_VALUE"""),"--")</f>
        <v>--</v>
      </c>
      <c r="R765" s="251" t="str">
        <f>IFERROR(__xludf.DUMMYFUNCTION("""COMPUTED_VALUE"""),"Groundshaper")</f>
        <v>Groundshaper</v>
      </c>
      <c r="S765" s="251" t="str">
        <f>IFERROR(__xludf.DUMMYFUNCTION("""COMPUTED_VALUE"""),"--")</f>
        <v>--</v>
      </c>
      <c r="T765" s="251" t="str">
        <f>IFERROR(__xludf.DUMMYFUNCTION("""COMPUTED_VALUE"""),"--")</f>
        <v>--</v>
      </c>
      <c r="U765" s="251" t="str">
        <f>IFERROR(__xludf.DUMMYFUNCTION("""COMPUTED_VALUE"""),"--")</f>
        <v>--</v>
      </c>
      <c r="V765" s="251" t="str">
        <f>IFERROR(__xludf.DUMMYFUNCTION("""COMPUTED_VALUE"""),"Tremorsense")</f>
        <v>Tremorsense</v>
      </c>
      <c r="W765" s="251" t="str">
        <f>IFERROR(__xludf.DUMMYFUNCTION("""COMPUTED_VALUE"""),"--")</f>
        <v>--</v>
      </c>
      <c r="X765" s="251" t="str">
        <f>IFERROR(__xludf.DUMMYFUNCTION("""COMPUTED_VALUE"""),"--")</f>
        <v>--</v>
      </c>
      <c r="Y765" s="251" t="str">
        <f>IFERROR(__xludf.DUMMYFUNCTION("""COMPUTED_VALUE"""),"--")</f>
        <v>--</v>
      </c>
      <c r="Z765" s="251" t="str">
        <f>IFERROR(__xludf.DUMMYFUNCTION("""COMPUTED_VALUE"""),"--")</f>
        <v>--</v>
      </c>
      <c r="AA765" s="251" t="str">
        <f>IFERROR(__xludf.DUMMYFUNCTION("""COMPUTED_VALUE"""),"--")</f>
        <v>--</v>
      </c>
      <c r="AB765" s="251" t="str">
        <f>IFERROR(__xludf.DUMMYFUNCTION("""COMPUTED_VALUE"""),"--")</f>
        <v>--</v>
      </c>
      <c r="AC765" s="251" t="str">
        <f>IFERROR(__xludf.DUMMYFUNCTION("""COMPUTED_VALUE"""),"--")</f>
        <v>--</v>
      </c>
      <c r="AD765" s="251">
        <f>IFERROR(__xludf.DUMMYFUNCTION("""COMPUTED_VALUE"""),3.0)</f>
        <v>3</v>
      </c>
      <c r="AE765" s="251" t="str">
        <f>IFERROR(__xludf.DUMMYFUNCTION("""COMPUTED_VALUE"""),"Herbivore")</f>
        <v>Herbivore</v>
      </c>
    </row>
    <row r="766">
      <c r="A766" s="251" t="str">
        <f>IFERROR(__xludf.DUMMYFUNCTION("""COMPUTED_VALUE"""),"Golett")</f>
        <v>Golett</v>
      </c>
      <c r="B766" s="251" t="str">
        <f>IFERROR(__xludf.DUMMYFUNCTION("""COMPUTED_VALUE"""),"Ground")</f>
        <v>Ground</v>
      </c>
      <c r="C766" s="251" t="str">
        <f>IFERROR(__xludf.DUMMYFUNCTION("""COMPUTED_VALUE"""),"Ghost")</f>
        <v>Ghost</v>
      </c>
      <c r="D766" s="251">
        <f>IFERROR(__xludf.DUMMYFUNCTION("""COMPUTED_VALUE"""),6.0)</f>
        <v>6</v>
      </c>
      <c r="E766" s="251">
        <f>IFERROR(__xludf.DUMMYFUNCTION("""COMPUTED_VALUE"""),7.0)</f>
        <v>7</v>
      </c>
      <c r="F766" s="251">
        <f>IFERROR(__xludf.DUMMYFUNCTION("""COMPUTED_VALUE"""),5.0)</f>
        <v>5</v>
      </c>
      <c r="G766" s="251">
        <f>IFERROR(__xludf.DUMMYFUNCTION("""COMPUTED_VALUE"""),4.0)</f>
        <v>4</v>
      </c>
      <c r="H766" s="251">
        <f>IFERROR(__xludf.DUMMYFUNCTION("""COMPUTED_VALUE"""),5.0)</f>
        <v>5</v>
      </c>
      <c r="I766" s="251">
        <f>IFERROR(__xludf.DUMMYFUNCTION("""COMPUTED_VALUE"""),4.0)</f>
        <v>4</v>
      </c>
      <c r="J766" s="251">
        <f>IFERROR(__xludf.DUMMYFUNCTION("""COMPUTED_VALUE"""),7.0)</f>
        <v>7</v>
      </c>
      <c r="K766" s="251" t="str">
        <f>IFERROR(__xludf.DUMMYFUNCTION("""COMPUTED_VALUE"""),"Medium")</f>
        <v>Medium</v>
      </c>
      <c r="L766" s="251">
        <f>IFERROR(__xludf.DUMMYFUNCTION("""COMPUTED_VALUE"""),4.0)</f>
        <v>4</v>
      </c>
      <c r="M766" s="251" t="str">
        <f>IFERROR(__xludf.DUMMYFUNCTION("""COMPUTED_VALUE"""),"Desert, Urban")</f>
        <v>Desert, Urban</v>
      </c>
      <c r="N766" s="251" t="str">
        <f>IFERROR(__xludf.DUMMYFUNCTION("""COMPUTED_VALUE"""),"--")</f>
        <v>--</v>
      </c>
      <c r="O766" s="251" t="str">
        <f>IFERROR(__xludf.DUMMYFUNCTION("""COMPUTED_VALUE"""),"--")</f>
        <v>--</v>
      </c>
      <c r="P766" s="251" t="str">
        <f>IFERROR(__xludf.DUMMYFUNCTION("""COMPUTED_VALUE"""),"--")</f>
        <v>--</v>
      </c>
      <c r="Q766" s="251" t="str">
        <f>IFERROR(__xludf.DUMMYFUNCTION("""COMPUTED_VALUE"""),"--")</f>
        <v>--</v>
      </c>
      <c r="R766" s="251" t="str">
        <f>IFERROR(__xludf.DUMMYFUNCTION("""COMPUTED_VALUE"""),"Darkvision")</f>
        <v>Darkvision</v>
      </c>
      <c r="S766" s="251" t="str">
        <f>IFERROR(__xludf.DUMMYFUNCTION("""COMPUTED_VALUE"""),"Underdog")</f>
        <v>Underdog</v>
      </c>
      <c r="T766" s="251" t="str">
        <f>IFERROR(__xludf.DUMMYFUNCTION("""COMPUTED_VALUE"""),"--")</f>
        <v>--</v>
      </c>
      <c r="U766" s="251" t="str">
        <f>IFERROR(__xludf.DUMMYFUNCTION("""COMPUTED_VALUE"""),"--")</f>
        <v>--</v>
      </c>
      <c r="V766" s="251" t="str">
        <f>IFERROR(__xludf.DUMMYFUNCTION("""COMPUTED_VALUE"""),"Breathless")</f>
        <v>Breathless</v>
      </c>
      <c r="W766" s="251" t="str">
        <f>IFERROR(__xludf.DUMMYFUNCTION("""COMPUTED_VALUE"""),"--")</f>
        <v>--</v>
      </c>
      <c r="X766" s="251" t="str">
        <f>IFERROR(__xludf.DUMMYFUNCTION("""COMPUTED_VALUE"""),"--")</f>
        <v>--</v>
      </c>
      <c r="Y766" s="251" t="str">
        <f>IFERROR(__xludf.DUMMYFUNCTION("""COMPUTED_VALUE"""),"--")</f>
        <v>--</v>
      </c>
      <c r="Z766" s="251" t="str">
        <f>IFERROR(__xludf.DUMMYFUNCTION("""COMPUTED_VALUE"""),"--")</f>
        <v>--</v>
      </c>
      <c r="AA766" s="251" t="str">
        <f>IFERROR(__xludf.DUMMYFUNCTION("""COMPUTED_VALUE"""),"--")</f>
        <v>--</v>
      </c>
      <c r="AB766" s="251" t="str">
        <f>IFERROR(__xludf.DUMMYFUNCTION("""COMPUTED_VALUE"""),"--")</f>
        <v>--</v>
      </c>
      <c r="AC766" s="251" t="str">
        <f>IFERROR(__xludf.DUMMYFUNCTION("""COMPUTED_VALUE"""),"--")</f>
        <v>--</v>
      </c>
      <c r="AD766" s="251">
        <f>IFERROR(__xludf.DUMMYFUNCTION("""COMPUTED_VALUE"""),2.0)</f>
        <v>2</v>
      </c>
      <c r="AE766" s="251" t="str">
        <f>IFERROR(__xludf.DUMMYFUNCTION("""COMPUTED_VALUE"""),"Terravore")</f>
        <v>Terravore</v>
      </c>
    </row>
    <row r="767">
      <c r="A767" s="251" t="str">
        <f>IFERROR(__xludf.DUMMYFUNCTION("""COMPUTED_VALUE"""),"Golurk")</f>
        <v>Golurk</v>
      </c>
      <c r="B767" s="251" t="str">
        <f>IFERROR(__xludf.DUMMYFUNCTION("""COMPUTED_VALUE"""),"Ground")</f>
        <v>Ground</v>
      </c>
      <c r="C767" s="251" t="str">
        <f>IFERROR(__xludf.DUMMYFUNCTION("""COMPUTED_VALUE"""),"Ghost")</f>
        <v>Ghost</v>
      </c>
      <c r="D767" s="251">
        <f>IFERROR(__xludf.DUMMYFUNCTION("""COMPUTED_VALUE"""),10.0)</f>
        <v>10</v>
      </c>
      <c r="E767" s="251">
        <f>IFERROR(__xludf.DUMMYFUNCTION("""COMPUTED_VALUE"""),13.0)</f>
        <v>13</v>
      </c>
      <c r="F767" s="251">
        <f>IFERROR(__xludf.DUMMYFUNCTION("""COMPUTED_VALUE"""),8.0)</f>
        <v>8</v>
      </c>
      <c r="G767" s="251">
        <f>IFERROR(__xludf.DUMMYFUNCTION("""COMPUTED_VALUE"""),6.0)</f>
        <v>6</v>
      </c>
      <c r="H767" s="251">
        <f>IFERROR(__xludf.DUMMYFUNCTION("""COMPUTED_VALUE"""),8.0)</f>
        <v>8</v>
      </c>
      <c r="I767" s="251">
        <f>IFERROR(__xludf.DUMMYFUNCTION("""COMPUTED_VALUE"""),6.0)</f>
        <v>6</v>
      </c>
      <c r="J767" s="251">
        <f>IFERROR(__xludf.DUMMYFUNCTION("""COMPUTED_VALUE"""),14.0)</f>
        <v>14</v>
      </c>
      <c r="K767" s="251" t="str">
        <f>IFERROR(__xludf.DUMMYFUNCTION("""COMPUTED_VALUE"""),"Huge")</f>
        <v>Huge</v>
      </c>
      <c r="L767" s="251">
        <f>IFERROR(__xludf.DUMMYFUNCTION("""COMPUTED_VALUE"""),6.0)</f>
        <v>6</v>
      </c>
      <c r="M767" s="251" t="str">
        <f>IFERROR(__xludf.DUMMYFUNCTION("""COMPUTED_VALUE"""),"Desert, Urban")</f>
        <v>Desert, Urban</v>
      </c>
      <c r="N767" s="251" t="str">
        <f>IFERROR(__xludf.DUMMYFUNCTION("""COMPUTED_VALUE"""),"Flier")</f>
        <v>Flier</v>
      </c>
      <c r="O767" s="251" t="str">
        <f>IFERROR(__xludf.DUMMYFUNCTION("""COMPUTED_VALUE"""),"--")</f>
        <v>--</v>
      </c>
      <c r="P767" s="251" t="str">
        <f>IFERROR(__xludf.DUMMYFUNCTION("""COMPUTED_VALUE"""),"--")</f>
        <v>--</v>
      </c>
      <c r="Q767" s="251" t="str">
        <f>IFERROR(__xludf.DUMMYFUNCTION("""COMPUTED_VALUE"""),"--")</f>
        <v>--</v>
      </c>
      <c r="R767" s="251" t="str">
        <f>IFERROR(__xludf.DUMMYFUNCTION("""COMPUTED_VALUE"""),"Darkvision")</f>
        <v>Darkvision</v>
      </c>
      <c r="S767" s="251" t="str">
        <f>IFERROR(__xludf.DUMMYFUNCTION("""COMPUTED_VALUE"""),"Groundshaper")</f>
        <v>Groundshaper</v>
      </c>
      <c r="T767" s="251" t="str">
        <f>IFERROR(__xludf.DUMMYFUNCTION("""COMPUTED_VALUE"""),"--")</f>
        <v>--</v>
      </c>
      <c r="U767" s="251" t="str">
        <f>IFERROR(__xludf.DUMMYFUNCTION("""COMPUTED_VALUE"""),"--")</f>
        <v>--</v>
      </c>
      <c r="V767" s="251" t="str">
        <f>IFERROR(__xludf.DUMMYFUNCTION("""COMPUTED_VALUE"""),"Breathless")</f>
        <v>Breathless</v>
      </c>
      <c r="W767" s="251" t="str">
        <f>IFERROR(__xludf.DUMMYFUNCTION("""COMPUTED_VALUE"""),"--")</f>
        <v>--</v>
      </c>
      <c r="X767" s="251" t="str">
        <f>IFERROR(__xludf.DUMMYFUNCTION("""COMPUTED_VALUE"""),"--")</f>
        <v>--</v>
      </c>
      <c r="Y767" s="251" t="str">
        <f>IFERROR(__xludf.DUMMYFUNCTION("""COMPUTED_VALUE"""),"--")</f>
        <v>--</v>
      </c>
      <c r="Z767" s="251" t="str">
        <f>IFERROR(__xludf.DUMMYFUNCTION("""COMPUTED_VALUE"""),"--")</f>
        <v>--</v>
      </c>
      <c r="AA767" s="251" t="str">
        <f>IFERROR(__xludf.DUMMYFUNCTION("""COMPUTED_VALUE"""),"--")</f>
        <v>--</v>
      </c>
      <c r="AB767" s="251" t="str">
        <f>IFERROR(__xludf.DUMMYFUNCTION("""COMPUTED_VALUE"""),"--")</f>
        <v>--</v>
      </c>
      <c r="AC767" s="251" t="str">
        <f>IFERROR(__xludf.DUMMYFUNCTION("""COMPUTED_VALUE"""),"--")</f>
        <v>--</v>
      </c>
      <c r="AD767" s="251">
        <f>IFERROR(__xludf.DUMMYFUNCTION("""COMPUTED_VALUE"""),3.0)</f>
        <v>3</v>
      </c>
      <c r="AE767" s="251" t="str">
        <f>IFERROR(__xludf.DUMMYFUNCTION("""COMPUTED_VALUE"""),"Terravore")</f>
        <v>Terravore</v>
      </c>
    </row>
    <row r="768">
      <c r="A768" s="251" t="str">
        <f>IFERROR(__xludf.DUMMYFUNCTION("""COMPUTED_VALUE"""),"Mudbray")</f>
        <v>Mudbray</v>
      </c>
      <c r="B768" s="251" t="str">
        <f>IFERROR(__xludf.DUMMYFUNCTION("""COMPUTED_VALUE"""),"Ground")</f>
        <v>Ground</v>
      </c>
      <c r="C768" s="251" t="str">
        <f>IFERROR(__xludf.DUMMYFUNCTION("""COMPUTED_VALUE"""),"None")</f>
        <v>None</v>
      </c>
      <c r="D768" s="251">
        <f>IFERROR(__xludf.DUMMYFUNCTION("""COMPUTED_VALUE"""),7.0)</f>
        <v>7</v>
      </c>
      <c r="E768" s="251">
        <f>IFERROR(__xludf.DUMMYFUNCTION("""COMPUTED_VALUE"""),10.0)</f>
        <v>10</v>
      </c>
      <c r="F768" s="251">
        <f>IFERROR(__xludf.DUMMYFUNCTION("""COMPUTED_VALUE"""),7.0)</f>
        <v>7</v>
      </c>
      <c r="G768" s="251">
        <f>IFERROR(__xludf.DUMMYFUNCTION("""COMPUTED_VALUE"""),5.0)</f>
        <v>5</v>
      </c>
      <c r="H768" s="251">
        <f>IFERROR(__xludf.DUMMYFUNCTION("""COMPUTED_VALUE"""),6.0)</f>
        <v>6</v>
      </c>
      <c r="I768" s="251">
        <f>IFERROR(__xludf.DUMMYFUNCTION("""COMPUTED_VALUE"""),5.0)</f>
        <v>5</v>
      </c>
      <c r="J768" s="251">
        <f>IFERROR(__xludf.DUMMYFUNCTION("""COMPUTED_VALUE"""),8.0)</f>
        <v>8</v>
      </c>
      <c r="K768" s="251" t="str">
        <f>IFERROR(__xludf.DUMMYFUNCTION("""COMPUTED_VALUE"""),"Medium")</f>
        <v>Medium</v>
      </c>
      <c r="L768" s="251">
        <f>IFERROR(__xludf.DUMMYFUNCTION("""COMPUTED_VALUE"""),5.0)</f>
        <v>5</v>
      </c>
      <c r="M768" s="251" t="str">
        <f>IFERROR(__xludf.DUMMYFUNCTION("""COMPUTED_VALUE"""),"Grasslands, Mountain")</f>
        <v>Grasslands, Mountain</v>
      </c>
      <c r="N768" s="251" t="str">
        <f>IFERROR(__xludf.DUMMYFUNCTION("""COMPUTED_VALUE"""),"--")</f>
        <v>--</v>
      </c>
      <c r="O768" s="251" t="str">
        <f>IFERROR(__xludf.DUMMYFUNCTION("""COMPUTED_VALUE"""),"--")</f>
        <v>--</v>
      </c>
      <c r="P768" s="251" t="str">
        <f>IFERROR(__xludf.DUMMYFUNCTION("""COMPUTED_VALUE"""),"--")</f>
        <v>--</v>
      </c>
      <c r="Q768" s="251" t="str">
        <f>IFERROR(__xludf.DUMMYFUNCTION("""COMPUTED_VALUE"""),"--")</f>
        <v>--</v>
      </c>
      <c r="R768" s="251" t="str">
        <f>IFERROR(__xludf.DUMMYFUNCTION("""COMPUTED_VALUE"""),"Mountable")</f>
        <v>Mountable</v>
      </c>
      <c r="S768" s="251" t="str">
        <f>IFERROR(__xludf.DUMMYFUNCTION("""COMPUTED_VALUE"""),"Underdog")</f>
        <v>Underdog</v>
      </c>
      <c r="T768" s="251" t="str">
        <f>IFERROR(__xludf.DUMMYFUNCTION("""COMPUTED_VALUE"""),"--")</f>
        <v>--</v>
      </c>
      <c r="U768" s="251" t="str">
        <f>IFERROR(__xludf.DUMMYFUNCTION("""COMPUTED_VALUE"""),"--")</f>
        <v>--</v>
      </c>
      <c r="V768" s="251" t="str">
        <f>IFERROR(__xludf.DUMMYFUNCTION("""COMPUTED_VALUE"""),"--")</f>
        <v>--</v>
      </c>
      <c r="W768" s="251" t="str">
        <f>IFERROR(__xludf.DUMMYFUNCTION("""COMPUTED_VALUE"""),"--")</f>
        <v>--</v>
      </c>
      <c r="X768" s="251" t="str">
        <f>IFERROR(__xludf.DUMMYFUNCTION("""COMPUTED_VALUE"""),"--")</f>
        <v>--</v>
      </c>
      <c r="Y768" s="251" t="str">
        <f>IFERROR(__xludf.DUMMYFUNCTION("""COMPUTED_VALUE"""),"--")</f>
        <v>--</v>
      </c>
      <c r="Z768" s="251" t="str">
        <f>IFERROR(__xludf.DUMMYFUNCTION("""COMPUTED_VALUE"""),"--")</f>
        <v>--</v>
      </c>
      <c r="AA768" s="251" t="str">
        <f>IFERROR(__xludf.DUMMYFUNCTION("""COMPUTED_VALUE"""),"--")</f>
        <v>--</v>
      </c>
      <c r="AB768" s="251" t="str">
        <f>IFERROR(__xludf.DUMMYFUNCTION("""COMPUTED_VALUE"""),"--")</f>
        <v>--</v>
      </c>
      <c r="AC768" s="251" t="str">
        <f>IFERROR(__xludf.DUMMYFUNCTION("""COMPUTED_VALUE"""),"--")</f>
        <v>--</v>
      </c>
      <c r="AD768" s="251">
        <f>IFERROR(__xludf.DUMMYFUNCTION("""COMPUTED_VALUE"""),2.0)</f>
        <v>2</v>
      </c>
      <c r="AE768" s="251" t="str">
        <f>IFERROR(__xludf.DUMMYFUNCTION("""COMPUTED_VALUE"""),"Herbivore")</f>
        <v>Herbivore</v>
      </c>
    </row>
    <row r="769">
      <c r="A769" s="251" t="str">
        <f>IFERROR(__xludf.DUMMYFUNCTION("""COMPUTED_VALUE"""),"Mudsdale")</f>
        <v>Mudsdale</v>
      </c>
      <c r="B769" s="251" t="str">
        <f>IFERROR(__xludf.DUMMYFUNCTION("""COMPUTED_VALUE"""),"Ground")</f>
        <v>Ground</v>
      </c>
      <c r="C769" s="251" t="str">
        <f>IFERROR(__xludf.DUMMYFUNCTION("""COMPUTED_VALUE"""),"None")</f>
        <v>None</v>
      </c>
      <c r="D769" s="251">
        <f>IFERROR(__xludf.DUMMYFUNCTION("""COMPUTED_VALUE"""),10.0)</f>
        <v>10</v>
      </c>
      <c r="E769" s="251">
        <f>IFERROR(__xludf.DUMMYFUNCTION("""COMPUTED_VALUE"""),13.0)</f>
        <v>13</v>
      </c>
      <c r="F769" s="251">
        <f>IFERROR(__xludf.DUMMYFUNCTION("""COMPUTED_VALUE"""),10.0)</f>
        <v>10</v>
      </c>
      <c r="G769" s="251">
        <f>IFERROR(__xludf.DUMMYFUNCTION("""COMPUTED_VALUE"""),6.0)</f>
        <v>6</v>
      </c>
      <c r="H769" s="251">
        <f>IFERROR(__xludf.DUMMYFUNCTION("""COMPUTED_VALUE"""),9.0)</f>
        <v>9</v>
      </c>
      <c r="I769" s="251">
        <f>IFERROR(__xludf.DUMMYFUNCTION("""COMPUTED_VALUE"""),4.0)</f>
        <v>4</v>
      </c>
      <c r="J769" s="251">
        <f>IFERROR(__xludf.DUMMYFUNCTION("""COMPUTED_VALUE"""),13.0)</f>
        <v>13</v>
      </c>
      <c r="K769" s="251" t="str">
        <f>IFERROR(__xludf.DUMMYFUNCTION("""COMPUTED_VALUE"""),"Large")</f>
        <v>Large</v>
      </c>
      <c r="L769" s="251">
        <f>IFERROR(__xludf.DUMMYFUNCTION("""COMPUTED_VALUE"""),6.0)</f>
        <v>6</v>
      </c>
      <c r="M769" s="251" t="str">
        <f>IFERROR(__xludf.DUMMYFUNCTION("""COMPUTED_VALUE"""),"Grasslands, Mountain")</f>
        <v>Grasslands, Mountain</v>
      </c>
      <c r="N769" s="251" t="str">
        <f>IFERROR(__xludf.DUMMYFUNCTION("""COMPUTED_VALUE"""),"--")</f>
        <v>--</v>
      </c>
      <c r="O769" s="251" t="str">
        <f>IFERROR(__xludf.DUMMYFUNCTION("""COMPUTED_VALUE"""),"--")</f>
        <v>--</v>
      </c>
      <c r="P769" s="251" t="str">
        <f>IFERROR(__xludf.DUMMYFUNCTION("""COMPUTED_VALUE"""),"--")</f>
        <v>--</v>
      </c>
      <c r="Q769" s="251" t="str">
        <f>IFERROR(__xludf.DUMMYFUNCTION("""COMPUTED_VALUE"""),"--")</f>
        <v>--</v>
      </c>
      <c r="R769" s="251" t="str">
        <f>IFERROR(__xludf.DUMMYFUNCTION("""COMPUTED_VALUE"""),"Groundshaper")</f>
        <v>Groundshaper</v>
      </c>
      <c r="S769" s="251" t="str">
        <f>IFERROR(__xludf.DUMMYFUNCTION("""COMPUTED_VALUE"""),"Mountable")</f>
        <v>Mountable</v>
      </c>
      <c r="T769" s="251" t="str">
        <f>IFERROR(__xludf.DUMMYFUNCTION("""COMPUTED_VALUE"""),"--")</f>
        <v>--</v>
      </c>
      <c r="U769" s="251" t="str">
        <f>IFERROR(__xludf.DUMMYFUNCTION("""COMPUTED_VALUE"""),"--")</f>
        <v>--</v>
      </c>
      <c r="V769" s="251" t="str">
        <f>IFERROR(__xludf.DUMMYFUNCTION("""COMPUTED_VALUE"""),"--")</f>
        <v>--</v>
      </c>
      <c r="W769" s="251" t="str">
        <f>IFERROR(__xludf.DUMMYFUNCTION("""COMPUTED_VALUE"""),"--")</f>
        <v>--</v>
      </c>
      <c r="X769" s="251" t="str">
        <f>IFERROR(__xludf.DUMMYFUNCTION("""COMPUTED_VALUE"""),"--")</f>
        <v>--</v>
      </c>
      <c r="Y769" s="251" t="str">
        <f>IFERROR(__xludf.DUMMYFUNCTION("""COMPUTED_VALUE"""),"--")</f>
        <v>--</v>
      </c>
      <c r="Z769" s="251" t="str">
        <f>IFERROR(__xludf.DUMMYFUNCTION("""COMPUTED_VALUE"""),"--")</f>
        <v>--</v>
      </c>
      <c r="AA769" s="251" t="str">
        <f>IFERROR(__xludf.DUMMYFUNCTION("""COMPUTED_VALUE"""),"--")</f>
        <v>--</v>
      </c>
      <c r="AB769" s="251" t="str">
        <f>IFERROR(__xludf.DUMMYFUNCTION("""COMPUTED_VALUE"""),"--")</f>
        <v>--</v>
      </c>
      <c r="AC769" s="251" t="str">
        <f>IFERROR(__xludf.DUMMYFUNCTION("""COMPUTED_VALUE"""),"--")</f>
        <v>--</v>
      </c>
      <c r="AD769" s="251">
        <f>IFERROR(__xludf.DUMMYFUNCTION("""COMPUTED_VALUE"""),3.0)</f>
        <v>3</v>
      </c>
      <c r="AE769" s="251" t="str">
        <f>IFERROR(__xludf.DUMMYFUNCTION("""COMPUTED_VALUE"""),"Herbivore")</f>
        <v>Herbivore</v>
      </c>
    </row>
    <row r="770">
      <c r="A770" s="251" t="str">
        <f>IFERROR(__xludf.DUMMYFUNCTION("""COMPUTED_VALUE"""),"Silicobra")</f>
        <v>Silicobra</v>
      </c>
      <c r="B770" s="251" t="str">
        <f>IFERROR(__xludf.DUMMYFUNCTION("""COMPUTED_VALUE"""),"Ground")</f>
        <v>Ground</v>
      </c>
      <c r="C770" s="251" t="str">
        <f>IFERROR(__xludf.DUMMYFUNCTION("""COMPUTED_VALUE"""),"None")</f>
        <v>None</v>
      </c>
      <c r="D770" s="251">
        <f>IFERROR(__xludf.DUMMYFUNCTION("""COMPUTED_VALUE"""),5.0)</f>
        <v>5</v>
      </c>
      <c r="E770" s="251">
        <f>IFERROR(__xludf.DUMMYFUNCTION("""COMPUTED_VALUE"""),6.0)</f>
        <v>6</v>
      </c>
      <c r="F770" s="251">
        <f>IFERROR(__xludf.DUMMYFUNCTION("""COMPUTED_VALUE"""),8.0)</f>
        <v>8</v>
      </c>
      <c r="G770" s="251">
        <f>IFERROR(__xludf.DUMMYFUNCTION("""COMPUTED_VALUE"""),4.0)</f>
        <v>4</v>
      </c>
      <c r="H770" s="251">
        <f>IFERROR(__xludf.DUMMYFUNCTION("""COMPUTED_VALUE"""),5.0)</f>
        <v>5</v>
      </c>
      <c r="I770" s="251">
        <f>IFERROR(__xludf.DUMMYFUNCTION("""COMPUTED_VALUE"""),5.0)</f>
        <v>5</v>
      </c>
      <c r="J770" s="251">
        <f>IFERROR(__xludf.DUMMYFUNCTION("""COMPUTED_VALUE"""),2.0)</f>
        <v>2</v>
      </c>
      <c r="K770" s="251" t="str">
        <f>IFERROR(__xludf.DUMMYFUNCTION("""COMPUTED_VALUE"""),"Medium")</f>
        <v>Medium</v>
      </c>
      <c r="L770" s="251">
        <f>IFERROR(__xludf.DUMMYFUNCTION("""COMPUTED_VALUE"""),1.0)</f>
        <v>1</v>
      </c>
      <c r="M770" s="251" t="str">
        <f>IFERROR(__xludf.DUMMYFUNCTION("""COMPUTED_VALUE"""),"Desert")</f>
        <v>Desert</v>
      </c>
      <c r="N770" s="251" t="str">
        <f>IFERROR(__xludf.DUMMYFUNCTION("""COMPUTED_VALUE"""),"Burrower")</f>
        <v>Burrower</v>
      </c>
      <c r="O770" s="251" t="str">
        <f>IFERROR(__xludf.DUMMYFUNCTION("""COMPUTED_VALUE"""),"--")</f>
        <v>--</v>
      </c>
      <c r="P770" s="251" t="str">
        <f>IFERROR(__xludf.DUMMYFUNCTION("""COMPUTED_VALUE"""),"--")</f>
        <v>--</v>
      </c>
      <c r="Q770" s="251" t="str">
        <f>IFERROR(__xludf.DUMMYFUNCTION("""COMPUTED_VALUE"""),"--")</f>
        <v>--</v>
      </c>
      <c r="R770" s="251" t="str">
        <f>IFERROR(__xludf.DUMMYFUNCTION("""COMPUTED_VALUE"""),"Underdog")</f>
        <v>Underdog</v>
      </c>
      <c r="S770" s="251" t="str">
        <f>IFERROR(__xludf.DUMMYFUNCTION("""COMPUTED_VALUE"""),"--")</f>
        <v>--</v>
      </c>
      <c r="T770" s="251" t="str">
        <f>IFERROR(__xludf.DUMMYFUNCTION("""COMPUTED_VALUE"""),"--")</f>
        <v>--</v>
      </c>
      <c r="U770" s="251" t="str">
        <f>IFERROR(__xludf.DUMMYFUNCTION("""COMPUTED_VALUE"""),"--")</f>
        <v>--</v>
      </c>
      <c r="V770" s="251" t="str">
        <f>IFERROR(__xludf.DUMMYFUNCTION("""COMPUTED_VALUE"""),"--")</f>
        <v>--</v>
      </c>
      <c r="W770" s="251" t="str">
        <f>IFERROR(__xludf.DUMMYFUNCTION("""COMPUTED_VALUE"""),"--")</f>
        <v>--</v>
      </c>
      <c r="X770" s="251" t="str">
        <f>IFERROR(__xludf.DUMMYFUNCTION("""COMPUTED_VALUE"""),"--")</f>
        <v>--</v>
      </c>
      <c r="Y770" s="251" t="str">
        <f>IFERROR(__xludf.DUMMYFUNCTION("""COMPUTED_VALUE"""),"--")</f>
        <v>--</v>
      </c>
      <c r="Z770" s="251" t="str">
        <f>IFERROR(__xludf.DUMMYFUNCTION("""COMPUTED_VALUE"""),"--")</f>
        <v>--</v>
      </c>
      <c r="AA770" s="251" t="str">
        <f>IFERROR(__xludf.DUMMYFUNCTION("""COMPUTED_VALUE"""),"--")</f>
        <v>--</v>
      </c>
      <c r="AB770" s="251" t="str">
        <f>IFERROR(__xludf.DUMMYFUNCTION("""COMPUTED_VALUE"""),"--")</f>
        <v>--</v>
      </c>
      <c r="AC770" s="251" t="str">
        <f>IFERROR(__xludf.DUMMYFUNCTION("""COMPUTED_VALUE"""),"--")</f>
        <v>--</v>
      </c>
      <c r="AD770" s="251">
        <f>IFERROR(__xludf.DUMMYFUNCTION("""COMPUTED_VALUE"""),2.0)</f>
        <v>2</v>
      </c>
      <c r="AE770" s="251" t="str">
        <f>IFERROR(__xludf.DUMMYFUNCTION("""COMPUTED_VALUE"""),"Carnivore")</f>
        <v>Carnivore</v>
      </c>
    </row>
    <row r="771">
      <c r="A771" s="251" t="str">
        <f>IFERROR(__xludf.DUMMYFUNCTION("""COMPUTED_VALUE"""),"Sandaconda")</f>
        <v>Sandaconda</v>
      </c>
      <c r="B771" s="251" t="str">
        <f>IFERROR(__xludf.DUMMYFUNCTION("""COMPUTED_VALUE"""),"Ground")</f>
        <v>Ground</v>
      </c>
      <c r="C771" s="251" t="str">
        <f>IFERROR(__xludf.DUMMYFUNCTION("""COMPUTED_VALUE"""),"None")</f>
        <v>None</v>
      </c>
      <c r="D771" s="251">
        <f>IFERROR(__xludf.DUMMYFUNCTION("""COMPUTED_VALUE"""),7.0)</f>
        <v>7</v>
      </c>
      <c r="E771" s="251">
        <f>IFERROR(__xludf.DUMMYFUNCTION("""COMPUTED_VALUE"""),11.0)</f>
        <v>11</v>
      </c>
      <c r="F771" s="251">
        <f>IFERROR(__xludf.DUMMYFUNCTION("""COMPUTED_VALUE"""),13.0)</f>
        <v>13</v>
      </c>
      <c r="G771" s="251">
        <f>IFERROR(__xludf.DUMMYFUNCTION("""COMPUTED_VALUE"""),7.0)</f>
        <v>7</v>
      </c>
      <c r="H771" s="251">
        <f>IFERROR(__xludf.DUMMYFUNCTION("""COMPUTED_VALUE"""),7.0)</f>
        <v>7</v>
      </c>
      <c r="I771" s="251">
        <f>IFERROR(__xludf.DUMMYFUNCTION("""COMPUTED_VALUE"""),7.0)</f>
        <v>7</v>
      </c>
      <c r="J771" s="251">
        <f>IFERROR(__xludf.DUMMYFUNCTION("""COMPUTED_VALUE"""),5.0)</f>
        <v>5</v>
      </c>
      <c r="K771" s="251" t="str">
        <f>IFERROR(__xludf.DUMMYFUNCTION("""COMPUTED_VALUE"""),"Large")</f>
        <v>Large</v>
      </c>
      <c r="L771" s="251">
        <f>IFERROR(__xludf.DUMMYFUNCTION("""COMPUTED_VALUE"""),4.0)</f>
        <v>4</v>
      </c>
      <c r="M771" s="251" t="str">
        <f>IFERROR(__xludf.DUMMYFUNCTION("""COMPUTED_VALUE"""),"Desert")</f>
        <v>Desert</v>
      </c>
      <c r="N771" s="251" t="str">
        <f>IFERROR(__xludf.DUMMYFUNCTION("""COMPUTED_VALUE"""),"Burrower")</f>
        <v>Burrower</v>
      </c>
      <c r="O771" s="251" t="str">
        <f>IFERROR(__xludf.DUMMYFUNCTION("""COMPUTED_VALUE"""),"--")</f>
        <v>--</v>
      </c>
      <c r="P771" s="251" t="str">
        <f>IFERROR(__xludf.DUMMYFUNCTION("""COMPUTED_VALUE"""),"--")</f>
        <v>--</v>
      </c>
      <c r="Q771" s="251" t="str">
        <f>IFERROR(__xludf.DUMMYFUNCTION("""COMPUTED_VALUE"""),"--")</f>
        <v>--</v>
      </c>
      <c r="R771" s="251" t="str">
        <f>IFERROR(__xludf.DUMMYFUNCTION("""COMPUTED_VALUE"""),"--")</f>
        <v>--</v>
      </c>
      <c r="S771" s="251" t="str">
        <f>IFERROR(__xludf.DUMMYFUNCTION("""COMPUTED_VALUE"""),"--")</f>
        <v>--</v>
      </c>
      <c r="T771" s="251" t="str">
        <f>IFERROR(__xludf.DUMMYFUNCTION("""COMPUTED_VALUE"""),"--")</f>
        <v>--</v>
      </c>
      <c r="U771" s="251" t="str">
        <f>IFERROR(__xludf.DUMMYFUNCTION("""COMPUTED_VALUE"""),"--")</f>
        <v>--</v>
      </c>
      <c r="V771" s="251" t="str">
        <f>IFERROR(__xludf.DUMMYFUNCTION("""COMPUTED_VALUE"""),"--")</f>
        <v>--</v>
      </c>
      <c r="W771" s="251" t="str">
        <f>IFERROR(__xludf.DUMMYFUNCTION("""COMPUTED_VALUE"""),"--")</f>
        <v>--</v>
      </c>
      <c r="X771" s="251" t="str">
        <f>IFERROR(__xludf.DUMMYFUNCTION("""COMPUTED_VALUE"""),"--")</f>
        <v>--</v>
      </c>
      <c r="Y771" s="251" t="str">
        <f>IFERROR(__xludf.DUMMYFUNCTION("""COMPUTED_VALUE"""),"--")</f>
        <v>--</v>
      </c>
      <c r="Z771" s="251" t="str">
        <f>IFERROR(__xludf.DUMMYFUNCTION("""COMPUTED_VALUE"""),"--")</f>
        <v>--</v>
      </c>
      <c r="AA771" s="251" t="str">
        <f>IFERROR(__xludf.DUMMYFUNCTION("""COMPUTED_VALUE"""),"--")</f>
        <v>--</v>
      </c>
      <c r="AB771" s="251" t="str">
        <f>IFERROR(__xludf.DUMMYFUNCTION("""COMPUTED_VALUE"""),"--")</f>
        <v>--</v>
      </c>
      <c r="AC771" s="251" t="str">
        <f>IFERROR(__xludf.DUMMYFUNCTION("""COMPUTED_VALUE"""),"--")</f>
        <v>--</v>
      </c>
      <c r="AD771" s="251">
        <f>IFERROR(__xludf.DUMMYFUNCTION("""COMPUTED_VALUE"""),3.0)</f>
        <v>3</v>
      </c>
      <c r="AE771" s="251" t="str">
        <f>IFERROR(__xludf.DUMMYFUNCTION("""COMPUTED_VALUE"""),"Carnivore")</f>
        <v>Carnivore</v>
      </c>
    </row>
    <row r="772">
      <c r="A772" s="251" t="str">
        <f>IFERROR(__xludf.DUMMYFUNCTION("""COMPUTED_VALUE"""),"Smoochum")</f>
        <v>Smoochum</v>
      </c>
      <c r="B772" s="251" t="str">
        <f>IFERROR(__xludf.DUMMYFUNCTION("""COMPUTED_VALUE"""),"Ice")</f>
        <v>Ice</v>
      </c>
      <c r="C772" s="251" t="str">
        <f>IFERROR(__xludf.DUMMYFUNCTION("""COMPUTED_VALUE"""),"Psychic")</f>
        <v>Psychic</v>
      </c>
      <c r="D772" s="251">
        <f>IFERROR(__xludf.DUMMYFUNCTION("""COMPUTED_VALUE"""),5.0)</f>
        <v>5</v>
      </c>
      <c r="E772" s="251">
        <f>IFERROR(__xludf.DUMMYFUNCTION("""COMPUTED_VALUE"""),3.0)</f>
        <v>3</v>
      </c>
      <c r="F772" s="251">
        <f>IFERROR(__xludf.DUMMYFUNCTION("""COMPUTED_VALUE"""),2.0)</f>
        <v>2</v>
      </c>
      <c r="G772" s="251">
        <f>IFERROR(__xludf.DUMMYFUNCTION("""COMPUTED_VALUE"""),9.0)</f>
        <v>9</v>
      </c>
      <c r="H772" s="251">
        <f>IFERROR(__xludf.DUMMYFUNCTION("""COMPUTED_VALUE"""),7.0)</f>
        <v>7</v>
      </c>
      <c r="I772" s="251">
        <f>IFERROR(__xludf.DUMMYFUNCTION("""COMPUTED_VALUE"""),7.0)</f>
        <v>7</v>
      </c>
      <c r="J772" s="251">
        <f>IFERROR(__xludf.DUMMYFUNCTION("""COMPUTED_VALUE"""),1.0)</f>
        <v>1</v>
      </c>
      <c r="K772" s="251" t="str">
        <f>IFERROR(__xludf.DUMMYFUNCTION("""COMPUTED_VALUE"""),"Small")</f>
        <v>Small</v>
      </c>
      <c r="L772" s="251">
        <f>IFERROR(__xludf.DUMMYFUNCTION("""COMPUTED_VALUE"""),1.0)</f>
        <v>1</v>
      </c>
      <c r="M772" s="251" t="str">
        <f>IFERROR(__xludf.DUMMYFUNCTION("""COMPUTED_VALUE"""),"Tundra")</f>
        <v>Tundra</v>
      </c>
      <c r="N772" s="251" t="str">
        <f>IFERROR(__xludf.DUMMYFUNCTION("""COMPUTED_VALUE"""),"Slow")</f>
        <v>Slow</v>
      </c>
      <c r="O772" s="251" t="str">
        <f>IFERROR(__xludf.DUMMYFUNCTION("""COMPUTED_VALUE"""),"--")</f>
        <v>--</v>
      </c>
      <c r="P772" s="251" t="str">
        <f>IFERROR(__xludf.DUMMYFUNCTION("""COMPUTED_VALUE"""),"--")</f>
        <v>--</v>
      </c>
      <c r="Q772" s="251" t="str">
        <f>IFERROR(__xludf.DUMMYFUNCTION("""COMPUTED_VALUE"""),"--")</f>
        <v>--</v>
      </c>
      <c r="R772" s="251" t="str">
        <f>IFERROR(__xludf.DUMMYFUNCTION("""COMPUTED_VALUE"""),"Underdog")</f>
        <v>Underdog</v>
      </c>
      <c r="S772" s="251" t="str">
        <f>IFERROR(__xludf.DUMMYFUNCTION("""COMPUTED_VALUE"""),"--")</f>
        <v>--</v>
      </c>
      <c r="T772" s="251" t="str">
        <f>IFERROR(__xludf.DUMMYFUNCTION("""COMPUTED_VALUE"""),"--")</f>
        <v>--</v>
      </c>
      <c r="U772" s="251" t="str">
        <f>IFERROR(__xludf.DUMMYFUNCTION("""COMPUTED_VALUE"""),"--")</f>
        <v>--</v>
      </c>
      <c r="V772" s="251" t="str">
        <f>IFERROR(__xludf.DUMMYFUNCTION("""COMPUTED_VALUE"""),"--")</f>
        <v>--</v>
      </c>
      <c r="W772" s="251" t="str">
        <f>IFERROR(__xludf.DUMMYFUNCTION("""COMPUTED_VALUE"""),"--")</f>
        <v>--</v>
      </c>
      <c r="X772" s="251" t="str">
        <f>IFERROR(__xludf.DUMMYFUNCTION("""COMPUTED_VALUE"""),"--")</f>
        <v>--</v>
      </c>
      <c r="Y772" s="251" t="str">
        <f>IFERROR(__xludf.DUMMYFUNCTION("""COMPUTED_VALUE"""),"--")</f>
        <v>--</v>
      </c>
      <c r="Z772" s="251" t="str">
        <f>IFERROR(__xludf.DUMMYFUNCTION("""COMPUTED_VALUE"""),"--")</f>
        <v>--</v>
      </c>
      <c r="AA772" s="251" t="str">
        <f>IFERROR(__xludf.DUMMYFUNCTION("""COMPUTED_VALUE"""),"--")</f>
        <v>--</v>
      </c>
      <c r="AB772" s="251" t="str">
        <f>IFERROR(__xludf.DUMMYFUNCTION("""COMPUTED_VALUE"""),"--")</f>
        <v>--</v>
      </c>
      <c r="AC772" s="251" t="str">
        <f>IFERROR(__xludf.DUMMYFUNCTION("""COMPUTED_VALUE"""),"--")</f>
        <v>--</v>
      </c>
      <c r="AD772" s="251">
        <f>IFERROR(__xludf.DUMMYFUNCTION("""COMPUTED_VALUE"""),2.0)</f>
        <v>2</v>
      </c>
      <c r="AE772" s="251" t="str">
        <f>IFERROR(__xludf.DUMMYFUNCTION("""COMPUTED_VALUE"""),"Omnivore")</f>
        <v>Omnivore</v>
      </c>
    </row>
    <row r="773">
      <c r="A773" s="251" t="str">
        <f>IFERROR(__xludf.DUMMYFUNCTION("""COMPUTED_VALUE"""),"Jynx")</f>
        <v>Jynx</v>
      </c>
      <c r="B773" s="251" t="str">
        <f>IFERROR(__xludf.DUMMYFUNCTION("""COMPUTED_VALUE"""),"Ice")</f>
        <v>Ice</v>
      </c>
      <c r="C773" s="251" t="str">
        <f>IFERROR(__xludf.DUMMYFUNCTION("""COMPUTED_VALUE"""),"Psychic")</f>
        <v>Psychic</v>
      </c>
      <c r="D773" s="251">
        <f>IFERROR(__xludf.DUMMYFUNCTION("""COMPUTED_VALUE"""),7.0)</f>
        <v>7</v>
      </c>
      <c r="E773" s="251">
        <f>IFERROR(__xludf.DUMMYFUNCTION("""COMPUTED_VALUE"""),5.0)</f>
        <v>5</v>
      </c>
      <c r="F773" s="251">
        <f>IFERROR(__xludf.DUMMYFUNCTION("""COMPUTED_VALUE"""),5.0)</f>
        <v>5</v>
      </c>
      <c r="G773" s="251">
        <f>IFERROR(__xludf.DUMMYFUNCTION("""COMPUTED_VALUE"""),13.0)</f>
        <v>13</v>
      </c>
      <c r="H773" s="251">
        <f>IFERROR(__xludf.DUMMYFUNCTION("""COMPUTED_VALUE"""),11.0)</f>
        <v>11</v>
      </c>
      <c r="I773" s="251">
        <f>IFERROR(__xludf.DUMMYFUNCTION("""COMPUTED_VALUE"""),10.0)</f>
        <v>10</v>
      </c>
      <c r="J773" s="251">
        <f>IFERROR(__xludf.DUMMYFUNCTION("""COMPUTED_VALUE"""),4.0)</f>
        <v>4</v>
      </c>
      <c r="K773" s="251" t="str">
        <f>IFERROR(__xludf.DUMMYFUNCTION("""COMPUTED_VALUE"""),"Medium")</f>
        <v>Medium</v>
      </c>
      <c r="L773" s="251">
        <f>IFERROR(__xludf.DUMMYFUNCTION("""COMPUTED_VALUE"""),3.0)</f>
        <v>3</v>
      </c>
      <c r="M773" s="251" t="str">
        <f>IFERROR(__xludf.DUMMYFUNCTION("""COMPUTED_VALUE"""),"Tundra")</f>
        <v>Tundra</v>
      </c>
      <c r="N773" s="251" t="str">
        <f>IFERROR(__xludf.DUMMYFUNCTION("""COMPUTED_VALUE"""),"--")</f>
        <v>--</v>
      </c>
      <c r="O773" s="251" t="str">
        <f>IFERROR(__xludf.DUMMYFUNCTION("""COMPUTED_VALUE"""),"--")</f>
        <v>--</v>
      </c>
      <c r="P773" s="251" t="str">
        <f>IFERROR(__xludf.DUMMYFUNCTION("""COMPUTED_VALUE"""),"--")</f>
        <v>--</v>
      </c>
      <c r="Q773" s="251" t="str">
        <f>IFERROR(__xludf.DUMMYFUNCTION("""COMPUTED_VALUE"""),"--")</f>
        <v>--</v>
      </c>
      <c r="R773" s="251" t="str">
        <f>IFERROR(__xludf.DUMMYFUNCTION("""COMPUTED_VALUE"""),"Telekinetic")</f>
        <v>Telekinetic</v>
      </c>
      <c r="S773" s="251" t="str">
        <f>IFERROR(__xludf.DUMMYFUNCTION("""COMPUTED_VALUE"""),"--")</f>
        <v>--</v>
      </c>
      <c r="T773" s="251" t="str">
        <f>IFERROR(__xludf.DUMMYFUNCTION("""COMPUTED_VALUE"""),"--")</f>
        <v>--</v>
      </c>
      <c r="U773" s="251" t="str">
        <f>IFERROR(__xludf.DUMMYFUNCTION("""COMPUTED_VALUE"""),"--")</f>
        <v>--</v>
      </c>
      <c r="V773" s="251" t="str">
        <f>IFERROR(__xludf.DUMMYFUNCTION("""COMPUTED_VALUE"""),"--")</f>
        <v>--</v>
      </c>
      <c r="W773" s="251" t="str">
        <f>IFERROR(__xludf.DUMMYFUNCTION("""COMPUTED_VALUE"""),"--")</f>
        <v>--</v>
      </c>
      <c r="X773" s="251" t="str">
        <f>IFERROR(__xludf.DUMMYFUNCTION("""COMPUTED_VALUE"""),"--")</f>
        <v>--</v>
      </c>
      <c r="Y773" s="251" t="str">
        <f>IFERROR(__xludf.DUMMYFUNCTION("""COMPUTED_VALUE"""),"--")</f>
        <v>--</v>
      </c>
      <c r="Z773" s="251" t="str">
        <f>IFERROR(__xludf.DUMMYFUNCTION("""COMPUTED_VALUE"""),"--")</f>
        <v>--</v>
      </c>
      <c r="AA773" s="251" t="str">
        <f>IFERROR(__xludf.DUMMYFUNCTION("""COMPUTED_VALUE"""),"--")</f>
        <v>--</v>
      </c>
      <c r="AB773" s="251" t="str">
        <f>IFERROR(__xludf.DUMMYFUNCTION("""COMPUTED_VALUE"""),"--")</f>
        <v>--</v>
      </c>
      <c r="AC773" s="251" t="str">
        <f>IFERROR(__xludf.DUMMYFUNCTION("""COMPUTED_VALUE"""),"--")</f>
        <v>--</v>
      </c>
      <c r="AD773" s="251">
        <f>IFERROR(__xludf.DUMMYFUNCTION("""COMPUTED_VALUE"""),3.0)</f>
        <v>3</v>
      </c>
      <c r="AE773" s="251" t="str">
        <f>IFERROR(__xludf.DUMMYFUNCTION("""COMPUTED_VALUE"""),"Omnivore")</f>
        <v>Omnivore</v>
      </c>
    </row>
    <row r="774">
      <c r="A774" s="251" t="str">
        <f>IFERROR(__xludf.DUMMYFUNCTION("""COMPUTED_VALUE"""),"Snorunt")</f>
        <v>Snorunt</v>
      </c>
      <c r="B774" s="251" t="str">
        <f>IFERROR(__xludf.DUMMYFUNCTION("""COMPUTED_VALUE"""),"Ice")</f>
        <v>Ice</v>
      </c>
      <c r="C774" s="251" t="str">
        <f>IFERROR(__xludf.DUMMYFUNCTION("""COMPUTED_VALUE"""),"None")</f>
        <v>None</v>
      </c>
      <c r="D774" s="251">
        <f>IFERROR(__xludf.DUMMYFUNCTION("""COMPUTED_VALUE"""),5.0)</f>
        <v>5</v>
      </c>
      <c r="E774" s="251">
        <f>IFERROR(__xludf.DUMMYFUNCTION("""COMPUTED_VALUE"""),5.0)</f>
        <v>5</v>
      </c>
      <c r="F774" s="251">
        <f>IFERROR(__xludf.DUMMYFUNCTION("""COMPUTED_VALUE"""),5.0)</f>
        <v>5</v>
      </c>
      <c r="G774" s="251">
        <f>IFERROR(__xludf.DUMMYFUNCTION("""COMPUTED_VALUE"""),5.0)</f>
        <v>5</v>
      </c>
      <c r="H774" s="251">
        <f>IFERROR(__xludf.DUMMYFUNCTION("""COMPUTED_VALUE"""),5.0)</f>
        <v>5</v>
      </c>
      <c r="I774" s="251">
        <f>IFERROR(__xludf.DUMMYFUNCTION("""COMPUTED_VALUE"""),5.0)</f>
        <v>5</v>
      </c>
      <c r="J774" s="251">
        <f>IFERROR(__xludf.DUMMYFUNCTION("""COMPUTED_VALUE"""),1.0)</f>
        <v>1</v>
      </c>
      <c r="K774" s="251" t="str">
        <f>IFERROR(__xludf.DUMMYFUNCTION("""COMPUTED_VALUE"""),"Small")</f>
        <v>Small</v>
      </c>
      <c r="L774" s="251">
        <f>IFERROR(__xludf.DUMMYFUNCTION("""COMPUTED_VALUE"""),2.0)</f>
        <v>2</v>
      </c>
      <c r="M774" s="251" t="str">
        <f>IFERROR(__xludf.DUMMYFUNCTION("""COMPUTED_VALUE"""),"Cave, Tundra")</f>
        <v>Cave, Tundra</v>
      </c>
      <c r="N774" s="251" t="str">
        <f>IFERROR(__xludf.DUMMYFUNCTION("""COMPUTED_VALUE"""),"Slow")</f>
        <v>Slow</v>
      </c>
      <c r="O774" s="251" t="str">
        <f>IFERROR(__xludf.DUMMYFUNCTION("""COMPUTED_VALUE"""),"--")</f>
        <v>--</v>
      </c>
      <c r="P774" s="251" t="str">
        <f>IFERROR(__xludf.DUMMYFUNCTION("""COMPUTED_VALUE"""),"--")</f>
        <v>--</v>
      </c>
      <c r="Q774" s="251" t="str">
        <f>IFERROR(__xludf.DUMMYFUNCTION("""COMPUTED_VALUE"""),"--")</f>
        <v>--</v>
      </c>
      <c r="R774" s="251" t="str">
        <f>IFERROR(__xludf.DUMMYFUNCTION("""COMPUTED_VALUE"""),"Underdog")</f>
        <v>Underdog</v>
      </c>
      <c r="S774" s="251" t="str">
        <f>IFERROR(__xludf.DUMMYFUNCTION("""COMPUTED_VALUE"""),"--")</f>
        <v>--</v>
      </c>
      <c r="T774" s="251" t="str">
        <f>IFERROR(__xludf.DUMMYFUNCTION("""COMPUTED_VALUE"""),"--")</f>
        <v>--</v>
      </c>
      <c r="U774" s="251" t="str">
        <f>IFERROR(__xludf.DUMMYFUNCTION("""COMPUTED_VALUE"""),"--")</f>
        <v>--</v>
      </c>
      <c r="V774" s="251" t="str">
        <f>IFERROR(__xludf.DUMMYFUNCTION("""COMPUTED_VALUE"""),"Chilled")</f>
        <v>Chilled</v>
      </c>
      <c r="W774" s="251" t="str">
        <f>IFERROR(__xludf.DUMMYFUNCTION("""COMPUTED_VALUE"""),"--")</f>
        <v>--</v>
      </c>
      <c r="X774" s="251" t="str">
        <f>IFERROR(__xludf.DUMMYFUNCTION("""COMPUTED_VALUE"""),"--")</f>
        <v>--</v>
      </c>
      <c r="Y774" s="251" t="str">
        <f>IFERROR(__xludf.DUMMYFUNCTION("""COMPUTED_VALUE"""),"--")</f>
        <v>--</v>
      </c>
      <c r="Z774" s="251" t="str">
        <f>IFERROR(__xludf.DUMMYFUNCTION("""COMPUTED_VALUE"""),"--")</f>
        <v>--</v>
      </c>
      <c r="AA774" s="251" t="str">
        <f>IFERROR(__xludf.DUMMYFUNCTION("""COMPUTED_VALUE"""),"--")</f>
        <v>--</v>
      </c>
      <c r="AB774" s="251" t="str">
        <f>IFERROR(__xludf.DUMMYFUNCTION("""COMPUTED_VALUE"""),"--")</f>
        <v>--</v>
      </c>
      <c r="AC774" s="251" t="str">
        <f>IFERROR(__xludf.DUMMYFUNCTION("""COMPUTED_VALUE"""),"--")</f>
        <v>--</v>
      </c>
      <c r="AD774" s="251">
        <f>IFERROR(__xludf.DUMMYFUNCTION("""COMPUTED_VALUE"""),2.0)</f>
        <v>2</v>
      </c>
      <c r="AE774" s="251" t="str">
        <f>IFERROR(__xludf.DUMMYFUNCTION("""COMPUTED_VALUE"""),"Nullivore")</f>
        <v>Nullivore</v>
      </c>
    </row>
    <row r="775">
      <c r="A775" s="251" t="str">
        <f>IFERROR(__xludf.DUMMYFUNCTION("""COMPUTED_VALUE"""),"Glalie")</f>
        <v>Glalie</v>
      </c>
      <c r="B775" s="251" t="str">
        <f>IFERROR(__xludf.DUMMYFUNCTION("""COMPUTED_VALUE"""),"Ice")</f>
        <v>Ice</v>
      </c>
      <c r="C775" s="251" t="str">
        <f>IFERROR(__xludf.DUMMYFUNCTION("""COMPUTED_VALUE"""),"None")</f>
        <v>None</v>
      </c>
      <c r="D775" s="251">
        <f>IFERROR(__xludf.DUMMYFUNCTION("""COMPUTED_VALUE"""),9.0)</f>
        <v>9</v>
      </c>
      <c r="E775" s="251">
        <f>IFERROR(__xludf.DUMMYFUNCTION("""COMPUTED_VALUE"""),9.0)</f>
        <v>9</v>
      </c>
      <c r="F775" s="251">
        <f>IFERROR(__xludf.DUMMYFUNCTION("""COMPUTED_VALUE"""),9.0)</f>
        <v>9</v>
      </c>
      <c r="G775" s="251">
        <f>IFERROR(__xludf.DUMMYFUNCTION("""COMPUTED_VALUE"""),8.0)</f>
        <v>8</v>
      </c>
      <c r="H775" s="251">
        <f>IFERROR(__xludf.DUMMYFUNCTION("""COMPUTED_VALUE"""),8.0)</f>
        <v>8</v>
      </c>
      <c r="I775" s="251">
        <f>IFERROR(__xludf.DUMMYFUNCTION("""COMPUTED_VALUE"""),8.0)</f>
        <v>8</v>
      </c>
      <c r="J775" s="251">
        <f>IFERROR(__xludf.DUMMYFUNCTION("""COMPUTED_VALUE"""),5.0)</f>
        <v>5</v>
      </c>
      <c r="K775" s="251" t="str">
        <f>IFERROR(__xludf.DUMMYFUNCTION("""COMPUTED_VALUE"""),"Medium")</f>
        <v>Medium</v>
      </c>
      <c r="L775" s="251">
        <f>IFERROR(__xludf.DUMMYFUNCTION("""COMPUTED_VALUE"""),6.0)</f>
        <v>6</v>
      </c>
      <c r="M775" s="251" t="str">
        <f>IFERROR(__xludf.DUMMYFUNCTION("""COMPUTED_VALUE"""),"Cave, Tundra")</f>
        <v>Cave, Tundra</v>
      </c>
      <c r="N775" s="251" t="str">
        <f>IFERROR(__xludf.DUMMYFUNCTION("""COMPUTED_VALUE"""),"Flier")</f>
        <v>Flier</v>
      </c>
      <c r="O775" s="251" t="str">
        <f>IFERROR(__xludf.DUMMYFUNCTION("""COMPUTED_VALUE"""),"--")</f>
        <v>--</v>
      </c>
      <c r="P775" s="251" t="str">
        <f>IFERROR(__xludf.DUMMYFUNCTION("""COMPUTED_VALUE"""),"--")</f>
        <v>--</v>
      </c>
      <c r="Q775" s="251" t="str">
        <f>IFERROR(__xludf.DUMMYFUNCTION("""COMPUTED_VALUE"""),"--")</f>
        <v>--</v>
      </c>
      <c r="R775" s="251" t="str">
        <f>IFERROR(__xludf.DUMMYFUNCTION("""COMPUTED_VALUE"""),"Darkvision")</f>
        <v>Darkvision</v>
      </c>
      <c r="S775" s="251" t="str">
        <f>IFERROR(__xludf.DUMMYFUNCTION("""COMPUTED_VALUE"""),"--")</f>
        <v>--</v>
      </c>
      <c r="T775" s="251" t="str">
        <f>IFERROR(__xludf.DUMMYFUNCTION("""COMPUTED_VALUE"""),"--")</f>
        <v>--</v>
      </c>
      <c r="U775" s="251" t="str">
        <f>IFERROR(__xludf.DUMMYFUNCTION("""COMPUTED_VALUE"""),"--")</f>
        <v>--</v>
      </c>
      <c r="V775" s="251" t="str">
        <f>IFERROR(__xludf.DUMMYFUNCTION("""COMPUTED_VALUE"""),"Chilled")</f>
        <v>Chilled</v>
      </c>
      <c r="W775" s="251" t="str">
        <f>IFERROR(__xludf.DUMMYFUNCTION("""COMPUTED_VALUE"""),"Dead Silent")</f>
        <v>Dead Silent</v>
      </c>
      <c r="X775" s="251" t="str">
        <f>IFERROR(__xludf.DUMMYFUNCTION("""COMPUTED_VALUE"""),"--")</f>
        <v>--</v>
      </c>
      <c r="Y775" s="251" t="str">
        <f>IFERROR(__xludf.DUMMYFUNCTION("""COMPUTED_VALUE"""),"--")</f>
        <v>--</v>
      </c>
      <c r="Z775" s="251" t="str">
        <f>IFERROR(__xludf.DUMMYFUNCTION("""COMPUTED_VALUE"""),"--")</f>
        <v>--</v>
      </c>
      <c r="AA775" s="251" t="str">
        <f>IFERROR(__xludf.DUMMYFUNCTION("""COMPUTED_VALUE"""),"--")</f>
        <v>--</v>
      </c>
      <c r="AB775" s="251" t="str">
        <f>IFERROR(__xludf.DUMMYFUNCTION("""COMPUTED_VALUE"""),"--")</f>
        <v>--</v>
      </c>
      <c r="AC775" s="251" t="str">
        <f>IFERROR(__xludf.DUMMYFUNCTION("""COMPUTED_VALUE"""),"--")</f>
        <v>--</v>
      </c>
      <c r="AD775" s="251">
        <f>IFERROR(__xludf.DUMMYFUNCTION("""COMPUTED_VALUE"""),3.0)</f>
        <v>3</v>
      </c>
      <c r="AE775" s="251" t="str">
        <f>IFERROR(__xludf.DUMMYFUNCTION("""COMPUTED_VALUE"""),"Carnivore")</f>
        <v>Carnivore</v>
      </c>
    </row>
    <row r="776">
      <c r="A776" s="251" t="str">
        <f>IFERROR(__xludf.DUMMYFUNCTION("""COMPUTED_VALUE"""),"Froslass")</f>
        <v>Froslass</v>
      </c>
      <c r="B776" s="251" t="str">
        <f>IFERROR(__xludf.DUMMYFUNCTION("""COMPUTED_VALUE"""),"Ice")</f>
        <v>Ice</v>
      </c>
      <c r="C776" s="251" t="str">
        <f>IFERROR(__xludf.DUMMYFUNCTION("""COMPUTED_VALUE"""),"Ghost")</f>
        <v>Ghost</v>
      </c>
      <c r="D776" s="251">
        <f>IFERROR(__xludf.DUMMYFUNCTION("""COMPUTED_VALUE"""),7.0)</f>
        <v>7</v>
      </c>
      <c r="E776" s="251">
        <f>IFERROR(__xludf.DUMMYFUNCTION("""COMPUTED_VALUE"""),8.0)</f>
        <v>8</v>
      </c>
      <c r="F776" s="251">
        <f>IFERROR(__xludf.DUMMYFUNCTION("""COMPUTED_VALUE"""),7.0)</f>
        <v>7</v>
      </c>
      <c r="G776" s="251">
        <f>IFERROR(__xludf.DUMMYFUNCTION("""COMPUTED_VALUE"""),10.0)</f>
        <v>10</v>
      </c>
      <c r="H776" s="251">
        <f>IFERROR(__xludf.DUMMYFUNCTION("""COMPUTED_VALUE"""),7.0)</f>
        <v>7</v>
      </c>
      <c r="I776" s="251">
        <f>IFERROR(__xludf.DUMMYFUNCTION("""COMPUTED_VALUE"""),12.0)</f>
        <v>12</v>
      </c>
      <c r="J776" s="251">
        <f>IFERROR(__xludf.DUMMYFUNCTION("""COMPUTED_VALUE"""),3.0)</f>
        <v>3</v>
      </c>
      <c r="K776" s="251" t="str">
        <f>IFERROR(__xludf.DUMMYFUNCTION("""COMPUTED_VALUE"""),"Medium")</f>
        <v>Medium</v>
      </c>
      <c r="L776" s="251">
        <f>IFERROR(__xludf.DUMMYFUNCTION("""COMPUTED_VALUE"""),3.0)</f>
        <v>3</v>
      </c>
      <c r="M776" s="251" t="str">
        <f>IFERROR(__xludf.DUMMYFUNCTION("""COMPUTED_VALUE"""),"Cave, Tundra")</f>
        <v>Cave, Tundra</v>
      </c>
      <c r="N776" s="251" t="str">
        <f>IFERROR(__xludf.DUMMYFUNCTION("""COMPUTED_VALUE"""),"Flier")</f>
        <v>Flier</v>
      </c>
      <c r="O776" s="251" t="str">
        <f>IFERROR(__xludf.DUMMYFUNCTION("""COMPUTED_VALUE"""),"--")</f>
        <v>--</v>
      </c>
      <c r="P776" s="251" t="str">
        <f>IFERROR(__xludf.DUMMYFUNCTION("""COMPUTED_VALUE"""),"--")</f>
        <v>--</v>
      </c>
      <c r="Q776" s="251" t="str">
        <f>IFERROR(__xludf.DUMMYFUNCTION("""COMPUTED_VALUE"""),"--")</f>
        <v>--</v>
      </c>
      <c r="R776" s="251" t="str">
        <f>IFERROR(__xludf.DUMMYFUNCTION("""COMPUTED_VALUE"""),"Darkvision")</f>
        <v>Darkvision</v>
      </c>
      <c r="S776" s="251" t="str">
        <f>IFERROR(__xludf.DUMMYFUNCTION("""COMPUTED_VALUE"""),"--")</f>
        <v>--</v>
      </c>
      <c r="T776" s="251" t="str">
        <f>IFERROR(__xludf.DUMMYFUNCTION("""COMPUTED_VALUE"""),"--")</f>
        <v>--</v>
      </c>
      <c r="U776" s="251" t="str">
        <f>IFERROR(__xludf.DUMMYFUNCTION("""COMPUTED_VALUE"""),"--")</f>
        <v>--</v>
      </c>
      <c r="V776" s="251" t="str">
        <f>IFERROR(__xludf.DUMMYFUNCTION("""COMPUTED_VALUE"""),"Chilled")</f>
        <v>Chilled</v>
      </c>
      <c r="W776" s="251" t="str">
        <f>IFERROR(__xludf.DUMMYFUNCTION("""COMPUTED_VALUE"""),"Dead Silent")</f>
        <v>Dead Silent</v>
      </c>
      <c r="X776" s="251" t="str">
        <f>IFERROR(__xludf.DUMMYFUNCTION("""COMPUTED_VALUE"""),"Illusionist")</f>
        <v>Illusionist</v>
      </c>
      <c r="Y776" s="251" t="str">
        <f>IFERROR(__xludf.DUMMYFUNCTION("""COMPUTED_VALUE"""),"--")</f>
        <v>--</v>
      </c>
      <c r="Z776" s="251" t="str">
        <f>IFERROR(__xludf.DUMMYFUNCTION("""COMPUTED_VALUE"""),"--")</f>
        <v>--</v>
      </c>
      <c r="AA776" s="251" t="str">
        <f>IFERROR(__xludf.DUMMYFUNCTION("""COMPUTED_VALUE"""),"--")</f>
        <v>--</v>
      </c>
      <c r="AB776" s="251" t="str">
        <f>IFERROR(__xludf.DUMMYFUNCTION("""COMPUTED_VALUE"""),"--")</f>
        <v>--</v>
      </c>
      <c r="AC776" s="251" t="str">
        <f>IFERROR(__xludf.DUMMYFUNCTION("""COMPUTED_VALUE"""),"--")</f>
        <v>--</v>
      </c>
      <c r="AD776" s="251">
        <f>IFERROR(__xludf.DUMMYFUNCTION("""COMPUTED_VALUE"""),3.0)</f>
        <v>3</v>
      </c>
      <c r="AE776" s="251" t="str">
        <f>IFERROR(__xludf.DUMMYFUNCTION("""COMPUTED_VALUE"""),"Nullivore")</f>
        <v>Nullivore</v>
      </c>
    </row>
    <row r="777">
      <c r="A777" s="251" t="str">
        <f>IFERROR(__xludf.DUMMYFUNCTION("""COMPUTED_VALUE"""),"Cubchoo")</f>
        <v>Cubchoo</v>
      </c>
      <c r="B777" s="251" t="str">
        <f>IFERROR(__xludf.DUMMYFUNCTION("""COMPUTED_VALUE"""),"Ice")</f>
        <v>Ice</v>
      </c>
      <c r="C777" s="251" t="str">
        <f>IFERROR(__xludf.DUMMYFUNCTION("""COMPUTED_VALUE"""),"None")</f>
        <v>None</v>
      </c>
      <c r="D777" s="251">
        <f>IFERROR(__xludf.DUMMYFUNCTION("""COMPUTED_VALUE"""),6.0)</f>
        <v>6</v>
      </c>
      <c r="E777" s="251">
        <f>IFERROR(__xludf.DUMMYFUNCTION("""COMPUTED_VALUE"""),7.0)</f>
        <v>7</v>
      </c>
      <c r="F777" s="251">
        <f>IFERROR(__xludf.DUMMYFUNCTION("""COMPUTED_VALUE"""),4.0)</f>
        <v>4</v>
      </c>
      <c r="G777" s="251">
        <f>IFERROR(__xludf.DUMMYFUNCTION("""COMPUTED_VALUE"""),6.0)</f>
        <v>6</v>
      </c>
      <c r="H777" s="251">
        <f>IFERROR(__xludf.DUMMYFUNCTION("""COMPUTED_VALUE"""),4.0)</f>
        <v>4</v>
      </c>
      <c r="I777" s="251">
        <f>IFERROR(__xludf.DUMMYFUNCTION("""COMPUTED_VALUE"""),4.0)</f>
        <v>4</v>
      </c>
      <c r="J777" s="251">
        <f>IFERROR(__xludf.DUMMYFUNCTION("""COMPUTED_VALUE"""),2.0)</f>
        <v>2</v>
      </c>
      <c r="K777" s="251" t="str">
        <f>IFERROR(__xludf.DUMMYFUNCTION("""COMPUTED_VALUE"""),"Small")</f>
        <v>Small</v>
      </c>
      <c r="L777" s="251">
        <f>IFERROR(__xludf.DUMMYFUNCTION("""COMPUTED_VALUE"""),1.0)</f>
        <v>1</v>
      </c>
      <c r="M777" s="251" t="str">
        <f>IFERROR(__xludf.DUMMYFUNCTION("""COMPUTED_VALUE"""),"Tundra")</f>
        <v>Tundra</v>
      </c>
      <c r="N777" s="251" t="str">
        <f>IFERROR(__xludf.DUMMYFUNCTION("""COMPUTED_VALUE"""),"--")</f>
        <v>--</v>
      </c>
      <c r="O777" s="251" t="str">
        <f>IFERROR(__xludf.DUMMYFUNCTION("""COMPUTED_VALUE"""),"--")</f>
        <v>--</v>
      </c>
      <c r="P777" s="251" t="str">
        <f>IFERROR(__xludf.DUMMYFUNCTION("""COMPUTED_VALUE"""),"--")</f>
        <v>--</v>
      </c>
      <c r="Q777" s="251" t="str">
        <f>IFERROR(__xludf.DUMMYFUNCTION("""COMPUTED_VALUE"""),"--")</f>
        <v>--</v>
      </c>
      <c r="R777" s="251" t="str">
        <f>IFERROR(__xludf.DUMMYFUNCTION("""COMPUTED_VALUE"""),"Underdog")</f>
        <v>Underdog</v>
      </c>
      <c r="S777" s="251" t="str">
        <f>IFERROR(__xludf.DUMMYFUNCTION("""COMPUTED_VALUE"""),"--")</f>
        <v>--</v>
      </c>
      <c r="T777" s="251" t="str">
        <f>IFERROR(__xludf.DUMMYFUNCTION("""COMPUTED_VALUE"""),"--")</f>
        <v>--</v>
      </c>
      <c r="U777" s="251" t="str">
        <f>IFERROR(__xludf.DUMMYFUNCTION("""COMPUTED_VALUE"""),"--")</f>
        <v>--</v>
      </c>
      <c r="V777" s="251" t="str">
        <f>IFERROR(__xludf.DUMMYFUNCTION("""COMPUTED_VALUE"""),"Chilled")</f>
        <v>Chilled</v>
      </c>
      <c r="W777" s="251" t="str">
        <f>IFERROR(__xludf.DUMMYFUNCTION("""COMPUTED_VALUE"""),"--")</f>
        <v>--</v>
      </c>
      <c r="X777" s="251" t="str">
        <f>IFERROR(__xludf.DUMMYFUNCTION("""COMPUTED_VALUE"""),"--")</f>
        <v>--</v>
      </c>
      <c r="Y777" s="251" t="str">
        <f>IFERROR(__xludf.DUMMYFUNCTION("""COMPUTED_VALUE"""),"--")</f>
        <v>--</v>
      </c>
      <c r="Z777" s="251" t="str">
        <f>IFERROR(__xludf.DUMMYFUNCTION("""COMPUTED_VALUE"""),"--")</f>
        <v>--</v>
      </c>
      <c r="AA777" s="251" t="str">
        <f>IFERROR(__xludf.DUMMYFUNCTION("""COMPUTED_VALUE"""),"--")</f>
        <v>--</v>
      </c>
      <c r="AB777" s="251" t="str">
        <f>IFERROR(__xludf.DUMMYFUNCTION("""COMPUTED_VALUE"""),"--")</f>
        <v>--</v>
      </c>
      <c r="AC777" s="251" t="str">
        <f>IFERROR(__xludf.DUMMYFUNCTION("""COMPUTED_VALUE"""),"--")</f>
        <v>--</v>
      </c>
      <c r="AD777" s="251">
        <f>IFERROR(__xludf.DUMMYFUNCTION("""COMPUTED_VALUE"""),2.0)</f>
        <v>2</v>
      </c>
      <c r="AE777" s="251" t="str">
        <f>IFERROR(__xludf.DUMMYFUNCTION("""COMPUTED_VALUE"""),"Omnivore")</f>
        <v>Omnivore</v>
      </c>
    </row>
    <row r="778">
      <c r="A778" s="251" t="str">
        <f>IFERROR(__xludf.DUMMYFUNCTION("""COMPUTED_VALUE"""),"Beartic")</f>
        <v>Beartic</v>
      </c>
      <c r="B778" s="251" t="str">
        <f>IFERROR(__xludf.DUMMYFUNCTION("""COMPUTED_VALUE"""),"Ice")</f>
        <v>Ice</v>
      </c>
      <c r="C778" s="251" t="str">
        <f>IFERROR(__xludf.DUMMYFUNCTION("""COMPUTED_VALUE"""),"None")</f>
        <v>None</v>
      </c>
      <c r="D778" s="251">
        <f>IFERROR(__xludf.DUMMYFUNCTION("""COMPUTED_VALUE"""),10.0)</f>
        <v>10</v>
      </c>
      <c r="E778" s="251">
        <f>IFERROR(__xludf.DUMMYFUNCTION("""COMPUTED_VALUE"""),13.0)</f>
        <v>13</v>
      </c>
      <c r="F778" s="251">
        <f>IFERROR(__xludf.DUMMYFUNCTION("""COMPUTED_VALUE"""),8.0)</f>
        <v>8</v>
      </c>
      <c r="G778" s="251">
        <f>IFERROR(__xludf.DUMMYFUNCTION("""COMPUTED_VALUE"""),7.0)</f>
        <v>7</v>
      </c>
      <c r="H778" s="251">
        <f>IFERROR(__xludf.DUMMYFUNCTION("""COMPUTED_VALUE"""),8.0)</f>
        <v>8</v>
      </c>
      <c r="I778" s="251">
        <f>IFERROR(__xludf.DUMMYFUNCTION("""COMPUTED_VALUE"""),5.0)</f>
        <v>5</v>
      </c>
      <c r="J778" s="251">
        <f>IFERROR(__xludf.DUMMYFUNCTION("""COMPUTED_VALUE"""),9.0)</f>
        <v>9</v>
      </c>
      <c r="K778" s="251" t="str">
        <f>IFERROR(__xludf.DUMMYFUNCTION("""COMPUTED_VALUE"""),"Large")</f>
        <v>Large</v>
      </c>
      <c r="L778" s="251">
        <f>IFERROR(__xludf.DUMMYFUNCTION("""COMPUTED_VALUE"""),6.0)</f>
        <v>6</v>
      </c>
      <c r="M778" s="251" t="str">
        <f>IFERROR(__xludf.DUMMYFUNCTION("""COMPUTED_VALUE"""),"Tundra")</f>
        <v>Tundra</v>
      </c>
      <c r="N778" s="251" t="str">
        <f>IFERROR(__xludf.DUMMYFUNCTION("""COMPUTED_VALUE"""),"Swimmer")</f>
        <v>Swimmer</v>
      </c>
      <c r="O778" s="251" t="str">
        <f>IFERROR(__xludf.DUMMYFUNCTION("""COMPUTED_VALUE"""),"--")</f>
        <v>--</v>
      </c>
      <c r="P778" s="251" t="str">
        <f>IFERROR(__xludf.DUMMYFUNCTION("""COMPUTED_VALUE"""),"--")</f>
        <v>--</v>
      </c>
      <c r="Q778" s="251" t="str">
        <f>IFERROR(__xludf.DUMMYFUNCTION("""COMPUTED_VALUE"""),"--")</f>
        <v>--</v>
      </c>
      <c r="R778" s="251" t="str">
        <f>IFERROR(__xludf.DUMMYFUNCTION("""COMPUTED_VALUE"""),"--")</f>
        <v>--</v>
      </c>
      <c r="S778" s="251" t="str">
        <f>IFERROR(__xludf.DUMMYFUNCTION("""COMPUTED_VALUE"""),"--")</f>
        <v>--</v>
      </c>
      <c r="T778" s="251" t="str">
        <f>IFERROR(__xludf.DUMMYFUNCTION("""COMPUTED_VALUE"""),"--")</f>
        <v>--</v>
      </c>
      <c r="U778" s="251" t="str">
        <f>IFERROR(__xludf.DUMMYFUNCTION("""COMPUTED_VALUE"""),"--")</f>
        <v>--</v>
      </c>
      <c r="V778" s="251" t="str">
        <f>IFERROR(__xludf.DUMMYFUNCTION("""COMPUTED_VALUE"""),"Chilled")</f>
        <v>Chilled</v>
      </c>
      <c r="W778" s="251" t="str">
        <f>IFERROR(__xludf.DUMMYFUNCTION("""COMPUTED_VALUE"""),"--")</f>
        <v>--</v>
      </c>
      <c r="X778" s="251" t="str">
        <f>IFERROR(__xludf.DUMMYFUNCTION("""COMPUTED_VALUE"""),"--")</f>
        <v>--</v>
      </c>
      <c r="Y778" s="251" t="str">
        <f>IFERROR(__xludf.DUMMYFUNCTION("""COMPUTED_VALUE"""),"--")</f>
        <v>--</v>
      </c>
      <c r="Z778" s="251" t="str">
        <f>IFERROR(__xludf.DUMMYFUNCTION("""COMPUTED_VALUE"""),"--")</f>
        <v>--</v>
      </c>
      <c r="AA778" s="251" t="str">
        <f>IFERROR(__xludf.DUMMYFUNCTION("""COMPUTED_VALUE"""),"--")</f>
        <v>--</v>
      </c>
      <c r="AB778" s="251" t="str">
        <f>IFERROR(__xludf.DUMMYFUNCTION("""COMPUTED_VALUE"""),"--")</f>
        <v>--</v>
      </c>
      <c r="AC778" s="251" t="str">
        <f>IFERROR(__xludf.DUMMYFUNCTION("""COMPUTED_VALUE"""),"--")</f>
        <v>--</v>
      </c>
      <c r="AD778" s="251">
        <f>IFERROR(__xludf.DUMMYFUNCTION("""COMPUTED_VALUE"""),3.0)</f>
        <v>3</v>
      </c>
      <c r="AE778" s="251" t="str">
        <f>IFERROR(__xludf.DUMMYFUNCTION("""COMPUTED_VALUE"""),"Omnivore")</f>
        <v>Omnivore</v>
      </c>
    </row>
    <row r="779">
      <c r="A779" s="251" t="str">
        <f>IFERROR(__xludf.DUMMYFUNCTION("""COMPUTED_VALUE"""),"Bergmite")</f>
        <v>Bergmite</v>
      </c>
      <c r="B779" s="251" t="str">
        <f>IFERROR(__xludf.DUMMYFUNCTION("""COMPUTED_VALUE"""),"Ice")</f>
        <v>Ice</v>
      </c>
      <c r="C779" s="251" t="str">
        <f>IFERROR(__xludf.DUMMYFUNCTION("""COMPUTED_VALUE"""),"None")</f>
        <v>None</v>
      </c>
      <c r="D779" s="251">
        <f>IFERROR(__xludf.DUMMYFUNCTION("""COMPUTED_VALUE"""),6.0)</f>
        <v>6</v>
      </c>
      <c r="E779" s="251">
        <f>IFERROR(__xludf.DUMMYFUNCTION("""COMPUTED_VALUE"""),7.0)</f>
        <v>7</v>
      </c>
      <c r="F779" s="251">
        <f>IFERROR(__xludf.DUMMYFUNCTION("""COMPUTED_VALUE"""),9.0)</f>
        <v>9</v>
      </c>
      <c r="G779" s="251">
        <f>IFERROR(__xludf.DUMMYFUNCTION("""COMPUTED_VALUE"""),3.0)</f>
        <v>3</v>
      </c>
      <c r="H779" s="251">
        <f>IFERROR(__xludf.DUMMYFUNCTION("""COMPUTED_VALUE"""),4.0)</f>
        <v>4</v>
      </c>
      <c r="I779" s="251">
        <f>IFERROR(__xludf.DUMMYFUNCTION("""COMPUTED_VALUE"""),3.0)</f>
        <v>3</v>
      </c>
      <c r="J779" s="251">
        <f>IFERROR(__xludf.DUMMYFUNCTION("""COMPUTED_VALUE"""),3.0)</f>
        <v>3</v>
      </c>
      <c r="K779" s="251" t="str">
        <f>IFERROR(__xludf.DUMMYFUNCTION("""COMPUTED_VALUE"""),"Medium")</f>
        <v>Medium</v>
      </c>
      <c r="L779" s="251">
        <f>IFERROR(__xludf.DUMMYFUNCTION("""COMPUTED_VALUE"""),4.0)</f>
        <v>4</v>
      </c>
      <c r="M779" s="251" t="str">
        <f>IFERROR(__xludf.DUMMYFUNCTION("""COMPUTED_VALUE"""),"Tundra")</f>
        <v>Tundra</v>
      </c>
      <c r="N779" s="251" t="str">
        <f>IFERROR(__xludf.DUMMYFUNCTION("""COMPUTED_VALUE"""),"Slow")</f>
        <v>Slow</v>
      </c>
      <c r="O779" s="251" t="str">
        <f>IFERROR(__xludf.DUMMYFUNCTION("""COMPUTED_VALUE"""),"--")</f>
        <v>--</v>
      </c>
      <c r="P779" s="251" t="str">
        <f>IFERROR(__xludf.DUMMYFUNCTION("""COMPUTED_VALUE"""),"--")</f>
        <v>--</v>
      </c>
      <c r="Q779" s="251" t="str">
        <f>IFERROR(__xludf.DUMMYFUNCTION("""COMPUTED_VALUE"""),"--")</f>
        <v>--</v>
      </c>
      <c r="R779" s="251" t="str">
        <f>IFERROR(__xludf.DUMMYFUNCTION("""COMPUTED_VALUE"""),"Underdog")</f>
        <v>Underdog</v>
      </c>
      <c r="S779" s="251" t="str">
        <f>IFERROR(__xludf.DUMMYFUNCTION("""COMPUTED_VALUE"""),"--")</f>
        <v>--</v>
      </c>
      <c r="T779" s="251" t="str">
        <f>IFERROR(__xludf.DUMMYFUNCTION("""COMPUTED_VALUE"""),"--")</f>
        <v>--</v>
      </c>
      <c r="U779" s="251" t="str">
        <f>IFERROR(__xludf.DUMMYFUNCTION("""COMPUTED_VALUE"""),"--")</f>
        <v>--</v>
      </c>
      <c r="V779" s="251" t="str">
        <f>IFERROR(__xludf.DUMMYFUNCTION("""COMPUTED_VALUE"""),"Chilled")</f>
        <v>Chilled</v>
      </c>
      <c r="W779" s="251" t="str">
        <f>IFERROR(__xludf.DUMMYFUNCTION("""COMPUTED_VALUE"""),"--")</f>
        <v>--</v>
      </c>
      <c r="X779" s="251" t="str">
        <f>IFERROR(__xludf.DUMMYFUNCTION("""COMPUTED_VALUE"""),"--")</f>
        <v>--</v>
      </c>
      <c r="Y779" s="251" t="str">
        <f>IFERROR(__xludf.DUMMYFUNCTION("""COMPUTED_VALUE"""),"--")</f>
        <v>--</v>
      </c>
      <c r="Z779" s="251" t="str">
        <f>IFERROR(__xludf.DUMMYFUNCTION("""COMPUTED_VALUE"""),"--")</f>
        <v>--</v>
      </c>
      <c r="AA779" s="251" t="str">
        <f>IFERROR(__xludf.DUMMYFUNCTION("""COMPUTED_VALUE"""),"--")</f>
        <v>--</v>
      </c>
      <c r="AB779" s="251" t="str">
        <f>IFERROR(__xludf.DUMMYFUNCTION("""COMPUTED_VALUE"""),"--")</f>
        <v>--</v>
      </c>
      <c r="AC779" s="251" t="str">
        <f>IFERROR(__xludf.DUMMYFUNCTION("""COMPUTED_VALUE"""),"--")</f>
        <v>--</v>
      </c>
      <c r="AD779" s="251">
        <f>IFERROR(__xludf.DUMMYFUNCTION("""COMPUTED_VALUE"""),2.0)</f>
        <v>2</v>
      </c>
      <c r="AE779" s="251" t="str">
        <f>IFERROR(__xludf.DUMMYFUNCTION("""COMPUTED_VALUE"""),"Terravore")</f>
        <v>Terravore</v>
      </c>
    </row>
    <row r="780">
      <c r="A780" s="251" t="str">
        <f>IFERROR(__xludf.DUMMYFUNCTION("""COMPUTED_VALUE"""),"Avalugg")</f>
        <v>Avalugg</v>
      </c>
      <c r="B780" s="251" t="str">
        <f>IFERROR(__xludf.DUMMYFUNCTION("""COMPUTED_VALUE"""),"Ice")</f>
        <v>Ice</v>
      </c>
      <c r="C780" s="251" t="str">
        <f>IFERROR(__xludf.DUMMYFUNCTION("""COMPUTED_VALUE"""),"None")</f>
        <v>None</v>
      </c>
      <c r="D780" s="251">
        <f>IFERROR(__xludf.DUMMYFUNCTION("""COMPUTED_VALUE"""),10.0)</f>
        <v>10</v>
      </c>
      <c r="E780" s="251">
        <f>IFERROR(__xludf.DUMMYFUNCTION("""COMPUTED_VALUE"""),12.0)</f>
        <v>12</v>
      </c>
      <c r="F780" s="251">
        <f>IFERROR(__xludf.DUMMYFUNCTION("""COMPUTED_VALUE"""),18.0)</f>
        <v>18</v>
      </c>
      <c r="G780" s="251">
        <f>IFERROR(__xludf.DUMMYFUNCTION("""COMPUTED_VALUE"""),4.0)</f>
        <v>4</v>
      </c>
      <c r="H780" s="251">
        <f>IFERROR(__xludf.DUMMYFUNCTION("""COMPUTED_VALUE"""),5.0)</f>
        <v>5</v>
      </c>
      <c r="I780" s="251">
        <f>IFERROR(__xludf.DUMMYFUNCTION("""COMPUTED_VALUE"""),3.0)</f>
        <v>3</v>
      </c>
      <c r="J780" s="251">
        <f>IFERROR(__xludf.DUMMYFUNCTION("""COMPUTED_VALUE"""),8.0)</f>
        <v>8</v>
      </c>
      <c r="K780" s="251" t="str">
        <f>IFERROR(__xludf.DUMMYFUNCTION("""COMPUTED_VALUE"""),"Huge")</f>
        <v>Huge</v>
      </c>
      <c r="L780" s="251">
        <f>IFERROR(__xludf.DUMMYFUNCTION("""COMPUTED_VALUE"""),6.0)</f>
        <v>6</v>
      </c>
      <c r="M780" s="251" t="str">
        <f>IFERROR(__xludf.DUMMYFUNCTION("""COMPUTED_VALUE"""),"Tundra")</f>
        <v>Tundra</v>
      </c>
      <c r="N780" s="251" t="str">
        <f>IFERROR(__xludf.DUMMYFUNCTION("""COMPUTED_VALUE"""),"--")</f>
        <v>--</v>
      </c>
      <c r="O780" s="251" t="str">
        <f>IFERROR(__xludf.DUMMYFUNCTION("""COMPUTED_VALUE"""),"--")</f>
        <v>--</v>
      </c>
      <c r="P780" s="251" t="str">
        <f>IFERROR(__xludf.DUMMYFUNCTION("""COMPUTED_VALUE"""),"--")</f>
        <v>--</v>
      </c>
      <c r="Q780" s="251" t="str">
        <f>IFERROR(__xludf.DUMMYFUNCTION("""COMPUTED_VALUE"""),"--")</f>
        <v>--</v>
      </c>
      <c r="R780" s="251" t="str">
        <f>IFERROR(__xludf.DUMMYFUNCTION("""COMPUTED_VALUE"""),"Mountable")</f>
        <v>Mountable</v>
      </c>
      <c r="S780" s="251" t="str">
        <f>IFERROR(__xludf.DUMMYFUNCTION("""COMPUTED_VALUE"""),"--")</f>
        <v>--</v>
      </c>
      <c r="T780" s="251" t="str">
        <f>IFERROR(__xludf.DUMMYFUNCTION("""COMPUTED_VALUE"""),"--")</f>
        <v>--</v>
      </c>
      <c r="U780" s="251" t="str">
        <f>IFERROR(__xludf.DUMMYFUNCTION("""COMPUTED_VALUE"""),"--")</f>
        <v>--</v>
      </c>
      <c r="V780" s="251" t="str">
        <f>IFERROR(__xludf.DUMMYFUNCTION("""COMPUTED_VALUE"""),"Chilled")</f>
        <v>Chilled</v>
      </c>
      <c r="W780" s="251" t="str">
        <f>IFERROR(__xludf.DUMMYFUNCTION("""COMPUTED_VALUE"""),"--")</f>
        <v>--</v>
      </c>
      <c r="X780" s="251" t="str">
        <f>IFERROR(__xludf.DUMMYFUNCTION("""COMPUTED_VALUE"""),"--")</f>
        <v>--</v>
      </c>
      <c r="Y780" s="251" t="str">
        <f>IFERROR(__xludf.DUMMYFUNCTION("""COMPUTED_VALUE"""),"--")</f>
        <v>--</v>
      </c>
      <c r="Z780" s="251" t="str">
        <f>IFERROR(__xludf.DUMMYFUNCTION("""COMPUTED_VALUE"""),"--")</f>
        <v>--</v>
      </c>
      <c r="AA780" s="251" t="str">
        <f>IFERROR(__xludf.DUMMYFUNCTION("""COMPUTED_VALUE"""),"--")</f>
        <v>--</v>
      </c>
      <c r="AB780" s="251" t="str">
        <f>IFERROR(__xludf.DUMMYFUNCTION("""COMPUTED_VALUE"""),"--")</f>
        <v>--</v>
      </c>
      <c r="AC780" s="251" t="str">
        <f>IFERROR(__xludf.DUMMYFUNCTION("""COMPUTED_VALUE"""),"--")</f>
        <v>--</v>
      </c>
      <c r="AD780" s="251">
        <f>IFERROR(__xludf.DUMMYFUNCTION("""COMPUTED_VALUE"""),3.0)</f>
        <v>3</v>
      </c>
      <c r="AE780" s="251" t="str">
        <f>IFERROR(__xludf.DUMMYFUNCTION("""COMPUTED_VALUE"""),"Terravore")</f>
        <v>Terravore</v>
      </c>
    </row>
    <row r="781">
      <c r="A781" s="251" t="str">
        <f>IFERROR(__xludf.DUMMYFUNCTION("""COMPUTED_VALUE"""),"Hisuian Avalugg")</f>
        <v>Hisuian Avalugg</v>
      </c>
      <c r="B781" s="251" t="str">
        <f>IFERROR(__xludf.DUMMYFUNCTION("""COMPUTED_VALUE"""),"Ice")</f>
        <v>Ice</v>
      </c>
      <c r="C781" s="251" t="str">
        <f>IFERROR(__xludf.DUMMYFUNCTION("""COMPUTED_VALUE"""),"Rock")</f>
        <v>Rock</v>
      </c>
      <c r="D781" s="251">
        <f>IFERROR(__xludf.DUMMYFUNCTION("""COMPUTED_VALUE"""),10.0)</f>
        <v>10</v>
      </c>
      <c r="E781" s="251">
        <f>IFERROR(__xludf.DUMMYFUNCTION("""COMPUTED_VALUE"""),12.0)</f>
        <v>12</v>
      </c>
      <c r="F781" s="251">
        <f>IFERROR(__xludf.DUMMYFUNCTION("""COMPUTED_VALUE"""),18.0)</f>
        <v>18</v>
      </c>
      <c r="G781" s="251">
        <f>IFERROR(__xludf.DUMMYFUNCTION("""COMPUTED_VALUE"""),4.0)</f>
        <v>4</v>
      </c>
      <c r="H781" s="251">
        <f>IFERROR(__xludf.DUMMYFUNCTION("""COMPUTED_VALUE"""),5.0)</f>
        <v>5</v>
      </c>
      <c r="I781" s="251">
        <f>IFERROR(__xludf.DUMMYFUNCTION("""COMPUTED_VALUE"""),3.0)</f>
        <v>3</v>
      </c>
      <c r="J781" s="251">
        <f>IFERROR(__xludf.DUMMYFUNCTION("""COMPUTED_VALUE"""),8.0)</f>
        <v>8</v>
      </c>
      <c r="K781" s="251" t="str">
        <f>IFERROR(__xludf.DUMMYFUNCTION("""COMPUTED_VALUE"""),"Huge")</f>
        <v>Huge</v>
      </c>
      <c r="L781" s="251">
        <f>IFERROR(__xludf.DUMMYFUNCTION("""COMPUTED_VALUE"""),6.0)</f>
        <v>6</v>
      </c>
      <c r="M781" s="251" t="str">
        <f>IFERROR(__xludf.DUMMYFUNCTION("""COMPUTED_VALUE"""),"Tundra")</f>
        <v>Tundra</v>
      </c>
      <c r="N781" s="251" t="str">
        <f>IFERROR(__xludf.DUMMYFUNCTION("""COMPUTED_VALUE"""),"--")</f>
        <v>--</v>
      </c>
      <c r="O781" s="251" t="str">
        <f>IFERROR(__xludf.DUMMYFUNCTION("""COMPUTED_VALUE"""),"--")</f>
        <v>--</v>
      </c>
      <c r="P781" s="251" t="str">
        <f>IFERROR(__xludf.DUMMYFUNCTION("""COMPUTED_VALUE"""),"--")</f>
        <v>--</v>
      </c>
      <c r="Q781" s="251" t="str">
        <f>IFERROR(__xludf.DUMMYFUNCTION("""COMPUTED_VALUE"""),"--")</f>
        <v>--</v>
      </c>
      <c r="R781" s="251" t="str">
        <f>IFERROR(__xludf.DUMMYFUNCTION("""COMPUTED_VALUE"""),"Mountable")</f>
        <v>Mountable</v>
      </c>
      <c r="S781" s="251" t="str">
        <f>IFERROR(__xludf.DUMMYFUNCTION("""COMPUTED_VALUE"""),"--")</f>
        <v>--</v>
      </c>
      <c r="T781" s="251" t="str">
        <f>IFERROR(__xludf.DUMMYFUNCTION("""COMPUTED_VALUE"""),"--")</f>
        <v>--</v>
      </c>
      <c r="U781" s="251" t="str">
        <f>IFERROR(__xludf.DUMMYFUNCTION("""COMPUTED_VALUE"""),"--")</f>
        <v>--</v>
      </c>
      <c r="V781" s="251" t="str">
        <f>IFERROR(__xludf.DUMMYFUNCTION("""COMPUTED_VALUE"""),"Chilled")</f>
        <v>Chilled</v>
      </c>
      <c r="W781" s="251" t="str">
        <f>IFERROR(__xludf.DUMMYFUNCTION("""COMPUTED_VALUE"""),"--")</f>
        <v>--</v>
      </c>
      <c r="X781" s="251" t="str">
        <f>IFERROR(__xludf.DUMMYFUNCTION("""COMPUTED_VALUE"""),"--")</f>
        <v>--</v>
      </c>
      <c r="Y781" s="251" t="str">
        <f>IFERROR(__xludf.DUMMYFUNCTION("""COMPUTED_VALUE"""),"--")</f>
        <v>--</v>
      </c>
      <c r="Z781" s="251" t="str">
        <f>IFERROR(__xludf.DUMMYFUNCTION("""COMPUTED_VALUE"""),"--")</f>
        <v>--</v>
      </c>
      <c r="AA781" s="251" t="str">
        <f>IFERROR(__xludf.DUMMYFUNCTION("""COMPUTED_VALUE"""),"--")</f>
        <v>--</v>
      </c>
      <c r="AB781" s="251" t="str">
        <f>IFERROR(__xludf.DUMMYFUNCTION("""COMPUTED_VALUE"""),"--")</f>
        <v>--</v>
      </c>
      <c r="AC781" s="251" t="str">
        <f>IFERROR(__xludf.DUMMYFUNCTION("""COMPUTED_VALUE"""),"--")</f>
        <v>--</v>
      </c>
      <c r="AD781" s="251">
        <f>IFERROR(__xludf.DUMMYFUNCTION("""COMPUTED_VALUE"""),3.0)</f>
        <v>3</v>
      </c>
      <c r="AE781" s="251" t="str">
        <f>IFERROR(__xludf.DUMMYFUNCTION("""COMPUTED_VALUE"""),"Terravore")</f>
        <v>Terravore</v>
      </c>
    </row>
    <row r="782">
      <c r="A782" s="251" t="str">
        <f>IFERROR(__xludf.DUMMYFUNCTION("""COMPUTED_VALUE"""),"Snom")</f>
        <v>Snom</v>
      </c>
      <c r="B782" s="251" t="str">
        <f>IFERROR(__xludf.DUMMYFUNCTION("""COMPUTED_VALUE"""),"Ice")</f>
        <v>Ice</v>
      </c>
      <c r="C782" s="251" t="str">
        <f>IFERROR(__xludf.DUMMYFUNCTION("""COMPUTED_VALUE"""),"Bug")</f>
        <v>Bug</v>
      </c>
      <c r="D782" s="251">
        <f>IFERROR(__xludf.DUMMYFUNCTION("""COMPUTED_VALUE"""),6.0)</f>
        <v>6</v>
      </c>
      <c r="E782" s="251">
        <f>IFERROR(__xludf.DUMMYFUNCTION("""COMPUTED_VALUE"""),4.0)</f>
        <v>4</v>
      </c>
      <c r="F782" s="251">
        <f>IFERROR(__xludf.DUMMYFUNCTION("""COMPUTED_VALUE"""),5.0)</f>
        <v>5</v>
      </c>
      <c r="G782" s="251">
        <f>IFERROR(__xludf.DUMMYFUNCTION("""COMPUTED_VALUE"""),7.0)</f>
        <v>7</v>
      </c>
      <c r="H782" s="251">
        <f>IFERROR(__xludf.DUMMYFUNCTION("""COMPUTED_VALUE"""),5.0)</f>
        <v>5</v>
      </c>
      <c r="I782" s="251">
        <f>IFERROR(__xludf.DUMMYFUNCTION("""COMPUTED_VALUE"""),3.0)</f>
        <v>3</v>
      </c>
      <c r="J782" s="251">
        <f>IFERROR(__xludf.DUMMYFUNCTION("""COMPUTED_VALUE"""),1.0)</f>
        <v>1</v>
      </c>
      <c r="K782" s="251" t="str">
        <f>IFERROR(__xludf.DUMMYFUNCTION("""COMPUTED_VALUE"""),"Small")</f>
        <v>Small</v>
      </c>
      <c r="L782" s="251">
        <f>IFERROR(__xludf.DUMMYFUNCTION("""COMPUTED_VALUE"""),1.0)</f>
        <v>1</v>
      </c>
      <c r="M782" s="251" t="str">
        <f>IFERROR(__xludf.DUMMYFUNCTION("""COMPUTED_VALUE"""),"Tundra")</f>
        <v>Tundra</v>
      </c>
      <c r="N782" s="251" t="str">
        <f>IFERROR(__xludf.DUMMYFUNCTION("""COMPUTED_VALUE"""),"Climber")</f>
        <v>Climber</v>
      </c>
      <c r="O782" s="251" t="str">
        <f>IFERROR(__xludf.DUMMYFUNCTION("""COMPUTED_VALUE"""),"Slow")</f>
        <v>Slow</v>
      </c>
      <c r="P782" s="251" t="str">
        <f>IFERROR(__xludf.DUMMYFUNCTION("""COMPUTED_VALUE"""),"--")</f>
        <v>--</v>
      </c>
      <c r="Q782" s="251" t="str">
        <f>IFERROR(__xludf.DUMMYFUNCTION("""COMPUTED_VALUE"""),"--")</f>
        <v>--</v>
      </c>
      <c r="R782" s="251" t="str">
        <f>IFERROR(__xludf.DUMMYFUNCTION("""COMPUTED_VALUE"""),"Threaded")</f>
        <v>Threaded</v>
      </c>
      <c r="S782" s="251" t="str">
        <f>IFERROR(__xludf.DUMMYFUNCTION("""COMPUTED_VALUE"""),"Underdog")</f>
        <v>Underdog</v>
      </c>
      <c r="T782" s="251" t="str">
        <f>IFERROR(__xludf.DUMMYFUNCTION("""COMPUTED_VALUE"""),"--")</f>
        <v>--</v>
      </c>
      <c r="U782" s="251" t="str">
        <f>IFERROR(__xludf.DUMMYFUNCTION("""COMPUTED_VALUE"""),"--")</f>
        <v>--</v>
      </c>
      <c r="V782" s="251" t="str">
        <f>IFERROR(__xludf.DUMMYFUNCTION("""COMPUTED_VALUE"""),"Chilled")</f>
        <v>Chilled</v>
      </c>
      <c r="W782" s="251" t="str">
        <f>IFERROR(__xludf.DUMMYFUNCTION("""COMPUTED_VALUE"""),"--")</f>
        <v>--</v>
      </c>
      <c r="X782" s="251" t="str">
        <f>IFERROR(__xludf.DUMMYFUNCTION("""COMPUTED_VALUE"""),"--")</f>
        <v>--</v>
      </c>
      <c r="Y782" s="251" t="str">
        <f>IFERROR(__xludf.DUMMYFUNCTION("""COMPUTED_VALUE"""),"--")</f>
        <v>--</v>
      </c>
      <c r="Z782" s="251" t="str">
        <f>IFERROR(__xludf.DUMMYFUNCTION("""COMPUTED_VALUE"""),"--")</f>
        <v>--</v>
      </c>
      <c r="AA782" s="251" t="str">
        <f>IFERROR(__xludf.DUMMYFUNCTION("""COMPUTED_VALUE"""),"--")</f>
        <v>--</v>
      </c>
      <c r="AB782" s="251" t="str">
        <f>IFERROR(__xludf.DUMMYFUNCTION("""COMPUTED_VALUE"""),"--")</f>
        <v>--</v>
      </c>
      <c r="AC782" s="251" t="str">
        <f>IFERROR(__xludf.DUMMYFUNCTION("""COMPUTED_VALUE"""),"--")</f>
        <v>--</v>
      </c>
      <c r="AD782" s="251">
        <f>IFERROR(__xludf.DUMMYFUNCTION("""COMPUTED_VALUE"""),2.0)</f>
        <v>2</v>
      </c>
      <c r="AE782" s="251" t="str">
        <f>IFERROR(__xludf.DUMMYFUNCTION("""COMPUTED_VALUE"""),"Herbivore")</f>
        <v>Herbivore</v>
      </c>
    </row>
    <row r="783">
      <c r="A783" s="251" t="str">
        <f>IFERROR(__xludf.DUMMYFUNCTION("""COMPUTED_VALUE"""),"Frosmoth")</f>
        <v>Frosmoth</v>
      </c>
      <c r="B783" s="251" t="str">
        <f>IFERROR(__xludf.DUMMYFUNCTION("""COMPUTED_VALUE"""),"Ice")</f>
        <v>Ice</v>
      </c>
      <c r="C783" s="251" t="str">
        <f>IFERROR(__xludf.DUMMYFUNCTION("""COMPUTED_VALUE"""),"Bug")</f>
        <v>Bug</v>
      </c>
      <c r="D783" s="251">
        <f>IFERROR(__xludf.DUMMYFUNCTION("""COMPUTED_VALUE"""),7.0)</f>
        <v>7</v>
      </c>
      <c r="E783" s="251">
        <f>IFERROR(__xludf.DUMMYFUNCTION("""COMPUTED_VALUE"""),7.0)</f>
        <v>7</v>
      </c>
      <c r="F783" s="251">
        <f>IFERROR(__xludf.DUMMYFUNCTION("""COMPUTED_VALUE"""),6.0)</f>
        <v>6</v>
      </c>
      <c r="G783" s="251">
        <f>IFERROR(__xludf.DUMMYFUNCTION("""COMPUTED_VALUE"""),14.0)</f>
        <v>14</v>
      </c>
      <c r="H783" s="251">
        <f>IFERROR(__xludf.DUMMYFUNCTION("""COMPUTED_VALUE"""),10.0)</f>
        <v>10</v>
      </c>
      <c r="I783" s="251">
        <f>IFERROR(__xludf.DUMMYFUNCTION("""COMPUTED_VALUE"""),7.0)</f>
        <v>7</v>
      </c>
      <c r="J783" s="251">
        <f>IFERROR(__xludf.DUMMYFUNCTION("""COMPUTED_VALUE"""),3.0)</f>
        <v>3</v>
      </c>
      <c r="K783" s="251" t="str">
        <f>IFERROR(__xludf.DUMMYFUNCTION("""COMPUTED_VALUE"""),"Medium")</f>
        <v>Medium</v>
      </c>
      <c r="L783" s="251">
        <f>IFERROR(__xludf.DUMMYFUNCTION("""COMPUTED_VALUE"""),1.0)</f>
        <v>1</v>
      </c>
      <c r="M783" s="251" t="str">
        <f>IFERROR(__xludf.DUMMYFUNCTION("""COMPUTED_VALUE"""),"Tundra")</f>
        <v>Tundra</v>
      </c>
      <c r="N783" s="251" t="str">
        <f>IFERROR(__xludf.DUMMYFUNCTION("""COMPUTED_VALUE"""),"Climber")</f>
        <v>Climber</v>
      </c>
      <c r="O783" s="251" t="str">
        <f>IFERROR(__xludf.DUMMYFUNCTION("""COMPUTED_VALUE"""),"Flier")</f>
        <v>Flier</v>
      </c>
      <c r="P783" s="251" t="str">
        <f>IFERROR(__xludf.DUMMYFUNCTION("""COMPUTED_VALUE"""),"--")</f>
        <v>--</v>
      </c>
      <c r="Q783" s="251" t="str">
        <f>IFERROR(__xludf.DUMMYFUNCTION("""COMPUTED_VALUE"""),"--")</f>
        <v>--</v>
      </c>
      <c r="R783" s="251" t="str">
        <f>IFERROR(__xludf.DUMMYFUNCTION("""COMPUTED_VALUE"""),"Threaded")</f>
        <v>Threaded</v>
      </c>
      <c r="S783" s="251" t="str">
        <f>IFERROR(__xludf.DUMMYFUNCTION("""COMPUTED_VALUE"""),"--")</f>
        <v>--</v>
      </c>
      <c r="T783" s="251" t="str">
        <f>IFERROR(__xludf.DUMMYFUNCTION("""COMPUTED_VALUE"""),"--")</f>
        <v>--</v>
      </c>
      <c r="U783" s="251" t="str">
        <f>IFERROR(__xludf.DUMMYFUNCTION("""COMPUTED_VALUE"""),"--")</f>
        <v>--</v>
      </c>
      <c r="V783" s="251" t="str">
        <f>IFERROR(__xludf.DUMMYFUNCTION("""COMPUTED_VALUE"""),"Chilled")</f>
        <v>Chilled</v>
      </c>
      <c r="W783" s="251" t="str">
        <f>IFERROR(__xludf.DUMMYFUNCTION("""COMPUTED_VALUE"""),"--")</f>
        <v>--</v>
      </c>
      <c r="X783" s="251" t="str">
        <f>IFERROR(__xludf.DUMMYFUNCTION("""COMPUTED_VALUE"""),"--")</f>
        <v>--</v>
      </c>
      <c r="Y783" s="251" t="str">
        <f>IFERROR(__xludf.DUMMYFUNCTION("""COMPUTED_VALUE"""),"--")</f>
        <v>--</v>
      </c>
      <c r="Z783" s="251" t="str">
        <f>IFERROR(__xludf.DUMMYFUNCTION("""COMPUTED_VALUE"""),"--")</f>
        <v>--</v>
      </c>
      <c r="AA783" s="251" t="str">
        <f>IFERROR(__xludf.DUMMYFUNCTION("""COMPUTED_VALUE"""),"--")</f>
        <v>--</v>
      </c>
      <c r="AB783" s="251" t="str">
        <f>IFERROR(__xludf.DUMMYFUNCTION("""COMPUTED_VALUE"""),"--")</f>
        <v>--</v>
      </c>
      <c r="AC783" s="251" t="str">
        <f>IFERROR(__xludf.DUMMYFUNCTION("""COMPUTED_VALUE"""),"--")</f>
        <v>--</v>
      </c>
      <c r="AD783" s="251">
        <f>IFERROR(__xludf.DUMMYFUNCTION("""COMPUTED_VALUE"""),3.0)</f>
        <v>3</v>
      </c>
      <c r="AE783" s="251" t="str">
        <f>IFERROR(__xludf.DUMMYFUNCTION("""COMPUTED_VALUE"""),"Herbivore")</f>
        <v>Herbivore</v>
      </c>
    </row>
    <row r="784">
      <c r="A784" s="251" t="str">
        <f>IFERROR(__xludf.DUMMYFUNCTION("""COMPUTED_VALUE"""),"Cetoddle")</f>
        <v>Cetoddle</v>
      </c>
      <c r="B784" s="251" t="str">
        <f>IFERROR(__xludf.DUMMYFUNCTION("""COMPUTED_VALUE"""),"Ice")</f>
        <v>Ice</v>
      </c>
      <c r="C784" s="251" t="str">
        <f>IFERROR(__xludf.DUMMYFUNCTION("""COMPUTED_VALUE"""),"None")</f>
        <v>None</v>
      </c>
      <c r="D784" s="251">
        <f>IFERROR(__xludf.DUMMYFUNCTION("""COMPUTED_VALUE"""),11.0)</f>
        <v>11</v>
      </c>
      <c r="E784" s="251">
        <f>IFERROR(__xludf.DUMMYFUNCTION("""COMPUTED_VALUE"""),7.0)</f>
        <v>7</v>
      </c>
      <c r="F784" s="251">
        <f>IFERROR(__xludf.DUMMYFUNCTION("""COMPUTED_VALUE"""),5.0)</f>
        <v>5</v>
      </c>
      <c r="G784" s="251">
        <f>IFERROR(__xludf.DUMMYFUNCTION("""COMPUTED_VALUE"""),3.0)</f>
        <v>3</v>
      </c>
      <c r="H784" s="251">
        <f>IFERROR(__xludf.DUMMYFUNCTION("""COMPUTED_VALUE"""),4.0)</f>
        <v>4</v>
      </c>
      <c r="I784" s="251">
        <f>IFERROR(__xludf.DUMMYFUNCTION("""COMPUTED_VALUE"""),4.0)</f>
        <v>4</v>
      </c>
      <c r="J784" s="251">
        <f>IFERROR(__xludf.DUMMYFUNCTION("""COMPUTED_VALUE"""),5.0)</f>
        <v>5</v>
      </c>
      <c r="K784" s="251" t="str">
        <f>IFERROR(__xludf.DUMMYFUNCTION("""COMPUTED_VALUE"""),"Medium")</f>
        <v>Medium</v>
      </c>
      <c r="L784" s="251">
        <f>IFERROR(__xludf.DUMMYFUNCTION("""COMPUTED_VALUE"""),3.0)</f>
        <v>3</v>
      </c>
      <c r="M784" s="251" t="str">
        <f>IFERROR(__xludf.DUMMYFUNCTION("""COMPUTED_VALUE"""),"Tundra")</f>
        <v>Tundra</v>
      </c>
      <c r="N784" s="251" t="str">
        <f>IFERROR(__xludf.DUMMYFUNCTION("""COMPUTED_VALUE"""),"--")</f>
        <v>--</v>
      </c>
      <c r="O784" s="251" t="str">
        <f>IFERROR(__xludf.DUMMYFUNCTION("""COMPUTED_VALUE"""),"--")</f>
        <v>--</v>
      </c>
      <c r="P784" s="251" t="str">
        <f>IFERROR(__xludf.DUMMYFUNCTION("""COMPUTED_VALUE"""),"--")</f>
        <v>--</v>
      </c>
      <c r="Q784" s="251" t="str">
        <f>IFERROR(__xludf.DUMMYFUNCTION("""COMPUTED_VALUE"""),"--")</f>
        <v>--</v>
      </c>
      <c r="R784" s="251" t="str">
        <f>IFERROR(__xludf.DUMMYFUNCTION("""COMPUTED_VALUE"""),"Underdog")</f>
        <v>Underdog</v>
      </c>
      <c r="S784" s="251" t="str">
        <f>IFERROR(__xludf.DUMMYFUNCTION("""COMPUTED_VALUE"""),"--")</f>
        <v>--</v>
      </c>
      <c r="T784" s="251" t="str">
        <f>IFERROR(__xludf.DUMMYFUNCTION("""COMPUTED_VALUE"""),"--")</f>
        <v>--</v>
      </c>
      <c r="U784" s="251" t="str">
        <f>IFERROR(__xludf.DUMMYFUNCTION("""COMPUTED_VALUE"""),"--")</f>
        <v>--</v>
      </c>
      <c r="V784" s="251" t="str">
        <f>IFERROR(__xludf.DUMMYFUNCTION("""COMPUTED_VALUE"""),"--")</f>
        <v>--</v>
      </c>
      <c r="W784" s="251" t="str">
        <f>IFERROR(__xludf.DUMMYFUNCTION("""COMPUTED_VALUE"""),"--")</f>
        <v>--</v>
      </c>
      <c r="X784" s="251" t="str">
        <f>IFERROR(__xludf.DUMMYFUNCTION("""COMPUTED_VALUE"""),"--")</f>
        <v>--</v>
      </c>
      <c r="Y784" s="251" t="str">
        <f>IFERROR(__xludf.DUMMYFUNCTION("""COMPUTED_VALUE"""),"--")</f>
        <v>--</v>
      </c>
      <c r="Z784" s="251" t="str">
        <f>IFERROR(__xludf.DUMMYFUNCTION("""COMPUTED_VALUE"""),"--")</f>
        <v>--</v>
      </c>
      <c r="AA784" s="251" t="str">
        <f>IFERROR(__xludf.DUMMYFUNCTION("""COMPUTED_VALUE"""),"--")</f>
        <v>--</v>
      </c>
      <c r="AB784" s="251" t="str">
        <f>IFERROR(__xludf.DUMMYFUNCTION("""COMPUTED_VALUE"""),"--")</f>
        <v>--</v>
      </c>
      <c r="AC784" s="251" t="str">
        <f>IFERROR(__xludf.DUMMYFUNCTION("""COMPUTED_VALUE"""),"--")</f>
        <v>--</v>
      </c>
      <c r="AD784" s="251">
        <f>IFERROR(__xludf.DUMMYFUNCTION("""COMPUTED_VALUE"""),2.0)</f>
        <v>2</v>
      </c>
      <c r="AE784" s="251" t="str">
        <f>IFERROR(__xludf.DUMMYFUNCTION("""COMPUTED_VALUE"""),"Carnivore")</f>
        <v>Carnivore</v>
      </c>
    </row>
    <row r="785">
      <c r="A785" s="251" t="str">
        <f>IFERROR(__xludf.DUMMYFUNCTION("""COMPUTED_VALUE"""),"Cetitan")</f>
        <v>Cetitan</v>
      </c>
      <c r="B785" s="251" t="str">
        <f>IFERROR(__xludf.DUMMYFUNCTION("""COMPUTED_VALUE"""),"Ice")</f>
        <v>Ice</v>
      </c>
      <c r="C785" s="251" t="str">
        <f>IFERROR(__xludf.DUMMYFUNCTION("""COMPUTED_VALUE"""),"None")</f>
        <v>None</v>
      </c>
      <c r="D785" s="251">
        <f>IFERROR(__xludf.DUMMYFUNCTION("""COMPUTED_VALUE"""),17.0)</f>
        <v>17</v>
      </c>
      <c r="E785" s="251">
        <f>IFERROR(__xludf.DUMMYFUNCTION("""COMPUTED_VALUE"""),11.0)</f>
        <v>11</v>
      </c>
      <c r="F785" s="251">
        <f>IFERROR(__xludf.DUMMYFUNCTION("""COMPUTED_VALUE"""),7.0)</f>
        <v>7</v>
      </c>
      <c r="G785" s="251">
        <f>IFERROR(__xludf.DUMMYFUNCTION("""COMPUTED_VALUE"""),5.0)</f>
        <v>5</v>
      </c>
      <c r="H785" s="251">
        <f>IFERROR(__xludf.DUMMYFUNCTION("""COMPUTED_VALUE"""),6.0)</f>
        <v>6</v>
      </c>
      <c r="I785" s="251">
        <f>IFERROR(__xludf.DUMMYFUNCTION("""COMPUTED_VALUE"""),7.0)</f>
        <v>7</v>
      </c>
      <c r="J785" s="251">
        <f>IFERROR(__xludf.DUMMYFUNCTION("""COMPUTED_VALUE"""),12.0)</f>
        <v>12</v>
      </c>
      <c r="K785" s="251" t="str">
        <f>IFERROR(__xludf.DUMMYFUNCTION("""COMPUTED_VALUE"""),"Huge")</f>
        <v>Huge</v>
      </c>
      <c r="L785" s="251">
        <f>IFERROR(__xludf.DUMMYFUNCTION("""COMPUTED_VALUE"""),6.0)</f>
        <v>6</v>
      </c>
      <c r="M785" s="251" t="str">
        <f>IFERROR(__xludf.DUMMYFUNCTION("""COMPUTED_VALUE"""),"Tundra")</f>
        <v>Tundra</v>
      </c>
      <c r="N785" s="251" t="str">
        <f>IFERROR(__xludf.DUMMYFUNCTION("""COMPUTED_VALUE"""),"Swimmer")</f>
        <v>Swimmer</v>
      </c>
      <c r="O785" s="251" t="str">
        <f>IFERROR(__xludf.DUMMYFUNCTION("""COMPUTED_VALUE"""),"--")</f>
        <v>--</v>
      </c>
      <c r="P785" s="251" t="str">
        <f>IFERROR(__xludf.DUMMYFUNCTION("""COMPUTED_VALUE"""),"--")</f>
        <v>--</v>
      </c>
      <c r="Q785" s="251" t="str">
        <f>IFERROR(__xludf.DUMMYFUNCTION("""COMPUTED_VALUE"""),"--")</f>
        <v>--</v>
      </c>
      <c r="R785" s="251" t="str">
        <f>IFERROR(__xludf.DUMMYFUNCTION("""COMPUTED_VALUE"""),"Mountable")</f>
        <v>Mountable</v>
      </c>
      <c r="S785" s="251" t="str">
        <f>IFERROR(__xludf.DUMMYFUNCTION("""COMPUTED_VALUE"""),"--")</f>
        <v>--</v>
      </c>
      <c r="T785" s="251" t="str">
        <f>IFERROR(__xludf.DUMMYFUNCTION("""COMPUTED_VALUE"""),"--")</f>
        <v>--</v>
      </c>
      <c r="U785" s="251" t="str">
        <f>IFERROR(__xludf.DUMMYFUNCTION("""COMPUTED_VALUE"""),"--")</f>
        <v>--</v>
      </c>
      <c r="V785" s="251" t="str">
        <f>IFERROR(__xludf.DUMMYFUNCTION("""COMPUTED_VALUE"""),"--")</f>
        <v>--</v>
      </c>
      <c r="W785" s="251" t="str">
        <f>IFERROR(__xludf.DUMMYFUNCTION("""COMPUTED_VALUE"""),"--")</f>
        <v>--</v>
      </c>
      <c r="X785" s="251" t="str">
        <f>IFERROR(__xludf.DUMMYFUNCTION("""COMPUTED_VALUE"""),"--")</f>
        <v>--</v>
      </c>
      <c r="Y785" s="251" t="str">
        <f>IFERROR(__xludf.DUMMYFUNCTION("""COMPUTED_VALUE"""),"--")</f>
        <v>--</v>
      </c>
      <c r="Z785" s="251" t="str">
        <f>IFERROR(__xludf.DUMMYFUNCTION("""COMPUTED_VALUE"""),"--")</f>
        <v>--</v>
      </c>
      <c r="AA785" s="251" t="str">
        <f>IFERROR(__xludf.DUMMYFUNCTION("""COMPUTED_VALUE"""),"--")</f>
        <v>--</v>
      </c>
      <c r="AB785" s="251" t="str">
        <f>IFERROR(__xludf.DUMMYFUNCTION("""COMPUTED_VALUE"""),"--")</f>
        <v>--</v>
      </c>
      <c r="AC785" s="251" t="str">
        <f>IFERROR(__xludf.DUMMYFUNCTION("""COMPUTED_VALUE"""),"--")</f>
        <v>--</v>
      </c>
      <c r="AD785" s="251">
        <f>IFERROR(__xludf.DUMMYFUNCTION("""COMPUTED_VALUE"""),3.0)</f>
        <v>3</v>
      </c>
      <c r="AE785" s="251" t="str">
        <f>IFERROR(__xludf.DUMMYFUNCTION("""COMPUTED_VALUE"""),"Carnivore")</f>
        <v>Carnivore</v>
      </c>
    </row>
    <row r="786">
      <c r="A786" s="251" t="str">
        <f>IFERROR(__xludf.DUMMYFUNCTION("""COMPUTED_VALUE"""),"Rattata")</f>
        <v>Rattata</v>
      </c>
      <c r="B786" s="251" t="str">
        <f>IFERROR(__xludf.DUMMYFUNCTION("""COMPUTED_VALUE"""),"Normal")</f>
        <v>Normal</v>
      </c>
      <c r="C786" s="251" t="str">
        <f>IFERROR(__xludf.DUMMYFUNCTION("""COMPUTED_VALUE"""),"None")</f>
        <v>None</v>
      </c>
      <c r="D786" s="251">
        <f>IFERROR(__xludf.DUMMYFUNCTION("""COMPUTED_VALUE"""),4.0)</f>
        <v>4</v>
      </c>
      <c r="E786" s="251">
        <f>IFERROR(__xludf.DUMMYFUNCTION("""COMPUTED_VALUE"""),7.0)</f>
        <v>7</v>
      </c>
      <c r="F786" s="251">
        <f>IFERROR(__xludf.DUMMYFUNCTION("""COMPUTED_VALUE"""),4.0)</f>
        <v>4</v>
      </c>
      <c r="G786" s="251">
        <f>IFERROR(__xludf.DUMMYFUNCTION("""COMPUTED_VALUE"""),4.0)</f>
        <v>4</v>
      </c>
      <c r="H786" s="251">
        <f>IFERROR(__xludf.DUMMYFUNCTION("""COMPUTED_VALUE"""),4.0)</f>
        <v>4</v>
      </c>
      <c r="I786" s="251">
        <f>IFERROR(__xludf.DUMMYFUNCTION("""COMPUTED_VALUE"""),7.0)</f>
        <v>7</v>
      </c>
      <c r="J786" s="251">
        <f>IFERROR(__xludf.DUMMYFUNCTION("""COMPUTED_VALUE"""),1.0)</f>
        <v>1</v>
      </c>
      <c r="K786" s="251" t="str">
        <f>IFERROR(__xludf.DUMMYFUNCTION("""COMPUTED_VALUE"""),"Small")</f>
        <v>Small</v>
      </c>
      <c r="L786" s="251">
        <f>IFERROR(__xludf.DUMMYFUNCTION("""COMPUTED_VALUE"""),1.0)</f>
        <v>1</v>
      </c>
      <c r="M786" s="251" t="str">
        <f>IFERROR(__xludf.DUMMYFUNCTION("""COMPUTED_VALUE"""),"Grasslands, Urban")</f>
        <v>Grasslands, Urban</v>
      </c>
      <c r="N786" s="251" t="str">
        <f>IFERROR(__xludf.DUMMYFUNCTION("""COMPUTED_VALUE"""),"Quick")</f>
        <v>Quick</v>
      </c>
      <c r="O786" s="251" t="str">
        <f>IFERROR(__xludf.DUMMYFUNCTION("""COMPUTED_VALUE"""),"--")</f>
        <v>--</v>
      </c>
      <c r="P786" s="251" t="str">
        <f>IFERROR(__xludf.DUMMYFUNCTION("""COMPUTED_VALUE"""),"--")</f>
        <v>--</v>
      </c>
      <c r="Q786" s="251" t="str">
        <f>IFERROR(__xludf.DUMMYFUNCTION("""COMPUTED_VALUE"""),"--")</f>
        <v>--</v>
      </c>
      <c r="R786" s="251" t="str">
        <f>IFERROR(__xludf.DUMMYFUNCTION("""COMPUTED_VALUE"""),"Underdog")</f>
        <v>Underdog</v>
      </c>
      <c r="S786" s="251" t="str">
        <f>IFERROR(__xludf.DUMMYFUNCTION("""COMPUTED_VALUE"""),"--")</f>
        <v>--</v>
      </c>
      <c r="T786" s="251" t="str">
        <f>IFERROR(__xludf.DUMMYFUNCTION("""COMPUTED_VALUE"""),"--")</f>
        <v>--</v>
      </c>
      <c r="U786" s="251" t="str">
        <f>IFERROR(__xludf.DUMMYFUNCTION("""COMPUTED_VALUE"""),"--")</f>
        <v>--</v>
      </c>
      <c r="V786" s="251" t="str">
        <f>IFERROR(__xludf.DUMMYFUNCTION("""COMPUTED_VALUE"""),"--")</f>
        <v>--</v>
      </c>
      <c r="W786" s="251" t="str">
        <f>IFERROR(__xludf.DUMMYFUNCTION("""COMPUTED_VALUE"""),"--")</f>
        <v>--</v>
      </c>
      <c r="X786" s="251" t="str">
        <f>IFERROR(__xludf.DUMMYFUNCTION("""COMPUTED_VALUE"""),"--")</f>
        <v>--</v>
      </c>
      <c r="Y786" s="251" t="str">
        <f>IFERROR(__xludf.DUMMYFUNCTION("""COMPUTED_VALUE"""),"--")</f>
        <v>--</v>
      </c>
      <c r="Z786" s="251" t="str">
        <f>IFERROR(__xludf.DUMMYFUNCTION("""COMPUTED_VALUE"""),"--")</f>
        <v>--</v>
      </c>
      <c r="AA786" s="251" t="str">
        <f>IFERROR(__xludf.DUMMYFUNCTION("""COMPUTED_VALUE"""),"--")</f>
        <v>--</v>
      </c>
      <c r="AB786" s="251" t="str">
        <f>IFERROR(__xludf.DUMMYFUNCTION("""COMPUTED_VALUE"""),"--")</f>
        <v>--</v>
      </c>
      <c r="AC786" s="251" t="str">
        <f>IFERROR(__xludf.DUMMYFUNCTION("""COMPUTED_VALUE"""),"--")</f>
        <v>--</v>
      </c>
      <c r="AD786" s="251">
        <f>IFERROR(__xludf.DUMMYFUNCTION("""COMPUTED_VALUE"""),2.0)</f>
        <v>2</v>
      </c>
      <c r="AE786" s="251" t="str">
        <f>IFERROR(__xludf.DUMMYFUNCTION("""COMPUTED_VALUE"""),"Omnivore")</f>
        <v>Omnivore</v>
      </c>
    </row>
    <row r="787">
      <c r="A787" s="251" t="str">
        <f>IFERROR(__xludf.DUMMYFUNCTION("""COMPUTED_VALUE"""),"Raticate")</f>
        <v>Raticate</v>
      </c>
      <c r="B787" s="251" t="str">
        <f>IFERROR(__xludf.DUMMYFUNCTION("""COMPUTED_VALUE"""),"Normal")</f>
        <v>Normal</v>
      </c>
      <c r="C787" s="251" t="str">
        <f>IFERROR(__xludf.DUMMYFUNCTION("""COMPUTED_VALUE"""),"None")</f>
        <v>None</v>
      </c>
      <c r="D787" s="251">
        <f>IFERROR(__xludf.DUMMYFUNCTION("""COMPUTED_VALUE"""),6.0)</f>
        <v>6</v>
      </c>
      <c r="E787" s="251">
        <f>IFERROR(__xludf.DUMMYFUNCTION("""COMPUTED_VALUE"""),8.0)</f>
        <v>8</v>
      </c>
      <c r="F787" s="251">
        <f>IFERROR(__xludf.DUMMYFUNCTION("""COMPUTED_VALUE"""),6.0)</f>
        <v>6</v>
      </c>
      <c r="G787" s="251">
        <f>IFERROR(__xludf.DUMMYFUNCTION("""COMPUTED_VALUE"""),5.0)</f>
        <v>5</v>
      </c>
      <c r="H787" s="251">
        <f>IFERROR(__xludf.DUMMYFUNCTION("""COMPUTED_VALUE"""),7.0)</f>
        <v>7</v>
      </c>
      <c r="I787" s="251">
        <f>IFERROR(__xludf.DUMMYFUNCTION("""COMPUTED_VALUE"""),10.0)</f>
        <v>10</v>
      </c>
      <c r="J787" s="251">
        <f>IFERROR(__xludf.DUMMYFUNCTION("""COMPUTED_VALUE"""),3.0)</f>
        <v>3</v>
      </c>
      <c r="K787" s="251" t="str">
        <f>IFERROR(__xludf.DUMMYFUNCTION("""COMPUTED_VALUE"""),"Small")</f>
        <v>Small</v>
      </c>
      <c r="L787" s="251">
        <f>IFERROR(__xludf.DUMMYFUNCTION("""COMPUTED_VALUE"""),2.0)</f>
        <v>2</v>
      </c>
      <c r="M787" s="251" t="str">
        <f>IFERROR(__xludf.DUMMYFUNCTION("""COMPUTED_VALUE"""),"Grasslands, Urban")</f>
        <v>Grasslands, Urban</v>
      </c>
      <c r="N787" s="251" t="str">
        <f>IFERROR(__xludf.DUMMYFUNCTION("""COMPUTED_VALUE"""),"Quick")</f>
        <v>Quick</v>
      </c>
      <c r="O787" s="251" t="str">
        <f>IFERROR(__xludf.DUMMYFUNCTION("""COMPUTED_VALUE"""),"--")</f>
        <v>--</v>
      </c>
      <c r="P787" s="251" t="str">
        <f>IFERROR(__xludf.DUMMYFUNCTION("""COMPUTED_VALUE"""),"--")</f>
        <v>--</v>
      </c>
      <c r="Q787" s="251" t="str">
        <f>IFERROR(__xludf.DUMMYFUNCTION("""COMPUTED_VALUE"""),"--")</f>
        <v>--</v>
      </c>
      <c r="R787" s="251" t="str">
        <f>IFERROR(__xludf.DUMMYFUNCTION("""COMPUTED_VALUE"""),"Underdog")</f>
        <v>Underdog</v>
      </c>
      <c r="S787" s="251" t="str">
        <f>IFERROR(__xludf.DUMMYFUNCTION("""COMPUTED_VALUE"""),"--")</f>
        <v>--</v>
      </c>
      <c r="T787" s="251" t="str">
        <f>IFERROR(__xludf.DUMMYFUNCTION("""COMPUTED_VALUE"""),"--")</f>
        <v>--</v>
      </c>
      <c r="U787" s="251" t="str">
        <f>IFERROR(__xludf.DUMMYFUNCTION("""COMPUTED_VALUE"""),"--")</f>
        <v>--</v>
      </c>
      <c r="V787" s="251" t="str">
        <f>IFERROR(__xludf.DUMMYFUNCTION("""COMPUTED_VALUE"""),"Tracker")</f>
        <v>Tracker</v>
      </c>
      <c r="W787" s="251" t="str">
        <f>IFERROR(__xludf.DUMMYFUNCTION("""COMPUTED_VALUE"""),"--")</f>
        <v>--</v>
      </c>
      <c r="X787" s="251" t="str">
        <f>IFERROR(__xludf.DUMMYFUNCTION("""COMPUTED_VALUE"""),"--")</f>
        <v>--</v>
      </c>
      <c r="Y787" s="251" t="str">
        <f>IFERROR(__xludf.DUMMYFUNCTION("""COMPUTED_VALUE"""),"--")</f>
        <v>--</v>
      </c>
      <c r="Z787" s="251" t="str">
        <f>IFERROR(__xludf.DUMMYFUNCTION("""COMPUTED_VALUE"""),"--")</f>
        <v>--</v>
      </c>
      <c r="AA787" s="251" t="str">
        <f>IFERROR(__xludf.DUMMYFUNCTION("""COMPUTED_VALUE"""),"--")</f>
        <v>--</v>
      </c>
      <c r="AB787" s="251" t="str">
        <f>IFERROR(__xludf.DUMMYFUNCTION("""COMPUTED_VALUE"""),"--")</f>
        <v>--</v>
      </c>
      <c r="AC787" s="251" t="str">
        <f>IFERROR(__xludf.DUMMYFUNCTION("""COMPUTED_VALUE"""),"--")</f>
        <v>--</v>
      </c>
      <c r="AD787" s="251">
        <f>IFERROR(__xludf.DUMMYFUNCTION("""COMPUTED_VALUE"""),3.0)</f>
        <v>3</v>
      </c>
      <c r="AE787" s="251" t="str">
        <f>IFERROR(__xludf.DUMMYFUNCTION("""COMPUTED_VALUE"""),"Omnivore")</f>
        <v>Omnivore</v>
      </c>
    </row>
    <row r="788">
      <c r="A788" s="251" t="str">
        <f>IFERROR(__xludf.DUMMYFUNCTION("""COMPUTED_VALUE"""),"Spearow")</f>
        <v>Spearow</v>
      </c>
      <c r="B788" s="251" t="str">
        <f>IFERROR(__xludf.DUMMYFUNCTION("""COMPUTED_VALUE"""),"Normal")</f>
        <v>Normal</v>
      </c>
      <c r="C788" s="251" t="str">
        <f>IFERROR(__xludf.DUMMYFUNCTION("""COMPUTED_VALUE"""),"Flying")</f>
        <v>Flying</v>
      </c>
      <c r="D788" s="251">
        <f>IFERROR(__xludf.DUMMYFUNCTION("""COMPUTED_VALUE"""),5.0)</f>
        <v>5</v>
      </c>
      <c r="E788" s="251">
        <f>IFERROR(__xludf.DUMMYFUNCTION("""COMPUTED_VALUE"""),6.0)</f>
        <v>6</v>
      </c>
      <c r="F788" s="251">
        <f>IFERROR(__xludf.DUMMYFUNCTION("""COMPUTED_VALUE"""),4.0)</f>
        <v>4</v>
      </c>
      <c r="G788" s="251">
        <f>IFERROR(__xludf.DUMMYFUNCTION("""COMPUTED_VALUE"""),4.0)</f>
        <v>4</v>
      </c>
      <c r="H788" s="251">
        <f>IFERROR(__xludf.DUMMYFUNCTION("""COMPUTED_VALUE"""),4.0)</f>
        <v>4</v>
      </c>
      <c r="I788" s="251">
        <f>IFERROR(__xludf.DUMMYFUNCTION("""COMPUTED_VALUE"""),7.0)</f>
        <v>7</v>
      </c>
      <c r="J788" s="251">
        <f>IFERROR(__xludf.DUMMYFUNCTION("""COMPUTED_VALUE"""),1.0)</f>
        <v>1</v>
      </c>
      <c r="K788" s="251" t="str">
        <f>IFERROR(__xludf.DUMMYFUNCTION("""COMPUTED_VALUE"""),"Small")</f>
        <v>Small</v>
      </c>
      <c r="L788" s="251">
        <f>IFERROR(__xludf.DUMMYFUNCTION("""COMPUTED_VALUE"""),1.0)</f>
        <v>1</v>
      </c>
      <c r="M788" s="251" t="str">
        <f>IFERROR(__xludf.DUMMYFUNCTION("""COMPUTED_VALUE"""),"Mountain")</f>
        <v>Mountain</v>
      </c>
      <c r="N788" s="251" t="str">
        <f>IFERROR(__xludf.DUMMYFUNCTION("""COMPUTED_VALUE"""),"Flier")</f>
        <v>Flier</v>
      </c>
      <c r="O788" s="251" t="str">
        <f>IFERROR(__xludf.DUMMYFUNCTION("""COMPUTED_VALUE"""),"--")</f>
        <v>--</v>
      </c>
      <c r="P788" s="251" t="str">
        <f>IFERROR(__xludf.DUMMYFUNCTION("""COMPUTED_VALUE"""),"--")</f>
        <v>--</v>
      </c>
      <c r="Q788" s="251" t="str">
        <f>IFERROR(__xludf.DUMMYFUNCTION("""COMPUTED_VALUE"""),"--")</f>
        <v>--</v>
      </c>
      <c r="R788" s="251" t="str">
        <f>IFERROR(__xludf.DUMMYFUNCTION("""COMPUTED_VALUE"""),"Underdog")</f>
        <v>Underdog</v>
      </c>
      <c r="S788" s="251" t="str">
        <f>IFERROR(__xludf.DUMMYFUNCTION("""COMPUTED_VALUE"""),"--")</f>
        <v>--</v>
      </c>
      <c r="T788" s="251" t="str">
        <f>IFERROR(__xludf.DUMMYFUNCTION("""COMPUTED_VALUE"""),"--")</f>
        <v>--</v>
      </c>
      <c r="U788" s="251" t="str">
        <f>IFERROR(__xludf.DUMMYFUNCTION("""COMPUTED_VALUE"""),"--")</f>
        <v>--</v>
      </c>
      <c r="V788" s="251" t="str">
        <f>IFERROR(__xludf.DUMMYFUNCTION("""COMPUTED_VALUE"""),"--")</f>
        <v>--</v>
      </c>
      <c r="W788" s="251" t="str">
        <f>IFERROR(__xludf.DUMMYFUNCTION("""COMPUTED_VALUE"""),"--")</f>
        <v>--</v>
      </c>
      <c r="X788" s="251" t="str">
        <f>IFERROR(__xludf.DUMMYFUNCTION("""COMPUTED_VALUE"""),"--")</f>
        <v>--</v>
      </c>
      <c r="Y788" s="251" t="str">
        <f>IFERROR(__xludf.DUMMYFUNCTION("""COMPUTED_VALUE"""),"--")</f>
        <v>--</v>
      </c>
      <c r="Z788" s="251" t="str">
        <f>IFERROR(__xludf.DUMMYFUNCTION("""COMPUTED_VALUE"""),"--")</f>
        <v>--</v>
      </c>
      <c r="AA788" s="251" t="str">
        <f>IFERROR(__xludf.DUMMYFUNCTION("""COMPUTED_VALUE"""),"--")</f>
        <v>--</v>
      </c>
      <c r="AB788" s="251" t="str">
        <f>IFERROR(__xludf.DUMMYFUNCTION("""COMPUTED_VALUE"""),"--")</f>
        <v>--</v>
      </c>
      <c r="AC788" s="251" t="str">
        <f>IFERROR(__xludf.DUMMYFUNCTION("""COMPUTED_VALUE"""),"--")</f>
        <v>--</v>
      </c>
      <c r="AD788" s="251">
        <f>IFERROR(__xludf.DUMMYFUNCTION("""COMPUTED_VALUE"""),2.0)</f>
        <v>2</v>
      </c>
      <c r="AE788" s="251" t="str">
        <f>IFERROR(__xludf.DUMMYFUNCTION("""COMPUTED_VALUE"""),"Omnivore")</f>
        <v>Omnivore</v>
      </c>
    </row>
    <row r="789">
      <c r="A789" s="251" t="str">
        <f>IFERROR(__xludf.DUMMYFUNCTION("""COMPUTED_VALUE"""),"Fearow")</f>
        <v>Fearow</v>
      </c>
      <c r="B789" s="251" t="str">
        <f>IFERROR(__xludf.DUMMYFUNCTION("""COMPUTED_VALUE"""),"Normal")</f>
        <v>Normal</v>
      </c>
      <c r="C789" s="251" t="str">
        <f>IFERROR(__xludf.DUMMYFUNCTION("""COMPUTED_VALUE"""),"Flying")</f>
        <v>Flying</v>
      </c>
      <c r="D789" s="251">
        <f>IFERROR(__xludf.DUMMYFUNCTION("""COMPUTED_VALUE"""),8.0)</f>
        <v>8</v>
      </c>
      <c r="E789" s="251">
        <f>IFERROR(__xludf.DUMMYFUNCTION("""COMPUTED_VALUE"""),11.0)</f>
        <v>11</v>
      </c>
      <c r="F789" s="251">
        <f>IFERROR(__xludf.DUMMYFUNCTION("""COMPUTED_VALUE"""),8.0)</f>
        <v>8</v>
      </c>
      <c r="G789" s="251">
        <f>IFERROR(__xludf.DUMMYFUNCTION("""COMPUTED_VALUE"""),6.0)</f>
        <v>6</v>
      </c>
      <c r="H789" s="251">
        <f>IFERROR(__xludf.DUMMYFUNCTION("""COMPUTED_VALUE"""),6.0)</f>
        <v>6</v>
      </c>
      <c r="I789" s="251">
        <f>IFERROR(__xludf.DUMMYFUNCTION("""COMPUTED_VALUE"""),12.0)</f>
        <v>12</v>
      </c>
      <c r="J789" s="251">
        <f>IFERROR(__xludf.DUMMYFUNCTION("""COMPUTED_VALUE"""),5.0)</f>
        <v>5</v>
      </c>
      <c r="K789" s="251" t="str">
        <f>IFERROR(__xludf.DUMMYFUNCTION("""COMPUTED_VALUE"""),"Medium")</f>
        <v>Medium</v>
      </c>
      <c r="L789" s="251">
        <f>IFERROR(__xludf.DUMMYFUNCTION("""COMPUTED_VALUE"""),3.0)</f>
        <v>3</v>
      </c>
      <c r="M789" s="251" t="str">
        <f>IFERROR(__xludf.DUMMYFUNCTION("""COMPUTED_VALUE"""),"Mountain")</f>
        <v>Mountain</v>
      </c>
      <c r="N789" s="251" t="str">
        <f>IFERROR(__xludf.DUMMYFUNCTION("""COMPUTED_VALUE"""),"Flier")</f>
        <v>Flier</v>
      </c>
      <c r="O789" s="251" t="str">
        <f>IFERROR(__xludf.DUMMYFUNCTION("""COMPUTED_VALUE"""),"--")</f>
        <v>--</v>
      </c>
      <c r="P789" s="251" t="str">
        <f>IFERROR(__xludf.DUMMYFUNCTION("""COMPUTED_VALUE"""),"--")</f>
        <v>--</v>
      </c>
      <c r="Q789" s="251" t="str">
        <f>IFERROR(__xludf.DUMMYFUNCTION("""COMPUTED_VALUE"""),"--")</f>
        <v>--</v>
      </c>
      <c r="R789" s="251" t="str">
        <f>IFERROR(__xludf.DUMMYFUNCTION("""COMPUTED_VALUE"""),"Mountable")</f>
        <v>Mountable</v>
      </c>
      <c r="S789" s="251" t="str">
        <f>IFERROR(__xludf.DUMMYFUNCTION("""COMPUTED_VALUE"""),"--")</f>
        <v>--</v>
      </c>
      <c r="T789" s="251" t="str">
        <f>IFERROR(__xludf.DUMMYFUNCTION("""COMPUTED_VALUE"""),"--")</f>
        <v>--</v>
      </c>
      <c r="U789" s="251" t="str">
        <f>IFERROR(__xludf.DUMMYFUNCTION("""COMPUTED_VALUE"""),"--")</f>
        <v>--</v>
      </c>
      <c r="V789" s="251" t="str">
        <f>IFERROR(__xludf.DUMMYFUNCTION("""COMPUTED_VALUE"""),"--")</f>
        <v>--</v>
      </c>
      <c r="W789" s="251" t="str">
        <f>IFERROR(__xludf.DUMMYFUNCTION("""COMPUTED_VALUE"""),"--")</f>
        <v>--</v>
      </c>
      <c r="X789" s="251" t="str">
        <f>IFERROR(__xludf.DUMMYFUNCTION("""COMPUTED_VALUE"""),"--")</f>
        <v>--</v>
      </c>
      <c r="Y789" s="251" t="str">
        <f>IFERROR(__xludf.DUMMYFUNCTION("""COMPUTED_VALUE"""),"--")</f>
        <v>--</v>
      </c>
      <c r="Z789" s="251" t="str">
        <f>IFERROR(__xludf.DUMMYFUNCTION("""COMPUTED_VALUE"""),"--")</f>
        <v>--</v>
      </c>
      <c r="AA789" s="251" t="str">
        <f>IFERROR(__xludf.DUMMYFUNCTION("""COMPUTED_VALUE"""),"--")</f>
        <v>--</v>
      </c>
      <c r="AB789" s="251" t="str">
        <f>IFERROR(__xludf.DUMMYFUNCTION("""COMPUTED_VALUE"""),"--")</f>
        <v>--</v>
      </c>
      <c r="AC789" s="251" t="str">
        <f>IFERROR(__xludf.DUMMYFUNCTION("""COMPUTED_VALUE"""),"--")</f>
        <v>--</v>
      </c>
      <c r="AD789" s="251">
        <f>IFERROR(__xludf.DUMMYFUNCTION("""COMPUTED_VALUE"""),3.0)</f>
        <v>3</v>
      </c>
      <c r="AE789" s="251" t="str">
        <f>IFERROR(__xludf.DUMMYFUNCTION("""COMPUTED_VALUE"""),"Omnivore")</f>
        <v>Omnivore</v>
      </c>
    </row>
    <row r="790">
      <c r="A790" s="251" t="str">
        <f>IFERROR(__xludf.DUMMYFUNCTION("""COMPUTED_VALUE"""),"Meowth")</f>
        <v>Meowth</v>
      </c>
      <c r="B790" s="251" t="str">
        <f>IFERROR(__xludf.DUMMYFUNCTION("""COMPUTED_VALUE"""),"Normal")</f>
        <v>Normal</v>
      </c>
      <c r="C790" s="251" t="str">
        <f>IFERROR(__xludf.DUMMYFUNCTION("""COMPUTED_VALUE"""),"None")</f>
        <v>None</v>
      </c>
      <c r="D790" s="251">
        <f>IFERROR(__xludf.DUMMYFUNCTION("""COMPUTED_VALUE"""),4.0)</f>
        <v>4</v>
      </c>
      <c r="E790" s="251">
        <f>IFERROR(__xludf.DUMMYFUNCTION("""COMPUTED_VALUE"""),5.0)</f>
        <v>5</v>
      </c>
      <c r="F790" s="251">
        <f>IFERROR(__xludf.DUMMYFUNCTION("""COMPUTED_VALUE"""),4.0)</f>
        <v>4</v>
      </c>
      <c r="G790" s="251">
        <f>IFERROR(__xludf.DUMMYFUNCTION("""COMPUTED_VALUE"""),4.0)</f>
        <v>4</v>
      </c>
      <c r="H790" s="251">
        <f>IFERROR(__xludf.DUMMYFUNCTION("""COMPUTED_VALUE"""),4.0)</f>
        <v>4</v>
      </c>
      <c r="I790" s="251">
        <f>IFERROR(__xludf.DUMMYFUNCTION("""COMPUTED_VALUE"""),9.0)</f>
        <v>9</v>
      </c>
      <c r="J790" s="251">
        <f>IFERROR(__xludf.DUMMYFUNCTION("""COMPUTED_VALUE"""),2.0)</f>
        <v>2</v>
      </c>
      <c r="K790" s="251" t="str">
        <f>IFERROR(__xludf.DUMMYFUNCTION("""COMPUTED_VALUE"""),"Small")</f>
        <v>Small</v>
      </c>
      <c r="L790" s="251">
        <f>IFERROR(__xludf.DUMMYFUNCTION("""COMPUTED_VALUE"""),1.0)</f>
        <v>1</v>
      </c>
      <c r="M790" s="251" t="str">
        <f>IFERROR(__xludf.DUMMYFUNCTION("""COMPUTED_VALUE"""),"Urban")</f>
        <v>Urban</v>
      </c>
      <c r="N790" s="251" t="str">
        <f>IFERROR(__xludf.DUMMYFUNCTION("""COMPUTED_VALUE"""),"--")</f>
        <v>--</v>
      </c>
      <c r="O790" s="251" t="str">
        <f>IFERROR(__xludf.DUMMYFUNCTION("""COMPUTED_VALUE"""),"--")</f>
        <v>--</v>
      </c>
      <c r="P790" s="251" t="str">
        <f>IFERROR(__xludf.DUMMYFUNCTION("""COMPUTED_VALUE"""),"--")</f>
        <v>--</v>
      </c>
      <c r="Q790" s="251" t="str">
        <f>IFERROR(__xludf.DUMMYFUNCTION("""COMPUTED_VALUE"""),"--")</f>
        <v>--</v>
      </c>
      <c r="R790" s="251" t="str">
        <f>IFERROR(__xludf.DUMMYFUNCTION("""COMPUTED_VALUE"""),"Underdog")</f>
        <v>Underdog</v>
      </c>
      <c r="S790" s="251" t="str">
        <f>IFERROR(__xludf.DUMMYFUNCTION("""COMPUTED_VALUE"""),"--")</f>
        <v>--</v>
      </c>
      <c r="T790" s="251" t="str">
        <f>IFERROR(__xludf.DUMMYFUNCTION("""COMPUTED_VALUE"""),"--")</f>
        <v>--</v>
      </c>
      <c r="U790" s="251" t="str">
        <f>IFERROR(__xludf.DUMMYFUNCTION("""COMPUTED_VALUE"""),"--")</f>
        <v>--</v>
      </c>
      <c r="V790" s="251" t="str">
        <f>IFERROR(__xludf.DUMMYFUNCTION("""COMPUTED_VALUE"""),"Tracker")</f>
        <v>Tracker</v>
      </c>
      <c r="W790" s="251" t="str">
        <f>IFERROR(__xludf.DUMMYFUNCTION("""COMPUTED_VALUE"""),"--")</f>
        <v>--</v>
      </c>
      <c r="X790" s="251" t="str">
        <f>IFERROR(__xludf.DUMMYFUNCTION("""COMPUTED_VALUE"""),"--")</f>
        <v>--</v>
      </c>
      <c r="Y790" s="251" t="str">
        <f>IFERROR(__xludf.DUMMYFUNCTION("""COMPUTED_VALUE"""),"--")</f>
        <v>--</v>
      </c>
      <c r="Z790" s="251" t="str">
        <f>IFERROR(__xludf.DUMMYFUNCTION("""COMPUTED_VALUE"""),"--")</f>
        <v>--</v>
      </c>
      <c r="AA790" s="251" t="str">
        <f>IFERROR(__xludf.DUMMYFUNCTION("""COMPUTED_VALUE"""),"--")</f>
        <v>--</v>
      </c>
      <c r="AB790" s="251" t="str">
        <f>IFERROR(__xludf.DUMMYFUNCTION("""COMPUTED_VALUE"""),"--")</f>
        <v>--</v>
      </c>
      <c r="AC790" s="251" t="str">
        <f>IFERROR(__xludf.DUMMYFUNCTION("""COMPUTED_VALUE"""),"--")</f>
        <v>--</v>
      </c>
      <c r="AD790" s="251">
        <f>IFERROR(__xludf.DUMMYFUNCTION("""COMPUTED_VALUE"""),2.0)</f>
        <v>2</v>
      </c>
      <c r="AE790" s="251" t="str">
        <f>IFERROR(__xludf.DUMMYFUNCTION("""COMPUTED_VALUE"""),"Carnivore")</f>
        <v>Carnivore</v>
      </c>
    </row>
    <row r="791">
      <c r="A791" s="251" t="str">
        <f>IFERROR(__xludf.DUMMYFUNCTION("""COMPUTED_VALUE"""),"Persian")</f>
        <v>Persian</v>
      </c>
      <c r="B791" s="251" t="str">
        <f>IFERROR(__xludf.DUMMYFUNCTION("""COMPUTED_VALUE"""),"Normal")</f>
        <v>Normal</v>
      </c>
      <c r="C791" s="251" t="str">
        <f>IFERROR(__xludf.DUMMYFUNCTION("""COMPUTED_VALUE"""),"None")</f>
        <v>None</v>
      </c>
      <c r="D791" s="251">
        <f>IFERROR(__xludf.DUMMYFUNCTION("""COMPUTED_VALUE"""),7.0)</f>
        <v>7</v>
      </c>
      <c r="E791" s="251">
        <f>IFERROR(__xludf.DUMMYFUNCTION("""COMPUTED_VALUE"""),9.0)</f>
        <v>9</v>
      </c>
      <c r="F791" s="251">
        <f>IFERROR(__xludf.DUMMYFUNCTION("""COMPUTED_VALUE"""),7.0)</f>
        <v>7</v>
      </c>
      <c r="G791" s="251">
        <f>IFERROR(__xludf.DUMMYFUNCTION("""COMPUTED_VALUE"""),9.0)</f>
        <v>9</v>
      </c>
      <c r="H791" s="251">
        <f>IFERROR(__xludf.DUMMYFUNCTION("""COMPUTED_VALUE"""),7.0)</f>
        <v>7</v>
      </c>
      <c r="I791" s="251">
        <f>IFERROR(__xludf.DUMMYFUNCTION("""COMPUTED_VALUE"""),12.0)</f>
        <v>12</v>
      </c>
      <c r="J791" s="251">
        <f>IFERROR(__xludf.DUMMYFUNCTION("""COMPUTED_VALUE"""),3.0)</f>
        <v>3</v>
      </c>
      <c r="K791" s="251" t="str">
        <f>IFERROR(__xludf.DUMMYFUNCTION("""COMPUTED_VALUE"""),"Medium")</f>
        <v>Medium</v>
      </c>
      <c r="L791" s="251">
        <f>IFERROR(__xludf.DUMMYFUNCTION("""COMPUTED_VALUE"""),3.0)</f>
        <v>3</v>
      </c>
      <c r="M791" s="251" t="str">
        <f>IFERROR(__xludf.DUMMYFUNCTION("""COMPUTED_VALUE"""),"Urban")</f>
        <v>Urban</v>
      </c>
      <c r="N791" s="251" t="str">
        <f>IFERROR(__xludf.DUMMYFUNCTION("""COMPUTED_VALUE"""),"--")</f>
        <v>--</v>
      </c>
      <c r="O791" s="251" t="str">
        <f>IFERROR(__xludf.DUMMYFUNCTION("""COMPUTED_VALUE"""),"--")</f>
        <v>--</v>
      </c>
      <c r="P791" s="251" t="str">
        <f>IFERROR(__xludf.DUMMYFUNCTION("""COMPUTED_VALUE"""),"--")</f>
        <v>--</v>
      </c>
      <c r="Q791" s="251" t="str">
        <f>IFERROR(__xludf.DUMMYFUNCTION("""COMPUTED_VALUE"""),"--")</f>
        <v>--</v>
      </c>
      <c r="R791" s="251" t="str">
        <f>IFERROR(__xludf.DUMMYFUNCTION("""COMPUTED_VALUE"""),"--")</f>
        <v>--</v>
      </c>
      <c r="S791" s="251" t="str">
        <f>IFERROR(__xludf.DUMMYFUNCTION("""COMPUTED_VALUE"""),"--")</f>
        <v>--</v>
      </c>
      <c r="T791" s="251" t="str">
        <f>IFERROR(__xludf.DUMMYFUNCTION("""COMPUTED_VALUE"""),"--")</f>
        <v>--</v>
      </c>
      <c r="U791" s="251" t="str">
        <f>IFERROR(__xludf.DUMMYFUNCTION("""COMPUTED_VALUE"""),"--")</f>
        <v>--</v>
      </c>
      <c r="V791" s="251" t="str">
        <f>IFERROR(__xludf.DUMMYFUNCTION("""COMPUTED_VALUE"""),"Pack Mon")</f>
        <v>Pack Mon</v>
      </c>
      <c r="W791" s="251" t="str">
        <f>IFERROR(__xludf.DUMMYFUNCTION("""COMPUTED_VALUE"""),"Tracker")</f>
        <v>Tracker</v>
      </c>
      <c r="X791" s="251" t="str">
        <f>IFERROR(__xludf.DUMMYFUNCTION("""COMPUTED_VALUE"""),"--")</f>
        <v>--</v>
      </c>
      <c r="Y791" s="251" t="str">
        <f>IFERROR(__xludf.DUMMYFUNCTION("""COMPUTED_VALUE"""),"--")</f>
        <v>--</v>
      </c>
      <c r="Z791" s="251" t="str">
        <f>IFERROR(__xludf.DUMMYFUNCTION("""COMPUTED_VALUE"""),"--")</f>
        <v>--</v>
      </c>
      <c r="AA791" s="251" t="str">
        <f>IFERROR(__xludf.DUMMYFUNCTION("""COMPUTED_VALUE"""),"--")</f>
        <v>--</v>
      </c>
      <c r="AB791" s="251" t="str">
        <f>IFERROR(__xludf.DUMMYFUNCTION("""COMPUTED_VALUE"""),"--")</f>
        <v>--</v>
      </c>
      <c r="AC791" s="251" t="str">
        <f>IFERROR(__xludf.DUMMYFUNCTION("""COMPUTED_VALUE"""),"--")</f>
        <v>--</v>
      </c>
      <c r="AD791" s="251">
        <f>IFERROR(__xludf.DUMMYFUNCTION("""COMPUTED_VALUE"""),3.0)</f>
        <v>3</v>
      </c>
      <c r="AE791" s="251" t="str">
        <f>IFERROR(__xludf.DUMMYFUNCTION("""COMPUTED_VALUE"""),"Carnivore")</f>
        <v>Carnivore</v>
      </c>
    </row>
    <row r="792">
      <c r="A792" s="251" t="str">
        <f>IFERROR(__xludf.DUMMYFUNCTION("""COMPUTED_VALUE"""),"Doduo")</f>
        <v>Doduo</v>
      </c>
      <c r="B792" s="251" t="str">
        <f>IFERROR(__xludf.DUMMYFUNCTION("""COMPUTED_VALUE"""),"Normal")</f>
        <v>Normal</v>
      </c>
      <c r="C792" s="251" t="str">
        <f>IFERROR(__xludf.DUMMYFUNCTION("""COMPUTED_VALUE"""),"Flying")</f>
        <v>Flying</v>
      </c>
      <c r="D792" s="251">
        <f>IFERROR(__xludf.DUMMYFUNCTION("""COMPUTED_VALUE"""),4.0)</f>
        <v>4</v>
      </c>
      <c r="E792" s="251">
        <f>IFERROR(__xludf.DUMMYFUNCTION("""COMPUTED_VALUE"""),9.0)</f>
        <v>9</v>
      </c>
      <c r="F792" s="251">
        <f>IFERROR(__xludf.DUMMYFUNCTION("""COMPUTED_VALUE"""),5.0)</f>
        <v>5</v>
      </c>
      <c r="G792" s="251">
        <f>IFERROR(__xludf.DUMMYFUNCTION("""COMPUTED_VALUE"""),4.0)</f>
        <v>4</v>
      </c>
      <c r="H792" s="251">
        <f>IFERROR(__xludf.DUMMYFUNCTION("""COMPUTED_VALUE"""),4.0)</f>
        <v>4</v>
      </c>
      <c r="I792" s="251">
        <f>IFERROR(__xludf.DUMMYFUNCTION("""COMPUTED_VALUE"""),8.0)</f>
        <v>8</v>
      </c>
      <c r="J792" s="251">
        <f>IFERROR(__xludf.DUMMYFUNCTION("""COMPUTED_VALUE"""),4.0)</f>
        <v>4</v>
      </c>
      <c r="K792" s="251" t="str">
        <f>IFERROR(__xludf.DUMMYFUNCTION("""COMPUTED_VALUE"""),"Medium")</f>
        <v>Medium</v>
      </c>
      <c r="L792" s="251">
        <f>IFERROR(__xludf.DUMMYFUNCTION("""COMPUTED_VALUE"""),3.0)</f>
        <v>3</v>
      </c>
      <c r="M792" s="251" t="str">
        <f>IFERROR(__xludf.DUMMYFUNCTION("""COMPUTED_VALUE"""),"Grasslands")</f>
        <v>Grasslands</v>
      </c>
      <c r="N792" s="251" t="str">
        <f>IFERROR(__xludf.DUMMYFUNCTION("""COMPUTED_VALUE"""),"Jumper")</f>
        <v>Jumper</v>
      </c>
      <c r="O792" s="251" t="str">
        <f>IFERROR(__xludf.DUMMYFUNCTION("""COMPUTED_VALUE"""),"Quick")</f>
        <v>Quick</v>
      </c>
      <c r="P792" s="251" t="str">
        <f>IFERROR(__xludf.DUMMYFUNCTION("""COMPUTED_VALUE"""),"--")</f>
        <v>--</v>
      </c>
      <c r="Q792" s="251" t="str">
        <f>IFERROR(__xludf.DUMMYFUNCTION("""COMPUTED_VALUE"""),"--")</f>
        <v>--</v>
      </c>
      <c r="R792" s="251" t="str">
        <f>IFERROR(__xludf.DUMMYFUNCTION("""COMPUTED_VALUE"""),"Underdog")</f>
        <v>Underdog</v>
      </c>
      <c r="S792" s="251" t="str">
        <f>IFERROR(__xludf.DUMMYFUNCTION("""COMPUTED_VALUE"""),"--")</f>
        <v>--</v>
      </c>
      <c r="T792" s="251" t="str">
        <f>IFERROR(__xludf.DUMMYFUNCTION("""COMPUTED_VALUE"""),"--")</f>
        <v>--</v>
      </c>
      <c r="U792" s="251" t="str">
        <f>IFERROR(__xludf.DUMMYFUNCTION("""COMPUTED_VALUE"""),"--")</f>
        <v>--</v>
      </c>
      <c r="V792" s="251" t="str">
        <f>IFERROR(__xludf.DUMMYFUNCTION("""COMPUTED_VALUE"""),"--")</f>
        <v>--</v>
      </c>
      <c r="W792" s="251" t="str">
        <f>IFERROR(__xludf.DUMMYFUNCTION("""COMPUTED_VALUE"""),"--")</f>
        <v>--</v>
      </c>
      <c r="X792" s="251" t="str">
        <f>IFERROR(__xludf.DUMMYFUNCTION("""COMPUTED_VALUE"""),"--")</f>
        <v>--</v>
      </c>
      <c r="Y792" s="251" t="str">
        <f>IFERROR(__xludf.DUMMYFUNCTION("""COMPUTED_VALUE"""),"--")</f>
        <v>--</v>
      </c>
      <c r="Z792" s="251" t="str">
        <f>IFERROR(__xludf.DUMMYFUNCTION("""COMPUTED_VALUE"""),"--")</f>
        <v>--</v>
      </c>
      <c r="AA792" s="251" t="str">
        <f>IFERROR(__xludf.DUMMYFUNCTION("""COMPUTED_VALUE"""),"--")</f>
        <v>--</v>
      </c>
      <c r="AB792" s="251" t="str">
        <f>IFERROR(__xludf.DUMMYFUNCTION("""COMPUTED_VALUE"""),"--")</f>
        <v>--</v>
      </c>
      <c r="AC792" s="251" t="str">
        <f>IFERROR(__xludf.DUMMYFUNCTION("""COMPUTED_VALUE"""),"--")</f>
        <v>--</v>
      </c>
      <c r="AD792" s="251">
        <f>IFERROR(__xludf.DUMMYFUNCTION("""COMPUTED_VALUE"""),2.0)</f>
        <v>2</v>
      </c>
      <c r="AE792" s="251" t="str">
        <f>IFERROR(__xludf.DUMMYFUNCTION("""COMPUTED_VALUE"""),"Herbivore")</f>
        <v>Herbivore</v>
      </c>
    </row>
    <row r="793">
      <c r="A793" s="251" t="str">
        <f>IFERROR(__xludf.DUMMYFUNCTION("""COMPUTED_VALUE"""),"Dodrio")</f>
        <v>Dodrio</v>
      </c>
      <c r="B793" s="251" t="str">
        <f>IFERROR(__xludf.DUMMYFUNCTION("""COMPUTED_VALUE"""),"Normal")</f>
        <v>Normal</v>
      </c>
      <c r="C793" s="251" t="str">
        <f>IFERROR(__xludf.DUMMYFUNCTION("""COMPUTED_VALUE"""),"Flying")</f>
        <v>Flying</v>
      </c>
      <c r="D793" s="251">
        <f>IFERROR(__xludf.DUMMYFUNCTION("""COMPUTED_VALUE"""),6.0)</f>
        <v>6</v>
      </c>
      <c r="E793" s="251">
        <f>IFERROR(__xludf.DUMMYFUNCTION("""COMPUTED_VALUE"""),12.0)</f>
        <v>12</v>
      </c>
      <c r="F793" s="251">
        <f>IFERROR(__xludf.DUMMYFUNCTION("""COMPUTED_VALUE"""),8.0)</f>
        <v>8</v>
      </c>
      <c r="G793" s="251">
        <f>IFERROR(__xludf.DUMMYFUNCTION("""COMPUTED_VALUE"""),6.0)</f>
        <v>6</v>
      </c>
      <c r="H793" s="251">
        <f>IFERROR(__xludf.DUMMYFUNCTION("""COMPUTED_VALUE"""),7.0)</f>
        <v>7</v>
      </c>
      <c r="I793" s="251">
        <f>IFERROR(__xludf.DUMMYFUNCTION("""COMPUTED_VALUE"""),12.0)</f>
        <v>12</v>
      </c>
      <c r="J793" s="251">
        <f>IFERROR(__xludf.DUMMYFUNCTION("""COMPUTED_VALUE"""),7.0)</f>
        <v>7</v>
      </c>
      <c r="K793" s="251" t="str">
        <f>IFERROR(__xludf.DUMMYFUNCTION("""COMPUTED_VALUE"""),"Medium")</f>
        <v>Medium</v>
      </c>
      <c r="L793" s="251">
        <f>IFERROR(__xludf.DUMMYFUNCTION("""COMPUTED_VALUE"""),4.0)</f>
        <v>4</v>
      </c>
      <c r="M793" s="251" t="str">
        <f>IFERROR(__xludf.DUMMYFUNCTION("""COMPUTED_VALUE"""),"Grasslands")</f>
        <v>Grasslands</v>
      </c>
      <c r="N793" s="251" t="str">
        <f>IFERROR(__xludf.DUMMYFUNCTION("""COMPUTED_VALUE"""),"Jumper")</f>
        <v>Jumper</v>
      </c>
      <c r="O793" s="251" t="str">
        <f>IFERROR(__xludf.DUMMYFUNCTION("""COMPUTED_VALUE"""),"Quick")</f>
        <v>Quick</v>
      </c>
      <c r="P793" s="251" t="str">
        <f>IFERROR(__xludf.DUMMYFUNCTION("""COMPUTED_VALUE"""),"--")</f>
        <v>--</v>
      </c>
      <c r="Q793" s="251" t="str">
        <f>IFERROR(__xludf.DUMMYFUNCTION("""COMPUTED_VALUE"""),"--")</f>
        <v>--</v>
      </c>
      <c r="R793" s="251" t="str">
        <f>IFERROR(__xludf.DUMMYFUNCTION("""COMPUTED_VALUE"""),"Mountable")</f>
        <v>Mountable</v>
      </c>
      <c r="S793" s="251" t="str">
        <f>IFERROR(__xludf.DUMMYFUNCTION("""COMPUTED_VALUE"""),"--")</f>
        <v>--</v>
      </c>
      <c r="T793" s="251" t="str">
        <f>IFERROR(__xludf.DUMMYFUNCTION("""COMPUTED_VALUE"""),"--")</f>
        <v>--</v>
      </c>
      <c r="U793" s="251" t="str">
        <f>IFERROR(__xludf.DUMMYFUNCTION("""COMPUTED_VALUE"""),"--")</f>
        <v>--</v>
      </c>
      <c r="V793" s="251" t="str">
        <f>IFERROR(__xludf.DUMMYFUNCTION("""COMPUTED_VALUE"""),"--")</f>
        <v>--</v>
      </c>
      <c r="W793" s="251" t="str">
        <f>IFERROR(__xludf.DUMMYFUNCTION("""COMPUTED_VALUE"""),"--")</f>
        <v>--</v>
      </c>
      <c r="X793" s="251" t="str">
        <f>IFERROR(__xludf.DUMMYFUNCTION("""COMPUTED_VALUE"""),"--")</f>
        <v>--</v>
      </c>
      <c r="Y793" s="251" t="str">
        <f>IFERROR(__xludf.DUMMYFUNCTION("""COMPUTED_VALUE"""),"--")</f>
        <v>--</v>
      </c>
      <c r="Z793" s="251" t="str">
        <f>IFERROR(__xludf.DUMMYFUNCTION("""COMPUTED_VALUE"""),"--")</f>
        <v>--</v>
      </c>
      <c r="AA793" s="251" t="str">
        <f>IFERROR(__xludf.DUMMYFUNCTION("""COMPUTED_VALUE"""),"--")</f>
        <v>--</v>
      </c>
      <c r="AB793" s="251" t="str">
        <f>IFERROR(__xludf.DUMMYFUNCTION("""COMPUTED_VALUE"""),"--")</f>
        <v>--</v>
      </c>
      <c r="AC793" s="251" t="str">
        <f>IFERROR(__xludf.DUMMYFUNCTION("""COMPUTED_VALUE"""),"--")</f>
        <v>--</v>
      </c>
      <c r="AD793" s="251">
        <f>IFERROR(__xludf.DUMMYFUNCTION("""COMPUTED_VALUE"""),3.0)</f>
        <v>3</v>
      </c>
      <c r="AE793" s="251" t="str">
        <f>IFERROR(__xludf.DUMMYFUNCTION("""COMPUTED_VALUE"""),"Herbivore")</f>
        <v>Herbivore</v>
      </c>
    </row>
    <row r="794">
      <c r="A794" s="251" t="str">
        <f>IFERROR(__xludf.DUMMYFUNCTION("""COMPUTED_VALUE"""),"Lickitung")</f>
        <v>Lickitung</v>
      </c>
      <c r="B794" s="251" t="str">
        <f>IFERROR(__xludf.DUMMYFUNCTION("""COMPUTED_VALUE"""),"Normal")</f>
        <v>Normal</v>
      </c>
      <c r="C794" s="251" t="str">
        <f>IFERROR(__xludf.DUMMYFUNCTION("""COMPUTED_VALUE"""),"None")</f>
        <v>None</v>
      </c>
      <c r="D794" s="251">
        <f>IFERROR(__xludf.DUMMYFUNCTION("""COMPUTED_VALUE"""),9.0)</f>
        <v>9</v>
      </c>
      <c r="E794" s="251">
        <f>IFERROR(__xludf.DUMMYFUNCTION("""COMPUTED_VALUE"""),6.0)</f>
        <v>6</v>
      </c>
      <c r="F794" s="251">
        <f>IFERROR(__xludf.DUMMYFUNCTION("""COMPUTED_VALUE"""),8.0)</f>
        <v>8</v>
      </c>
      <c r="G794" s="251">
        <f>IFERROR(__xludf.DUMMYFUNCTION("""COMPUTED_VALUE"""),6.0)</f>
        <v>6</v>
      </c>
      <c r="H794" s="251">
        <f>IFERROR(__xludf.DUMMYFUNCTION("""COMPUTED_VALUE"""),8.0)</f>
        <v>8</v>
      </c>
      <c r="I794" s="251">
        <f>IFERROR(__xludf.DUMMYFUNCTION("""COMPUTED_VALUE"""),3.0)</f>
        <v>3</v>
      </c>
      <c r="J794" s="251">
        <f>IFERROR(__xludf.DUMMYFUNCTION("""COMPUTED_VALUE"""),2.0)</f>
        <v>2</v>
      </c>
      <c r="K794" s="251" t="str">
        <f>IFERROR(__xludf.DUMMYFUNCTION("""COMPUTED_VALUE"""),"Medium")</f>
        <v>Medium</v>
      </c>
      <c r="L794" s="251">
        <f>IFERROR(__xludf.DUMMYFUNCTION("""COMPUTED_VALUE"""),4.0)</f>
        <v>4</v>
      </c>
      <c r="M794" s="251" t="str">
        <f>IFERROR(__xludf.DUMMYFUNCTION("""COMPUTED_VALUE"""),"Forest, Grasslands")</f>
        <v>Forest, Grasslands</v>
      </c>
      <c r="N794" s="251" t="str">
        <f>IFERROR(__xludf.DUMMYFUNCTION("""COMPUTED_VALUE"""),"--")</f>
        <v>--</v>
      </c>
      <c r="O794" s="251" t="str">
        <f>IFERROR(__xludf.DUMMYFUNCTION("""COMPUTED_VALUE"""),"--")</f>
        <v>--</v>
      </c>
      <c r="P794" s="251" t="str">
        <f>IFERROR(__xludf.DUMMYFUNCTION("""COMPUTED_VALUE"""),"--")</f>
        <v>--</v>
      </c>
      <c r="Q794" s="251" t="str">
        <f>IFERROR(__xludf.DUMMYFUNCTION("""COMPUTED_VALUE"""),"--")</f>
        <v>--</v>
      </c>
      <c r="R794" s="251" t="str">
        <f>IFERROR(__xludf.DUMMYFUNCTION("""COMPUTED_VALUE"""),"Reach")</f>
        <v>Reach</v>
      </c>
      <c r="S794" s="251" t="str">
        <f>IFERROR(__xludf.DUMMYFUNCTION("""COMPUTED_VALUE"""),"Underdog")</f>
        <v>Underdog</v>
      </c>
      <c r="T794" s="251" t="str">
        <f>IFERROR(__xludf.DUMMYFUNCTION("""COMPUTED_VALUE"""),"--")</f>
        <v>--</v>
      </c>
      <c r="U794" s="251" t="str">
        <f>IFERROR(__xludf.DUMMYFUNCTION("""COMPUTED_VALUE"""),"--")</f>
        <v>--</v>
      </c>
      <c r="V794" s="251" t="str">
        <f>IFERROR(__xludf.DUMMYFUNCTION("""COMPUTED_VALUE"""),"--")</f>
        <v>--</v>
      </c>
      <c r="W794" s="251" t="str">
        <f>IFERROR(__xludf.DUMMYFUNCTION("""COMPUTED_VALUE"""),"--")</f>
        <v>--</v>
      </c>
      <c r="X794" s="251" t="str">
        <f>IFERROR(__xludf.DUMMYFUNCTION("""COMPUTED_VALUE"""),"--")</f>
        <v>--</v>
      </c>
      <c r="Y794" s="251" t="str">
        <f>IFERROR(__xludf.DUMMYFUNCTION("""COMPUTED_VALUE"""),"--")</f>
        <v>--</v>
      </c>
      <c r="Z794" s="251" t="str">
        <f>IFERROR(__xludf.DUMMYFUNCTION("""COMPUTED_VALUE"""),"--")</f>
        <v>--</v>
      </c>
      <c r="AA794" s="251" t="str">
        <f>IFERROR(__xludf.DUMMYFUNCTION("""COMPUTED_VALUE"""),"--")</f>
        <v>--</v>
      </c>
      <c r="AB794" s="251" t="str">
        <f>IFERROR(__xludf.DUMMYFUNCTION("""COMPUTED_VALUE"""),"--")</f>
        <v>--</v>
      </c>
      <c r="AC794" s="251" t="str">
        <f>IFERROR(__xludf.DUMMYFUNCTION("""COMPUTED_VALUE"""),"--")</f>
        <v>--</v>
      </c>
      <c r="AD794" s="251">
        <f>IFERROR(__xludf.DUMMYFUNCTION("""COMPUTED_VALUE"""),2.0)</f>
        <v>2</v>
      </c>
      <c r="AE794" s="251" t="str">
        <f>IFERROR(__xludf.DUMMYFUNCTION("""COMPUTED_VALUE"""),"Omnivore")</f>
        <v>Omnivore</v>
      </c>
    </row>
    <row r="795">
      <c r="A795" s="251" t="str">
        <f>IFERROR(__xludf.DUMMYFUNCTION("""COMPUTED_VALUE"""),"Lickilicky")</f>
        <v>Lickilicky</v>
      </c>
      <c r="B795" s="251" t="str">
        <f>IFERROR(__xludf.DUMMYFUNCTION("""COMPUTED_VALUE"""),"Normal")</f>
        <v>Normal</v>
      </c>
      <c r="C795" s="251" t="str">
        <f>IFERROR(__xludf.DUMMYFUNCTION("""COMPUTED_VALUE"""),"None")</f>
        <v>None</v>
      </c>
      <c r="D795" s="251">
        <f>IFERROR(__xludf.DUMMYFUNCTION("""COMPUTED_VALUE"""),11.0)</f>
        <v>11</v>
      </c>
      <c r="E795" s="251">
        <f>IFERROR(__xludf.DUMMYFUNCTION("""COMPUTED_VALUE"""),9.0)</f>
        <v>9</v>
      </c>
      <c r="F795" s="251">
        <f>IFERROR(__xludf.DUMMYFUNCTION("""COMPUTED_VALUE"""),10.0)</f>
        <v>10</v>
      </c>
      <c r="G795" s="251">
        <f>IFERROR(__xludf.DUMMYFUNCTION("""COMPUTED_VALUE"""),8.0)</f>
        <v>8</v>
      </c>
      <c r="H795" s="251">
        <f>IFERROR(__xludf.DUMMYFUNCTION("""COMPUTED_VALUE"""),10.0)</f>
        <v>10</v>
      </c>
      <c r="I795" s="251">
        <f>IFERROR(__xludf.DUMMYFUNCTION("""COMPUTED_VALUE"""),5.0)</f>
        <v>5</v>
      </c>
      <c r="J795" s="251">
        <f>IFERROR(__xludf.DUMMYFUNCTION("""COMPUTED_VALUE"""),5.0)</f>
        <v>5</v>
      </c>
      <c r="K795" s="251" t="str">
        <f>IFERROR(__xludf.DUMMYFUNCTION("""COMPUTED_VALUE"""),"Medium")</f>
        <v>Medium</v>
      </c>
      <c r="L795" s="251">
        <f>IFERROR(__xludf.DUMMYFUNCTION("""COMPUTED_VALUE"""),5.0)</f>
        <v>5</v>
      </c>
      <c r="M795" s="251" t="str">
        <f>IFERROR(__xludf.DUMMYFUNCTION("""COMPUTED_VALUE"""),"Forest, Grasslands")</f>
        <v>Forest, Grasslands</v>
      </c>
      <c r="N795" s="251" t="str">
        <f>IFERROR(__xludf.DUMMYFUNCTION("""COMPUTED_VALUE"""),"--")</f>
        <v>--</v>
      </c>
      <c r="O795" s="251" t="str">
        <f>IFERROR(__xludf.DUMMYFUNCTION("""COMPUTED_VALUE"""),"--")</f>
        <v>--</v>
      </c>
      <c r="P795" s="251" t="str">
        <f>IFERROR(__xludf.DUMMYFUNCTION("""COMPUTED_VALUE"""),"--")</f>
        <v>--</v>
      </c>
      <c r="Q795" s="251" t="str">
        <f>IFERROR(__xludf.DUMMYFUNCTION("""COMPUTED_VALUE"""),"--")</f>
        <v>--</v>
      </c>
      <c r="R795" s="251" t="str">
        <f>IFERROR(__xludf.DUMMYFUNCTION("""COMPUTED_VALUE"""),"Reach")</f>
        <v>Reach</v>
      </c>
      <c r="S795" s="251" t="str">
        <f>IFERROR(__xludf.DUMMYFUNCTION("""COMPUTED_VALUE"""),"--")</f>
        <v>--</v>
      </c>
      <c r="T795" s="251" t="str">
        <f>IFERROR(__xludf.DUMMYFUNCTION("""COMPUTED_VALUE"""),"--")</f>
        <v>--</v>
      </c>
      <c r="U795" s="251" t="str">
        <f>IFERROR(__xludf.DUMMYFUNCTION("""COMPUTED_VALUE"""),"--")</f>
        <v>--</v>
      </c>
      <c r="V795" s="251" t="str">
        <f>IFERROR(__xludf.DUMMYFUNCTION("""COMPUTED_VALUE"""),"--")</f>
        <v>--</v>
      </c>
      <c r="W795" s="251" t="str">
        <f>IFERROR(__xludf.DUMMYFUNCTION("""COMPUTED_VALUE"""),"--")</f>
        <v>--</v>
      </c>
      <c r="X795" s="251" t="str">
        <f>IFERROR(__xludf.DUMMYFUNCTION("""COMPUTED_VALUE"""),"--")</f>
        <v>--</v>
      </c>
      <c r="Y795" s="251" t="str">
        <f>IFERROR(__xludf.DUMMYFUNCTION("""COMPUTED_VALUE"""),"--")</f>
        <v>--</v>
      </c>
      <c r="Z795" s="251" t="str">
        <f>IFERROR(__xludf.DUMMYFUNCTION("""COMPUTED_VALUE"""),"--")</f>
        <v>--</v>
      </c>
      <c r="AA795" s="251" t="str">
        <f>IFERROR(__xludf.DUMMYFUNCTION("""COMPUTED_VALUE"""),"--")</f>
        <v>--</v>
      </c>
      <c r="AB795" s="251" t="str">
        <f>IFERROR(__xludf.DUMMYFUNCTION("""COMPUTED_VALUE"""),"--")</f>
        <v>--</v>
      </c>
      <c r="AC795" s="251" t="str">
        <f>IFERROR(__xludf.DUMMYFUNCTION("""COMPUTED_VALUE"""),"--")</f>
        <v>--</v>
      </c>
      <c r="AD795" s="251">
        <f>IFERROR(__xludf.DUMMYFUNCTION("""COMPUTED_VALUE"""),3.0)</f>
        <v>3</v>
      </c>
      <c r="AE795" s="251" t="str">
        <f>IFERROR(__xludf.DUMMYFUNCTION("""COMPUTED_VALUE"""),"Omnivore")</f>
        <v>Omnivore</v>
      </c>
    </row>
    <row r="796">
      <c r="A796" s="251" t="str">
        <f>IFERROR(__xludf.DUMMYFUNCTION("""COMPUTED_VALUE"""),"Munchlax")</f>
        <v>Munchlax</v>
      </c>
      <c r="B796" s="251" t="str">
        <f>IFERROR(__xludf.DUMMYFUNCTION("""COMPUTED_VALUE"""),"Normal")</f>
        <v>Normal</v>
      </c>
      <c r="C796" s="251" t="str">
        <f>IFERROR(__xludf.DUMMYFUNCTION("""COMPUTED_VALUE"""),"None")</f>
        <v>None</v>
      </c>
      <c r="D796" s="251">
        <f>IFERROR(__xludf.DUMMYFUNCTION("""COMPUTED_VALUE"""),14.0)</f>
        <v>14</v>
      </c>
      <c r="E796" s="251">
        <f>IFERROR(__xludf.DUMMYFUNCTION("""COMPUTED_VALUE"""),9.0)</f>
        <v>9</v>
      </c>
      <c r="F796" s="251">
        <f>IFERROR(__xludf.DUMMYFUNCTION("""COMPUTED_VALUE"""),4.0)</f>
        <v>4</v>
      </c>
      <c r="G796" s="251">
        <f>IFERROR(__xludf.DUMMYFUNCTION("""COMPUTED_VALUE"""),4.0)</f>
        <v>4</v>
      </c>
      <c r="H796" s="251">
        <f>IFERROR(__xludf.DUMMYFUNCTION("""COMPUTED_VALUE"""),9.0)</f>
        <v>9</v>
      </c>
      <c r="I796" s="251">
        <f>IFERROR(__xludf.DUMMYFUNCTION("""COMPUTED_VALUE"""),1.0)</f>
        <v>1</v>
      </c>
      <c r="J796" s="251">
        <f>IFERROR(__xludf.DUMMYFUNCTION("""COMPUTED_VALUE"""),4.0)</f>
        <v>4</v>
      </c>
      <c r="K796" s="251" t="str">
        <f>IFERROR(__xludf.DUMMYFUNCTION("""COMPUTED_VALUE"""),"Small")</f>
        <v>Small</v>
      </c>
      <c r="L796" s="251">
        <f>IFERROR(__xludf.DUMMYFUNCTION("""COMPUTED_VALUE"""),4.0)</f>
        <v>4</v>
      </c>
      <c r="M796" s="251" t="str">
        <f>IFERROR(__xludf.DUMMYFUNCTION("""COMPUTED_VALUE"""),"Forest, Mountain")</f>
        <v>Forest, Mountain</v>
      </c>
      <c r="N796" s="251" t="str">
        <f>IFERROR(__xludf.DUMMYFUNCTION("""COMPUTED_VALUE"""),"Slow")</f>
        <v>Slow</v>
      </c>
      <c r="O796" s="251" t="str">
        <f>IFERROR(__xludf.DUMMYFUNCTION("""COMPUTED_VALUE"""),"--")</f>
        <v>--</v>
      </c>
      <c r="P796" s="251" t="str">
        <f>IFERROR(__xludf.DUMMYFUNCTION("""COMPUTED_VALUE"""),"--")</f>
        <v>--</v>
      </c>
      <c r="Q796" s="251" t="str">
        <f>IFERROR(__xludf.DUMMYFUNCTION("""COMPUTED_VALUE"""),"--")</f>
        <v>--</v>
      </c>
      <c r="R796" s="251" t="str">
        <f>IFERROR(__xludf.DUMMYFUNCTION("""COMPUTED_VALUE"""),"Underdog")</f>
        <v>Underdog</v>
      </c>
      <c r="S796" s="251" t="str">
        <f>IFERROR(__xludf.DUMMYFUNCTION("""COMPUTED_VALUE"""),"--")</f>
        <v>--</v>
      </c>
      <c r="T796" s="251" t="str">
        <f>IFERROR(__xludf.DUMMYFUNCTION("""COMPUTED_VALUE"""),"--")</f>
        <v>--</v>
      </c>
      <c r="U796" s="251" t="str">
        <f>IFERROR(__xludf.DUMMYFUNCTION("""COMPUTED_VALUE"""),"--")</f>
        <v>--</v>
      </c>
      <c r="V796" s="251" t="str">
        <f>IFERROR(__xludf.DUMMYFUNCTION("""COMPUTED_VALUE"""),"Tracker")</f>
        <v>Tracker</v>
      </c>
      <c r="W796" s="251" t="str">
        <f>IFERROR(__xludf.DUMMYFUNCTION("""COMPUTED_VALUE"""),"--")</f>
        <v>--</v>
      </c>
      <c r="X796" s="251" t="str">
        <f>IFERROR(__xludf.DUMMYFUNCTION("""COMPUTED_VALUE"""),"--")</f>
        <v>--</v>
      </c>
      <c r="Y796" s="251" t="str">
        <f>IFERROR(__xludf.DUMMYFUNCTION("""COMPUTED_VALUE"""),"--")</f>
        <v>--</v>
      </c>
      <c r="Z796" s="251" t="str">
        <f>IFERROR(__xludf.DUMMYFUNCTION("""COMPUTED_VALUE"""),"--")</f>
        <v>--</v>
      </c>
      <c r="AA796" s="251" t="str">
        <f>IFERROR(__xludf.DUMMYFUNCTION("""COMPUTED_VALUE"""),"--")</f>
        <v>--</v>
      </c>
      <c r="AB796" s="251" t="str">
        <f>IFERROR(__xludf.DUMMYFUNCTION("""COMPUTED_VALUE"""),"--")</f>
        <v>--</v>
      </c>
      <c r="AC796" s="251" t="str">
        <f>IFERROR(__xludf.DUMMYFUNCTION("""COMPUTED_VALUE"""),"--")</f>
        <v>--</v>
      </c>
      <c r="AD796" s="251">
        <f>IFERROR(__xludf.DUMMYFUNCTION("""COMPUTED_VALUE"""),2.0)</f>
        <v>2</v>
      </c>
      <c r="AE796" s="251" t="str">
        <f>IFERROR(__xludf.DUMMYFUNCTION("""COMPUTED_VALUE"""),"Omnivore")</f>
        <v>Omnivore</v>
      </c>
    </row>
    <row r="797">
      <c r="A797" s="251" t="str">
        <f>IFERROR(__xludf.DUMMYFUNCTION("""COMPUTED_VALUE"""),"Snorlax")</f>
        <v>Snorlax</v>
      </c>
      <c r="B797" s="251" t="str">
        <f>IFERROR(__xludf.DUMMYFUNCTION("""COMPUTED_VALUE"""),"Normal")</f>
        <v>Normal</v>
      </c>
      <c r="C797" s="251" t="str">
        <f>IFERROR(__xludf.DUMMYFUNCTION("""COMPUTED_VALUE"""),"None")</f>
        <v>None</v>
      </c>
      <c r="D797" s="251">
        <f>IFERROR(__xludf.DUMMYFUNCTION("""COMPUTED_VALUE"""),16.0)</f>
        <v>16</v>
      </c>
      <c r="E797" s="251">
        <f>IFERROR(__xludf.DUMMYFUNCTION("""COMPUTED_VALUE"""),11.0)</f>
        <v>11</v>
      </c>
      <c r="F797" s="251">
        <f>IFERROR(__xludf.DUMMYFUNCTION("""COMPUTED_VALUE"""),7.0)</f>
        <v>7</v>
      </c>
      <c r="G797" s="251">
        <f>IFERROR(__xludf.DUMMYFUNCTION("""COMPUTED_VALUE"""),7.0)</f>
        <v>7</v>
      </c>
      <c r="H797" s="251">
        <f>IFERROR(__xludf.DUMMYFUNCTION("""COMPUTED_VALUE"""),11.0)</f>
        <v>11</v>
      </c>
      <c r="I797" s="251">
        <f>IFERROR(__xludf.DUMMYFUNCTION("""COMPUTED_VALUE"""),3.0)</f>
        <v>3</v>
      </c>
      <c r="J797" s="251">
        <f>IFERROR(__xludf.DUMMYFUNCTION("""COMPUTED_VALUE"""),12.0)</f>
        <v>12</v>
      </c>
      <c r="K797" s="251" t="str">
        <f>IFERROR(__xludf.DUMMYFUNCTION("""COMPUTED_VALUE"""),"Large")</f>
        <v>Large</v>
      </c>
      <c r="L797" s="251">
        <f>IFERROR(__xludf.DUMMYFUNCTION("""COMPUTED_VALUE"""),6.0)</f>
        <v>6</v>
      </c>
      <c r="M797" s="251" t="str">
        <f>IFERROR(__xludf.DUMMYFUNCTION("""COMPUTED_VALUE"""),"Forest, Mountain")</f>
        <v>Forest, Mountain</v>
      </c>
      <c r="N797" s="251" t="str">
        <f>IFERROR(__xludf.DUMMYFUNCTION("""COMPUTED_VALUE"""),"Slow")</f>
        <v>Slow</v>
      </c>
      <c r="O797" s="251" t="str">
        <f>IFERROR(__xludf.DUMMYFUNCTION("""COMPUTED_VALUE"""),"--")</f>
        <v>--</v>
      </c>
      <c r="P797" s="251" t="str">
        <f>IFERROR(__xludf.DUMMYFUNCTION("""COMPUTED_VALUE"""),"--")</f>
        <v>--</v>
      </c>
      <c r="Q797" s="251" t="str">
        <f>IFERROR(__xludf.DUMMYFUNCTION("""COMPUTED_VALUE"""),"--")</f>
        <v>--</v>
      </c>
      <c r="R797" s="251" t="str">
        <f>IFERROR(__xludf.DUMMYFUNCTION("""COMPUTED_VALUE"""),"--")</f>
        <v>--</v>
      </c>
      <c r="S797" s="251" t="str">
        <f>IFERROR(__xludf.DUMMYFUNCTION("""COMPUTED_VALUE"""),"--")</f>
        <v>--</v>
      </c>
      <c r="T797" s="251" t="str">
        <f>IFERROR(__xludf.DUMMYFUNCTION("""COMPUTED_VALUE"""),"--")</f>
        <v>--</v>
      </c>
      <c r="U797" s="251" t="str">
        <f>IFERROR(__xludf.DUMMYFUNCTION("""COMPUTED_VALUE"""),"--")</f>
        <v>--</v>
      </c>
      <c r="V797" s="251" t="str">
        <f>IFERROR(__xludf.DUMMYFUNCTION("""COMPUTED_VALUE"""),"Tracker")</f>
        <v>Tracker</v>
      </c>
      <c r="W797" s="251" t="str">
        <f>IFERROR(__xludf.DUMMYFUNCTION("""COMPUTED_VALUE"""),"--")</f>
        <v>--</v>
      </c>
      <c r="X797" s="251" t="str">
        <f>IFERROR(__xludf.DUMMYFUNCTION("""COMPUTED_VALUE"""),"--")</f>
        <v>--</v>
      </c>
      <c r="Y797" s="251" t="str">
        <f>IFERROR(__xludf.DUMMYFUNCTION("""COMPUTED_VALUE"""),"--")</f>
        <v>--</v>
      </c>
      <c r="Z797" s="251" t="str">
        <f>IFERROR(__xludf.DUMMYFUNCTION("""COMPUTED_VALUE"""),"--")</f>
        <v>--</v>
      </c>
      <c r="AA797" s="251" t="str">
        <f>IFERROR(__xludf.DUMMYFUNCTION("""COMPUTED_VALUE"""),"--")</f>
        <v>--</v>
      </c>
      <c r="AB797" s="251" t="str">
        <f>IFERROR(__xludf.DUMMYFUNCTION("""COMPUTED_VALUE"""),"--")</f>
        <v>--</v>
      </c>
      <c r="AC797" s="251" t="str">
        <f>IFERROR(__xludf.DUMMYFUNCTION("""COMPUTED_VALUE"""),"--")</f>
        <v>--</v>
      </c>
      <c r="AD797" s="251">
        <f>IFERROR(__xludf.DUMMYFUNCTION("""COMPUTED_VALUE"""),3.0)</f>
        <v>3</v>
      </c>
      <c r="AE797" s="251" t="str">
        <f>IFERROR(__xludf.DUMMYFUNCTION("""COMPUTED_VALUE"""),"Omnivore")</f>
        <v>Omnivore</v>
      </c>
    </row>
    <row r="798">
      <c r="A798" s="251" t="str">
        <f>IFERROR(__xludf.DUMMYFUNCTION("""COMPUTED_VALUE"""),"Sentret")</f>
        <v>Sentret</v>
      </c>
      <c r="B798" s="251" t="str">
        <f>IFERROR(__xludf.DUMMYFUNCTION("""COMPUTED_VALUE"""),"Normal")</f>
        <v>Normal</v>
      </c>
      <c r="C798" s="251" t="str">
        <f>IFERROR(__xludf.DUMMYFUNCTION("""COMPUTED_VALUE"""),"None")</f>
        <v>None</v>
      </c>
      <c r="D798" s="251">
        <f>IFERROR(__xludf.DUMMYFUNCTION("""COMPUTED_VALUE"""),5.0)</f>
        <v>5</v>
      </c>
      <c r="E798" s="251">
        <f>IFERROR(__xludf.DUMMYFUNCTION("""COMPUTED_VALUE"""),6.0)</f>
        <v>6</v>
      </c>
      <c r="F798" s="251">
        <f>IFERROR(__xludf.DUMMYFUNCTION("""COMPUTED_VALUE"""),5.0)</f>
        <v>5</v>
      </c>
      <c r="G798" s="251">
        <f>IFERROR(__xludf.DUMMYFUNCTION("""COMPUTED_VALUE"""),5.0)</f>
        <v>5</v>
      </c>
      <c r="H798" s="251">
        <f>IFERROR(__xludf.DUMMYFUNCTION("""COMPUTED_VALUE"""),6.0)</f>
        <v>6</v>
      </c>
      <c r="I798" s="251">
        <f>IFERROR(__xludf.DUMMYFUNCTION("""COMPUTED_VALUE"""),3.0)</f>
        <v>3</v>
      </c>
      <c r="J798" s="251">
        <f>IFERROR(__xludf.DUMMYFUNCTION("""COMPUTED_VALUE"""),1.0)</f>
        <v>1</v>
      </c>
      <c r="K798" s="251" t="str">
        <f>IFERROR(__xludf.DUMMYFUNCTION("""COMPUTED_VALUE"""),"Small")</f>
        <v>Small</v>
      </c>
      <c r="L798" s="251">
        <f>IFERROR(__xludf.DUMMYFUNCTION("""COMPUTED_VALUE"""),1.0)</f>
        <v>1</v>
      </c>
      <c r="M798" s="251" t="str">
        <f>IFERROR(__xludf.DUMMYFUNCTION("""COMPUTED_VALUE"""),"Forest, Grasslands")</f>
        <v>Forest, Grasslands</v>
      </c>
      <c r="N798" s="251" t="str">
        <f>IFERROR(__xludf.DUMMYFUNCTION("""COMPUTED_VALUE"""),"--")</f>
        <v>--</v>
      </c>
      <c r="O798" s="251" t="str">
        <f>IFERROR(__xludf.DUMMYFUNCTION("""COMPUTED_VALUE"""),"--")</f>
        <v>--</v>
      </c>
      <c r="P798" s="251" t="str">
        <f>IFERROR(__xludf.DUMMYFUNCTION("""COMPUTED_VALUE"""),"--")</f>
        <v>--</v>
      </c>
      <c r="Q798" s="251" t="str">
        <f>IFERROR(__xludf.DUMMYFUNCTION("""COMPUTED_VALUE"""),"--")</f>
        <v>--</v>
      </c>
      <c r="R798" s="251" t="str">
        <f>IFERROR(__xludf.DUMMYFUNCTION("""COMPUTED_VALUE"""),"Underdog")</f>
        <v>Underdog</v>
      </c>
      <c r="S798" s="251" t="str">
        <f>IFERROR(__xludf.DUMMYFUNCTION("""COMPUTED_VALUE"""),"--")</f>
        <v>--</v>
      </c>
      <c r="T798" s="251" t="str">
        <f>IFERROR(__xludf.DUMMYFUNCTION("""COMPUTED_VALUE"""),"--")</f>
        <v>--</v>
      </c>
      <c r="U798" s="251" t="str">
        <f>IFERROR(__xludf.DUMMYFUNCTION("""COMPUTED_VALUE"""),"--")</f>
        <v>--</v>
      </c>
      <c r="V798" s="251" t="str">
        <f>IFERROR(__xludf.DUMMYFUNCTION("""COMPUTED_VALUE"""),"--")</f>
        <v>--</v>
      </c>
      <c r="W798" s="251" t="str">
        <f>IFERROR(__xludf.DUMMYFUNCTION("""COMPUTED_VALUE"""),"--")</f>
        <v>--</v>
      </c>
      <c r="X798" s="251" t="str">
        <f>IFERROR(__xludf.DUMMYFUNCTION("""COMPUTED_VALUE"""),"--")</f>
        <v>--</v>
      </c>
      <c r="Y798" s="251" t="str">
        <f>IFERROR(__xludf.DUMMYFUNCTION("""COMPUTED_VALUE"""),"--")</f>
        <v>--</v>
      </c>
      <c r="Z798" s="251" t="str">
        <f>IFERROR(__xludf.DUMMYFUNCTION("""COMPUTED_VALUE"""),"--")</f>
        <v>--</v>
      </c>
      <c r="AA798" s="251" t="str">
        <f>IFERROR(__xludf.DUMMYFUNCTION("""COMPUTED_VALUE"""),"--")</f>
        <v>--</v>
      </c>
      <c r="AB798" s="251" t="str">
        <f>IFERROR(__xludf.DUMMYFUNCTION("""COMPUTED_VALUE"""),"--")</f>
        <v>--</v>
      </c>
      <c r="AC798" s="251" t="str">
        <f>IFERROR(__xludf.DUMMYFUNCTION("""COMPUTED_VALUE"""),"--")</f>
        <v>--</v>
      </c>
      <c r="AD798" s="251">
        <f>IFERROR(__xludf.DUMMYFUNCTION("""COMPUTED_VALUE"""),2.0)</f>
        <v>2</v>
      </c>
      <c r="AE798" s="251" t="str">
        <f>IFERROR(__xludf.DUMMYFUNCTION("""COMPUTED_VALUE"""),"Herbivore")</f>
        <v>Herbivore</v>
      </c>
    </row>
    <row r="799">
      <c r="A799" s="251" t="str">
        <f>IFERROR(__xludf.DUMMYFUNCTION("""COMPUTED_VALUE"""),"Furret")</f>
        <v>Furret</v>
      </c>
      <c r="B799" s="251" t="str">
        <f>IFERROR(__xludf.DUMMYFUNCTION("""COMPUTED_VALUE"""),"Normal")</f>
        <v>Normal</v>
      </c>
      <c r="C799" s="251" t="str">
        <f>IFERROR(__xludf.DUMMYFUNCTION("""COMPUTED_VALUE"""),"None")</f>
        <v>None</v>
      </c>
      <c r="D799" s="251">
        <f>IFERROR(__xludf.DUMMYFUNCTION("""COMPUTED_VALUE"""),9.0)</f>
        <v>9</v>
      </c>
      <c r="E799" s="251">
        <f>IFERROR(__xludf.DUMMYFUNCTION("""COMPUTED_VALUE"""),8.0)</f>
        <v>8</v>
      </c>
      <c r="F799" s="251">
        <f>IFERROR(__xludf.DUMMYFUNCTION("""COMPUTED_VALUE"""),6.0)</f>
        <v>6</v>
      </c>
      <c r="G799" s="251">
        <f>IFERROR(__xludf.DUMMYFUNCTION("""COMPUTED_VALUE"""),5.0)</f>
        <v>5</v>
      </c>
      <c r="H799" s="251">
        <f>IFERROR(__xludf.DUMMYFUNCTION("""COMPUTED_VALUE"""),6.0)</f>
        <v>6</v>
      </c>
      <c r="I799" s="251">
        <f>IFERROR(__xludf.DUMMYFUNCTION("""COMPUTED_VALUE"""),9.0)</f>
        <v>9</v>
      </c>
      <c r="J799" s="251">
        <f>IFERROR(__xludf.DUMMYFUNCTION("""COMPUTED_VALUE"""),3.0)</f>
        <v>3</v>
      </c>
      <c r="K799" s="251" t="str">
        <f>IFERROR(__xludf.DUMMYFUNCTION("""COMPUTED_VALUE"""),"Medium")</f>
        <v>Medium</v>
      </c>
      <c r="L799" s="251">
        <f>IFERROR(__xludf.DUMMYFUNCTION("""COMPUTED_VALUE"""),3.0)</f>
        <v>3</v>
      </c>
      <c r="M799" s="251" t="str">
        <f>IFERROR(__xludf.DUMMYFUNCTION("""COMPUTED_VALUE"""),"Forest, Grasslands")</f>
        <v>Forest, Grasslands</v>
      </c>
      <c r="N799" s="251" t="str">
        <f>IFERROR(__xludf.DUMMYFUNCTION("""COMPUTED_VALUE"""),"Quick")</f>
        <v>Quick</v>
      </c>
      <c r="O799" s="251" t="str">
        <f>IFERROR(__xludf.DUMMYFUNCTION("""COMPUTED_VALUE"""),"--")</f>
        <v>--</v>
      </c>
      <c r="P799" s="251" t="str">
        <f>IFERROR(__xludf.DUMMYFUNCTION("""COMPUTED_VALUE"""),"--")</f>
        <v>--</v>
      </c>
      <c r="Q799" s="251" t="str">
        <f>IFERROR(__xludf.DUMMYFUNCTION("""COMPUTED_VALUE"""),"--")</f>
        <v>--</v>
      </c>
      <c r="R799" s="251" t="str">
        <f>IFERROR(__xludf.DUMMYFUNCTION("""COMPUTED_VALUE"""),"Underdog")</f>
        <v>Underdog</v>
      </c>
      <c r="S799" s="251" t="str">
        <f>IFERROR(__xludf.DUMMYFUNCTION("""COMPUTED_VALUE"""),"--")</f>
        <v>--</v>
      </c>
      <c r="T799" s="251" t="str">
        <f>IFERROR(__xludf.DUMMYFUNCTION("""COMPUTED_VALUE"""),"--")</f>
        <v>--</v>
      </c>
      <c r="U799" s="251" t="str">
        <f>IFERROR(__xludf.DUMMYFUNCTION("""COMPUTED_VALUE"""),"--")</f>
        <v>--</v>
      </c>
      <c r="V799" s="251" t="str">
        <f>IFERROR(__xludf.DUMMYFUNCTION("""COMPUTED_VALUE"""),"Tracker")</f>
        <v>Tracker</v>
      </c>
      <c r="W799" s="251" t="str">
        <f>IFERROR(__xludf.DUMMYFUNCTION("""COMPUTED_VALUE"""),"--")</f>
        <v>--</v>
      </c>
      <c r="X799" s="251" t="str">
        <f>IFERROR(__xludf.DUMMYFUNCTION("""COMPUTED_VALUE"""),"--")</f>
        <v>--</v>
      </c>
      <c r="Y799" s="251" t="str">
        <f>IFERROR(__xludf.DUMMYFUNCTION("""COMPUTED_VALUE"""),"--")</f>
        <v>--</v>
      </c>
      <c r="Z799" s="251" t="str">
        <f>IFERROR(__xludf.DUMMYFUNCTION("""COMPUTED_VALUE"""),"--")</f>
        <v>--</v>
      </c>
      <c r="AA799" s="251" t="str">
        <f>IFERROR(__xludf.DUMMYFUNCTION("""COMPUTED_VALUE"""),"--")</f>
        <v>--</v>
      </c>
      <c r="AB799" s="251" t="str">
        <f>IFERROR(__xludf.DUMMYFUNCTION("""COMPUTED_VALUE"""),"--")</f>
        <v>--</v>
      </c>
      <c r="AC799" s="251" t="str">
        <f>IFERROR(__xludf.DUMMYFUNCTION("""COMPUTED_VALUE"""),"--")</f>
        <v>--</v>
      </c>
      <c r="AD799" s="251">
        <f>IFERROR(__xludf.DUMMYFUNCTION("""COMPUTED_VALUE"""),3.0)</f>
        <v>3</v>
      </c>
      <c r="AE799" s="251" t="str">
        <f>IFERROR(__xludf.DUMMYFUNCTION("""COMPUTED_VALUE"""),"Herbivore")</f>
        <v>Herbivore</v>
      </c>
    </row>
    <row r="800">
      <c r="A800" s="251" t="str">
        <f>IFERROR(__xludf.DUMMYFUNCTION("""COMPUTED_VALUE"""),"Hoothoot")</f>
        <v>Hoothoot</v>
      </c>
      <c r="B800" s="251" t="str">
        <f>IFERROR(__xludf.DUMMYFUNCTION("""COMPUTED_VALUE"""),"Normal")</f>
        <v>Normal</v>
      </c>
      <c r="C800" s="251" t="str">
        <f>IFERROR(__xludf.DUMMYFUNCTION("""COMPUTED_VALUE"""),"Flying")</f>
        <v>Flying</v>
      </c>
      <c r="D800" s="251">
        <f>IFERROR(__xludf.DUMMYFUNCTION("""COMPUTED_VALUE"""),6.0)</f>
        <v>6</v>
      </c>
      <c r="E800" s="251">
        <f>IFERROR(__xludf.DUMMYFUNCTION("""COMPUTED_VALUE"""),3.0)</f>
        <v>3</v>
      </c>
      <c r="F800" s="251">
        <f>IFERROR(__xludf.DUMMYFUNCTION("""COMPUTED_VALUE"""),4.0)</f>
        <v>4</v>
      </c>
      <c r="G800" s="251">
        <f>IFERROR(__xludf.DUMMYFUNCTION("""COMPUTED_VALUE"""),5.0)</f>
        <v>5</v>
      </c>
      <c r="H800" s="251">
        <f>IFERROR(__xludf.DUMMYFUNCTION("""COMPUTED_VALUE"""),7.0)</f>
        <v>7</v>
      </c>
      <c r="I800" s="251">
        <f>IFERROR(__xludf.DUMMYFUNCTION("""COMPUTED_VALUE"""),5.0)</f>
        <v>5</v>
      </c>
      <c r="J800" s="251">
        <f>IFERROR(__xludf.DUMMYFUNCTION("""COMPUTED_VALUE"""),1.0)</f>
        <v>1</v>
      </c>
      <c r="K800" s="251" t="str">
        <f>IFERROR(__xludf.DUMMYFUNCTION("""COMPUTED_VALUE"""),"Small")</f>
        <v>Small</v>
      </c>
      <c r="L800" s="251">
        <f>IFERROR(__xludf.DUMMYFUNCTION("""COMPUTED_VALUE"""),2.0)</f>
        <v>2</v>
      </c>
      <c r="M800" s="251" t="str">
        <f>IFERROR(__xludf.DUMMYFUNCTION("""COMPUTED_VALUE"""),"Forest")</f>
        <v>Forest</v>
      </c>
      <c r="N800" s="251" t="str">
        <f>IFERROR(__xludf.DUMMYFUNCTION("""COMPUTED_VALUE"""),"Flier")</f>
        <v>Flier</v>
      </c>
      <c r="O800" s="251" t="str">
        <f>IFERROR(__xludf.DUMMYFUNCTION("""COMPUTED_VALUE"""),"Jumper")</f>
        <v>Jumper</v>
      </c>
      <c r="P800" s="251" t="str">
        <f>IFERROR(__xludf.DUMMYFUNCTION("""COMPUTED_VALUE"""),"--")</f>
        <v>--</v>
      </c>
      <c r="Q800" s="251" t="str">
        <f>IFERROR(__xludf.DUMMYFUNCTION("""COMPUTED_VALUE"""),"--")</f>
        <v>--</v>
      </c>
      <c r="R800" s="251" t="str">
        <f>IFERROR(__xludf.DUMMYFUNCTION("""COMPUTED_VALUE"""),"Darkvision")</f>
        <v>Darkvision</v>
      </c>
      <c r="S800" s="251" t="str">
        <f>IFERROR(__xludf.DUMMYFUNCTION("""COMPUTED_VALUE"""),"Underdog")</f>
        <v>Underdog</v>
      </c>
      <c r="T800" s="251" t="str">
        <f>IFERROR(__xludf.DUMMYFUNCTION("""COMPUTED_VALUE"""),"--")</f>
        <v>--</v>
      </c>
      <c r="U800" s="251" t="str">
        <f>IFERROR(__xludf.DUMMYFUNCTION("""COMPUTED_VALUE"""),"--")</f>
        <v>--</v>
      </c>
      <c r="V800" s="251" t="str">
        <f>IFERROR(__xludf.DUMMYFUNCTION("""COMPUTED_VALUE"""),"--")</f>
        <v>--</v>
      </c>
      <c r="W800" s="251" t="str">
        <f>IFERROR(__xludf.DUMMYFUNCTION("""COMPUTED_VALUE"""),"--")</f>
        <v>--</v>
      </c>
      <c r="X800" s="251" t="str">
        <f>IFERROR(__xludf.DUMMYFUNCTION("""COMPUTED_VALUE"""),"--")</f>
        <v>--</v>
      </c>
      <c r="Y800" s="251" t="str">
        <f>IFERROR(__xludf.DUMMYFUNCTION("""COMPUTED_VALUE"""),"--")</f>
        <v>--</v>
      </c>
      <c r="Z800" s="251" t="str">
        <f>IFERROR(__xludf.DUMMYFUNCTION("""COMPUTED_VALUE"""),"--")</f>
        <v>--</v>
      </c>
      <c r="AA800" s="251" t="str">
        <f>IFERROR(__xludf.DUMMYFUNCTION("""COMPUTED_VALUE"""),"--")</f>
        <v>--</v>
      </c>
      <c r="AB800" s="251" t="str">
        <f>IFERROR(__xludf.DUMMYFUNCTION("""COMPUTED_VALUE"""),"--")</f>
        <v>--</v>
      </c>
      <c r="AC800" s="251" t="str">
        <f>IFERROR(__xludf.DUMMYFUNCTION("""COMPUTED_VALUE"""),"--")</f>
        <v>--</v>
      </c>
      <c r="AD800" s="251">
        <f>IFERROR(__xludf.DUMMYFUNCTION("""COMPUTED_VALUE"""),2.0)</f>
        <v>2</v>
      </c>
      <c r="AE800" s="251" t="str">
        <f>IFERROR(__xludf.DUMMYFUNCTION("""COMPUTED_VALUE"""),"Carnivore")</f>
        <v>Carnivore</v>
      </c>
    </row>
    <row r="801">
      <c r="A801" s="251" t="str">
        <f>IFERROR(__xludf.DUMMYFUNCTION("""COMPUTED_VALUE"""),"Noctowl")</f>
        <v>Noctowl</v>
      </c>
      <c r="B801" s="251" t="str">
        <f>IFERROR(__xludf.DUMMYFUNCTION("""COMPUTED_VALUE"""),"Normal")</f>
        <v>Normal</v>
      </c>
      <c r="C801" s="251" t="str">
        <f>IFERROR(__xludf.DUMMYFUNCTION("""COMPUTED_VALUE"""),"Flying")</f>
        <v>Flying</v>
      </c>
      <c r="D801" s="251">
        <f>IFERROR(__xludf.DUMMYFUNCTION("""COMPUTED_VALUE"""),10.0)</f>
        <v>10</v>
      </c>
      <c r="E801" s="251">
        <f>IFERROR(__xludf.DUMMYFUNCTION("""COMPUTED_VALUE"""),5.0)</f>
        <v>5</v>
      </c>
      <c r="F801" s="251">
        <f>IFERROR(__xludf.DUMMYFUNCTION("""COMPUTED_VALUE"""),5.0)</f>
        <v>5</v>
      </c>
      <c r="G801" s="251">
        <f>IFERROR(__xludf.DUMMYFUNCTION("""COMPUTED_VALUE"""),9.0)</f>
        <v>9</v>
      </c>
      <c r="H801" s="251">
        <f>IFERROR(__xludf.DUMMYFUNCTION("""COMPUTED_VALUE"""),10.0)</f>
        <v>10</v>
      </c>
      <c r="I801" s="251">
        <f>IFERROR(__xludf.DUMMYFUNCTION("""COMPUTED_VALUE"""),7.0)</f>
        <v>7</v>
      </c>
      <c r="J801" s="251">
        <f>IFERROR(__xludf.DUMMYFUNCTION("""COMPUTED_VALUE"""),3.0)</f>
        <v>3</v>
      </c>
      <c r="K801" s="251" t="str">
        <f>IFERROR(__xludf.DUMMYFUNCTION("""COMPUTED_VALUE"""),"Medium")</f>
        <v>Medium</v>
      </c>
      <c r="L801" s="251">
        <f>IFERROR(__xludf.DUMMYFUNCTION("""COMPUTED_VALUE"""),3.0)</f>
        <v>3</v>
      </c>
      <c r="M801" s="251" t="str">
        <f>IFERROR(__xludf.DUMMYFUNCTION("""COMPUTED_VALUE"""),"Forest")</f>
        <v>Forest</v>
      </c>
      <c r="N801" s="251" t="str">
        <f>IFERROR(__xludf.DUMMYFUNCTION("""COMPUTED_VALUE"""),"Flier")</f>
        <v>Flier</v>
      </c>
      <c r="O801" s="251" t="str">
        <f>IFERROR(__xludf.DUMMYFUNCTION("""COMPUTED_VALUE"""),"Jumper")</f>
        <v>Jumper</v>
      </c>
      <c r="P801" s="251" t="str">
        <f>IFERROR(__xludf.DUMMYFUNCTION("""COMPUTED_VALUE"""),"--")</f>
        <v>--</v>
      </c>
      <c r="Q801" s="251" t="str">
        <f>IFERROR(__xludf.DUMMYFUNCTION("""COMPUTED_VALUE"""),"--")</f>
        <v>--</v>
      </c>
      <c r="R801" s="251" t="str">
        <f>IFERROR(__xludf.DUMMYFUNCTION("""COMPUTED_VALUE"""),"Darkvision")</f>
        <v>Darkvision</v>
      </c>
      <c r="S801" s="251" t="str">
        <f>IFERROR(__xludf.DUMMYFUNCTION("""COMPUTED_VALUE"""),"--")</f>
        <v>--</v>
      </c>
      <c r="T801" s="251" t="str">
        <f>IFERROR(__xludf.DUMMYFUNCTION("""COMPUTED_VALUE"""),"--")</f>
        <v>--</v>
      </c>
      <c r="U801" s="251" t="str">
        <f>IFERROR(__xludf.DUMMYFUNCTION("""COMPUTED_VALUE"""),"--")</f>
        <v>--</v>
      </c>
      <c r="V801" s="251" t="str">
        <f>IFERROR(__xludf.DUMMYFUNCTION("""COMPUTED_VALUE"""),"Dead Silent")</f>
        <v>Dead Silent</v>
      </c>
      <c r="W801" s="251" t="str">
        <f>IFERROR(__xludf.DUMMYFUNCTION("""COMPUTED_VALUE"""),"--")</f>
        <v>--</v>
      </c>
      <c r="X801" s="251" t="str">
        <f>IFERROR(__xludf.DUMMYFUNCTION("""COMPUTED_VALUE"""),"--")</f>
        <v>--</v>
      </c>
      <c r="Y801" s="251" t="str">
        <f>IFERROR(__xludf.DUMMYFUNCTION("""COMPUTED_VALUE"""),"--")</f>
        <v>--</v>
      </c>
      <c r="Z801" s="251" t="str">
        <f>IFERROR(__xludf.DUMMYFUNCTION("""COMPUTED_VALUE"""),"--")</f>
        <v>--</v>
      </c>
      <c r="AA801" s="251" t="str">
        <f>IFERROR(__xludf.DUMMYFUNCTION("""COMPUTED_VALUE"""),"--")</f>
        <v>--</v>
      </c>
      <c r="AB801" s="251" t="str">
        <f>IFERROR(__xludf.DUMMYFUNCTION("""COMPUTED_VALUE"""),"--")</f>
        <v>--</v>
      </c>
      <c r="AC801" s="251" t="str">
        <f>IFERROR(__xludf.DUMMYFUNCTION("""COMPUTED_VALUE"""),"--")</f>
        <v>--</v>
      </c>
      <c r="AD801" s="251">
        <f>IFERROR(__xludf.DUMMYFUNCTION("""COMPUTED_VALUE"""),3.0)</f>
        <v>3</v>
      </c>
      <c r="AE801" s="251" t="str">
        <f>IFERROR(__xludf.DUMMYFUNCTION("""COMPUTED_VALUE"""),"Carnivore")</f>
        <v>Carnivore</v>
      </c>
    </row>
    <row r="802">
      <c r="A802" s="251" t="str">
        <f>IFERROR(__xludf.DUMMYFUNCTION("""COMPUTED_VALUE"""),"Aipom")</f>
        <v>Aipom</v>
      </c>
      <c r="B802" s="251" t="str">
        <f>IFERROR(__xludf.DUMMYFUNCTION("""COMPUTED_VALUE"""),"Normal")</f>
        <v>Normal</v>
      </c>
      <c r="C802" s="251" t="str">
        <f>IFERROR(__xludf.DUMMYFUNCTION("""COMPUTED_VALUE"""),"None")</f>
        <v>None</v>
      </c>
      <c r="D802" s="251">
        <f>IFERROR(__xludf.DUMMYFUNCTION("""COMPUTED_VALUE"""),6.0)</f>
        <v>6</v>
      </c>
      <c r="E802" s="251">
        <f>IFERROR(__xludf.DUMMYFUNCTION("""COMPUTED_VALUE"""),7.0)</f>
        <v>7</v>
      </c>
      <c r="F802" s="251">
        <f>IFERROR(__xludf.DUMMYFUNCTION("""COMPUTED_VALUE"""),6.0)</f>
        <v>6</v>
      </c>
      <c r="G802" s="251">
        <f>IFERROR(__xludf.DUMMYFUNCTION("""COMPUTED_VALUE"""),5.0)</f>
        <v>5</v>
      </c>
      <c r="H802" s="251">
        <f>IFERROR(__xludf.DUMMYFUNCTION("""COMPUTED_VALUE"""),6.0)</f>
        <v>6</v>
      </c>
      <c r="I802" s="251">
        <f>IFERROR(__xludf.DUMMYFUNCTION("""COMPUTED_VALUE"""),9.0)</f>
        <v>9</v>
      </c>
      <c r="J802" s="251">
        <f>IFERROR(__xludf.DUMMYFUNCTION("""COMPUTED_VALUE"""),2.0)</f>
        <v>2</v>
      </c>
      <c r="K802" s="251" t="str">
        <f>IFERROR(__xludf.DUMMYFUNCTION("""COMPUTED_VALUE"""),"Small")</f>
        <v>Small</v>
      </c>
      <c r="L802" s="251">
        <f>IFERROR(__xludf.DUMMYFUNCTION("""COMPUTED_VALUE"""),2.0)</f>
        <v>2</v>
      </c>
      <c r="M802" s="251" t="str">
        <f>IFERROR(__xludf.DUMMYFUNCTION("""COMPUTED_VALUE"""),"Forest")</f>
        <v>Forest</v>
      </c>
      <c r="N802" s="251" t="str">
        <f>IFERROR(__xludf.DUMMYFUNCTION("""COMPUTED_VALUE"""),"Climber")</f>
        <v>Climber</v>
      </c>
      <c r="O802" s="251" t="str">
        <f>IFERROR(__xludf.DUMMYFUNCTION("""COMPUTED_VALUE"""),"Jumper")</f>
        <v>Jumper</v>
      </c>
      <c r="P802" s="251" t="str">
        <f>IFERROR(__xludf.DUMMYFUNCTION("""COMPUTED_VALUE"""),"Quick")</f>
        <v>Quick</v>
      </c>
      <c r="Q802" s="251" t="str">
        <f>IFERROR(__xludf.DUMMYFUNCTION("""COMPUTED_VALUE"""),"--")</f>
        <v>--</v>
      </c>
      <c r="R802" s="251" t="str">
        <f>IFERROR(__xludf.DUMMYFUNCTION("""COMPUTED_VALUE"""),"Underdog")</f>
        <v>Underdog</v>
      </c>
      <c r="S802" s="251" t="str">
        <f>IFERROR(__xludf.DUMMYFUNCTION("""COMPUTED_VALUE"""),"--")</f>
        <v>--</v>
      </c>
      <c r="T802" s="251" t="str">
        <f>IFERROR(__xludf.DUMMYFUNCTION("""COMPUTED_VALUE"""),"--")</f>
        <v>--</v>
      </c>
      <c r="U802" s="251" t="str">
        <f>IFERROR(__xludf.DUMMYFUNCTION("""COMPUTED_VALUE"""),"--")</f>
        <v>--</v>
      </c>
      <c r="V802" s="251" t="str">
        <f>IFERROR(__xludf.DUMMYFUNCTION("""COMPUTED_VALUE"""),"--")</f>
        <v>--</v>
      </c>
      <c r="W802" s="251" t="str">
        <f>IFERROR(__xludf.DUMMYFUNCTION("""COMPUTED_VALUE"""),"--")</f>
        <v>--</v>
      </c>
      <c r="X802" s="251" t="str">
        <f>IFERROR(__xludf.DUMMYFUNCTION("""COMPUTED_VALUE"""),"--")</f>
        <v>--</v>
      </c>
      <c r="Y802" s="251" t="str">
        <f>IFERROR(__xludf.DUMMYFUNCTION("""COMPUTED_VALUE"""),"--")</f>
        <v>--</v>
      </c>
      <c r="Z802" s="251" t="str">
        <f>IFERROR(__xludf.DUMMYFUNCTION("""COMPUTED_VALUE"""),"--")</f>
        <v>--</v>
      </c>
      <c r="AA802" s="251" t="str">
        <f>IFERROR(__xludf.DUMMYFUNCTION("""COMPUTED_VALUE"""),"--")</f>
        <v>--</v>
      </c>
      <c r="AB802" s="251" t="str">
        <f>IFERROR(__xludf.DUMMYFUNCTION("""COMPUTED_VALUE"""),"--")</f>
        <v>--</v>
      </c>
      <c r="AC802" s="251" t="str">
        <f>IFERROR(__xludf.DUMMYFUNCTION("""COMPUTED_VALUE"""),"--")</f>
        <v>--</v>
      </c>
      <c r="AD802" s="251">
        <f>IFERROR(__xludf.DUMMYFUNCTION("""COMPUTED_VALUE"""),2.0)</f>
        <v>2</v>
      </c>
      <c r="AE802" s="251" t="str">
        <f>IFERROR(__xludf.DUMMYFUNCTION("""COMPUTED_VALUE"""),"Omnivore")</f>
        <v>Omnivore</v>
      </c>
    </row>
    <row r="803">
      <c r="A803" s="251" t="str">
        <f>IFERROR(__xludf.DUMMYFUNCTION("""COMPUTED_VALUE"""),"Ambipom")</f>
        <v>Ambipom</v>
      </c>
      <c r="B803" s="251" t="str">
        <f>IFERROR(__xludf.DUMMYFUNCTION("""COMPUTED_VALUE"""),"Normal")</f>
        <v>Normal</v>
      </c>
      <c r="C803" s="251" t="str">
        <f>IFERROR(__xludf.DUMMYFUNCTION("""COMPUTED_VALUE"""),"None")</f>
        <v>None</v>
      </c>
      <c r="D803" s="251">
        <f>IFERROR(__xludf.DUMMYFUNCTION("""COMPUTED_VALUE"""),8.0)</f>
        <v>8</v>
      </c>
      <c r="E803" s="251">
        <f>IFERROR(__xludf.DUMMYFUNCTION("""COMPUTED_VALUE"""),11.0)</f>
        <v>11</v>
      </c>
      <c r="F803" s="251">
        <f>IFERROR(__xludf.DUMMYFUNCTION("""COMPUTED_VALUE"""),7.0)</f>
        <v>7</v>
      </c>
      <c r="G803" s="251">
        <f>IFERROR(__xludf.DUMMYFUNCTION("""COMPUTED_VALUE"""),6.0)</f>
        <v>6</v>
      </c>
      <c r="H803" s="251">
        <f>IFERROR(__xludf.DUMMYFUNCTION("""COMPUTED_VALUE"""),7.0)</f>
        <v>7</v>
      </c>
      <c r="I803" s="251">
        <f>IFERROR(__xludf.DUMMYFUNCTION("""COMPUTED_VALUE"""),12.0)</f>
        <v>12</v>
      </c>
      <c r="J803" s="251">
        <f>IFERROR(__xludf.DUMMYFUNCTION("""COMPUTED_VALUE"""),4.0)</f>
        <v>4</v>
      </c>
      <c r="K803" s="251" t="str">
        <f>IFERROR(__xludf.DUMMYFUNCTION("""COMPUTED_VALUE"""),"Medium")</f>
        <v>Medium</v>
      </c>
      <c r="L803" s="251">
        <f>IFERROR(__xludf.DUMMYFUNCTION("""COMPUTED_VALUE"""),2.0)</f>
        <v>2</v>
      </c>
      <c r="M803" s="251" t="str">
        <f>IFERROR(__xludf.DUMMYFUNCTION("""COMPUTED_VALUE"""),"Forest")</f>
        <v>Forest</v>
      </c>
      <c r="N803" s="251" t="str">
        <f>IFERROR(__xludf.DUMMYFUNCTION("""COMPUTED_VALUE"""),"Climber")</f>
        <v>Climber</v>
      </c>
      <c r="O803" s="251" t="str">
        <f>IFERROR(__xludf.DUMMYFUNCTION("""COMPUTED_VALUE"""),"Jumper")</f>
        <v>Jumper</v>
      </c>
      <c r="P803" s="251" t="str">
        <f>IFERROR(__xludf.DUMMYFUNCTION("""COMPUTED_VALUE"""),"Quick")</f>
        <v>Quick</v>
      </c>
      <c r="Q803" s="251" t="str">
        <f>IFERROR(__xludf.DUMMYFUNCTION("""COMPUTED_VALUE"""),"--")</f>
        <v>--</v>
      </c>
      <c r="R803" s="251" t="str">
        <f>IFERROR(__xludf.DUMMYFUNCTION("""COMPUTED_VALUE"""),"--")</f>
        <v>--</v>
      </c>
      <c r="S803" s="251" t="str">
        <f>IFERROR(__xludf.DUMMYFUNCTION("""COMPUTED_VALUE"""),"--")</f>
        <v>--</v>
      </c>
      <c r="T803" s="251" t="str">
        <f>IFERROR(__xludf.DUMMYFUNCTION("""COMPUTED_VALUE"""),"--")</f>
        <v>--</v>
      </c>
      <c r="U803" s="251" t="str">
        <f>IFERROR(__xludf.DUMMYFUNCTION("""COMPUTED_VALUE"""),"--")</f>
        <v>--</v>
      </c>
      <c r="V803" s="251" t="str">
        <f>IFERROR(__xludf.DUMMYFUNCTION("""COMPUTED_VALUE"""),"--")</f>
        <v>--</v>
      </c>
      <c r="W803" s="251" t="str">
        <f>IFERROR(__xludf.DUMMYFUNCTION("""COMPUTED_VALUE"""),"--")</f>
        <v>--</v>
      </c>
      <c r="X803" s="251" t="str">
        <f>IFERROR(__xludf.DUMMYFUNCTION("""COMPUTED_VALUE"""),"--")</f>
        <v>--</v>
      </c>
      <c r="Y803" s="251" t="str">
        <f>IFERROR(__xludf.DUMMYFUNCTION("""COMPUTED_VALUE"""),"--")</f>
        <v>--</v>
      </c>
      <c r="Z803" s="251" t="str">
        <f>IFERROR(__xludf.DUMMYFUNCTION("""COMPUTED_VALUE"""),"--")</f>
        <v>--</v>
      </c>
      <c r="AA803" s="251" t="str">
        <f>IFERROR(__xludf.DUMMYFUNCTION("""COMPUTED_VALUE"""),"--")</f>
        <v>--</v>
      </c>
      <c r="AB803" s="251" t="str">
        <f>IFERROR(__xludf.DUMMYFUNCTION("""COMPUTED_VALUE"""),"--")</f>
        <v>--</v>
      </c>
      <c r="AC803" s="251" t="str">
        <f>IFERROR(__xludf.DUMMYFUNCTION("""COMPUTED_VALUE"""),"--")</f>
        <v>--</v>
      </c>
      <c r="AD803" s="251">
        <f>IFERROR(__xludf.DUMMYFUNCTION("""COMPUTED_VALUE"""),3.0)</f>
        <v>3</v>
      </c>
      <c r="AE803" s="251" t="str">
        <f>IFERROR(__xludf.DUMMYFUNCTION("""COMPUTED_VALUE"""),"Omnivore")</f>
        <v>Omnivore</v>
      </c>
    </row>
    <row r="804">
      <c r="A804" s="251" t="str">
        <f>IFERROR(__xludf.DUMMYFUNCTION("""COMPUTED_VALUE"""),"Teddiursa")</f>
        <v>Teddiursa</v>
      </c>
      <c r="B804" s="251" t="str">
        <f>IFERROR(__xludf.DUMMYFUNCTION("""COMPUTED_VALUE"""),"Normal")</f>
        <v>Normal</v>
      </c>
      <c r="C804" s="251" t="str">
        <f>IFERROR(__xludf.DUMMYFUNCTION("""COMPUTED_VALUE"""),"None")</f>
        <v>None</v>
      </c>
      <c r="D804" s="251">
        <f>IFERROR(__xludf.DUMMYFUNCTION("""COMPUTED_VALUE"""),6.0)</f>
        <v>6</v>
      </c>
      <c r="E804" s="251">
        <f>IFERROR(__xludf.DUMMYFUNCTION("""COMPUTED_VALUE"""),8.0)</f>
        <v>8</v>
      </c>
      <c r="F804" s="251">
        <f>IFERROR(__xludf.DUMMYFUNCTION("""COMPUTED_VALUE"""),5.0)</f>
        <v>5</v>
      </c>
      <c r="G804" s="251">
        <f>IFERROR(__xludf.DUMMYFUNCTION("""COMPUTED_VALUE"""),5.0)</f>
        <v>5</v>
      </c>
      <c r="H804" s="251">
        <f>IFERROR(__xludf.DUMMYFUNCTION("""COMPUTED_VALUE"""),5.0)</f>
        <v>5</v>
      </c>
      <c r="I804" s="251">
        <f>IFERROR(__xludf.DUMMYFUNCTION("""COMPUTED_VALUE"""),4.0)</f>
        <v>4</v>
      </c>
      <c r="J804" s="251">
        <f>IFERROR(__xludf.DUMMYFUNCTION("""COMPUTED_VALUE"""),1.0)</f>
        <v>1</v>
      </c>
      <c r="K804" s="251" t="str">
        <f>IFERROR(__xludf.DUMMYFUNCTION("""COMPUTED_VALUE"""),"Small")</f>
        <v>Small</v>
      </c>
      <c r="L804" s="251">
        <f>IFERROR(__xludf.DUMMYFUNCTION("""COMPUTED_VALUE"""),1.0)</f>
        <v>1</v>
      </c>
      <c r="M804" s="251" t="str">
        <f>IFERROR(__xludf.DUMMYFUNCTION("""COMPUTED_VALUE"""),"Cave, Mountain")</f>
        <v>Cave, Mountain</v>
      </c>
      <c r="N804" s="251" t="str">
        <f>IFERROR(__xludf.DUMMYFUNCTION("""COMPUTED_VALUE"""),"--")</f>
        <v>--</v>
      </c>
      <c r="O804" s="251" t="str">
        <f>IFERROR(__xludf.DUMMYFUNCTION("""COMPUTED_VALUE"""),"--")</f>
        <v>--</v>
      </c>
      <c r="P804" s="251" t="str">
        <f>IFERROR(__xludf.DUMMYFUNCTION("""COMPUTED_VALUE"""),"--")</f>
        <v>--</v>
      </c>
      <c r="Q804" s="251" t="str">
        <f>IFERROR(__xludf.DUMMYFUNCTION("""COMPUTED_VALUE"""),"--")</f>
        <v>--</v>
      </c>
      <c r="R804" s="251" t="str">
        <f>IFERROR(__xludf.DUMMYFUNCTION("""COMPUTED_VALUE"""),"Underdog")</f>
        <v>Underdog</v>
      </c>
      <c r="S804" s="251" t="str">
        <f>IFERROR(__xludf.DUMMYFUNCTION("""COMPUTED_VALUE"""),"--")</f>
        <v>--</v>
      </c>
      <c r="T804" s="251" t="str">
        <f>IFERROR(__xludf.DUMMYFUNCTION("""COMPUTED_VALUE"""),"--")</f>
        <v>--</v>
      </c>
      <c r="U804" s="251" t="str">
        <f>IFERROR(__xludf.DUMMYFUNCTION("""COMPUTED_VALUE"""),"--")</f>
        <v>--</v>
      </c>
      <c r="V804" s="251" t="str">
        <f>IFERROR(__xludf.DUMMYFUNCTION("""COMPUTED_VALUE"""),"Tracker")</f>
        <v>Tracker</v>
      </c>
      <c r="W804" s="251" t="str">
        <f>IFERROR(__xludf.DUMMYFUNCTION("""COMPUTED_VALUE"""),"--")</f>
        <v>--</v>
      </c>
      <c r="X804" s="251" t="str">
        <f>IFERROR(__xludf.DUMMYFUNCTION("""COMPUTED_VALUE"""),"--")</f>
        <v>--</v>
      </c>
      <c r="Y804" s="251" t="str">
        <f>IFERROR(__xludf.DUMMYFUNCTION("""COMPUTED_VALUE"""),"--")</f>
        <v>--</v>
      </c>
      <c r="Z804" s="251" t="str">
        <f>IFERROR(__xludf.DUMMYFUNCTION("""COMPUTED_VALUE"""),"--")</f>
        <v>--</v>
      </c>
      <c r="AA804" s="251" t="str">
        <f>IFERROR(__xludf.DUMMYFUNCTION("""COMPUTED_VALUE"""),"--")</f>
        <v>--</v>
      </c>
      <c r="AB804" s="251" t="str">
        <f>IFERROR(__xludf.DUMMYFUNCTION("""COMPUTED_VALUE"""),"--")</f>
        <v>--</v>
      </c>
      <c r="AC804" s="251" t="str">
        <f>IFERROR(__xludf.DUMMYFUNCTION("""COMPUTED_VALUE"""),"--")</f>
        <v>--</v>
      </c>
      <c r="AD804" s="251">
        <f>IFERROR(__xludf.DUMMYFUNCTION("""COMPUTED_VALUE"""),2.0)</f>
        <v>2</v>
      </c>
      <c r="AE804" s="251" t="str">
        <f>IFERROR(__xludf.DUMMYFUNCTION("""COMPUTED_VALUE"""),"Omnivore")</f>
        <v>Omnivore</v>
      </c>
    </row>
    <row r="805">
      <c r="A805" s="251" t="str">
        <f>IFERROR(__xludf.DUMMYFUNCTION("""COMPUTED_VALUE"""),"Ursaring")</f>
        <v>Ursaring</v>
      </c>
      <c r="B805" s="251" t="str">
        <f>IFERROR(__xludf.DUMMYFUNCTION("""COMPUTED_VALUE"""),"Normal")</f>
        <v>Normal</v>
      </c>
      <c r="C805" s="251" t="str">
        <f>IFERROR(__xludf.DUMMYFUNCTION("""COMPUTED_VALUE"""),"None")</f>
        <v>None</v>
      </c>
      <c r="D805" s="251">
        <f>IFERROR(__xludf.DUMMYFUNCTION("""COMPUTED_VALUE"""),9.0)</f>
        <v>9</v>
      </c>
      <c r="E805" s="251">
        <f>IFERROR(__xludf.DUMMYFUNCTION("""COMPUTED_VALUE"""),13.0)</f>
        <v>13</v>
      </c>
      <c r="F805" s="251">
        <f>IFERROR(__xludf.DUMMYFUNCTION("""COMPUTED_VALUE"""),8.0)</f>
        <v>8</v>
      </c>
      <c r="G805" s="251">
        <f>IFERROR(__xludf.DUMMYFUNCTION("""COMPUTED_VALUE"""),8.0)</f>
        <v>8</v>
      </c>
      <c r="H805" s="251">
        <f>IFERROR(__xludf.DUMMYFUNCTION("""COMPUTED_VALUE"""),8.0)</f>
        <v>8</v>
      </c>
      <c r="I805" s="251">
        <f>IFERROR(__xludf.DUMMYFUNCTION("""COMPUTED_VALUE"""),6.0)</f>
        <v>6</v>
      </c>
      <c r="J805" s="251">
        <f>IFERROR(__xludf.DUMMYFUNCTION("""COMPUTED_VALUE"""),8.0)</f>
        <v>8</v>
      </c>
      <c r="K805" s="251" t="str">
        <f>IFERROR(__xludf.DUMMYFUNCTION("""COMPUTED_VALUE"""),"Medium")</f>
        <v>Medium</v>
      </c>
      <c r="L805" s="251">
        <f>IFERROR(__xludf.DUMMYFUNCTION("""COMPUTED_VALUE"""),5.0)</f>
        <v>5</v>
      </c>
      <c r="M805" s="251" t="str">
        <f>IFERROR(__xludf.DUMMYFUNCTION("""COMPUTED_VALUE"""),"Cave, Mountain")</f>
        <v>Cave, Mountain</v>
      </c>
      <c r="N805" s="251" t="str">
        <f>IFERROR(__xludf.DUMMYFUNCTION("""COMPUTED_VALUE"""),"Swimmer")</f>
        <v>Swimmer</v>
      </c>
      <c r="O805" s="251" t="str">
        <f>IFERROR(__xludf.DUMMYFUNCTION("""COMPUTED_VALUE"""),"--")</f>
        <v>--</v>
      </c>
      <c r="P805" s="251" t="str">
        <f>IFERROR(__xludf.DUMMYFUNCTION("""COMPUTED_VALUE"""),"--")</f>
        <v>--</v>
      </c>
      <c r="Q805" s="251" t="str">
        <f>IFERROR(__xludf.DUMMYFUNCTION("""COMPUTED_VALUE"""),"--")</f>
        <v>--</v>
      </c>
      <c r="R805" s="251" t="str">
        <f>IFERROR(__xludf.DUMMYFUNCTION("""COMPUTED_VALUE"""),"--")</f>
        <v>--</v>
      </c>
      <c r="S805" s="251" t="str">
        <f>IFERROR(__xludf.DUMMYFUNCTION("""COMPUTED_VALUE"""),"--")</f>
        <v>--</v>
      </c>
      <c r="T805" s="251" t="str">
        <f>IFERROR(__xludf.DUMMYFUNCTION("""COMPUTED_VALUE"""),"--")</f>
        <v>--</v>
      </c>
      <c r="U805" s="251" t="str">
        <f>IFERROR(__xludf.DUMMYFUNCTION("""COMPUTED_VALUE"""),"--")</f>
        <v>--</v>
      </c>
      <c r="V805" s="251" t="str">
        <f>IFERROR(__xludf.DUMMYFUNCTION("""COMPUTED_VALUE"""),"Tracker")</f>
        <v>Tracker</v>
      </c>
      <c r="W805" s="251" t="str">
        <f>IFERROR(__xludf.DUMMYFUNCTION("""COMPUTED_VALUE"""),"--")</f>
        <v>--</v>
      </c>
      <c r="X805" s="251" t="str">
        <f>IFERROR(__xludf.DUMMYFUNCTION("""COMPUTED_VALUE"""),"--")</f>
        <v>--</v>
      </c>
      <c r="Y805" s="251" t="str">
        <f>IFERROR(__xludf.DUMMYFUNCTION("""COMPUTED_VALUE"""),"--")</f>
        <v>--</v>
      </c>
      <c r="Z805" s="251" t="str">
        <f>IFERROR(__xludf.DUMMYFUNCTION("""COMPUTED_VALUE"""),"--")</f>
        <v>--</v>
      </c>
      <c r="AA805" s="251" t="str">
        <f>IFERROR(__xludf.DUMMYFUNCTION("""COMPUTED_VALUE"""),"--")</f>
        <v>--</v>
      </c>
      <c r="AB805" s="251" t="str">
        <f>IFERROR(__xludf.DUMMYFUNCTION("""COMPUTED_VALUE"""),"--")</f>
        <v>--</v>
      </c>
      <c r="AC805" s="251" t="str">
        <f>IFERROR(__xludf.DUMMYFUNCTION("""COMPUTED_VALUE"""),"--")</f>
        <v>--</v>
      </c>
      <c r="AD805" s="251">
        <f>IFERROR(__xludf.DUMMYFUNCTION("""COMPUTED_VALUE"""),3.0)</f>
        <v>3</v>
      </c>
      <c r="AE805" s="251" t="str">
        <f>IFERROR(__xludf.DUMMYFUNCTION("""COMPUTED_VALUE"""),"Omnivore")</f>
        <v>Omnivore</v>
      </c>
    </row>
    <row r="806">
      <c r="A806" s="251" t="str">
        <f>IFERROR(__xludf.DUMMYFUNCTION("""COMPUTED_VALUE"""),"Ursaluna")</f>
        <v>Ursaluna</v>
      </c>
      <c r="B806" s="251" t="str">
        <f>IFERROR(__xludf.DUMMYFUNCTION("""COMPUTED_VALUE"""),"Normal")</f>
        <v>Normal</v>
      </c>
      <c r="C806" s="251" t="str">
        <f>IFERROR(__xludf.DUMMYFUNCTION("""COMPUTED_VALUE"""),"Ground")</f>
        <v>Ground</v>
      </c>
      <c r="D806" s="251">
        <f>IFERROR(__xludf.DUMMYFUNCTION("""COMPUTED_VALUE"""),13.0)</f>
        <v>13</v>
      </c>
      <c r="E806" s="251">
        <f>IFERROR(__xludf.DUMMYFUNCTION("""COMPUTED_VALUE"""),12.0)</f>
        <v>12</v>
      </c>
      <c r="F806" s="251">
        <f>IFERROR(__xludf.DUMMYFUNCTION("""COMPUTED_VALUE"""),10.0)</f>
        <v>10</v>
      </c>
      <c r="G806" s="251">
        <f>IFERROR(__xludf.DUMMYFUNCTION("""COMPUTED_VALUE"""),4.0)</f>
        <v>4</v>
      </c>
      <c r="H806" s="251">
        <f>IFERROR(__xludf.DUMMYFUNCTION("""COMPUTED_VALUE"""),7.0)</f>
        <v>7</v>
      </c>
      <c r="I806" s="251">
        <f>IFERROR(__xludf.DUMMYFUNCTION("""COMPUTED_VALUE"""),5.0)</f>
        <v>5</v>
      </c>
      <c r="J806" s="251">
        <f>IFERROR(__xludf.DUMMYFUNCTION("""COMPUTED_VALUE"""),9.0)</f>
        <v>9</v>
      </c>
      <c r="K806" s="251" t="str">
        <f>IFERROR(__xludf.DUMMYFUNCTION("""COMPUTED_VALUE"""),"Large")</f>
        <v>Large</v>
      </c>
      <c r="L806" s="251">
        <f>IFERROR(__xludf.DUMMYFUNCTION("""COMPUTED_VALUE"""),6.0)</f>
        <v>6</v>
      </c>
      <c r="M806" s="251" t="str">
        <f>IFERROR(__xludf.DUMMYFUNCTION("""COMPUTED_VALUE"""),"Cave, Wetlands")</f>
        <v>Cave, Wetlands</v>
      </c>
      <c r="N806" s="251" t="str">
        <f>IFERROR(__xludf.DUMMYFUNCTION("""COMPUTED_VALUE"""),"Burrower")</f>
        <v>Burrower</v>
      </c>
      <c r="O806" s="251" t="str">
        <f>IFERROR(__xludf.DUMMYFUNCTION("""COMPUTED_VALUE"""),"Swimmer")</f>
        <v>Swimmer</v>
      </c>
      <c r="P806" s="251" t="str">
        <f>IFERROR(__xludf.DUMMYFUNCTION("""COMPUTED_VALUE"""),"--")</f>
        <v>--</v>
      </c>
      <c r="Q806" s="251" t="str">
        <f>IFERROR(__xludf.DUMMYFUNCTION("""COMPUTED_VALUE"""),"--")</f>
        <v>--</v>
      </c>
      <c r="R806" s="251" t="str">
        <f>IFERROR(__xludf.DUMMYFUNCTION("""COMPUTED_VALUE"""),"Groundshaper")</f>
        <v>Groundshaper</v>
      </c>
      <c r="S806" s="251" t="str">
        <f>IFERROR(__xludf.DUMMYFUNCTION("""COMPUTED_VALUE"""),"--")</f>
        <v>--</v>
      </c>
      <c r="T806" s="251" t="str">
        <f>IFERROR(__xludf.DUMMYFUNCTION("""COMPUTED_VALUE"""),"--")</f>
        <v>--</v>
      </c>
      <c r="U806" s="251" t="str">
        <f>IFERROR(__xludf.DUMMYFUNCTION("""COMPUTED_VALUE"""),"--")</f>
        <v>--</v>
      </c>
      <c r="V806" s="251" t="str">
        <f>IFERROR(__xludf.DUMMYFUNCTION("""COMPUTED_VALUE"""),"Tracker")</f>
        <v>Tracker</v>
      </c>
      <c r="W806" s="251" t="str">
        <f>IFERROR(__xludf.DUMMYFUNCTION("""COMPUTED_VALUE"""),"Tremorsense")</f>
        <v>Tremorsense</v>
      </c>
      <c r="X806" s="251" t="str">
        <f>IFERROR(__xludf.DUMMYFUNCTION("""COMPUTED_VALUE"""),"--")</f>
        <v>--</v>
      </c>
      <c r="Y806" s="251" t="str">
        <f>IFERROR(__xludf.DUMMYFUNCTION("""COMPUTED_VALUE"""),"--")</f>
        <v>--</v>
      </c>
      <c r="Z806" s="251" t="str">
        <f>IFERROR(__xludf.DUMMYFUNCTION("""COMPUTED_VALUE"""),"--")</f>
        <v>--</v>
      </c>
      <c r="AA806" s="251" t="str">
        <f>IFERROR(__xludf.DUMMYFUNCTION("""COMPUTED_VALUE"""),"--")</f>
        <v>--</v>
      </c>
      <c r="AB806" s="251" t="str">
        <f>IFERROR(__xludf.DUMMYFUNCTION("""COMPUTED_VALUE"""),"--")</f>
        <v>--</v>
      </c>
      <c r="AC806" s="251" t="str">
        <f>IFERROR(__xludf.DUMMYFUNCTION("""COMPUTED_VALUE"""),"--")</f>
        <v>--</v>
      </c>
      <c r="AD806" s="251">
        <f>IFERROR(__xludf.DUMMYFUNCTION("""COMPUTED_VALUE"""),3.0)</f>
        <v>3</v>
      </c>
      <c r="AE806" s="251" t="str">
        <f>IFERROR(__xludf.DUMMYFUNCTION("""COMPUTED_VALUE"""),"Omnivore")</f>
        <v>Omnivore</v>
      </c>
    </row>
    <row r="807">
      <c r="A807" s="251" t="str">
        <f>IFERROR(__xludf.DUMMYFUNCTION("""COMPUTED_VALUE"""),"Ursaluna (Blood Moon)")</f>
        <v>Ursaluna (Blood Moon)</v>
      </c>
      <c r="B807" s="251" t="str">
        <f>IFERROR(__xludf.DUMMYFUNCTION("""COMPUTED_VALUE"""),"Normal")</f>
        <v>Normal</v>
      </c>
      <c r="C807" s="251" t="str">
        <f>IFERROR(__xludf.DUMMYFUNCTION("""COMPUTED_VALUE"""),"Ground")</f>
        <v>Ground</v>
      </c>
      <c r="D807" s="251">
        <f>IFERROR(__xludf.DUMMYFUNCTION("""COMPUTED_VALUE"""),11.0)</f>
        <v>11</v>
      </c>
      <c r="E807" s="251">
        <f>IFERROR(__xludf.DUMMYFUNCTION("""COMPUTED_VALUE"""),7.0)</f>
        <v>7</v>
      </c>
      <c r="F807" s="251">
        <f>IFERROR(__xludf.DUMMYFUNCTION("""COMPUTED_VALUE"""),12.0)</f>
        <v>12</v>
      </c>
      <c r="G807" s="251">
        <f>IFERROR(__xludf.DUMMYFUNCTION("""COMPUTED_VALUE"""),14.0)</f>
        <v>14</v>
      </c>
      <c r="H807" s="251">
        <f>IFERROR(__xludf.DUMMYFUNCTION("""COMPUTED_VALUE"""),7.0)</f>
        <v>7</v>
      </c>
      <c r="I807" s="251">
        <f>IFERROR(__xludf.DUMMYFUNCTION("""COMPUTED_VALUE"""),5.0)</f>
        <v>5</v>
      </c>
      <c r="J807" s="251">
        <f>IFERROR(__xludf.DUMMYFUNCTION("""COMPUTED_VALUE"""),9.0)</f>
        <v>9</v>
      </c>
      <c r="K807" s="251" t="str">
        <f>IFERROR(__xludf.DUMMYFUNCTION("""COMPUTED_VALUE"""),"Large")</f>
        <v>Large</v>
      </c>
      <c r="L807" s="251">
        <f>IFERROR(__xludf.DUMMYFUNCTION("""COMPUTED_VALUE"""),6.0)</f>
        <v>6</v>
      </c>
      <c r="M807" s="251" t="str">
        <f>IFERROR(__xludf.DUMMYFUNCTION("""COMPUTED_VALUE"""),"Cave, Wetlands")</f>
        <v>Cave, Wetlands</v>
      </c>
      <c r="N807" s="251" t="str">
        <f>IFERROR(__xludf.DUMMYFUNCTION("""COMPUTED_VALUE"""),"Burrower")</f>
        <v>Burrower</v>
      </c>
      <c r="O807" s="251" t="str">
        <f>IFERROR(__xludf.DUMMYFUNCTION("""COMPUTED_VALUE"""),"Swimmer")</f>
        <v>Swimmer</v>
      </c>
      <c r="P807" s="251" t="str">
        <f>IFERROR(__xludf.DUMMYFUNCTION("""COMPUTED_VALUE"""),"--")</f>
        <v>--</v>
      </c>
      <c r="Q807" s="251" t="str">
        <f>IFERROR(__xludf.DUMMYFUNCTION("""COMPUTED_VALUE"""),"--")</f>
        <v>--</v>
      </c>
      <c r="R807" s="251" t="str">
        <f>IFERROR(__xludf.DUMMYFUNCTION("""COMPUTED_VALUE"""),"Groundshaper")</f>
        <v>Groundshaper</v>
      </c>
      <c r="S807" s="251" t="str">
        <f>IFERROR(__xludf.DUMMYFUNCTION("""COMPUTED_VALUE"""),"--")</f>
        <v>--</v>
      </c>
      <c r="T807" s="251" t="str">
        <f>IFERROR(__xludf.DUMMYFUNCTION("""COMPUTED_VALUE"""),"--")</f>
        <v>--</v>
      </c>
      <c r="U807" s="251" t="str">
        <f>IFERROR(__xludf.DUMMYFUNCTION("""COMPUTED_VALUE"""),"--")</f>
        <v>--</v>
      </c>
      <c r="V807" s="251" t="str">
        <f>IFERROR(__xludf.DUMMYFUNCTION("""COMPUTED_VALUE"""),"Mindlock")</f>
        <v>Mindlock</v>
      </c>
      <c r="W807" s="251" t="str">
        <f>IFERROR(__xludf.DUMMYFUNCTION("""COMPUTED_VALUE"""),"Tracker")</f>
        <v>Tracker</v>
      </c>
      <c r="X807" s="251" t="str">
        <f>IFERROR(__xludf.DUMMYFUNCTION("""COMPUTED_VALUE"""),"Tremorsense")</f>
        <v>Tremorsense</v>
      </c>
      <c r="Y807" s="251" t="str">
        <f>IFERROR(__xludf.DUMMYFUNCTION("""COMPUTED_VALUE"""),"--")</f>
        <v>--</v>
      </c>
      <c r="Z807" s="251" t="str">
        <f>IFERROR(__xludf.DUMMYFUNCTION("""COMPUTED_VALUE"""),"--")</f>
        <v>--</v>
      </c>
      <c r="AA807" s="251" t="str">
        <f>IFERROR(__xludf.DUMMYFUNCTION("""COMPUTED_VALUE"""),"--")</f>
        <v>--</v>
      </c>
      <c r="AB807" s="251" t="str">
        <f>IFERROR(__xludf.DUMMYFUNCTION("""COMPUTED_VALUE"""),"--")</f>
        <v>--</v>
      </c>
      <c r="AC807" s="251" t="str">
        <f>IFERROR(__xludf.DUMMYFUNCTION("""COMPUTED_VALUE"""),"--")</f>
        <v>--</v>
      </c>
      <c r="AD807" s="251">
        <f>IFERROR(__xludf.DUMMYFUNCTION("""COMPUTED_VALUE"""),3.0)</f>
        <v>3</v>
      </c>
      <c r="AE807" s="251" t="str">
        <f>IFERROR(__xludf.DUMMYFUNCTION("""COMPUTED_VALUE"""),"Omnivore")</f>
        <v>Omnivore</v>
      </c>
    </row>
    <row r="808">
      <c r="A808" s="251" t="str">
        <f>IFERROR(__xludf.DUMMYFUNCTION("""COMPUTED_VALUE"""),"Girafarig")</f>
        <v>Girafarig</v>
      </c>
      <c r="B808" s="251" t="str">
        <f>IFERROR(__xludf.DUMMYFUNCTION("""COMPUTED_VALUE"""),"Normal")</f>
        <v>Normal</v>
      </c>
      <c r="C808" s="251" t="str">
        <f>IFERROR(__xludf.DUMMYFUNCTION("""COMPUTED_VALUE"""),"Psychic")</f>
        <v>Psychic</v>
      </c>
      <c r="D808" s="251">
        <f>IFERROR(__xludf.DUMMYFUNCTION("""COMPUTED_VALUE"""),8.0)</f>
        <v>8</v>
      </c>
      <c r="E808" s="251">
        <f>IFERROR(__xludf.DUMMYFUNCTION("""COMPUTED_VALUE"""),8.0)</f>
        <v>8</v>
      </c>
      <c r="F808" s="251">
        <f>IFERROR(__xludf.DUMMYFUNCTION("""COMPUTED_VALUE"""),7.0)</f>
        <v>7</v>
      </c>
      <c r="G808" s="251">
        <f>IFERROR(__xludf.DUMMYFUNCTION("""COMPUTED_VALUE"""),11.0)</f>
        <v>11</v>
      </c>
      <c r="H808" s="251">
        <f>IFERROR(__xludf.DUMMYFUNCTION("""COMPUTED_VALUE"""),7.0)</f>
        <v>7</v>
      </c>
      <c r="I808" s="251">
        <f>IFERROR(__xludf.DUMMYFUNCTION("""COMPUTED_VALUE"""),10.0)</f>
        <v>10</v>
      </c>
      <c r="J808" s="251">
        <f>IFERROR(__xludf.DUMMYFUNCTION("""COMPUTED_VALUE"""),4.0)</f>
        <v>4</v>
      </c>
      <c r="K808" s="251" t="str">
        <f>IFERROR(__xludf.DUMMYFUNCTION("""COMPUTED_VALUE"""),"Medium")</f>
        <v>Medium</v>
      </c>
      <c r="L808" s="251">
        <f>IFERROR(__xludf.DUMMYFUNCTION("""COMPUTED_VALUE"""),3.0)</f>
        <v>3</v>
      </c>
      <c r="M808" s="251" t="str">
        <f>IFERROR(__xludf.DUMMYFUNCTION("""COMPUTED_VALUE"""),"Grasslands")</f>
        <v>Grasslands</v>
      </c>
      <c r="N808" s="251" t="str">
        <f>IFERROR(__xludf.DUMMYFUNCTION("""COMPUTED_VALUE"""),"--")</f>
        <v>--</v>
      </c>
      <c r="O808" s="251" t="str">
        <f>IFERROR(__xludf.DUMMYFUNCTION("""COMPUTED_VALUE"""),"--")</f>
        <v>--</v>
      </c>
      <c r="P808" s="251" t="str">
        <f>IFERROR(__xludf.DUMMYFUNCTION("""COMPUTED_VALUE"""),"--")</f>
        <v>--</v>
      </c>
      <c r="Q808" s="251" t="str">
        <f>IFERROR(__xludf.DUMMYFUNCTION("""COMPUTED_VALUE"""),"--")</f>
        <v>--</v>
      </c>
      <c r="R808" s="251" t="str">
        <f>IFERROR(__xludf.DUMMYFUNCTION("""COMPUTED_VALUE"""),"Mountable")</f>
        <v>Mountable</v>
      </c>
      <c r="S808" s="251" t="str">
        <f>IFERROR(__xludf.DUMMYFUNCTION("""COMPUTED_VALUE"""),"--")</f>
        <v>--</v>
      </c>
      <c r="T808" s="251" t="str">
        <f>IFERROR(__xludf.DUMMYFUNCTION("""COMPUTED_VALUE"""),"--")</f>
        <v>--</v>
      </c>
      <c r="U808" s="251" t="str">
        <f>IFERROR(__xludf.DUMMYFUNCTION("""COMPUTED_VALUE"""),"--")</f>
        <v>--</v>
      </c>
      <c r="V808" s="251" t="str">
        <f>IFERROR(__xludf.DUMMYFUNCTION("""COMPUTED_VALUE"""),"--")</f>
        <v>--</v>
      </c>
      <c r="W808" s="251" t="str">
        <f>IFERROR(__xludf.DUMMYFUNCTION("""COMPUTED_VALUE"""),"--")</f>
        <v>--</v>
      </c>
      <c r="X808" s="251" t="str">
        <f>IFERROR(__xludf.DUMMYFUNCTION("""COMPUTED_VALUE"""),"--")</f>
        <v>--</v>
      </c>
      <c r="Y808" s="251" t="str">
        <f>IFERROR(__xludf.DUMMYFUNCTION("""COMPUTED_VALUE"""),"--")</f>
        <v>--</v>
      </c>
      <c r="Z808" s="251" t="str">
        <f>IFERROR(__xludf.DUMMYFUNCTION("""COMPUTED_VALUE"""),"--")</f>
        <v>--</v>
      </c>
      <c r="AA808" s="251" t="str">
        <f>IFERROR(__xludf.DUMMYFUNCTION("""COMPUTED_VALUE"""),"--")</f>
        <v>--</v>
      </c>
      <c r="AB808" s="251" t="str">
        <f>IFERROR(__xludf.DUMMYFUNCTION("""COMPUTED_VALUE"""),"--")</f>
        <v>--</v>
      </c>
      <c r="AC808" s="251" t="str">
        <f>IFERROR(__xludf.DUMMYFUNCTION("""COMPUTED_VALUE"""),"--")</f>
        <v>--</v>
      </c>
      <c r="AD808" s="251">
        <f>IFERROR(__xludf.DUMMYFUNCTION("""COMPUTED_VALUE"""),2.0)</f>
        <v>2</v>
      </c>
      <c r="AE808" s="251" t="str">
        <f>IFERROR(__xludf.DUMMYFUNCTION("""COMPUTED_VALUE"""),"Herbivore")</f>
        <v>Herbivore</v>
      </c>
    </row>
    <row r="809">
      <c r="A809" s="251" t="str">
        <f>IFERROR(__xludf.DUMMYFUNCTION("""COMPUTED_VALUE"""),"Farigiraf")</f>
        <v>Farigiraf</v>
      </c>
      <c r="B809" s="251" t="str">
        <f>IFERROR(__xludf.DUMMYFUNCTION("""COMPUTED_VALUE"""),"Normal")</f>
        <v>Normal</v>
      </c>
      <c r="C809" s="251" t="str">
        <f>IFERROR(__xludf.DUMMYFUNCTION("""COMPUTED_VALUE"""),"Psychic")</f>
        <v>Psychic</v>
      </c>
      <c r="D809" s="251">
        <f>IFERROR(__xludf.DUMMYFUNCTION("""COMPUTED_VALUE"""),13.0)</f>
        <v>13</v>
      </c>
      <c r="E809" s="251">
        <f>IFERROR(__xludf.DUMMYFUNCTION("""COMPUTED_VALUE"""),11.0)</f>
        <v>11</v>
      </c>
      <c r="F809" s="251">
        <f>IFERROR(__xludf.DUMMYFUNCTION("""COMPUTED_VALUE"""),8.0)</f>
        <v>8</v>
      </c>
      <c r="G809" s="251">
        <f>IFERROR(__xludf.DUMMYFUNCTION("""COMPUTED_VALUE"""),12.0)</f>
        <v>12</v>
      </c>
      <c r="H809" s="251">
        <f>IFERROR(__xludf.DUMMYFUNCTION("""COMPUTED_VALUE"""),8.0)</f>
        <v>8</v>
      </c>
      <c r="I809" s="251">
        <f>IFERROR(__xludf.DUMMYFUNCTION("""COMPUTED_VALUE"""),6.0)</f>
        <v>6</v>
      </c>
      <c r="J809" s="251">
        <f>IFERROR(__xludf.DUMMYFUNCTION("""COMPUTED_VALUE"""),5.0)</f>
        <v>5</v>
      </c>
      <c r="K809" s="251" t="str">
        <f>IFERROR(__xludf.DUMMYFUNCTION("""COMPUTED_VALUE"""),"Huge")</f>
        <v>Huge</v>
      </c>
      <c r="L809" s="251">
        <f>IFERROR(__xludf.DUMMYFUNCTION("""COMPUTED_VALUE"""),5.0)</f>
        <v>5</v>
      </c>
      <c r="M809" s="251" t="str">
        <f>IFERROR(__xludf.DUMMYFUNCTION("""COMPUTED_VALUE"""),"Grasslands")</f>
        <v>Grasslands</v>
      </c>
      <c r="N809" s="251" t="str">
        <f>IFERROR(__xludf.DUMMYFUNCTION("""COMPUTED_VALUE"""),"--")</f>
        <v>--</v>
      </c>
      <c r="O809" s="251" t="str">
        <f>IFERROR(__xludf.DUMMYFUNCTION("""COMPUTED_VALUE"""),"--")</f>
        <v>--</v>
      </c>
      <c r="P809" s="251" t="str">
        <f>IFERROR(__xludf.DUMMYFUNCTION("""COMPUTED_VALUE"""),"--")</f>
        <v>--</v>
      </c>
      <c r="Q809" s="251" t="str">
        <f>IFERROR(__xludf.DUMMYFUNCTION("""COMPUTED_VALUE"""),"--")</f>
        <v>--</v>
      </c>
      <c r="R809" s="251" t="str">
        <f>IFERROR(__xludf.DUMMYFUNCTION("""COMPUTED_VALUE"""),"Mountable")</f>
        <v>Mountable</v>
      </c>
      <c r="S809" s="251" t="str">
        <f>IFERROR(__xludf.DUMMYFUNCTION("""COMPUTED_VALUE"""),"--")</f>
        <v>--</v>
      </c>
      <c r="T809" s="251" t="str">
        <f>IFERROR(__xludf.DUMMYFUNCTION("""COMPUTED_VALUE"""),"--")</f>
        <v>--</v>
      </c>
      <c r="U809" s="251" t="str">
        <f>IFERROR(__xludf.DUMMYFUNCTION("""COMPUTED_VALUE"""),"--")</f>
        <v>--</v>
      </c>
      <c r="V809" s="251" t="str">
        <f>IFERROR(__xludf.DUMMYFUNCTION("""COMPUTED_VALUE"""),"--")</f>
        <v>--</v>
      </c>
      <c r="W809" s="251" t="str">
        <f>IFERROR(__xludf.DUMMYFUNCTION("""COMPUTED_VALUE"""),"--")</f>
        <v>--</v>
      </c>
      <c r="X809" s="251" t="str">
        <f>IFERROR(__xludf.DUMMYFUNCTION("""COMPUTED_VALUE"""),"--")</f>
        <v>--</v>
      </c>
      <c r="Y809" s="251" t="str">
        <f>IFERROR(__xludf.DUMMYFUNCTION("""COMPUTED_VALUE"""),"--")</f>
        <v>--</v>
      </c>
      <c r="Z809" s="251" t="str">
        <f>IFERROR(__xludf.DUMMYFUNCTION("""COMPUTED_VALUE"""),"--")</f>
        <v>--</v>
      </c>
      <c r="AA809" s="251" t="str">
        <f>IFERROR(__xludf.DUMMYFUNCTION("""COMPUTED_VALUE"""),"--")</f>
        <v>--</v>
      </c>
      <c r="AB809" s="251" t="str">
        <f>IFERROR(__xludf.DUMMYFUNCTION("""COMPUTED_VALUE"""),"--")</f>
        <v>--</v>
      </c>
      <c r="AC809" s="251" t="str">
        <f>IFERROR(__xludf.DUMMYFUNCTION("""COMPUTED_VALUE"""),"--")</f>
        <v>--</v>
      </c>
      <c r="AD809" s="251">
        <f>IFERROR(__xludf.DUMMYFUNCTION("""COMPUTED_VALUE"""),3.0)</f>
        <v>3</v>
      </c>
      <c r="AE809" s="251" t="str">
        <f>IFERROR(__xludf.DUMMYFUNCTION("""COMPUTED_VALUE"""),"Herbivore")</f>
        <v>Herbivore</v>
      </c>
    </row>
    <row r="810">
      <c r="A810" s="251" t="str">
        <f>IFERROR(__xludf.DUMMYFUNCTION("""COMPUTED_VALUE"""),"Dunsparce")</f>
        <v>Dunsparce</v>
      </c>
      <c r="B810" s="251" t="str">
        <f>IFERROR(__xludf.DUMMYFUNCTION("""COMPUTED_VALUE"""),"Normal")</f>
        <v>Normal</v>
      </c>
      <c r="C810" s="251" t="str">
        <f>IFERROR(__xludf.DUMMYFUNCTION("""COMPUTED_VALUE"""),"None")</f>
        <v>None</v>
      </c>
      <c r="D810" s="251">
        <f>IFERROR(__xludf.DUMMYFUNCTION("""COMPUTED_VALUE"""),10.0)</f>
        <v>10</v>
      </c>
      <c r="E810" s="251">
        <f>IFERROR(__xludf.DUMMYFUNCTION("""COMPUTED_VALUE"""),7.0)</f>
        <v>7</v>
      </c>
      <c r="F810" s="251">
        <f>IFERROR(__xludf.DUMMYFUNCTION("""COMPUTED_VALUE"""),7.0)</f>
        <v>7</v>
      </c>
      <c r="G810" s="251">
        <f>IFERROR(__xludf.DUMMYFUNCTION("""COMPUTED_VALUE"""),7.0)</f>
        <v>7</v>
      </c>
      <c r="H810" s="251">
        <f>IFERROR(__xludf.DUMMYFUNCTION("""COMPUTED_VALUE"""),7.0)</f>
        <v>7</v>
      </c>
      <c r="I810" s="251">
        <f>IFERROR(__xludf.DUMMYFUNCTION("""COMPUTED_VALUE"""),5.0)</f>
        <v>5</v>
      </c>
      <c r="J810" s="251">
        <f>IFERROR(__xludf.DUMMYFUNCTION("""COMPUTED_VALUE"""),1.0)</f>
        <v>1</v>
      </c>
      <c r="K810" s="251" t="str">
        <f>IFERROR(__xludf.DUMMYFUNCTION("""COMPUTED_VALUE"""),"Medium")</f>
        <v>Medium</v>
      </c>
      <c r="L810" s="251">
        <f>IFERROR(__xludf.DUMMYFUNCTION("""COMPUTED_VALUE"""),2.0)</f>
        <v>2</v>
      </c>
      <c r="M810" s="251" t="str">
        <f>IFERROR(__xludf.DUMMYFUNCTION("""COMPUTED_VALUE"""),"Cave")</f>
        <v>Cave</v>
      </c>
      <c r="N810" s="251" t="str">
        <f>IFERROR(__xludf.DUMMYFUNCTION("""COMPUTED_VALUE"""),"Burrower")</f>
        <v>Burrower</v>
      </c>
      <c r="O810" s="251" t="str">
        <f>IFERROR(__xludf.DUMMYFUNCTION("""COMPUTED_VALUE"""),"Swimmer")</f>
        <v>Swimmer</v>
      </c>
      <c r="P810" s="251" t="str">
        <f>IFERROR(__xludf.DUMMYFUNCTION("""COMPUTED_VALUE"""),"--")</f>
        <v>--</v>
      </c>
      <c r="Q810" s="251" t="str">
        <f>IFERROR(__xludf.DUMMYFUNCTION("""COMPUTED_VALUE"""),"--")</f>
        <v>--</v>
      </c>
      <c r="R810" s="251" t="str">
        <f>IFERROR(__xludf.DUMMYFUNCTION("""COMPUTED_VALUE"""),"Darkvision")</f>
        <v>Darkvision</v>
      </c>
      <c r="S810" s="251" t="str">
        <f>IFERROR(__xludf.DUMMYFUNCTION("""COMPUTED_VALUE"""),"--")</f>
        <v>--</v>
      </c>
      <c r="T810" s="251" t="str">
        <f>IFERROR(__xludf.DUMMYFUNCTION("""COMPUTED_VALUE"""),"--")</f>
        <v>--</v>
      </c>
      <c r="U810" s="251" t="str">
        <f>IFERROR(__xludf.DUMMYFUNCTION("""COMPUTED_VALUE"""),"--")</f>
        <v>--</v>
      </c>
      <c r="V810" s="251" t="str">
        <f>IFERROR(__xludf.DUMMYFUNCTION("""COMPUTED_VALUE"""),"--")</f>
        <v>--</v>
      </c>
      <c r="W810" s="251" t="str">
        <f>IFERROR(__xludf.DUMMYFUNCTION("""COMPUTED_VALUE"""),"--")</f>
        <v>--</v>
      </c>
      <c r="X810" s="251" t="str">
        <f>IFERROR(__xludf.DUMMYFUNCTION("""COMPUTED_VALUE"""),"--")</f>
        <v>--</v>
      </c>
      <c r="Y810" s="251" t="str">
        <f>IFERROR(__xludf.DUMMYFUNCTION("""COMPUTED_VALUE"""),"--")</f>
        <v>--</v>
      </c>
      <c r="Z810" s="251" t="str">
        <f>IFERROR(__xludf.DUMMYFUNCTION("""COMPUTED_VALUE"""),"--")</f>
        <v>--</v>
      </c>
      <c r="AA810" s="251" t="str">
        <f>IFERROR(__xludf.DUMMYFUNCTION("""COMPUTED_VALUE"""),"--")</f>
        <v>--</v>
      </c>
      <c r="AB810" s="251" t="str">
        <f>IFERROR(__xludf.DUMMYFUNCTION("""COMPUTED_VALUE"""),"--")</f>
        <v>--</v>
      </c>
      <c r="AC810" s="251" t="str">
        <f>IFERROR(__xludf.DUMMYFUNCTION("""COMPUTED_VALUE"""),"--")</f>
        <v>--</v>
      </c>
      <c r="AD810" s="251">
        <f>IFERROR(__xludf.DUMMYFUNCTION("""COMPUTED_VALUE"""),2.0)</f>
        <v>2</v>
      </c>
      <c r="AE810" s="251" t="str">
        <f>IFERROR(__xludf.DUMMYFUNCTION("""COMPUTED_VALUE"""),"Herbivore")</f>
        <v>Herbivore</v>
      </c>
    </row>
    <row r="811">
      <c r="A811" s="251" t="str">
        <f>IFERROR(__xludf.DUMMYFUNCTION("""COMPUTED_VALUE"""),"Dudunsparce")</f>
        <v>Dudunsparce</v>
      </c>
      <c r="B811" s="251" t="str">
        <f>IFERROR(__xludf.DUMMYFUNCTION("""COMPUTED_VALUE"""),"Normal")</f>
        <v>Normal</v>
      </c>
      <c r="C811" s="251" t="str">
        <f>IFERROR(__xludf.DUMMYFUNCTION("""COMPUTED_VALUE"""),"None")</f>
        <v>None</v>
      </c>
      <c r="D811" s="251">
        <f>IFERROR(__xludf.DUMMYFUNCTION("""COMPUTED_VALUE"""),13.0)</f>
        <v>13</v>
      </c>
      <c r="E811" s="251">
        <f>IFERROR(__xludf.DUMMYFUNCTION("""COMPUTED_VALUE"""),10.0)</f>
        <v>10</v>
      </c>
      <c r="F811" s="251">
        <f>IFERROR(__xludf.DUMMYFUNCTION("""COMPUTED_VALUE"""),8.0)</f>
        <v>8</v>
      </c>
      <c r="G811" s="251">
        <f>IFERROR(__xludf.DUMMYFUNCTION("""COMPUTED_VALUE"""),9.0)</f>
        <v>9</v>
      </c>
      <c r="H811" s="251">
        <f>IFERROR(__xludf.DUMMYFUNCTION("""COMPUTED_VALUE"""),8.0)</f>
        <v>8</v>
      </c>
      <c r="I811" s="251">
        <f>IFERROR(__xludf.DUMMYFUNCTION("""COMPUTED_VALUE"""),6.0)</f>
        <v>6</v>
      </c>
      <c r="J811" s="251">
        <f>IFERROR(__xludf.DUMMYFUNCTION("""COMPUTED_VALUE"""),2.0)</f>
        <v>2</v>
      </c>
      <c r="K811" s="251" t="str">
        <f>IFERROR(__xludf.DUMMYFUNCTION("""COMPUTED_VALUE"""),"Huge")</f>
        <v>Huge</v>
      </c>
      <c r="L811" s="251">
        <f>IFERROR(__xludf.DUMMYFUNCTION("""COMPUTED_VALUE"""),3.0)</f>
        <v>3</v>
      </c>
      <c r="M811" s="251" t="str">
        <f>IFERROR(__xludf.DUMMYFUNCTION("""COMPUTED_VALUE"""),"Cave")</f>
        <v>Cave</v>
      </c>
      <c r="N811" s="251" t="str">
        <f>IFERROR(__xludf.DUMMYFUNCTION("""COMPUTED_VALUE"""),"Burrower")</f>
        <v>Burrower</v>
      </c>
      <c r="O811" s="251" t="str">
        <f>IFERROR(__xludf.DUMMYFUNCTION("""COMPUTED_VALUE"""),"Swimmer")</f>
        <v>Swimmer</v>
      </c>
      <c r="P811" s="251" t="str">
        <f>IFERROR(__xludf.DUMMYFUNCTION("""COMPUTED_VALUE"""),"--")</f>
        <v>--</v>
      </c>
      <c r="Q811" s="251" t="str">
        <f>IFERROR(__xludf.DUMMYFUNCTION("""COMPUTED_VALUE"""),"--")</f>
        <v>--</v>
      </c>
      <c r="R811" s="251" t="str">
        <f>IFERROR(__xludf.DUMMYFUNCTION("""COMPUTED_VALUE"""),"Darkvision")</f>
        <v>Darkvision</v>
      </c>
      <c r="S811" s="251" t="str">
        <f>IFERROR(__xludf.DUMMYFUNCTION("""COMPUTED_VALUE"""),"--")</f>
        <v>--</v>
      </c>
      <c r="T811" s="251" t="str">
        <f>IFERROR(__xludf.DUMMYFUNCTION("""COMPUTED_VALUE"""),"--")</f>
        <v>--</v>
      </c>
      <c r="U811" s="251" t="str">
        <f>IFERROR(__xludf.DUMMYFUNCTION("""COMPUTED_VALUE"""),"--")</f>
        <v>--</v>
      </c>
      <c r="V811" s="251" t="str">
        <f>IFERROR(__xludf.DUMMYFUNCTION("""COMPUTED_VALUE"""),"--")</f>
        <v>--</v>
      </c>
      <c r="W811" s="251" t="str">
        <f>IFERROR(__xludf.DUMMYFUNCTION("""COMPUTED_VALUE"""),"--")</f>
        <v>--</v>
      </c>
      <c r="X811" s="251" t="str">
        <f>IFERROR(__xludf.DUMMYFUNCTION("""COMPUTED_VALUE"""),"--")</f>
        <v>--</v>
      </c>
      <c r="Y811" s="251" t="str">
        <f>IFERROR(__xludf.DUMMYFUNCTION("""COMPUTED_VALUE"""),"--")</f>
        <v>--</v>
      </c>
      <c r="Z811" s="251" t="str">
        <f>IFERROR(__xludf.DUMMYFUNCTION("""COMPUTED_VALUE"""),"--")</f>
        <v>--</v>
      </c>
      <c r="AA811" s="251" t="str">
        <f>IFERROR(__xludf.DUMMYFUNCTION("""COMPUTED_VALUE"""),"--")</f>
        <v>--</v>
      </c>
      <c r="AB811" s="251" t="str">
        <f>IFERROR(__xludf.DUMMYFUNCTION("""COMPUTED_VALUE"""),"--")</f>
        <v>--</v>
      </c>
      <c r="AC811" s="251" t="str">
        <f>IFERROR(__xludf.DUMMYFUNCTION("""COMPUTED_VALUE"""),"--")</f>
        <v>--</v>
      </c>
      <c r="AD811" s="251">
        <f>IFERROR(__xludf.DUMMYFUNCTION("""COMPUTED_VALUE"""),3.0)</f>
        <v>3</v>
      </c>
      <c r="AE811" s="251" t="str">
        <f>IFERROR(__xludf.DUMMYFUNCTION("""COMPUTED_VALUE"""),"Herbivore")</f>
        <v>Herbivore</v>
      </c>
    </row>
    <row r="812">
      <c r="A812" s="251" t="str">
        <f>IFERROR(__xludf.DUMMYFUNCTION("""COMPUTED_VALUE"""),"Stantler")</f>
        <v>Stantler</v>
      </c>
      <c r="B812" s="251" t="str">
        <f>IFERROR(__xludf.DUMMYFUNCTION("""COMPUTED_VALUE"""),"Normal")</f>
        <v>Normal</v>
      </c>
      <c r="C812" s="251" t="str">
        <f>IFERROR(__xludf.DUMMYFUNCTION("""COMPUTED_VALUE"""),"None")</f>
        <v>None</v>
      </c>
      <c r="D812" s="251">
        <f>IFERROR(__xludf.DUMMYFUNCTION("""COMPUTED_VALUE"""),7.0)</f>
        <v>7</v>
      </c>
      <c r="E812" s="251">
        <f>IFERROR(__xludf.DUMMYFUNCTION("""COMPUTED_VALUE"""),9.0)</f>
        <v>9</v>
      </c>
      <c r="F812" s="251">
        <f>IFERROR(__xludf.DUMMYFUNCTION("""COMPUTED_VALUE"""),6.0)</f>
        <v>6</v>
      </c>
      <c r="G812" s="251">
        <f>IFERROR(__xludf.DUMMYFUNCTION("""COMPUTED_VALUE"""),8.0)</f>
        <v>8</v>
      </c>
      <c r="H812" s="251">
        <f>IFERROR(__xludf.DUMMYFUNCTION("""COMPUTED_VALUE"""),7.0)</f>
        <v>7</v>
      </c>
      <c r="I812" s="251">
        <f>IFERROR(__xludf.DUMMYFUNCTION("""COMPUTED_VALUE"""),7.0)</f>
        <v>7</v>
      </c>
      <c r="J812" s="251">
        <f>IFERROR(__xludf.DUMMYFUNCTION("""COMPUTED_VALUE"""),4.0)</f>
        <v>4</v>
      </c>
      <c r="K812" s="251" t="str">
        <f>IFERROR(__xludf.DUMMYFUNCTION("""COMPUTED_VALUE"""),"Medium")</f>
        <v>Medium</v>
      </c>
      <c r="L812" s="251">
        <f>IFERROR(__xludf.DUMMYFUNCTION("""COMPUTED_VALUE"""),4.0)</f>
        <v>4</v>
      </c>
      <c r="M812" s="251" t="str">
        <f>IFERROR(__xludf.DUMMYFUNCTION("""COMPUTED_VALUE"""),"Grasslands, Tundra")</f>
        <v>Grasslands, Tundra</v>
      </c>
      <c r="N812" s="251" t="str">
        <f>IFERROR(__xludf.DUMMYFUNCTION("""COMPUTED_VALUE"""),"Jumper")</f>
        <v>Jumper</v>
      </c>
      <c r="O812" s="251" t="str">
        <f>IFERROR(__xludf.DUMMYFUNCTION("""COMPUTED_VALUE"""),"Quick")</f>
        <v>Quick</v>
      </c>
      <c r="P812" s="251" t="str">
        <f>IFERROR(__xludf.DUMMYFUNCTION("""COMPUTED_VALUE"""),"--")</f>
        <v>--</v>
      </c>
      <c r="Q812" s="251" t="str">
        <f>IFERROR(__xludf.DUMMYFUNCTION("""COMPUTED_VALUE"""),"--")</f>
        <v>--</v>
      </c>
      <c r="R812" s="251" t="str">
        <f>IFERROR(__xludf.DUMMYFUNCTION("""COMPUTED_VALUE"""),"Underdog")</f>
        <v>Underdog</v>
      </c>
      <c r="S812" s="251" t="str">
        <f>IFERROR(__xludf.DUMMYFUNCTION("""COMPUTED_VALUE"""),"--")</f>
        <v>--</v>
      </c>
      <c r="T812" s="251" t="str">
        <f>IFERROR(__xludf.DUMMYFUNCTION("""COMPUTED_VALUE"""),"--")</f>
        <v>--</v>
      </c>
      <c r="U812" s="251" t="str">
        <f>IFERROR(__xludf.DUMMYFUNCTION("""COMPUTED_VALUE"""),"--")</f>
        <v>--</v>
      </c>
      <c r="V812" s="251" t="str">
        <f>IFERROR(__xludf.DUMMYFUNCTION("""COMPUTED_VALUE"""),"Tracker")</f>
        <v>Tracker</v>
      </c>
      <c r="W812" s="251" t="str">
        <f>IFERROR(__xludf.DUMMYFUNCTION("""COMPUTED_VALUE"""),"--")</f>
        <v>--</v>
      </c>
      <c r="X812" s="251" t="str">
        <f>IFERROR(__xludf.DUMMYFUNCTION("""COMPUTED_VALUE"""),"--")</f>
        <v>--</v>
      </c>
      <c r="Y812" s="251" t="str">
        <f>IFERROR(__xludf.DUMMYFUNCTION("""COMPUTED_VALUE"""),"--")</f>
        <v>--</v>
      </c>
      <c r="Z812" s="251" t="str">
        <f>IFERROR(__xludf.DUMMYFUNCTION("""COMPUTED_VALUE"""),"--")</f>
        <v>--</v>
      </c>
      <c r="AA812" s="251" t="str">
        <f>IFERROR(__xludf.DUMMYFUNCTION("""COMPUTED_VALUE"""),"--")</f>
        <v>--</v>
      </c>
      <c r="AB812" s="251" t="str">
        <f>IFERROR(__xludf.DUMMYFUNCTION("""COMPUTED_VALUE"""),"--")</f>
        <v>--</v>
      </c>
      <c r="AC812" s="251" t="str">
        <f>IFERROR(__xludf.DUMMYFUNCTION("""COMPUTED_VALUE"""),"--")</f>
        <v>--</v>
      </c>
      <c r="AD812" s="251">
        <f>IFERROR(__xludf.DUMMYFUNCTION("""COMPUTED_VALUE"""),2.0)</f>
        <v>2</v>
      </c>
      <c r="AE812" s="251" t="str">
        <f>IFERROR(__xludf.DUMMYFUNCTION("""COMPUTED_VALUE"""),"Herbivore")</f>
        <v>Herbivore</v>
      </c>
    </row>
    <row r="813">
      <c r="A813" s="251" t="str">
        <f>IFERROR(__xludf.DUMMYFUNCTION("""COMPUTED_VALUE"""),"Wyrdeer")</f>
        <v>Wyrdeer</v>
      </c>
      <c r="B813" s="251" t="str">
        <f>IFERROR(__xludf.DUMMYFUNCTION("""COMPUTED_VALUE"""),"Normal")</f>
        <v>Normal</v>
      </c>
      <c r="C813" s="251" t="str">
        <f>IFERROR(__xludf.DUMMYFUNCTION("""COMPUTED_VALUE"""),"Psychic")</f>
        <v>Psychic</v>
      </c>
      <c r="D813" s="251">
        <f>IFERROR(__xludf.DUMMYFUNCTION("""COMPUTED_VALUE"""),10.0)</f>
        <v>10</v>
      </c>
      <c r="E813" s="251">
        <f>IFERROR(__xludf.DUMMYFUNCTION("""COMPUTED_VALUE"""),9.0)</f>
        <v>9</v>
      </c>
      <c r="F813" s="251">
        <f>IFERROR(__xludf.DUMMYFUNCTION("""COMPUTED_VALUE"""),6.0)</f>
        <v>6</v>
      </c>
      <c r="G813" s="251">
        <f>IFERROR(__xludf.DUMMYFUNCTION("""COMPUTED_VALUE"""),11.0)</f>
        <v>11</v>
      </c>
      <c r="H813" s="251">
        <f>IFERROR(__xludf.DUMMYFUNCTION("""COMPUTED_VALUE"""),9.0)</f>
        <v>9</v>
      </c>
      <c r="I813" s="251">
        <f>IFERROR(__xludf.DUMMYFUNCTION("""COMPUTED_VALUE"""),8.0)</f>
        <v>8</v>
      </c>
      <c r="J813" s="251">
        <f>IFERROR(__xludf.DUMMYFUNCTION("""COMPUTED_VALUE"""),5.0)</f>
        <v>5</v>
      </c>
      <c r="K813" s="251" t="str">
        <f>IFERROR(__xludf.DUMMYFUNCTION("""COMPUTED_VALUE"""),"Medium")</f>
        <v>Medium</v>
      </c>
      <c r="L813" s="251">
        <f>IFERROR(__xludf.DUMMYFUNCTION("""COMPUTED_VALUE"""),4.0)</f>
        <v>4</v>
      </c>
      <c r="M813" s="251" t="str">
        <f>IFERROR(__xludf.DUMMYFUNCTION("""COMPUTED_VALUE"""),"Grasslands, Tundra")</f>
        <v>Grasslands, Tundra</v>
      </c>
      <c r="N813" s="251" t="str">
        <f>IFERROR(__xludf.DUMMYFUNCTION("""COMPUTED_VALUE"""),"Jumper")</f>
        <v>Jumper</v>
      </c>
      <c r="O813" s="251" t="str">
        <f>IFERROR(__xludf.DUMMYFUNCTION("""COMPUTED_VALUE"""),"Quick")</f>
        <v>Quick</v>
      </c>
      <c r="P813" s="251" t="str">
        <f>IFERROR(__xludf.DUMMYFUNCTION("""COMPUTED_VALUE"""),"--")</f>
        <v>--</v>
      </c>
      <c r="Q813" s="251" t="str">
        <f>IFERROR(__xludf.DUMMYFUNCTION("""COMPUTED_VALUE"""),"--")</f>
        <v>--</v>
      </c>
      <c r="R813" s="251" t="str">
        <f>IFERROR(__xludf.DUMMYFUNCTION("""COMPUTED_VALUE"""),"Mountable")</f>
        <v>Mountable</v>
      </c>
      <c r="S813" s="251" t="str">
        <f>IFERROR(__xludf.DUMMYFUNCTION("""COMPUTED_VALUE"""),"--")</f>
        <v>--</v>
      </c>
      <c r="T813" s="251" t="str">
        <f>IFERROR(__xludf.DUMMYFUNCTION("""COMPUTED_VALUE"""),"--")</f>
        <v>--</v>
      </c>
      <c r="U813" s="251" t="str">
        <f>IFERROR(__xludf.DUMMYFUNCTION("""COMPUTED_VALUE"""),"--")</f>
        <v>--</v>
      </c>
      <c r="V813" s="251" t="str">
        <f>IFERROR(__xludf.DUMMYFUNCTION("""COMPUTED_VALUE"""),"Premonition")</f>
        <v>Premonition</v>
      </c>
      <c r="W813" s="251" t="str">
        <f>IFERROR(__xludf.DUMMYFUNCTION("""COMPUTED_VALUE"""),"Tracker")</f>
        <v>Tracker</v>
      </c>
      <c r="X813" s="251" t="str">
        <f>IFERROR(__xludf.DUMMYFUNCTION("""COMPUTED_VALUE"""),"--")</f>
        <v>--</v>
      </c>
      <c r="Y813" s="251" t="str">
        <f>IFERROR(__xludf.DUMMYFUNCTION("""COMPUTED_VALUE"""),"--")</f>
        <v>--</v>
      </c>
      <c r="Z813" s="251" t="str">
        <f>IFERROR(__xludf.DUMMYFUNCTION("""COMPUTED_VALUE"""),"--")</f>
        <v>--</v>
      </c>
      <c r="AA813" s="251" t="str">
        <f>IFERROR(__xludf.DUMMYFUNCTION("""COMPUTED_VALUE"""),"--")</f>
        <v>--</v>
      </c>
      <c r="AB813" s="251" t="str">
        <f>IFERROR(__xludf.DUMMYFUNCTION("""COMPUTED_VALUE"""),"--")</f>
        <v>--</v>
      </c>
      <c r="AC813" s="251" t="str">
        <f>IFERROR(__xludf.DUMMYFUNCTION("""COMPUTED_VALUE"""),"--")</f>
        <v>--</v>
      </c>
      <c r="AD813" s="251">
        <f>IFERROR(__xludf.DUMMYFUNCTION("""COMPUTED_VALUE"""),3.0)</f>
        <v>3</v>
      </c>
      <c r="AE813" s="251" t="str">
        <f>IFERROR(__xludf.DUMMYFUNCTION("""COMPUTED_VALUE"""),"Herbivore")</f>
        <v>Herbivore</v>
      </c>
    </row>
    <row r="814">
      <c r="A814" s="251" t="str">
        <f>IFERROR(__xludf.DUMMYFUNCTION("""COMPUTED_VALUE"""),"Zigzagoon")</f>
        <v>Zigzagoon</v>
      </c>
      <c r="B814" s="251" t="str">
        <f>IFERROR(__xludf.DUMMYFUNCTION("""COMPUTED_VALUE"""),"Normal")</f>
        <v>Normal</v>
      </c>
      <c r="C814" s="251" t="str">
        <f>IFERROR(__xludf.DUMMYFUNCTION("""COMPUTED_VALUE"""),"None")</f>
        <v>None</v>
      </c>
      <c r="D814" s="251">
        <f>IFERROR(__xludf.DUMMYFUNCTION("""COMPUTED_VALUE"""),5.0)</f>
        <v>5</v>
      </c>
      <c r="E814" s="251">
        <f>IFERROR(__xludf.DUMMYFUNCTION("""COMPUTED_VALUE"""),4.0)</f>
        <v>4</v>
      </c>
      <c r="F814" s="251">
        <f>IFERROR(__xludf.DUMMYFUNCTION("""COMPUTED_VALUE"""),5.0)</f>
        <v>5</v>
      </c>
      <c r="G814" s="251">
        <f>IFERROR(__xludf.DUMMYFUNCTION("""COMPUTED_VALUE"""),4.0)</f>
        <v>4</v>
      </c>
      <c r="H814" s="251">
        <f>IFERROR(__xludf.DUMMYFUNCTION("""COMPUTED_VALUE"""),5.0)</f>
        <v>5</v>
      </c>
      <c r="I814" s="251">
        <f>IFERROR(__xludf.DUMMYFUNCTION("""COMPUTED_VALUE"""),7.0)</f>
        <v>7</v>
      </c>
      <c r="J814" s="251">
        <f>IFERROR(__xludf.DUMMYFUNCTION("""COMPUTED_VALUE"""),1.0)</f>
        <v>1</v>
      </c>
      <c r="K814" s="251" t="str">
        <f>IFERROR(__xludf.DUMMYFUNCTION("""COMPUTED_VALUE"""),"Small")</f>
        <v>Small</v>
      </c>
      <c r="L814" s="251">
        <f>IFERROR(__xludf.DUMMYFUNCTION("""COMPUTED_VALUE"""),2.0)</f>
        <v>2</v>
      </c>
      <c r="M814" s="251" t="str">
        <f>IFERROR(__xludf.DUMMYFUNCTION("""COMPUTED_VALUE"""),"Forest, Grasslands")</f>
        <v>Forest, Grasslands</v>
      </c>
      <c r="N814" s="251" t="str">
        <f>IFERROR(__xludf.DUMMYFUNCTION("""COMPUTED_VALUE"""),"Jumper")</f>
        <v>Jumper</v>
      </c>
      <c r="O814" s="251" t="str">
        <f>IFERROR(__xludf.DUMMYFUNCTION("""COMPUTED_VALUE"""),"--")</f>
        <v>--</v>
      </c>
      <c r="P814" s="251" t="str">
        <f>IFERROR(__xludf.DUMMYFUNCTION("""COMPUTED_VALUE"""),"--")</f>
        <v>--</v>
      </c>
      <c r="Q814" s="251" t="str">
        <f>IFERROR(__xludf.DUMMYFUNCTION("""COMPUTED_VALUE"""),"--")</f>
        <v>--</v>
      </c>
      <c r="R814" s="251" t="str">
        <f>IFERROR(__xludf.DUMMYFUNCTION("""COMPUTED_VALUE"""),"Underdog")</f>
        <v>Underdog</v>
      </c>
      <c r="S814" s="251" t="str">
        <f>IFERROR(__xludf.DUMMYFUNCTION("""COMPUTED_VALUE"""),"--")</f>
        <v>--</v>
      </c>
      <c r="T814" s="251" t="str">
        <f>IFERROR(__xludf.DUMMYFUNCTION("""COMPUTED_VALUE"""),"--")</f>
        <v>--</v>
      </c>
      <c r="U814" s="251" t="str">
        <f>IFERROR(__xludf.DUMMYFUNCTION("""COMPUTED_VALUE"""),"--")</f>
        <v>--</v>
      </c>
      <c r="V814" s="251" t="str">
        <f>IFERROR(__xludf.DUMMYFUNCTION("""COMPUTED_VALUE"""),"Tracker")</f>
        <v>Tracker</v>
      </c>
      <c r="W814" s="251" t="str">
        <f>IFERROR(__xludf.DUMMYFUNCTION("""COMPUTED_VALUE"""),"--")</f>
        <v>--</v>
      </c>
      <c r="X814" s="251" t="str">
        <f>IFERROR(__xludf.DUMMYFUNCTION("""COMPUTED_VALUE"""),"--")</f>
        <v>--</v>
      </c>
      <c r="Y814" s="251" t="str">
        <f>IFERROR(__xludf.DUMMYFUNCTION("""COMPUTED_VALUE"""),"--")</f>
        <v>--</v>
      </c>
      <c r="Z814" s="251" t="str">
        <f>IFERROR(__xludf.DUMMYFUNCTION("""COMPUTED_VALUE"""),"--")</f>
        <v>--</v>
      </c>
      <c r="AA814" s="251" t="str">
        <f>IFERROR(__xludf.DUMMYFUNCTION("""COMPUTED_VALUE"""),"--")</f>
        <v>--</v>
      </c>
      <c r="AB814" s="251" t="str">
        <f>IFERROR(__xludf.DUMMYFUNCTION("""COMPUTED_VALUE"""),"--")</f>
        <v>--</v>
      </c>
      <c r="AC814" s="251" t="str">
        <f>IFERROR(__xludf.DUMMYFUNCTION("""COMPUTED_VALUE"""),"--")</f>
        <v>--</v>
      </c>
      <c r="AD814" s="251">
        <f>IFERROR(__xludf.DUMMYFUNCTION("""COMPUTED_VALUE"""),2.0)</f>
        <v>2</v>
      </c>
      <c r="AE814" s="251" t="str">
        <f>IFERROR(__xludf.DUMMYFUNCTION("""COMPUTED_VALUE"""),"Herbivore")</f>
        <v>Herbivore</v>
      </c>
    </row>
    <row r="815">
      <c r="A815" s="251" t="str">
        <f>IFERROR(__xludf.DUMMYFUNCTION("""COMPUTED_VALUE"""),"Linoone")</f>
        <v>Linoone</v>
      </c>
      <c r="B815" s="251" t="str">
        <f>IFERROR(__xludf.DUMMYFUNCTION("""COMPUTED_VALUE"""),"Normal")</f>
        <v>Normal</v>
      </c>
      <c r="C815" s="251" t="str">
        <f>IFERROR(__xludf.DUMMYFUNCTION("""COMPUTED_VALUE"""),"None")</f>
        <v>None</v>
      </c>
      <c r="D815" s="251">
        <f>IFERROR(__xludf.DUMMYFUNCTION("""COMPUTED_VALUE"""),8.0)</f>
        <v>8</v>
      </c>
      <c r="E815" s="251">
        <f>IFERROR(__xludf.DUMMYFUNCTION("""COMPUTED_VALUE"""),7.0)</f>
        <v>7</v>
      </c>
      <c r="F815" s="251">
        <f>IFERROR(__xludf.DUMMYFUNCTION("""COMPUTED_VALUE"""),6.0)</f>
        <v>6</v>
      </c>
      <c r="G815" s="251">
        <f>IFERROR(__xludf.DUMMYFUNCTION("""COMPUTED_VALUE"""),5.0)</f>
        <v>5</v>
      </c>
      <c r="H815" s="251">
        <f>IFERROR(__xludf.DUMMYFUNCTION("""COMPUTED_VALUE"""),6.0)</f>
        <v>6</v>
      </c>
      <c r="I815" s="251">
        <f>IFERROR(__xludf.DUMMYFUNCTION("""COMPUTED_VALUE"""),10.0)</f>
        <v>10</v>
      </c>
      <c r="J815" s="251">
        <f>IFERROR(__xludf.DUMMYFUNCTION("""COMPUTED_VALUE"""),3.0)</f>
        <v>3</v>
      </c>
      <c r="K815" s="251" t="str">
        <f>IFERROR(__xludf.DUMMYFUNCTION("""COMPUTED_VALUE"""),"Small")</f>
        <v>Small</v>
      </c>
      <c r="L815" s="251">
        <f>IFERROR(__xludf.DUMMYFUNCTION("""COMPUTED_VALUE"""),3.0)</f>
        <v>3</v>
      </c>
      <c r="M815" s="251" t="str">
        <f>IFERROR(__xludf.DUMMYFUNCTION("""COMPUTED_VALUE"""),"Forest, Grasslands")</f>
        <v>Forest, Grasslands</v>
      </c>
      <c r="N815" s="251" t="str">
        <f>IFERROR(__xludf.DUMMYFUNCTION("""COMPUTED_VALUE"""),"Jumper")</f>
        <v>Jumper</v>
      </c>
      <c r="O815" s="251" t="str">
        <f>IFERROR(__xludf.DUMMYFUNCTION("""COMPUTED_VALUE"""),"Quick")</f>
        <v>Quick</v>
      </c>
      <c r="P815" s="251" t="str">
        <f>IFERROR(__xludf.DUMMYFUNCTION("""COMPUTED_VALUE"""),"--")</f>
        <v>--</v>
      </c>
      <c r="Q815" s="251" t="str">
        <f>IFERROR(__xludf.DUMMYFUNCTION("""COMPUTED_VALUE"""),"--")</f>
        <v>--</v>
      </c>
      <c r="R815" s="251" t="str">
        <f>IFERROR(__xludf.DUMMYFUNCTION("""COMPUTED_VALUE"""),"Underdog")</f>
        <v>Underdog</v>
      </c>
      <c r="S815" s="251" t="str">
        <f>IFERROR(__xludf.DUMMYFUNCTION("""COMPUTED_VALUE"""),"--")</f>
        <v>--</v>
      </c>
      <c r="T815" s="251" t="str">
        <f>IFERROR(__xludf.DUMMYFUNCTION("""COMPUTED_VALUE"""),"--")</f>
        <v>--</v>
      </c>
      <c r="U815" s="251" t="str">
        <f>IFERROR(__xludf.DUMMYFUNCTION("""COMPUTED_VALUE"""),"--")</f>
        <v>--</v>
      </c>
      <c r="V815" s="251" t="str">
        <f>IFERROR(__xludf.DUMMYFUNCTION("""COMPUTED_VALUE"""),"Tracker")</f>
        <v>Tracker</v>
      </c>
      <c r="W815" s="251" t="str">
        <f>IFERROR(__xludf.DUMMYFUNCTION("""COMPUTED_VALUE"""),"--")</f>
        <v>--</v>
      </c>
      <c r="X815" s="251" t="str">
        <f>IFERROR(__xludf.DUMMYFUNCTION("""COMPUTED_VALUE"""),"--")</f>
        <v>--</v>
      </c>
      <c r="Y815" s="251" t="str">
        <f>IFERROR(__xludf.DUMMYFUNCTION("""COMPUTED_VALUE"""),"--")</f>
        <v>--</v>
      </c>
      <c r="Z815" s="251" t="str">
        <f>IFERROR(__xludf.DUMMYFUNCTION("""COMPUTED_VALUE"""),"--")</f>
        <v>--</v>
      </c>
      <c r="AA815" s="251" t="str">
        <f>IFERROR(__xludf.DUMMYFUNCTION("""COMPUTED_VALUE"""),"--")</f>
        <v>--</v>
      </c>
      <c r="AB815" s="251" t="str">
        <f>IFERROR(__xludf.DUMMYFUNCTION("""COMPUTED_VALUE"""),"--")</f>
        <v>--</v>
      </c>
      <c r="AC815" s="251" t="str">
        <f>IFERROR(__xludf.DUMMYFUNCTION("""COMPUTED_VALUE"""),"--")</f>
        <v>--</v>
      </c>
      <c r="AD815" s="251">
        <f>IFERROR(__xludf.DUMMYFUNCTION("""COMPUTED_VALUE"""),3.0)</f>
        <v>3</v>
      </c>
      <c r="AE815" s="251" t="str">
        <f>IFERROR(__xludf.DUMMYFUNCTION("""COMPUTED_VALUE"""),"Herbivore")</f>
        <v>Herbivore</v>
      </c>
    </row>
    <row r="816">
      <c r="A816" s="251" t="str">
        <f>IFERROR(__xludf.DUMMYFUNCTION("""COMPUTED_VALUE"""),"Taillow")</f>
        <v>Taillow</v>
      </c>
      <c r="B816" s="251" t="str">
        <f>IFERROR(__xludf.DUMMYFUNCTION("""COMPUTED_VALUE"""),"Normal")</f>
        <v>Normal</v>
      </c>
      <c r="C816" s="251" t="str">
        <f>IFERROR(__xludf.DUMMYFUNCTION("""COMPUTED_VALUE"""),"Flying")</f>
        <v>Flying</v>
      </c>
      <c r="D816" s="251">
        <f>IFERROR(__xludf.DUMMYFUNCTION("""COMPUTED_VALUE"""),4.0)</f>
        <v>4</v>
      </c>
      <c r="E816" s="251">
        <f>IFERROR(__xludf.DUMMYFUNCTION("""COMPUTED_VALUE"""),6.0)</f>
        <v>6</v>
      </c>
      <c r="F816" s="251">
        <f>IFERROR(__xludf.DUMMYFUNCTION("""COMPUTED_VALUE"""),4.0)</f>
        <v>4</v>
      </c>
      <c r="G816" s="251">
        <f>IFERROR(__xludf.DUMMYFUNCTION("""COMPUTED_VALUE"""),3.0)</f>
        <v>3</v>
      </c>
      <c r="H816" s="251">
        <f>IFERROR(__xludf.DUMMYFUNCTION("""COMPUTED_VALUE"""),4.0)</f>
        <v>4</v>
      </c>
      <c r="I816" s="251">
        <f>IFERROR(__xludf.DUMMYFUNCTION("""COMPUTED_VALUE"""),9.0)</f>
        <v>9</v>
      </c>
      <c r="J816" s="251">
        <f>IFERROR(__xludf.DUMMYFUNCTION("""COMPUTED_VALUE"""),1.0)</f>
        <v>1</v>
      </c>
      <c r="K816" s="251" t="str">
        <f>IFERROR(__xludf.DUMMYFUNCTION("""COMPUTED_VALUE"""),"Small")</f>
        <v>Small</v>
      </c>
      <c r="L816" s="251">
        <f>IFERROR(__xludf.DUMMYFUNCTION("""COMPUTED_VALUE"""),1.0)</f>
        <v>1</v>
      </c>
      <c r="M816" s="251" t="str">
        <f>IFERROR(__xludf.DUMMYFUNCTION("""COMPUTED_VALUE"""),"Grasslands")</f>
        <v>Grasslands</v>
      </c>
      <c r="N816" s="251" t="str">
        <f>IFERROR(__xludf.DUMMYFUNCTION("""COMPUTED_VALUE"""),"Flier")</f>
        <v>Flier</v>
      </c>
      <c r="O816" s="251" t="str">
        <f>IFERROR(__xludf.DUMMYFUNCTION("""COMPUTED_VALUE"""),"--")</f>
        <v>--</v>
      </c>
      <c r="P816" s="251" t="str">
        <f>IFERROR(__xludf.DUMMYFUNCTION("""COMPUTED_VALUE"""),"--")</f>
        <v>--</v>
      </c>
      <c r="Q816" s="251" t="str">
        <f>IFERROR(__xludf.DUMMYFUNCTION("""COMPUTED_VALUE"""),"--")</f>
        <v>--</v>
      </c>
      <c r="R816" s="251" t="str">
        <f>IFERROR(__xludf.DUMMYFUNCTION("""COMPUTED_VALUE"""),"Underdog")</f>
        <v>Underdog</v>
      </c>
      <c r="S816" s="251" t="str">
        <f>IFERROR(__xludf.DUMMYFUNCTION("""COMPUTED_VALUE"""),"--")</f>
        <v>--</v>
      </c>
      <c r="T816" s="251" t="str">
        <f>IFERROR(__xludf.DUMMYFUNCTION("""COMPUTED_VALUE"""),"--")</f>
        <v>--</v>
      </c>
      <c r="U816" s="251" t="str">
        <f>IFERROR(__xludf.DUMMYFUNCTION("""COMPUTED_VALUE"""),"--")</f>
        <v>--</v>
      </c>
      <c r="V816" s="251" t="str">
        <f>IFERROR(__xludf.DUMMYFUNCTION("""COMPUTED_VALUE"""),"--")</f>
        <v>--</v>
      </c>
      <c r="W816" s="251" t="str">
        <f>IFERROR(__xludf.DUMMYFUNCTION("""COMPUTED_VALUE"""),"--")</f>
        <v>--</v>
      </c>
      <c r="X816" s="251" t="str">
        <f>IFERROR(__xludf.DUMMYFUNCTION("""COMPUTED_VALUE"""),"--")</f>
        <v>--</v>
      </c>
      <c r="Y816" s="251" t="str">
        <f>IFERROR(__xludf.DUMMYFUNCTION("""COMPUTED_VALUE"""),"--")</f>
        <v>--</v>
      </c>
      <c r="Z816" s="251" t="str">
        <f>IFERROR(__xludf.DUMMYFUNCTION("""COMPUTED_VALUE"""),"--")</f>
        <v>--</v>
      </c>
      <c r="AA816" s="251" t="str">
        <f>IFERROR(__xludf.DUMMYFUNCTION("""COMPUTED_VALUE"""),"--")</f>
        <v>--</v>
      </c>
      <c r="AB816" s="251" t="str">
        <f>IFERROR(__xludf.DUMMYFUNCTION("""COMPUTED_VALUE"""),"--")</f>
        <v>--</v>
      </c>
      <c r="AC816" s="251" t="str">
        <f>IFERROR(__xludf.DUMMYFUNCTION("""COMPUTED_VALUE"""),"--")</f>
        <v>--</v>
      </c>
      <c r="AD816" s="251">
        <f>IFERROR(__xludf.DUMMYFUNCTION("""COMPUTED_VALUE"""),2.0)</f>
        <v>2</v>
      </c>
      <c r="AE816" s="251" t="str">
        <f>IFERROR(__xludf.DUMMYFUNCTION("""COMPUTED_VALUE"""),"Omnivore")</f>
        <v>Omnivore</v>
      </c>
    </row>
    <row r="817">
      <c r="A817" s="251" t="str">
        <f>IFERROR(__xludf.DUMMYFUNCTION("""COMPUTED_VALUE"""),"Swellow")</f>
        <v>Swellow</v>
      </c>
      <c r="B817" s="251" t="str">
        <f>IFERROR(__xludf.DUMMYFUNCTION("""COMPUTED_VALUE"""),"Normal")</f>
        <v>Normal</v>
      </c>
      <c r="C817" s="251" t="str">
        <f>IFERROR(__xludf.DUMMYFUNCTION("""COMPUTED_VALUE"""),"Flying")</f>
        <v>Flying</v>
      </c>
      <c r="D817" s="251">
        <f>IFERROR(__xludf.DUMMYFUNCTION("""COMPUTED_VALUE"""),7.0)</f>
        <v>7</v>
      </c>
      <c r="E817" s="251">
        <f>IFERROR(__xludf.DUMMYFUNCTION("""COMPUTED_VALUE"""),9.0)</f>
        <v>9</v>
      </c>
      <c r="F817" s="251">
        <f>IFERROR(__xludf.DUMMYFUNCTION("""COMPUTED_VALUE"""),7.0)</f>
        <v>7</v>
      </c>
      <c r="G817" s="251">
        <f>IFERROR(__xludf.DUMMYFUNCTION("""COMPUTED_VALUE"""),8.0)</f>
        <v>8</v>
      </c>
      <c r="H817" s="251">
        <f>IFERROR(__xludf.DUMMYFUNCTION("""COMPUTED_VALUE"""),7.0)</f>
        <v>7</v>
      </c>
      <c r="I817" s="251">
        <f>IFERROR(__xludf.DUMMYFUNCTION("""COMPUTED_VALUE"""),13.0)</f>
        <v>13</v>
      </c>
      <c r="J817" s="251">
        <f>IFERROR(__xludf.DUMMYFUNCTION("""COMPUTED_VALUE"""),3.0)</f>
        <v>3</v>
      </c>
      <c r="K817" s="251" t="str">
        <f>IFERROR(__xludf.DUMMYFUNCTION("""COMPUTED_VALUE"""),"Small")</f>
        <v>Small</v>
      </c>
      <c r="L817" s="251">
        <f>IFERROR(__xludf.DUMMYFUNCTION("""COMPUTED_VALUE"""),2.0)</f>
        <v>2</v>
      </c>
      <c r="M817" s="251" t="str">
        <f>IFERROR(__xludf.DUMMYFUNCTION("""COMPUTED_VALUE"""),"Grasslands")</f>
        <v>Grasslands</v>
      </c>
      <c r="N817" s="251" t="str">
        <f>IFERROR(__xludf.DUMMYFUNCTION("""COMPUTED_VALUE"""),"Flier")</f>
        <v>Flier</v>
      </c>
      <c r="O817" s="251" t="str">
        <f>IFERROR(__xludf.DUMMYFUNCTION("""COMPUTED_VALUE"""),"--")</f>
        <v>--</v>
      </c>
      <c r="P817" s="251" t="str">
        <f>IFERROR(__xludf.DUMMYFUNCTION("""COMPUTED_VALUE"""),"--")</f>
        <v>--</v>
      </c>
      <c r="Q817" s="251" t="str">
        <f>IFERROR(__xludf.DUMMYFUNCTION("""COMPUTED_VALUE"""),"--")</f>
        <v>--</v>
      </c>
      <c r="R817" s="251" t="str">
        <f>IFERROR(__xludf.DUMMYFUNCTION("""COMPUTED_VALUE"""),"--")</f>
        <v>--</v>
      </c>
      <c r="S817" s="251" t="str">
        <f>IFERROR(__xludf.DUMMYFUNCTION("""COMPUTED_VALUE"""),"--")</f>
        <v>--</v>
      </c>
      <c r="T817" s="251" t="str">
        <f>IFERROR(__xludf.DUMMYFUNCTION("""COMPUTED_VALUE"""),"--")</f>
        <v>--</v>
      </c>
      <c r="U817" s="251" t="str">
        <f>IFERROR(__xludf.DUMMYFUNCTION("""COMPUTED_VALUE"""),"--")</f>
        <v>--</v>
      </c>
      <c r="V817" s="251" t="str">
        <f>IFERROR(__xludf.DUMMYFUNCTION("""COMPUTED_VALUE"""),"--")</f>
        <v>--</v>
      </c>
      <c r="W817" s="251" t="str">
        <f>IFERROR(__xludf.DUMMYFUNCTION("""COMPUTED_VALUE"""),"--")</f>
        <v>--</v>
      </c>
      <c r="X817" s="251" t="str">
        <f>IFERROR(__xludf.DUMMYFUNCTION("""COMPUTED_VALUE"""),"--")</f>
        <v>--</v>
      </c>
      <c r="Y817" s="251" t="str">
        <f>IFERROR(__xludf.DUMMYFUNCTION("""COMPUTED_VALUE"""),"--")</f>
        <v>--</v>
      </c>
      <c r="Z817" s="251" t="str">
        <f>IFERROR(__xludf.DUMMYFUNCTION("""COMPUTED_VALUE"""),"--")</f>
        <v>--</v>
      </c>
      <c r="AA817" s="251" t="str">
        <f>IFERROR(__xludf.DUMMYFUNCTION("""COMPUTED_VALUE"""),"--")</f>
        <v>--</v>
      </c>
      <c r="AB817" s="251" t="str">
        <f>IFERROR(__xludf.DUMMYFUNCTION("""COMPUTED_VALUE"""),"--")</f>
        <v>--</v>
      </c>
      <c r="AC817" s="251" t="str">
        <f>IFERROR(__xludf.DUMMYFUNCTION("""COMPUTED_VALUE"""),"--")</f>
        <v>--</v>
      </c>
      <c r="AD817" s="251">
        <f>IFERROR(__xludf.DUMMYFUNCTION("""COMPUTED_VALUE"""),3.0)</f>
        <v>3</v>
      </c>
      <c r="AE817" s="251" t="str">
        <f>IFERROR(__xludf.DUMMYFUNCTION("""COMPUTED_VALUE"""),"Omnivore")</f>
        <v>Omnivore</v>
      </c>
    </row>
    <row r="818">
      <c r="A818" s="251" t="str">
        <f>IFERROR(__xludf.DUMMYFUNCTION("""COMPUTED_VALUE"""),"Skitty")</f>
        <v>Skitty</v>
      </c>
      <c r="B818" s="251" t="str">
        <f>IFERROR(__xludf.DUMMYFUNCTION("""COMPUTED_VALUE"""),"Normal")</f>
        <v>Normal</v>
      </c>
      <c r="C818" s="251" t="str">
        <f>IFERROR(__xludf.DUMMYFUNCTION("""COMPUTED_VALUE"""),"None")</f>
        <v>None</v>
      </c>
      <c r="D818" s="251">
        <f>IFERROR(__xludf.DUMMYFUNCTION("""COMPUTED_VALUE"""),5.0)</f>
        <v>5</v>
      </c>
      <c r="E818" s="251">
        <f>IFERROR(__xludf.DUMMYFUNCTION("""COMPUTED_VALUE"""),5.0)</f>
        <v>5</v>
      </c>
      <c r="F818" s="251">
        <f>IFERROR(__xludf.DUMMYFUNCTION("""COMPUTED_VALUE"""),5.0)</f>
        <v>5</v>
      </c>
      <c r="G818" s="251">
        <f>IFERROR(__xludf.DUMMYFUNCTION("""COMPUTED_VALUE"""),5.0)</f>
        <v>5</v>
      </c>
      <c r="H818" s="251">
        <f>IFERROR(__xludf.DUMMYFUNCTION("""COMPUTED_VALUE"""),5.0)</f>
        <v>5</v>
      </c>
      <c r="I818" s="251">
        <f>IFERROR(__xludf.DUMMYFUNCTION("""COMPUTED_VALUE"""),5.0)</f>
        <v>5</v>
      </c>
      <c r="J818" s="251">
        <f>IFERROR(__xludf.DUMMYFUNCTION("""COMPUTED_VALUE"""),1.0)</f>
        <v>1</v>
      </c>
      <c r="K818" s="251" t="str">
        <f>IFERROR(__xludf.DUMMYFUNCTION("""COMPUTED_VALUE"""),"Small")</f>
        <v>Small</v>
      </c>
      <c r="L818" s="251">
        <f>IFERROR(__xludf.DUMMYFUNCTION("""COMPUTED_VALUE"""),1.0)</f>
        <v>1</v>
      </c>
      <c r="M818" s="251" t="str">
        <f>IFERROR(__xludf.DUMMYFUNCTION("""COMPUTED_VALUE"""),"Grasslands")</f>
        <v>Grasslands</v>
      </c>
      <c r="N818" s="251" t="str">
        <f>IFERROR(__xludf.DUMMYFUNCTION("""COMPUTED_VALUE"""),"--")</f>
        <v>--</v>
      </c>
      <c r="O818" s="251" t="str">
        <f>IFERROR(__xludf.DUMMYFUNCTION("""COMPUTED_VALUE"""),"--")</f>
        <v>--</v>
      </c>
      <c r="P818" s="251" t="str">
        <f>IFERROR(__xludf.DUMMYFUNCTION("""COMPUTED_VALUE"""),"--")</f>
        <v>--</v>
      </c>
      <c r="Q818" s="251" t="str">
        <f>IFERROR(__xludf.DUMMYFUNCTION("""COMPUTED_VALUE"""),"--")</f>
        <v>--</v>
      </c>
      <c r="R818" s="251" t="str">
        <f>IFERROR(__xludf.DUMMYFUNCTION("""COMPUTED_VALUE"""),"Underdog")</f>
        <v>Underdog</v>
      </c>
      <c r="S818" s="251" t="str">
        <f>IFERROR(__xludf.DUMMYFUNCTION("""COMPUTED_VALUE"""),"--")</f>
        <v>--</v>
      </c>
      <c r="T818" s="251" t="str">
        <f>IFERROR(__xludf.DUMMYFUNCTION("""COMPUTED_VALUE"""),"--")</f>
        <v>--</v>
      </c>
      <c r="U818" s="251" t="str">
        <f>IFERROR(__xludf.DUMMYFUNCTION("""COMPUTED_VALUE"""),"--")</f>
        <v>--</v>
      </c>
      <c r="V818" s="251" t="str">
        <f>IFERROR(__xludf.DUMMYFUNCTION("""COMPUTED_VALUE"""),"Tracker")</f>
        <v>Tracker</v>
      </c>
      <c r="W818" s="251" t="str">
        <f>IFERROR(__xludf.DUMMYFUNCTION("""COMPUTED_VALUE"""),"--")</f>
        <v>--</v>
      </c>
      <c r="X818" s="251" t="str">
        <f>IFERROR(__xludf.DUMMYFUNCTION("""COMPUTED_VALUE"""),"--")</f>
        <v>--</v>
      </c>
      <c r="Y818" s="251" t="str">
        <f>IFERROR(__xludf.DUMMYFUNCTION("""COMPUTED_VALUE"""),"--")</f>
        <v>--</v>
      </c>
      <c r="Z818" s="251" t="str">
        <f>IFERROR(__xludf.DUMMYFUNCTION("""COMPUTED_VALUE"""),"--")</f>
        <v>--</v>
      </c>
      <c r="AA818" s="251" t="str">
        <f>IFERROR(__xludf.DUMMYFUNCTION("""COMPUTED_VALUE"""),"--")</f>
        <v>--</v>
      </c>
      <c r="AB818" s="251" t="str">
        <f>IFERROR(__xludf.DUMMYFUNCTION("""COMPUTED_VALUE"""),"--")</f>
        <v>--</v>
      </c>
      <c r="AC818" s="251" t="str">
        <f>IFERROR(__xludf.DUMMYFUNCTION("""COMPUTED_VALUE"""),"--")</f>
        <v>--</v>
      </c>
      <c r="AD818" s="251">
        <f>IFERROR(__xludf.DUMMYFUNCTION("""COMPUTED_VALUE"""),2.0)</f>
        <v>2</v>
      </c>
      <c r="AE818" s="251" t="str">
        <f>IFERROR(__xludf.DUMMYFUNCTION("""COMPUTED_VALUE"""),"Omnivore")</f>
        <v>Omnivore</v>
      </c>
    </row>
    <row r="819">
      <c r="A819" s="251" t="str">
        <f>IFERROR(__xludf.DUMMYFUNCTION("""COMPUTED_VALUE"""),"Delcatty")</f>
        <v>Delcatty</v>
      </c>
      <c r="B819" s="251" t="str">
        <f>IFERROR(__xludf.DUMMYFUNCTION("""COMPUTED_VALUE"""),"Normal")</f>
        <v>Normal</v>
      </c>
      <c r="C819" s="251" t="str">
        <f>IFERROR(__xludf.DUMMYFUNCTION("""COMPUTED_VALUE"""),"None")</f>
        <v>None</v>
      </c>
      <c r="D819" s="251">
        <f>IFERROR(__xludf.DUMMYFUNCTION("""COMPUTED_VALUE"""),7.0)</f>
        <v>7</v>
      </c>
      <c r="E819" s="251">
        <f>IFERROR(__xludf.DUMMYFUNCTION("""COMPUTED_VALUE"""),7.0)</f>
        <v>7</v>
      </c>
      <c r="F819" s="251">
        <f>IFERROR(__xludf.DUMMYFUNCTION("""COMPUTED_VALUE"""),7.0)</f>
        <v>7</v>
      </c>
      <c r="G819" s="251">
        <f>IFERROR(__xludf.DUMMYFUNCTION("""COMPUTED_VALUE"""),6.0)</f>
        <v>6</v>
      </c>
      <c r="H819" s="251">
        <f>IFERROR(__xludf.DUMMYFUNCTION("""COMPUTED_VALUE"""),6.0)</f>
        <v>6</v>
      </c>
      <c r="I819" s="251">
        <f>IFERROR(__xludf.DUMMYFUNCTION("""COMPUTED_VALUE"""),9.0)</f>
        <v>9</v>
      </c>
      <c r="J819" s="251">
        <f>IFERROR(__xludf.DUMMYFUNCTION("""COMPUTED_VALUE"""),2.0)</f>
        <v>2</v>
      </c>
      <c r="K819" s="251" t="str">
        <f>IFERROR(__xludf.DUMMYFUNCTION("""COMPUTED_VALUE"""),"Medium")</f>
        <v>Medium</v>
      </c>
      <c r="L819" s="251">
        <f>IFERROR(__xludf.DUMMYFUNCTION("""COMPUTED_VALUE"""),3.0)</f>
        <v>3</v>
      </c>
      <c r="M819" s="251" t="str">
        <f>IFERROR(__xludf.DUMMYFUNCTION("""COMPUTED_VALUE"""),"Grasslands")</f>
        <v>Grasslands</v>
      </c>
      <c r="N819" s="251" t="str">
        <f>IFERROR(__xludf.DUMMYFUNCTION("""COMPUTED_VALUE"""),"--")</f>
        <v>--</v>
      </c>
      <c r="O819" s="251" t="str">
        <f>IFERROR(__xludf.DUMMYFUNCTION("""COMPUTED_VALUE"""),"--")</f>
        <v>--</v>
      </c>
      <c r="P819" s="251" t="str">
        <f>IFERROR(__xludf.DUMMYFUNCTION("""COMPUTED_VALUE"""),"--")</f>
        <v>--</v>
      </c>
      <c r="Q819" s="251" t="str">
        <f>IFERROR(__xludf.DUMMYFUNCTION("""COMPUTED_VALUE"""),"--")</f>
        <v>--</v>
      </c>
      <c r="R819" s="251" t="str">
        <f>IFERROR(__xludf.DUMMYFUNCTION("""COMPUTED_VALUE"""),"Underdog")</f>
        <v>Underdog</v>
      </c>
      <c r="S819" s="251" t="str">
        <f>IFERROR(__xludf.DUMMYFUNCTION("""COMPUTED_VALUE"""),"--")</f>
        <v>--</v>
      </c>
      <c r="T819" s="251" t="str">
        <f>IFERROR(__xludf.DUMMYFUNCTION("""COMPUTED_VALUE"""),"--")</f>
        <v>--</v>
      </c>
      <c r="U819" s="251" t="str">
        <f>IFERROR(__xludf.DUMMYFUNCTION("""COMPUTED_VALUE"""),"--")</f>
        <v>--</v>
      </c>
      <c r="V819" s="251" t="str">
        <f>IFERROR(__xludf.DUMMYFUNCTION("""COMPUTED_VALUE"""),"Tracker")</f>
        <v>Tracker</v>
      </c>
      <c r="W819" s="251" t="str">
        <f>IFERROR(__xludf.DUMMYFUNCTION("""COMPUTED_VALUE"""),"--")</f>
        <v>--</v>
      </c>
      <c r="X819" s="251" t="str">
        <f>IFERROR(__xludf.DUMMYFUNCTION("""COMPUTED_VALUE"""),"--")</f>
        <v>--</v>
      </c>
      <c r="Y819" s="251" t="str">
        <f>IFERROR(__xludf.DUMMYFUNCTION("""COMPUTED_VALUE"""),"--")</f>
        <v>--</v>
      </c>
      <c r="Z819" s="251" t="str">
        <f>IFERROR(__xludf.DUMMYFUNCTION("""COMPUTED_VALUE"""),"--")</f>
        <v>--</v>
      </c>
      <c r="AA819" s="251" t="str">
        <f>IFERROR(__xludf.DUMMYFUNCTION("""COMPUTED_VALUE"""),"--")</f>
        <v>--</v>
      </c>
      <c r="AB819" s="251" t="str">
        <f>IFERROR(__xludf.DUMMYFUNCTION("""COMPUTED_VALUE"""),"--")</f>
        <v>--</v>
      </c>
      <c r="AC819" s="251" t="str">
        <f>IFERROR(__xludf.DUMMYFUNCTION("""COMPUTED_VALUE"""),"--")</f>
        <v>--</v>
      </c>
      <c r="AD819" s="251">
        <f>IFERROR(__xludf.DUMMYFUNCTION("""COMPUTED_VALUE"""),3.0)</f>
        <v>3</v>
      </c>
      <c r="AE819" s="251" t="str">
        <f>IFERROR(__xludf.DUMMYFUNCTION("""COMPUTED_VALUE"""),"Omnivore")</f>
        <v>Omnivore</v>
      </c>
    </row>
    <row r="820">
      <c r="A820" s="251" t="str">
        <f>IFERROR(__xludf.DUMMYFUNCTION("""COMPUTED_VALUE"""),"Swablu")</f>
        <v>Swablu</v>
      </c>
      <c r="B820" s="251" t="str">
        <f>IFERROR(__xludf.DUMMYFUNCTION("""COMPUTED_VALUE"""),"Normal")</f>
        <v>Normal</v>
      </c>
      <c r="C820" s="251" t="str">
        <f>IFERROR(__xludf.DUMMYFUNCTION("""COMPUTED_VALUE"""),"Flying")</f>
        <v>Flying</v>
      </c>
      <c r="D820" s="251">
        <f>IFERROR(__xludf.DUMMYFUNCTION("""COMPUTED_VALUE"""),5.0)</f>
        <v>5</v>
      </c>
      <c r="E820" s="251">
        <f>IFERROR(__xludf.DUMMYFUNCTION("""COMPUTED_VALUE"""),4.0)</f>
        <v>4</v>
      </c>
      <c r="F820" s="251">
        <f>IFERROR(__xludf.DUMMYFUNCTION("""COMPUTED_VALUE"""),6.0)</f>
        <v>6</v>
      </c>
      <c r="G820" s="251">
        <f>IFERROR(__xludf.DUMMYFUNCTION("""COMPUTED_VALUE"""),4.0)</f>
        <v>4</v>
      </c>
      <c r="H820" s="251">
        <f>IFERROR(__xludf.DUMMYFUNCTION("""COMPUTED_VALUE"""),8.0)</f>
        <v>8</v>
      </c>
      <c r="I820" s="251">
        <f>IFERROR(__xludf.DUMMYFUNCTION("""COMPUTED_VALUE"""),5.0)</f>
        <v>5</v>
      </c>
      <c r="J820" s="251">
        <f>IFERROR(__xludf.DUMMYFUNCTION("""COMPUTED_VALUE"""),1.0)</f>
        <v>1</v>
      </c>
      <c r="K820" s="251" t="str">
        <f>IFERROR(__xludf.DUMMYFUNCTION("""COMPUTED_VALUE"""),"Small")</f>
        <v>Small</v>
      </c>
      <c r="L820" s="251">
        <f>IFERROR(__xludf.DUMMYFUNCTION("""COMPUTED_VALUE"""),1.0)</f>
        <v>1</v>
      </c>
      <c r="M820" s="251" t="str">
        <f>IFERROR(__xludf.DUMMYFUNCTION("""COMPUTED_VALUE"""),"Mountain")</f>
        <v>Mountain</v>
      </c>
      <c r="N820" s="251" t="str">
        <f>IFERROR(__xludf.DUMMYFUNCTION("""COMPUTED_VALUE"""),"Flier")</f>
        <v>Flier</v>
      </c>
      <c r="O820" s="251" t="str">
        <f>IFERROR(__xludf.DUMMYFUNCTION("""COMPUTED_VALUE"""),"--")</f>
        <v>--</v>
      </c>
      <c r="P820" s="251" t="str">
        <f>IFERROR(__xludf.DUMMYFUNCTION("""COMPUTED_VALUE"""),"--")</f>
        <v>--</v>
      </c>
      <c r="Q820" s="251" t="str">
        <f>IFERROR(__xludf.DUMMYFUNCTION("""COMPUTED_VALUE"""),"--")</f>
        <v>--</v>
      </c>
      <c r="R820" s="251" t="str">
        <f>IFERROR(__xludf.DUMMYFUNCTION("""COMPUTED_VALUE"""),"Underdog")</f>
        <v>Underdog</v>
      </c>
      <c r="S820" s="251" t="str">
        <f>IFERROR(__xludf.DUMMYFUNCTION("""COMPUTED_VALUE"""),"--")</f>
        <v>--</v>
      </c>
      <c r="T820" s="251" t="str">
        <f>IFERROR(__xludf.DUMMYFUNCTION("""COMPUTED_VALUE"""),"--")</f>
        <v>--</v>
      </c>
      <c r="U820" s="251" t="str">
        <f>IFERROR(__xludf.DUMMYFUNCTION("""COMPUTED_VALUE"""),"--")</f>
        <v>--</v>
      </c>
      <c r="V820" s="251" t="str">
        <f>IFERROR(__xludf.DUMMYFUNCTION("""COMPUTED_VALUE"""),"--")</f>
        <v>--</v>
      </c>
      <c r="W820" s="251" t="str">
        <f>IFERROR(__xludf.DUMMYFUNCTION("""COMPUTED_VALUE"""),"--")</f>
        <v>--</v>
      </c>
      <c r="X820" s="251" t="str">
        <f>IFERROR(__xludf.DUMMYFUNCTION("""COMPUTED_VALUE"""),"--")</f>
        <v>--</v>
      </c>
      <c r="Y820" s="251" t="str">
        <f>IFERROR(__xludf.DUMMYFUNCTION("""COMPUTED_VALUE"""),"--")</f>
        <v>--</v>
      </c>
      <c r="Z820" s="251" t="str">
        <f>IFERROR(__xludf.DUMMYFUNCTION("""COMPUTED_VALUE"""),"--")</f>
        <v>--</v>
      </c>
      <c r="AA820" s="251" t="str">
        <f>IFERROR(__xludf.DUMMYFUNCTION("""COMPUTED_VALUE"""),"--")</f>
        <v>--</v>
      </c>
      <c r="AB820" s="251" t="str">
        <f>IFERROR(__xludf.DUMMYFUNCTION("""COMPUTED_VALUE"""),"--")</f>
        <v>--</v>
      </c>
      <c r="AC820" s="251" t="str">
        <f>IFERROR(__xludf.DUMMYFUNCTION("""COMPUTED_VALUE"""),"--")</f>
        <v>--</v>
      </c>
      <c r="AD820" s="251">
        <f>IFERROR(__xludf.DUMMYFUNCTION("""COMPUTED_VALUE"""),2.0)</f>
        <v>2</v>
      </c>
      <c r="AE820" s="251" t="str">
        <f>IFERROR(__xludf.DUMMYFUNCTION("""COMPUTED_VALUE"""),"Herbivore")</f>
        <v>Herbivore</v>
      </c>
    </row>
    <row r="821">
      <c r="A821" s="251" t="str">
        <f>IFERROR(__xludf.DUMMYFUNCTION("""COMPUTED_VALUE"""),"Altaria")</f>
        <v>Altaria</v>
      </c>
      <c r="B821" s="251" t="str">
        <f>IFERROR(__xludf.DUMMYFUNCTION("""COMPUTED_VALUE"""),"Dragon")</f>
        <v>Dragon</v>
      </c>
      <c r="C821" s="251" t="str">
        <f>IFERROR(__xludf.DUMMYFUNCTION("""COMPUTED_VALUE"""),"Flying")</f>
        <v>Flying</v>
      </c>
      <c r="D821" s="251">
        <f>IFERROR(__xludf.DUMMYFUNCTION("""COMPUTED_VALUE"""),9.0)</f>
        <v>9</v>
      </c>
      <c r="E821" s="251">
        <f>IFERROR(__xludf.DUMMYFUNCTION("""COMPUTED_VALUE"""),7.0)</f>
        <v>7</v>
      </c>
      <c r="F821" s="251">
        <f>IFERROR(__xludf.DUMMYFUNCTION("""COMPUTED_VALUE"""),9.0)</f>
        <v>9</v>
      </c>
      <c r="G821" s="251">
        <f>IFERROR(__xludf.DUMMYFUNCTION("""COMPUTED_VALUE"""),7.0)</f>
        <v>7</v>
      </c>
      <c r="H821" s="251">
        <f>IFERROR(__xludf.DUMMYFUNCTION("""COMPUTED_VALUE"""),11.0)</f>
        <v>11</v>
      </c>
      <c r="I821" s="251">
        <f>IFERROR(__xludf.DUMMYFUNCTION("""COMPUTED_VALUE"""),8.0)</f>
        <v>8</v>
      </c>
      <c r="J821" s="251">
        <f>IFERROR(__xludf.DUMMYFUNCTION("""COMPUTED_VALUE"""),4.0)</f>
        <v>4</v>
      </c>
      <c r="K821" s="251" t="str">
        <f>IFERROR(__xludf.DUMMYFUNCTION("""COMPUTED_VALUE"""),"Medium")</f>
        <v>Medium</v>
      </c>
      <c r="L821" s="251">
        <f>IFERROR(__xludf.DUMMYFUNCTION("""COMPUTED_VALUE"""),2.0)</f>
        <v>2</v>
      </c>
      <c r="M821" s="251" t="str">
        <f>IFERROR(__xludf.DUMMYFUNCTION("""COMPUTED_VALUE"""),"Mountain")</f>
        <v>Mountain</v>
      </c>
      <c r="N821" s="251" t="str">
        <f>IFERROR(__xludf.DUMMYFUNCTION("""COMPUTED_VALUE"""),"Flier")</f>
        <v>Flier</v>
      </c>
      <c r="O821" s="251" t="str">
        <f>IFERROR(__xludf.DUMMYFUNCTION("""COMPUTED_VALUE"""),"--")</f>
        <v>--</v>
      </c>
      <c r="P821" s="251" t="str">
        <f>IFERROR(__xludf.DUMMYFUNCTION("""COMPUTED_VALUE"""),"--")</f>
        <v>--</v>
      </c>
      <c r="Q821" s="251" t="str">
        <f>IFERROR(__xludf.DUMMYFUNCTION("""COMPUTED_VALUE"""),"--")</f>
        <v>--</v>
      </c>
      <c r="R821" s="251" t="str">
        <f>IFERROR(__xludf.DUMMYFUNCTION("""COMPUTED_VALUE"""),"--")</f>
        <v>--</v>
      </c>
      <c r="S821" s="251" t="str">
        <f>IFERROR(__xludf.DUMMYFUNCTION("""COMPUTED_VALUE"""),"--")</f>
        <v>--</v>
      </c>
      <c r="T821" s="251" t="str">
        <f>IFERROR(__xludf.DUMMYFUNCTION("""COMPUTED_VALUE"""),"--")</f>
        <v>--</v>
      </c>
      <c r="U821" s="251" t="str">
        <f>IFERROR(__xludf.DUMMYFUNCTION("""COMPUTED_VALUE"""),"--")</f>
        <v>--</v>
      </c>
      <c r="V821" s="251" t="str">
        <f>IFERROR(__xludf.DUMMYFUNCTION("""COMPUTED_VALUE"""),"--")</f>
        <v>--</v>
      </c>
      <c r="W821" s="251" t="str">
        <f>IFERROR(__xludf.DUMMYFUNCTION("""COMPUTED_VALUE"""),"--")</f>
        <v>--</v>
      </c>
      <c r="X821" s="251" t="str">
        <f>IFERROR(__xludf.DUMMYFUNCTION("""COMPUTED_VALUE"""),"--")</f>
        <v>--</v>
      </c>
      <c r="Y821" s="251" t="str">
        <f>IFERROR(__xludf.DUMMYFUNCTION("""COMPUTED_VALUE"""),"--")</f>
        <v>--</v>
      </c>
      <c r="Z821" s="251" t="str">
        <f>IFERROR(__xludf.DUMMYFUNCTION("""COMPUTED_VALUE"""),"--")</f>
        <v>--</v>
      </c>
      <c r="AA821" s="251" t="str">
        <f>IFERROR(__xludf.DUMMYFUNCTION("""COMPUTED_VALUE"""),"--")</f>
        <v>--</v>
      </c>
      <c r="AB821" s="251" t="str">
        <f>IFERROR(__xludf.DUMMYFUNCTION("""COMPUTED_VALUE"""),"--")</f>
        <v>--</v>
      </c>
      <c r="AC821" s="251" t="str">
        <f>IFERROR(__xludf.DUMMYFUNCTION("""COMPUTED_VALUE"""),"--")</f>
        <v>--</v>
      </c>
      <c r="AD821" s="251">
        <f>IFERROR(__xludf.DUMMYFUNCTION("""COMPUTED_VALUE"""),3.0)</f>
        <v>3</v>
      </c>
      <c r="AE821" s="251" t="str">
        <f>IFERROR(__xludf.DUMMYFUNCTION("""COMPUTED_VALUE"""),"Herbivore")</f>
        <v>Herbivore</v>
      </c>
    </row>
    <row r="822">
      <c r="A822" s="251" t="str">
        <f>IFERROR(__xludf.DUMMYFUNCTION("""COMPUTED_VALUE"""),"Bidoof")</f>
        <v>Bidoof</v>
      </c>
      <c r="B822" s="251" t="str">
        <f>IFERROR(__xludf.DUMMYFUNCTION("""COMPUTED_VALUE"""),"Normal")</f>
        <v>Normal</v>
      </c>
      <c r="C822" s="251" t="str">
        <f>IFERROR(__xludf.DUMMYFUNCTION("""COMPUTED_VALUE"""),"None")</f>
        <v>None</v>
      </c>
      <c r="D822" s="251">
        <f>IFERROR(__xludf.DUMMYFUNCTION("""COMPUTED_VALUE"""),7.0)</f>
        <v>7</v>
      </c>
      <c r="E822" s="251">
        <f>IFERROR(__xludf.DUMMYFUNCTION("""COMPUTED_VALUE"""),7.0)</f>
        <v>7</v>
      </c>
      <c r="F822" s="251">
        <f>IFERROR(__xludf.DUMMYFUNCTION("""COMPUTED_VALUE"""),4.0)</f>
        <v>4</v>
      </c>
      <c r="G822" s="251">
        <f>IFERROR(__xludf.DUMMYFUNCTION("""COMPUTED_VALUE"""),4.0)</f>
        <v>4</v>
      </c>
      <c r="H822" s="251">
        <f>IFERROR(__xludf.DUMMYFUNCTION("""COMPUTED_VALUE"""),4.0)</f>
        <v>4</v>
      </c>
      <c r="I822" s="251">
        <f>IFERROR(__xludf.DUMMYFUNCTION("""COMPUTED_VALUE"""),4.0)</f>
        <v>4</v>
      </c>
      <c r="J822" s="251">
        <f>IFERROR(__xludf.DUMMYFUNCTION("""COMPUTED_VALUE"""),1.0)</f>
        <v>1</v>
      </c>
      <c r="K822" s="251" t="str">
        <f>IFERROR(__xludf.DUMMYFUNCTION("""COMPUTED_VALUE"""),"Small")</f>
        <v>Small</v>
      </c>
      <c r="L822" s="251">
        <f>IFERROR(__xludf.DUMMYFUNCTION("""COMPUTED_VALUE"""),2.0)</f>
        <v>2</v>
      </c>
      <c r="M822" s="251" t="str">
        <f>IFERROR(__xludf.DUMMYFUNCTION("""COMPUTED_VALUE"""),"Grasslands, Wetlands")</f>
        <v>Grasslands, Wetlands</v>
      </c>
      <c r="N822" s="251" t="str">
        <f>IFERROR(__xludf.DUMMYFUNCTION("""COMPUTED_VALUE"""),"Swimmer")</f>
        <v>Swimmer</v>
      </c>
      <c r="O822" s="251" t="str">
        <f>IFERROR(__xludf.DUMMYFUNCTION("""COMPUTED_VALUE"""),"--")</f>
        <v>--</v>
      </c>
      <c r="P822" s="251" t="str">
        <f>IFERROR(__xludf.DUMMYFUNCTION("""COMPUTED_VALUE"""),"--")</f>
        <v>--</v>
      </c>
      <c r="Q822" s="251" t="str">
        <f>IFERROR(__xludf.DUMMYFUNCTION("""COMPUTED_VALUE"""),"--")</f>
        <v>--</v>
      </c>
      <c r="R822" s="251" t="str">
        <f>IFERROR(__xludf.DUMMYFUNCTION("""COMPUTED_VALUE"""),"Underdog")</f>
        <v>Underdog</v>
      </c>
      <c r="S822" s="251" t="str">
        <f>IFERROR(__xludf.DUMMYFUNCTION("""COMPUTED_VALUE"""),"--")</f>
        <v>--</v>
      </c>
      <c r="T822" s="251" t="str">
        <f>IFERROR(__xludf.DUMMYFUNCTION("""COMPUTED_VALUE"""),"--")</f>
        <v>--</v>
      </c>
      <c r="U822" s="251" t="str">
        <f>IFERROR(__xludf.DUMMYFUNCTION("""COMPUTED_VALUE"""),"--")</f>
        <v>--</v>
      </c>
      <c r="V822" s="251" t="str">
        <f>IFERROR(__xludf.DUMMYFUNCTION("""COMPUTED_VALUE"""),"--")</f>
        <v>--</v>
      </c>
      <c r="W822" s="251" t="str">
        <f>IFERROR(__xludf.DUMMYFUNCTION("""COMPUTED_VALUE"""),"--")</f>
        <v>--</v>
      </c>
      <c r="X822" s="251" t="str">
        <f>IFERROR(__xludf.DUMMYFUNCTION("""COMPUTED_VALUE"""),"--")</f>
        <v>--</v>
      </c>
      <c r="Y822" s="251" t="str">
        <f>IFERROR(__xludf.DUMMYFUNCTION("""COMPUTED_VALUE"""),"--")</f>
        <v>--</v>
      </c>
      <c r="Z822" s="251" t="str">
        <f>IFERROR(__xludf.DUMMYFUNCTION("""COMPUTED_VALUE"""),"--")</f>
        <v>--</v>
      </c>
      <c r="AA822" s="251" t="str">
        <f>IFERROR(__xludf.DUMMYFUNCTION("""COMPUTED_VALUE"""),"--")</f>
        <v>--</v>
      </c>
      <c r="AB822" s="251" t="str">
        <f>IFERROR(__xludf.DUMMYFUNCTION("""COMPUTED_VALUE"""),"--")</f>
        <v>--</v>
      </c>
      <c r="AC822" s="251" t="str">
        <f>IFERROR(__xludf.DUMMYFUNCTION("""COMPUTED_VALUE"""),"--")</f>
        <v>--</v>
      </c>
      <c r="AD822" s="251">
        <f>IFERROR(__xludf.DUMMYFUNCTION("""COMPUTED_VALUE"""),2.0)</f>
        <v>2</v>
      </c>
      <c r="AE822" s="251" t="str">
        <f>IFERROR(__xludf.DUMMYFUNCTION("""COMPUTED_VALUE"""),"Herbivore")</f>
        <v>Herbivore</v>
      </c>
    </row>
    <row r="823">
      <c r="A823" s="251" t="str">
        <f>IFERROR(__xludf.DUMMYFUNCTION("""COMPUTED_VALUE"""),"Bibarel")</f>
        <v>Bibarel</v>
      </c>
      <c r="B823" s="251" t="str">
        <f>IFERROR(__xludf.DUMMYFUNCTION("""COMPUTED_VALUE"""),"Normal")</f>
        <v>Normal</v>
      </c>
      <c r="C823" s="251" t="str">
        <f>IFERROR(__xludf.DUMMYFUNCTION("""COMPUTED_VALUE"""),"Water")</f>
        <v>Water</v>
      </c>
      <c r="D823" s="251">
        <f>IFERROR(__xludf.DUMMYFUNCTION("""COMPUTED_VALUE"""),8.0)</f>
        <v>8</v>
      </c>
      <c r="E823" s="251">
        <f>IFERROR(__xludf.DUMMYFUNCTION("""COMPUTED_VALUE"""),9.0)</f>
        <v>9</v>
      </c>
      <c r="F823" s="251">
        <f>IFERROR(__xludf.DUMMYFUNCTION("""COMPUTED_VALUE"""),6.0)</f>
        <v>6</v>
      </c>
      <c r="G823" s="251">
        <f>IFERROR(__xludf.DUMMYFUNCTION("""COMPUTED_VALUE"""),6.0)</f>
        <v>6</v>
      </c>
      <c r="H823" s="251">
        <f>IFERROR(__xludf.DUMMYFUNCTION("""COMPUTED_VALUE"""),6.0)</f>
        <v>6</v>
      </c>
      <c r="I823" s="251">
        <f>IFERROR(__xludf.DUMMYFUNCTION("""COMPUTED_VALUE"""),6.0)</f>
        <v>6</v>
      </c>
      <c r="J823" s="251">
        <f>IFERROR(__xludf.DUMMYFUNCTION("""COMPUTED_VALUE"""),3.0)</f>
        <v>3</v>
      </c>
      <c r="K823" s="251" t="str">
        <f>IFERROR(__xludf.DUMMYFUNCTION("""COMPUTED_VALUE"""),"Medium")</f>
        <v>Medium</v>
      </c>
      <c r="L823" s="251">
        <f>IFERROR(__xludf.DUMMYFUNCTION("""COMPUTED_VALUE"""),3.0)</f>
        <v>3</v>
      </c>
      <c r="M823" s="251" t="str">
        <f>IFERROR(__xludf.DUMMYFUNCTION("""COMPUTED_VALUE"""),"Grasslands, Wetlands")</f>
        <v>Grasslands, Wetlands</v>
      </c>
      <c r="N823" s="251" t="str">
        <f>IFERROR(__xludf.DUMMYFUNCTION("""COMPUTED_VALUE"""),"Swimmer")</f>
        <v>Swimmer</v>
      </c>
      <c r="O823" s="251" t="str">
        <f>IFERROR(__xludf.DUMMYFUNCTION("""COMPUTED_VALUE"""),"--")</f>
        <v>--</v>
      </c>
      <c r="P823" s="251" t="str">
        <f>IFERROR(__xludf.DUMMYFUNCTION("""COMPUTED_VALUE"""),"--")</f>
        <v>--</v>
      </c>
      <c r="Q823" s="251" t="str">
        <f>IFERROR(__xludf.DUMMYFUNCTION("""COMPUTED_VALUE"""),"--")</f>
        <v>--</v>
      </c>
      <c r="R823" s="251" t="str">
        <f>IFERROR(__xludf.DUMMYFUNCTION("""COMPUTED_VALUE"""),"--")</f>
        <v>--</v>
      </c>
      <c r="S823" s="251" t="str">
        <f>IFERROR(__xludf.DUMMYFUNCTION("""COMPUTED_VALUE"""),"--")</f>
        <v>--</v>
      </c>
      <c r="T823" s="251" t="str">
        <f>IFERROR(__xludf.DUMMYFUNCTION("""COMPUTED_VALUE"""),"--")</f>
        <v>--</v>
      </c>
      <c r="U823" s="251" t="str">
        <f>IFERROR(__xludf.DUMMYFUNCTION("""COMPUTED_VALUE"""),"--")</f>
        <v>--</v>
      </c>
      <c r="V823" s="251" t="str">
        <f>IFERROR(__xludf.DUMMYFUNCTION("""COMPUTED_VALUE"""),"--")</f>
        <v>--</v>
      </c>
      <c r="W823" s="251" t="str">
        <f>IFERROR(__xludf.DUMMYFUNCTION("""COMPUTED_VALUE"""),"--")</f>
        <v>--</v>
      </c>
      <c r="X823" s="251" t="str">
        <f>IFERROR(__xludf.DUMMYFUNCTION("""COMPUTED_VALUE"""),"--")</f>
        <v>--</v>
      </c>
      <c r="Y823" s="251" t="str">
        <f>IFERROR(__xludf.DUMMYFUNCTION("""COMPUTED_VALUE"""),"--")</f>
        <v>--</v>
      </c>
      <c r="Z823" s="251" t="str">
        <f>IFERROR(__xludf.DUMMYFUNCTION("""COMPUTED_VALUE"""),"--")</f>
        <v>--</v>
      </c>
      <c r="AA823" s="251" t="str">
        <f>IFERROR(__xludf.DUMMYFUNCTION("""COMPUTED_VALUE"""),"--")</f>
        <v>--</v>
      </c>
      <c r="AB823" s="251" t="str">
        <f>IFERROR(__xludf.DUMMYFUNCTION("""COMPUTED_VALUE"""),"--")</f>
        <v>--</v>
      </c>
      <c r="AC823" s="251" t="str">
        <f>IFERROR(__xludf.DUMMYFUNCTION("""COMPUTED_VALUE"""),"--")</f>
        <v>--</v>
      </c>
      <c r="AD823" s="251">
        <f>IFERROR(__xludf.DUMMYFUNCTION("""COMPUTED_VALUE"""),3.0)</f>
        <v>3</v>
      </c>
      <c r="AE823" s="251" t="str">
        <f>IFERROR(__xludf.DUMMYFUNCTION("""COMPUTED_VALUE"""),"Herbivore")</f>
        <v>Herbivore</v>
      </c>
    </row>
    <row r="824">
      <c r="A824" s="251" t="str">
        <f>IFERROR(__xludf.DUMMYFUNCTION("""COMPUTED_VALUE"""),"Buneary")</f>
        <v>Buneary</v>
      </c>
      <c r="B824" s="251" t="str">
        <f>IFERROR(__xludf.DUMMYFUNCTION("""COMPUTED_VALUE"""),"Normal")</f>
        <v>Normal</v>
      </c>
      <c r="C824" s="251" t="str">
        <f>IFERROR(__xludf.DUMMYFUNCTION("""COMPUTED_VALUE"""),"None")</f>
        <v>None</v>
      </c>
      <c r="D824" s="251">
        <f>IFERROR(__xludf.DUMMYFUNCTION("""COMPUTED_VALUE"""),6.0)</f>
        <v>6</v>
      </c>
      <c r="E824" s="251">
        <f>IFERROR(__xludf.DUMMYFUNCTION("""COMPUTED_VALUE"""),7.0)</f>
        <v>7</v>
      </c>
      <c r="F824" s="251">
        <f>IFERROR(__xludf.DUMMYFUNCTION("""COMPUTED_VALUE"""),4.0)</f>
        <v>4</v>
      </c>
      <c r="G824" s="251">
        <f>IFERROR(__xludf.DUMMYFUNCTION("""COMPUTED_VALUE"""),5.0)</f>
        <v>5</v>
      </c>
      <c r="H824" s="251">
        <f>IFERROR(__xludf.DUMMYFUNCTION("""COMPUTED_VALUE"""),6.0)</f>
        <v>6</v>
      </c>
      <c r="I824" s="251">
        <f>IFERROR(__xludf.DUMMYFUNCTION("""COMPUTED_VALUE"""),9.0)</f>
        <v>9</v>
      </c>
      <c r="J824" s="251">
        <f>IFERROR(__xludf.DUMMYFUNCTION("""COMPUTED_VALUE"""),1.0)</f>
        <v>1</v>
      </c>
      <c r="K824" s="251" t="str">
        <f>IFERROR(__xludf.DUMMYFUNCTION("""COMPUTED_VALUE"""),"Small")</f>
        <v>Small</v>
      </c>
      <c r="L824" s="251">
        <f>IFERROR(__xludf.DUMMYFUNCTION("""COMPUTED_VALUE"""),1.0)</f>
        <v>1</v>
      </c>
      <c r="M824" s="251" t="str">
        <f>IFERROR(__xludf.DUMMYFUNCTION("""COMPUTED_VALUE"""),"Grasslands")</f>
        <v>Grasslands</v>
      </c>
      <c r="N824" s="251" t="str">
        <f>IFERROR(__xludf.DUMMYFUNCTION("""COMPUTED_VALUE"""),"Jumper")</f>
        <v>Jumper</v>
      </c>
      <c r="O824" s="251" t="str">
        <f>IFERROR(__xludf.DUMMYFUNCTION("""COMPUTED_VALUE"""),"--")</f>
        <v>--</v>
      </c>
      <c r="P824" s="251" t="str">
        <f>IFERROR(__xludf.DUMMYFUNCTION("""COMPUTED_VALUE"""),"--")</f>
        <v>--</v>
      </c>
      <c r="Q824" s="251" t="str">
        <f>IFERROR(__xludf.DUMMYFUNCTION("""COMPUTED_VALUE"""),"--")</f>
        <v>--</v>
      </c>
      <c r="R824" s="251" t="str">
        <f>IFERROR(__xludf.DUMMYFUNCTION("""COMPUTED_VALUE"""),"Underdog")</f>
        <v>Underdog</v>
      </c>
      <c r="S824" s="251" t="str">
        <f>IFERROR(__xludf.DUMMYFUNCTION("""COMPUTED_VALUE"""),"--")</f>
        <v>--</v>
      </c>
      <c r="T824" s="251" t="str">
        <f>IFERROR(__xludf.DUMMYFUNCTION("""COMPUTED_VALUE"""),"--")</f>
        <v>--</v>
      </c>
      <c r="U824" s="251" t="str">
        <f>IFERROR(__xludf.DUMMYFUNCTION("""COMPUTED_VALUE"""),"--")</f>
        <v>--</v>
      </c>
      <c r="V824" s="251" t="str">
        <f>IFERROR(__xludf.DUMMYFUNCTION("""COMPUTED_VALUE"""),"--")</f>
        <v>--</v>
      </c>
      <c r="W824" s="251" t="str">
        <f>IFERROR(__xludf.DUMMYFUNCTION("""COMPUTED_VALUE"""),"--")</f>
        <v>--</v>
      </c>
      <c r="X824" s="251" t="str">
        <f>IFERROR(__xludf.DUMMYFUNCTION("""COMPUTED_VALUE"""),"--")</f>
        <v>--</v>
      </c>
      <c r="Y824" s="251" t="str">
        <f>IFERROR(__xludf.DUMMYFUNCTION("""COMPUTED_VALUE"""),"--")</f>
        <v>--</v>
      </c>
      <c r="Z824" s="251" t="str">
        <f>IFERROR(__xludf.DUMMYFUNCTION("""COMPUTED_VALUE"""),"--")</f>
        <v>--</v>
      </c>
      <c r="AA824" s="251" t="str">
        <f>IFERROR(__xludf.DUMMYFUNCTION("""COMPUTED_VALUE"""),"--")</f>
        <v>--</v>
      </c>
      <c r="AB824" s="251" t="str">
        <f>IFERROR(__xludf.DUMMYFUNCTION("""COMPUTED_VALUE"""),"--")</f>
        <v>--</v>
      </c>
      <c r="AC824" s="251" t="str">
        <f>IFERROR(__xludf.DUMMYFUNCTION("""COMPUTED_VALUE"""),"--")</f>
        <v>--</v>
      </c>
      <c r="AD824" s="251">
        <f>IFERROR(__xludf.DUMMYFUNCTION("""COMPUTED_VALUE"""),2.0)</f>
        <v>2</v>
      </c>
      <c r="AE824" s="251" t="str">
        <f>IFERROR(__xludf.DUMMYFUNCTION("""COMPUTED_VALUE"""),"Herbivore")</f>
        <v>Herbivore</v>
      </c>
    </row>
    <row r="825">
      <c r="A825" s="251" t="str">
        <f>IFERROR(__xludf.DUMMYFUNCTION("""COMPUTED_VALUE"""),"Lopunny")</f>
        <v>Lopunny</v>
      </c>
      <c r="B825" s="251" t="str">
        <f>IFERROR(__xludf.DUMMYFUNCTION("""COMPUTED_VALUE"""),"Normal")</f>
        <v>Normal</v>
      </c>
      <c r="C825" s="251" t="str">
        <f>IFERROR(__xludf.DUMMYFUNCTION("""COMPUTED_VALUE"""),"None")</f>
        <v>None</v>
      </c>
      <c r="D825" s="251">
        <f>IFERROR(__xludf.DUMMYFUNCTION("""COMPUTED_VALUE"""),7.0)</f>
        <v>7</v>
      </c>
      <c r="E825" s="251">
        <f>IFERROR(__xludf.DUMMYFUNCTION("""COMPUTED_VALUE"""),9.0)</f>
        <v>9</v>
      </c>
      <c r="F825" s="251">
        <f>IFERROR(__xludf.DUMMYFUNCTION("""COMPUTED_VALUE"""),8.0)</f>
        <v>8</v>
      </c>
      <c r="G825" s="251">
        <f>IFERROR(__xludf.DUMMYFUNCTION("""COMPUTED_VALUE"""),5.0)</f>
        <v>5</v>
      </c>
      <c r="H825" s="251">
        <f>IFERROR(__xludf.DUMMYFUNCTION("""COMPUTED_VALUE"""),10.0)</f>
        <v>10</v>
      </c>
      <c r="I825" s="251">
        <f>IFERROR(__xludf.DUMMYFUNCTION("""COMPUTED_VALUE"""),12.0)</f>
        <v>12</v>
      </c>
      <c r="J825" s="251">
        <f>IFERROR(__xludf.DUMMYFUNCTION("""COMPUTED_VALUE"""),2.0)</f>
        <v>2</v>
      </c>
      <c r="K825" s="251" t="str">
        <f>IFERROR(__xludf.DUMMYFUNCTION("""COMPUTED_VALUE"""),"Medium")</f>
        <v>Medium</v>
      </c>
      <c r="L825" s="251">
        <f>IFERROR(__xludf.DUMMYFUNCTION("""COMPUTED_VALUE"""),3.0)</f>
        <v>3</v>
      </c>
      <c r="M825" s="251" t="str">
        <f>IFERROR(__xludf.DUMMYFUNCTION("""COMPUTED_VALUE"""),"Grasslands")</f>
        <v>Grasslands</v>
      </c>
      <c r="N825" s="251" t="str">
        <f>IFERROR(__xludf.DUMMYFUNCTION("""COMPUTED_VALUE"""),"Jumper")</f>
        <v>Jumper</v>
      </c>
      <c r="O825" s="251" t="str">
        <f>IFERROR(__xludf.DUMMYFUNCTION("""COMPUTED_VALUE"""),"--")</f>
        <v>--</v>
      </c>
      <c r="P825" s="251" t="str">
        <f>IFERROR(__xludf.DUMMYFUNCTION("""COMPUTED_VALUE"""),"--")</f>
        <v>--</v>
      </c>
      <c r="Q825" s="251" t="str">
        <f>IFERROR(__xludf.DUMMYFUNCTION("""COMPUTED_VALUE"""),"--")</f>
        <v>--</v>
      </c>
      <c r="R825" s="251" t="str">
        <f>IFERROR(__xludf.DUMMYFUNCTION("""COMPUTED_VALUE"""),"--")</f>
        <v>--</v>
      </c>
      <c r="S825" s="251" t="str">
        <f>IFERROR(__xludf.DUMMYFUNCTION("""COMPUTED_VALUE"""),"--")</f>
        <v>--</v>
      </c>
      <c r="T825" s="251" t="str">
        <f>IFERROR(__xludf.DUMMYFUNCTION("""COMPUTED_VALUE"""),"--")</f>
        <v>--</v>
      </c>
      <c r="U825" s="251" t="str">
        <f>IFERROR(__xludf.DUMMYFUNCTION("""COMPUTED_VALUE"""),"--")</f>
        <v>--</v>
      </c>
      <c r="V825" s="251" t="str">
        <f>IFERROR(__xludf.DUMMYFUNCTION("""COMPUTED_VALUE"""),"--")</f>
        <v>--</v>
      </c>
      <c r="W825" s="251" t="str">
        <f>IFERROR(__xludf.DUMMYFUNCTION("""COMPUTED_VALUE"""),"--")</f>
        <v>--</v>
      </c>
      <c r="X825" s="251" t="str">
        <f>IFERROR(__xludf.DUMMYFUNCTION("""COMPUTED_VALUE"""),"--")</f>
        <v>--</v>
      </c>
      <c r="Y825" s="251" t="str">
        <f>IFERROR(__xludf.DUMMYFUNCTION("""COMPUTED_VALUE"""),"--")</f>
        <v>--</v>
      </c>
      <c r="Z825" s="251" t="str">
        <f>IFERROR(__xludf.DUMMYFUNCTION("""COMPUTED_VALUE"""),"--")</f>
        <v>--</v>
      </c>
      <c r="AA825" s="251" t="str">
        <f>IFERROR(__xludf.DUMMYFUNCTION("""COMPUTED_VALUE"""),"--")</f>
        <v>--</v>
      </c>
      <c r="AB825" s="251" t="str">
        <f>IFERROR(__xludf.DUMMYFUNCTION("""COMPUTED_VALUE"""),"--")</f>
        <v>--</v>
      </c>
      <c r="AC825" s="251" t="str">
        <f>IFERROR(__xludf.DUMMYFUNCTION("""COMPUTED_VALUE"""),"--")</f>
        <v>--</v>
      </c>
      <c r="AD825" s="251">
        <f>IFERROR(__xludf.DUMMYFUNCTION("""COMPUTED_VALUE"""),3.0)</f>
        <v>3</v>
      </c>
      <c r="AE825" s="251" t="str">
        <f>IFERROR(__xludf.DUMMYFUNCTION("""COMPUTED_VALUE"""),"Herbivore")</f>
        <v>Herbivore</v>
      </c>
    </row>
    <row r="826">
      <c r="A826" s="251" t="str">
        <f>IFERROR(__xludf.DUMMYFUNCTION("""COMPUTED_VALUE"""),"Glameow")</f>
        <v>Glameow</v>
      </c>
      <c r="B826" s="251" t="str">
        <f>IFERROR(__xludf.DUMMYFUNCTION("""COMPUTED_VALUE"""),"Normal")</f>
        <v>Normal</v>
      </c>
      <c r="C826" s="251" t="str">
        <f>IFERROR(__xludf.DUMMYFUNCTION("""COMPUTED_VALUE"""),"None")</f>
        <v>None</v>
      </c>
      <c r="D826" s="251">
        <f>IFERROR(__xludf.DUMMYFUNCTION("""COMPUTED_VALUE"""),5.0)</f>
        <v>5</v>
      </c>
      <c r="E826" s="251">
        <f>IFERROR(__xludf.DUMMYFUNCTION("""COMPUTED_VALUE"""),6.0)</f>
        <v>6</v>
      </c>
      <c r="F826" s="251">
        <f>IFERROR(__xludf.DUMMYFUNCTION("""COMPUTED_VALUE"""),4.0)</f>
        <v>4</v>
      </c>
      <c r="G826" s="251">
        <f>IFERROR(__xludf.DUMMYFUNCTION("""COMPUTED_VALUE"""),4.0)</f>
        <v>4</v>
      </c>
      <c r="H826" s="251">
        <f>IFERROR(__xludf.DUMMYFUNCTION("""COMPUTED_VALUE"""),4.0)</f>
        <v>4</v>
      </c>
      <c r="I826" s="251">
        <f>IFERROR(__xludf.DUMMYFUNCTION("""COMPUTED_VALUE"""),9.0)</f>
        <v>9</v>
      </c>
      <c r="J826" s="251">
        <f>IFERROR(__xludf.DUMMYFUNCTION("""COMPUTED_VALUE"""),1.0)</f>
        <v>1</v>
      </c>
      <c r="K826" s="251" t="str">
        <f>IFERROR(__xludf.DUMMYFUNCTION("""COMPUTED_VALUE"""),"Small")</f>
        <v>Small</v>
      </c>
      <c r="L826" s="251">
        <f>IFERROR(__xludf.DUMMYFUNCTION("""COMPUTED_VALUE"""),1.0)</f>
        <v>1</v>
      </c>
      <c r="M826" s="251" t="str">
        <f>IFERROR(__xludf.DUMMYFUNCTION("""COMPUTED_VALUE"""),"Grasslands, Urban")</f>
        <v>Grasslands, Urban</v>
      </c>
      <c r="N826" s="251" t="str">
        <f>IFERROR(__xludf.DUMMYFUNCTION("""COMPUTED_VALUE"""),"Quick")</f>
        <v>Quick</v>
      </c>
      <c r="O826" s="251" t="str">
        <f>IFERROR(__xludf.DUMMYFUNCTION("""COMPUTED_VALUE"""),"--")</f>
        <v>--</v>
      </c>
      <c r="P826" s="251" t="str">
        <f>IFERROR(__xludf.DUMMYFUNCTION("""COMPUTED_VALUE"""),"--")</f>
        <v>--</v>
      </c>
      <c r="Q826" s="251" t="str">
        <f>IFERROR(__xludf.DUMMYFUNCTION("""COMPUTED_VALUE"""),"--")</f>
        <v>--</v>
      </c>
      <c r="R826" s="251" t="str">
        <f>IFERROR(__xludf.DUMMYFUNCTION("""COMPUTED_VALUE"""),"Underdog")</f>
        <v>Underdog</v>
      </c>
      <c r="S826" s="251" t="str">
        <f>IFERROR(__xludf.DUMMYFUNCTION("""COMPUTED_VALUE"""),"--")</f>
        <v>--</v>
      </c>
      <c r="T826" s="251" t="str">
        <f>IFERROR(__xludf.DUMMYFUNCTION("""COMPUTED_VALUE"""),"--")</f>
        <v>--</v>
      </c>
      <c r="U826" s="251" t="str">
        <f>IFERROR(__xludf.DUMMYFUNCTION("""COMPUTED_VALUE"""),"--")</f>
        <v>--</v>
      </c>
      <c r="V826" s="251" t="str">
        <f>IFERROR(__xludf.DUMMYFUNCTION("""COMPUTED_VALUE"""),"--")</f>
        <v>--</v>
      </c>
      <c r="W826" s="251" t="str">
        <f>IFERROR(__xludf.DUMMYFUNCTION("""COMPUTED_VALUE"""),"--")</f>
        <v>--</v>
      </c>
      <c r="X826" s="251" t="str">
        <f>IFERROR(__xludf.DUMMYFUNCTION("""COMPUTED_VALUE"""),"--")</f>
        <v>--</v>
      </c>
      <c r="Y826" s="251" t="str">
        <f>IFERROR(__xludf.DUMMYFUNCTION("""COMPUTED_VALUE"""),"--")</f>
        <v>--</v>
      </c>
      <c r="Z826" s="251" t="str">
        <f>IFERROR(__xludf.DUMMYFUNCTION("""COMPUTED_VALUE"""),"--")</f>
        <v>--</v>
      </c>
      <c r="AA826" s="251" t="str">
        <f>IFERROR(__xludf.DUMMYFUNCTION("""COMPUTED_VALUE"""),"--")</f>
        <v>--</v>
      </c>
      <c r="AB826" s="251" t="str">
        <f>IFERROR(__xludf.DUMMYFUNCTION("""COMPUTED_VALUE"""),"--")</f>
        <v>--</v>
      </c>
      <c r="AC826" s="251" t="str">
        <f>IFERROR(__xludf.DUMMYFUNCTION("""COMPUTED_VALUE"""),"--")</f>
        <v>--</v>
      </c>
      <c r="AD826" s="251">
        <f>IFERROR(__xludf.DUMMYFUNCTION("""COMPUTED_VALUE"""),2.0)</f>
        <v>2</v>
      </c>
      <c r="AE826" s="251" t="str">
        <f>IFERROR(__xludf.DUMMYFUNCTION("""COMPUTED_VALUE"""),"Carnivore")</f>
        <v>Carnivore</v>
      </c>
    </row>
    <row r="827">
      <c r="A827" s="251" t="str">
        <f>IFERROR(__xludf.DUMMYFUNCTION("""COMPUTED_VALUE"""),"Purugly")</f>
        <v>Purugly</v>
      </c>
      <c r="B827" s="251" t="str">
        <f>IFERROR(__xludf.DUMMYFUNCTION("""COMPUTED_VALUE"""),"Normal")</f>
        <v>Normal</v>
      </c>
      <c r="C827" s="251" t="str">
        <f>IFERROR(__xludf.DUMMYFUNCTION("""COMPUTED_VALUE"""),"None")</f>
        <v>None</v>
      </c>
      <c r="D827" s="251">
        <f>IFERROR(__xludf.DUMMYFUNCTION("""COMPUTED_VALUE"""),7.0)</f>
        <v>7</v>
      </c>
      <c r="E827" s="251">
        <f>IFERROR(__xludf.DUMMYFUNCTION("""COMPUTED_VALUE"""),8.0)</f>
        <v>8</v>
      </c>
      <c r="F827" s="251">
        <f>IFERROR(__xludf.DUMMYFUNCTION("""COMPUTED_VALUE"""),6.0)</f>
        <v>6</v>
      </c>
      <c r="G827" s="251">
        <f>IFERROR(__xludf.DUMMYFUNCTION("""COMPUTED_VALUE"""),6.0)</f>
        <v>6</v>
      </c>
      <c r="H827" s="251">
        <f>IFERROR(__xludf.DUMMYFUNCTION("""COMPUTED_VALUE"""),6.0)</f>
        <v>6</v>
      </c>
      <c r="I827" s="251">
        <f>IFERROR(__xludf.DUMMYFUNCTION("""COMPUTED_VALUE"""),11.0)</f>
        <v>11</v>
      </c>
      <c r="J827" s="251">
        <f>IFERROR(__xludf.DUMMYFUNCTION("""COMPUTED_VALUE"""),2.0)</f>
        <v>2</v>
      </c>
      <c r="K827" s="251" t="str">
        <f>IFERROR(__xludf.DUMMYFUNCTION("""COMPUTED_VALUE"""),"Medium")</f>
        <v>Medium</v>
      </c>
      <c r="L827" s="251">
        <f>IFERROR(__xludf.DUMMYFUNCTION("""COMPUTED_VALUE"""),3.0)</f>
        <v>3</v>
      </c>
      <c r="M827" s="251" t="str">
        <f>IFERROR(__xludf.DUMMYFUNCTION("""COMPUTED_VALUE"""),"Grasslands, Urban")</f>
        <v>Grasslands, Urban</v>
      </c>
      <c r="N827" s="251" t="str">
        <f>IFERROR(__xludf.DUMMYFUNCTION("""COMPUTED_VALUE"""),"Quick")</f>
        <v>Quick</v>
      </c>
      <c r="O827" s="251" t="str">
        <f>IFERROR(__xludf.DUMMYFUNCTION("""COMPUTED_VALUE"""),"--")</f>
        <v>--</v>
      </c>
      <c r="P827" s="251" t="str">
        <f>IFERROR(__xludf.DUMMYFUNCTION("""COMPUTED_VALUE"""),"--")</f>
        <v>--</v>
      </c>
      <c r="Q827" s="251" t="str">
        <f>IFERROR(__xludf.DUMMYFUNCTION("""COMPUTED_VALUE"""),"--")</f>
        <v>--</v>
      </c>
      <c r="R827" s="251" t="str">
        <f>IFERROR(__xludf.DUMMYFUNCTION("""COMPUTED_VALUE"""),"Underdog")</f>
        <v>Underdog</v>
      </c>
      <c r="S827" s="251" t="str">
        <f>IFERROR(__xludf.DUMMYFUNCTION("""COMPUTED_VALUE"""),"--")</f>
        <v>--</v>
      </c>
      <c r="T827" s="251" t="str">
        <f>IFERROR(__xludf.DUMMYFUNCTION("""COMPUTED_VALUE"""),"--")</f>
        <v>--</v>
      </c>
      <c r="U827" s="251" t="str">
        <f>IFERROR(__xludf.DUMMYFUNCTION("""COMPUTED_VALUE"""),"--")</f>
        <v>--</v>
      </c>
      <c r="V827" s="251" t="str">
        <f>IFERROR(__xludf.DUMMYFUNCTION("""COMPUTED_VALUE"""),"Tracker")</f>
        <v>Tracker</v>
      </c>
      <c r="W827" s="251" t="str">
        <f>IFERROR(__xludf.DUMMYFUNCTION("""COMPUTED_VALUE"""),"--")</f>
        <v>--</v>
      </c>
      <c r="X827" s="251" t="str">
        <f>IFERROR(__xludf.DUMMYFUNCTION("""COMPUTED_VALUE"""),"--")</f>
        <v>--</v>
      </c>
      <c r="Y827" s="251" t="str">
        <f>IFERROR(__xludf.DUMMYFUNCTION("""COMPUTED_VALUE"""),"--")</f>
        <v>--</v>
      </c>
      <c r="Z827" s="251" t="str">
        <f>IFERROR(__xludf.DUMMYFUNCTION("""COMPUTED_VALUE"""),"--")</f>
        <v>--</v>
      </c>
      <c r="AA827" s="251" t="str">
        <f>IFERROR(__xludf.DUMMYFUNCTION("""COMPUTED_VALUE"""),"--")</f>
        <v>--</v>
      </c>
      <c r="AB827" s="251" t="str">
        <f>IFERROR(__xludf.DUMMYFUNCTION("""COMPUTED_VALUE"""),"--")</f>
        <v>--</v>
      </c>
      <c r="AC827" s="251" t="str">
        <f>IFERROR(__xludf.DUMMYFUNCTION("""COMPUTED_VALUE"""),"--")</f>
        <v>--</v>
      </c>
      <c r="AD827" s="251">
        <f>IFERROR(__xludf.DUMMYFUNCTION("""COMPUTED_VALUE"""),3.0)</f>
        <v>3</v>
      </c>
      <c r="AE827" s="251" t="str">
        <f>IFERROR(__xludf.DUMMYFUNCTION("""COMPUTED_VALUE"""),"Carnivore")</f>
        <v>Carnivore</v>
      </c>
    </row>
    <row r="828">
      <c r="A828" s="251" t="str">
        <f>IFERROR(__xludf.DUMMYFUNCTION("""COMPUTED_VALUE"""),"Patrat")</f>
        <v>Patrat</v>
      </c>
      <c r="B828" s="251" t="str">
        <f>IFERROR(__xludf.DUMMYFUNCTION("""COMPUTED_VALUE"""),"Normal")</f>
        <v>Normal</v>
      </c>
      <c r="C828" s="251" t="str">
        <f>IFERROR(__xludf.DUMMYFUNCTION("""COMPUTED_VALUE"""),"None")</f>
        <v>None</v>
      </c>
      <c r="D828" s="251">
        <f>IFERROR(__xludf.DUMMYFUNCTION("""COMPUTED_VALUE"""),6.0)</f>
        <v>6</v>
      </c>
      <c r="E828" s="251">
        <f>IFERROR(__xludf.DUMMYFUNCTION("""COMPUTED_VALUE"""),6.0)</f>
        <v>6</v>
      </c>
      <c r="F828" s="251">
        <f>IFERROR(__xludf.DUMMYFUNCTION("""COMPUTED_VALUE"""),4.0)</f>
        <v>4</v>
      </c>
      <c r="G828" s="251">
        <f>IFERROR(__xludf.DUMMYFUNCTION("""COMPUTED_VALUE"""),4.0)</f>
        <v>4</v>
      </c>
      <c r="H828" s="251">
        <f>IFERROR(__xludf.DUMMYFUNCTION("""COMPUTED_VALUE"""),5.0)</f>
        <v>5</v>
      </c>
      <c r="I828" s="251">
        <f>IFERROR(__xludf.DUMMYFUNCTION("""COMPUTED_VALUE"""),5.0)</f>
        <v>5</v>
      </c>
      <c r="J828" s="251">
        <f>IFERROR(__xludf.DUMMYFUNCTION("""COMPUTED_VALUE"""),2.0)</f>
        <v>2</v>
      </c>
      <c r="K828" s="251" t="str">
        <f>IFERROR(__xludf.DUMMYFUNCTION("""COMPUTED_VALUE"""),"Small")</f>
        <v>Small</v>
      </c>
      <c r="L828" s="251">
        <f>IFERROR(__xludf.DUMMYFUNCTION("""COMPUTED_VALUE"""),2.0)</f>
        <v>2</v>
      </c>
      <c r="M828" s="251" t="str">
        <f>IFERROR(__xludf.DUMMYFUNCTION("""COMPUTED_VALUE"""),"Grasslands")</f>
        <v>Grasslands</v>
      </c>
      <c r="N828" s="251" t="str">
        <f>IFERROR(__xludf.DUMMYFUNCTION("""COMPUTED_VALUE"""),"--")</f>
        <v>--</v>
      </c>
      <c r="O828" s="251" t="str">
        <f>IFERROR(__xludf.DUMMYFUNCTION("""COMPUTED_VALUE"""),"--")</f>
        <v>--</v>
      </c>
      <c r="P828" s="251" t="str">
        <f>IFERROR(__xludf.DUMMYFUNCTION("""COMPUTED_VALUE"""),"--")</f>
        <v>--</v>
      </c>
      <c r="Q828" s="251" t="str">
        <f>IFERROR(__xludf.DUMMYFUNCTION("""COMPUTED_VALUE"""),"--")</f>
        <v>--</v>
      </c>
      <c r="R828" s="251" t="str">
        <f>IFERROR(__xludf.DUMMYFUNCTION("""COMPUTED_VALUE"""),"Underdog")</f>
        <v>Underdog</v>
      </c>
      <c r="S828" s="251" t="str">
        <f>IFERROR(__xludf.DUMMYFUNCTION("""COMPUTED_VALUE"""),"--")</f>
        <v>--</v>
      </c>
      <c r="T828" s="251" t="str">
        <f>IFERROR(__xludf.DUMMYFUNCTION("""COMPUTED_VALUE"""),"--")</f>
        <v>--</v>
      </c>
      <c r="U828" s="251" t="str">
        <f>IFERROR(__xludf.DUMMYFUNCTION("""COMPUTED_VALUE"""),"--")</f>
        <v>--</v>
      </c>
      <c r="V828" s="251" t="str">
        <f>IFERROR(__xludf.DUMMYFUNCTION("""COMPUTED_VALUE"""),"Tracker")</f>
        <v>Tracker</v>
      </c>
      <c r="W828" s="251" t="str">
        <f>IFERROR(__xludf.DUMMYFUNCTION("""COMPUTED_VALUE"""),"--")</f>
        <v>--</v>
      </c>
      <c r="X828" s="251" t="str">
        <f>IFERROR(__xludf.DUMMYFUNCTION("""COMPUTED_VALUE"""),"--")</f>
        <v>--</v>
      </c>
      <c r="Y828" s="251" t="str">
        <f>IFERROR(__xludf.DUMMYFUNCTION("""COMPUTED_VALUE"""),"--")</f>
        <v>--</v>
      </c>
      <c r="Z828" s="251" t="str">
        <f>IFERROR(__xludf.DUMMYFUNCTION("""COMPUTED_VALUE"""),"--")</f>
        <v>--</v>
      </c>
      <c r="AA828" s="251" t="str">
        <f>IFERROR(__xludf.DUMMYFUNCTION("""COMPUTED_VALUE"""),"--")</f>
        <v>--</v>
      </c>
      <c r="AB828" s="251" t="str">
        <f>IFERROR(__xludf.DUMMYFUNCTION("""COMPUTED_VALUE"""),"--")</f>
        <v>--</v>
      </c>
      <c r="AC828" s="251" t="str">
        <f>IFERROR(__xludf.DUMMYFUNCTION("""COMPUTED_VALUE"""),"--")</f>
        <v>--</v>
      </c>
      <c r="AD828" s="251">
        <f>IFERROR(__xludf.DUMMYFUNCTION("""COMPUTED_VALUE"""),2.0)</f>
        <v>2</v>
      </c>
      <c r="AE828" s="251" t="str">
        <f>IFERROR(__xludf.DUMMYFUNCTION("""COMPUTED_VALUE"""),"Herbivore")</f>
        <v>Herbivore</v>
      </c>
    </row>
    <row r="829">
      <c r="A829" s="251" t="str">
        <f>IFERROR(__xludf.DUMMYFUNCTION("""COMPUTED_VALUE"""),"Watchog")</f>
        <v>Watchog</v>
      </c>
      <c r="B829" s="251" t="str">
        <f>IFERROR(__xludf.DUMMYFUNCTION("""COMPUTED_VALUE"""),"Normal")</f>
        <v>Normal</v>
      </c>
      <c r="C829" s="251" t="str">
        <f>IFERROR(__xludf.DUMMYFUNCTION("""COMPUTED_VALUE"""),"None")</f>
        <v>None</v>
      </c>
      <c r="D829" s="251">
        <f>IFERROR(__xludf.DUMMYFUNCTION("""COMPUTED_VALUE"""),6.0)</f>
        <v>6</v>
      </c>
      <c r="E829" s="251">
        <f>IFERROR(__xludf.DUMMYFUNCTION("""COMPUTED_VALUE"""),9.0)</f>
        <v>9</v>
      </c>
      <c r="F829" s="251">
        <f>IFERROR(__xludf.DUMMYFUNCTION("""COMPUTED_VALUE"""),7.0)</f>
        <v>7</v>
      </c>
      <c r="G829" s="251">
        <f>IFERROR(__xludf.DUMMYFUNCTION("""COMPUTED_VALUE"""),6.0)</f>
        <v>6</v>
      </c>
      <c r="H829" s="251">
        <f>IFERROR(__xludf.DUMMYFUNCTION("""COMPUTED_VALUE"""),7.0)</f>
        <v>7</v>
      </c>
      <c r="I829" s="251">
        <f>IFERROR(__xludf.DUMMYFUNCTION("""COMPUTED_VALUE"""),8.0)</f>
        <v>8</v>
      </c>
      <c r="J829" s="251">
        <f>IFERROR(__xludf.DUMMYFUNCTION("""COMPUTED_VALUE"""),3.0)</f>
        <v>3</v>
      </c>
      <c r="K829" s="251" t="str">
        <f>IFERROR(__xludf.DUMMYFUNCTION("""COMPUTED_VALUE"""),"Medium")</f>
        <v>Medium</v>
      </c>
      <c r="L829" s="251">
        <f>IFERROR(__xludf.DUMMYFUNCTION("""COMPUTED_VALUE"""),3.0)</f>
        <v>3</v>
      </c>
      <c r="M829" s="251" t="str">
        <f>IFERROR(__xludf.DUMMYFUNCTION("""COMPUTED_VALUE"""),"Grasslands")</f>
        <v>Grasslands</v>
      </c>
      <c r="N829" s="251" t="str">
        <f>IFERROR(__xludf.DUMMYFUNCTION("""COMPUTED_VALUE"""),"--")</f>
        <v>--</v>
      </c>
      <c r="O829" s="251" t="str">
        <f>IFERROR(__xludf.DUMMYFUNCTION("""COMPUTED_VALUE"""),"--")</f>
        <v>--</v>
      </c>
      <c r="P829" s="251" t="str">
        <f>IFERROR(__xludf.DUMMYFUNCTION("""COMPUTED_VALUE"""),"--")</f>
        <v>--</v>
      </c>
      <c r="Q829" s="251" t="str">
        <f>IFERROR(__xludf.DUMMYFUNCTION("""COMPUTED_VALUE"""),"--")</f>
        <v>--</v>
      </c>
      <c r="R829" s="251" t="str">
        <f>IFERROR(__xludf.DUMMYFUNCTION("""COMPUTED_VALUE"""),"--")</f>
        <v>--</v>
      </c>
      <c r="S829" s="251" t="str">
        <f>IFERROR(__xludf.DUMMYFUNCTION("""COMPUTED_VALUE"""),"--")</f>
        <v>--</v>
      </c>
      <c r="T829" s="251" t="str">
        <f>IFERROR(__xludf.DUMMYFUNCTION("""COMPUTED_VALUE"""),"--")</f>
        <v>--</v>
      </c>
      <c r="U829" s="251" t="str">
        <f>IFERROR(__xludf.DUMMYFUNCTION("""COMPUTED_VALUE"""),"--")</f>
        <v>--</v>
      </c>
      <c r="V829" s="251" t="str">
        <f>IFERROR(__xludf.DUMMYFUNCTION("""COMPUTED_VALUE"""),"Tracker")</f>
        <v>Tracker</v>
      </c>
      <c r="W829" s="251" t="str">
        <f>IFERROR(__xludf.DUMMYFUNCTION("""COMPUTED_VALUE"""),"--")</f>
        <v>--</v>
      </c>
      <c r="X829" s="251" t="str">
        <f>IFERROR(__xludf.DUMMYFUNCTION("""COMPUTED_VALUE"""),"--")</f>
        <v>--</v>
      </c>
      <c r="Y829" s="251" t="str">
        <f>IFERROR(__xludf.DUMMYFUNCTION("""COMPUTED_VALUE"""),"--")</f>
        <v>--</v>
      </c>
      <c r="Z829" s="251" t="str">
        <f>IFERROR(__xludf.DUMMYFUNCTION("""COMPUTED_VALUE"""),"--")</f>
        <v>--</v>
      </c>
      <c r="AA829" s="251" t="str">
        <f>IFERROR(__xludf.DUMMYFUNCTION("""COMPUTED_VALUE"""),"--")</f>
        <v>--</v>
      </c>
      <c r="AB829" s="251" t="str">
        <f>IFERROR(__xludf.DUMMYFUNCTION("""COMPUTED_VALUE"""),"--")</f>
        <v>--</v>
      </c>
      <c r="AC829" s="251" t="str">
        <f>IFERROR(__xludf.DUMMYFUNCTION("""COMPUTED_VALUE"""),"--")</f>
        <v>--</v>
      </c>
      <c r="AD829" s="251">
        <f>IFERROR(__xludf.DUMMYFUNCTION("""COMPUTED_VALUE"""),3.0)</f>
        <v>3</v>
      </c>
      <c r="AE829" s="251" t="str">
        <f>IFERROR(__xludf.DUMMYFUNCTION("""COMPUTED_VALUE"""),"Herbivore")</f>
        <v>Herbivore</v>
      </c>
    </row>
    <row r="830">
      <c r="A830" s="251" t="str">
        <f>IFERROR(__xludf.DUMMYFUNCTION("""COMPUTED_VALUE"""),"Minccino")</f>
        <v>Minccino</v>
      </c>
      <c r="B830" s="251" t="str">
        <f>IFERROR(__xludf.DUMMYFUNCTION("""COMPUTED_VALUE"""),"Normal")</f>
        <v>Normal</v>
      </c>
      <c r="C830" s="251" t="str">
        <f>IFERROR(__xludf.DUMMYFUNCTION("""COMPUTED_VALUE"""),"None")</f>
        <v>None</v>
      </c>
      <c r="D830" s="251">
        <f>IFERROR(__xludf.DUMMYFUNCTION("""COMPUTED_VALUE"""),6.0)</f>
        <v>6</v>
      </c>
      <c r="E830" s="251">
        <f>IFERROR(__xludf.DUMMYFUNCTION("""COMPUTED_VALUE"""),5.0)</f>
        <v>5</v>
      </c>
      <c r="F830" s="251">
        <f>IFERROR(__xludf.DUMMYFUNCTION("""COMPUTED_VALUE"""),4.0)</f>
        <v>4</v>
      </c>
      <c r="G830" s="251">
        <f>IFERROR(__xludf.DUMMYFUNCTION("""COMPUTED_VALUE"""),4.0)</f>
        <v>4</v>
      </c>
      <c r="H830" s="251">
        <f>IFERROR(__xludf.DUMMYFUNCTION("""COMPUTED_VALUE"""),4.0)</f>
        <v>4</v>
      </c>
      <c r="I830" s="251">
        <f>IFERROR(__xludf.DUMMYFUNCTION("""COMPUTED_VALUE"""),8.0)</f>
        <v>8</v>
      </c>
      <c r="J830" s="251">
        <f>IFERROR(__xludf.DUMMYFUNCTION("""COMPUTED_VALUE"""),1.0)</f>
        <v>1</v>
      </c>
      <c r="K830" s="251" t="str">
        <f>IFERROR(__xludf.DUMMYFUNCTION("""COMPUTED_VALUE"""),"Small")</f>
        <v>Small</v>
      </c>
      <c r="L830" s="251">
        <f>IFERROR(__xludf.DUMMYFUNCTION("""COMPUTED_VALUE"""),1.0)</f>
        <v>1</v>
      </c>
      <c r="M830" s="251" t="str">
        <f>IFERROR(__xludf.DUMMYFUNCTION("""COMPUTED_VALUE"""),"Grasslands, Urban")</f>
        <v>Grasslands, Urban</v>
      </c>
      <c r="N830" s="251" t="str">
        <f>IFERROR(__xludf.DUMMYFUNCTION("""COMPUTED_VALUE"""),"--")</f>
        <v>--</v>
      </c>
      <c r="O830" s="251" t="str">
        <f>IFERROR(__xludf.DUMMYFUNCTION("""COMPUTED_VALUE"""),"--")</f>
        <v>--</v>
      </c>
      <c r="P830" s="251" t="str">
        <f>IFERROR(__xludf.DUMMYFUNCTION("""COMPUTED_VALUE"""),"--")</f>
        <v>--</v>
      </c>
      <c r="Q830" s="251" t="str">
        <f>IFERROR(__xludf.DUMMYFUNCTION("""COMPUTED_VALUE"""),"--")</f>
        <v>--</v>
      </c>
      <c r="R830" s="251" t="str">
        <f>IFERROR(__xludf.DUMMYFUNCTION("""COMPUTED_VALUE"""),"Underdog")</f>
        <v>Underdog</v>
      </c>
      <c r="S830" s="251" t="str">
        <f>IFERROR(__xludf.DUMMYFUNCTION("""COMPUTED_VALUE"""),"--")</f>
        <v>--</v>
      </c>
      <c r="T830" s="251" t="str">
        <f>IFERROR(__xludf.DUMMYFUNCTION("""COMPUTED_VALUE"""),"--")</f>
        <v>--</v>
      </c>
      <c r="U830" s="251" t="str">
        <f>IFERROR(__xludf.DUMMYFUNCTION("""COMPUTED_VALUE"""),"--")</f>
        <v>--</v>
      </c>
      <c r="V830" s="251" t="str">
        <f>IFERROR(__xludf.DUMMYFUNCTION("""COMPUTED_VALUE"""),"--")</f>
        <v>--</v>
      </c>
      <c r="W830" s="251" t="str">
        <f>IFERROR(__xludf.DUMMYFUNCTION("""COMPUTED_VALUE"""),"--")</f>
        <v>--</v>
      </c>
      <c r="X830" s="251" t="str">
        <f>IFERROR(__xludf.DUMMYFUNCTION("""COMPUTED_VALUE"""),"--")</f>
        <v>--</v>
      </c>
      <c r="Y830" s="251" t="str">
        <f>IFERROR(__xludf.DUMMYFUNCTION("""COMPUTED_VALUE"""),"--")</f>
        <v>--</v>
      </c>
      <c r="Z830" s="251" t="str">
        <f>IFERROR(__xludf.DUMMYFUNCTION("""COMPUTED_VALUE"""),"--")</f>
        <v>--</v>
      </c>
      <c r="AA830" s="251" t="str">
        <f>IFERROR(__xludf.DUMMYFUNCTION("""COMPUTED_VALUE"""),"--")</f>
        <v>--</v>
      </c>
      <c r="AB830" s="251" t="str">
        <f>IFERROR(__xludf.DUMMYFUNCTION("""COMPUTED_VALUE"""),"--")</f>
        <v>--</v>
      </c>
      <c r="AC830" s="251" t="str">
        <f>IFERROR(__xludf.DUMMYFUNCTION("""COMPUTED_VALUE"""),"--")</f>
        <v>--</v>
      </c>
      <c r="AD830" s="251">
        <f>IFERROR(__xludf.DUMMYFUNCTION("""COMPUTED_VALUE"""),2.0)</f>
        <v>2</v>
      </c>
      <c r="AE830" s="251" t="str">
        <f>IFERROR(__xludf.DUMMYFUNCTION("""COMPUTED_VALUE"""),"Herbivore")</f>
        <v>Herbivore</v>
      </c>
    </row>
    <row r="831">
      <c r="A831" s="251" t="str">
        <f>IFERROR(__xludf.DUMMYFUNCTION("""COMPUTED_VALUE"""),"Cinccino")</f>
        <v>Cinccino</v>
      </c>
      <c r="B831" s="251" t="str">
        <f>IFERROR(__xludf.DUMMYFUNCTION("""COMPUTED_VALUE"""),"Normal")</f>
        <v>Normal</v>
      </c>
      <c r="C831" s="251" t="str">
        <f>IFERROR(__xludf.DUMMYFUNCTION("""COMPUTED_VALUE"""),"None")</f>
        <v>None</v>
      </c>
      <c r="D831" s="251">
        <f>IFERROR(__xludf.DUMMYFUNCTION("""COMPUTED_VALUE"""),8.0)</f>
        <v>8</v>
      </c>
      <c r="E831" s="251">
        <f>IFERROR(__xludf.DUMMYFUNCTION("""COMPUTED_VALUE"""),11.0)</f>
        <v>11</v>
      </c>
      <c r="F831" s="251">
        <f>IFERROR(__xludf.DUMMYFUNCTION("""COMPUTED_VALUE"""),6.0)</f>
        <v>6</v>
      </c>
      <c r="G831" s="251">
        <f>IFERROR(__xludf.DUMMYFUNCTION("""COMPUTED_VALUE"""),8.0)</f>
        <v>8</v>
      </c>
      <c r="H831" s="251">
        <f>IFERROR(__xludf.DUMMYFUNCTION("""COMPUTED_VALUE"""),6.0)</f>
        <v>6</v>
      </c>
      <c r="I831" s="251">
        <f>IFERROR(__xludf.DUMMYFUNCTION("""COMPUTED_VALUE"""),12.0)</f>
        <v>12</v>
      </c>
      <c r="J831" s="251">
        <f>IFERROR(__xludf.DUMMYFUNCTION("""COMPUTED_VALUE"""),2.0)</f>
        <v>2</v>
      </c>
      <c r="K831" s="251" t="str">
        <f>IFERROR(__xludf.DUMMYFUNCTION("""COMPUTED_VALUE"""),"Small")</f>
        <v>Small</v>
      </c>
      <c r="L831" s="251">
        <f>IFERROR(__xludf.DUMMYFUNCTION("""COMPUTED_VALUE"""),1.0)</f>
        <v>1</v>
      </c>
      <c r="M831" s="251" t="str">
        <f>IFERROR(__xludf.DUMMYFUNCTION("""COMPUTED_VALUE"""),"Grasslands, Urban")</f>
        <v>Grasslands, Urban</v>
      </c>
      <c r="N831" s="251" t="str">
        <f>IFERROR(__xludf.DUMMYFUNCTION("""COMPUTED_VALUE"""),"--")</f>
        <v>--</v>
      </c>
      <c r="O831" s="251" t="str">
        <f>IFERROR(__xludf.DUMMYFUNCTION("""COMPUTED_VALUE"""),"--")</f>
        <v>--</v>
      </c>
      <c r="P831" s="251" t="str">
        <f>IFERROR(__xludf.DUMMYFUNCTION("""COMPUTED_VALUE"""),"--")</f>
        <v>--</v>
      </c>
      <c r="Q831" s="251" t="str">
        <f>IFERROR(__xludf.DUMMYFUNCTION("""COMPUTED_VALUE"""),"--")</f>
        <v>--</v>
      </c>
      <c r="R831" s="251" t="str">
        <f>IFERROR(__xludf.DUMMYFUNCTION("""COMPUTED_VALUE"""),"--")</f>
        <v>--</v>
      </c>
      <c r="S831" s="251" t="str">
        <f>IFERROR(__xludf.DUMMYFUNCTION("""COMPUTED_VALUE"""),"--")</f>
        <v>--</v>
      </c>
      <c r="T831" s="251" t="str">
        <f>IFERROR(__xludf.DUMMYFUNCTION("""COMPUTED_VALUE"""),"--")</f>
        <v>--</v>
      </c>
      <c r="U831" s="251" t="str">
        <f>IFERROR(__xludf.DUMMYFUNCTION("""COMPUTED_VALUE"""),"--")</f>
        <v>--</v>
      </c>
      <c r="V831" s="251" t="str">
        <f>IFERROR(__xludf.DUMMYFUNCTION("""COMPUTED_VALUE"""),"--")</f>
        <v>--</v>
      </c>
      <c r="W831" s="251" t="str">
        <f>IFERROR(__xludf.DUMMYFUNCTION("""COMPUTED_VALUE"""),"--")</f>
        <v>--</v>
      </c>
      <c r="X831" s="251" t="str">
        <f>IFERROR(__xludf.DUMMYFUNCTION("""COMPUTED_VALUE"""),"--")</f>
        <v>--</v>
      </c>
      <c r="Y831" s="251" t="str">
        <f>IFERROR(__xludf.DUMMYFUNCTION("""COMPUTED_VALUE"""),"--")</f>
        <v>--</v>
      </c>
      <c r="Z831" s="251" t="str">
        <f>IFERROR(__xludf.DUMMYFUNCTION("""COMPUTED_VALUE"""),"--")</f>
        <v>--</v>
      </c>
      <c r="AA831" s="251" t="str">
        <f>IFERROR(__xludf.DUMMYFUNCTION("""COMPUTED_VALUE"""),"--")</f>
        <v>--</v>
      </c>
      <c r="AB831" s="251" t="str">
        <f>IFERROR(__xludf.DUMMYFUNCTION("""COMPUTED_VALUE"""),"--")</f>
        <v>--</v>
      </c>
      <c r="AC831" s="251" t="str">
        <f>IFERROR(__xludf.DUMMYFUNCTION("""COMPUTED_VALUE"""),"--")</f>
        <v>--</v>
      </c>
      <c r="AD831" s="251">
        <f>IFERROR(__xludf.DUMMYFUNCTION("""COMPUTED_VALUE"""),3.0)</f>
        <v>3</v>
      </c>
      <c r="AE831" s="251" t="str">
        <f>IFERROR(__xludf.DUMMYFUNCTION("""COMPUTED_VALUE"""),"Herbivore")</f>
        <v>Herbivore</v>
      </c>
    </row>
    <row r="832">
      <c r="A832" s="251" t="str">
        <f>IFERROR(__xludf.DUMMYFUNCTION("""COMPUTED_VALUE"""),"Deerling")</f>
        <v>Deerling</v>
      </c>
      <c r="B832" s="251" t="str">
        <f>IFERROR(__xludf.DUMMYFUNCTION("""COMPUTED_VALUE"""),"Normal")</f>
        <v>Normal</v>
      </c>
      <c r="C832" s="251" t="str">
        <f>IFERROR(__xludf.DUMMYFUNCTION("""COMPUTED_VALUE"""),"Grass")</f>
        <v>Grass</v>
      </c>
      <c r="D832" s="251">
        <f>IFERROR(__xludf.DUMMYFUNCTION("""COMPUTED_VALUE"""),6.0)</f>
        <v>6</v>
      </c>
      <c r="E832" s="251">
        <f>IFERROR(__xludf.DUMMYFUNCTION("""COMPUTED_VALUE"""),6.0)</f>
        <v>6</v>
      </c>
      <c r="F832" s="251">
        <f>IFERROR(__xludf.DUMMYFUNCTION("""COMPUTED_VALUE"""),5.0)</f>
        <v>5</v>
      </c>
      <c r="G832" s="251">
        <f>IFERROR(__xludf.DUMMYFUNCTION("""COMPUTED_VALUE"""),4.0)</f>
        <v>4</v>
      </c>
      <c r="H832" s="251">
        <f>IFERROR(__xludf.DUMMYFUNCTION("""COMPUTED_VALUE"""),5.0)</f>
        <v>5</v>
      </c>
      <c r="I832" s="251">
        <f>IFERROR(__xludf.DUMMYFUNCTION("""COMPUTED_VALUE"""),8.0)</f>
        <v>8</v>
      </c>
      <c r="J832" s="251">
        <f>IFERROR(__xludf.DUMMYFUNCTION("""COMPUTED_VALUE"""),2.0)</f>
        <v>2</v>
      </c>
      <c r="K832" s="251" t="str">
        <f>IFERROR(__xludf.DUMMYFUNCTION("""COMPUTED_VALUE"""),"Small")</f>
        <v>Small</v>
      </c>
      <c r="L832" s="251">
        <f>IFERROR(__xludf.DUMMYFUNCTION("""COMPUTED_VALUE"""),2.0)</f>
        <v>2</v>
      </c>
      <c r="M832" s="251" t="str">
        <f>IFERROR(__xludf.DUMMYFUNCTION("""COMPUTED_VALUE"""),"Forest, Grasslands")</f>
        <v>Forest, Grasslands</v>
      </c>
      <c r="N832" s="251" t="str">
        <f>IFERROR(__xludf.DUMMYFUNCTION("""COMPUTED_VALUE"""),"--")</f>
        <v>--</v>
      </c>
      <c r="O832" s="251" t="str">
        <f>IFERROR(__xludf.DUMMYFUNCTION("""COMPUTED_VALUE"""),"--")</f>
        <v>--</v>
      </c>
      <c r="P832" s="251" t="str">
        <f>IFERROR(__xludf.DUMMYFUNCTION("""COMPUTED_VALUE"""),"--")</f>
        <v>--</v>
      </c>
      <c r="Q832" s="251" t="str">
        <f>IFERROR(__xludf.DUMMYFUNCTION("""COMPUTED_VALUE"""),"--")</f>
        <v>--</v>
      </c>
      <c r="R832" s="251" t="str">
        <f>IFERROR(__xludf.DUMMYFUNCTION("""COMPUTED_VALUE"""),"Underdog")</f>
        <v>Underdog</v>
      </c>
      <c r="S832" s="251" t="str">
        <f>IFERROR(__xludf.DUMMYFUNCTION("""COMPUTED_VALUE"""),"--")</f>
        <v>--</v>
      </c>
      <c r="T832" s="251" t="str">
        <f>IFERROR(__xludf.DUMMYFUNCTION("""COMPUTED_VALUE"""),"--")</f>
        <v>--</v>
      </c>
      <c r="U832" s="251" t="str">
        <f>IFERROR(__xludf.DUMMYFUNCTION("""COMPUTED_VALUE"""),"--")</f>
        <v>--</v>
      </c>
      <c r="V832" s="251" t="str">
        <f>IFERROR(__xludf.DUMMYFUNCTION("""COMPUTED_VALUE"""),"Pack Mon")</f>
        <v>Pack Mon</v>
      </c>
      <c r="W832" s="251" t="str">
        <f>IFERROR(__xludf.DUMMYFUNCTION("""COMPUTED_VALUE"""),"--")</f>
        <v>--</v>
      </c>
      <c r="X832" s="251" t="str">
        <f>IFERROR(__xludf.DUMMYFUNCTION("""COMPUTED_VALUE"""),"--")</f>
        <v>--</v>
      </c>
      <c r="Y832" s="251" t="str">
        <f>IFERROR(__xludf.DUMMYFUNCTION("""COMPUTED_VALUE"""),"--")</f>
        <v>--</v>
      </c>
      <c r="Z832" s="251" t="str">
        <f>IFERROR(__xludf.DUMMYFUNCTION("""COMPUTED_VALUE"""),"--")</f>
        <v>--</v>
      </c>
      <c r="AA832" s="251" t="str">
        <f>IFERROR(__xludf.DUMMYFUNCTION("""COMPUTED_VALUE"""),"--")</f>
        <v>--</v>
      </c>
      <c r="AB832" s="251" t="str">
        <f>IFERROR(__xludf.DUMMYFUNCTION("""COMPUTED_VALUE"""),"--")</f>
        <v>--</v>
      </c>
      <c r="AC832" s="251" t="str">
        <f>IFERROR(__xludf.DUMMYFUNCTION("""COMPUTED_VALUE"""),"--")</f>
        <v>--</v>
      </c>
      <c r="AD832" s="251">
        <f>IFERROR(__xludf.DUMMYFUNCTION("""COMPUTED_VALUE"""),2.0)</f>
        <v>2</v>
      </c>
      <c r="AE832" s="251" t="str">
        <f>IFERROR(__xludf.DUMMYFUNCTION("""COMPUTED_VALUE"""),"Herbivore")</f>
        <v>Herbivore</v>
      </c>
    </row>
    <row r="833">
      <c r="A833" s="251" t="str">
        <f>IFERROR(__xludf.DUMMYFUNCTION("""COMPUTED_VALUE"""),"Sawsbuck")</f>
        <v>Sawsbuck</v>
      </c>
      <c r="B833" s="251" t="str">
        <f>IFERROR(__xludf.DUMMYFUNCTION("""COMPUTED_VALUE"""),"Normal")</f>
        <v>Normal</v>
      </c>
      <c r="C833" s="251" t="str">
        <f>IFERROR(__xludf.DUMMYFUNCTION("""COMPUTED_VALUE"""),"Grass")</f>
        <v>Grass</v>
      </c>
      <c r="D833" s="251">
        <f>IFERROR(__xludf.DUMMYFUNCTION("""COMPUTED_VALUE"""),9.0)</f>
        <v>9</v>
      </c>
      <c r="E833" s="251">
        <f>IFERROR(__xludf.DUMMYFUNCTION("""COMPUTED_VALUE"""),10.0)</f>
        <v>10</v>
      </c>
      <c r="F833" s="251">
        <f>IFERROR(__xludf.DUMMYFUNCTION("""COMPUTED_VALUE"""),8.0)</f>
        <v>8</v>
      </c>
      <c r="G833" s="251">
        <f>IFERROR(__xludf.DUMMYFUNCTION("""COMPUTED_VALUE"""),6.0)</f>
        <v>6</v>
      </c>
      <c r="H833" s="251">
        <f>IFERROR(__xludf.DUMMYFUNCTION("""COMPUTED_VALUE"""),8.0)</f>
        <v>8</v>
      </c>
      <c r="I833" s="251">
        <f>IFERROR(__xludf.DUMMYFUNCTION("""COMPUTED_VALUE"""),10.0)</f>
        <v>10</v>
      </c>
      <c r="J833" s="251">
        <f>IFERROR(__xludf.DUMMYFUNCTION("""COMPUTED_VALUE"""),5.0)</f>
        <v>5</v>
      </c>
      <c r="K833" s="251" t="str">
        <f>IFERROR(__xludf.DUMMYFUNCTION("""COMPUTED_VALUE"""),"Large")</f>
        <v>Large</v>
      </c>
      <c r="L833" s="251">
        <f>IFERROR(__xludf.DUMMYFUNCTION("""COMPUTED_VALUE"""),4.0)</f>
        <v>4</v>
      </c>
      <c r="M833" s="251" t="str">
        <f>IFERROR(__xludf.DUMMYFUNCTION("""COMPUTED_VALUE"""),"Forest, Grasslands")</f>
        <v>Forest, Grasslands</v>
      </c>
      <c r="N833" s="251" t="str">
        <f>IFERROR(__xludf.DUMMYFUNCTION("""COMPUTED_VALUE"""),"--")</f>
        <v>--</v>
      </c>
      <c r="O833" s="251" t="str">
        <f>IFERROR(__xludf.DUMMYFUNCTION("""COMPUTED_VALUE"""),"--")</f>
        <v>--</v>
      </c>
      <c r="P833" s="251" t="str">
        <f>IFERROR(__xludf.DUMMYFUNCTION("""COMPUTED_VALUE"""),"--")</f>
        <v>--</v>
      </c>
      <c r="Q833" s="251" t="str">
        <f>IFERROR(__xludf.DUMMYFUNCTION("""COMPUTED_VALUE"""),"--")</f>
        <v>--</v>
      </c>
      <c r="R833" s="251" t="str">
        <f>IFERROR(__xludf.DUMMYFUNCTION("""COMPUTED_VALUE"""),"Mountable")</f>
        <v>Mountable</v>
      </c>
      <c r="S833" s="251" t="str">
        <f>IFERROR(__xludf.DUMMYFUNCTION("""COMPUTED_VALUE"""),"--")</f>
        <v>--</v>
      </c>
      <c r="T833" s="251" t="str">
        <f>IFERROR(__xludf.DUMMYFUNCTION("""COMPUTED_VALUE"""),"--")</f>
        <v>--</v>
      </c>
      <c r="U833" s="251" t="str">
        <f>IFERROR(__xludf.DUMMYFUNCTION("""COMPUTED_VALUE"""),"--")</f>
        <v>--</v>
      </c>
      <c r="V833" s="251" t="str">
        <f>IFERROR(__xludf.DUMMYFUNCTION("""COMPUTED_VALUE"""),"Pack Mon")</f>
        <v>Pack Mon</v>
      </c>
      <c r="W833" s="251" t="str">
        <f>IFERROR(__xludf.DUMMYFUNCTION("""COMPUTED_VALUE"""),"--")</f>
        <v>--</v>
      </c>
      <c r="X833" s="251" t="str">
        <f>IFERROR(__xludf.DUMMYFUNCTION("""COMPUTED_VALUE"""),"--")</f>
        <v>--</v>
      </c>
      <c r="Y833" s="251" t="str">
        <f>IFERROR(__xludf.DUMMYFUNCTION("""COMPUTED_VALUE"""),"--")</f>
        <v>--</v>
      </c>
      <c r="Z833" s="251" t="str">
        <f>IFERROR(__xludf.DUMMYFUNCTION("""COMPUTED_VALUE"""),"--")</f>
        <v>--</v>
      </c>
      <c r="AA833" s="251" t="str">
        <f>IFERROR(__xludf.DUMMYFUNCTION("""COMPUTED_VALUE"""),"--")</f>
        <v>--</v>
      </c>
      <c r="AB833" s="251" t="str">
        <f>IFERROR(__xludf.DUMMYFUNCTION("""COMPUTED_VALUE"""),"--")</f>
        <v>--</v>
      </c>
      <c r="AC833" s="251" t="str">
        <f>IFERROR(__xludf.DUMMYFUNCTION("""COMPUTED_VALUE"""),"--")</f>
        <v>--</v>
      </c>
      <c r="AD833" s="251">
        <f>IFERROR(__xludf.DUMMYFUNCTION("""COMPUTED_VALUE"""),3.0)</f>
        <v>3</v>
      </c>
      <c r="AE833" s="251" t="str">
        <f>IFERROR(__xludf.DUMMYFUNCTION("""COMPUTED_VALUE"""),"Herbivore")</f>
        <v>Herbivore</v>
      </c>
    </row>
    <row r="834">
      <c r="A834" s="251" t="str">
        <f>IFERROR(__xludf.DUMMYFUNCTION("""COMPUTED_VALUE"""),"Rufflet")</f>
        <v>Rufflet</v>
      </c>
      <c r="B834" s="251" t="str">
        <f>IFERROR(__xludf.DUMMYFUNCTION("""COMPUTED_VALUE"""),"Normal")</f>
        <v>Normal</v>
      </c>
      <c r="C834" s="251" t="str">
        <f>IFERROR(__xludf.DUMMYFUNCTION("""COMPUTED_VALUE"""),"Flying")</f>
        <v>Flying</v>
      </c>
      <c r="D834" s="251">
        <f>IFERROR(__xludf.DUMMYFUNCTION("""COMPUTED_VALUE"""),7.0)</f>
        <v>7</v>
      </c>
      <c r="E834" s="251">
        <f>IFERROR(__xludf.DUMMYFUNCTION("""COMPUTED_VALUE"""),8.0)</f>
        <v>8</v>
      </c>
      <c r="F834" s="251">
        <f>IFERROR(__xludf.DUMMYFUNCTION("""COMPUTED_VALUE"""),5.0)</f>
        <v>5</v>
      </c>
      <c r="G834" s="251">
        <f>IFERROR(__xludf.DUMMYFUNCTION("""COMPUTED_VALUE"""),4.0)</f>
        <v>4</v>
      </c>
      <c r="H834" s="251">
        <f>IFERROR(__xludf.DUMMYFUNCTION("""COMPUTED_VALUE"""),5.0)</f>
        <v>5</v>
      </c>
      <c r="I834" s="251">
        <f>IFERROR(__xludf.DUMMYFUNCTION("""COMPUTED_VALUE"""),6.0)</f>
        <v>6</v>
      </c>
      <c r="J834" s="251">
        <f>IFERROR(__xludf.DUMMYFUNCTION("""COMPUTED_VALUE"""),2.0)</f>
        <v>2</v>
      </c>
      <c r="K834" s="251" t="str">
        <f>IFERROR(__xludf.DUMMYFUNCTION("""COMPUTED_VALUE"""),"Small")</f>
        <v>Small</v>
      </c>
      <c r="L834" s="251">
        <f>IFERROR(__xludf.DUMMYFUNCTION("""COMPUTED_VALUE"""),1.0)</f>
        <v>1</v>
      </c>
      <c r="M834" s="251" t="str">
        <f>IFERROR(__xludf.DUMMYFUNCTION("""COMPUTED_VALUE"""),"Mountain")</f>
        <v>Mountain</v>
      </c>
      <c r="N834" s="251" t="str">
        <f>IFERROR(__xludf.DUMMYFUNCTION("""COMPUTED_VALUE"""),"Flier")</f>
        <v>Flier</v>
      </c>
      <c r="O834" s="251" t="str">
        <f>IFERROR(__xludf.DUMMYFUNCTION("""COMPUTED_VALUE"""),"--")</f>
        <v>--</v>
      </c>
      <c r="P834" s="251" t="str">
        <f>IFERROR(__xludf.DUMMYFUNCTION("""COMPUTED_VALUE"""),"--")</f>
        <v>--</v>
      </c>
      <c r="Q834" s="251" t="str">
        <f>IFERROR(__xludf.DUMMYFUNCTION("""COMPUTED_VALUE"""),"--")</f>
        <v>--</v>
      </c>
      <c r="R834" s="251" t="str">
        <f>IFERROR(__xludf.DUMMYFUNCTION("""COMPUTED_VALUE"""),"Underdog")</f>
        <v>Underdog</v>
      </c>
      <c r="S834" s="251" t="str">
        <f>IFERROR(__xludf.DUMMYFUNCTION("""COMPUTED_VALUE"""),"--")</f>
        <v>--</v>
      </c>
      <c r="T834" s="251" t="str">
        <f>IFERROR(__xludf.DUMMYFUNCTION("""COMPUTED_VALUE"""),"--")</f>
        <v>--</v>
      </c>
      <c r="U834" s="251" t="str">
        <f>IFERROR(__xludf.DUMMYFUNCTION("""COMPUTED_VALUE"""),"--")</f>
        <v>--</v>
      </c>
      <c r="V834" s="251" t="str">
        <f>IFERROR(__xludf.DUMMYFUNCTION("""COMPUTED_VALUE"""),"--")</f>
        <v>--</v>
      </c>
      <c r="W834" s="251" t="str">
        <f>IFERROR(__xludf.DUMMYFUNCTION("""COMPUTED_VALUE"""),"--")</f>
        <v>--</v>
      </c>
      <c r="X834" s="251" t="str">
        <f>IFERROR(__xludf.DUMMYFUNCTION("""COMPUTED_VALUE"""),"--")</f>
        <v>--</v>
      </c>
      <c r="Y834" s="251" t="str">
        <f>IFERROR(__xludf.DUMMYFUNCTION("""COMPUTED_VALUE"""),"--")</f>
        <v>--</v>
      </c>
      <c r="Z834" s="251" t="str">
        <f>IFERROR(__xludf.DUMMYFUNCTION("""COMPUTED_VALUE"""),"--")</f>
        <v>--</v>
      </c>
      <c r="AA834" s="251" t="str">
        <f>IFERROR(__xludf.DUMMYFUNCTION("""COMPUTED_VALUE"""),"--")</f>
        <v>--</v>
      </c>
      <c r="AB834" s="251" t="str">
        <f>IFERROR(__xludf.DUMMYFUNCTION("""COMPUTED_VALUE"""),"--")</f>
        <v>--</v>
      </c>
      <c r="AC834" s="251" t="str">
        <f>IFERROR(__xludf.DUMMYFUNCTION("""COMPUTED_VALUE"""),"--")</f>
        <v>--</v>
      </c>
      <c r="AD834" s="251">
        <f>IFERROR(__xludf.DUMMYFUNCTION("""COMPUTED_VALUE"""),2.0)</f>
        <v>2</v>
      </c>
      <c r="AE834" s="251" t="str">
        <f>IFERROR(__xludf.DUMMYFUNCTION("""COMPUTED_VALUE"""),"Carnivore")</f>
        <v>Carnivore</v>
      </c>
    </row>
    <row r="835">
      <c r="A835" s="251" t="str">
        <f>IFERROR(__xludf.DUMMYFUNCTION("""COMPUTED_VALUE"""),"Braviary")</f>
        <v>Braviary</v>
      </c>
      <c r="B835" s="251" t="str">
        <f>IFERROR(__xludf.DUMMYFUNCTION("""COMPUTED_VALUE"""),"Normal")</f>
        <v>Normal</v>
      </c>
      <c r="C835" s="251" t="str">
        <f>IFERROR(__xludf.DUMMYFUNCTION("""COMPUTED_VALUE"""),"Flying")</f>
        <v>Flying</v>
      </c>
      <c r="D835" s="251">
        <f>IFERROR(__xludf.DUMMYFUNCTION("""COMPUTED_VALUE"""),10.0)</f>
        <v>10</v>
      </c>
      <c r="E835" s="251">
        <f>IFERROR(__xludf.DUMMYFUNCTION("""COMPUTED_VALUE"""),12.0)</f>
        <v>12</v>
      </c>
      <c r="F835" s="251">
        <f>IFERROR(__xludf.DUMMYFUNCTION("""COMPUTED_VALUE"""),8.0)</f>
        <v>8</v>
      </c>
      <c r="G835" s="251">
        <f>IFERROR(__xludf.DUMMYFUNCTION("""COMPUTED_VALUE"""),6.0)</f>
        <v>6</v>
      </c>
      <c r="H835" s="251">
        <f>IFERROR(__xludf.DUMMYFUNCTION("""COMPUTED_VALUE"""),8.0)</f>
        <v>8</v>
      </c>
      <c r="I835" s="251">
        <f>IFERROR(__xludf.DUMMYFUNCTION("""COMPUTED_VALUE"""),8.0)</f>
        <v>8</v>
      </c>
      <c r="J835" s="251">
        <f>IFERROR(__xludf.DUMMYFUNCTION("""COMPUTED_VALUE"""),6.0)</f>
        <v>6</v>
      </c>
      <c r="K835" s="251" t="str">
        <f>IFERROR(__xludf.DUMMYFUNCTION("""COMPUTED_VALUE"""),"Medium")</f>
        <v>Medium</v>
      </c>
      <c r="L835" s="251">
        <f>IFERROR(__xludf.DUMMYFUNCTION("""COMPUTED_VALUE"""),3.0)</f>
        <v>3</v>
      </c>
      <c r="M835" s="251" t="str">
        <f>IFERROR(__xludf.DUMMYFUNCTION("""COMPUTED_VALUE"""),"Mountain")</f>
        <v>Mountain</v>
      </c>
      <c r="N835" s="251" t="str">
        <f>IFERROR(__xludf.DUMMYFUNCTION("""COMPUTED_VALUE"""),"Flier")</f>
        <v>Flier</v>
      </c>
      <c r="O835" s="251" t="str">
        <f>IFERROR(__xludf.DUMMYFUNCTION("""COMPUTED_VALUE"""),"Quick")</f>
        <v>Quick</v>
      </c>
      <c r="P835" s="251" t="str">
        <f>IFERROR(__xludf.DUMMYFUNCTION("""COMPUTED_VALUE"""),"--")</f>
        <v>--</v>
      </c>
      <c r="Q835" s="251" t="str">
        <f>IFERROR(__xludf.DUMMYFUNCTION("""COMPUTED_VALUE"""),"--")</f>
        <v>--</v>
      </c>
      <c r="R835" s="251" t="str">
        <f>IFERROR(__xludf.DUMMYFUNCTION("""COMPUTED_VALUE"""),"Mountable")</f>
        <v>Mountable</v>
      </c>
      <c r="S835" s="251" t="str">
        <f>IFERROR(__xludf.DUMMYFUNCTION("""COMPUTED_VALUE"""),"--")</f>
        <v>--</v>
      </c>
      <c r="T835" s="251" t="str">
        <f>IFERROR(__xludf.DUMMYFUNCTION("""COMPUTED_VALUE"""),"--")</f>
        <v>--</v>
      </c>
      <c r="U835" s="251" t="str">
        <f>IFERROR(__xludf.DUMMYFUNCTION("""COMPUTED_VALUE"""),"--")</f>
        <v>--</v>
      </c>
      <c r="V835" s="251" t="str">
        <f>IFERROR(__xludf.DUMMYFUNCTION("""COMPUTED_VALUE"""),"--")</f>
        <v>--</v>
      </c>
      <c r="W835" s="251" t="str">
        <f>IFERROR(__xludf.DUMMYFUNCTION("""COMPUTED_VALUE"""),"--")</f>
        <v>--</v>
      </c>
      <c r="X835" s="251" t="str">
        <f>IFERROR(__xludf.DUMMYFUNCTION("""COMPUTED_VALUE"""),"--")</f>
        <v>--</v>
      </c>
      <c r="Y835" s="251" t="str">
        <f>IFERROR(__xludf.DUMMYFUNCTION("""COMPUTED_VALUE"""),"--")</f>
        <v>--</v>
      </c>
      <c r="Z835" s="251" t="str">
        <f>IFERROR(__xludf.DUMMYFUNCTION("""COMPUTED_VALUE"""),"--")</f>
        <v>--</v>
      </c>
      <c r="AA835" s="251" t="str">
        <f>IFERROR(__xludf.DUMMYFUNCTION("""COMPUTED_VALUE"""),"--")</f>
        <v>--</v>
      </c>
      <c r="AB835" s="251" t="str">
        <f>IFERROR(__xludf.DUMMYFUNCTION("""COMPUTED_VALUE"""),"--")</f>
        <v>--</v>
      </c>
      <c r="AC835" s="251" t="str">
        <f>IFERROR(__xludf.DUMMYFUNCTION("""COMPUTED_VALUE"""),"--")</f>
        <v>--</v>
      </c>
      <c r="AD835" s="251">
        <f>IFERROR(__xludf.DUMMYFUNCTION("""COMPUTED_VALUE"""),3.0)</f>
        <v>3</v>
      </c>
      <c r="AE835" s="251" t="str">
        <f>IFERROR(__xludf.DUMMYFUNCTION("""COMPUTED_VALUE"""),"Carnivore")</f>
        <v>Carnivore</v>
      </c>
    </row>
    <row r="836">
      <c r="A836" s="251" t="str">
        <f>IFERROR(__xludf.DUMMYFUNCTION("""COMPUTED_VALUE"""),"Hisuian Braviary")</f>
        <v>Hisuian Braviary</v>
      </c>
      <c r="B836" s="251" t="str">
        <f>IFERROR(__xludf.DUMMYFUNCTION("""COMPUTED_VALUE"""),"Normal")</f>
        <v>Normal</v>
      </c>
      <c r="C836" s="251" t="str">
        <f>IFERROR(__xludf.DUMMYFUNCTION("""COMPUTED_VALUE"""),"Psychic")</f>
        <v>Psychic</v>
      </c>
      <c r="D836" s="251">
        <f>IFERROR(__xludf.DUMMYFUNCTION("""COMPUTED_VALUE"""),11.0)</f>
        <v>11</v>
      </c>
      <c r="E836" s="251">
        <f>IFERROR(__xludf.DUMMYFUNCTION("""COMPUTED_VALUE"""),6.0)</f>
        <v>6</v>
      </c>
      <c r="F836" s="251">
        <f>IFERROR(__xludf.DUMMYFUNCTION("""COMPUTED_VALUE"""),8.0)</f>
        <v>8</v>
      </c>
      <c r="G836" s="251">
        <f>IFERROR(__xludf.DUMMYFUNCTION("""COMPUTED_VALUE"""),11.0)</f>
        <v>11</v>
      </c>
      <c r="H836" s="251">
        <f>IFERROR(__xludf.DUMMYFUNCTION("""COMPUTED_VALUE"""),9.0)</f>
        <v>9</v>
      </c>
      <c r="I836" s="251">
        <f>IFERROR(__xludf.DUMMYFUNCTION("""COMPUTED_VALUE"""),7.0)</f>
        <v>7</v>
      </c>
      <c r="J836" s="251">
        <f>IFERROR(__xludf.DUMMYFUNCTION("""COMPUTED_VALUE"""),6.0)</f>
        <v>6</v>
      </c>
      <c r="K836" s="251" t="str">
        <f>IFERROR(__xludf.DUMMYFUNCTION("""COMPUTED_VALUE"""),"Medium")</f>
        <v>Medium</v>
      </c>
      <c r="L836" s="251">
        <f>IFERROR(__xludf.DUMMYFUNCTION("""COMPUTED_VALUE"""),3.0)</f>
        <v>3</v>
      </c>
      <c r="M836" s="251" t="str">
        <f>IFERROR(__xludf.DUMMYFUNCTION("""COMPUTED_VALUE"""),"Mountain")</f>
        <v>Mountain</v>
      </c>
      <c r="N836" s="251" t="str">
        <f>IFERROR(__xludf.DUMMYFUNCTION("""COMPUTED_VALUE"""),"Flier")</f>
        <v>Flier</v>
      </c>
      <c r="O836" s="251" t="str">
        <f>IFERROR(__xludf.DUMMYFUNCTION("""COMPUTED_VALUE"""),"Quick")</f>
        <v>Quick</v>
      </c>
      <c r="P836" s="251" t="str">
        <f>IFERROR(__xludf.DUMMYFUNCTION("""COMPUTED_VALUE"""),"--")</f>
        <v>--</v>
      </c>
      <c r="Q836" s="251" t="str">
        <f>IFERROR(__xludf.DUMMYFUNCTION("""COMPUTED_VALUE"""),"--")</f>
        <v>--</v>
      </c>
      <c r="R836" s="251" t="str">
        <f>IFERROR(__xludf.DUMMYFUNCTION("""COMPUTED_VALUE"""),"Mountable")</f>
        <v>Mountable</v>
      </c>
      <c r="S836" s="251" t="str">
        <f>IFERROR(__xludf.DUMMYFUNCTION("""COMPUTED_VALUE"""),"Telekinetic")</f>
        <v>Telekinetic</v>
      </c>
      <c r="T836" s="251" t="str">
        <f>IFERROR(__xludf.DUMMYFUNCTION("""COMPUTED_VALUE"""),"--")</f>
        <v>--</v>
      </c>
      <c r="U836" s="251" t="str">
        <f>IFERROR(__xludf.DUMMYFUNCTION("""COMPUTED_VALUE"""),"--")</f>
        <v>--</v>
      </c>
      <c r="V836" s="251" t="str">
        <f>IFERROR(__xludf.DUMMYFUNCTION("""COMPUTED_VALUE"""),"--")</f>
        <v>--</v>
      </c>
      <c r="W836" s="251" t="str">
        <f>IFERROR(__xludf.DUMMYFUNCTION("""COMPUTED_VALUE"""),"--")</f>
        <v>--</v>
      </c>
      <c r="X836" s="251" t="str">
        <f>IFERROR(__xludf.DUMMYFUNCTION("""COMPUTED_VALUE"""),"--")</f>
        <v>--</v>
      </c>
      <c r="Y836" s="251" t="str">
        <f>IFERROR(__xludf.DUMMYFUNCTION("""COMPUTED_VALUE"""),"--")</f>
        <v>--</v>
      </c>
      <c r="Z836" s="251" t="str">
        <f>IFERROR(__xludf.DUMMYFUNCTION("""COMPUTED_VALUE"""),"--")</f>
        <v>--</v>
      </c>
      <c r="AA836" s="251" t="str">
        <f>IFERROR(__xludf.DUMMYFUNCTION("""COMPUTED_VALUE"""),"--")</f>
        <v>--</v>
      </c>
      <c r="AB836" s="251" t="str">
        <f>IFERROR(__xludf.DUMMYFUNCTION("""COMPUTED_VALUE"""),"--")</f>
        <v>--</v>
      </c>
      <c r="AC836" s="251" t="str">
        <f>IFERROR(__xludf.DUMMYFUNCTION("""COMPUTED_VALUE"""),"--")</f>
        <v>--</v>
      </c>
      <c r="AD836" s="251">
        <f>IFERROR(__xludf.DUMMYFUNCTION("""COMPUTED_VALUE"""),3.0)</f>
        <v>3</v>
      </c>
      <c r="AE836" s="251" t="str">
        <f>IFERROR(__xludf.DUMMYFUNCTION("""COMPUTED_VALUE"""),"Omnivore")</f>
        <v>Omnivore</v>
      </c>
    </row>
    <row r="837">
      <c r="A837" s="251" t="str">
        <f>IFERROR(__xludf.DUMMYFUNCTION("""COMPUTED_VALUE"""),"Bunnelby")</f>
        <v>Bunnelby</v>
      </c>
      <c r="B837" s="251" t="str">
        <f>IFERROR(__xludf.DUMMYFUNCTION("""COMPUTED_VALUE"""),"Normal")</f>
        <v>Normal</v>
      </c>
      <c r="C837" s="251" t="str">
        <f>IFERROR(__xludf.DUMMYFUNCTION("""COMPUTED_VALUE"""),"None")</f>
        <v>None</v>
      </c>
      <c r="D837" s="251">
        <f>IFERROR(__xludf.DUMMYFUNCTION("""COMPUTED_VALUE"""),5.0)</f>
        <v>5</v>
      </c>
      <c r="E837" s="251">
        <f>IFERROR(__xludf.DUMMYFUNCTION("""COMPUTED_VALUE"""),5.0)</f>
        <v>5</v>
      </c>
      <c r="F837" s="251">
        <f>IFERROR(__xludf.DUMMYFUNCTION("""COMPUTED_VALUE"""),5.0)</f>
        <v>5</v>
      </c>
      <c r="G837" s="251">
        <f>IFERROR(__xludf.DUMMYFUNCTION("""COMPUTED_VALUE"""),4.0)</f>
        <v>4</v>
      </c>
      <c r="H837" s="251">
        <f>IFERROR(__xludf.DUMMYFUNCTION("""COMPUTED_VALUE"""),5.0)</f>
        <v>5</v>
      </c>
      <c r="I837" s="251">
        <f>IFERROR(__xludf.DUMMYFUNCTION("""COMPUTED_VALUE"""),6.0)</f>
        <v>6</v>
      </c>
      <c r="J837" s="251">
        <f>IFERROR(__xludf.DUMMYFUNCTION("""COMPUTED_VALUE"""),2.0)</f>
        <v>2</v>
      </c>
      <c r="K837" s="251" t="str">
        <f>IFERROR(__xludf.DUMMYFUNCTION("""COMPUTED_VALUE"""),"Small")</f>
        <v>Small</v>
      </c>
      <c r="L837" s="251">
        <f>IFERROR(__xludf.DUMMYFUNCTION("""COMPUTED_VALUE"""),1.0)</f>
        <v>1</v>
      </c>
      <c r="M837" s="251" t="str">
        <f>IFERROR(__xludf.DUMMYFUNCTION("""COMPUTED_VALUE"""),"Grasslands, Mountain")</f>
        <v>Grasslands, Mountain</v>
      </c>
      <c r="N837" s="251" t="str">
        <f>IFERROR(__xludf.DUMMYFUNCTION("""COMPUTED_VALUE"""),"Burrower")</f>
        <v>Burrower</v>
      </c>
      <c r="O837" s="251" t="str">
        <f>IFERROR(__xludf.DUMMYFUNCTION("""COMPUTED_VALUE"""),"Jumper")</f>
        <v>Jumper</v>
      </c>
      <c r="P837" s="251" t="str">
        <f>IFERROR(__xludf.DUMMYFUNCTION("""COMPUTED_VALUE"""),"--")</f>
        <v>--</v>
      </c>
      <c r="Q837" s="251" t="str">
        <f>IFERROR(__xludf.DUMMYFUNCTION("""COMPUTED_VALUE"""),"--")</f>
        <v>--</v>
      </c>
      <c r="R837" s="251" t="str">
        <f>IFERROR(__xludf.DUMMYFUNCTION("""COMPUTED_VALUE"""),"Underdog")</f>
        <v>Underdog</v>
      </c>
      <c r="S837" s="251" t="str">
        <f>IFERROR(__xludf.DUMMYFUNCTION("""COMPUTED_VALUE"""),"--")</f>
        <v>--</v>
      </c>
      <c r="T837" s="251" t="str">
        <f>IFERROR(__xludf.DUMMYFUNCTION("""COMPUTED_VALUE"""),"--")</f>
        <v>--</v>
      </c>
      <c r="U837" s="251" t="str">
        <f>IFERROR(__xludf.DUMMYFUNCTION("""COMPUTED_VALUE"""),"--")</f>
        <v>--</v>
      </c>
      <c r="V837" s="251" t="str">
        <f>IFERROR(__xludf.DUMMYFUNCTION("""COMPUTED_VALUE"""),"--")</f>
        <v>--</v>
      </c>
      <c r="W837" s="251" t="str">
        <f>IFERROR(__xludf.DUMMYFUNCTION("""COMPUTED_VALUE"""),"--")</f>
        <v>--</v>
      </c>
      <c r="X837" s="251" t="str">
        <f>IFERROR(__xludf.DUMMYFUNCTION("""COMPUTED_VALUE"""),"--")</f>
        <v>--</v>
      </c>
      <c r="Y837" s="251" t="str">
        <f>IFERROR(__xludf.DUMMYFUNCTION("""COMPUTED_VALUE"""),"--")</f>
        <v>--</v>
      </c>
      <c r="Z837" s="251" t="str">
        <f>IFERROR(__xludf.DUMMYFUNCTION("""COMPUTED_VALUE"""),"--")</f>
        <v>--</v>
      </c>
      <c r="AA837" s="251" t="str">
        <f>IFERROR(__xludf.DUMMYFUNCTION("""COMPUTED_VALUE"""),"--")</f>
        <v>--</v>
      </c>
      <c r="AB837" s="251" t="str">
        <f>IFERROR(__xludf.DUMMYFUNCTION("""COMPUTED_VALUE"""),"--")</f>
        <v>--</v>
      </c>
      <c r="AC837" s="251" t="str">
        <f>IFERROR(__xludf.DUMMYFUNCTION("""COMPUTED_VALUE"""),"--")</f>
        <v>--</v>
      </c>
      <c r="AD837" s="251">
        <f>IFERROR(__xludf.DUMMYFUNCTION("""COMPUTED_VALUE"""),2.0)</f>
        <v>2</v>
      </c>
      <c r="AE837" s="251" t="str">
        <f>IFERROR(__xludf.DUMMYFUNCTION("""COMPUTED_VALUE"""),"Herbivore")</f>
        <v>Herbivore</v>
      </c>
    </row>
    <row r="838">
      <c r="A838" s="251" t="str">
        <f>IFERROR(__xludf.DUMMYFUNCTION("""COMPUTED_VALUE"""),"Diggersby")</f>
        <v>Diggersby</v>
      </c>
      <c r="B838" s="251" t="str">
        <f>IFERROR(__xludf.DUMMYFUNCTION("""COMPUTED_VALUE"""),"Normal")</f>
        <v>Normal</v>
      </c>
      <c r="C838" s="251" t="str">
        <f>IFERROR(__xludf.DUMMYFUNCTION("""COMPUTED_VALUE"""),"Ground")</f>
        <v>Ground</v>
      </c>
      <c r="D838" s="251">
        <f>IFERROR(__xludf.DUMMYFUNCTION("""COMPUTED_VALUE"""),9.0)</f>
        <v>9</v>
      </c>
      <c r="E838" s="251">
        <f>IFERROR(__xludf.DUMMYFUNCTION("""COMPUTED_VALUE"""),6.0)</f>
        <v>6</v>
      </c>
      <c r="F838" s="251">
        <f>IFERROR(__xludf.DUMMYFUNCTION("""COMPUTED_VALUE"""),8.0)</f>
        <v>8</v>
      </c>
      <c r="G838" s="251">
        <f>IFERROR(__xludf.DUMMYFUNCTION("""COMPUTED_VALUE"""),5.0)</f>
        <v>5</v>
      </c>
      <c r="H838" s="251">
        <f>IFERROR(__xludf.DUMMYFUNCTION("""COMPUTED_VALUE"""),8.0)</f>
        <v>8</v>
      </c>
      <c r="I838" s="251">
        <f>IFERROR(__xludf.DUMMYFUNCTION("""COMPUTED_VALUE"""),8.0)</f>
        <v>8</v>
      </c>
      <c r="J838" s="251">
        <f>IFERROR(__xludf.DUMMYFUNCTION("""COMPUTED_VALUE"""),3.0)</f>
        <v>3</v>
      </c>
      <c r="K838" s="251" t="str">
        <f>IFERROR(__xludf.DUMMYFUNCTION("""COMPUTED_VALUE"""),"Medium")</f>
        <v>Medium</v>
      </c>
      <c r="L838" s="251">
        <f>IFERROR(__xludf.DUMMYFUNCTION("""COMPUTED_VALUE"""),3.0)</f>
        <v>3</v>
      </c>
      <c r="M838" s="251" t="str">
        <f>IFERROR(__xludf.DUMMYFUNCTION("""COMPUTED_VALUE"""),"Grasslands, Mountain")</f>
        <v>Grasslands, Mountain</v>
      </c>
      <c r="N838" s="251" t="str">
        <f>IFERROR(__xludf.DUMMYFUNCTION("""COMPUTED_VALUE"""),"Burrower")</f>
        <v>Burrower</v>
      </c>
      <c r="O838" s="251" t="str">
        <f>IFERROR(__xludf.DUMMYFUNCTION("""COMPUTED_VALUE"""),"Jumper")</f>
        <v>Jumper</v>
      </c>
      <c r="P838" s="251" t="str">
        <f>IFERROR(__xludf.DUMMYFUNCTION("""COMPUTED_VALUE"""),"--")</f>
        <v>--</v>
      </c>
      <c r="Q838" s="251" t="str">
        <f>IFERROR(__xludf.DUMMYFUNCTION("""COMPUTED_VALUE"""),"--")</f>
        <v>--</v>
      </c>
      <c r="R838" s="251" t="str">
        <f>IFERROR(__xludf.DUMMYFUNCTION("""COMPUTED_VALUE"""),"Groundshaper")</f>
        <v>Groundshaper</v>
      </c>
      <c r="S838" s="251" t="str">
        <f>IFERROR(__xludf.DUMMYFUNCTION("""COMPUTED_VALUE"""),"Underdog")</f>
        <v>Underdog</v>
      </c>
      <c r="T838" s="251" t="str">
        <f>IFERROR(__xludf.DUMMYFUNCTION("""COMPUTED_VALUE"""),"--")</f>
        <v>--</v>
      </c>
      <c r="U838" s="251" t="str">
        <f>IFERROR(__xludf.DUMMYFUNCTION("""COMPUTED_VALUE"""),"--")</f>
        <v>--</v>
      </c>
      <c r="V838" s="251" t="str">
        <f>IFERROR(__xludf.DUMMYFUNCTION("""COMPUTED_VALUE"""),"Tremorsense")</f>
        <v>Tremorsense</v>
      </c>
      <c r="W838" s="251" t="str">
        <f>IFERROR(__xludf.DUMMYFUNCTION("""COMPUTED_VALUE"""),"--")</f>
        <v>--</v>
      </c>
      <c r="X838" s="251" t="str">
        <f>IFERROR(__xludf.DUMMYFUNCTION("""COMPUTED_VALUE"""),"--")</f>
        <v>--</v>
      </c>
      <c r="Y838" s="251" t="str">
        <f>IFERROR(__xludf.DUMMYFUNCTION("""COMPUTED_VALUE"""),"--")</f>
        <v>--</v>
      </c>
      <c r="Z838" s="251" t="str">
        <f>IFERROR(__xludf.DUMMYFUNCTION("""COMPUTED_VALUE"""),"--")</f>
        <v>--</v>
      </c>
      <c r="AA838" s="251" t="str">
        <f>IFERROR(__xludf.DUMMYFUNCTION("""COMPUTED_VALUE"""),"--")</f>
        <v>--</v>
      </c>
      <c r="AB838" s="251" t="str">
        <f>IFERROR(__xludf.DUMMYFUNCTION("""COMPUTED_VALUE"""),"--")</f>
        <v>--</v>
      </c>
      <c r="AC838" s="251" t="str">
        <f>IFERROR(__xludf.DUMMYFUNCTION("""COMPUTED_VALUE"""),"--")</f>
        <v>--</v>
      </c>
      <c r="AD838" s="251">
        <f>IFERROR(__xludf.DUMMYFUNCTION("""COMPUTED_VALUE"""),3.0)</f>
        <v>3</v>
      </c>
      <c r="AE838" s="251" t="str">
        <f>IFERROR(__xludf.DUMMYFUNCTION("""COMPUTED_VALUE"""),"Herbivore")</f>
        <v>Herbivore</v>
      </c>
    </row>
    <row r="839">
      <c r="A839" s="251" t="str">
        <f>IFERROR(__xludf.DUMMYFUNCTION("""COMPUTED_VALUE"""),"Yungoos")</f>
        <v>Yungoos</v>
      </c>
      <c r="B839" s="251" t="str">
        <f>IFERROR(__xludf.DUMMYFUNCTION("""COMPUTED_VALUE"""),"Normal")</f>
        <v>Normal</v>
      </c>
      <c r="C839" s="251" t="str">
        <f>IFERROR(__xludf.DUMMYFUNCTION("""COMPUTED_VALUE"""),"None")</f>
        <v>None</v>
      </c>
      <c r="D839" s="251">
        <f>IFERROR(__xludf.DUMMYFUNCTION("""COMPUTED_VALUE"""),6.0)</f>
        <v>6</v>
      </c>
      <c r="E839" s="251">
        <f>IFERROR(__xludf.DUMMYFUNCTION("""COMPUTED_VALUE"""),7.0)</f>
        <v>7</v>
      </c>
      <c r="F839" s="251">
        <f>IFERROR(__xludf.DUMMYFUNCTION("""COMPUTED_VALUE"""),4.0)</f>
        <v>4</v>
      </c>
      <c r="G839" s="251">
        <f>IFERROR(__xludf.DUMMYFUNCTION("""COMPUTED_VALUE"""),4.0)</f>
        <v>4</v>
      </c>
      <c r="H839" s="251">
        <f>IFERROR(__xludf.DUMMYFUNCTION("""COMPUTED_VALUE"""),4.0)</f>
        <v>4</v>
      </c>
      <c r="I839" s="251">
        <f>IFERROR(__xludf.DUMMYFUNCTION("""COMPUTED_VALUE"""),5.0)</f>
        <v>5</v>
      </c>
      <c r="J839" s="251">
        <f>IFERROR(__xludf.DUMMYFUNCTION("""COMPUTED_VALUE"""),1.0)</f>
        <v>1</v>
      </c>
      <c r="K839" s="251" t="str">
        <f>IFERROR(__xludf.DUMMYFUNCTION("""COMPUTED_VALUE"""),"Small")</f>
        <v>Small</v>
      </c>
      <c r="L839" s="251">
        <f>IFERROR(__xludf.DUMMYFUNCTION("""COMPUTED_VALUE"""),1.0)</f>
        <v>1</v>
      </c>
      <c r="M839" s="251" t="str">
        <f>IFERROR(__xludf.DUMMYFUNCTION("""COMPUTED_VALUE"""),"Grasslands")</f>
        <v>Grasslands</v>
      </c>
      <c r="N839" s="251" t="str">
        <f>IFERROR(__xludf.DUMMYFUNCTION("""COMPUTED_VALUE"""),"--")</f>
        <v>--</v>
      </c>
      <c r="O839" s="251" t="str">
        <f>IFERROR(__xludf.DUMMYFUNCTION("""COMPUTED_VALUE"""),"--")</f>
        <v>--</v>
      </c>
      <c r="P839" s="251" t="str">
        <f>IFERROR(__xludf.DUMMYFUNCTION("""COMPUTED_VALUE"""),"--")</f>
        <v>--</v>
      </c>
      <c r="Q839" s="251" t="str">
        <f>IFERROR(__xludf.DUMMYFUNCTION("""COMPUTED_VALUE"""),"--")</f>
        <v>--</v>
      </c>
      <c r="R839" s="251" t="str">
        <f>IFERROR(__xludf.DUMMYFUNCTION("""COMPUTED_VALUE"""),"Underdog")</f>
        <v>Underdog</v>
      </c>
      <c r="S839" s="251" t="str">
        <f>IFERROR(__xludf.DUMMYFUNCTION("""COMPUTED_VALUE"""),"--")</f>
        <v>--</v>
      </c>
      <c r="T839" s="251" t="str">
        <f>IFERROR(__xludf.DUMMYFUNCTION("""COMPUTED_VALUE"""),"--")</f>
        <v>--</v>
      </c>
      <c r="U839" s="251" t="str">
        <f>IFERROR(__xludf.DUMMYFUNCTION("""COMPUTED_VALUE"""),"--")</f>
        <v>--</v>
      </c>
      <c r="V839" s="251" t="str">
        <f>IFERROR(__xludf.DUMMYFUNCTION("""COMPUTED_VALUE"""),"Tracker")</f>
        <v>Tracker</v>
      </c>
      <c r="W839" s="251" t="str">
        <f>IFERROR(__xludf.DUMMYFUNCTION("""COMPUTED_VALUE"""),"--")</f>
        <v>--</v>
      </c>
      <c r="X839" s="251" t="str">
        <f>IFERROR(__xludf.DUMMYFUNCTION("""COMPUTED_VALUE"""),"--")</f>
        <v>--</v>
      </c>
      <c r="Y839" s="251" t="str">
        <f>IFERROR(__xludf.DUMMYFUNCTION("""COMPUTED_VALUE"""),"--")</f>
        <v>--</v>
      </c>
      <c r="Z839" s="251" t="str">
        <f>IFERROR(__xludf.DUMMYFUNCTION("""COMPUTED_VALUE"""),"--")</f>
        <v>--</v>
      </c>
      <c r="AA839" s="251" t="str">
        <f>IFERROR(__xludf.DUMMYFUNCTION("""COMPUTED_VALUE"""),"--")</f>
        <v>--</v>
      </c>
      <c r="AB839" s="251" t="str">
        <f>IFERROR(__xludf.DUMMYFUNCTION("""COMPUTED_VALUE"""),"--")</f>
        <v>--</v>
      </c>
      <c r="AC839" s="251" t="str">
        <f>IFERROR(__xludf.DUMMYFUNCTION("""COMPUTED_VALUE"""),"--")</f>
        <v>--</v>
      </c>
      <c r="AD839" s="251">
        <f>IFERROR(__xludf.DUMMYFUNCTION("""COMPUTED_VALUE"""),2.0)</f>
        <v>2</v>
      </c>
      <c r="AE839" s="251" t="str">
        <f>IFERROR(__xludf.DUMMYFUNCTION("""COMPUTED_VALUE"""),"Carnivore")</f>
        <v>Carnivore</v>
      </c>
    </row>
    <row r="840">
      <c r="A840" s="251" t="str">
        <f>IFERROR(__xludf.DUMMYFUNCTION("""COMPUTED_VALUE"""),"Gumshoos")</f>
        <v>Gumshoos</v>
      </c>
      <c r="B840" s="251" t="str">
        <f>IFERROR(__xludf.DUMMYFUNCTION("""COMPUTED_VALUE"""),"Normal")</f>
        <v>Normal</v>
      </c>
      <c r="C840" s="251" t="str">
        <f>IFERROR(__xludf.DUMMYFUNCTION("""COMPUTED_VALUE"""),"None")</f>
        <v>None</v>
      </c>
      <c r="D840" s="251">
        <f>IFERROR(__xludf.DUMMYFUNCTION("""COMPUTED_VALUE"""),9.0)</f>
        <v>9</v>
      </c>
      <c r="E840" s="251">
        <f>IFERROR(__xludf.DUMMYFUNCTION("""COMPUTED_VALUE"""),11.0)</f>
        <v>11</v>
      </c>
      <c r="F840" s="251">
        <f>IFERROR(__xludf.DUMMYFUNCTION("""COMPUTED_VALUE"""),6.0)</f>
        <v>6</v>
      </c>
      <c r="G840" s="251">
        <f>IFERROR(__xludf.DUMMYFUNCTION("""COMPUTED_VALUE"""),6.0)</f>
        <v>6</v>
      </c>
      <c r="H840" s="251">
        <f>IFERROR(__xludf.DUMMYFUNCTION("""COMPUTED_VALUE"""),6.0)</f>
        <v>6</v>
      </c>
      <c r="I840" s="251">
        <f>IFERROR(__xludf.DUMMYFUNCTION("""COMPUTED_VALUE"""),5.0)</f>
        <v>5</v>
      </c>
      <c r="J840" s="251">
        <f>IFERROR(__xludf.DUMMYFUNCTION("""COMPUTED_VALUE"""),3.0)</f>
        <v>3</v>
      </c>
      <c r="K840" s="251" t="str">
        <f>IFERROR(__xludf.DUMMYFUNCTION("""COMPUTED_VALUE"""),"Small")</f>
        <v>Small</v>
      </c>
      <c r="L840" s="251">
        <f>IFERROR(__xludf.DUMMYFUNCTION("""COMPUTED_VALUE"""),2.0)</f>
        <v>2</v>
      </c>
      <c r="M840" s="251" t="str">
        <f>IFERROR(__xludf.DUMMYFUNCTION("""COMPUTED_VALUE"""),"Grasslands")</f>
        <v>Grasslands</v>
      </c>
      <c r="N840" s="251" t="str">
        <f>IFERROR(__xludf.DUMMYFUNCTION("""COMPUTED_VALUE"""),"--")</f>
        <v>--</v>
      </c>
      <c r="O840" s="251" t="str">
        <f>IFERROR(__xludf.DUMMYFUNCTION("""COMPUTED_VALUE"""),"--")</f>
        <v>--</v>
      </c>
      <c r="P840" s="251" t="str">
        <f>IFERROR(__xludf.DUMMYFUNCTION("""COMPUTED_VALUE"""),"--")</f>
        <v>--</v>
      </c>
      <c r="Q840" s="251" t="str">
        <f>IFERROR(__xludf.DUMMYFUNCTION("""COMPUTED_VALUE"""),"--")</f>
        <v>--</v>
      </c>
      <c r="R840" s="251" t="str">
        <f>IFERROR(__xludf.DUMMYFUNCTION("""COMPUTED_VALUE"""),"Underdog")</f>
        <v>Underdog</v>
      </c>
      <c r="S840" s="251" t="str">
        <f>IFERROR(__xludf.DUMMYFUNCTION("""COMPUTED_VALUE"""),"--")</f>
        <v>--</v>
      </c>
      <c r="T840" s="251" t="str">
        <f>IFERROR(__xludf.DUMMYFUNCTION("""COMPUTED_VALUE"""),"--")</f>
        <v>--</v>
      </c>
      <c r="U840" s="251" t="str">
        <f>IFERROR(__xludf.DUMMYFUNCTION("""COMPUTED_VALUE"""),"--")</f>
        <v>--</v>
      </c>
      <c r="V840" s="251" t="str">
        <f>IFERROR(__xludf.DUMMYFUNCTION("""COMPUTED_VALUE"""),"Tracker")</f>
        <v>Tracker</v>
      </c>
      <c r="W840" s="251" t="str">
        <f>IFERROR(__xludf.DUMMYFUNCTION("""COMPUTED_VALUE"""),"--")</f>
        <v>--</v>
      </c>
      <c r="X840" s="251" t="str">
        <f>IFERROR(__xludf.DUMMYFUNCTION("""COMPUTED_VALUE"""),"--")</f>
        <v>--</v>
      </c>
      <c r="Y840" s="251" t="str">
        <f>IFERROR(__xludf.DUMMYFUNCTION("""COMPUTED_VALUE"""),"--")</f>
        <v>--</v>
      </c>
      <c r="Z840" s="251" t="str">
        <f>IFERROR(__xludf.DUMMYFUNCTION("""COMPUTED_VALUE"""),"--")</f>
        <v>--</v>
      </c>
      <c r="AA840" s="251" t="str">
        <f>IFERROR(__xludf.DUMMYFUNCTION("""COMPUTED_VALUE"""),"--")</f>
        <v>--</v>
      </c>
      <c r="AB840" s="251" t="str">
        <f>IFERROR(__xludf.DUMMYFUNCTION("""COMPUTED_VALUE"""),"--")</f>
        <v>--</v>
      </c>
      <c r="AC840" s="251" t="str">
        <f>IFERROR(__xludf.DUMMYFUNCTION("""COMPUTED_VALUE"""),"--")</f>
        <v>--</v>
      </c>
      <c r="AD840" s="251">
        <f>IFERROR(__xludf.DUMMYFUNCTION("""COMPUTED_VALUE"""),3.0)</f>
        <v>3</v>
      </c>
      <c r="AE840" s="251" t="str">
        <f>IFERROR(__xludf.DUMMYFUNCTION("""COMPUTED_VALUE"""),"Carnivore")</f>
        <v>Carnivore</v>
      </c>
    </row>
    <row r="841">
      <c r="A841" s="251" t="str">
        <f>IFERROR(__xludf.DUMMYFUNCTION("""COMPUTED_VALUE"""),"Stufful")</f>
        <v>Stufful</v>
      </c>
      <c r="B841" s="251" t="str">
        <f>IFERROR(__xludf.DUMMYFUNCTION("""COMPUTED_VALUE"""),"Normal")</f>
        <v>Normal</v>
      </c>
      <c r="C841" s="251" t="str">
        <f>IFERROR(__xludf.DUMMYFUNCTION("""COMPUTED_VALUE"""),"Fighting")</f>
        <v>Fighting</v>
      </c>
      <c r="D841" s="251">
        <f>IFERROR(__xludf.DUMMYFUNCTION("""COMPUTED_VALUE"""),7.0)</f>
        <v>7</v>
      </c>
      <c r="E841" s="251">
        <f>IFERROR(__xludf.DUMMYFUNCTION("""COMPUTED_VALUE"""),8.0)</f>
        <v>8</v>
      </c>
      <c r="F841" s="251">
        <f>IFERROR(__xludf.DUMMYFUNCTION("""COMPUTED_VALUE"""),5.0)</f>
        <v>5</v>
      </c>
      <c r="G841" s="251">
        <f>IFERROR(__xludf.DUMMYFUNCTION("""COMPUTED_VALUE"""),5.0)</f>
        <v>5</v>
      </c>
      <c r="H841" s="251">
        <f>IFERROR(__xludf.DUMMYFUNCTION("""COMPUTED_VALUE"""),5.0)</f>
        <v>5</v>
      </c>
      <c r="I841" s="251">
        <f>IFERROR(__xludf.DUMMYFUNCTION("""COMPUTED_VALUE"""),5.0)</f>
        <v>5</v>
      </c>
      <c r="J841" s="251">
        <f>IFERROR(__xludf.DUMMYFUNCTION("""COMPUTED_VALUE"""),6.0)</f>
        <v>6</v>
      </c>
      <c r="K841" s="251" t="str">
        <f>IFERROR(__xludf.DUMMYFUNCTION("""COMPUTED_VALUE"""),"Small")</f>
        <v>Small</v>
      </c>
      <c r="L841" s="251">
        <f>IFERROR(__xludf.DUMMYFUNCTION("""COMPUTED_VALUE"""),1.0)</f>
        <v>1</v>
      </c>
      <c r="M841" s="251" t="str">
        <f>IFERROR(__xludf.DUMMYFUNCTION("""COMPUTED_VALUE"""),"Forest")</f>
        <v>Forest</v>
      </c>
      <c r="N841" s="251" t="str">
        <f>IFERROR(__xludf.DUMMYFUNCTION("""COMPUTED_VALUE"""),"--")</f>
        <v>--</v>
      </c>
      <c r="O841" s="251" t="str">
        <f>IFERROR(__xludf.DUMMYFUNCTION("""COMPUTED_VALUE"""),"--")</f>
        <v>--</v>
      </c>
      <c r="P841" s="251" t="str">
        <f>IFERROR(__xludf.DUMMYFUNCTION("""COMPUTED_VALUE"""),"--")</f>
        <v>--</v>
      </c>
      <c r="Q841" s="251" t="str">
        <f>IFERROR(__xludf.DUMMYFUNCTION("""COMPUTED_VALUE"""),"--")</f>
        <v>--</v>
      </c>
      <c r="R841" s="251" t="str">
        <f>IFERROR(__xludf.DUMMYFUNCTION("""COMPUTED_VALUE"""),"Underdog")</f>
        <v>Underdog</v>
      </c>
      <c r="S841" s="251" t="str">
        <f>IFERROR(__xludf.DUMMYFUNCTION("""COMPUTED_VALUE"""),"--")</f>
        <v>--</v>
      </c>
      <c r="T841" s="251" t="str">
        <f>IFERROR(__xludf.DUMMYFUNCTION("""COMPUTED_VALUE"""),"--")</f>
        <v>--</v>
      </c>
      <c r="U841" s="251" t="str">
        <f>IFERROR(__xludf.DUMMYFUNCTION("""COMPUTED_VALUE"""),"--")</f>
        <v>--</v>
      </c>
      <c r="V841" s="251" t="str">
        <f>IFERROR(__xludf.DUMMYFUNCTION("""COMPUTED_VALUE"""),"--")</f>
        <v>--</v>
      </c>
      <c r="W841" s="251" t="str">
        <f>IFERROR(__xludf.DUMMYFUNCTION("""COMPUTED_VALUE"""),"--")</f>
        <v>--</v>
      </c>
      <c r="X841" s="251" t="str">
        <f>IFERROR(__xludf.DUMMYFUNCTION("""COMPUTED_VALUE"""),"--")</f>
        <v>--</v>
      </c>
      <c r="Y841" s="251" t="str">
        <f>IFERROR(__xludf.DUMMYFUNCTION("""COMPUTED_VALUE"""),"--")</f>
        <v>--</v>
      </c>
      <c r="Z841" s="251" t="str">
        <f>IFERROR(__xludf.DUMMYFUNCTION("""COMPUTED_VALUE"""),"--")</f>
        <v>--</v>
      </c>
      <c r="AA841" s="251" t="str">
        <f>IFERROR(__xludf.DUMMYFUNCTION("""COMPUTED_VALUE"""),"--")</f>
        <v>--</v>
      </c>
      <c r="AB841" s="251" t="str">
        <f>IFERROR(__xludf.DUMMYFUNCTION("""COMPUTED_VALUE"""),"--")</f>
        <v>--</v>
      </c>
      <c r="AC841" s="251" t="str">
        <f>IFERROR(__xludf.DUMMYFUNCTION("""COMPUTED_VALUE"""),"--")</f>
        <v>--</v>
      </c>
      <c r="AD841" s="251">
        <f>IFERROR(__xludf.DUMMYFUNCTION("""COMPUTED_VALUE"""),2.0)</f>
        <v>2</v>
      </c>
      <c r="AE841" s="251" t="str">
        <f>IFERROR(__xludf.DUMMYFUNCTION("""COMPUTED_VALUE"""),"Omnivore")</f>
        <v>Omnivore</v>
      </c>
    </row>
    <row r="842">
      <c r="A842" s="251" t="str">
        <f>IFERROR(__xludf.DUMMYFUNCTION("""COMPUTED_VALUE"""),"Bewear")</f>
        <v>Bewear</v>
      </c>
      <c r="B842" s="251" t="str">
        <f>IFERROR(__xludf.DUMMYFUNCTION("""COMPUTED_VALUE"""),"Normal")</f>
        <v>Normal</v>
      </c>
      <c r="C842" s="251" t="str">
        <f>IFERROR(__xludf.DUMMYFUNCTION("""COMPUTED_VALUE"""),"Fighting")</f>
        <v>Fighting</v>
      </c>
      <c r="D842" s="251">
        <f>IFERROR(__xludf.DUMMYFUNCTION("""COMPUTED_VALUE"""),12.0)</f>
        <v>12</v>
      </c>
      <c r="E842" s="251">
        <f>IFERROR(__xludf.DUMMYFUNCTION("""COMPUTED_VALUE"""),13.0)</f>
        <v>13</v>
      </c>
      <c r="F842" s="251">
        <f>IFERROR(__xludf.DUMMYFUNCTION("""COMPUTED_VALUE"""),8.0)</f>
        <v>8</v>
      </c>
      <c r="G842" s="251">
        <f>IFERROR(__xludf.DUMMYFUNCTION("""COMPUTED_VALUE"""),6.0)</f>
        <v>6</v>
      </c>
      <c r="H842" s="251">
        <f>IFERROR(__xludf.DUMMYFUNCTION("""COMPUTED_VALUE"""),6.0)</f>
        <v>6</v>
      </c>
      <c r="I842" s="251">
        <f>IFERROR(__xludf.DUMMYFUNCTION("""COMPUTED_VALUE"""),6.0)</f>
        <v>6</v>
      </c>
      <c r="J842" s="251">
        <f>IFERROR(__xludf.DUMMYFUNCTION("""COMPUTED_VALUE"""),11.0)</f>
        <v>11</v>
      </c>
      <c r="K842" s="251" t="str">
        <f>IFERROR(__xludf.DUMMYFUNCTION("""COMPUTED_VALUE"""),"Large")</f>
        <v>Large</v>
      </c>
      <c r="L842" s="251">
        <f>IFERROR(__xludf.DUMMYFUNCTION("""COMPUTED_VALUE"""),5.0)</f>
        <v>5</v>
      </c>
      <c r="M842" s="251" t="str">
        <f>IFERROR(__xludf.DUMMYFUNCTION("""COMPUTED_VALUE"""),"Forest")</f>
        <v>Forest</v>
      </c>
      <c r="N842" s="251" t="str">
        <f>IFERROR(__xludf.DUMMYFUNCTION("""COMPUTED_VALUE"""),"--")</f>
        <v>--</v>
      </c>
      <c r="O842" s="251" t="str">
        <f>IFERROR(__xludf.DUMMYFUNCTION("""COMPUTED_VALUE"""),"--")</f>
        <v>--</v>
      </c>
      <c r="P842" s="251" t="str">
        <f>IFERROR(__xludf.DUMMYFUNCTION("""COMPUTED_VALUE"""),"--")</f>
        <v>--</v>
      </c>
      <c r="Q842" s="251" t="str">
        <f>IFERROR(__xludf.DUMMYFUNCTION("""COMPUTED_VALUE"""),"--")</f>
        <v>--</v>
      </c>
      <c r="R842" s="251" t="str">
        <f>IFERROR(__xludf.DUMMYFUNCTION("""COMPUTED_VALUE"""),"--")</f>
        <v>--</v>
      </c>
      <c r="S842" s="251" t="str">
        <f>IFERROR(__xludf.DUMMYFUNCTION("""COMPUTED_VALUE"""),"--")</f>
        <v>--</v>
      </c>
      <c r="T842" s="251" t="str">
        <f>IFERROR(__xludf.DUMMYFUNCTION("""COMPUTED_VALUE"""),"--")</f>
        <v>--</v>
      </c>
      <c r="U842" s="251" t="str">
        <f>IFERROR(__xludf.DUMMYFUNCTION("""COMPUTED_VALUE"""),"--")</f>
        <v>--</v>
      </c>
      <c r="V842" s="251" t="str">
        <f>IFERROR(__xludf.DUMMYFUNCTION("""COMPUTED_VALUE"""),"--")</f>
        <v>--</v>
      </c>
      <c r="W842" s="251" t="str">
        <f>IFERROR(__xludf.DUMMYFUNCTION("""COMPUTED_VALUE"""),"--")</f>
        <v>--</v>
      </c>
      <c r="X842" s="251" t="str">
        <f>IFERROR(__xludf.DUMMYFUNCTION("""COMPUTED_VALUE"""),"--")</f>
        <v>--</v>
      </c>
      <c r="Y842" s="251" t="str">
        <f>IFERROR(__xludf.DUMMYFUNCTION("""COMPUTED_VALUE"""),"--")</f>
        <v>--</v>
      </c>
      <c r="Z842" s="251" t="str">
        <f>IFERROR(__xludf.DUMMYFUNCTION("""COMPUTED_VALUE"""),"--")</f>
        <v>--</v>
      </c>
      <c r="AA842" s="251" t="str">
        <f>IFERROR(__xludf.DUMMYFUNCTION("""COMPUTED_VALUE"""),"--")</f>
        <v>--</v>
      </c>
      <c r="AB842" s="251" t="str">
        <f>IFERROR(__xludf.DUMMYFUNCTION("""COMPUTED_VALUE"""),"--")</f>
        <v>--</v>
      </c>
      <c r="AC842" s="251" t="str">
        <f>IFERROR(__xludf.DUMMYFUNCTION("""COMPUTED_VALUE"""),"--")</f>
        <v>--</v>
      </c>
      <c r="AD842" s="251">
        <f>IFERROR(__xludf.DUMMYFUNCTION("""COMPUTED_VALUE"""),3.0)</f>
        <v>3</v>
      </c>
      <c r="AE842" s="251" t="str">
        <f>IFERROR(__xludf.DUMMYFUNCTION("""COMPUTED_VALUE"""),"Omnivore")</f>
        <v>Omnivore</v>
      </c>
    </row>
    <row r="843">
      <c r="A843" s="251" t="str">
        <f>IFERROR(__xludf.DUMMYFUNCTION("""COMPUTED_VALUE"""),"Skwovet")</f>
        <v>Skwovet</v>
      </c>
      <c r="B843" s="251" t="str">
        <f>IFERROR(__xludf.DUMMYFUNCTION("""COMPUTED_VALUE"""),"Normal")</f>
        <v>Normal</v>
      </c>
      <c r="C843" s="251" t="str">
        <f>IFERROR(__xludf.DUMMYFUNCTION("""COMPUTED_VALUE"""),"None")</f>
        <v>None</v>
      </c>
      <c r="D843" s="251">
        <f>IFERROR(__xludf.DUMMYFUNCTION("""COMPUTED_VALUE"""),7.0)</f>
        <v>7</v>
      </c>
      <c r="E843" s="251">
        <f>IFERROR(__xludf.DUMMYFUNCTION("""COMPUTED_VALUE"""),6.0)</f>
        <v>6</v>
      </c>
      <c r="F843" s="251">
        <f>IFERROR(__xludf.DUMMYFUNCTION("""COMPUTED_VALUE"""),6.0)</f>
        <v>6</v>
      </c>
      <c r="G843" s="251">
        <f>IFERROR(__xludf.DUMMYFUNCTION("""COMPUTED_VALUE"""),5.0)</f>
        <v>5</v>
      </c>
      <c r="H843" s="251">
        <f>IFERROR(__xludf.DUMMYFUNCTION("""COMPUTED_VALUE"""),4.0)</f>
        <v>4</v>
      </c>
      <c r="I843" s="251">
        <f>IFERROR(__xludf.DUMMYFUNCTION("""COMPUTED_VALUE"""),3.0)</f>
        <v>3</v>
      </c>
      <c r="J843" s="251">
        <f>IFERROR(__xludf.DUMMYFUNCTION("""COMPUTED_VALUE"""),2.0)</f>
        <v>2</v>
      </c>
      <c r="K843" s="251" t="str">
        <f>IFERROR(__xludf.DUMMYFUNCTION("""COMPUTED_VALUE"""),"Small")</f>
        <v>Small</v>
      </c>
      <c r="L843" s="251">
        <f>IFERROR(__xludf.DUMMYFUNCTION("""COMPUTED_VALUE"""),1.0)</f>
        <v>1</v>
      </c>
      <c r="M843" s="251" t="str">
        <f>IFERROR(__xludf.DUMMYFUNCTION("""COMPUTED_VALUE"""),"Forest")</f>
        <v>Forest</v>
      </c>
      <c r="N843" s="251" t="str">
        <f>IFERROR(__xludf.DUMMYFUNCTION("""COMPUTED_VALUE"""),"Climber")</f>
        <v>Climber</v>
      </c>
      <c r="O843" s="251" t="str">
        <f>IFERROR(__xludf.DUMMYFUNCTION("""COMPUTED_VALUE"""),"--")</f>
        <v>--</v>
      </c>
      <c r="P843" s="251" t="str">
        <f>IFERROR(__xludf.DUMMYFUNCTION("""COMPUTED_VALUE"""),"--")</f>
        <v>--</v>
      </c>
      <c r="Q843" s="251" t="str">
        <f>IFERROR(__xludf.DUMMYFUNCTION("""COMPUTED_VALUE"""),"--")</f>
        <v>--</v>
      </c>
      <c r="R843" s="251" t="str">
        <f>IFERROR(__xludf.DUMMYFUNCTION("""COMPUTED_VALUE"""),"Underdog")</f>
        <v>Underdog</v>
      </c>
      <c r="S843" s="251" t="str">
        <f>IFERROR(__xludf.DUMMYFUNCTION("""COMPUTED_VALUE"""),"--")</f>
        <v>--</v>
      </c>
      <c r="T843" s="251" t="str">
        <f>IFERROR(__xludf.DUMMYFUNCTION("""COMPUTED_VALUE"""),"--")</f>
        <v>--</v>
      </c>
      <c r="U843" s="251" t="str">
        <f>IFERROR(__xludf.DUMMYFUNCTION("""COMPUTED_VALUE"""),"--")</f>
        <v>--</v>
      </c>
      <c r="V843" s="251" t="str">
        <f>IFERROR(__xludf.DUMMYFUNCTION("""COMPUTED_VALUE"""),"--")</f>
        <v>--</v>
      </c>
      <c r="W843" s="251" t="str">
        <f>IFERROR(__xludf.DUMMYFUNCTION("""COMPUTED_VALUE"""),"--")</f>
        <v>--</v>
      </c>
      <c r="X843" s="251" t="str">
        <f>IFERROR(__xludf.DUMMYFUNCTION("""COMPUTED_VALUE"""),"--")</f>
        <v>--</v>
      </c>
      <c r="Y843" s="251" t="str">
        <f>IFERROR(__xludf.DUMMYFUNCTION("""COMPUTED_VALUE"""),"--")</f>
        <v>--</v>
      </c>
      <c r="Z843" s="251" t="str">
        <f>IFERROR(__xludf.DUMMYFUNCTION("""COMPUTED_VALUE"""),"--")</f>
        <v>--</v>
      </c>
      <c r="AA843" s="251" t="str">
        <f>IFERROR(__xludf.DUMMYFUNCTION("""COMPUTED_VALUE"""),"--")</f>
        <v>--</v>
      </c>
      <c r="AB843" s="251" t="str">
        <f>IFERROR(__xludf.DUMMYFUNCTION("""COMPUTED_VALUE"""),"--")</f>
        <v>--</v>
      </c>
      <c r="AC843" s="251" t="str">
        <f>IFERROR(__xludf.DUMMYFUNCTION("""COMPUTED_VALUE"""),"--")</f>
        <v>--</v>
      </c>
      <c r="AD843" s="251">
        <f>IFERROR(__xludf.DUMMYFUNCTION("""COMPUTED_VALUE"""),2.0)</f>
        <v>2</v>
      </c>
      <c r="AE843" s="251" t="str">
        <f>IFERROR(__xludf.DUMMYFUNCTION("""COMPUTED_VALUE"""),"Herbivore")</f>
        <v>Herbivore</v>
      </c>
    </row>
    <row r="844">
      <c r="A844" s="251" t="str">
        <f>IFERROR(__xludf.DUMMYFUNCTION("""COMPUTED_VALUE"""),"Greedent")</f>
        <v>Greedent</v>
      </c>
      <c r="B844" s="251" t="str">
        <f>IFERROR(__xludf.DUMMYFUNCTION("""COMPUTED_VALUE"""),"Normal")</f>
        <v>Normal</v>
      </c>
      <c r="C844" s="251" t="str">
        <f>IFERROR(__xludf.DUMMYFUNCTION("""COMPUTED_VALUE"""),"None")</f>
        <v>None</v>
      </c>
      <c r="D844" s="251">
        <f>IFERROR(__xludf.DUMMYFUNCTION("""COMPUTED_VALUE"""),13.0)</f>
        <v>13</v>
      </c>
      <c r="E844" s="251">
        <f>IFERROR(__xludf.DUMMYFUNCTION("""COMPUTED_VALUE"""),10.0)</f>
        <v>10</v>
      </c>
      <c r="F844" s="251">
        <f>IFERROR(__xludf.DUMMYFUNCTION("""COMPUTED_VALUE"""),11.0)</f>
        <v>11</v>
      </c>
      <c r="G844" s="251">
        <f>IFERROR(__xludf.DUMMYFUNCTION("""COMPUTED_VALUE"""),6.0)</f>
        <v>6</v>
      </c>
      <c r="H844" s="251">
        <f>IFERROR(__xludf.DUMMYFUNCTION("""COMPUTED_VALUE"""),9.0)</f>
        <v>9</v>
      </c>
      <c r="I844" s="251">
        <f>IFERROR(__xludf.DUMMYFUNCTION("""COMPUTED_VALUE"""),2.0)</f>
        <v>2</v>
      </c>
      <c r="J844" s="251">
        <f>IFERROR(__xludf.DUMMYFUNCTION("""COMPUTED_VALUE"""),3.0)</f>
        <v>3</v>
      </c>
      <c r="K844" s="251" t="str">
        <f>IFERROR(__xludf.DUMMYFUNCTION("""COMPUTED_VALUE"""),"Small")</f>
        <v>Small</v>
      </c>
      <c r="L844" s="251">
        <f>IFERROR(__xludf.DUMMYFUNCTION("""COMPUTED_VALUE"""),1.0)</f>
        <v>1</v>
      </c>
      <c r="M844" s="251" t="str">
        <f>IFERROR(__xludf.DUMMYFUNCTION("""COMPUTED_VALUE"""),"Forest")</f>
        <v>Forest</v>
      </c>
      <c r="N844" s="251" t="str">
        <f>IFERROR(__xludf.DUMMYFUNCTION("""COMPUTED_VALUE"""),"Climber")</f>
        <v>Climber</v>
      </c>
      <c r="O844" s="251" t="str">
        <f>IFERROR(__xludf.DUMMYFUNCTION("""COMPUTED_VALUE"""),"--")</f>
        <v>--</v>
      </c>
      <c r="P844" s="251" t="str">
        <f>IFERROR(__xludf.DUMMYFUNCTION("""COMPUTED_VALUE"""),"--")</f>
        <v>--</v>
      </c>
      <c r="Q844" s="251" t="str">
        <f>IFERROR(__xludf.DUMMYFUNCTION("""COMPUTED_VALUE"""),"--")</f>
        <v>--</v>
      </c>
      <c r="R844" s="251" t="str">
        <f>IFERROR(__xludf.DUMMYFUNCTION("""COMPUTED_VALUE"""),"--")</f>
        <v>--</v>
      </c>
      <c r="S844" s="251" t="str">
        <f>IFERROR(__xludf.DUMMYFUNCTION("""COMPUTED_VALUE"""),"--")</f>
        <v>--</v>
      </c>
      <c r="T844" s="251" t="str">
        <f>IFERROR(__xludf.DUMMYFUNCTION("""COMPUTED_VALUE"""),"--")</f>
        <v>--</v>
      </c>
      <c r="U844" s="251" t="str">
        <f>IFERROR(__xludf.DUMMYFUNCTION("""COMPUTED_VALUE"""),"--")</f>
        <v>--</v>
      </c>
      <c r="V844" s="251" t="str">
        <f>IFERROR(__xludf.DUMMYFUNCTION("""COMPUTED_VALUE"""),"--")</f>
        <v>--</v>
      </c>
      <c r="W844" s="251" t="str">
        <f>IFERROR(__xludf.DUMMYFUNCTION("""COMPUTED_VALUE"""),"--")</f>
        <v>--</v>
      </c>
      <c r="X844" s="251" t="str">
        <f>IFERROR(__xludf.DUMMYFUNCTION("""COMPUTED_VALUE"""),"--")</f>
        <v>--</v>
      </c>
      <c r="Y844" s="251" t="str">
        <f>IFERROR(__xludf.DUMMYFUNCTION("""COMPUTED_VALUE"""),"--")</f>
        <v>--</v>
      </c>
      <c r="Z844" s="251" t="str">
        <f>IFERROR(__xludf.DUMMYFUNCTION("""COMPUTED_VALUE"""),"--")</f>
        <v>--</v>
      </c>
      <c r="AA844" s="251" t="str">
        <f>IFERROR(__xludf.DUMMYFUNCTION("""COMPUTED_VALUE"""),"--")</f>
        <v>--</v>
      </c>
      <c r="AB844" s="251" t="str">
        <f>IFERROR(__xludf.DUMMYFUNCTION("""COMPUTED_VALUE"""),"--")</f>
        <v>--</v>
      </c>
      <c r="AC844" s="251" t="str">
        <f>IFERROR(__xludf.DUMMYFUNCTION("""COMPUTED_VALUE"""),"--")</f>
        <v>--</v>
      </c>
      <c r="AD844" s="251">
        <f>IFERROR(__xludf.DUMMYFUNCTION("""COMPUTED_VALUE"""),3.0)</f>
        <v>3</v>
      </c>
      <c r="AE844" s="251" t="str">
        <f>IFERROR(__xludf.DUMMYFUNCTION("""COMPUTED_VALUE"""),"Herbivore")</f>
        <v>Herbivore</v>
      </c>
    </row>
    <row r="845">
      <c r="A845" s="251" t="str">
        <f>IFERROR(__xludf.DUMMYFUNCTION("""COMPUTED_VALUE"""),"Wooloo")</f>
        <v>Wooloo</v>
      </c>
      <c r="B845" s="251" t="str">
        <f>IFERROR(__xludf.DUMMYFUNCTION("""COMPUTED_VALUE"""),"Normal")</f>
        <v>Normal</v>
      </c>
      <c r="C845" s="251" t="str">
        <f>IFERROR(__xludf.DUMMYFUNCTION("""COMPUTED_VALUE"""),"None")</f>
        <v>None</v>
      </c>
      <c r="D845" s="251">
        <f>IFERROR(__xludf.DUMMYFUNCTION("""COMPUTED_VALUE"""),5.0)</f>
        <v>5</v>
      </c>
      <c r="E845" s="251">
        <f>IFERROR(__xludf.DUMMYFUNCTION("""COMPUTED_VALUE"""),4.0)</f>
        <v>4</v>
      </c>
      <c r="F845" s="251">
        <f>IFERROR(__xludf.DUMMYFUNCTION("""COMPUTED_VALUE"""),6.0)</f>
        <v>6</v>
      </c>
      <c r="G845" s="251">
        <f>IFERROR(__xludf.DUMMYFUNCTION("""COMPUTED_VALUE"""),4.0)</f>
        <v>4</v>
      </c>
      <c r="H845" s="251">
        <f>IFERROR(__xludf.DUMMYFUNCTION("""COMPUTED_VALUE"""),6.0)</f>
        <v>6</v>
      </c>
      <c r="I845" s="251">
        <f>IFERROR(__xludf.DUMMYFUNCTION("""COMPUTED_VALUE"""),5.0)</f>
        <v>5</v>
      </c>
      <c r="J845" s="251">
        <f>IFERROR(__xludf.DUMMYFUNCTION("""COMPUTED_VALUE"""),4.0)</f>
        <v>4</v>
      </c>
      <c r="K845" s="251" t="str">
        <f>IFERROR(__xludf.DUMMYFUNCTION("""COMPUTED_VALUE"""),"Small")</f>
        <v>Small</v>
      </c>
      <c r="L845" s="251">
        <f>IFERROR(__xludf.DUMMYFUNCTION("""COMPUTED_VALUE"""),1.0)</f>
        <v>1</v>
      </c>
      <c r="M845" s="251" t="str">
        <f>IFERROR(__xludf.DUMMYFUNCTION("""COMPUTED_VALUE"""),"Grasslands")</f>
        <v>Grasslands</v>
      </c>
      <c r="N845" s="251" t="str">
        <f>IFERROR(__xludf.DUMMYFUNCTION("""COMPUTED_VALUE"""),"--")</f>
        <v>--</v>
      </c>
      <c r="O845" s="251" t="str">
        <f>IFERROR(__xludf.DUMMYFUNCTION("""COMPUTED_VALUE"""),"--")</f>
        <v>--</v>
      </c>
      <c r="P845" s="251" t="str">
        <f>IFERROR(__xludf.DUMMYFUNCTION("""COMPUTED_VALUE"""),"--")</f>
        <v>--</v>
      </c>
      <c r="Q845" s="251" t="str">
        <f>IFERROR(__xludf.DUMMYFUNCTION("""COMPUTED_VALUE"""),"--")</f>
        <v>--</v>
      </c>
      <c r="R845" s="251" t="str">
        <f>IFERROR(__xludf.DUMMYFUNCTION("""COMPUTED_VALUE"""),"Underdog")</f>
        <v>Underdog</v>
      </c>
      <c r="S845" s="251" t="str">
        <f>IFERROR(__xludf.DUMMYFUNCTION("""COMPUTED_VALUE"""),"--")</f>
        <v>--</v>
      </c>
      <c r="T845" s="251" t="str">
        <f>IFERROR(__xludf.DUMMYFUNCTION("""COMPUTED_VALUE"""),"--")</f>
        <v>--</v>
      </c>
      <c r="U845" s="251" t="str">
        <f>IFERROR(__xludf.DUMMYFUNCTION("""COMPUTED_VALUE"""),"--")</f>
        <v>--</v>
      </c>
      <c r="V845" s="251" t="str">
        <f>IFERROR(__xludf.DUMMYFUNCTION("""COMPUTED_VALUE"""),"--")</f>
        <v>--</v>
      </c>
      <c r="W845" s="251" t="str">
        <f>IFERROR(__xludf.DUMMYFUNCTION("""COMPUTED_VALUE"""),"--")</f>
        <v>--</v>
      </c>
      <c r="X845" s="251" t="str">
        <f>IFERROR(__xludf.DUMMYFUNCTION("""COMPUTED_VALUE"""),"--")</f>
        <v>--</v>
      </c>
      <c r="Y845" s="251" t="str">
        <f>IFERROR(__xludf.DUMMYFUNCTION("""COMPUTED_VALUE"""),"--")</f>
        <v>--</v>
      </c>
      <c r="Z845" s="251" t="str">
        <f>IFERROR(__xludf.DUMMYFUNCTION("""COMPUTED_VALUE"""),"--")</f>
        <v>--</v>
      </c>
      <c r="AA845" s="251" t="str">
        <f>IFERROR(__xludf.DUMMYFUNCTION("""COMPUTED_VALUE"""),"--")</f>
        <v>--</v>
      </c>
      <c r="AB845" s="251" t="str">
        <f>IFERROR(__xludf.DUMMYFUNCTION("""COMPUTED_VALUE"""),"--")</f>
        <v>--</v>
      </c>
      <c r="AC845" s="251" t="str">
        <f>IFERROR(__xludf.DUMMYFUNCTION("""COMPUTED_VALUE"""),"--")</f>
        <v>--</v>
      </c>
      <c r="AD845" s="251">
        <f>IFERROR(__xludf.DUMMYFUNCTION("""COMPUTED_VALUE"""),2.0)</f>
        <v>2</v>
      </c>
      <c r="AE845" s="251" t="str">
        <f>IFERROR(__xludf.DUMMYFUNCTION("""COMPUTED_VALUE"""),"Herbivore")</f>
        <v>Herbivore</v>
      </c>
    </row>
    <row r="846">
      <c r="A846" s="251" t="str">
        <f>IFERROR(__xludf.DUMMYFUNCTION("""COMPUTED_VALUE"""),"Dubwool")</f>
        <v>Dubwool</v>
      </c>
      <c r="B846" s="251" t="str">
        <f>IFERROR(__xludf.DUMMYFUNCTION("""COMPUTED_VALUE"""),"Normal")</f>
        <v>Normal</v>
      </c>
      <c r="C846" s="251" t="str">
        <f>IFERROR(__xludf.DUMMYFUNCTION("""COMPUTED_VALUE"""),"None")</f>
        <v>None</v>
      </c>
      <c r="D846" s="251">
        <f>IFERROR(__xludf.DUMMYFUNCTION("""COMPUTED_VALUE"""),7.0)</f>
        <v>7</v>
      </c>
      <c r="E846" s="251">
        <f>IFERROR(__xludf.DUMMYFUNCTION("""COMPUTED_VALUE"""),8.0)</f>
        <v>8</v>
      </c>
      <c r="F846" s="251">
        <f>IFERROR(__xludf.DUMMYFUNCTION("""COMPUTED_VALUE"""),11.0)</f>
        <v>11</v>
      </c>
      <c r="G846" s="251">
        <f>IFERROR(__xludf.DUMMYFUNCTION("""COMPUTED_VALUE"""),6.0)</f>
        <v>6</v>
      </c>
      <c r="H846" s="251">
        <f>IFERROR(__xludf.DUMMYFUNCTION("""COMPUTED_VALUE"""),10.0)</f>
        <v>10</v>
      </c>
      <c r="I846" s="251">
        <f>IFERROR(__xludf.DUMMYFUNCTION("""COMPUTED_VALUE"""),9.0)</f>
        <v>9</v>
      </c>
      <c r="J846" s="251">
        <f>IFERROR(__xludf.DUMMYFUNCTION("""COMPUTED_VALUE"""),7.0)</f>
        <v>7</v>
      </c>
      <c r="K846" s="251" t="str">
        <f>IFERROR(__xludf.DUMMYFUNCTION("""COMPUTED_VALUE"""),"Medium")</f>
        <v>Medium</v>
      </c>
      <c r="L846" s="251">
        <f>IFERROR(__xludf.DUMMYFUNCTION("""COMPUTED_VALUE"""),3.0)</f>
        <v>3</v>
      </c>
      <c r="M846" s="251" t="str">
        <f>IFERROR(__xludf.DUMMYFUNCTION("""COMPUTED_VALUE"""),"Grasslands")</f>
        <v>Grasslands</v>
      </c>
      <c r="N846" s="251" t="str">
        <f>IFERROR(__xludf.DUMMYFUNCTION("""COMPUTED_VALUE"""),"--")</f>
        <v>--</v>
      </c>
      <c r="O846" s="251" t="str">
        <f>IFERROR(__xludf.DUMMYFUNCTION("""COMPUTED_VALUE"""),"--")</f>
        <v>--</v>
      </c>
      <c r="P846" s="251" t="str">
        <f>IFERROR(__xludf.DUMMYFUNCTION("""COMPUTED_VALUE"""),"--")</f>
        <v>--</v>
      </c>
      <c r="Q846" s="251" t="str">
        <f>IFERROR(__xludf.DUMMYFUNCTION("""COMPUTED_VALUE"""),"--")</f>
        <v>--</v>
      </c>
      <c r="R846" s="251" t="str">
        <f>IFERROR(__xludf.DUMMYFUNCTION("""COMPUTED_VALUE"""),"--")</f>
        <v>--</v>
      </c>
      <c r="S846" s="251" t="str">
        <f>IFERROR(__xludf.DUMMYFUNCTION("""COMPUTED_VALUE"""),"--")</f>
        <v>--</v>
      </c>
      <c r="T846" s="251" t="str">
        <f>IFERROR(__xludf.DUMMYFUNCTION("""COMPUTED_VALUE"""),"--")</f>
        <v>--</v>
      </c>
      <c r="U846" s="251" t="str">
        <f>IFERROR(__xludf.DUMMYFUNCTION("""COMPUTED_VALUE"""),"--")</f>
        <v>--</v>
      </c>
      <c r="V846" s="251" t="str">
        <f>IFERROR(__xludf.DUMMYFUNCTION("""COMPUTED_VALUE"""),"--")</f>
        <v>--</v>
      </c>
      <c r="W846" s="251" t="str">
        <f>IFERROR(__xludf.DUMMYFUNCTION("""COMPUTED_VALUE"""),"--")</f>
        <v>--</v>
      </c>
      <c r="X846" s="251" t="str">
        <f>IFERROR(__xludf.DUMMYFUNCTION("""COMPUTED_VALUE"""),"--")</f>
        <v>--</v>
      </c>
      <c r="Y846" s="251" t="str">
        <f>IFERROR(__xludf.DUMMYFUNCTION("""COMPUTED_VALUE"""),"--")</f>
        <v>--</v>
      </c>
      <c r="Z846" s="251" t="str">
        <f>IFERROR(__xludf.DUMMYFUNCTION("""COMPUTED_VALUE"""),"--")</f>
        <v>--</v>
      </c>
      <c r="AA846" s="251" t="str">
        <f>IFERROR(__xludf.DUMMYFUNCTION("""COMPUTED_VALUE"""),"--")</f>
        <v>--</v>
      </c>
      <c r="AB846" s="251" t="str">
        <f>IFERROR(__xludf.DUMMYFUNCTION("""COMPUTED_VALUE"""),"--")</f>
        <v>--</v>
      </c>
      <c r="AC846" s="251" t="str">
        <f>IFERROR(__xludf.DUMMYFUNCTION("""COMPUTED_VALUE"""),"--")</f>
        <v>--</v>
      </c>
      <c r="AD846" s="251">
        <f>IFERROR(__xludf.DUMMYFUNCTION("""COMPUTED_VALUE"""),3.0)</f>
        <v>3</v>
      </c>
      <c r="AE846" s="251" t="str">
        <f>IFERROR(__xludf.DUMMYFUNCTION("""COMPUTED_VALUE"""),"Herbivore")</f>
        <v>Herbivore</v>
      </c>
    </row>
    <row r="847">
      <c r="A847" s="251" t="str">
        <f>IFERROR(__xludf.DUMMYFUNCTION("""COMPUTED_VALUE"""),"Lechonk")</f>
        <v>Lechonk</v>
      </c>
      <c r="B847" s="251" t="str">
        <f>IFERROR(__xludf.DUMMYFUNCTION("""COMPUTED_VALUE"""),"Normal")</f>
        <v>Normal</v>
      </c>
      <c r="C847" s="251" t="str">
        <f>IFERROR(__xludf.DUMMYFUNCTION("""COMPUTED_VALUE"""),"None")</f>
        <v>None</v>
      </c>
      <c r="D847" s="251">
        <f>IFERROR(__xludf.DUMMYFUNCTION("""COMPUTED_VALUE"""),8.0)</f>
        <v>8</v>
      </c>
      <c r="E847" s="251">
        <f>IFERROR(__xludf.DUMMYFUNCTION("""COMPUTED_VALUE"""),5.0)</f>
        <v>5</v>
      </c>
      <c r="F847" s="251">
        <f>IFERROR(__xludf.DUMMYFUNCTION("""COMPUTED_VALUE"""),4.0)</f>
        <v>4</v>
      </c>
      <c r="G847" s="251">
        <f>IFERROR(__xludf.DUMMYFUNCTION("""COMPUTED_VALUE"""),4.0)</f>
        <v>4</v>
      </c>
      <c r="H847" s="251">
        <f>IFERROR(__xludf.DUMMYFUNCTION("""COMPUTED_VALUE"""),5.0)</f>
        <v>5</v>
      </c>
      <c r="I847" s="251">
        <f>IFERROR(__xludf.DUMMYFUNCTION("""COMPUTED_VALUE"""),4.0)</f>
        <v>4</v>
      </c>
      <c r="J847" s="251">
        <f>IFERROR(__xludf.DUMMYFUNCTION("""COMPUTED_VALUE"""),2.0)</f>
        <v>2</v>
      </c>
      <c r="K847" s="251" t="str">
        <f>IFERROR(__xludf.DUMMYFUNCTION("""COMPUTED_VALUE"""),"Small")</f>
        <v>Small</v>
      </c>
      <c r="L847" s="251">
        <f>IFERROR(__xludf.DUMMYFUNCTION("""COMPUTED_VALUE"""),1.0)</f>
        <v>1</v>
      </c>
      <c r="M847" s="251" t="str">
        <f>IFERROR(__xludf.DUMMYFUNCTION("""COMPUTED_VALUE"""),"Grasslands, Wetlands")</f>
        <v>Grasslands, Wetlands</v>
      </c>
      <c r="N847" s="251" t="str">
        <f>IFERROR(__xludf.DUMMYFUNCTION("""COMPUTED_VALUE"""),"--")</f>
        <v>--</v>
      </c>
      <c r="O847" s="251" t="str">
        <f>IFERROR(__xludf.DUMMYFUNCTION("""COMPUTED_VALUE"""),"--")</f>
        <v>--</v>
      </c>
      <c r="P847" s="251" t="str">
        <f>IFERROR(__xludf.DUMMYFUNCTION("""COMPUTED_VALUE"""),"--")</f>
        <v>--</v>
      </c>
      <c r="Q847" s="251" t="str">
        <f>IFERROR(__xludf.DUMMYFUNCTION("""COMPUTED_VALUE"""),"--")</f>
        <v>--</v>
      </c>
      <c r="R847" s="251" t="str">
        <f>IFERROR(__xludf.DUMMYFUNCTION("""COMPUTED_VALUE"""),"Underdog")</f>
        <v>Underdog</v>
      </c>
      <c r="S847" s="251" t="str">
        <f>IFERROR(__xludf.DUMMYFUNCTION("""COMPUTED_VALUE"""),"--")</f>
        <v>--</v>
      </c>
      <c r="T847" s="251" t="str">
        <f>IFERROR(__xludf.DUMMYFUNCTION("""COMPUTED_VALUE"""),"--")</f>
        <v>--</v>
      </c>
      <c r="U847" s="251" t="str">
        <f>IFERROR(__xludf.DUMMYFUNCTION("""COMPUTED_VALUE"""),"--")</f>
        <v>--</v>
      </c>
      <c r="V847" s="251" t="str">
        <f>IFERROR(__xludf.DUMMYFUNCTION("""COMPUTED_VALUE"""),"Tracker")</f>
        <v>Tracker</v>
      </c>
      <c r="W847" s="251" t="str">
        <f>IFERROR(__xludf.DUMMYFUNCTION("""COMPUTED_VALUE"""),"--")</f>
        <v>--</v>
      </c>
      <c r="X847" s="251" t="str">
        <f>IFERROR(__xludf.DUMMYFUNCTION("""COMPUTED_VALUE"""),"--")</f>
        <v>--</v>
      </c>
      <c r="Y847" s="251" t="str">
        <f>IFERROR(__xludf.DUMMYFUNCTION("""COMPUTED_VALUE"""),"--")</f>
        <v>--</v>
      </c>
      <c r="Z847" s="251" t="str">
        <f>IFERROR(__xludf.DUMMYFUNCTION("""COMPUTED_VALUE"""),"--")</f>
        <v>--</v>
      </c>
      <c r="AA847" s="251" t="str">
        <f>IFERROR(__xludf.DUMMYFUNCTION("""COMPUTED_VALUE"""),"--")</f>
        <v>--</v>
      </c>
      <c r="AB847" s="251" t="str">
        <f>IFERROR(__xludf.DUMMYFUNCTION("""COMPUTED_VALUE"""),"--")</f>
        <v>--</v>
      </c>
      <c r="AC847" s="251" t="str">
        <f>IFERROR(__xludf.DUMMYFUNCTION("""COMPUTED_VALUE"""),"--")</f>
        <v>--</v>
      </c>
      <c r="AD847" s="251">
        <f>IFERROR(__xludf.DUMMYFUNCTION("""COMPUTED_VALUE"""),2.0)</f>
        <v>2</v>
      </c>
      <c r="AE847" s="251" t="str">
        <f>IFERROR(__xludf.DUMMYFUNCTION("""COMPUTED_VALUE"""),"Omnivore")</f>
        <v>Omnivore</v>
      </c>
    </row>
    <row r="848">
      <c r="A848" s="251" t="str">
        <f>IFERROR(__xludf.DUMMYFUNCTION("""COMPUTED_VALUE"""),"Oinkologne Female")</f>
        <v>Oinkologne Female</v>
      </c>
      <c r="B848" s="251" t="str">
        <f>IFERROR(__xludf.DUMMYFUNCTION("""COMPUTED_VALUE"""),"Normal")</f>
        <v>Normal</v>
      </c>
      <c r="C848" s="251" t="str">
        <f>IFERROR(__xludf.DUMMYFUNCTION("""COMPUTED_VALUE"""),"None")</f>
        <v>None</v>
      </c>
      <c r="D848" s="251">
        <f>IFERROR(__xludf.DUMMYFUNCTION("""COMPUTED_VALUE"""),13.0)</f>
        <v>13</v>
      </c>
      <c r="E848" s="251">
        <f>IFERROR(__xludf.DUMMYFUNCTION("""COMPUTED_VALUE"""),9.0)</f>
        <v>9</v>
      </c>
      <c r="F848" s="251">
        <f>IFERROR(__xludf.DUMMYFUNCTION("""COMPUTED_VALUE"""),7.0)</f>
        <v>7</v>
      </c>
      <c r="G848" s="251">
        <f>IFERROR(__xludf.DUMMYFUNCTION("""COMPUTED_VALUE"""),6.0)</f>
        <v>6</v>
      </c>
      <c r="H848" s="251">
        <f>IFERROR(__xludf.DUMMYFUNCTION("""COMPUTED_VALUE"""),9.0)</f>
        <v>9</v>
      </c>
      <c r="I848" s="251">
        <f>IFERROR(__xludf.DUMMYFUNCTION("""COMPUTED_VALUE"""),7.0)</f>
        <v>7</v>
      </c>
      <c r="J848" s="251">
        <f>IFERROR(__xludf.DUMMYFUNCTION("""COMPUTED_VALUE"""),4.0)</f>
        <v>4</v>
      </c>
      <c r="K848" s="251" t="str">
        <f>IFERROR(__xludf.DUMMYFUNCTION("""COMPUTED_VALUE"""),"Medium")</f>
        <v>Medium</v>
      </c>
      <c r="L848" s="251">
        <f>IFERROR(__xludf.DUMMYFUNCTION("""COMPUTED_VALUE"""),5.0)</f>
        <v>5</v>
      </c>
      <c r="M848" s="251" t="str">
        <f>IFERROR(__xludf.DUMMYFUNCTION("""COMPUTED_VALUE"""),"Grasslands, Wetlands")</f>
        <v>Grasslands, Wetlands</v>
      </c>
      <c r="N848" s="251" t="str">
        <f>IFERROR(__xludf.DUMMYFUNCTION("""COMPUTED_VALUE"""),"--")</f>
        <v>--</v>
      </c>
      <c r="O848" s="251" t="str">
        <f>IFERROR(__xludf.DUMMYFUNCTION("""COMPUTED_VALUE"""),"--")</f>
        <v>--</v>
      </c>
      <c r="P848" s="251" t="str">
        <f>IFERROR(__xludf.DUMMYFUNCTION("""COMPUTED_VALUE"""),"--")</f>
        <v>--</v>
      </c>
      <c r="Q848" s="251" t="str">
        <f>IFERROR(__xludf.DUMMYFUNCTION("""COMPUTED_VALUE"""),"--")</f>
        <v>--</v>
      </c>
      <c r="R848" s="251" t="str">
        <f>IFERROR(__xludf.DUMMYFUNCTION("""COMPUTED_VALUE"""),"--")</f>
        <v>--</v>
      </c>
      <c r="S848" s="251" t="str">
        <f>IFERROR(__xludf.DUMMYFUNCTION("""COMPUTED_VALUE"""),"--")</f>
        <v>--</v>
      </c>
      <c r="T848" s="251" t="str">
        <f>IFERROR(__xludf.DUMMYFUNCTION("""COMPUTED_VALUE"""),"--")</f>
        <v>--</v>
      </c>
      <c r="U848" s="251" t="str">
        <f>IFERROR(__xludf.DUMMYFUNCTION("""COMPUTED_VALUE"""),"--")</f>
        <v>--</v>
      </c>
      <c r="V848" s="251" t="str">
        <f>IFERROR(__xludf.DUMMYFUNCTION("""COMPUTED_VALUE"""),"Alluring")</f>
        <v>Alluring</v>
      </c>
      <c r="W848" s="251" t="str">
        <f>IFERROR(__xludf.DUMMYFUNCTION("""COMPUTED_VALUE"""),"Tracker")</f>
        <v>Tracker</v>
      </c>
      <c r="X848" s="251" t="str">
        <f>IFERROR(__xludf.DUMMYFUNCTION("""COMPUTED_VALUE"""),"--")</f>
        <v>--</v>
      </c>
      <c r="Y848" s="251" t="str">
        <f>IFERROR(__xludf.DUMMYFUNCTION("""COMPUTED_VALUE"""),"--")</f>
        <v>--</v>
      </c>
      <c r="Z848" s="251" t="str">
        <f>IFERROR(__xludf.DUMMYFUNCTION("""COMPUTED_VALUE"""),"--")</f>
        <v>--</v>
      </c>
      <c r="AA848" s="251" t="str">
        <f>IFERROR(__xludf.DUMMYFUNCTION("""COMPUTED_VALUE"""),"--")</f>
        <v>--</v>
      </c>
      <c r="AB848" s="251" t="str">
        <f>IFERROR(__xludf.DUMMYFUNCTION("""COMPUTED_VALUE"""),"--")</f>
        <v>--</v>
      </c>
      <c r="AC848" s="251" t="str">
        <f>IFERROR(__xludf.DUMMYFUNCTION("""COMPUTED_VALUE"""),"--")</f>
        <v>--</v>
      </c>
      <c r="AD848" s="251">
        <f>IFERROR(__xludf.DUMMYFUNCTION("""COMPUTED_VALUE"""),3.0)</f>
        <v>3</v>
      </c>
      <c r="AE848" s="251" t="str">
        <f>IFERROR(__xludf.DUMMYFUNCTION("""COMPUTED_VALUE"""),"Omnivore")</f>
        <v>Omnivore</v>
      </c>
    </row>
    <row r="849">
      <c r="A849" s="251" t="str">
        <f>IFERROR(__xludf.DUMMYFUNCTION("""COMPUTED_VALUE"""),"Oinkologne Male")</f>
        <v>Oinkologne Male</v>
      </c>
      <c r="B849" s="251" t="str">
        <f>IFERROR(__xludf.DUMMYFUNCTION("""COMPUTED_VALUE"""),"Normal")</f>
        <v>Normal</v>
      </c>
      <c r="C849" s="251" t="str">
        <f>IFERROR(__xludf.DUMMYFUNCTION("""COMPUTED_VALUE"""),"None")</f>
        <v>None</v>
      </c>
      <c r="D849" s="251">
        <f>IFERROR(__xludf.DUMMYFUNCTION("""COMPUTED_VALUE"""),12.0)</f>
        <v>12</v>
      </c>
      <c r="E849" s="251">
        <f>IFERROR(__xludf.DUMMYFUNCTION("""COMPUTED_VALUE"""),10.0)</f>
        <v>10</v>
      </c>
      <c r="F849" s="251">
        <f>IFERROR(__xludf.DUMMYFUNCTION("""COMPUTED_VALUE"""),8.0)</f>
        <v>8</v>
      </c>
      <c r="G849" s="251">
        <f>IFERROR(__xludf.DUMMYFUNCTION("""COMPUTED_VALUE"""),6.0)</f>
        <v>6</v>
      </c>
      <c r="H849" s="251">
        <f>IFERROR(__xludf.DUMMYFUNCTION("""COMPUTED_VALUE"""),8.0)</f>
        <v>8</v>
      </c>
      <c r="I849" s="251">
        <f>IFERROR(__xludf.DUMMYFUNCTION("""COMPUTED_VALUE"""),7.0)</f>
        <v>7</v>
      </c>
      <c r="J849" s="251">
        <f>IFERROR(__xludf.DUMMYFUNCTION("""COMPUTED_VALUE"""),4.0)</f>
        <v>4</v>
      </c>
      <c r="K849" s="251" t="str">
        <f>IFERROR(__xludf.DUMMYFUNCTION("""COMPUTED_VALUE"""),"Medium")</f>
        <v>Medium</v>
      </c>
      <c r="L849" s="251">
        <f>IFERROR(__xludf.DUMMYFUNCTION("""COMPUTED_VALUE"""),5.0)</f>
        <v>5</v>
      </c>
      <c r="M849" s="251" t="str">
        <f>IFERROR(__xludf.DUMMYFUNCTION("""COMPUTED_VALUE"""),"Grasslands, Wetlands")</f>
        <v>Grasslands, Wetlands</v>
      </c>
      <c r="N849" s="251" t="str">
        <f>IFERROR(__xludf.DUMMYFUNCTION("""COMPUTED_VALUE"""),"--")</f>
        <v>--</v>
      </c>
      <c r="O849" s="251" t="str">
        <f>IFERROR(__xludf.DUMMYFUNCTION("""COMPUTED_VALUE"""),"--")</f>
        <v>--</v>
      </c>
      <c r="P849" s="251" t="str">
        <f>IFERROR(__xludf.DUMMYFUNCTION("""COMPUTED_VALUE"""),"--")</f>
        <v>--</v>
      </c>
      <c r="Q849" s="251" t="str">
        <f>IFERROR(__xludf.DUMMYFUNCTION("""COMPUTED_VALUE"""),"--")</f>
        <v>--</v>
      </c>
      <c r="R849" s="251" t="str">
        <f>IFERROR(__xludf.DUMMYFUNCTION("""COMPUTED_VALUE"""),"--")</f>
        <v>--</v>
      </c>
      <c r="S849" s="251" t="str">
        <f>IFERROR(__xludf.DUMMYFUNCTION("""COMPUTED_VALUE"""),"--")</f>
        <v>--</v>
      </c>
      <c r="T849" s="251" t="str">
        <f>IFERROR(__xludf.DUMMYFUNCTION("""COMPUTED_VALUE"""),"--")</f>
        <v>--</v>
      </c>
      <c r="U849" s="251" t="str">
        <f>IFERROR(__xludf.DUMMYFUNCTION("""COMPUTED_VALUE"""),"--")</f>
        <v>--</v>
      </c>
      <c r="V849" s="251" t="str">
        <f>IFERROR(__xludf.DUMMYFUNCTION("""COMPUTED_VALUE"""),"Alluring")</f>
        <v>Alluring</v>
      </c>
      <c r="W849" s="251" t="str">
        <f>IFERROR(__xludf.DUMMYFUNCTION("""COMPUTED_VALUE"""),"Tracker")</f>
        <v>Tracker</v>
      </c>
      <c r="X849" s="251" t="str">
        <f>IFERROR(__xludf.DUMMYFUNCTION("""COMPUTED_VALUE"""),"--")</f>
        <v>--</v>
      </c>
      <c r="Y849" s="251" t="str">
        <f>IFERROR(__xludf.DUMMYFUNCTION("""COMPUTED_VALUE"""),"--")</f>
        <v>--</v>
      </c>
      <c r="Z849" s="251" t="str">
        <f>IFERROR(__xludf.DUMMYFUNCTION("""COMPUTED_VALUE"""),"--")</f>
        <v>--</v>
      </c>
      <c r="AA849" s="251" t="str">
        <f>IFERROR(__xludf.DUMMYFUNCTION("""COMPUTED_VALUE"""),"--")</f>
        <v>--</v>
      </c>
      <c r="AB849" s="251" t="str">
        <f>IFERROR(__xludf.DUMMYFUNCTION("""COMPUTED_VALUE"""),"--")</f>
        <v>--</v>
      </c>
      <c r="AC849" s="251" t="str">
        <f>IFERROR(__xludf.DUMMYFUNCTION("""COMPUTED_VALUE"""),"--")</f>
        <v>--</v>
      </c>
      <c r="AD849" s="251">
        <f>IFERROR(__xludf.DUMMYFUNCTION("""COMPUTED_VALUE"""),3.0)</f>
        <v>3</v>
      </c>
      <c r="AE849" s="251" t="str">
        <f>IFERROR(__xludf.DUMMYFUNCTION("""COMPUTED_VALUE"""),"Omnivore")</f>
        <v>Omnivore</v>
      </c>
    </row>
    <row r="850">
      <c r="A850" s="251" t="str">
        <f>IFERROR(__xludf.DUMMYFUNCTION("""COMPUTED_VALUE"""),"Tandemaus")</f>
        <v>Tandemaus</v>
      </c>
      <c r="B850" s="251" t="str">
        <f>IFERROR(__xludf.DUMMYFUNCTION("""COMPUTED_VALUE"""),"Normal")</f>
        <v>Normal</v>
      </c>
      <c r="C850" s="251" t="str">
        <f>IFERROR(__xludf.DUMMYFUNCTION("""COMPUTED_VALUE"""),"None")</f>
        <v>None</v>
      </c>
      <c r="D850" s="251">
        <f>IFERROR(__xludf.DUMMYFUNCTION("""COMPUTED_VALUE"""),5.0)</f>
        <v>5</v>
      </c>
      <c r="E850" s="251">
        <f>IFERROR(__xludf.DUMMYFUNCTION("""COMPUTED_VALUE"""),5.0)</f>
        <v>5</v>
      </c>
      <c r="F850" s="251">
        <f>IFERROR(__xludf.DUMMYFUNCTION("""COMPUTED_VALUE"""),5.0)</f>
        <v>5</v>
      </c>
      <c r="G850" s="251">
        <f>IFERROR(__xludf.DUMMYFUNCTION("""COMPUTED_VALUE"""),4.0)</f>
        <v>4</v>
      </c>
      <c r="H850" s="251">
        <f>IFERROR(__xludf.DUMMYFUNCTION("""COMPUTED_VALUE"""),5.0)</f>
        <v>5</v>
      </c>
      <c r="I850" s="251">
        <f>IFERROR(__xludf.DUMMYFUNCTION("""COMPUTED_VALUE"""),8.0)</f>
        <v>8</v>
      </c>
      <c r="J850" s="251">
        <f>IFERROR(__xludf.DUMMYFUNCTION("""COMPUTED_VALUE"""),2.0)</f>
        <v>2</v>
      </c>
      <c r="K850" s="251" t="str">
        <f>IFERROR(__xludf.DUMMYFUNCTION("""COMPUTED_VALUE"""),"Small")</f>
        <v>Small</v>
      </c>
      <c r="L850" s="251">
        <f>IFERROR(__xludf.DUMMYFUNCTION("""COMPUTED_VALUE"""),1.0)</f>
        <v>1</v>
      </c>
      <c r="M850" s="251" t="str">
        <f>IFERROR(__xludf.DUMMYFUNCTION("""COMPUTED_VALUE"""),"Urban")</f>
        <v>Urban</v>
      </c>
      <c r="N850" s="251" t="str">
        <f>IFERROR(__xludf.DUMMYFUNCTION("""COMPUTED_VALUE"""),"--")</f>
        <v>--</v>
      </c>
      <c r="O850" s="251" t="str">
        <f>IFERROR(__xludf.DUMMYFUNCTION("""COMPUTED_VALUE"""),"--")</f>
        <v>--</v>
      </c>
      <c r="P850" s="251" t="str">
        <f>IFERROR(__xludf.DUMMYFUNCTION("""COMPUTED_VALUE"""),"--")</f>
        <v>--</v>
      </c>
      <c r="Q850" s="251" t="str">
        <f>IFERROR(__xludf.DUMMYFUNCTION("""COMPUTED_VALUE"""),"--")</f>
        <v>--</v>
      </c>
      <c r="R850" s="251" t="str">
        <f>IFERROR(__xludf.DUMMYFUNCTION("""COMPUTED_VALUE"""),"Underdog")</f>
        <v>Underdog</v>
      </c>
      <c r="S850" s="251" t="str">
        <f>IFERROR(__xludf.DUMMYFUNCTION("""COMPUTED_VALUE"""),"--")</f>
        <v>--</v>
      </c>
      <c r="T850" s="251" t="str">
        <f>IFERROR(__xludf.DUMMYFUNCTION("""COMPUTED_VALUE"""),"--")</f>
        <v>--</v>
      </c>
      <c r="U850" s="251" t="str">
        <f>IFERROR(__xludf.DUMMYFUNCTION("""COMPUTED_VALUE"""),"--")</f>
        <v>--</v>
      </c>
      <c r="V850" s="251" t="str">
        <f>IFERROR(__xludf.DUMMYFUNCTION("""COMPUTED_VALUE"""),"--")</f>
        <v>--</v>
      </c>
      <c r="W850" s="251" t="str">
        <f>IFERROR(__xludf.DUMMYFUNCTION("""COMPUTED_VALUE"""),"--")</f>
        <v>--</v>
      </c>
      <c r="X850" s="251" t="str">
        <f>IFERROR(__xludf.DUMMYFUNCTION("""COMPUTED_VALUE"""),"--")</f>
        <v>--</v>
      </c>
      <c r="Y850" s="251" t="str">
        <f>IFERROR(__xludf.DUMMYFUNCTION("""COMPUTED_VALUE"""),"--")</f>
        <v>--</v>
      </c>
      <c r="Z850" s="251" t="str">
        <f>IFERROR(__xludf.DUMMYFUNCTION("""COMPUTED_VALUE"""),"--")</f>
        <v>--</v>
      </c>
      <c r="AA850" s="251" t="str">
        <f>IFERROR(__xludf.DUMMYFUNCTION("""COMPUTED_VALUE"""),"--")</f>
        <v>--</v>
      </c>
      <c r="AB850" s="251" t="str">
        <f>IFERROR(__xludf.DUMMYFUNCTION("""COMPUTED_VALUE"""),"--")</f>
        <v>--</v>
      </c>
      <c r="AC850" s="251" t="str">
        <f>IFERROR(__xludf.DUMMYFUNCTION("""COMPUTED_VALUE"""),"--")</f>
        <v>--</v>
      </c>
      <c r="AD850" s="251">
        <f>IFERROR(__xludf.DUMMYFUNCTION("""COMPUTED_VALUE"""),2.0)</f>
        <v>2</v>
      </c>
      <c r="AE850" s="251" t="str">
        <f>IFERROR(__xludf.DUMMYFUNCTION("""COMPUTED_VALUE"""),"Omnivore")</f>
        <v>Omnivore</v>
      </c>
    </row>
    <row r="851">
      <c r="A851" s="251" t="str">
        <f>IFERROR(__xludf.DUMMYFUNCTION("""COMPUTED_VALUE"""),"Maushold")</f>
        <v>Maushold</v>
      </c>
      <c r="B851" s="251" t="str">
        <f>IFERROR(__xludf.DUMMYFUNCTION("""COMPUTED_VALUE"""),"Normal")</f>
        <v>Normal</v>
      </c>
      <c r="C851" s="251" t="str">
        <f>IFERROR(__xludf.DUMMYFUNCTION("""COMPUTED_VALUE"""),"None")</f>
        <v>None</v>
      </c>
      <c r="D851" s="251">
        <f>IFERROR(__xludf.DUMMYFUNCTION("""COMPUTED_VALUE"""),7.0)</f>
        <v>7</v>
      </c>
      <c r="E851" s="251">
        <f>IFERROR(__xludf.DUMMYFUNCTION("""COMPUTED_VALUE"""),9.0)</f>
        <v>9</v>
      </c>
      <c r="F851" s="251">
        <f>IFERROR(__xludf.DUMMYFUNCTION("""COMPUTED_VALUE"""),7.0)</f>
        <v>7</v>
      </c>
      <c r="G851" s="251">
        <f>IFERROR(__xludf.DUMMYFUNCTION("""COMPUTED_VALUE"""),7.0)</f>
        <v>7</v>
      </c>
      <c r="H851" s="251">
        <f>IFERROR(__xludf.DUMMYFUNCTION("""COMPUTED_VALUE"""),9.0)</f>
        <v>9</v>
      </c>
      <c r="I851" s="251">
        <f>IFERROR(__xludf.DUMMYFUNCTION("""COMPUTED_VALUE"""),12.0)</f>
        <v>12</v>
      </c>
      <c r="J851" s="251">
        <f>IFERROR(__xludf.DUMMYFUNCTION("""COMPUTED_VALUE"""),4.0)</f>
        <v>4</v>
      </c>
      <c r="K851" s="251" t="str">
        <f>IFERROR(__xludf.DUMMYFUNCTION("""COMPUTED_VALUE"""),"Small")</f>
        <v>Small</v>
      </c>
      <c r="L851" s="251">
        <f>IFERROR(__xludf.DUMMYFUNCTION("""COMPUTED_VALUE"""),1.0)</f>
        <v>1</v>
      </c>
      <c r="M851" s="251" t="str">
        <f>IFERROR(__xludf.DUMMYFUNCTION("""COMPUTED_VALUE"""),"Urban")</f>
        <v>Urban</v>
      </c>
      <c r="N851" s="251" t="str">
        <f>IFERROR(__xludf.DUMMYFUNCTION("""COMPUTED_VALUE"""),"--")</f>
        <v>--</v>
      </c>
      <c r="O851" s="251" t="str">
        <f>IFERROR(__xludf.DUMMYFUNCTION("""COMPUTED_VALUE"""),"--")</f>
        <v>--</v>
      </c>
      <c r="P851" s="251" t="str">
        <f>IFERROR(__xludf.DUMMYFUNCTION("""COMPUTED_VALUE"""),"--")</f>
        <v>--</v>
      </c>
      <c r="Q851" s="251" t="str">
        <f>IFERROR(__xludf.DUMMYFUNCTION("""COMPUTED_VALUE"""),"--")</f>
        <v>--</v>
      </c>
      <c r="R851" s="251" t="str">
        <f>IFERROR(__xludf.DUMMYFUNCTION("""COMPUTED_VALUE"""),"--")</f>
        <v>--</v>
      </c>
      <c r="S851" s="251" t="str">
        <f>IFERROR(__xludf.DUMMYFUNCTION("""COMPUTED_VALUE"""),"--")</f>
        <v>--</v>
      </c>
      <c r="T851" s="251" t="str">
        <f>IFERROR(__xludf.DUMMYFUNCTION("""COMPUTED_VALUE"""),"--")</f>
        <v>--</v>
      </c>
      <c r="U851" s="251" t="str">
        <f>IFERROR(__xludf.DUMMYFUNCTION("""COMPUTED_VALUE"""),"--")</f>
        <v>--</v>
      </c>
      <c r="V851" s="251" t="str">
        <f>IFERROR(__xludf.DUMMYFUNCTION("""COMPUTED_VALUE"""),"--")</f>
        <v>--</v>
      </c>
      <c r="W851" s="251" t="str">
        <f>IFERROR(__xludf.DUMMYFUNCTION("""COMPUTED_VALUE"""),"--")</f>
        <v>--</v>
      </c>
      <c r="X851" s="251" t="str">
        <f>IFERROR(__xludf.DUMMYFUNCTION("""COMPUTED_VALUE"""),"--")</f>
        <v>--</v>
      </c>
      <c r="Y851" s="251" t="str">
        <f>IFERROR(__xludf.DUMMYFUNCTION("""COMPUTED_VALUE"""),"--")</f>
        <v>--</v>
      </c>
      <c r="Z851" s="251" t="str">
        <f>IFERROR(__xludf.DUMMYFUNCTION("""COMPUTED_VALUE"""),"--")</f>
        <v>--</v>
      </c>
      <c r="AA851" s="251" t="str">
        <f>IFERROR(__xludf.DUMMYFUNCTION("""COMPUTED_VALUE"""),"--")</f>
        <v>--</v>
      </c>
      <c r="AB851" s="251" t="str">
        <f>IFERROR(__xludf.DUMMYFUNCTION("""COMPUTED_VALUE"""),"--")</f>
        <v>--</v>
      </c>
      <c r="AC851" s="251" t="str">
        <f>IFERROR(__xludf.DUMMYFUNCTION("""COMPUTED_VALUE"""),"--")</f>
        <v>--</v>
      </c>
      <c r="AD851" s="251">
        <f>IFERROR(__xludf.DUMMYFUNCTION("""COMPUTED_VALUE"""),3.0)</f>
        <v>3</v>
      </c>
      <c r="AE851" s="251" t="str">
        <f>IFERROR(__xludf.DUMMYFUNCTION("""COMPUTED_VALUE"""),"Omnivore")</f>
        <v>Omnivore</v>
      </c>
    </row>
    <row r="852">
      <c r="A852" s="251" t="str">
        <f>IFERROR(__xludf.DUMMYFUNCTION("""COMPUTED_VALUE"""),"Ekans")</f>
        <v>Ekans</v>
      </c>
      <c r="B852" s="251" t="str">
        <f>IFERROR(__xludf.DUMMYFUNCTION("""COMPUTED_VALUE"""),"Poison")</f>
        <v>Poison</v>
      </c>
      <c r="C852" s="251" t="str">
        <f>IFERROR(__xludf.DUMMYFUNCTION("""COMPUTED_VALUE"""),"None")</f>
        <v>None</v>
      </c>
      <c r="D852" s="251">
        <f>IFERROR(__xludf.DUMMYFUNCTION("""COMPUTED_VALUE"""),4.0)</f>
        <v>4</v>
      </c>
      <c r="E852" s="251">
        <f>IFERROR(__xludf.DUMMYFUNCTION("""COMPUTED_VALUE"""),6.0)</f>
        <v>6</v>
      </c>
      <c r="F852" s="251">
        <f>IFERROR(__xludf.DUMMYFUNCTION("""COMPUTED_VALUE"""),4.0)</f>
        <v>4</v>
      </c>
      <c r="G852" s="251">
        <f>IFERROR(__xludf.DUMMYFUNCTION("""COMPUTED_VALUE"""),6.0)</f>
        <v>6</v>
      </c>
      <c r="H852" s="251">
        <f>IFERROR(__xludf.DUMMYFUNCTION("""COMPUTED_VALUE"""),5.0)</f>
        <v>5</v>
      </c>
      <c r="I852" s="251">
        <f>IFERROR(__xludf.DUMMYFUNCTION("""COMPUTED_VALUE"""),6.0)</f>
        <v>6</v>
      </c>
      <c r="J852" s="251">
        <f>IFERROR(__xludf.DUMMYFUNCTION("""COMPUTED_VALUE"""),1.0)</f>
        <v>1</v>
      </c>
      <c r="K852" s="251" t="str">
        <f>IFERROR(__xludf.DUMMYFUNCTION("""COMPUTED_VALUE"""),"Medium")</f>
        <v>Medium</v>
      </c>
      <c r="L852" s="251">
        <f>IFERROR(__xludf.DUMMYFUNCTION("""COMPUTED_VALUE"""),1.0)</f>
        <v>1</v>
      </c>
      <c r="M852" s="251" t="str">
        <f>IFERROR(__xludf.DUMMYFUNCTION("""COMPUTED_VALUE"""),"Grasslands")</f>
        <v>Grasslands</v>
      </c>
      <c r="N852" s="251" t="str">
        <f>IFERROR(__xludf.DUMMYFUNCTION("""COMPUTED_VALUE"""),"--")</f>
        <v>--</v>
      </c>
      <c r="O852" s="251" t="str">
        <f>IFERROR(__xludf.DUMMYFUNCTION("""COMPUTED_VALUE"""),"--")</f>
        <v>--</v>
      </c>
      <c r="P852" s="251" t="str">
        <f>IFERROR(__xludf.DUMMYFUNCTION("""COMPUTED_VALUE"""),"--")</f>
        <v>--</v>
      </c>
      <c r="Q852" s="251" t="str">
        <f>IFERROR(__xludf.DUMMYFUNCTION("""COMPUTED_VALUE"""),"--")</f>
        <v>--</v>
      </c>
      <c r="R852" s="251" t="str">
        <f>IFERROR(__xludf.DUMMYFUNCTION("""COMPUTED_VALUE"""),"Darkvision")</f>
        <v>Darkvision</v>
      </c>
      <c r="S852" s="251" t="str">
        <f>IFERROR(__xludf.DUMMYFUNCTION("""COMPUTED_VALUE"""),"Underdog")</f>
        <v>Underdog</v>
      </c>
      <c r="T852" s="251" t="str">
        <f>IFERROR(__xludf.DUMMYFUNCTION("""COMPUTED_VALUE"""),"--")</f>
        <v>--</v>
      </c>
      <c r="U852" s="251" t="str">
        <f>IFERROR(__xludf.DUMMYFUNCTION("""COMPUTED_VALUE"""),"--")</f>
        <v>--</v>
      </c>
      <c r="V852" s="251" t="str">
        <f>IFERROR(__xludf.DUMMYFUNCTION("""COMPUTED_VALUE"""),"--")</f>
        <v>--</v>
      </c>
      <c r="W852" s="251" t="str">
        <f>IFERROR(__xludf.DUMMYFUNCTION("""COMPUTED_VALUE"""),"--")</f>
        <v>--</v>
      </c>
      <c r="X852" s="251" t="str">
        <f>IFERROR(__xludf.DUMMYFUNCTION("""COMPUTED_VALUE"""),"--")</f>
        <v>--</v>
      </c>
      <c r="Y852" s="251" t="str">
        <f>IFERROR(__xludf.DUMMYFUNCTION("""COMPUTED_VALUE"""),"--")</f>
        <v>--</v>
      </c>
      <c r="Z852" s="251" t="str">
        <f>IFERROR(__xludf.DUMMYFUNCTION("""COMPUTED_VALUE"""),"--")</f>
        <v>--</v>
      </c>
      <c r="AA852" s="251" t="str">
        <f>IFERROR(__xludf.DUMMYFUNCTION("""COMPUTED_VALUE"""),"--")</f>
        <v>--</v>
      </c>
      <c r="AB852" s="251" t="str">
        <f>IFERROR(__xludf.DUMMYFUNCTION("""COMPUTED_VALUE"""),"--")</f>
        <v>--</v>
      </c>
      <c r="AC852" s="251" t="str">
        <f>IFERROR(__xludf.DUMMYFUNCTION("""COMPUTED_VALUE"""),"--")</f>
        <v>--</v>
      </c>
      <c r="AD852" s="251">
        <f>IFERROR(__xludf.DUMMYFUNCTION("""COMPUTED_VALUE"""),2.0)</f>
        <v>2</v>
      </c>
      <c r="AE852" s="251" t="str">
        <f>IFERROR(__xludf.DUMMYFUNCTION("""COMPUTED_VALUE"""),"Carnivore")</f>
        <v>Carnivore</v>
      </c>
    </row>
    <row r="853">
      <c r="A853" s="251" t="str">
        <f>IFERROR(__xludf.DUMMYFUNCTION("""COMPUTED_VALUE"""),"Arbok")</f>
        <v>Arbok</v>
      </c>
      <c r="B853" s="251" t="str">
        <f>IFERROR(__xludf.DUMMYFUNCTION("""COMPUTED_VALUE"""),"Poison")</f>
        <v>Poison</v>
      </c>
      <c r="C853" s="251" t="str">
        <f>IFERROR(__xludf.DUMMYFUNCTION("""COMPUTED_VALUE"""),"None")</f>
        <v>None</v>
      </c>
      <c r="D853" s="251">
        <f>IFERROR(__xludf.DUMMYFUNCTION("""COMPUTED_VALUE"""),8.0)</f>
        <v>8</v>
      </c>
      <c r="E853" s="251">
        <f>IFERROR(__xludf.DUMMYFUNCTION("""COMPUTED_VALUE"""),12.0)</f>
        <v>12</v>
      </c>
      <c r="F853" s="251">
        <f>IFERROR(__xludf.DUMMYFUNCTION("""COMPUTED_VALUE"""),8.0)</f>
        <v>8</v>
      </c>
      <c r="G853" s="251">
        <f>IFERROR(__xludf.DUMMYFUNCTION("""COMPUTED_VALUE"""),7.0)</f>
        <v>7</v>
      </c>
      <c r="H853" s="251">
        <f>IFERROR(__xludf.DUMMYFUNCTION("""COMPUTED_VALUE"""),8.0)</f>
        <v>8</v>
      </c>
      <c r="I853" s="251">
        <f>IFERROR(__xludf.DUMMYFUNCTION("""COMPUTED_VALUE"""),8.0)</f>
        <v>8</v>
      </c>
      <c r="J853" s="251">
        <f>IFERROR(__xludf.DUMMYFUNCTION("""COMPUTED_VALUE"""),3.0)</f>
        <v>3</v>
      </c>
      <c r="K853" s="251" t="str">
        <f>IFERROR(__xludf.DUMMYFUNCTION("""COMPUTED_VALUE"""),"Large")</f>
        <v>Large</v>
      </c>
      <c r="L853" s="251">
        <f>IFERROR(__xludf.DUMMYFUNCTION("""COMPUTED_VALUE"""),4.0)</f>
        <v>4</v>
      </c>
      <c r="M853" s="251" t="str">
        <f>IFERROR(__xludf.DUMMYFUNCTION("""COMPUTED_VALUE"""),"Grasslands")</f>
        <v>Grasslands</v>
      </c>
      <c r="N853" s="251" t="str">
        <f>IFERROR(__xludf.DUMMYFUNCTION("""COMPUTED_VALUE"""),"--")</f>
        <v>--</v>
      </c>
      <c r="O853" s="251" t="str">
        <f>IFERROR(__xludf.DUMMYFUNCTION("""COMPUTED_VALUE"""),"--")</f>
        <v>--</v>
      </c>
      <c r="P853" s="251" t="str">
        <f>IFERROR(__xludf.DUMMYFUNCTION("""COMPUTED_VALUE"""),"--")</f>
        <v>--</v>
      </c>
      <c r="Q853" s="251" t="str">
        <f>IFERROR(__xludf.DUMMYFUNCTION("""COMPUTED_VALUE"""),"--")</f>
        <v>--</v>
      </c>
      <c r="R853" s="251" t="str">
        <f>IFERROR(__xludf.DUMMYFUNCTION("""COMPUTED_VALUE"""),"Darkvision")</f>
        <v>Darkvision</v>
      </c>
      <c r="S853" s="251" t="str">
        <f>IFERROR(__xludf.DUMMYFUNCTION("""COMPUTED_VALUE"""),"--")</f>
        <v>--</v>
      </c>
      <c r="T853" s="251" t="str">
        <f>IFERROR(__xludf.DUMMYFUNCTION("""COMPUTED_VALUE"""),"--")</f>
        <v>--</v>
      </c>
      <c r="U853" s="251" t="str">
        <f>IFERROR(__xludf.DUMMYFUNCTION("""COMPUTED_VALUE"""),"--")</f>
        <v>--</v>
      </c>
      <c r="V853" s="251" t="str">
        <f>IFERROR(__xludf.DUMMYFUNCTION("""COMPUTED_VALUE"""),"--")</f>
        <v>--</v>
      </c>
      <c r="W853" s="251" t="str">
        <f>IFERROR(__xludf.DUMMYFUNCTION("""COMPUTED_VALUE"""),"--")</f>
        <v>--</v>
      </c>
      <c r="X853" s="251" t="str">
        <f>IFERROR(__xludf.DUMMYFUNCTION("""COMPUTED_VALUE"""),"--")</f>
        <v>--</v>
      </c>
      <c r="Y853" s="251" t="str">
        <f>IFERROR(__xludf.DUMMYFUNCTION("""COMPUTED_VALUE"""),"--")</f>
        <v>--</v>
      </c>
      <c r="Z853" s="251" t="str">
        <f>IFERROR(__xludf.DUMMYFUNCTION("""COMPUTED_VALUE"""),"--")</f>
        <v>--</v>
      </c>
      <c r="AA853" s="251" t="str">
        <f>IFERROR(__xludf.DUMMYFUNCTION("""COMPUTED_VALUE"""),"--")</f>
        <v>--</v>
      </c>
      <c r="AB853" s="251" t="str">
        <f>IFERROR(__xludf.DUMMYFUNCTION("""COMPUTED_VALUE"""),"--")</f>
        <v>--</v>
      </c>
      <c r="AC853" s="251" t="str">
        <f>IFERROR(__xludf.DUMMYFUNCTION("""COMPUTED_VALUE"""),"--")</f>
        <v>--</v>
      </c>
      <c r="AD853" s="251">
        <f>IFERROR(__xludf.DUMMYFUNCTION("""COMPUTED_VALUE"""),3.0)</f>
        <v>3</v>
      </c>
      <c r="AE853" s="251" t="str">
        <f>IFERROR(__xludf.DUMMYFUNCTION("""COMPUTED_VALUE"""),"Carnivore")</f>
        <v>Carnivore</v>
      </c>
    </row>
    <row r="854">
      <c r="A854" s="251" t="str">
        <f>IFERROR(__xludf.DUMMYFUNCTION("""COMPUTED_VALUE"""),"Grimer")</f>
        <v>Grimer</v>
      </c>
      <c r="B854" s="251" t="str">
        <f>IFERROR(__xludf.DUMMYFUNCTION("""COMPUTED_VALUE"""),"Poison")</f>
        <v>Poison</v>
      </c>
      <c r="C854" s="251" t="str">
        <f>IFERROR(__xludf.DUMMYFUNCTION("""COMPUTED_VALUE"""),"None")</f>
        <v>None</v>
      </c>
      <c r="D854" s="251">
        <f>IFERROR(__xludf.DUMMYFUNCTION("""COMPUTED_VALUE"""),8.0)</f>
        <v>8</v>
      </c>
      <c r="E854" s="251">
        <f>IFERROR(__xludf.DUMMYFUNCTION("""COMPUTED_VALUE"""),8.0)</f>
        <v>8</v>
      </c>
      <c r="F854" s="251">
        <f>IFERROR(__xludf.DUMMYFUNCTION("""COMPUTED_VALUE"""),5.0)</f>
        <v>5</v>
      </c>
      <c r="G854" s="251">
        <f>IFERROR(__xludf.DUMMYFUNCTION("""COMPUTED_VALUE"""),4.0)</f>
        <v>4</v>
      </c>
      <c r="H854" s="251">
        <f>IFERROR(__xludf.DUMMYFUNCTION("""COMPUTED_VALUE"""),5.0)</f>
        <v>5</v>
      </c>
      <c r="I854" s="251">
        <f>IFERROR(__xludf.DUMMYFUNCTION("""COMPUTED_VALUE"""),3.0)</f>
        <v>3</v>
      </c>
      <c r="J854" s="251">
        <f>IFERROR(__xludf.DUMMYFUNCTION("""COMPUTED_VALUE"""),2.0)</f>
        <v>2</v>
      </c>
      <c r="K854" s="251" t="str">
        <f>IFERROR(__xludf.DUMMYFUNCTION("""COMPUTED_VALUE"""),"Small")</f>
        <v>Small</v>
      </c>
      <c r="L854" s="251">
        <f>IFERROR(__xludf.DUMMYFUNCTION("""COMPUTED_VALUE"""),3.0)</f>
        <v>3</v>
      </c>
      <c r="M854" s="251" t="str">
        <f>IFERROR(__xludf.DUMMYFUNCTION("""COMPUTED_VALUE"""),"Wetlands, Urban")</f>
        <v>Wetlands, Urban</v>
      </c>
      <c r="N854" s="251" t="str">
        <f>IFERROR(__xludf.DUMMYFUNCTION("""COMPUTED_VALUE"""),"Grounded")</f>
        <v>Grounded</v>
      </c>
      <c r="O854" s="251" t="str">
        <f>IFERROR(__xludf.DUMMYFUNCTION("""COMPUTED_VALUE"""),"Slow")</f>
        <v>Slow</v>
      </c>
      <c r="P854" s="251" t="str">
        <f>IFERROR(__xludf.DUMMYFUNCTION("""COMPUTED_VALUE"""),"--")</f>
        <v>--</v>
      </c>
      <c r="Q854" s="251" t="str">
        <f>IFERROR(__xludf.DUMMYFUNCTION("""COMPUTED_VALUE"""),"--")</f>
        <v>--</v>
      </c>
      <c r="R854" s="251" t="str">
        <f>IFERROR(__xludf.DUMMYFUNCTION("""COMPUTED_VALUE"""),"Underdog")</f>
        <v>Underdog</v>
      </c>
      <c r="S854" s="251" t="str">
        <f>IFERROR(__xludf.DUMMYFUNCTION("""COMPUTED_VALUE"""),"--")</f>
        <v>--</v>
      </c>
      <c r="T854" s="251" t="str">
        <f>IFERROR(__xludf.DUMMYFUNCTION("""COMPUTED_VALUE"""),"--")</f>
        <v>--</v>
      </c>
      <c r="U854" s="251" t="str">
        <f>IFERROR(__xludf.DUMMYFUNCTION("""COMPUTED_VALUE"""),"--")</f>
        <v>--</v>
      </c>
      <c r="V854" s="251" t="str">
        <f>IFERROR(__xludf.DUMMYFUNCTION("""COMPUTED_VALUE"""),"Amorphous")</f>
        <v>Amorphous</v>
      </c>
      <c r="W854" s="251" t="str">
        <f>IFERROR(__xludf.DUMMYFUNCTION("""COMPUTED_VALUE"""),"Dead Silent")</f>
        <v>Dead Silent</v>
      </c>
      <c r="X854" s="251" t="str">
        <f>IFERROR(__xludf.DUMMYFUNCTION("""COMPUTED_VALUE"""),"Repulsive")</f>
        <v>Repulsive</v>
      </c>
      <c r="Y854" s="251" t="str">
        <f>IFERROR(__xludf.DUMMYFUNCTION("""COMPUTED_VALUE"""),"--")</f>
        <v>--</v>
      </c>
      <c r="Z854" s="251" t="str">
        <f>IFERROR(__xludf.DUMMYFUNCTION("""COMPUTED_VALUE"""),"--")</f>
        <v>--</v>
      </c>
      <c r="AA854" s="251" t="str">
        <f>IFERROR(__xludf.DUMMYFUNCTION("""COMPUTED_VALUE"""),"--")</f>
        <v>--</v>
      </c>
      <c r="AB854" s="251" t="str">
        <f>IFERROR(__xludf.DUMMYFUNCTION("""COMPUTED_VALUE"""),"--")</f>
        <v>--</v>
      </c>
      <c r="AC854" s="251" t="str">
        <f>IFERROR(__xludf.DUMMYFUNCTION("""COMPUTED_VALUE"""),"--")</f>
        <v>--</v>
      </c>
      <c r="AD854" s="251">
        <f>IFERROR(__xludf.DUMMYFUNCTION("""COMPUTED_VALUE"""),2.0)</f>
        <v>2</v>
      </c>
      <c r="AE854" s="251" t="str">
        <f>IFERROR(__xludf.DUMMYFUNCTION("""COMPUTED_VALUE"""),"Terravore")</f>
        <v>Terravore</v>
      </c>
    </row>
    <row r="855">
      <c r="A855" s="251" t="str">
        <f>IFERROR(__xludf.DUMMYFUNCTION("""COMPUTED_VALUE"""),"Muk")</f>
        <v>Muk</v>
      </c>
      <c r="B855" s="251" t="str">
        <f>IFERROR(__xludf.DUMMYFUNCTION("""COMPUTED_VALUE"""),"Poison")</f>
        <v>Poison</v>
      </c>
      <c r="C855" s="251" t="str">
        <f>IFERROR(__xludf.DUMMYFUNCTION("""COMPUTED_VALUE"""),"None")</f>
        <v>None</v>
      </c>
      <c r="D855" s="251">
        <f>IFERROR(__xludf.DUMMYFUNCTION("""COMPUTED_VALUE"""),11.0)</f>
        <v>11</v>
      </c>
      <c r="E855" s="251">
        <f>IFERROR(__xludf.DUMMYFUNCTION("""COMPUTED_VALUE"""),11.0)</f>
        <v>11</v>
      </c>
      <c r="F855" s="251">
        <f>IFERROR(__xludf.DUMMYFUNCTION("""COMPUTED_VALUE"""),8.0)</f>
        <v>8</v>
      </c>
      <c r="G855" s="251">
        <f>IFERROR(__xludf.DUMMYFUNCTION("""COMPUTED_VALUE"""),7.0)</f>
        <v>7</v>
      </c>
      <c r="H855" s="251">
        <f>IFERROR(__xludf.DUMMYFUNCTION("""COMPUTED_VALUE"""),10.0)</f>
        <v>10</v>
      </c>
      <c r="I855" s="251">
        <f>IFERROR(__xludf.DUMMYFUNCTION("""COMPUTED_VALUE"""),5.0)</f>
        <v>5</v>
      </c>
      <c r="J855" s="251">
        <f>IFERROR(__xludf.DUMMYFUNCTION("""COMPUTED_VALUE"""),3.0)</f>
        <v>3</v>
      </c>
      <c r="K855" s="251" t="str">
        <f>IFERROR(__xludf.DUMMYFUNCTION("""COMPUTED_VALUE"""),"Medium")</f>
        <v>Medium</v>
      </c>
      <c r="L855" s="251">
        <f>IFERROR(__xludf.DUMMYFUNCTION("""COMPUTED_VALUE"""),3.0)</f>
        <v>3</v>
      </c>
      <c r="M855" s="251" t="str">
        <f>IFERROR(__xludf.DUMMYFUNCTION("""COMPUTED_VALUE"""),"Wetlands, Urban")</f>
        <v>Wetlands, Urban</v>
      </c>
      <c r="N855" s="251" t="str">
        <f>IFERROR(__xludf.DUMMYFUNCTION("""COMPUTED_VALUE"""),"Grounded")</f>
        <v>Grounded</v>
      </c>
      <c r="O855" s="251" t="str">
        <f>IFERROR(__xludf.DUMMYFUNCTION("""COMPUTED_VALUE"""),"Slow")</f>
        <v>Slow</v>
      </c>
      <c r="P855" s="251" t="str">
        <f>IFERROR(__xludf.DUMMYFUNCTION("""COMPUTED_VALUE"""),"--")</f>
        <v>--</v>
      </c>
      <c r="Q855" s="251" t="str">
        <f>IFERROR(__xludf.DUMMYFUNCTION("""COMPUTED_VALUE"""),"--")</f>
        <v>--</v>
      </c>
      <c r="R855" s="251" t="str">
        <f>IFERROR(__xludf.DUMMYFUNCTION("""COMPUTED_VALUE"""),"--")</f>
        <v>--</v>
      </c>
      <c r="S855" s="251" t="str">
        <f>IFERROR(__xludf.DUMMYFUNCTION("""COMPUTED_VALUE"""),"--")</f>
        <v>--</v>
      </c>
      <c r="T855" s="251" t="str">
        <f>IFERROR(__xludf.DUMMYFUNCTION("""COMPUTED_VALUE"""),"--")</f>
        <v>--</v>
      </c>
      <c r="U855" s="251" t="str">
        <f>IFERROR(__xludf.DUMMYFUNCTION("""COMPUTED_VALUE"""),"--")</f>
        <v>--</v>
      </c>
      <c r="V855" s="251" t="str">
        <f>IFERROR(__xludf.DUMMYFUNCTION("""COMPUTED_VALUE"""),"Amorphous")</f>
        <v>Amorphous</v>
      </c>
      <c r="W855" s="251" t="str">
        <f>IFERROR(__xludf.DUMMYFUNCTION("""COMPUTED_VALUE"""),"Dead Silent")</f>
        <v>Dead Silent</v>
      </c>
      <c r="X855" s="251" t="str">
        <f>IFERROR(__xludf.DUMMYFUNCTION("""COMPUTED_VALUE"""),"Repulsive")</f>
        <v>Repulsive</v>
      </c>
      <c r="Y855" s="251" t="str">
        <f>IFERROR(__xludf.DUMMYFUNCTION("""COMPUTED_VALUE"""),"--")</f>
        <v>--</v>
      </c>
      <c r="Z855" s="251" t="str">
        <f>IFERROR(__xludf.DUMMYFUNCTION("""COMPUTED_VALUE"""),"--")</f>
        <v>--</v>
      </c>
      <c r="AA855" s="251" t="str">
        <f>IFERROR(__xludf.DUMMYFUNCTION("""COMPUTED_VALUE"""),"--")</f>
        <v>--</v>
      </c>
      <c r="AB855" s="251" t="str">
        <f>IFERROR(__xludf.DUMMYFUNCTION("""COMPUTED_VALUE"""),"--")</f>
        <v>--</v>
      </c>
      <c r="AC855" s="251" t="str">
        <f>IFERROR(__xludf.DUMMYFUNCTION("""COMPUTED_VALUE"""),"--")</f>
        <v>--</v>
      </c>
      <c r="AD855" s="251">
        <f>IFERROR(__xludf.DUMMYFUNCTION("""COMPUTED_VALUE"""),3.0)</f>
        <v>3</v>
      </c>
      <c r="AE855" s="251" t="str">
        <f>IFERROR(__xludf.DUMMYFUNCTION("""COMPUTED_VALUE"""),"Terravore")</f>
        <v>Terravore</v>
      </c>
    </row>
    <row r="856">
      <c r="A856" s="251" t="str">
        <f>IFERROR(__xludf.DUMMYFUNCTION("""COMPUTED_VALUE"""),"Koffing")</f>
        <v>Koffing</v>
      </c>
      <c r="B856" s="251" t="str">
        <f>IFERROR(__xludf.DUMMYFUNCTION("""COMPUTED_VALUE"""),"Poison")</f>
        <v>Poison</v>
      </c>
      <c r="C856" s="251" t="str">
        <f>IFERROR(__xludf.DUMMYFUNCTION("""COMPUTED_VALUE"""),"None")</f>
        <v>None</v>
      </c>
      <c r="D856" s="251">
        <f>IFERROR(__xludf.DUMMYFUNCTION("""COMPUTED_VALUE"""),4.0)</f>
        <v>4</v>
      </c>
      <c r="E856" s="251">
        <f>IFERROR(__xludf.DUMMYFUNCTION("""COMPUTED_VALUE"""),7.0)</f>
        <v>7</v>
      </c>
      <c r="F856" s="251">
        <f>IFERROR(__xludf.DUMMYFUNCTION("""COMPUTED_VALUE"""),10.0)</f>
        <v>10</v>
      </c>
      <c r="G856" s="251">
        <f>IFERROR(__xludf.DUMMYFUNCTION("""COMPUTED_VALUE"""),6.0)</f>
        <v>6</v>
      </c>
      <c r="H856" s="251">
        <f>IFERROR(__xludf.DUMMYFUNCTION("""COMPUTED_VALUE"""),5.0)</f>
        <v>5</v>
      </c>
      <c r="I856" s="251">
        <f>IFERROR(__xludf.DUMMYFUNCTION("""COMPUTED_VALUE"""),4.0)</f>
        <v>4</v>
      </c>
      <c r="J856" s="251">
        <f>IFERROR(__xludf.DUMMYFUNCTION("""COMPUTED_VALUE"""),1.0)</f>
        <v>1</v>
      </c>
      <c r="K856" s="251" t="str">
        <f>IFERROR(__xludf.DUMMYFUNCTION("""COMPUTED_VALUE"""),"Small")</f>
        <v>Small</v>
      </c>
      <c r="L856" s="251">
        <f>IFERROR(__xludf.DUMMYFUNCTION("""COMPUTED_VALUE"""),1.0)</f>
        <v>1</v>
      </c>
      <c r="M856" s="251" t="str">
        <f>IFERROR(__xludf.DUMMYFUNCTION("""COMPUTED_VALUE"""),"Urban")</f>
        <v>Urban</v>
      </c>
      <c r="N856" s="251" t="str">
        <f>IFERROR(__xludf.DUMMYFUNCTION("""COMPUTED_VALUE"""),"Flier")</f>
        <v>Flier</v>
      </c>
      <c r="O856" s="251" t="str">
        <f>IFERROR(__xludf.DUMMYFUNCTION("""COMPUTED_VALUE"""),"--")</f>
        <v>--</v>
      </c>
      <c r="P856" s="251" t="str">
        <f>IFERROR(__xludf.DUMMYFUNCTION("""COMPUTED_VALUE"""),"--")</f>
        <v>--</v>
      </c>
      <c r="Q856" s="251" t="str">
        <f>IFERROR(__xludf.DUMMYFUNCTION("""COMPUTED_VALUE"""),"--")</f>
        <v>--</v>
      </c>
      <c r="R856" s="251" t="str">
        <f>IFERROR(__xludf.DUMMYFUNCTION("""COMPUTED_VALUE"""),"Underdog")</f>
        <v>Underdog</v>
      </c>
      <c r="S856" s="251" t="str">
        <f>IFERROR(__xludf.DUMMYFUNCTION("""COMPUTED_VALUE"""),"--")</f>
        <v>--</v>
      </c>
      <c r="T856" s="251" t="str">
        <f>IFERROR(__xludf.DUMMYFUNCTION("""COMPUTED_VALUE"""),"--")</f>
        <v>--</v>
      </c>
      <c r="U856" s="251" t="str">
        <f>IFERROR(__xludf.DUMMYFUNCTION("""COMPUTED_VALUE"""),"--")</f>
        <v>--</v>
      </c>
      <c r="V856" s="251" t="str">
        <f>IFERROR(__xludf.DUMMYFUNCTION("""COMPUTED_VALUE"""),"Repulsive")</f>
        <v>Repulsive</v>
      </c>
      <c r="W856" s="251" t="str">
        <f>IFERROR(__xludf.DUMMYFUNCTION("""COMPUTED_VALUE"""),"--")</f>
        <v>--</v>
      </c>
      <c r="X856" s="251" t="str">
        <f>IFERROR(__xludf.DUMMYFUNCTION("""COMPUTED_VALUE"""),"--")</f>
        <v>--</v>
      </c>
      <c r="Y856" s="251" t="str">
        <f>IFERROR(__xludf.DUMMYFUNCTION("""COMPUTED_VALUE"""),"--")</f>
        <v>--</v>
      </c>
      <c r="Z856" s="251" t="str">
        <f>IFERROR(__xludf.DUMMYFUNCTION("""COMPUTED_VALUE"""),"--")</f>
        <v>--</v>
      </c>
      <c r="AA856" s="251" t="str">
        <f>IFERROR(__xludf.DUMMYFUNCTION("""COMPUTED_VALUE"""),"--")</f>
        <v>--</v>
      </c>
      <c r="AB856" s="251" t="str">
        <f>IFERROR(__xludf.DUMMYFUNCTION("""COMPUTED_VALUE"""),"--")</f>
        <v>--</v>
      </c>
      <c r="AC856" s="251" t="str">
        <f>IFERROR(__xludf.DUMMYFUNCTION("""COMPUTED_VALUE"""),"--")</f>
        <v>--</v>
      </c>
      <c r="AD856" s="251">
        <f>IFERROR(__xludf.DUMMYFUNCTION("""COMPUTED_VALUE"""),2.0)</f>
        <v>2</v>
      </c>
      <c r="AE856" s="251" t="str">
        <f>IFERROR(__xludf.DUMMYFUNCTION("""COMPUTED_VALUE"""),"Nullivore")</f>
        <v>Nullivore</v>
      </c>
    </row>
    <row r="857">
      <c r="A857" s="251" t="str">
        <f>IFERROR(__xludf.DUMMYFUNCTION("""COMPUTED_VALUE"""),"Weezing")</f>
        <v>Weezing</v>
      </c>
      <c r="B857" s="251" t="str">
        <f>IFERROR(__xludf.DUMMYFUNCTION("""COMPUTED_VALUE"""),"Poison")</f>
        <v>Poison</v>
      </c>
      <c r="C857" s="251" t="str">
        <f>IFERROR(__xludf.DUMMYFUNCTION("""COMPUTED_VALUE"""),"None")</f>
        <v>None</v>
      </c>
      <c r="D857" s="251">
        <f>IFERROR(__xludf.DUMMYFUNCTION("""COMPUTED_VALUE"""),8.0)</f>
        <v>8</v>
      </c>
      <c r="E857" s="251">
        <f>IFERROR(__xludf.DUMMYFUNCTION("""COMPUTED_VALUE"""),9.0)</f>
        <v>9</v>
      </c>
      <c r="F857" s="251">
        <f>IFERROR(__xludf.DUMMYFUNCTION("""COMPUTED_VALUE"""),12.0)</f>
        <v>12</v>
      </c>
      <c r="G857" s="251">
        <f>IFERROR(__xludf.DUMMYFUNCTION("""COMPUTED_VALUE"""),9.0)</f>
        <v>9</v>
      </c>
      <c r="H857" s="251">
        <f>IFERROR(__xludf.DUMMYFUNCTION("""COMPUTED_VALUE"""),7.0)</f>
        <v>7</v>
      </c>
      <c r="I857" s="251">
        <f>IFERROR(__xludf.DUMMYFUNCTION("""COMPUTED_VALUE"""),6.0)</f>
        <v>6</v>
      </c>
      <c r="J857" s="251">
        <f>IFERROR(__xludf.DUMMYFUNCTION("""COMPUTED_VALUE"""),4.0)</f>
        <v>4</v>
      </c>
      <c r="K857" s="251" t="str">
        <f>IFERROR(__xludf.DUMMYFUNCTION("""COMPUTED_VALUE"""),"Medium")</f>
        <v>Medium</v>
      </c>
      <c r="L857" s="251">
        <f>IFERROR(__xludf.DUMMYFUNCTION("""COMPUTED_VALUE"""),1.0)</f>
        <v>1</v>
      </c>
      <c r="M857" s="251" t="str">
        <f>IFERROR(__xludf.DUMMYFUNCTION("""COMPUTED_VALUE"""),"Urban")</f>
        <v>Urban</v>
      </c>
      <c r="N857" s="251" t="str">
        <f>IFERROR(__xludf.DUMMYFUNCTION("""COMPUTED_VALUE"""),"Flier")</f>
        <v>Flier</v>
      </c>
      <c r="O857" s="251" t="str">
        <f>IFERROR(__xludf.DUMMYFUNCTION("""COMPUTED_VALUE"""),"--")</f>
        <v>--</v>
      </c>
      <c r="P857" s="251" t="str">
        <f>IFERROR(__xludf.DUMMYFUNCTION("""COMPUTED_VALUE"""),"--")</f>
        <v>--</v>
      </c>
      <c r="Q857" s="251" t="str">
        <f>IFERROR(__xludf.DUMMYFUNCTION("""COMPUTED_VALUE"""),"--")</f>
        <v>--</v>
      </c>
      <c r="R857" s="251" t="str">
        <f>IFERROR(__xludf.DUMMYFUNCTION("""COMPUTED_VALUE"""),"--")</f>
        <v>--</v>
      </c>
      <c r="S857" s="251" t="str">
        <f>IFERROR(__xludf.DUMMYFUNCTION("""COMPUTED_VALUE"""),"--")</f>
        <v>--</v>
      </c>
      <c r="T857" s="251" t="str">
        <f>IFERROR(__xludf.DUMMYFUNCTION("""COMPUTED_VALUE"""),"--")</f>
        <v>--</v>
      </c>
      <c r="U857" s="251" t="str">
        <f>IFERROR(__xludf.DUMMYFUNCTION("""COMPUTED_VALUE"""),"--")</f>
        <v>--</v>
      </c>
      <c r="V857" s="251" t="str">
        <f>IFERROR(__xludf.DUMMYFUNCTION("""COMPUTED_VALUE"""),"Repulsive")</f>
        <v>Repulsive</v>
      </c>
      <c r="W857" s="251" t="str">
        <f>IFERROR(__xludf.DUMMYFUNCTION("""COMPUTED_VALUE"""),"--")</f>
        <v>--</v>
      </c>
      <c r="X857" s="251" t="str">
        <f>IFERROR(__xludf.DUMMYFUNCTION("""COMPUTED_VALUE"""),"--")</f>
        <v>--</v>
      </c>
      <c r="Y857" s="251" t="str">
        <f>IFERROR(__xludf.DUMMYFUNCTION("""COMPUTED_VALUE"""),"--")</f>
        <v>--</v>
      </c>
      <c r="Z857" s="251" t="str">
        <f>IFERROR(__xludf.DUMMYFUNCTION("""COMPUTED_VALUE"""),"--")</f>
        <v>--</v>
      </c>
      <c r="AA857" s="251" t="str">
        <f>IFERROR(__xludf.DUMMYFUNCTION("""COMPUTED_VALUE"""),"--")</f>
        <v>--</v>
      </c>
      <c r="AB857" s="251" t="str">
        <f>IFERROR(__xludf.DUMMYFUNCTION("""COMPUTED_VALUE"""),"--")</f>
        <v>--</v>
      </c>
      <c r="AC857" s="251" t="str">
        <f>IFERROR(__xludf.DUMMYFUNCTION("""COMPUTED_VALUE"""),"--")</f>
        <v>--</v>
      </c>
      <c r="AD857" s="251">
        <f>IFERROR(__xludf.DUMMYFUNCTION("""COMPUTED_VALUE"""),3.0)</f>
        <v>3</v>
      </c>
      <c r="AE857" s="251" t="str">
        <f>IFERROR(__xludf.DUMMYFUNCTION("""COMPUTED_VALUE"""),"Nullivore")</f>
        <v>Nullivore</v>
      </c>
    </row>
    <row r="858">
      <c r="A858" s="251" t="str">
        <f>IFERROR(__xludf.DUMMYFUNCTION("""COMPUTED_VALUE"""),"Galarian Weezing")</f>
        <v>Galarian Weezing</v>
      </c>
      <c r="B858" s="251" t="str">
        <f>IFERROR(__xludf.DUMMYFUNCTION("""COMPUTED_VALUE"""),"Poison")</f>
        <v>Poison</v>
      </c>
      <c r="C858" s="251" t="str">
        <f>IFERROR(__xludf.DUMMYFUNCTION("""COMPUTED_VALUE"""),"Fairy")</f>
        <v>Fairy</v>
      </c>
      <c r="D858" s="251">
        <f>IFERROR(__xludf.DUMMYFUNCTION("""COMPUTED_VALUE"""),7.0)</f>
        <v>7</v>
      </c>
      <c r="E858" s="251">
        <f>IFERROR(__xludf.DUMMYFUNCTION("""COMPUTED_VALUE"""),9.0)</f>
        <v>9</v>
      </c>
      <c r="F858" s="251">
        <f>IFERROR(__xludf.DUMMYFUNCTION("""COMPUTED_VALUE"""),12.0)</f>
        <v>12</v>
      </c>
      <c r="G858" s="251">
        <f>IFERROR(__xludf.DUMMYFUNCTION("""COMPUTED_VALUE"""),9.0)</f>
        <v>9</v>
      </c>
      <c r="H858" s="251">
        <f>IFERROR(__xludf.DUMMYFUNCTION("""COMPUTED_VALUE"""),7.0)</f>
        <v>7</v>
      </c>
      <c r="I858" s="251">
        <f>IFERROR(__xludf.DUMMYFUNCTION("""COMPUTED_VALUE"""),6.0)</f>
        <v>6</v>
      </c>
      <c r="J858" s="251">
        <f>IFERROR(__xludf.DUMMYFUNCTION("""COMPUTED_VALUE"""),4.0)</f>
        <v>4</v>
      </c>
      <c r="K858" s="251" t="str">
        <f>IFERROR(__xludf.DUMMYFUNCTION("""COMPUTED_VALUE"""),"Huge")</f>
        <v>Huge</v>
      </c>
      <c r="L858" s="251">
        <f>IFERROR(__xludf.DUMMYFUNCTION("""COMPUTED_VALUE"""),2.0)</f>
        <v>2</v>
      </c>
      <c r="M858" s="251" t="str">
        <f>IFERROR(__xludf.DUMMYFUNCTION("""COMPUTED_VALUE"""),"Urban")</f>
        <v>Urban</v>
      </c>
      <c r="N858" s="251" t="str">
        <f>IFERROR(__xludf.DUMMYFUNCTION("""COMPUTED_VALUE"""),"Flier")</f>
        <v>Flier</v>
      </c>
      <c r="O858" s="251" t="str">
        <f>IFERROR(__xludf.DUMMYFUNCTION("""COMPUTED_VALUE"""),"--")</f>
        <v>--</v>
      </c>
      <c r="P858" s="251" t="str">
        <f>IFERROR(__xludf.DUMMYFUNCTION("""COMPUTED_VALUE"""),"--")</f>
        <v>--</v>
      </c>
      <c r="Q858" s="251" t="str">
        <f>IFERROR(__xludf.DUMMYFUNCTION("""COMPUTED_VALUE"""),"--")</f>
        <v>--</v>
      </c>
      <c r="R858" s="251" t="str">
        <f>IFERROR(__xludf.DUMMYFUNCTION("""COMPUTED_VALUE"""),"--")</f>
        <v>--</v>
      </c>
      <c r="S858" s="251" t="str">
        <f>IFERROR(__xludf.DUMMYFUNCTION("""COMPUTED_VALUE"""),"--")</f>
        <v>--</v>
      </c>
      <c r="T858" s="251" t="str">
        <f>IFERROR(__xludf.DUMMYFUNCTION("""COMPUTED_VALUE"""),"--")</f>
        <v>--</v>
      </c>
      <c r="U858" s="251" t="str">
        <f>IFERROR(__xludf.DUMMYFUNCTION("""COMPUTED_VALUE"""),"--")</f>
        <v>--</v>
      </c>
      <c r="V858" s="251" t="str">
        <f>IFERROR(__xludf.DUMMYFUNCTION("""COMPUTED_VALUE"""),"--")</f>
        <v>--</v>
      </c>
      <c r="W858" s="251" t="str">
        <f>IFERROR(__xludf.DUMMYFUNCTION("""COMPUTED_VALUE"""),"--")</f>
        <v>--</v>
      </c>
      <c r="X858" s="251" t="str">
        <f>IFERROR(__xludf.DUMMYFUNCTION("""COMPUTED_VALUE"""),"--")</f>
        <v>--</v>
      </c>
      <c r="Y858" s="251" t="str">
        <f>IFERROR(__xludf.DUMMYFUNCTION("""COMPUTED_VALUE"""),"--")</f>
        <v>--</v>
      </c>
      <c r="Z858" s="251" t="str">
        <f>IFERROR(__xludf.DUMMYFUNCTION("""COMPUTED_VALUE"""),"--")</f>
        <v>--</v>
      </c>
      <c r="AA858" s="251" t="str">
        <f>IFERROR(__xludf.DUMMYFUNCTION("""COMPUTED_VALUE"""),"--")</f>
        <v>--</v>
      </c>
      <c r="AB858" s="251" t="str">
        <f>IFERROR(__xludf.DUMMYFUNCTION("""COMPUTED_VALUE"""),"--")</f>
        <v>--</v>
      </c>
      <c r="AC858" s="251" t="str">
        <f>IFERROR(__xludf.DUMMYFUNCTION("""COMPUTED_VALUE"""),"--")</f>
        <v>--</v>
      </c>
      <c r="AD858" s="251">
        <f>IFERROR(__xludf.DUMMYFUNCTION("""COMPUTED_VALUE"""),3.0)</f>
        <v>3</v>
      </c>
      <c r="AE858" s="251" t="str">
        <f>IFERROR(__xludf.DUMMYFUNCTION("""COMPUTED_VALUE"""),"Nullivore")</f>
        <v>Nullivore</v>
      </c>
    </row>
    <row r="859">
      <c r="A859" s="251" t="str">
        <f>IFERROR(__xludf.DUMMYFUNCTION("""COMPUTED_VALUE"""),"Gulpin")</f>
        <v>Gulpin</v>
      </c>
      <c r="B859" s="251" t="str">
        <f>IFERROR(__xludf.DUMMYFUNCTION("""COMPUTED_VALUE"""),"Poison")</f>
        <v>Poison</v>
      </c>
      <c r="C859" s="251" t="str">
        <f>IFERROR(__xludf.DUMMYFUNCTION("""COMPUTED_VALUE"""),"None")</f>
        <v>None</v>
      </c>
      <c r="D859" s="251">
        <f>IFERROR(__xludf.DUMMYFUNCTION("""COMPUTED_VALUE"""),8.0)</f>
        <v>8</v>
      </c>
      <c r="E859" s="251">
        <f>IFERROR(__xludf.DUMMYFUNCTION("""COMPUTED_VALUE"""),4.0)</f>
        <v>4</v>
      </c>
      <c r="F859" s="251">
        <f>IFERROR(__xludf.DUMMYFUNCTION("""COMPUTED_VALUE"""),5.0)</f>
        <v>5</v>
      </c>
      <c r="G859" s="251">
        <f>IFERROR(__xludf.DUMMYFUNCTION("""COMPUTED_VALUE"""),4.0)</f>
        <v>4</v>
      </c>
      <c r="H859" s="251">
        <f>IFERROR(__xludf.DUMMYFUNCTION("""COMPUTED_VALUE"""),5.0)</f>
        <v>5</v>
      </c>
      <c r="I859" s="251">
        <f>IFERROR(__xludf.DUMMYFUNCTION("""COMPUTED_VALUE"""),4.0)</f>
        <v>4</v>
      </c>
      <c r="J859" s="251">
        <f>IFERROR(__xludf.DUMMYFUNCTION("""COMPUTED_VALUE"""),1.0)</f>
        <v>1</v>
      </c>
      <c r="K859" s="251" t="str">
        <f>IFERROR(__xludf.DUMMYFUNCTION("""COMPUTED_VALUE"""),"Small")</f>
        <v>Small</v>
      </c>
      <c r="L859" s="251">
        <f>IFERROR(__xludf.DUMMYFUNCTION("""COMPUTED_VALUE"""),1.0)</f>
        <v>1</v>
      </c>
      <c r="M859" s="251" t="str">
        <f>IFERROR(__xludf.DUMMYFUNCTION("""COMPUTED_VALUE"""),"Wetlands ")</f>
        <v>Wetlands </v>
      </c>
      <c r="N859" s="251" t="str">
        <f>IFERROR(__xludf.DUMMYFUNCTION("""COMPUTED_VALUE"""),"Climber")</f>
        <v>Climber</v>
      </c>
      <c r="O859" s="251" t="str">
        <f>IFERROR(__xludf.DUMMYFUNCTION("""COMPUTED_VALUE"""),"Grounded")</f>
        <v>Grounded</v>
      </c>
      <c r="P859" s="251" t="str">
        <f>IFERROR(__xludf.DUMMYFUNCTION("""COMPUTED_VALUE"""),"Slow")</f>
        <v>Slow</v>
      </c>
      <c r="Q859" s="251" t="str">
        <f>IFERROR(__xludf.DUMMYFUNCTION("""COMPUTED_VALUE"""),"--")</f>
        <v>--</v>
      </c>
      <c r="R859" s="251" t="str">
        <f>IFERROR(__xludf.DUMMYFUNCTION("""COMPUTED_VALUE"""),"Underdog")</f>
        <v>Underdog</v>
      </c>
      <c r="S859" s="251" t="str">
        <f>IFERROR(__xludf.DUMMYFUNCTION("""COMPUTED_VALUE"""),"--")</f>
        <v>--</v>
      </c>
      <c r="T859" s="251" t="str">
        <f>IFERROR(__xludf.DUMMYFUNCTION("""COMPUTED_VALUE"""),"--")</f>
        <v>--</v>
      </c>
      <c r="U859" s="251" t="str">
        <f>IFERROR(__xludf.DUMMYFUNCTION("""COMPUTED_VALUE"""),"--")</f>
        <v>--</v>
      </c>
      <c r="V859" s="251" t="str">
        <f>IFERROR(__xludf.DUMMYFUNCTION("""COMPUTED_VALUE"""),"Amorphous")</f>
        <v>Amorphous</v>
      </c>
      <c r="W859" s="251" t="str">
        <f>IFERROR(__xludf.DUMMYFUNCTION("""COMPUTED_VALUE"""),"--")</f>
        <v>--</v>
      </c>
      <c r="X859" s="251" t="str">
        <f>IFERROR(__xludf.DUMMYFUNCTION("""COMPUTED_VALUE"""),"--")</f>
        <v>--</v>
      </c>
      <c r="Y859" s="251" t="str">
        <f>IFERROR(__xludf.DUMMYFUNCTION("""COMPUTED_VALUE"""),"--")</f>
        <v>--</v>
      </c>
      <c r="Z859" s="251" t="str">
        <f>IFERROR(__xludf.DUMMYFUNCTION("""COMPUTED_VALUE"""),"--")</f>
        <v>--</v>
      </c>
      <c r="AA859" s="251" t="str">
        <f>IFERROR(__xludf.DUMMYFUNCTION("""COMPUTED_VALUE"""),"--")</f>
        <v>--</v>
      </c>
      <c r="AB859" s="251" t="str">
        <f>IFERROR(__xludf.DUMMYFUNCTION("""COMPUTED_VALUE"""),"--")</f>
        <v>--</v>
      </c>
      <c r="AC859" s="251" t="str">
        <f>IFERROR(__xludf.DUMMYFUNCTION("""COMPUTED_VALUE"""),"--")</f>
        <v>--</v>
      </c>
      <c r="AD859" s="251">
        <f>IFERROR(__xludf.DUMMYFUNCTION("""COMPUTED_VALUE"""),2.0)</f>
        <v>2</v>
      </c>
      <c r="AE859" s="251" t="str">
        <f>IFERROR(__xludf.DUMMYFUNCTION("""COMPUTED_VALUE"""),"Omnivore")</f>
        <v>Omnivore</v>
      </c>
    </row>
    <row r="860">
      <c r="A860" s="251" t="str">
        <f>IFERROR(__xludf.DUMMYFUNCTION("""COMPUTED_VALUE"""),"Swalot")</f>
        <v>Swalot</v>
      </c>
      <c r="B860" s="251" t="str">
        <f>IFERROR(__xludf.DUMMYFUNCTION("""COMPUTED_VALUE"""),"Poison")</f>
        <v>Poison</v>
      </c>
      <c r="C860" s="251" t="str">
        <f>IFERROR(__xludf.DUMMYFUNCTION("""COMPUTED_VALUE"""),"None")</f>
        <v>None</v>
      </c>
      <c r="D860" s="251">
        <f>IFERROR(__xludf.DUMMYFUNCTION("""COMPUTED_VALUE"""),13.0)</f>
        <v>13</v>
      </c>
      <c r="E860" s="251">
        <f>IFERROR(__xludf.DUMMYFUNCTION("""COMPUTED_VALUE"""),8.0)</f>
        <v>8</v>
      </c>
      <c r="F860" s="251">
        <f>IFERROR(__xludf.DUMMYFUNCTION("""COMPUTED_VALUE"""),8.0)</f>
        <v>8</v>
      </c>
      <c r="G860" s="251">
        <f>IFERROR(__xludf.DUMMYFUNCTION("""COMPUTED_VALUE"""),8.0)</f>
        <v>8</v>
      </c>
      <c r="H860" s="251">
        <f>IFERROR(__xludf.DUMMYFUNCTION("""COMPUTED_VALUE"""),8.0)</f>
        <v>8</v>
      </c>
      <c r="I860" s="251">
        <f>IFERROR(__xludf.DUMMYFUNCTION("""COMPUTED_VALUE"""),6.0)</f>
        <v>6</v>
      </c>
      <c r="J860" s="251">
        <f>IFERROR(__xludf.DUMMYFUNCTION("""COMPUTED_VALUE"""),3.0)</f>
        <v>3</v>
      </c>
      <c r="K860" s="251" t="str">
        <f>IFERROR(__xludf.DUMMYFUNCTION("""COMPUTED_VALUE"""),"Medium")</f>
        <v>Medium</v>
      </c>
      <c r="L860" s="251">
        <f>IFERROR(__xludf.DUMMYFUNCTION("""COMPUTED_VALUE"""),4.0)</f>
        <v>4</v>
      </c>
      <c r="M860" s="251" t="str">
        <f>IFERROR(__xludf.DUMMYFUNCTION("""COMPUTED_VALUE"""),"Wetlands ")</f>
        <v>Wetlands </v>
      </c>
      <c r="N860" s="251" t="str">
        <f>IFERROR(__xludf.DUMMYFUNCTION("""COMPUTED_VALUE"""),"Climber")</f>
        <v>Climber</v>
      </c>
      <c r="O860" s="251" t="str">
        <f>IFERROR(__xludf.DUMMYFUNCTION("""COMPUTED_VALUE"""),"Grounded")</f>
        <v>Grounded</v>
      </c>
      <c r="P860" s="251" t="str">
        <f>IFERROR(__xludf.DUMMYFUNCTION("""COMPUTED_VALUE"""),"--")</f>
        <v>--</v>
      </c>
      <c r="Q860" s="251" t="str">
        <f>IFERROR(__xludf.DUMMYFUNCTION("""COMPUTED_VALUE"""),"--")</f>
        <v>--</v>
      </c>
      <c r="R860" s="251" t="str">
        <f>IFERROR(__xludf.DUMMYFUNCTION("""COMPUTED_VALUE"""),"--")</f>
        <v>--</v>
      </c>
      <c r="S860" s="251" t="str">
        <f>IFERROR(__xludf.DUMMYFUNCTION("""COMPUTED_VALUE"""),"--")</f>
        <v>--</v>
      </c>
      <c r="T860" s="251" t="str">
        <f>IFERROR(__xludf.DUMMYFUNCTION("""COMPUTED_VALUE"""),"--")</f>
        <v>--</v>
      </c>
      <c r="U860" s="251" t="str">
        <f>IFERROR(__xludf.DUMMYFUNCTION("""COMPUTED_VALUE"""),"--")</f>
        <v>--</v>
      </c>
      <c r="V860" s="251" t="str">
        <f>IFERROR(__xludf.DUMMYFUNCTION("""COMPUTED_VALUE"""),"Amorphous")</f>
        <v>Amorphous</v>
      </c>
      <c r="W860" s="251" t="str">
        <f>IFERROR(__xludf.DUMMYFUNCTION("""COMPUTED_VALUE"""),"--")</f>
        <v>--</v>
      </c>
      <c r="X860" s="251" t="str">
        <f>IFERROR(__xludf.DUMMYFUNCTION("""COMPUTED_VALUE"""),"--")</f>
        <v>--</v>
      </c>
      <c r="Y860" s="251" t="str">
        <f>IFERROR(__xludf.DUMMYFUNCTION("""COMPUTED_VALUE"""),"--")</f>
        <v>--</v>
      </c>
      <c r="Z860" s="251" t="str">
        <f>IFERROR(__xludf.DUMMYFUNCTION("""COMPUTED_VALUE"""),"--")</f>
        <v>--</v>
      </c>
      <c r="AA860" s="251" t="str">
        <f>IFERROR(__xludf.DUMMYFUNCTION("""COMPUTED_VALUE"""),"--")</f>
        <v>--</v>
      </c>
      <c r="AB860" s="251" t="str">
        <f>IFERROR(__xludf.DUMMYFUNCTION("""COMPUTED_VALUE"""),"--")</f>
        <v>--</v>
      </c>
      <c r="AC860" s="251" t="str">
        <f>IFERROR(__xludf.DUMMYFUNCTION("""COMPUTED_VALUE"""),"--")</f>
        <v>--</v>
      </c>
      <c r="AD860" s="251">
        <f>IFERROR(__xludf.DUMMYFUNCTION("""COMPUTED_VALUE"""),3.0)</f>
        <v>3</v>
      </c>
      <c r="AE860" s="251" t="str">
        <f>IFERROR(__xludf.DUMMYFUNCTION("""COMPUTED_VALUE"""),"Omnivore")</f>
        <v>Omnivore</v>
      </c>
    </row>
    <row r="861">
      <c r="A861" s="251" t="str">
        <f>IFERROR(__xludf.DUMMYFUNCTION("""COMPUTED_VALUE"""),"Stunky")</f>
        <v>Stunky</v>
      </c>
      <c r="B861" s="251" t="str">
        <f>IFERROR(__xludf.DUMMYFUNCTION("""COMPUTED_VALUE"""),"Poison")</f>
        <v>Poison</v>
      </c>
      <c r="C861" s="251" t="str">
        <f>IFERROR(__xludf.DUMMYFUNCTION("""COMPUTED_VALUE"""),"Dark")</f>
        <v>Dark</v>
      </c>
      <c r="D861" s="251">
        <f>IFERROR(__xludf.DUMMYFUNCTION("""COMPUTED_VALUE"""),6.0)</f>
        <v>6</v>
      </c>
      <c r="E861" s="251">
        <f>IFERROR(__xludf.DUMMYFUNCTION("""COMPUTED_VALUE"""),6.0)</f>
        <v>6</v>
      </c>
      <c r="F861" s="251">
        <f>IFERROR(__xludf.DUMMYFUNCTION("""COMPUTED_VALUE"""),5.0)</f>
        <v>5</v>
      </c>
      <c r="G861" s="251">
        <f>IFERROR(__xludf.DUMMYFUNCTION("""COMPUTED_VALUE"""),4.0)</f>
        <v>4</v>
      </c>
      <c r="H861" s="251">
        <f>IFERROR(__xludf.DUMMYFUNCTION("""COMPUTED_VALUE"""),4.0)</f>
        <v>4</v>
      </c>
      <c r="I861" s="251">
        <f>IFERROR(__xludf.DUMMYFUNCTION("""COMPUTED_VALUE"""),7.0)</f>
        <v>7</v>
      </c>
      <c r="J861" s="251">
        <f>IFERROR(__xludf.DUMMYFUNCTION("""COMPUTED_VALUE"""),2.0)</f>
        <v>2</v>
      </c>
      <c r="K861" s="251" t="str">
        <f>IFERROR(__xludf.DUMMYFUNCTION("""COMPUTED_VALUE"""),"Small")</f>
        <v>Small</v>
      </c>
      <c r="L861" s="251">
        <f>IFERROR(__xludf.DUMMYFUNCTION("""COMPUTED_VALUE"""),2.0)</f>
        <v>2</v>
      </c>
      <c r="M861" s="251" t="str">
        <f>IFERROR(__xludf.DUMMYFUNCTION("""COMPUTED_VALUE"""),"Grasslands")</f>
        <v>Grasslands</v>
      </c>
      <c r="N861" s="251" t="str">
        <f>IFERROR(__xludf.DUMMYFUNCTION("""COMPUTED_VALUE"""),"--")</f>
        <v>--</v>
      </c>
      <c r="O861" s="251" t="str">
        <f>IFERROR(__xludf.DUMMYFUNCTION("""COMPUTED_VALUE"""),"--")</f>
        <v>--</v>
      </c>
      <c r="P861" s="251" t="str">
        <f>IFERROR(__xludf.DUMMYFUNCTION("""COMPUTED_VALUE"""),"--")</f>
        <v>--</v>
      </c>
      <c r="Q861" s="251" t="str">
        <f>IFERROR(__xludf.DUMMYFUNCTION("""COMPUTED_VALUE"""),"--")</f>
        <v>--</v>
      </c>
      <c r="R861" s="251" t="str">
        <f>IFERROR(__xludf.DUMMYFUNCTION("""COMPUTED_VALUE"""),"Darkvision")</f>
        <v>Darkvision</v>
      </c>
      <c r="S861" s="251" t="str">
        <f>IFERROR(__xludf.DUMMYFUNCTION("""COMPUTED_VALUE"""),"Underdog")</f>
        <v>Underdog</v>
      </c>
      <c r="T861" s="251" t="str">
        <f>IFERROR(__xludf.DUMMYFUNCTION("""COMPUTED_VALUE"""),"--")</f>
        <v>--</v>
      </c>
      <c r="U861" s="251" t="str">
        <f>IFERROR(__xludf.DUMMYFUNCTION("""COMPUTED_VALUE"""),"--")</f>
        <v>--</v>
      </c>
      <c r="V861" s="251" t="str">
        <f>IFERROR(__xludf.DUMMYFUNCTION("""COMPUTED_VALUE"""),"Repulsive")</f>
        <v>Repulsive</v>
      </c>
      <c r="W861" s="251" t="str">
        <f>IFERROR(__xludf.DUMMYFUNCTION("""COMPUTED_VALUE"""),"--")</f>
        <v>--</v>
      </c>
      <c r="X861" s="251" t="str">
        <f>IFERROR(__xludf.DUMMYFUNCTION("""COMPUTED_VALUE"""),"--")</f>
        <v>--</v>
      </c>
      <c r="Y861" s="251" t="str">
        <f>IFERROR(__xludf.DUMMYFUNCTION("""COMPUTED_VALUE"""),"--")</f>
        <v>--</v>
      </c>
      <c r="Z861" s="251" t="str">
        <f>IFERROR(__xludf.DUMMYFUNCTION("""COMPUTED_VALUE"""),"--")</f>
        <v>--</v>
      </c>
      <c r="AA861" s="251" t="str">
        <f>IFERROR(__xludf.DUMMYFUNCTION("""COMPUTED_VALUE"""),"--")</f>
        <v>--</v>
      </c>
      <c r="AB861" s="251" t="str">
        <f>IFERROR(__xludf.DUMMYFUNCTION("""COMPUTED_VALUE"""),"--")</f>
        <v>--</v>
      </c>
      <c r="AC861" s="251" t="str">
        <f>IFERROR(__xludf.DUMMYFUNCTION("""COMPUTED_VALUE"""),"--")</f>
        <v>--</v>
      </c>
      <c r="AD861" s="251">
        <f>IFERROR(__xludf.DUMMYFUNCTION("""COMPUTED_VALUE"""),2.0)</f>
        <v>2</v>
      </c>
      <c r="AE861" s="251" t="str">
        <f>IFERROR(__xludf.DUMMYFUNCTION("""COMPUTED_VALUE"""),"Herbivore")</f>
        <v>Herbivore</v>
      </c>
    </row>
    <row r="862">
      <c r="A862" s="251" t="str">
        <f>IFERROR(__xludf.DUMMYFUNCTION("""COMPUTED_VALUE"""),"Skuntank")</f>
        <v>Skuntank</v>
      </c>
      <c r="B862" s="251" t="str">
        <f>IFERROR(__xludf.DUMMYFUNCTION("""COMPUTED_VALUE"""),"Poison")</f>
        <v>Poison</v>
      </c>
      <c r="C862" s="251" t="str">
        <f>IFERROR(__xludf.DUMMYFUNCTION("""COMPUTED_VALUE"""),"Dark")</f>
        <v>Dark</v>
      </c>
      <c r="D862" s="251">
        <f>IFERROR(__xludf.DUMMYFUNCTION("""COMPUTED_VALUE"""),10.0)</f>
        <v>10</v>
      </c>
      <c r="E862" s="251">
        <f>IFERROR(__xludf.DUMMYFUNCTION("""COMPUTED_VALUE"""),10.0)</f>
        <v>10</v>
      </c>
      <c r="F862" s="251">
        <f>IFERROR(__xludf.DUMMYFUNCTION("""COMPUTED_VALUE"""),7.0)</f>
        <v>7</v>
      </c>
      <c r="G862" s="251">
        <f>IFERROR(__xludf.DUMMYFUNCTION("""COMPUTED_VALUE"""),10.0)</f>
        <v>10</v>
      </c>
      <c r="H862" s="251">
        <f>IFERROR(__xludf.DUMMYFUNCTION("""COMPUTED_VALUE"""),6.0)</f>
        <v>6</v>
      </c>
      <c r="I862" s="251">
        <f>IFERROR(__xludf.DUMMYFUNCTION("""COMPUTED_VALUE"""),8.0)</f>
        <v>8</v>
      </c>
      <c r="J862" s="251">
        <f>IFERROR(__xludf.DUMMYFUNCTION("""COMPUTED_VALUE"""),6.0)</f>
        <v>6</v>
      </c>
      <c r="K862" s="251" t="str">
        <f>IFERROR(__xludf.DUMMYFUNCTION("""COMPUTED_VALUE"""),"Medium")</f>
        <v>Medium</v>
      </c>
      <c r="L862" s="251">
        <f>IFERROR(__xludf.DUMMYFUNCTION("""COMPUTED_VALUE"""),3.0)</f>
        <v>3</v>
      </c>
      <c r="M862" s="251" t="str">
        <f>IFERROR(__xludf.DUMMYFUNCTION("""COMPUTED_VALUE"""),"Grasslands")</f>
        <v>Grasslands</v>
      </c>
      <c r="N862" s="251" t="str">
        <f>IFERROR(__xludf.DUMMYFUNCTION("""COMPUTED_VALUE"""),"--")</f>
        <v>--</v>
      </c>
      <c r="O862" s="251" t="str">
        <f>IFERROR(__xludf.DUMMYFUNCTION("""COMPUTED_VALUE"""),"--")</f>
        <v>--</v>
      </c>
      <c r="P862" s="251" t="str">
        <f>IFERROR(__xludf.DUMMYFUNCTION("""COMPUTED_VALUE"""),"--")</f>
        <v>--</v>
      </c>
      <c r="Q862" s="251" t="str">
        <f>IFERROR(__xludf.DUMMYFUNCTION("""COMPUTED_VALUE"""),"--")</f>
        <v>--</v>
      </c>
      <c r="R862" s="251" t="str">
        <f>IFERROR(__xludf.DUMMYFUNCTION("""COMPUTED_VALUE"""),"Darkvision")</f>
        <v>Darkvision</v>
      </c>
      <c r="S862" s="251" t="str">
        <f>IFERROR(__xludf.DUMMYFUNCTION("""COMPUTED_VALUE"""),"--")</f>
        <v>--</v>
      </c>
      <c r="T862" s="251" t="str">
        <f>IFERROR(__xludf.DUMMYFUNCTION("""COMPUTED_VALUE"""),"--")</f>
        <v>--</v>
      </c>
      <c r="U862" s="251" t="str">
        <f>IFERROR(__xludf.DUMMYFUNCTION("""COMPUTED_VALUE"""),"--")</f>
        <v>--</v>
      </c>
      <c r="V862" s="251" t="str">
        <f>IFERROR(__xludf.DUMMYFUNCTION("""COMPUTED_VALUE"""),"Repulsive")</f>
        <v>Repulsive</v>
      </c>
      <c r="W862" s="251" t="str">
        <f>IFERROR(__xludf.DUMMYFUNCTION("""COMPUTED_VALUE"""),"--")</f>
        <v>--</v>
      </c>
      <c r="X862" s="251" t="str">
        <f>IFERROR(__xludf.DUMMYFUNCTION("""COMPUTED_VALUE"""),"--")</f>
        <v>--</v>
      </c>
      <c r="Y862" s="251" t="str">
        <f>IFERROR(__xludf.DUMMYFUNCTION("""COMPUTED_VALUE"""),"--")</f>
        <v>--</v>
      </c>
      <c r="Z862" s="251" t="str">
        <f>IFERROR(__xludf.DUMMYFUNCTION("""COMPUTED_VALUE"""),"--")</f>
        <v>--</v>
      </c>
      <c r="AA862" s="251" t="str">
        <f>IFERROR(__xludf.DUMMYFUNCTION("""COMPUTED_VALUE"""),"--")</f>
        <v>--</v>
      </c>
      <c r="AB862" s="251" t="str">
        <f>IFERROR(__xludf.DUMMYFUNCTION("""COMPUTED_VALUE"""),"--")</f>
        <v>--</v>
      </c>
      <c r="AC862" s="251" t="str">
        <f>IFERROR(__xludf.DUMMYFUNCTION("""COMPUTED_VALUE"""),"--")</f>
        <v>--</v>
      </c>
      <c r="AD862" s="251">
        <f>IFERROR(__xludf.DUMMYFUNCTION("""COMPUTED_VALUE"""),3.0)</f>
        <v>3</v>
      </c>
      <c r="AE862" s="251" t="str">
        <f>IFERROR(__xludf.DUMMYFUNCTION("""COMPUTED_VALUE"""),"Herbivore")</f>
        <v>Herbivore</v>
      </c>
    </row>
    <row r="863">
      <c r="A863" s="251" t="str">
        <f>IFERROR(__xludf.DUMMYFUNCTION("""COMPUTED_VALUE"""),"Skorupi")</f>
        <v>Skorupi</v>
      </c>
      <c r="B863" s="251" t="str">
        <f>IFERROR(__xludf.DUMMYFUNCTION("""COMPUTED_VALUE"""),"Poison")</f>
        <v>Poison</v>
      </c>
      <c r="C863" s="251" t="str">
        <f>IFERROR(__xludf.DUMMYFUNCTION("""COMPUTED_VALUE"""),"Bug")</f>
        <v>Bug</v>
      </c>
      <c r="D863" s="251">
        <f>IFERROR(__xludf.DUMMYFUNCTION("""COMPUTED_VALUE"""),4.0)</f>
        <v>4</v>
      </c>
      <c r="E863" s="251">
        <f>IFERROR(__xludf.DUMMYFUNCTION("""COMPUTED_VALUE"""),5.0)</f>
        <v>5</v>
      </c>
      <c r="F863" s="251">
        <f>IFERROR(__xludf.DUMMYFUNCTION("""COMPUTED_VALUE"""),9.0)</f>
        <v>9</v>
      </c>
      <c r="G863" s="251">
        <f>IFERROR(__xludf.DUMMYFUNCTION("""COMPUTED_VALUE"""),3.0)</f>
        <v>3</v>
      </c>
      <c r="H863" s="251">
        <f>IFERROR(__xludf.DUMMYFUNCTION("""COMPUTED_VALUE"""),6.0)</f>
        <v>6</v>
      </c>
      <c r="I863" s="251">
        <f>IFERROR(__xludf.DUMMYFUNCTION("""COMPUTED_VALUE"""),7.0)</f>
        <v>7</v>
      </c>
      <c r="J863" s="251">
        <f>IFERROR(__xludf.DUMMYFUNCTION("""COMPUTED_VALUE"""),2.0)</f>
        <v>2</v>
      </c>
      <c r="K863" s="251" t="str">
        <f>IFERROR(__xludf.DUMMYFUNCTION("""COMPUTED_VALUE"""),"Small")</f>
        <v>Small</v>
      </c>
      <c r="L863" s="251">
        <f>IFERROR(__xludf.DUMMYFUNCTION("""COMPUTED_VALUE"""),2.0)</f>
        <v>2</v>
      </c>
      <c r="M863" s="251" t="str">
        <f>IFERROR(__xludf.DUMMYFUNCTION("""COMPUTED_VALUE"""),"Desert, Forest")</f>
        <v>Desert, Forest</v>
      </c>
      <c r="N863" s="251" t="str">
        <f>IFERROR(__xludf.DUMMYFUNCTION("""COMPUTED_VALUE"""),"Slow")</f>
        <v>Slow</v>
      </c>
      <c r="O863" s="251" t="str">
        <f>IFERROR(__xludf.DUMMYFUNCTION("""COMPUTED_VALUE"""),"--")</f>
        <v>--</v>
      </c>
      <c r="P863" s="251" t="str">
        <f>IFERROR(__xludf.DUMMYFUNCTION("""COMPUTED_VALUE"""),"--")</f>
        <v>--</v>
      </c>
      <c r="Q863" s="251" t="str">
        <f>IFERROR(__xludf.DUMMYFUNCTION("""COMPUTED_VALUE"""),"--")</f>
        <v>--</v>
      </c>
      <c r="R863" s="251" t="str">
        <f>IFERROR(__xludf.DUMMYFUNCTION("""COMPUTED_VALUE"""),"Underdog")</f>
        <v>Underdog</v>
      </c>
      <c r="S863" s="251" t="str">
        <f>IFERROR(__xludf.DUMMYFUNCTION("""COMPUTED_VALUE"""),"--")</f>
        <v>--</v>
      </c>
      <c r="T863" s="251" t="str">
        <f>IFERROR(__xludf.DUMMYFUNCTION("""COMPUTED_VALUE"""),"--")</f>
        <v>--</v>
      </c>
      <c r="U863" s="251" t="str">
        <f>IFERROR(__xludf.DUMMYFUNCTION("""COMPUTED_VALUE"""),"--")</f>
        <v>--</v>
      </c>
      <c r="V863" s="251" t="str">
        <f>IFERROR(__xludf.DUMMYFUNCTION("""COMPUTED_VALUE"""),"--")</f>
        <v>--</v>
      </c>
      <c r="W863" s="251" t="str">
        <f>IFERROR(__xludf.DUMMYFUNCTION("""COMPUTED_VALUE"""),"--")</f>
        <v>--</v>
      </c>
      <c r="X863" s="251" t="str">
        <f>IFERROR(__xludf.DUMMYFUNCTION("""COMPUTED_VALUE"""),"--")</f>
        <v>--</v>
      </c>
      <c r="Y863" s="251" t="str">
        <f>IFERROR(__xludf.DUMMYFUNCTION("""COMPUTED_VALUE"""),"--")</f>
        <v>--</v>
      </c>
      <c r="Z863" s="251" t="str">
        <f>IFERROR(__xludf.DUMMYFUNCTION("""COMPUTED_VALUE"""),"--")</f>
        <v>--</v>
      </c>
      <c r="AA863" s="251" t="str">
        <f>IFERROR(__xludf.DUMMYFUNCTION("""COMPUTED_VALUE"""),"--")</f>
        <v>--</v>
      </c>
      <c r="AB863" s="251" t="str">
        <f>IFERROR(__xludf.DUMMYFUNCTION("""COMPUTED_VALUE"""),"--")</f>
        <v>--</v>
      </c>
      <c r="AC863" s="251" t="str">
        <f>IFERROR(__xludf.DUMMYFUNCTION("""COMPUTED_VALUE"""),"--")</f>
        <v>--</v>
      </c>
      <c r="AD863" s="251">
        <f>IFERROR(__xludf.DUMMYFUNCTION("""COMPUTED_VALUE"""),2.0)</f>
        <v>2</v>
      </c>
      <c r="AE863" s="251" t="str">
        <f>IFERROR(__xludf.DUMMYFUNCTION("""COMPUTED_VALUE"""),"Carnivore")</f>
        <v>Carnivore</v>
      </c>
    </row>
    <row r="864">
      <c r="A864" s="251" t="str">
        <f>IFERROR(__xludf.DUMMYFUNCTION("""COMPUTED_VALUE"""),"Drapion")</f>
        <v>Drapion</v>
      </c>
      <c r="B864" s="251" t="str">
        <f>IFERROR(__xludf.DUMMYFUNCTION("""COMPUTED_VALUE"""),"Poison")</f>
        <v>Poison</v>
      </c>
      <c r="C864" s="251" t="str">
        <f>IFERROR(__xludf.DUMMYFUNCTION("""COMPUTED_VALUE"""),"Dark")</f>
        <v>Dark</v>
      </c>
      <c r="D864" s="251">
        <f>IFERROR(__xludf.DUMMYFUNCTION("""COMPUTED_VALUE"""),7.0)</f>
        <v>7</v>
      </c>
      <c r="E864" s="251">
        <f>IFERROR(__xludf.DUMMYFUNCTION("""COMPUTED_VALUE"""),9.0)</f>
        <v>9</v>
      </c>
      <c r="F864" s="251">
        <f>IFERROR(__xludf.DUMMYFUNCTION("""COMPUTED_VALUE"""),11.0)</f>
        <v>11</v>
      </c>
      <c r="G864" s="251">
        <f>IFERROR(__xludf.DUMMYFUNCTION("""COMPUTED_VALUE"""),6.0)</f>
        <v>6</v>
      </c>
      <c r="H864" s="251">
        <f>IFERROR(__xludf.DUMMYFUNCTION("""COMPUTED_VALUE"""),8.0)</f>
        <v>8</v>
      </c>
      <c r="I864" s="251">
        <f>IFERROR(__xludf.DUMMYFUNCTION("""COMPUTED_VALUE"""),10.0)</f>
        <v>10</v>
      </c>
      <c r="J864" s="251">
        <f>IFERROR(__xludf.DUMMYFUNCTION("""COMPUTED_VALUE"""),7.0)</f>
        <v>7</v>
      </c>
      <c r="K864" s="251" t="str">
        <f>IFERROR(__xludf.DUMMYFUNCTION("""COMPUTED_VALUE"""),"Medium")</f>
        <v>Medium</v>
      </c>
      <c r="L864" s="251">
        <f>IFERROR(__xludf.DUMMYFUNCTION("""COMPUTED_VALUE"""),4.0)</f>
        <v>4</v>
      </c>
      <c r="M864" s="251" t="str">
        <f>IFERROR(__xludf.DUMMYFUNCTION("""COMPUTED_VALUE"""),"Desert, Forest")</f>
        <v>Desert, Forest</v>
      </c>
      <c r="N864" s="251" t="str">
        <f>IFERROR(__xludf.DUMMYFUNCTION("""COMPUTED_VALUE"""),"--")</f>
        <v>--</v>
      </c>
      <c r="O864" s="251" t="str">
        <f>IFERROR(__xludf.DUMMYFUNCTION("""COMPUTED_VALUE"""),"--")</f>
        <v>--</v>
      </c>
      <c r="P864" s="251" t="str">
        <f>IFERROR(__xludf.DUMMYFUNCTION("""COMPUTED_VALUE"""),"--")</f>
        <v>--</v>
      </c>
      <c r="Q864" s="251" t="str">
        <f>IFERROR(__xludf.DUMMYFUNCTION("""COMPUTED_VALUE"""),"--")</f>
        <v>--</v>
      </c>
      <c r="R864" s="251" t="str">
        <f>IFERROR(__xludf.DUMMYFUNCTION("""COMPUTED_VALUE"""),"Darkvision")</f>
        <v>Darkvision</v>
      </c>
      <c r="S864" s="251" t="str">
        <f>IFERROR(__xludf.DUMMYFUNCTION("""COMPUTED_VALUE"""),"--")</f>
        <v>--</v>
      </c>
      <c r="T864" s="251" t="str">
        <f>IFERROR(__xludf.DUMMYFUNCTION("""COMPUTED_VALUE"""),"--")</f>
        <v>--</v>
      </c>
      <c r="U864" s="251" t="str">
        <f>IFERROR(__xludf.DUMMYFUNCTION("""COMPUTED_VALUE"""),"--")</f>
        <v>--</v>
      </c>
      <c r="V864" s="251" t="str">
        <f>IFERROR(__xludf.DUMMYFUNCTION("""COMPUTED_VALUE"""),"--")</f>
        <v>--</v>
      </c>
      <c r="W864" s="251" t="str">
        <f>IFERROR(__xludf.DUMMYFUNCTION("""COMPUTED_VALUE"""),"--")</f>
        <v>--</v>
      </c>
      <c r="X864" s="251" t="str">
        <f>IFERROR(__xludf.DUMMYFUNCTION("""COMPUTED_VALUE"""),"--")</f>
        <v>--</v>
      </c>
      <c r="Y864" s="251" t="str">
        <f>IFERROR(__xludf.DUMMYFUNCTION("""COMPUTED_VALUE"""),"--")</f>
        <v>--</v>
      </c>
      <c r="Z864" s="251" t="str">
        <f>IFERROR(__xludf.DUMMYFUNCTION("""COMPUTED_VALUE"""),"--")</f>
        <v>--</v>
      </c>
      <c r="AA864" s="251" t="str">
        <f>IFERROR(__xludf.DUMMYFUNCTION("""COMPUTED_VALUE"""),"--")</f>
        <v>--</v>
      </c>
      <c r="AB864" s="251" t="str">
        <f>IFERROR(__xludf.DUMMYFUNCTION("""COMPUTED_VALUE"""),"--")</f>
        <v>--</v>
      </c>
      <c r="AC864" s="251" t="str">
        <f>IFERROR(__xludf.DUMMYFUNCTION("""COMPUTED_VALUE"""),"--")</f>
        <v>--</v>
      </c>
      <c r="AD864" s="251">
        <f>IFERROR(__xludf.DUMMYFUNCTION("""COMPUTED_VALUE"""),3.0)</f>
        <v>3</v>
      </c>
      <c r="AE864" s="251" t="str">
        <f>IFERROR(__xludf.DUMMYFUNCTION("""COMPUTED_VALUE"""),"Carnivore")</f>
        <v>Carnivore</v>
      </c>
    </row>
    <row r="865">
      <c r="A865" s="251" t="str">
        <f>IFERROR(__xludf.DUMMYFUNCTION("""COMPUTED_VALUE"""),"Croagunk")</f>
        <v>Croagunk</v>
      </c>
      <c r="B865" s="251" t="str">
        <f>IFERROR(__xludf.DUMMYFUNCTION("""COMPUTED_VALUE"""),"Poison")</f>
        <v>Poison</v>
      </c>
      <c r="C865" s="251" t="str">
        <f>IFERROR(__xludf.DUMMYFUNCTION("""COMPUTED_VALUE"""),"Fighting")</f>
        <v>Fighting</v>
      </c>
      <c r="D865" s="251">
        <f>IFERROR(__xludf.DUMMYFUNCTION("""COMPUTED_VALUE"""),5.0)</f>
        <v>5</v>
      </c>
      <c r="E865" s="251">
        <f>IFERROR(__xludf.DUMMYFUNCTION("""COMPUTED_VALUE"""),6.0)</f>
        <v>6</v>
      </c>
      <c r="F865" s="251">
        <f>IFERROR(__xludf.DUMMYFUNCTION("""COMPUTED_VALUE"""),4.0)</f>
        <v>4</v>
      </c>
      <c r="G865" s="251">
        <f>IFERROR(__xludf.DUMMYFUNCTION("""COMPUTED_VALUE"""),6.0)</f>
        <v>6</v>
      </c>
      <c r="H865" s="251">
        <f>IFERROR(__xludf.DUMMYFUNCTION("""COMPUTED_VALUE"""),4.0)</f>
        <v>4</v>
      </c>
      <c r="I865" s="251">
        <f>IFERROR(__xludf.DUMMYFUNCTION("""COMPUTED_VALUE"""),5.0)</f>
        <v>5</v>
      </c>
      <c r="J865" s="251">
        <f>IFERROR(__xludf.DUMMYFUNCTION("""COMPUTED_VALUE"""),3.0)</f>
        <v>3</v>
      </c>
      <c r="K865" s="251" t="str">
        <f>IFERROR(__xludf.DUMMYFUNCTION("""COMPUTED_VALUE"""),"Small")</f>
        <v>Small</v>
      </c>
      <c r="L865" s="251">
        <f>IFERROR(__xludf.DUMMYFUNCTION("""COMPUTED_VALUE"""),2.0)</f>
        <v>2</v>
      </c>
      <c r="M865" s="251" t="str">
        <f>IFERROR(__xludf.DUMMYFUNCTION("""COMPUTED_VALUE"""),"Wetlands")</f>
        <v>Wetlands</v>
      </c>
      <c r="N865" s="251" t="str">
        <f>IFERROR(__xludf.DUMMYFUNCTION("""COMPUTED_VALUE"""),"Jumper")</f>
        <v>Jumper</v>
      </c>
      <c r="O865" s="251" t="str">
        <f>IFERROR(__xludf.DUMMYFUNCTION("""COMPUTED_VALUE"""),"Swimmer")</f>
        <v>Swimmer</v>
      </c>
      <c r="P865" s="251" t="str">
        <f>IFERROR(__xludf.DUMMYFUNCTION("""COMPUTED_VALUE"""),"--")</f>
        <v>--</v>
      </c>
      <c r="Q865" s="251" t="str">
        <f>IFERROR(__xludf.DUMMYFUNCTION("""COMPUTED_VALUE"""),"--")</f>
        <v>--</v>
      </c>
      <c r="R865" s="251" t="str">
        <f>IFERROR(__xludf.DUMMYFUNCTION("""COMPUTED_VALUE"""),"Underdog")</f>
        <v>Underdog</v>
      </c>
      <c r="S865" s="251" t="str">
        <f>IFERROR(__xludf.DUMMYFUNCTION("""COMPUTED_VALUE"""),"--")</f>
        <v>--</v>
      </c>
      <c r="T865" s="251" t="str">
        <f>IFERROR(__xludf.DUMMYFUNCTION("""COMPUTED_VALUE"""),"--")</f>
        <v>--</v>
      </c>
      <c r="U865" s="251" t="str">
        <f>IFERROR(__xludf.DUMMYFUNCTION("""COMPUTED_VALUE"""),"--")</f>
        <v>--</v>
      </c>
      <c r="V865" s="251" t="str">
        <f>IFERROR(__xludf.DUMMYFUNCTION("""COMPUTED_VALUE"""),"--")</f>
        <v>--</v>
      </c>
      <c r="W865" s="251" t="str">
        <f>IFERROR(__xludf.DUMMYFUNCTION("""COMPUTED_VALUE"""),"--")</f>
        <v>--</v>
      </c>
      <c r="X865" s="251" t="str">
        <f>IFERROR(__xludf.DUMMYFUNCTION("""COMPUTED_VALUE"""),"--")</f>
        <v>--</v>
      </c>
      <c r="Y865" s="251" t="str">
        <f>IFERROR(__xludf.DUMMYFUNCTION("""COMPUTED_VALUE"""),"--")</f>
        <v>--</v>
      </c>
      <c r="Z865" s="251" t="str">
        <f>IFERROR(__xludf.DUMMYFUNCTION("""COMPUTED_VALUE"""),"--")</f>
        <v>--</v>
      </c>
      <c r="AA865" s="251" t="str">
        <f>IFERROR(__xludf.DUMMYFUNCTION("""COMPUTED_VALUE"""),"--")</f>
        <v>--</v>
      </c>
      <c r="AB865" s="251" t="str">
        <f>IFERROR(__xludf.DUMMYFUNCTION("""COMPUTED_VALUE"""),"--")</f>
        <v>--</v>
      </c>
      <c r="AC865" s="251" t="str">
        <f>IFERROR(__xludf.DUMMYFUNCTION("""COMPUTED_VALUE"""),"--")</f>
        <v>--</v>
      </c>
      <c r="AD865" s="251">
        <f>IFERROR(__xludf.DUMMYFUNCTION("""COMPUTED_VALUE"""),2.0)</f>
        <v>2</v>
      </c>
      <c r="AE865" s="251" t="str">
        <f>IFERROR(__xludf.DUMMYFUNCTION("""COMPUTED_VALUE"""),"Herbivore")</f>
        <v>Herbivore</v>
      </c>
    </row>
    <row r="866">
      <c r="A866" s="251" t="str">
        <f>IFERROR(__xludf.DUMMYFUNCTION("""COMPUTED_VALUE"""),"Toxicroak")</f>
        <v>Toxicroak</v>
      </c>
      <c r="B866" s="251" t="str">
        <f>IFERROR(__xludf.DUMMYFUNCTION("""COMPUTED_VALUE"""),"Poison")</f>
        <v>Poison</v>
      </c>
      <c r="C866" s="251" t="str">
        <f>IFERROR(__xludf.DUMMYFUNCTION("""COMPUTED_VALUE"""),"Fighting")</f>
        <v>Fighting</v>
      </c>
      <c r="D866" s="251">
        <f>IFERROR(__xludf.DUMMYFUNCTION("""COMPUTED_VALUE"""),8.0)</f>
        <v>8</v>
      </c>
      <c r="E866" s="251">
        <f>IFERROR(__xludf.DUMMYFUNCTION("""COMPUTED_VALUE"""),11.0)</f>
        <v>11</v>
      </c>
      <c r="F866" s="251">
        <f>IFERROR(__xludf.DUMMYFUNCTION("""COMPUTED_VALUE"""),7.0)</f>
        <v>7</v>
      </c>
      <c r="G866" s="251">
        <f>IFERROR(__xludf.DUMMYFUNCTION("""COMPUTED_VALUE"""),9.0)</f>
        <v>9</v>
      </c>
      <c r="H866" s="251">
        <f>IFERROR(__xludf.DUMMYFUNCTION("""COMPUTED_VALUE"""),7.0)</f>
        <v>7</v>
      </c>
      <c r="I866" s="251">
        <f>IFERROR(__xludf.DUMMYFUNCTION("""COMPUTED_VALUE"""),9.0)</f>
        <v>9</v>
      </c>
      <c r="J866" s="251">
        <f>IFERROR(__xludf.DUMMYFUNCTION("""COMPUTED_VALUE"""),8.0)</f>
        <v>8</v>
      </c>
      <c r="K866" s="251" t="str">
        <f>IFERROR(__xludf.DUMMYFUNCTION("""COMPUTED_VALUE"""),"Medium")</f>
        <v>Medium</v>
      </c>
      <c r="L866" s="251">
        <f>IFERROR(__xludf.DUMMYFUNCTION("""COMPUTED_VALUE"""),3.0)</f>
        <v>3</v>
      </c>
      <c r="M866" s="251" t="str">
        <f>IFERROR(__xludf.DUMMYFUNCTION("""COMPUTED_VALUE"""),"Wetlands")</f>
        <v>Wetlands</v>
      </c>
      <c r="N866" s="251" t="str">
        <f>IFERROR(__xludf.DUMMYFUNCTION("""COMPUTED_VALUE"""),"Jumper")</f>
        <v>Jumper</v>
      </c>
      <c r="O866" s="251" t="str">
        <f>IFERROR(__xludf.DUMMYFUNCTION("""COMPUTED_VALUE"""),"Swimmer")</f>
        <v>Swimmer</v>
      </c>
      <c r="P866" s="251" t="str">
        <f>IFERROR(__xludf.DUMMYFUNCTION("""COMPUTED_VALUE"""),"--")</f>
        <v>--</v>
      </c>
      <c r="Q866" s="251" t="str">
        <f>IFERROR(__xludf.DUMMYFUNCTION("""COMPUTED_VALUE"""),"--")</f>
        <v>--</v>
      </c>
      <c r="R866" s="251" t="str">
        <f>IFERROR(__xludf.DUMMYFUNCTION("""COMPUTED_VALUE"""),"--")</f>
        <v>--</v>
      </c>
      <c r="S866" s="251" t="str">
        <f>IFERROR(__xludf.DUMMYFUNCTION("""COMPUTED_VALUE"""),"--")</f>
        <v>--</v>
      </c>
      <c r="T866" s="251" t="str">
        <f>IFERROR(__xludf.DUMMYFUNCTION("""COMPUTED_VALUE"""),"--")</f>
        <v>--</v>
      </c>
      <c r="U866" s="251" t="str">
        <f>IFERROR(__xludf.DUMMYFUNCTION("""COMPUTED_VALUE"""),"--")</f>
        <v>--</v>
      </c>
      <c r="V866" s="251" t="str">
        <f>IFERROR(__xludf.DUMMYFUNCTION("""COMPUTED_VALUE"""),"--")</f>
        <v>--</v>
      </c>
      <c r="W866" s="251" t="str">
        <f>IFERROR(__xludf.DUMMYFUNCTION("""COMPUTED_VALUE"""),"--")</f>
        <v>--</v>
      </c>
      <c r="X866" s="251" t="str">
        <f>IFERROR(__xludf.DUMMYFUNCTION("""COMPUTED_VALUE"""),"--")</f>
        <v>--</v>
      </c>
      <c r="Y866" s="251" t="str">
        <f>IFERROR(__xludf.DUMMYFUNCTION("""COMPUTED_VALUE"""),"--")</f>
        <v>--</v>
      </c>
      <c r="Z866" s="251" t="str">
        <f>IFERROR(__xludf.DUMMYFUNCTION("""COMPUTED_VALUE"""),"--")</f>
        <v>--</v>
      </c>
      <c r="AA866" s="251" t="str">
        <f>IFERROR(__xludf.DUMMYFUNCTION("""COMPUTED_VALUE"""),"--")</f>
        <v>--</v>
      </c>
      <c r="AB866" s="251" t="str">
        <f>IFERROR(__xludf.DUMMYFUNCTION("""COMPUTED_VALUE"""),"--")</f>
        <v>--</v>
      </c>
      <c r="AC866" s="251" t="str">
        <f>IFERROR(__xludf.DUMMYFUNCTION("""COMPUTED_VALUE"""),"--")</f>
        <v>--</v>
      </c>
      <c r="AD866" s="251">
        <f>IFERROR(__xludf.DUMMYFUNCTION("""COMPUTED_VALUE"""),3.0)</f>
        <v>3</v>
      </c>
      <c r="AE866" s="251" t="str">
        <f>IFERROR(__xludf.DUMMYFUNCTION("""COMPUTED_VALUE"""),"Herbivore")</f>
        <v>Herbivore</v>
      </c>
    </row>
    <row r="867">
      <c r="A867" s="251" t="str">
        <f>IFERROR(__xludf.DUMMYFUNCTION("""COMPUTED_VALUE"""),"Trubbish")</f>
        <v>Trubbish</v>
      </c>
      <c r="B867" s="251" t="str">
        <f>IFERROR(__xludf.DUMMYFUNCTION("""COMPUTED_VALUE"""),"Poison")</f>
        <v>Poison</v>
      </c>
      <c r="C867" s="251" t="str">
        <f>IFERROR(__xludf.DUMMYFUNCTION("""COMPUTED_VALUE"""),"None")</f>
        <v>None</v>
      </c>
      <c r="D867" s="251">
        <f>IFERROR(__xludf.DUMMYFUNCTION("""COMPUTED_VALUE"""),5.0)</f>
        <v>5</v>
      </c>
      <c r="E867" s="251">
        <f>IFERROR(__xludf.DUMMYFUNCTION("""COMPUTED_VALUE"""),5.0)</f>
        <v>5</v>
      </c>
      <c r="F867" s="251">
        <f>IFERROR(__xludf.DUMMYFUNCTION("""COMPUTED_VALUE"""),6.0)</f>
        <v>6</v>
      </c>
      <c r="G867" s="251">
        <f>IFERROR(__xludf.DUMMYFUNCTION("""COMPUTED_VALUE"""),4.0)</f>
        <v>4</v>
      </c>
      <c r="H867" s="251">
        <f>IFERROR(__xludf.DUMMYFUNCTION("""COMPUTED_VALUE"""),6.0)</f>
        <v>6</v>
      </c>
      <c r="I867" s="251">
        <f>IFERROR(__xludf.DUMMYFUNCTION("""COMPUTED_VALUE"""),7.0)</f>
        <v>7</v>
      </c>
      <c r="J867" s="251">
        <f>IFERROR(__xludf.DUMMYFUNCTION("""COMPUTED_VALUE"""),2.0)</f>
        <v>2</v>
      </c>
      <c r="K867" s="251" t="str">
        <f>IFERROR(__xludf.DUMMYFUNCTION("""COMPUTED_VALUE"""),"Small")</f>
        <v>Small</v>
      </c>
      <c r="L867" s="251">
        <f>IFERROR(__xludf.DUMMYFUNCTION("""COMPUTED_VALUE"""),3.0)</f>
        <v>3</v>
      </c>
      <c r="M867" s="251" t="str">
        <f>IFERROR(__xludf.DUMMYFUNCTION("""COMPUTED_VALUE"""),"Urban")</f>
        <v>Urban</v>
      </c>
      <c r="N867" s="251" t="str">
        <f>IFERROR(__xludf.DUMMYFUNCTION("""COMPUTED_VALUE"""),"Slow")</f>
        <v>Slow</v>
      </c>
      <c r="O867" s="251" t="str">
        <f>IFERROR(__xludf.DUMMYFUNCTION("""COMPUTED_VALUE"""),"--")</f>
        <v>--</v>
      </c>
      <c r="P867" s="251" t="str">
        <f>IFERROR(__xludf.DUMMYFUNCTION("""COMPUTED_VALUE"""),"--")</f>
        <v>--</v>
      </c>
      <c r="Q867" s="251" t="str">
        <f>IFERROR(__xludf.DUMMYFUNCTION("""COMPUTED_VALUE"""),"--")</f>
        <v>--</v>
      </c>
      <c r="R867" s="251" t="str">
        <f>IFERROR(__xludf.DUMMYFUNCTION("""COMPUTED_VALUE"""),"Underdog")</f>
        <v>Underdog</v>
      </c>
      <c r="S867" s="251" t="str">
        <f>IFERROR(__xludf.DUMMYFUNCTION("""COMPUTED_VALUE"""),"--")</f>
        <v>--</v>
      </c>
      <c r="T867" s="251" t="str">
        <f>IFERROR(__xludf.DUMMYFUNCTION("""COMPUTED_VALUE"""),"--")</f>
        <v>--</v>
      </c>
      <c r="U867" s="251" t="str">
        <f>IFERROR(__xludf.DUMMYFUNCTION("""COMPUTED_VALUE"""),"--")</f>
        <v>--</v>
      </c>
      <c r="V867" s="251" t="str">
        <f>IFERROR(__xludf.DUMMYFUNCTION("""COMPUTED_VALUE"""),"Repulsive")</f>
        <v>Repulsive</v>
      </c>
      <c r="W867" s="251" t="str">
        <f>IFERROR(__xludf.DUMMYFUNCTION("""COMPUTED_VALUE"""),"--")</f>
        <v>--</v>
      </c>
      <c r="X867" s="251" t="str">
        <f>IFERROR(__xludf.DUMMYFUNCTION("""COMPUTED_VALUE"""),"--")</f>
        <v>--</v>
      </c>
      <c r="Y867" s="251" t="str">
        <f>IFERROR(__xludf.DUMMYFUNCTION("""COMPUTED_VALUE"""),"--")</f>
        <v>--</v>
      </c>
      <c r="Z867" s="251" t="str">
        <f>IFERROR(__xludf.DUMMYFUNCTION("""COMPUTED_VALUE"""),"--")</f>
        <v>--</v>
      </c>
      <c r="AA867" s="251" t="str">
        <f>IFERROR(__xludf.DUMMYFUNCTION("""COMPUTED_VALUE"""),"--")</f>
        <v>--</v>
      </c>
      <c r="AB867" s="251" t="str">
        <f>IFERROR(__xludf.DUMMYFUNCTION("""COMPUTED_VALUE"""),"--")</f>
        <v>--</v>
      </c>
      <c r="AC867" s="251" t="str">
        <f>IFERROR(__xludf.DUMMYFUNCTION("""COMPUTED_VALUE"""),"--")</f>
        <v>--</v>
      </c>
      <c r="AD867" s="251">
        <f>IFERROR(__xludf.DUMMYFUNCTION("""COMPUTED_VALUE"""),2.0)</f>
        <v>2</v>
      </c>
      <c r="AE867" s="251" t="str">
        <f>IFERROR(__xludf.DUMMYFUNCTION("""COMPUTED_VALUE"""),"Terravore")</f>
        <v>Terravore</v>
      </c>
    </row>
    <row r="868">
      <c r="A868" s="251" t="str">
        <f>IFERROR(__xludf.DUMMYFUNCTION("""COMPUTED_VALUE"""),"Garbodor")</f>
        <v>Garbodor</v>
      </c>
      <c r="B868" s="251" t="str">
        <f>IFERROR(__xludf.DUMMYFUNCTION("""COMPUTED_VALUE"""),"Poison")</f>
        <v>Poison</v>
      </c>
      <c r="C868" s="251" t="str">
        <f>IFERROR(__xludf.DUMMYFUNCTION("""COMPUTED_VALUE"""),"None")</f>
        <v>None</v>
      </c>
      <c r="D868" s="251">
        <f>IFERROR(__xludf.DUMMYFUNCTION("""COMPUTED_VALUE"""),8.0)</f>
        <v>8</v>
      </c>
      <c r="E868" s="251">
        <f>IFERROR(__xludf.DUMMYFUNCTION("""COMPUTED_VALUE"""),11.0)</f>
        <v>11</v>
      </c>
      <c r="F868" s="251">
        <f>IFERROR(__xludf.DUMMYFUNCTION("""COMPUTED_VALUE"""),9.0)</f>
        <v>9</v>
      </c>
      <c r="G868" s="251">
        <f>IFERROR(__xludf.DUMMYFUNCTION("""COMPUTED_VALUE"""),6.0)</f>
        <v>6</v>
      </c>
      <c r="H868" s="251">
        <f>IFERROR(__xludf.DUMMYFUNCTION("""COMPUTED_VALUE"""),9.0)</f>
        <v>9</v>
      </c>
      <c r="I868" s="251">
        <f>IFERROR(__xludf.DUMMYFUNCTION("""COMPUTED_VALUE"""),8.0)</f>
        <v>8</v>
      </c>
      <c r="J868" s="251">
        <f>IFERROR(__xludf.DUMMYFUNCTION("""COMPUTED_VALUE"""),6.0)</f>
        <v>6</v>
      </c>
      <c r="K868" s="251" t="str">
        <f>IFERROR(__xludf.DUMMYFUNCTION("""COMPUTED_VALUE"""),"Large")</f>
        <v>Large</v>
      </c>
      <c r="L868" s="251">
        <f>IFERROR(__xludf.DUMMYFUNCTION("""COMPUTED_VALUE"""),5.0)</f>
        <v>5</v>
      </c>
      <c r="M868" s="251" t="str">
        <f>IFERROR(__xludf.DUMMYFUNCTION("""COMPUTED_VALUE"""),"Urban")</f>
        <v>Urban</v>
      </c>
      <c r="N868" s="251" t="str">
        <f>IFERROR(__xludf.DUMMYFUNCTION("""COMPUTED_VALUE"""),"--")</f>
        <v>--</v>
      </c>
      <c r="O868" s="251" t="str">
        <f>IFERROR(__xludf.DUMMYFUNCTION("""COMPUTED_VALUE"""),"--")</f>
        <v>--</v>
      </c>
      <c r="P868" s="251" t="str">
        <f>IFERROR(__xludf.DUMMYFUNCTION("""COMPUTED_VALUE"""),"--")</f>
        <v>--</v>
      </c>
      <c r="Q868" s="251" t="str">
        <f>IFERROR(__xludf.DUMMYFUNCTION("""COMPUTED_VALUE"""),"--")</f>
        <v>--</v>
      </c>
      <c r="R868" s="251" t="str">
        <f>IFERROR(__xludf.DUMMYFUNCTION("""COMPUTED_VALUE"""),"--")</f>
        <v>--</v>
      </c>
      <c r="S868" s="251" t="str">
        <f>IFERROR(__xludf.DUMMYFUNCTION("""COMPUTED_VALUE"""),"--")</f>
        <v>--</v>
      </c>
      <c r="T868" s="251" t="str">
        <f>IFERROR(__xludf.DUMMYFUNCTION("""COMPUTED_VALUE"""),"--")</f>
        <v>--</v>
      </c>
      <c r="U868" s="251" t="str">
        <f>IFERROR(__xludf.DUMMYFUNCTION("""COMPUTED_VALUE"""),"--")</f>
        <v>--</v>
      </c>
      <c r="V868" s="251" t="str">
        <f>IFERROR(__xludf.DUMMYFUNCTION("""COMPUTED_VALUE"""),"Repulsive")</f>
        <v>Repulsive</v>
      </c>
      <c r="W868" s="251" t="str">
        <f>IFERROR(__xludf.DUMMYFUNCTION("""COMPUTED_VALUE"""),"--")</f>
        <v>--</v>
      </c>
      <c r="X868" s="251" t="str">
        <f>IFERROR(__xludf.DUMMYFUNCTION("""COMPUTED_VALUE"""),"--")</f>
        <v>--</v>
      </c>
      <c r="Y868" s="251" t="str">
        <f>IFERROR(__xludf.DUMMYFUNCTION("""COMPUTED_VALUE"""),"--")</f>
        <v>--</v>
      </c>
      <c r="Z868" s="251" t="str">
        <f>IFERROR(__xludf.DUMMYFUNCTION("""COMPUTED_VALUE"""),"--")</f>
        <v>--</v>
      </c>
      <c r="AA868" s="251" t="str">
        <f>IFERROR(__xludf.DUMMYFUNCTION("""COMPUTED_VALUE"""),"--")</f>
        <v>--</v>
      </c>
      <c r="AB868" s="251" t="str">
        <f>IFERROR(__xludf.DUMMYFUNCTION("""COMPUTED_VALUE"""),"--")</f>
        <v>--</v>
      </c>
      <c r="AC868" s="251" t="str">
        <f>IFERROR(__xludf.DUMMYFUNCTION("""COMPUTED_VALUE"""),"--")</f>
        <v>--</v>
      </c>
      <c r="AD868" s="251">
        <f>IFERROR(__xludf.DUMMYFUNCTION("""COMPUTED_VALUE"""),3.0)</f>
        <v>3</v>
      </c>
      <c r="AE868" s="251" t="str">
        <f>IFERROR(__xludf.DUMMYFUNCTION("""COMPUTED_VALUE"""),"Terravore")</f>
        <v>Terravore</v>
      </c>
    </row>
    <row r="869">
      <c r="A869" s="251" t="str">
        <f>IFERROR(__xludf.DUMMYFUNCTION("""COMPUTED_VALUE"""),"Skrelp")</f>
        <v>Skrelp</v>
      </c>
      <c r="B869" s="251" t="str">
        <f>IFERROR(__xludf.DUMMYFUNCTION("""COMPUTED_VALUE"""),"Poison")</f>
        <v>Poison</v>
      </c>
      <c r="C869" s="251" t="str">
        <f>IFERROR(__xludf.DUMMYFUNCTION("""COMPUTED_VALUE"""),"Water")</f>
        <v>Water</v>
      </c>
      <c r="D869" s="251">
        <f>IFERROR(__xludf.DUMMYFUNCTION("""COMPUTED_VALUE"""),5.0)</f>
        <v>5</v>
      </c>
      <c r="E869" s="251">
        <f>IFERROR(__xludf.DUMMYFUNCTION("""COMPUTED_VALUE"""),6.0)</f>
        <v>6</v>
      </c>
      <c r="F869" s="251">
        <f>IFERROR(__xludf.DUMMYFUNCTION("""COMPUTED_VALUE"""),6.0)</f>
        <v>6</v>
      </c>
      <c r="G869" s="251">
        <f>IFERROR(__xludf.DUMMYFUNCTION("""COMPUTED_VALUE"""),6.0)</f>
        <v>6</v>
      </c>
      <c r="H869" s="251">
        <f>IFERROR(__xludf.DUMMYFUNCTION("""COMPUTED_VALUE"""),6.0)</f>
        <v>6</v>
      </c>
      <c r="I869" s="251">
        <f>IFERROR(__xludf.DUMMYFUNCTION("""COMPUTED_VALUE"""),3.0)</f>
        <v>3</v>
      </c>
      <c r="J869" s="251">
        <f>IFERROR(__xludf.DUMMYFUNCTION("""COMPUTED_VALUE"""),1.0)</f>
        <v>1</v>
      </c>
      <c r="K869" s="251" t="str">
        <f>IFERROR(__xludf.DUMMYFUNCTION("""COMPUTED_VALUE"""),"Small")</f>
        <v>Small</v>
      </c>
      <c r="L869" s="251">
        <f>IFERROR(__xludf.DUMMYFUNCTION("""COMPUTED_VALUE"""),1.0)</f>
        <v>1</v>
      </c>
      <c r="M869" s="251" t="str">
        <f>IFERROR(__xludf.DUMMYFUNCTION("""COMPUTED_VALUE"""),"Ocean")</f>
        <v>Ocean</v>
      </c>
      <c r="N869" s="251" t="str">
        <f>IFERROR(__xludf.DUMMYFUNCTION("""COMPUTED_VALUE"""),"Swimmer")</f>
        <v>Swimmer</v>
      </c>
      <c r="O869" s="251" t="str">
        <f>IFERROR(__xludf.DUMMYFUNCTION("""COMPUTED_VALUE"""),"--")</f>
        <v>--</v>
      </c>
      <c r="P869" s="251" t="str">
        <f>IFERROR(__xludf.DUMMYFUNCTION("""COMPUTED_VALUE"""),"--")</f>
        <v>--</v>
      </c>
      <c r="Q869" s="251" t="str">
        <f>IFERROR(__xludf.DUMMYFUNCTION("""COMPUTED_VALUE"""),"--")</f>
        <v>--</v>
      </c>
      <c r="R869" s="251" t="str">
        <f>IFERROR(__xludf.DUMMYFUNCTION("""COMPUTED_VALUE"""),"Underdog")</f>
        <v>Underdog</v>
      </c>
      <c r="S869" s="251" t="str">
        <f>IFERROR(__xludf.DUMMYFUNCTION("""COMPUTED_VALUE"""),"--")</f>
        <v>--</v>
      </c>
      <c r="T869" s="251" t="str">
        <f>IFERROR(__xludf.DUMMYFUNCTION("""COMPUTED_VALUE"""),"--")</f>
        <v>--</v>
      </c>
      <c r="U869" s="251" t="str">
        <f>IFERROR(__xludf.DUMMYFUNCTION("""COMPUTED_VALUE"""),"--")</f>
        <v>--</v>
      </c>
      <c r="V869" s="251" t="str">
        <f>IFERROR(__xludf.DUMMYFUNCTION("""COMPUTED_VALUE"""),"Gilled")</f>
        <v>Gilled</v>
      </c>
      <c r="W869" s="251" t="str">
        <f>IFERROR(__xludf.DUMMYFUNCTION("""COMPUTED_VALUE"""),"--")</f>
        <v>--</v>
      </c>
      <c r="X869" s="251" t="str">
        <f>IFERROR(__xludf.DUMMYFUNCTION("""COMPUTED_VALUE"""),"--")</f>
        <v>--</v>
      </c>
      <c r="Y869" s="251" t="str">
        <f>IFERROR(__xludf.DUMMYFUNCTION("""COMPUTED_VALUE"""),"--")</f>
        <v>--</v>
      </c>
      <c r="Z869" s="251" t="str">
        <f>IFERROR(__xludf.DUMMYFUNCTION("""COMPUTED_VALUE"""),"--")</f>
        <v>--</v>
      </c>
      <c r="AA869" s="251" t="str">
        <f>IFERROR(__xludf.DUMMYFUNCTION("""COMPUTED_VALUE"""),"--")</f>
        <v>--</v>
      </c>
      <c r="AB869" s="251" t="str">
        <f>IFERROR(__xludf.DUMMYFUNCTION("""COMPUTED_VALUE"""),"--")</f>
        <v>--</v>
      </c>
      <c r="AC869" s="251" t="str">
        <f>IFERROR(__xludf.DUMMYFUNCTION("""COMPUTED_VALUE"""),"--")</f>
        <v>--</v>
      </c>
      <c r="AD869" s="251">
        <f>IFERROR(__xludf.DUMMYFUNCTION("""COMPUTED_VALUE"""),2.0)</f>
        <v>2</v>
      </c>
      <c r="AE869" s="251" t="str">
        <f>IFERROR(__xludf.DUMMYFUNCTION("""COMPUTED_VALUE"""),"Carnivore")</f>
        <v>Carnivore</v>
      </c>
    </row>
    <row r="870">
      <c r="A870" s="251" t="str">
        <f>IFERROR(__xludf.DUMMYFUNCTION("""COMPUTED_VALUE"""),"Dragalge")</f>
        <v>Dragalge</v>
      </c>
      <c r="B870" s="251" t="str">
        <f>IFERROR(__xludf.DUMMYFUNCTION("""COMPUTED_VALUE"""),"Poison")</f>
        <v>Poison</v>
      </c>
      <c r="C870" s="251" t="str">
        <f>IFERROR(__xludf.DUMMYFUNCTION("""COMPUTED_VALUE"""),"Dragon")</f>
        <v>Dragon</v>
      </c>
      <c r="D870" s="251">
        <f>IFERROR(__xludf.DUMMYFUNCTION("""COMPUTED_VALUE"""),7.0)</f>
        <v>7</v>
      </c>
      <c r="E870" s="251">
        <f>IFERROR(__xludf.DUMMYFUNCTION("""COMPUTED_VALUE"""),8.0)</f>
        <v>8</v>
      </c>
      <c r="F870" s="251">
        <f>IFERROR(__xludf.DUMMYFUNCTION("""COMPUTED_VALUE"""),9.0)</f>
        <v>9</v>
      </c>
      <c r="G870" s="251">
        <f>IFERROR(__xludf.DUMMYFUNCTION("""COMPUTED_VALUE"""),11.0)</f>
        <v>11</v>
      </c>
      <c r="H870" s="251">
        <f>IFERROR(__xludf.DUMMYFUNCTION("""COMPUTED_VALUE"""),12.0)</f>
        <v>12</v>
      </c>
      <c r="I870" s="251">
        <f>IFERROR(__xludf.DUMMYFUNCTION("""COMPUTED_VALUE"""),4.0)</f>
        <v>4</v>
      </c>
      <c r="J870" s="251">
        <f>IFERROR(__xludf.DUMMYFUNCTION("""COMPUTED_VALUE"""),6.0)</f>
        <v>6</v>
      </c>
      <c r="K870" s="251" t="str">
        <f>IFERROR(__xludf.DUMMYFUNCTION("""COMPUTED_VALUE"""),"Medium")</f>
        <v>Medium</v>
      </c>
      <c r="L870" s="251">
        <f>IFERROR(__xludf.DUMMYFUNCTION("""COMPUTED_VALUE"""),4.0)</f>
        <v>4</v>
      </c>
      <c r="M870" s="251" t="str">
        <f>IFERROR(__xludf.DUMMYFUNCTION("""COMPUTED_VALUE"""),"Ocean")</f>
        <v>Ocean</v>
      </c>
      <c r="N870" s="251" t="str">
        <f>IFERROR(__xludf.DUMMYFUNCTION("""COMPUTED_VALUE"""),"Swimmer")</f>
        <v>Swimmer</v>
      </c>
      <c r="O870" s="251" t="str">
        <f>IFERROR(__xludf.DUMMYFUNCTION("""COMPUTED_VALUE"""),"--")</f>
        <v>--</v>
      </c>
      <c r="P870" s="251" t="str">
        <f>IFERROR(__xludf.DUMMYFUNCTION("""COMPUTED_VALUE"""),"--")</f>
        <v>--</v>
      </c>
      <c r="Q870" s="251" t="str">
        <f>IFERROR(__xludf.DUMMYFUNCTION("""COMPUTED_VALUE"""),"--")</f>
        <v>--</v>
      </c>
      <c r="R870" s="251" t="str">
        <f>IFERROR(__xludf.DUMMYFUNCTION("""COMPUTED_VALUE"""),"Mountable")</f>
        <v>Mountable</v>
      </c>
      <c r="S870" s="251" t="str">
        <f>IFERROR(__xludf.DUMMYFUNCTION("""COMPUTED_VALUE"""),"--")</f>
        <v>--</v>
      </c>
      <c r="T870" s="251" t="str">
        <f>IFERROR(__xludf.DUMMYFUNCTION("""COMPUTED_VALUE"""),"--")</f>
        <v>--</v>
      </c>
      <c r="U870" s="251" t="str">
        <f>IFERROR(__xludf.DUMMYFUNCTION("""COMPUTED_VALUE"""),"--")</f>
        <v>--</v>
      </c>
      <c r="V870" s="251" t="str">
        <f>IFERROR(__xludf.DUMMYFUNCTION("""COMPUTED_VALUE"""),"Gilled")</f>
        <v>Gilled</v>
      </c>
      <c r="W870" s="251" t="str">
        <f>IFERROR(__xludf.DUMMYFUNCTION("""COMPUTED_VALUE"""),"--")</f>
        <v>--</v>
      </c>
      <c r="X870" s="251" t="str">
        <f>IFERROR(__xludf.DUMMYFUNCTION("""COMPUTED_VALUE"""),"--")</f>
        <v>--</v>
      </c>
      <c r="Y870" s="251" t="str">
        <f>IFERROR(__xludf.DUMMYFUNCTION("""COMPUTED_VALUE"""),"--")</f>
        <v>--</v>
      </c>
      <c r="Z870" s="251" t="str">
        <f>IFERROR(__xludf.DUMMYFUNCTION("""COMPUTED_VALUE"""),"--")</f>
        <v>--</v>
      </c>
      <c r="AA870" s="251" t="str">
        <f>IFERROR(__xludf.DUMMYFUNCTION("""COMPUTED_VALUE"""),"--")</f>
        <v>--</v>
      </c>
      <c r="AB870" s="251" t="str">
        <f>IFERROR(__xludf.DUMMYFUNCTION("""COMPUTED_VALUE"""),"--")</f>
        <v>--</v>
      </c>
      <c r="AC870" s="251" t="str">
        <f>IFERROR(__xludf.DUMMYFUNCTION("""COMPUTED_VALUE"""),"--")</f>
        <v>--</v>
      </c>
      <c r="AD870" s="251">
        <f>IFERROR(__xludf.DUMMYFUNCTION("""COMPUTED_VALUE"""),3.0)</f>
        <v>3</v>
      </c>
      <c r="AE870" s="251" t="str">
        <f>IFERROR(__xludf.DUMMYFUNCTION("""COMPUTED_VALUE"""),"Carnivore")</f>
        <v>Carnivore</v>
      </c>
    </row>
    <row r="871">
      <c r="A871" s="251" t="str">
        <f>IFERROR(__xludf.DUMMYFUNCTION("""COMPUTED_VALUE"""),"Mareanie")</f>
        <v>Mareanie</v>
      </c>
      <c r="B871" s="251" t="str">
        <f>IFERROR(__xludf.DUMMYFUNCTION("""COMPUTED_VALUE"""),"Poison")</f>
        <v>Poison</v>
      </c>
      <c r="C871" s="251" t="str">
        <f>IFERROR(__xludf.DUMMYFUNCTION("""COMPUTED_VALUE"""),"Water")</f>
        <v>Water</v>
      </c>
      <c r="D871" s="251">
        <f>IFERROR(__xludf.DUMMYFUNCTION("""COMPUTED_VALUE"""),5.0)</f>
        <v>5</v>
      </c>
      <c r="E871" s="251">
        <f>IFERROR(__xludf.DUMMYFUNCTION("""COMPUTED_VALUE"""),5.0)</f>
        <v>5</v>
      </c>
      <c r="F871" s="251">
        <f>IFERROR(__xludf.DUMMYFUNCTION("""COMPUTED_VALUE"""),6.0)</f>
        <v>6</v>
      </c>
      <c r="G871" s="251">
        <f>IFERROR(__xludf.DUMMYFUNCTION("""COMPUTED_VALUE"""),4.0)</f>
        <v>4</v>
      </c>
      <c r="H871" s="251">
        <f>IFERROR(__xludf.DUMMYFUNCTION("""COMPUTED_VALUE"""),5.0)</f>
        <v>5</v>
      </c>
      <c r="I871" s="251">
        <f>IFERROR(__xludf.DUMMYFUNCTION("""COMPUTED_VALUE"""),5.0)</f>
        <v>5</v>
      </c>
      <c r="J871" s="251">
        <f>IFERROR(__xludf.DUMMYFUNCTION("""COMPUTED_VALUE"""),1.0)</f>
        <v>1</v>
      </c>
      <c r="K871" s="251" t="str">
        <f>IFERROR(__xludf.DUMMYFUNCTION("""COMPUTED_VALUE"""),"Small")</f>
        <v>Small</v>
      </c>
      <c r="L871" s="251">
        <f>IFERROR(__xludf.DUMMYFUNCTION("""COMPUTED_VALUE"""),1.0)</f>
        <v>1</v>
      </c>
      <c r="M871" s="251" t="str">
        <f>IFERROR(__xludf.DUMMYFUNCTION("""COMPUTED_VALUE"""),"Ocean, Wetlands")</f>
        <v>Ocean, Wetlands</v>
      </c>
      <c r="N871" s="251" t="str">
        <f>IFERROR(__xludf.DUMMYFUNCTION("""COMPUTED_VALUE"""),"Slow")</f>
        <v>Slow</v>
      </c>
      <c r="O871" s="251" t="str">
        <f>IFERROR(__xludf.DUMMYFUNCTION("""COMPUTED_VALUE"""),"Swimmer")</f>
        <v>Swimmer</v>
      </c>
      <c r="P871" s="251" t="str">
        <f>IFERROR(__xludf.DUMMYFUNCTION("""COMPUTED_VALUE"""),"--")</f>
        <v>--</v>
      </c>
      <c r="Q871" s="251" t="str">
        <f>IFERROR(__xludf.DUMMYFUNCTION("""COMPUTED_VALUE"""),"--")</f>
        <v>--</v>
      </c>
      <c r="R871" s="251" t="str">
        <f>IFERROR(__xludf.DUMMYFUNCTION("""COMPUTED_VALUE"""),"Underdog")</f>
        <v>Underdog</v>
      </c>
      <c r="S871" s="251" t="str">
        <f>IFERROR(__xludf.DUMMYFUNCTION("""COMPUTED_VALUE"""),"--")</f>
        <v>--</v>
      </c>
      <c r="T871" s="251" t="str">
        <f>IFERROR(__xludf.DUMMYFUNCTION("""COMPUTED_VALUE"""),"--")</f>
        <v>--</v>
      </c>
      <c r="U871" s="251" t="str">
        <f>IFERROR(__xludf.DUMMYFUNCTION("""COMPUTED_VALUE"""),"--")</f>
        <v>--</v>
      </c>
      <c r="V871" s="251" t="str">
        <f>IFERROR(__xludf.DUMMYFUNCTION("""COMPUTED_VALUE"""),"Gilled")</f>
        <v>Gilled</v>
      </c>
      <c r="W871" s="251" t="str">
        <f>IFERROR(__xludf.DUMMYFUNCTION("""COMPUTED_VALUE"""),"--")</f>
        <v>--</v>
      </c>
      <c r="X871" s="251" t="str">
        <f>IFERROR(__xludf.DUMMYFUNCTION("""COMPUTED_VALUE"""),"--")</f>
        <v>--</v>
      </c>
      <c r="Y871" s="251" t="str">
        <f>IFERROR(__xludf.DUMMYFUNCTION("""COMPUTED_VALUE"""),"--")</f>
        <v>--</v>
      </c>
      <c r="Z871" s="251" t="str">
        <f>IFERROR(__xludf.DUMMYFUNCTION("""COMPUTED_VALUE"""),"--")</f>
        <v>--</v>
      </c>
      <c r="AA871" s="251" t="str">
        <f>IFERROR(__xludf.DUMMYFUNCTION("""COMPUTED_VALUE"""),"--")</f>
        <v>--</v>
      </c>
      <c r="AB871" s="251" t="str">
        <f>IFERROR(__xludf.DUMMYFUNCTION("""COMPUTED_VALUE"""),"--")</f>
        <v>--</v>
      </c>
      <c r="AC871" s="251" t="str">
        <f>IFERROR(__xludf.DUMMYFUNCTION("""COMPUTED_VALUE"""),"--")</f>
        <v>--</v>
      </c>
      <c r="AD871" s="251">
        <f>IFERROR(__xludf.DUMMYFUNCTION("""COMPUTED_VALUE"""),2.0)</f>
        <v>2</v>
      </c>
      <c r="AE871" s="251" t="str">
        <f>IFERROR(__xludf.DUMMYFUNCTION("""COMPUTED_VALUE"""),"Carnivore, Terravore")</f>
        <v>Carnivore, Terravore</v>
      </c>
    </row>
    <row r="872">
      <c r="A872" s="251" t="str">
        <f>IFERROR(__xludf.DUMMYFUNCTION("""COMPUTED_VALUE"""),"Toxapex")</f>
        <v>Toxapex</v>
      </c>
      <c r="B872" s="251" t="str">
        <f>IFERROR(__xludf.DUMMYFUNCTION("""COMPUTED_VALUE"""),"Poison")</f>
        <v>Poison</v>
      </c>
      <c r="C872" s="251" t="str">
        <f>IFERROR(__xludf.DUMMYFUNCTION("""COMPUTED_VALUE"""),"Water")</f>
        <v>Water</v>
      </c>
      <c r="D872" s="251">
        <f>IFERROR(__xludf.DUMMYFUNCTION("""COMPUTED_VALUE"""),5.0)</f>
        <v>5</v>
      </c>
      <c r="E872" s="251">
        <f>IFERROR(__xludf.DUMMYFUNCTION("""COMPUTED_VALUE"""),7.0)</f>
        <v>7</v>
      </c>
      <c r="F872" s="251">
        <f>IFERROR(__xludf.DUMMYFUNCTION("""COMPUTED_VALUE"""),15.0)</f>
        <v>15</v>
      </c>
      <c r="G872" s="251">
        <f>IFERROR(__xludf.DUMMYFUNCTION("""COMPUTED_VALUE"""),5.0)</f>
        <v>5</v>
      </c>
      <c r="H872" s="251">
        <f>IFERROR(__xludf.DUMMYFUNCTION("""COMPUTED_VALUE"""),15.0)</f>
        <v>15</v>
      </c>
      <c r="I872" s="251">
        <f>IFERROR(__xludf.DUMMYFUNCTION("""COMPUTED_VALUE"""),4.0)</f>
        <v>4</v>
      </c>
      <c r="J872" s="251">
        <f>IFERROR(__xludf.DUMMYFUNCTION("""COMPUTED_VALUE"""),4.0)</f>
        <v>4</v>
      </c>
      <c r="K872" s="251" t="str">
        <f>IFERROR(__xludf.DUMMYFUNCTION("""COMPUTED_VALUE"""),"Small")</f>
        <v>Small</v>
      </c>
      <c r="L872" s="251">
        <f>IFERROR(__xludf.DUMMYFUNCTION("""COMPUTED_VALUE"""),2.0)</f>
        <v>2</v>
      </c>
      <c r="M872" s="251" t="str">
        <f>IFERROR(__xludf.DUMMYFUNCTION("""COMPUTED_VALUE"""),"Ocean, Wetlands")</f>
        <v>Ocean, Wetlands</v>
      </c>
      <c r="N872" s="251" t="str">
        <f>IFERROR(__xludf.DUMMYFUNCTION("""COMPUTED_VALUE"""),"Swimmer")</f>
        <v>Swimmer</v>
      </c>
      <c r="O872" s="251" t="str">
        <f>IFERROR(__xludf.DUMMYFUNCTION("""COMPUTED_VALUE"""),"--")</f>
        <v>--</v>
      </c>
      <c r="P872" s="251" t="str">
        <f>IFERROR(__xludf.DUMMYFUNCTION("""COMPUTED_VALUE"""),"--")</f>
        <v>--</v>
      </c>
      <c r="Q872" s="251" t="str">
        <f>IFERROR(__xludf.DUMMYFUNCTION("""COMPUTED_VALUE"""),"--")</f>
        <v>--</v>
      </c>
      <c r="R872" s="251" t="str">
        <f>IFERROR(__xludf.DUMMYFUNCTION("""COMPUTED_VALUE"""),"--")</f>
        <v>--</v>
      </c>
      <c r="S872" s="251" t="str">
        <f>IFERROR(__xludf.DUMMYFUNCTION("""COMPUTED_VALUE"""),"--")</f>
        <v>--</v>
      </c>
      <c r="T872" s="251" t="str">
        <f>IFERROR(__xludf.DUMMYFUNCTION("""COMPUTED_VALUE"""),"--")</f>
        <v>--</v>
      </c>
      <c r="U872" s="251" t="str">
        <f>IFERROR(__xludf.DUMMYFUNCTION("""COMPUTED_VALUE"""),"--")</f>
        <v>--</v>
      </c>
      <c r="V872" s="251" t="str">
        <f>IFERROR(__xludf.DUMMYFUNCTION("""COMPUTED_VALUE"""),"Gilled")</f>
        <v>Gilled</v>
      </c>
      <c r="W872" s="251" t="str">
        <f>IFERROR(__xludf.DUMMYFUNCTION("""COMPUTED_VALUE"""),"--")</f>
        <v>--</v>
      </c>
      <c r="X872" s="251" t="str">
        <f>IFERROR(__xludf.DUMMYFUNCTION("""COMPUTED_VALUE"""),"--")</f>
        <v>--</v>
      </c>
      <c r="Y872" s="251" t="str">
        <f>IFERROR(__xludf.DUMMYFUNCTION("""COMPUTED_VALUE"""),"--")</f>
        <v>--</v>
      </c>
      <c r="Z872" s="251" t="str">
        <f>IFERROR(__xludf.DUMMYFUNCTION("""COMPUTED_VALUE"""),"--")</f>
        <v>--</v>
      </c>
      <c r="AA872" s="251" t="str">
        <f>IFERROR(__xludf.DUMMYFUNCTION("""COMPUTED_VALUE"""),"--")</f>
        <v>--</v>
      </c>
      <c r="AB872" s="251" t="str">
        <f>IFERROR(__xludf.DUMMYFUNCTION("""COMPUTED_VALUE"""),"--")</f>
        <v>--</v>
      </c>
      <c r="AC872" s="251" t="str">
        <f>IFERROR(__xludf.DUMMYFUNCTION("""COMPUTED_VALUE"""),"--")</f>
        <v>--</v>
      </c>
      <c r="AD872" s="251">
        <f>IFERROR(__xludf.DUMMYFUNCTION("""COMPUTED_VALUE"""),3.0)</f>
        <v>3</v>
      </c>
      <c r="AE872" s="251" t="str">
        <f>IFERROR(__xludf.DUMMYFUNCTION("""COMPUTED_VALUE"""),"Carnivore, Terravore")</f>
        <v>Carnivore, Terravore</v>
      </c>
    </row>
    <row r="873">
      <c r="A873" s="251" t="str">
        <f>IFERROR(__xludf.DUMMYFUNCTION("""COMPUTED_VALUE"""),"Salandit")</f>
        <v>Salandit</v>
      </c>
      <c r="B873" s="251" t="str">
        <f>IFERROR(__xludf.DUMMYFUNCTION("""COMPUTED_VALUE"""),"Poison")</f>
        <v>Poison</v>
      </c>
      <c r="C873" s="251" t="str">
        <f>IFERROR(__xludf.DUMMYFUNCTION("""COMPUTED_VALUE"""),"Fire")</f>
        <v>Fire</v>
      </c>
      <c r="D873" s="251">
        <f>IFERROR(__xludf.DUMMYFUNCTION("""COMPUTED_VALUE"""),5.0)</f>
        <v>5</v>
      </c>
      <c r="E873" s="251">
        <f>IFERROR(__xludf.DUMMYFUNCTION("""COMPUTED_VALUE"""),4.0)</f>
        <v>4</v>
      </c>
      <c r="F873" s="251">
        <f>IFERROR(__xludf.DUMMYFUNCTION("""COMPUTED_VALUE"""),4.0)</f>
        <v>4</v>
      </c>
      <c r="G873" s="251">
        <f>IFERROR(__xludf.DUMMYFUNCTION("""COMPUTED_VALUE"""),7.0)</f>
        <v>7</v>
      </c>
      <c r="H873" s="251">
        <f>IFERROR(__xludf.DUMMYFUNCTION("""COMPUTED_VALUE"""),4.0)</f>
        <v>4</v>
      </c>
      <c r="I873" s="251">
        <f>IFERROR(__xludf.DUMMYFUNCTION("""COMPUTED_VALUE"""),8.0)</f>
        <v>8</v>
      </c>
      <c r="J873" s="251">
        <f>IFERROR(__xludf.DUMMYFUNCTION("""COMPUTED_VALUE"""),3.0)</f>
        <v>3</v>
      </c>
      <c r="K873" s="251" t="str">
        <f>IFERROR(__xludf.DUMMYFUNCTION("""COMPUTED_VALUE"""),"Small")</f>
        <v>Small</v>
      </c>
      <c r="L873" s="251">
        <f>IFERROR(__xludf.DUMMYFUNCTION("""COMPUTED_VALUE"""),1.0)</f>
        <v>1</v>
      </c>
      <c r="M873" s="251" t="str">
        <f>IFERROR(__xludf.DUMMYFUNCTION("""COMPUTED_VALUE"""),"Mountain")</f>
        <v>Mountain</v>
      </c>
      <c r="N873" s="251" t="str">
        <f>IFERROR(__xludf.DUMMYFUNCTION("""COMPUTED_VALUE"""),"--")</f>
        <v>--</v>
      </c>
      <c r="O873" s="251" t="str">
        <f>IFERROR(__xludf.DUMMYFUNCTION("""COMPUTED_VALUE"""),"--")</f>
        <v>--</v>
      </c>
      <c r="P873" s="251" t="str">
        <f>IFERROR(__xludf.DUMMYFUNCTION("""COMPUTED_VALUE"""),"--")</f>
        <v>--</v>
      </c>
      <c r="Q873" s="251" t="str">
        <f>IFERROR(__xludf.DUMMYFUNCTION("""COMPUTED_VALUE"""),"--")</f>
        <v>--</v>
      </c>
      <c r="R873" s="251" t="str">
        <f>IFERROR(__xludf.DUMMYFUNCTION("""COMPUTED_VALUE"""),"Underdog")</f>
        <v>Underdog</v>
      </c>
      <c r="S873" s="251" t="str">
        <f>IFERROR(__xludf.DUMMYFUNCTION("""COMPUTED_VALUE"""),"--")</f>
        <v>--</v>
      </c>
      <c r="T873" s="251" t="str">
        <f>IFERROR(__xludf.DUMMYFUNCTION("""COMPUTED_VALUE"""),"--")</f>
        <v>--</v>
      </c>
      <c r="U873" s="251" t="str">
        <f>IFERROR(__xludf.DUMMYFUNCTION("""COMPUTED_VALUE"""),"--")</f>
        <v>--</v>
      </c>
      <c r="V873" s="251" t="str">
        <f>IFERROR(__xludf.DUMMYFUNCTION("""COMPUTED_VALUE"""),"Alluring")</f>
        <v>Alluring</v>
      </c>
      <c r="W873" s="251" t="str">
        <f>IFERROR(__xludf.DUMMYFUNCTION("""COMPUTED_VALUE"""),"Pack Mon")</f>
        <v>Pack Mon</v>
      </c>
      <c r="X873" s="251" t="str">
        <f>IFERROR(__xludf.DUMMYFUNCTION("""COMPUTED_VALUE"""),"--")</f>
        <v>--</v>
      </c>
      <c r="Y873" s="251" t="str">
        <f>IFERROR(__xludf.DUMMYFUNCTION("""COMPUTED_VALUE"""),"--")</f>
        <v>--</v>
      </c>
      <c r="Z873" s="251" t="str">
        <f>IFERROR(__xludf.DUMMYFUNCTION("""COMPUTED_VALUE"""),"--")</f>
        <v>--</v>
      </c>
      <c r="AA873" s="251" t="str">
        <f>IFERROR(__xludf.DUMMYFUNCTION("""COMPUTED_VALUE"""),"--")</f>
        <v>--</v>
      </c>
      <c r="AB873" s="251" t="str">
        <f>IFERROR(__xludf.DUMMYFUNCTION("""COMPUTED_VALUE"""),"--")</f>
        <v>--</v>
      </c>
      <c r="AC873" s="251" t="str">
        <f>IFERROR(__xludf.DUMMYFUNCTION("""COMPUTED_VALUE"""),"--")</f>
        <v>--</v>
      </c>
      <c r="AD873" s="251">
        <f>IFERROR(__xludf.DUMMYFUNCTION("""COMPUTED_VALUE"""),2.0)</f>
        <v>2</v>
      </c>
      <c r="AE873" s="251" t="str">
        <f>IFERROR(__xludf.DUMMYFUNCTION("""COMPUTED_VALUE"""),"Carnivore")</f>
        <v>Carnivore</v>
      </c>
    </row>
    <row r="874">
      <c r="A874" s="251" t="str">
        <f>IFERROR(__xludf.DUMMYFUNCTION("""COMPUTED_VALUE"""),"Salazzle")</f>
        <v>Salazzle</v>
      </c>
      <c r="B874" s="251" t="str">
        <f>IFERROR(__xludf.DUMMYFUNCTION("""COMPUTED_VALUE"""),"Poison")</f>
        <v>Poison</v>
      </c>
      <c r="C874" s="251" t="str">
        <f>IFERROR(__xludf.DUMMYFUNCTION("""COMPUTED_VALUE"""),"Fire")</f>
        <v>Fire</v>
      </c>
      <c r="D874" s="251">
        <f>IFERROR(__xludf.DUMMYFUNCTION("""COMPUTED_VALUE"""),8.0)</f>
        <v>8</v>
      </c>
      <c r="E874" s="251">
        <f>IFERROR(__xludf.DUMMYFUNCTION("""COMPUTED_VALUE"""),6.0)</f>
        <v>6</v>
      </c>
      <c r="F874" s="251">
        <f>IFERROR(__xludf.DUMMYFUNCTION("""COMPUTED_VALUE"""),6.0)</f>
        <v>6</v>
      </c>
      <c r="G874" s="251">
        <f>IFERROR(__xludf.DUMMYFUNCTION("""COMPUTED_VALUE"""),12.0)</f>
        <v>12</v>
      </c>
      <c r="H874" s="251">
        <f>IFERROR(__xludf.DUMMYFUNCTION("""COMPUTED_VALUE"""),7.0)</f>
        <v>7</v>
      </c>
      <c r="I874" s="251">
        <f>IFERROR(__xludf.DUMMYFUNCTION("""COMPUTED_VALUE"""),12.0)</f>
        <v>12</v>
      </c>
      <c r="J874" s="251">
        <f>IFERROR(__xludf.DUMMYFUNCTION("""COMPUTED_VALUE"""),4.0)</f>
        <v>4</v>
      </c>
      <c r="K874" s="251" t="str">
        <f>IFERROR(__xludf.DUMMYFUNCTION("""COMPUTED_VALUE"""),"Medium")</f>
        <v>Medium</v>
      </c>
      <c r="L874" s="251">
        <f>IFERROR(__xludf.DUMMYFUNCTION("""COMPUTED_VALUE"""),2.0)</f>
        <v>2</v>
      </c>
      <c r="M874" s="251" t="str">
        <f>IFERROR(__xludf.DUMMYFUNCTION("""COMPUTED_VALUE"""),"Mountain")</f>
        <v>Mountain</v>
      </c>
      <c r="N874" s="251" t="str">
        <f>IFERROR(__xludf.DUMMYFUNCTION("""COMPUTED_VALUE"""),"--")</f>
        <v>--</v>
      </c>
      <c r="O874" s="251" t="str">
        <f>IFERROR(__xludf.DUMMYFUNCTION("""COMPUTED_VALUE"""),"--")</f>
        <v>--</v>
      </c>
      <c r="P874" s="251" t="str">
        <f>IFERROR(__xludf.DUMMYFUNCTION("""COMPUTED_VALUE"""),"--")</f>
        <v>--</v>
      </c>
      <c r="Q874" s="251" t="str">
        <f>IFERROR(__xludf.DUMMYFUNCTION("""COMPUTED_VALUE"""),"--")</f>
        <v>--</v>
      </c>
      <c r="R874" s="251" t="str">
        <f>IFERROR(__xludf.DUMMYFUNCTION("""COMPUTED_VALUE"""),"--")</f>
        <v>--</v>
      </c>
      <c r="S874" s="251" t="str">
        <f>IFERROR(__xludf.DUMMYFUNCTION("""COMPUTED_VALUE"""),"--")</f>
        <v>--</v>
      </c>
      <c r="T874" s="251" t="str">
        <f>IFERROR(__xludf.DUMMYFUNCTION("""COMPUTED_VALUE"""),"--")</f>
        <v>--</v>
      </c>
      <c r="U874" s="251" t="str">
        <f>IFERROR(__xludf.DUMMYFUNCTION("""COMPUTED_VALUE"""),"--")</f>
        <v>--</v>
      </c>
      <c r="V874" s="251" t="str">
        <f>IFERROR(__xludf.DUMMYFUNCTION("""COMPUTED_VALUE"""),"Alluring")</f>
        <v>Alluring</v>
      </c>
      <c r="W874" s="251" t="str">
        <f>IFERROR(__xludf.DUMMYFUNCTION("""COMPUTED_VALUE"""),"Pack Mon")</f>
        <v>Pack Mon</v>
      </c>
      <c r="X874" s="251" t="str">
        <f>IFERROR(__xludf.DUMMYFUNCTION("""COMPUTED_VALUE"""),"--")</f>
        <v>--</v>
      </c>
      <c r="Y874" s="251" t="str">
        <f>IFERROR(__xludf.DUMMYFUNCTION("""COMPUTED_VALUE"""),"--")</f>
        <v>--</v>
      </c>
      <c r="Z874" s="251" t="str">
        <f>IFERROR(__xludf.DUMMYFUNCTION("""COMPUTED_VALUE"""),"--")</f>
        <v>--</v>
      </c>
      <c r="AA874" s="251" t="str">
        <f>IFERROR(__xludf.DUMMYFUNCTION("""COMPUTED_VALUE"""),"--")</f>
        <v>--</v>
      </c>
      <c r="AB874" s="251" t="str">
        <f>IFERROR(__xludf.DUMMYFUNCTION("""COMPUTED_VALUE"""),"--")</f>
        <v>--</v>
      </c>
      <c r="AC874" s="251" t="str">
        <f>IFERROR(__xludf.DUMMYFUNCTION("""COMPUTED_VALUE"""),"--")</f>
        <v>--</v>
      </c>
      <c r="AD874" s="251">
        <f>IFERROR(__xludf.DUMMYFUNCTION("""COMPUTED_VALUE"""),3.0)</f>
        <v>3</v>
      </c>
      <c r="AE874" s="251" t="str">
        <f>IFERROR(__xludf.DUMMYFUNCTION("""COMPUTED_VALUE"""),"Carnivore")</f>
        <v>Carnivore</v>
      </c>
    </row>
    <row r="875">
      <c r="A875" s="251" t="str">
        <f>IFERROR(__xludf.DUMMYFUNCTION("""COMPUTED_VALUE"""),"Shroodle")</f>
        <v>Shroodle</v>
      </c>
      <c r="B875" s="251" t="str">
        <f>IFERROR(__xludf.DUMMYFUNCTION("""COMPUTED_VALUE"""),"Poison")</f>
        <v>Poison</v>
      </c>
      <c r="C875" s="251" t="str">
        <f>IFERROR(__xludf.DUMMYFUNCTION("""COMPUTED_VALUE"""),"Normal")</f>
        <v>Normal</v>
      </c>
      <c r="D875" s="251">
        <f>IFERROR(__xludf.DUMMYFUNCTION("""COMPUTED_VALUE"""),4.0)</f>
        <v>4</v>
      </c>
      <c r="E875" s="251">
        <f>IFERROR(__xludf.DUMMYFUNCTION("""COMPUTED_VALUE"""),7.0)</f>
        <v>7</v>
      </c>
      <c r="F875" s="251">
        <f>IFERROR(__xludf.DUMMYFUNCTION("""COMPUTED_VALUE"""),4.0)</f>
        <v>4</v>
      </c>
      <c r="G875" s="251">
        <f>IFERROR(__xludf.DUMMYFUNCTION("""COMPUTED_VALUE"""),4.0)</f>
        <v>4</v>
      </c>
      <c r="H875" s="251">
        <f>IFERROR(__xludf.DUMMYFUNCTION("""COMPUTED_VALUE"""),4.0)</f>
        <v>4</v>
      </c>
      <c r="I875" s="251">
        <f>IFERROR(__xludf.DUMMYFUNCTION("""COMPUTED_VALUE"""),8.0)</f>
        <v>8</v>
      </c>
      <c r="J875" s="251">
        <f>IFERROR(__xludf.DUMMYFUNCTION("""COMPUTED_VALUE"""),1.0)</f>
        <v>1</v>
      </c>
      <c r="K875" s="251" t="str">
        <f>IFERROR(__xludf.DUMMYFUNCTION("""COMPUTED_VALUE"""),"Small")</f>
        <v>Small</v>
      </c>
      <c r="L875" s="251">
        <f>IFERROR(__xludf.DUMMYFUNCTION("""COMPUTED_VALUE"""),1.0)</f>
        <v>1</v>
      </c>
      <c r="M875" s="251" t="str">
        <f>IFERROR(__xludf.DUMMYFUNCTION("""COMPUTED_VALUE"""),"Forest")</f>
        <v>Forest</v>
      </c>
      <c r="N875" s="251" t="str">
        <f>IFERROR(__xludf.DUMMYFUNCTION("""COMPUTED_VALUE"""),"Climber")</f>
        <v>Climber</v>
      </c>
      <c r="O875" s="251" t="str">
        <f>IFERROR(__xludf.DUMMYFUNCTION("""COMPUTED_VALUE"""),"Slow")</f>
        <v>Slow</v>
      </c>
      <c r="P875" s="251" t="str">
        <f>IFERROR(__xludf.DUMMYFUNCTION("""COMPUTED_VALUE"""),"--")</f>
        <v>--</v>
      </c>
      <c r="Q875" s="251" t="str">
        <f>IFERROR(__xludf.DUMMYFUNCTION("""COMPUTED_VALUE"""),"--")</f>
        <v>--</v>
      </c>
      <c r="R875" s="251" t="str">
        <f>IFERROR(__xludf.DUMMYFUNCTION("""COMPUTED_VALUE"""),"Underdog")</f>
        <v>Underdog</v>
      </c>
      <c r="S875" s="251" t="str">
        <f>IFERROR(__xludf.DUMMYFUNCTION("""COMPUTED_VALUE"""),"--")</f>
        <v>--</v>
      </c>
      <c r="T875" s="251" t="str">
        <f>IFERROR(__xludf.DUMMYFUNCTION("""COMPUTED_VALUE"""),"--")</f>
        <v>--</v>
      </c>
      <c r="U875" s="251" t="str">
        <f>IFERROR(__xludf.DUMMYFUNCTION("""COMPUTED_VALUE"""),"--")</f>
        <v>--</v>
      </c>
      <c r="V875" s="251" t="str">
        <f>IFERROR(__xludf.DUMMYFUNCTION("""COMPUTED_VALUE"""),"--")</f>
        <v>--</v>
      </c>
      <c r="W875" s="251" t="str">
        <f>IFERROR(__xludf.DUMMYFUNCTION("""COMPUTED_VALUE"""),"--")</f>
        <v>--</v>
      </c>
      <c r="X875" s="251" t="str">
        <f>IFERROR(__xludf.DUMMYFUNCTION("""COMPUTED_VALUE"""),"--")</f>
        <v>--</v>
      </c>
      <c r="Y875" s="251" t="str">
        <f>IFERROR(__xludf.DUMMYFUNCTION("""COMPUTED_VALUE"""),"--")</f>
        <v>--</v>
      </c>
      <c r="Z875" s="251" t="str">
        <f>IFERROR(__xludf.DUMMYFUNCTION("""COMPUTED_VALUE"""),"--")</f>
        <v>--</v>
      </c>
      <c r="AA875" s="251" t="str">
        <f>IFERROR(__xludf.DUMMYFUNCTION("""COMPUTED_VALUE"""),"--")</f>
        <v>--</v>
      </c>
      <c r="AB875" s="251" t="str">
        <f>IFERROR(__xludf.DUMMYFUNCTION("""COMPUTED_VALUE"""),"--")</f>
        <v>--</v>
      </c>
      <c r="AC875" s="251" t="str">
        <f>IFERROR(__xludf.DUMMYFUNCTION("""COMPUTED_VALUE"""),"--")</f>
        <v>--</v>
      </c>
      <c r="AD875" s="251">
        <f>IFERROR(__xludf.DUMMYFUNCTION("""COMPUTED_VALUE"""),2.0)</f>
        <v>2</v>
      </c>
      <c r="AE875" s="251" t="str">
        <f>IFERROR(__xludf.DUMMYFUNCTION("""COMPUTED_VALUE"""),"Omnivore")</f>
        <v>Omnivore</v>
      </c>
    </row>
    <row r="876">
      <c r="A876" s="251" t="str">
        <f>IFERROR(__xludf.DUMMYFUNCTION("""COMPUTED_VALUE"""),"Grafaiai")</f>
        <v>Grafaiai</v>
      </c>
      <c r="B876" s="251" t="str">
        <f>IFERROR(__xludf.DUMMYFUNCTION("""COMPUTED_VALUE"""),"Poison")</f>
        <v>Poison</v>
      </c>
      <c r="C876" s="251" t="str">
        <f>IFERROR(__xludf.DUMMYFUNCTION("""COMPUTED_VALUE"""),"Normal")</f>
        <v>Normal</v>
      </c>
      <c r="D876" s="251">
        <f>IFERROR(__xludf.DUMMYFUNCTION("""COMPUTED_VALUE"""),6.0)</f>
        <v>6</v>
      </c>
      <c r="E876" s="251">
        <f>IFERROR(__xludf.DUMMYFUNCTION("""COMPUTED_VALUE"""),11.0)</f>
        <v>11</v>
      </c>
      <c r="F876" s="251">
        <f>IFERROR(__xludf.DUMMYFUNCTION("""COMPUTED_VALUE"""),7.0)</f>
        <v>7</v>
      </c>
      <c r="G876" s="251">
        <f>IFERROR(__xludf.DUMMYFUNCTION("""COMPUTED_VALUE"""),8.0)</f>
        <v>8</v>
      </c>
      <c r="H876" s="251">
        <f>IFERROR(__xludf.DUMMYFUNCTION("""COMPUTED_VALUE"""),7.0)</f>
        <v>7</v>
      </c>
      <c r="I876" s="251">
        <f>IFERROR(__xludf.DUMMYFUNCTION("""COMPUTED_VALUE"""),12.0)</f>
        <v>12</v>
      </c>
      <c r="J876" s="251">
        <f>IFERROR(__xludf.DUMMYFUNCTION("""COMPUTED_VALUE"""),5.0)</f>
        <v>5</v>
      </c>
      <c r="K876" s="251" t="str">
        <f>IFERROR(__xludf.DUMMYFUNCTION("""COMPUTED_VALUE"""),"Small")</f>
        <v>Small</v>
      </c>
      <c r="L876" s="251">
        <f>IFERROR(__xludf.DUMMYFUNCTION("""COMPUTED_VALUE"""),3.0)</f>
        <v>3</v>
      </c>
      <c r="M876" s="251" t="str">
        <f>IFERROR(__xludf.DUMMYFUNCTION("""COMPUTED_VALUE"""),"Forest")</f>
        <v>Forest</v>
      </c>
      <c r="N876" s="251" t="str">
        <f>IFERROR(__xludf.DUMMYFUNCTION("""COMPUTED_VALUE"""),"Climber")</f>
        <v>Climber</v>
      </c>
      <c r="O876" s="251" t="str">
        <f>IFERROR(__xludf.DUMMYFUNCTION("""COMPUTED_VALUE"""),"Jumper")</f>
        <v>Jumper</v>
      </c>
      <c r="P876" s="251" t="str">
        <f>IFERROR(__xludf.DUMMYFUNCTION("""COMPUTED_VALUE"""),"Quick")</f>
        <v>Quick</v>
      </c>
      <c r="Q876" s="251" t="str">
        <f>IFERROR(__xludf.DUMMYFUNCTION("""COMPUTED_VALUE"""),"--")</f>
        <v>--</v>
      </c>
      <c r="R876" s="251" t="str">
        <f>IFERROR(__xludf.DUMMYFUNCTION("""COMPUTED_VALUE"""),"--")</f>
        <v>--</v>
      </c>
      <c r="S876" s="251" t="str">
        <f>IFERROR(__xludf.DUMMYFUNCTION("""COMPUTED_VALUE"""),"--")</f>
        <v>--</v>
      </c>
      <c r="T876" s="251" t="str">
        <f>IFERROR(__xludf.DUMMYFUNCTION("""COMPUTED_VALUE"""),"--")</f>
        <v>--</v>
      </c>
      <c r="U876" s="251" t="str">
        <f>IFERROR(__xludf.DUMMYFUNCTION("""COMPUTED_VALUE"""),"--")</f>
        <v>--</v>
      </c>
      <c r="V876" s="251" t="str">
        <f>IFERROR(__xludf.DUMMYFUNCTION("""COMPUTED_VALUE"""),"--")</f>
        <v>--</v>
      </c>
      <c r="W876" s="251" t="str">
        <f>IFERROR(__xludf.DUMMYFUNCTION("""COMPUTED_VALUE"""),"--")</f>
        <v>--</v>
      </c>
      <c r="X876" s="251" t="str">
        <f>IFERROR(__xludf.DUMMYFUNCTION("""COMPUTED_VALUE"""),"--")</f>
        <v>--</v>
      </c>
      <c r="Y876" s="251" t="str">
        <f>IFERROR(__xludf.DUMMYFUNCTION("""COMPUTED_VALUE"""),"--")</f>
        <v>--</v>
      </c>
      <c r="Z876" s="251" t="str">
        <f>IFERROR(__xludf.DUMMYFUNCTION("""COMPUTED_VALUE"""),"--")</f>
        <v>--</v>
      </c>
      <c r="AA876" s="251" t="str">
        <f>IFERROR(__xludf.DUMMYFUNCTION("""COMPUTED_VALUE"""),"--")</f>
        <v>--</v>
      </c>
      <c r="AB876" s="251" t="str">
        <f>IFERROR(__xludf.DUMMYFUNCTION("""COMPUTED_VALUE"""),"--")</f>
        <v>--</v>
      </c>
      <c r="AC876" s="251" t="str">
        <f>IFERROR(__xludf.DUMMYFUNCTION("""COMPUTED_VALUE"""),"--")</f>
        <v>--</v>
      </c>
      <c r="AD876" s="251">
        <f>IFERROR(__xludf.DUMMYFUNCTION("""COMPUTED_VALUE"""),3.0)</f>
        <v>3</v>
      </c>
      <c r="AE876" s="251" t="str">
        <f>IFERROR(__xludf.DUMMYFUNCTION("""COMPUTED_VALUE"""),"Omnivore")</f>
        <v>Omnivore</v>
      </c>
    </row>
    <row r="877">
      <c r="A877" s="251" t="str">
        <f>IFERROR(__xludf.DUMMYFUNCTION("""COMPUTED_VALUE"""),"Varoom")</f>
        <v>Varoom</v>
      </c>
      <c r="B877" s="251" t="str">
        <f>IFERROR(__xludf.DUMMYFUNCTION("""COMPUTED_VALUE"""),"Poison")</f>
        <v>Poison</v>
      </c>
      <c r="C877" s="251" t="str">
        <f>IFERROR(__xludf.DUMMYFUNCTION("""COMPUTED_VALUE"""),"Steel")</f>
        <v>Steel</v>
      </c>
      <c r="D877" s="251">
        <f>IFERROR(__xludf.DUMMYFUNCTION("""COMPUTED_VALUE"""),5.0)</f>
        <v>5</v>
      </c>
      <c r="E877" s="251">
        <f>IFERROR(__xludf.DUMMYFUNCTION("""COMPUTED_VALUE"""),7.0)</f>
        <v>7</v>
      </c>
      <c r="F877" s="251">
        <f>IFERROR(__xludf.DUMMYFUNCTION("""COMPUTED_VALUE"""),6.0)</f>
        <v>6</v>
      </c>
      <c r="G877" s="251">
        <f>IFERROR(__xludf.DUMMYFUNCTION("""COMPUTED_VALUE"""),3.0)</f>
        <v>3</v>
      </c>
      <c r="H877" s="251">
        <f>IFERROR(__xludf.DUMMYFUNCTION("""COMPUTED_VALUE"""),5.0)</f>
        <v>5</v>
      </c>
      <c r="I877" s="251">
        <f>IFERROR(__xludf.DUMMYFUNCTION("""COMPUTED_VALUE"""),5.0)</f>
        <v>5</v>
      </c>
      <c r="J877" s="251">
        <f>IFERROR(__xludf.DUMMYFUNCTION("""COMPUTED_VALUE"""),6.0)</f>
        <v>6</v>
      </c>
      <c r="K877" s="251" t="str">
        <f>IFERROR(__xludf.DUMMYFUNCTION("""COMPUTED_VALUE"""),"Medium")</f>
        <v>Medium</v>
      </c>
      <c r="L877" s="251">
        <f>IFERROR(__xludf.DUMMYFUNCTION("""COMPUTED_VALUE"""),3.0)</f>
        <v>3</v>
      </c>
      <c r="M877" s="251" t="str">
        <f>IFERROR(__xludf.DUMMYFUNCTION("""COMPUTED_VALUE"""),"Urban")</f>
        <v>Urban</v>
      </c>
      <c r="N877" s="251" t="str">
        <f>IFERROR(__xludf.DUMMYFUNCTION("""COMPUTED_VALUE"""),"Flier")</f>
        <v>Flier</v>
      </c>
      <c r="O877" s="251" t="str">
        <f>IFERROR(__xludf.DUMMYFUNCTION("""COMPUTED_VALUE"""),"--")</f>
        <v>--</v>
      </c>
      <c r="P877" s="251" t="str">
        <f>IFERROR(__xludf.DUMMYFUNCTION("""COMPUTED_VALUE"""),"--")</f>
        <v>--</v>
      </c>
      <c r="Q877" s="251" t="str">
        <f>IFERROR(__xludf.DUMMYFUNCTION("""COMPUTED_VALUE"""),"--")</f>
        <v>--</v>
      </c>
      <c r="R877" s="251" t="str">
        <f>IFERROR(__xludf.DUMMYFUNCTION("""COMPUTED_VALUE"""),"Underdog")</f>
        <v>Underdog</v>
      </c>
      <c r="S877" s="251" t="str">
        <f>IFERROR(__xludf.DUMMYFUNCTION("""COMPUTED_VALUE"""),"--")</f>
        <v>--</v>
      </c>
      <c r="T877" s="251" t="str">
        <f>IFERROR(__xludf.DUMMYFUNCTION("""COMPUTED_VALUE"""),"--")</f>
        <v>--</v>
      </c>
      <c r="U877" s="251" t="str">
        <f>IFERROR(__xludf.DUMMYFUNCTION("""COMPUTED_VALUE"""),"--")</f>
        <v>--</v>
      </c>
      <c r="V877" s="251" t="str">
        <f>IFERROR(__xludf.DUMMYFUNCTION("""COMPUTED_VALUE"""),"Breathless")</f>
        <v>Breathless</v>
      </c>
      <c r="W877" s="251" t="str">
        <f>IFERROR(__xludf.DUMMYFUNCTION("""COMPUTED_VALUE"""),"Engine")</f>
        <v>Engine</v>
      </c>
      <c r="X877" s="251" t="str">
        <f>IFERROR(__xludf.DUMMYFUNCTION("""COMPUTED_VALUE"""),"Magnetic")</f>
        <v>Magnetic</v>
      </c>
      <c r="Y877" s="251" t="str">
        <f>IFERROR(__xludf.DUMMYFUNCTION("""COMPUTED_VALUE"""),"--")</f>
        <v>--</v>
      </c>
      <c r="Z877" s="251" t="str">
        <f>IFERROR(__xludf.DUMMYFUNCTION("""COMPUTED_VALUE"""),"--")</f>
        <v>--</v>
      </c>
      <c r="AA877" s="251" t="str">
        <f>IFERROR(__xludf.DUMMYFUNCTION("""COMPUTED_VALUE"""),"--")</f>
        <v>--</v>
      </c>
      <c r="AB877" s="251" t="str">
        <f>IFERROR(__xludf.DUMMYFUNCTION("""COMPUTED_VALUE"""),"--")</f>
        <v>--</v>
      </c>
      <c r="AC877" s="251" t="str">
        <f>IFERROR(__xludf.DUMMYFUNCTION("""COMPUTED_VALUE"""),"--")</f>
        <v>--</v>
      </c>
      <c r="AD877" s="251">
        <f>IFERROR(__xludf.DUMMYFUNCTION("""COMPUTED_VALUE"""),2.0)</f>
        <v>2</v>
      </c>
      <c r="AE877" s="251" t="str">
        <f>IFERROR(__xludf.DUMMYFUNCTION("""COMPUTED_VALUE"""),"Nullivore")</f>
        <v>Nullivore</v>
      </c>
    </row>
    <row r="878">
      <c r="A878" s="251" t="str">
        <f>IFERROR(__xludf.DUMMYFUNCTION("""COMPUTED_VALUE"""),"Revavroom")</f>
        <v>Revavroom</v>
      </c>
      <c r="B878" s="251" t="str">
        <f>IFERROR(__xludf.DUMMYFUNCTION("""COMPUTED_VALUE"""),"Poison")</f>
        <v>Poison</v>
      </c>
      <c r="C878" s="251" t="str">
        <f>IFERROR(__xludf.DUMMYFUNCTION("""COMPUTED_VALUE"""),"Steel")</f>
        <v>Steel</v>
      </c>
      <c r="D878" s="251">
        <f>IFERROR(__xludf.DUMMYFUNCTION("""COMPUTED_VALUE"""),8.0)</f>
        <v>8</v>
      </c>
      <c r="E878" s="251">
        <f>IFERROR(__xludf.DUMMYFUNCTION("""COMPUTED_VALUE"""),12.0)</f>
        <v>12</v>
      </c>
      <c r="F878" s="251">
        <f>IFERROR(__xludf.DUMMYFUNCTION("""COMPUTED_VALUE"""),9.0)</f>
        <v>9</v>
      </c>
      <c r="G878" s="251">
        <f>IFERROR(__xludf.DUMMYFUNCTION("""COMPUTED_VALUE"""),5.0)</f>
        <v>5</v>
      </c>
      <c r="H878" s="251">
        <f>IFERROR(__xludf.DUMMYFUNCTION("""COMPUTED_VALUE"""),8.0)</f>
        <v>8</v>
      </c>
      <c r="I878" s="251">
        <f>IFERROR(__xludf.DUMMYFUNCTION("""COMPUTED_VALUE"""),9.0)</f>
        <v>9</v>
      </c>
      <c r="J878" s="251">
        <f>IFERROR(__xludf.DUMMYFUNCTION("""COMPUTED_VALUE"""),10.0)</f>
        <v>10</v>
      </c>
      <c r="K878" s="251" t="str">
        <f>IFERROR(__xludf.DUMMYFUNCTION("""COMPUTED_VALUE"""),"Medium")</f>
        <v>Medium</v>
      </c>
      <c r="L878" s="251">
        <f>IFERROR(__xludf.DUMMYFUNCTION("""COMPUTED_VALUE"""),5.0)</f>
        <v>5</v>
      </c>
      <c r="M878" s="251" t="str">
        <f>IFERROR(__xludf.DUMMYFUNCTION("""COMPUTED_VALUE"""),"Urban")</f>
        <v>Urban</v>
      </c>
      <c r="N878" s="251" t="str">
        <f>IFERROR(__xludf.DUMMYFUNCTION("""COMPUTED_VALUE"""),"Flier")</f>
        <v>Flier</v>
      </c>
      <c r="O878" s="251" t="str">
        <f>IFERROR(__xludf.DUMMYFUNCTION("""COMPUTED_VALUE"""),"--")</f>
        <v>--</v>
      </c>
      <c r="P878" s="251" t="str">
        <f>IFERROR(__xludf.DUMMYFUNCTION("""COMPUTED_VALUE"""),"--")</f>
        <v>--</v>
      </c>
      <c r="Q878" s="251" t="str">
        <f>IFERROR(__xludf.DUMMYFUNCTION("""COMPUTED_VALUE"""),"--")</f>
        <v>--</v>
      </c>
      <c r="R878" s="251" t="str">
        <f>IFERROR(__xludf.DUMMYFUNCTION("""COMPUTED_VALUE"""),"Mountable")</f>
        <v>Mountable</v>
      </c>
      <c r="S878" s="251" t="str">
        <f>IFERROR(__xludf.DUMMYFUNCTION("""COMPUTED_VALUE"""),"--")</f>
        <v>--</v>
      </c>
      <c r="T878" s="251" t="str">
        <f>IFERROR(__xludf.DUMMYFUNCTION("""COMPUTED_VALUE"""),"--")</f>
        <v>--</v>
      </c>
      <c r="U878" s="251" t="str">
        <f>IFERROR(__xludf.DUMMYFUNCTION("""COMPUTED_VALUE"""),"--")</f>
        <v>--</v>
      </c>
      <c r="V878" s="251" t="str">
        <f>IFERROR(__xludf.DUMMYFUNCTION("""COMPUTED_VALUE"""),"Breathless")</f>
        <v>Breathless</v>
      </c>
      <c r="W878" s="251" t="str">
        <f>IFERROR(__xludf.DUMMYFUNCTION("""COMPUTED_VALUE"""),"Engine")</f>
        <v>Engine</v>
      </c>
      <c r="X878" s="251" t="str">
        <f>IFERROR(__xludf.DUMMYFUNCTION("""COMPUTED_VALUE"""),"Magnetic")</f>
        <v>Magnetic</v>
      </c>
      <c r="Y878" s="251" t="str">
        <f>IFERROR(__xludf.DUMMYFUNCTION("""COMPUTED_VALUE"""),"--")</f>
        <v>--</v>
      </c>
      <c r="Z878" s="251" t="str">
        <f>IFERROR(__xludf.DUMMYFUNCTION("""COMPUTED_VALUE"""),"--")</f>
        <v>--</v>
      </c>
      <c r="AA878" s="251" t="str">
        <f>IFERROR(__xludf.DUMMYFUNCTION("""COMPUTED_VALUE"""),"--")</f>
        <v>--</v>
      </c>
      <c r="AB878" s="251" t="str">
        <f>IFERROR(__xludf.DUMMYFUNCTION("""COMPUTED_VALUE"""),"--")</f>
        <v>--</v>
      </c>
      <c r="AC878" s="251" t="str">
        <f>IFERROR(__xludf.DUMMYFUNCTION("""COMPUTED_VALUE"""),"--")</f>
        <v>--</v>
      </c>
      <c r="AD878" s="251">
        <f>IFERROR(__xludf.DUMMYFUNCTION("""COMPUTED_VALUE"""),3.0)</f>
        <v>3</v>
      </c>
      <c r="AE878" s="251" t="str">
        <f>IFERROR(__xludf.DUMMYFUNCTION("""COMPUTED_VALUE"""),"Nullivore")</f>
        <v>Nullivore</v>
      </c>
    </row>
    <row r="879">
      <c r="A879" s="251" t="str">
        <f>IFERROR(__xludf.DUMMYFUNCTION("""COMPUTED_VALUE"""),"Drowzee")</f>
        <v>Drowzee</v>
      </c>
      <c r="B879" s="251" t="str">
        <f>IFERROR(__xludf.DUMMYFUNCTION("""COMPUTED_VALUE"""),"Psychic")</f>
        <v>Psychic</v>
      </c>
      <c r="C879" s="251" t="str">
        <f>IFERROR(__xludf.DUMMYFUNCTION("""COMPUTED_VALUE"""),"None")</f>
        <v>None</v>
      </c>
      <c r="D879" s="251">
        <f>IFERROR(__xludf.DUMMYFUNCTION("""COMPUTED_VALUE"""),6.0)</f>
        <v>6</v>
      </c>
      <c r="E879" s="251">
        <f>IFERROR(__xludf.DUMMYFUNCTION("""COMPUTED_VALUE"""),5.0)</f>
        <v>5</v>
      </c>
      <c r="F879" s="251">
        <f>IFERROR(__xludf.DUMMYFUNCTION("""COMPUTED_VALUE"""),5.0)</f>
        <v>5</v>
      </c>
      <c r="G879" s="251">
        <f>IFERROR(__xludf.DUMMYFUNCTION("""COMPUTED_VALUE"""),4.0)</f>
        <v>4</v>
      </c>
      <c r="H879" s="251">
        <f>IFERROR(__xludf.DUMMYFUNCTION("""COMPUTED_VALUE"""),9.0)</f>
        <v>9</v>
      </c>
      <c r="I879" s="251">
        <f>IFERROR(__xludf.DUMMYFUNCTION("""COMPUTED_VALUE"""),4.0)</f>
        <v>4</v>
      </c>
      <c r="J879" s="251">
        <f>IFERROR(__xludf.DUMMYFUNCTION("""COMPUTED_VALUE"""),4.0)</f>
        <v>4</v>
      </c>
      <c r="K879" s="251" t="str">
        <f>IFERROR(__xludf.DUMMYFUNCTION("""COMPUTED_VALUE"""),"Medium")</f>
        <v>Medium</v>
      </c>
      <c r="L879" s="251">
        <f>IFERROR(__xludf.DUMMYFUNCTION("""COMPUTED_VALUE"""),3.0)</f>
        <v>3</v>
      </c>
      <c r="M879" s="251" t="str">
        <f>IFERROR(__xludf.DUMMYFUNCTION("""COMPUTED_VALUE"""),"Grasslands, Urban")</f>
        <v>Grasslands, Urban</v>
      </c>
      <c r="N879" s="251" t="str">
        <f>IFERROR(__xludf.DUMMYFUNCTION("""COMPUTED_VALUE"""),"--")</f>
        <v>--</v>
      </c>
      <c r="O879" s="251" t="str">
        <f>IFERROR(__xludf.DUMMYFUNCTION("""COMPUTED_VALUE"""),"--")</f>
        <v>--</v>
      </c>
      <c r="P879" s="251" t="str">
        <f>IFERROR(__xludf.DUMMYFUNCTION("""COMPUTED_VALUE"""),"--")</f>
        <v>--</v>
      </c>
      <c r="Q879" s="251" t="str">
        <f>IFERROR(__xludf.DUMMYFUNCTION("""COMPUTED_VALUE"""),"--")</f>
        <v>--</v>
      </c>
      <c r="R879" s="251" t="str">
        <f>IFERROR(__xludf.DUMMYFUNCTION("""COMPUTED_VALUE"""),"Underdog")</f>
        <v>Underdog</v>
      </c>
      <c r="S879" s="251" t="str">
        <f>IFERROR(__xludf.DUMMYFUNCTION("""COMPUTED_VALUE"""),"--")</f>
        <v>--</v>
      </c>
      <c r="T879" s="251" t="str">
        <f>IFERROR(__xludf.DUMMYFUNCTION("""COMPUTED_VALUE"""),"--")</f>
        <v>--</v>
      </c>
      <c r="U879" s="251" t="str">
        <f>IFERROR(__xludf.DUMMYFUNCTION("""COMPUTED_VALUE"""),"--")</f>
        <v>--</v>
      </c>
      <c r="V879" s="251" t="str">
        <f>IFERROR(__xludf.DUMMYFUNCTION("""COMPUTED_VALUE"""),"Dream Reader")</f>
        <v>Dream Reader</v>
      </c>
      <c r="W879" s="251" t="str">
        <f>IFERROR(__xludf.DUMMYFUNCTION("""COMPUTED_VALUE"""),"Mindlock")</f>
        <v>Mindlock</v>
      </c>
      <c r="X879" s="251" t="str">
        <f>IFERROR(__xludf.DUMMYFUNCTION("""COMPUTED_VALUE"""),"--")</f>
        <v>--</v>
      </c>
      <c r="Y879" s="251" t="str">
        <f>IFERROR(__xludf.DUMMYFUNCTION("""COMPUTED_VALUE"""),"--")</f>
        <v>--</v>
      </c>
      <c r="Z879" s="251" t="str">
        <f>IFERROR(__xludf.DUMMYFUNCTION("""COMPUTED_VALUE"""),"--")</f>
        <v>--</v>
      </c>
      <c r="AA879" s="251" t="str">
        <f>IFERROR(__xludf.DUMMYFUNCTION("""COMPUTED_VALUE"""),"--")</f>
        <v>--</v>
      </c>
      <c r="AB879" s="251" t="str">
        <f>IFERROR(__xludf.DUMMYFUNCTION("""COMPUTED_VALUE"""),"--")</f>
        <v>--</v>
      </c>
      <c r="AC879" s="251" t="str">
        <f>IFERROR(__xludf.DUMMYFUNCTION("""COMPUTED_VALUE"""),"--")</f>
        <v>--</v>
      </c>
      <c r="AD879" s="251">
        <f>IFERROR(__xludf.DUMMYFUNCTION("""COMPUTED_VALUE"""),2.0)</f>
        <v>2</v>
      </c>
      <c r="AE879" s="251" t="str">
        <f>IFERROR(__xludf.DUMMYFUNCTION("""COMPUTED_VALUE"""),"Herbivore")</f>
        <v>Herbivore</v>
      </c>
    </row>
    <row r="880">
      <c r="A880" s="251" t="str">
        <f>IFERROR(__xludf.DUMMYFUNCTION("""COMPUTED_VALUE"""),"Hypno")</f>
        <v>Hypno</v>
      </c>
      <c r="B880" s="251" t="str">
        <f>IFERROR(__xludf.DUMMYFUNCTION("""COMPUTED_VALUE"""),"Psychic")</f>
        <v>Psychic</v>
      </c>
      <c r="C880" s="251" t="str">
        <f>IFERROR(__xludf.DUMMYFUNCTION("""COMPUTED_VALUE"""),"None")</f>
        <v>None</v>
      </c>
      <c r="D880" s="251">
        <f>IFERROR(__xludf.DUMMYFUNCTION("""COMPUTED_VALUE"""),9.0)</f>
        <v>9</v>
      </c>
      <c r="E880" s="251">
        <f>IFERROR(__xludf.DUMMYFUNCTION("""COMPUTED_VALUE"""),7.0)</f>
        <v>7</v>
      </c>
      <c r="F880" s="251">
        <f>IFERROR(__xludf.DUMMYFUNCTION("""COMPUTED_VALUE"""),7.0)</f>
        <v>7</v>
      </c>
      <c r="G880" s="251">
        <f>IFERROR(__xludf.DUMMYFUNCTION("""COMPUTED_VALUE"""),8.0)</f>
        <v>8</v>
      </c>
      <c r="H880" s="251">
        <f>IFERROR(__xludf.DUMMYFUNCTION("""COMPUTED_VALUE"""),13.0)</f>
        <v>13</v>
      </c>
      <c r="I880" s="251">
        <f>IFERROR(__xludf.DUMMYFUNCTION("""COMPUTED_VALUE"""),7.0)</f>
        <v>7</v>
      </c>
      <c r="J880" s="251">
        <f>IFERROR(__xludf.DUMMYFUNCTION("""COMPUTED_VALUE"""),6.0)</f>
        <v>6</v>
      </c>
      <c r="K880" s="251" t="str">
        <f>IFERROR(__xludf.DUMMYFUNCTION("""COMPUTED_VALUE"""),"Medium")</f>
        <v>Medium</v>
      </c>
      <c r="L880" s="251">
        <f>IFERROR(__xludf.DUMMYFUNCTION("""COMPUTED_VALUE"""),7.0)</f>
        <v>7</v>
      </c>
      <c r="M880" s="251" t="str">
        <f>IFERROR(__xludf.DUMMYFUNCTION("""COMPUTED_VALUE"""),"Grasslands, Urban")</f>
        <v>Grasslands, Urban</v>
      </c>
      <c r="N880" s="251" t="str">
        <f>IFERROR(__xludf.DUMMYFUNCTION("""COMPUTED_VALUE"""),"--")</f>
        <v>--</v>
      </c>
      <c r="O880" s="251" t="str">
        <f>IFERROR(__xludf.DUMMYFUNCTION("""COMPUTED_VALUE"""),"--")</f>
        <v>--</v>
      </c>
      <c r="P880" s="251" t="str">
        <f>IFERROR(__xludf.DUMMYFUNCTION("""COMPUTED_VALUE"""),"--")</f>
        <v>--</v>
      </c>
      <c r="Q880" s="251" t="str">
        <f>IFERROR(__xludf.DUMMYFUNCTION("""COMPUTED_VALUE"""),"--")</f>
        <v>--</v>
      </c>
      <c r="R880" s="251" t="str">
        <f>IFERROR(__xludf.DUMMYFUNCTION("""COMPUTED_VALUE"""),"--")</f>
        <v>--</v>
      </c>
      <c r="S880" s="251" t="str">
        <f>IFERROR(__xludf.DUMMYFUNCTION("""COMPUTED_VALUE"""),"--")</f>
        <v>--</v>
      </c>
      <c r="T880" s="251" t="str">
        <f>IFERROR(__xludf.DUMMYFUNCTION("""COMPUTED_VALUE"""),"--")</f>
        <v>--</v>
      </c>
      <c r="U880" s="251" t="str">
        <f>IFERROR(__xludf.DUMMYFUNCTION("""COMPUTED_VALUE"""),"--")</f>
        <v>--</v>
      </c>
      <c r="V880" s="251" t="str">
        <f>IFERROR(__xludf.DUMMYFUNCTION("""COMPUTED_VALUE"""),"Dream Reader")</f>
        <v>Dream Reader</v>
      </c>
      <c r="W880" s="251" t="str">
        <f>IFERROR(__xludf.DUMMYFUNCTION("""COMPUTED_VALUE"""),"Illusionist")</f>
        <v>Illusionist</v>
      </c>
      <c r="X880" s="251" t="str">
        <f>IFERROR(__xludf.DUMMYFUNCTION("""COMPUTED_VALUE"""),"Mindlock")</f>
        <v>Mindlock</v>
      </c>
      <c r="Y880" s="251" t="str">
        <f>IFERROR(__xludf.DUMMYFUNCTION("""COMPUTED_VALUE"""),"--")</f>
        <v>--</v>
      </c>
      <c r="Z880" s="251" t="str">
        <f>IFERROR(__xludf.DUMMYFUNCTION("""COMPUTED_VALUE"""),"--")</f>
        <v>--</v>
      </c>
      <c r="AA880" s="251" t="str">
        <f>IFERROR(__xludf.DUMMYFUNCTION("""COMPUTED_VALUE"""),"--")</f>
        <v>--</v>
      </c>
      <c r="AB880" s="251" t="str">
        <f>IFERROR(__xludf.DUMMYFUNCTION("""COMPUTED_VALUE"""),"--")</f>
        <v>--</v>
      </c>
      <c r="AC880" s="251" t="str">
        <f>IFERROR(__xludf.DUMMYFUNCTION("""COMPUTED_VALUE"""),"--")</f>
        <v>--</v>
      </c>
      <c r="AD880" s="251">
        <f>IFERROR(__xludf.DUMMYFUNCTION("""COMPUTED_VALUE"""),3.0)</f>
        <v>3</v>
      </c>
      <c r="AE880" s="251" t="str">
        <f>IFERROR(__xludf.DUMMYFUNCTION("""COMPUTED_VALUE"""),"Herbivore")</f>
        <v>Herbivore</v>
      </c>
    </row>
    <row r="881">
      <c r="A881" s="251" t="str">
        <f>IFERROR(__xludf.DUMMYFUNCTION("""COMPUTED_VALUE"""),"Mime Jr.")</f>
        <v>Mime Jr.</v>
      </c>
      <c r="B881" s="251" t="str">
        <f>IFERROR(__xludf.DUMMYFUNCTION("""COMPUTED_VALUE"""),"Psychic")</f>
        <v>Psychic</v>
      </c>
      <c r="C881" s="251" t="str">
        <f>IFERROR(__xludf.DUMMYFUNCTION("""COMPUTED_VALUE"""),"Fairy")</f>
        <v>Fairy</v>
      </c>
      <c r="D881" s="251">
        <f>IFERROR(__xludf.DUMMYFUNCTION("""COMPUTED_VALUE"""),2.0)</f>
        <v>2</v>
      </c>
      <c r="E881" s="251">
        <f>IFERROR(__xludf.DUMMYFUNCTION("""COMPUTED_VALUE"""),3.0)</f>
        <v>3</v>
      </c>
      <c r="F881" s="251">
        <f>IFERROR(__xludf.DUMMYFUNCTION("""COMPUTED_VALUE"""),5.0)</f>
        <v>5</v>
      </c>
      <c r="G881" s="251">
        <f>IFERROR(__xludf.DUMMYFUNCTION("""COMPUTED_VALUE"""),7.0)</f>
        <v>7</v>
      </c>
      <c r="H881" s="251">
        <f>IFERROR(__xludf.DUMMYFUNCTION("""COMPUTED_VALUE"""),9.0)</f>
        <v>9</v>
      </c>
      <c r="I881" s="251">
        <f>IFERROR(__xludf.DUMMYFUNCTION("""COMPUTED_VALUE"""),6.0)</f>
        <v>6</v>
      </c>
      <c r="J881" s="251">
        <f>IFERROR(__xludf.DUMMYFUNCTION("""COMPUTED_VALUE"""),2.0)</f>
        <v>2</v>
      </c>
      <c r="K881" s="251" t="str">
        <f>IFERROR(__xludf.DUMMYFUNCTION("""COMPUTED_VALUE"""),"Small")</f>
        <v>Small</v>
      </c>
      <c r="L881" s="251">
        <f>IFERROR(__xludf.DUMMYFUNCTION("""COMPUTED_VALUE"""),2.0)</f>
        <v>2</v>
      </c>
      <c r="M881" s="251" t="str">
        <f>IFERROR(__xludf.DUMMYFUNCTION("""COMPUTED_VALUE"""),"Urban")</f>
        <v>Urban</v>
      </c>
      <c r="N881" s="251" t="str">
        <f>IFERROR(__xludf.DUMMYFUNCTION("""COMPUTED_VALUE"""),"Slow")</f>
        <v>Slow</v>
      </c>
      <c r="O881" s="251" t="str">
        <f>IFERROR(__xludf.DUMMYFUNCTION("""COMPUTED_VALUE"""),"--")</f>
        <v>--</v>
      </c>
      <c r="P881" s="251" t="str">
        <f>IFERROR(__xludf.DUMMYFUNCTION("""COMPUTED_VALUE"""),"--")</f>
        <v>--</v>
      </c>
      <c r="Q881" s="251" t="str">
        <f>IFERROR(__xludf.DUMMYFUNCTION("""COMPUTED_VALUE"""),"--")</f>
        <v>--</v>
      </c>
      <c r="R881" s="251" t="str">
        <f>IFERROR(__xludf.DUMMYFUNCTION("""COMPUTED_VALUE"""),"Underdog")</f>
        <v>Underdog</v>
      </c>
      <c r="S881" s="251" t="str">
        <f>IFERROR(__xludf.DUMMYFUNCTION("""COMPUTED_VALUE"""),"Wallshaper")</f>
        <v>Wallshaper</v>
      </c>
      <c r="T881" s="251" t="str">
        <f>IFERROR(__xludf.DUMMYFUNCTION("""COMPUTED_VALUE"""),"--")</f>
        <v>--</v>
      </c>
      <c r="U881" s="251" t="str">
        <f>IFERROR(__xludf.DUMMYFUNCTION("""COMPUTED_VALUE"""),"--")</f>
        <v>--</v>
      </c>
      <c r="V881" s="251" t="str">
        <f>IFERROR(__xludf.DUMMYFUNCTION("""COMPUTED_VALUE"""),"--")</f>
        <v>--</v>
      </c>
      <c r="W881" s="251" t="str">
        <f>IFERROR(__xludf.DUMMYFUNCTION("""COMPUTED_VALUE"""),"--")</f>
        <v>--</v>
      </c>
      <c r="X881" s="251" t="str">
        <f>IFERROR(__xludf.DUMMYFUNCTION("""COMPUTED_VALUE"""),"--")</f>
        <v>--</v>
      </c>
      <c r="Y881" s="251" t="str">
        <f>IFERROR(__xludf.DUMMYFUNCTION("""COMPUTED_VALUE"""),"--")</f>
        <v>--</v>
      </c>
      <c r="Z881" s="251" t="str">
        <f>IFERROR(__xludf.DUMMYFUNCTION("""COMPUTED_VALUE"""),"--")</f>
        <v>--</v>
      </c>
      <c r="AA881" s="251" t="str">
        <f>IFERROR(__xludf.DUMMYFUNCTION("""COMPUTED_VALUE"""),"--")</f>
        <v>--</v>
      </c>
      <c r="AB881" s="251" t="str">
        <f>IFERROR(__xludf.DUMMYFUNCTION("""COMPUTED_VALUE"""),"--")</f>
        <v>--</v>
      </c>
      <c r="AC881" s="251" t="str">
        <f>IFERROR(__xludf.DUMMYFUNCTION("""COMPUTED_VALUE"""),"--")</f>
        <v>--</v>
      </c>
      <c r="AD881" s="251">
        <f>IFERROR(__xludf.DUMMYFUNCTION("""COMPUTED_VALUE"""),2.0)</f>
        <v>2</v>
      </c>
      <c r="AE881" s="251" t="str">
        <f>IFERROR(__xludf.DUMMYFUNCTION("""COMPUTED_VALUE"""),"Omnivore")</f>
        <v>Omnivore</v>
      </c>
    </row>
    <row r="882">
      <c r="A882" s="251" t="str">
        <f>IFERROR(__xludf.DUMMYFUNCTION("""COMPUTED_VALUE"""),"Mr. Mime")</f>
        <v>Mr. Mime</v>
      </c>
      <c r="B882" s="251" t="str">
        <f>IFERROR(__xludf.DUMMYFUNCTION("""COMPUTED_VALUE"""),"Psychic")</f>
        <v>Psychic</v>
      </c>
      <c r="C882" s="251" t="str">
        <f>IFERROR(__xludf.DUMMYFUNCTION("""COMPUTED_VALUE"""),"Fairy")</f>
        <v>Fairy</v>
      </c>
      <c r="D882" s="251">
        <f>IFERROR(__xludf.DUMMYFUNCTION("""COMPUTED_VALUE"""),5.0)</f>
        <v>5</v>
      </c>
      <c r="E882" s="251">
        <f>IFERROR(__xludf.DUMMYFUNCTION("""COMPUTED_VALUE"""),5.0)</f>
        <v>5</v>
      </c>
      <c r="F882" s="251">
        <f>IFERROR(__xludf.DUMMYFUNCTION("""COMPUTED_VALUE"""),8.0)</f>
        <v>8</v>
      </c>
      <c r="G882" s="251">
        <f>IFERROR(__xludf.DUMMYFUNCTION("""COMPUTED_VALUE"""),11.0)</f>
        <v>11</v>
      </c>
      <c r="H882" s="251">
        <f>IFERROR(__xludf.DUMMYFUNCTION("""COMPUTED_VALUE"""),13.0)</f>
        <v>13</v>
      </c>
      <c r="I882" s="251">
        <f>IFERROR(__xludf.DUMMYFUNCTION("""COMPUTED_VALUE"""),9.0)</f>
        <v>9</v>
      </c>
      <c r="J882" s="251">
        <f>IFERROR(__xludf.DUMMYFUNCTION("""COMPUTED_VALUE"""),5.0)</f>
        <v>5</v>
      </c>
      <c r="K882" s="251" t="str">
        <f>IFERROR(__xludf.DUMMYFUNCTION("""COMPUTED_VALUE"""),"Medium")</f>
        <v>Medium</v>
      </c>
      <c r="L882" s="251">
        <f>IFERROR(__xludf.DUMMYFUNCTION("""COMPUTED_VALUE"""),4.0)</f>
        <v>4</v>
      </c>
      <c r="M882" s="251" t="str">
        <f>IFERROR(__xludf.DUMMYFUNCTION("""COMPUTED_VALUE"""),"Urban")</f>
        <v>Urban</v>
      </c>
      <c r="N882" s="251" t="str">
        <f>IFERROR(__xludf.DUMMYFUNCTION("""COMPUTED_VALUE"""),"--")</f>
        <v>--</v>
      </c>
      <c r="O882" s="251" t="str">
        <f>IFERROR(__xludf.DUMMYFUNCTION("""COMPUTED_VALUE"""),"--")</f>
        <v>--</v>
      </c>
      <c r="P882" s="251" t="str">
        <f>IFERROR(__xludf.DUMMYFUNCTION("""COMPUTED_VALUE"""),"--")</f>
        <v>--</v>
      </c>
      <c r="Q882" s="251" t="str">
        <f>IFERROR(__xludf.DUMMYFUNCTION("""COMPUTED_VALUE"""),"--")</f>
        <v>--</v>
      </c>
      <c r="R882" s="251" t="str">
        <f>IFERROR(__xludf.DUMMYFUNCTION("""COMPUTED_VALUE"""),"Telekinetic")</f>
        <v>Telekinetic</v>
      </c>
      <c r="S882" s="251" t="str">
        <f>IFERROR(__xludf.DUMMYFUNCTION("""COMPUTED_VALUE"""),"Wallshaper")</f>
        <v>Wallshaper</v>
      </c>
      <c r="T882" s="251" t="str">
        <f>IFERROR(__xludf.DUMMYFUNCTION("""COMPUTED_VALUE"""),"--")</f>
        <v>--</v>
      </c>
      <c r="U882" s="251" t="str">
        <f>IFERROR(__xludf.DUMMYFUNCTION("""COMPUTED_VALUE"""),"--")</f>
        <v>--</v>
      </c>
      <c r="V882" s="251" t="str">
        <f>IFERROR(__xludf.DUMMYFUNCTION("""COMPUTED_VALUE"""),"Telepath")</f>
        <v>Telepath</v>
      </c>
      <c r="W882" s="251" t="str">
        <f>IFERROR(__xludf.DUMMYFUNCTION("""COMPUTED_VALUE"""),"--")</f>
        <v>--</v>
      </c>
      <c r="X882" s="251" t="str">
        <f>IFERROR(__xludf.DUMMYFUNCTION("""COMPUTED_VALUE"""),"--")</f>
        <v>--</v>
      </c>
      <c r="Y882" s="251" t="str">
        <f>IFERROR(__xludf.DUMMYFUNCTION("""COMPUTED_VALUE"""),"--")</f>
        <v>--</v>
      </c>
      <c r="Z882" s="251" t="str">
        <f>IFERROR(__xludf.DUMMYFUNCTION("""COMPUTED_VALUE"""),"--")</f>
        <v>--</v>
      </c>
      <c r="AA882" s="251" t="str">
        <f>IFERROR(__xludf.DUMMYFUNCTION("""COMPUTED_VALUE"""),"--")</f>
        <v>--</v>
      </c>
      <c r="AB882" s="251" t="str">
        <f>IFERROR(__xludf.DUMMYFUNCTION("""COMPUTED_VALUE"""),"--")</f>
        <v>--</v>
      </c>
      <c r="AC882" s="251" t="str">
        <f>IFERROR(__xludf.DUMMYFUNCTION("""COMPUTED_VALUE"""),"--")</f>
        <v>--</v>
      </c>
      <c r="AD882" s="251">
        <f>IFERROR(__xludf.DUMMYFUNCTION("""COMPUTED_VALUE"""),3.0)</f>
        <v>3</v>
      </c>
      <c r="AE882" s="251" t="str">
        <f>IFERROR(__xludf.DUMMYFUNCTION("""COMPUTED_VALUE"""),"Omnivore")</f>
        <v>Omnivore</v>
      </c>
    </row>
    <row r="883">
      <c r="A883" s="251" t="str">
        <f>IFERROR(__xludf.DUMMYFUNCTION("""COMPUTED_VALUE"""),"Galarian Mr. Mime")</f>
        <v>Galarian Mr. Mime</v>
      </c>
      <c r="B883" s="251" t="str">
        <f>IFERROR(__xludf.DUMMYFUNCTION("""COMPUTED_VALUE"""),"Ice")</f>
        <v>Ice</v>
      </c>
      <c r="C883" s="251" t="str">
        <f>IFERROR(__xludf.DUMMYFUNCTION("""COMPUTED_VALUE"""),"Psychic")</f>
        <v>Psychic</v>
      </c>
      <c r="D883" s="251">
        <f>IFERROR(__xludf.DUMMYFUNCTION("""COMPUTED_VALUE"""),6.0)</f>
        <v>6</v>
      </c>
      <c r="E883" s="251">
        <f>IFERROR(__xludf.DUMMYFUNCTION("""COMPUTED_VALUE"""),7.0)</f>
        <v>7</v>
      </c>
      <c r="F883" s="251">
        <f>IFERROR(__xludf.DUMMYFUNCTION("""COMPUTED_VALUE"""),8.0)</f>
        <v>8</v>
      </c>
      <c r="G883" s="251">
        <f>IFERROR(__xludf.DUMMYFUNCTION("""COMPUTED_VALUE"""),10.0)</f>
        <v>10</v>
      </c>
      <c r="H883" s="251">
        <f>IFERROR(__xludf.DUMMYFUNCTION("""COMPUTED_VALUE"""),10.0)</f>
        <v>10</v>
      </c>
      <c r="I883" s="251">
        <f>IFERROR(__xludf.DUMMYFUNCTION("""COMPUTED_VALUE"""),10.0)</f>
        <v>10</v>
      </c>
      <c r="J883" s="251">
        <f>IFERROR(__xludf.DUMMYFUNCTION("""COMPUTED_VALUE"""),5.0)</f>
        <v>5</v>
      </c>
      <c r="K883" s="251" t="str">
        <f>IFERROR(__xludf.DUMMYFUNCTION("""COMPUTED_VALUE"""),"Medium")</f>
        <v>Medium</v>
      </c>
      <c r="L883" s="251">
        <f>IFERROR(__xludf.DUMMYFUNCTION("""COMPUTED_VALUE"""),4.0)</f>
        <v>4</v>
      </c>
      <c r="M883" s="251" t="str">
        <f>IFERROR(__xludf.DUMMYFUNCTION("""COMPUTED_VALUE"""),"Tundra")</f>
        <v>Tundra</v>
      </c>
      <c r="N883" s="251" t="str">
        <f>IFERROR(__xludf.DUMMYFUNCTION("""COMPUTED_VALUE"""),"--")</f>
        <v>--</v>
      </c>
      <c r="O883" s="251" t="str">
        <f>IFERROR(__xludf.DUMMYFUNCTION("""COMPUTED_VALUE"""),"--")</f>
        <v>--</v>
      </c>
      <c r="P883" s="251" t="str">
        <f>IFERROR(__xludf.DUMMYFUNCTION("""COMPUTED_VALUE"""),"--")</f>
        <v>--</v>
      </c>
      <c r="Q883" s="251" t="str">
        <f>IFERROR(__xludf.DUMMYFUNCTION("""COMPUTED_VALUE"""),"--")</f>
        <v>--</v>
      </c>
      <c r="R883" s="251" t="str">
        <f>IFERROR(__xludf.DUMMYFUNCTION("""COMPUTED_VALUE"""),"Telekinetic")</f>
        <v>Telekinetic</v>
      </c>
      <c r="S883" s="251" t="str">
        <f>IFERROR(__xludf.DUMMYFUNCTION("""COMPUTED_VALUE"""),"Wallshaper")</f>
        <v>Wallshaper</v>
      </c>
      <c r="T883" s="251" t="str">
        <f>IFERROR(__xludf.DUMMYFUNCTION("""COMPUTED_VALUE"""),"--")</f>
        <v>--</v>
      </c>
      <c r="U883" s="251" t="str">
        <f>IFERROR(__xludf.DUMMYFUNCTION("""COMPUTED_VALUE"""),"--")</f>
        <v>--</v>
      </c>
      <c r="V883" s="251" t="str">
        <f>IFERROR(__xludf.DUMMYFUNCTION("""COMPUTED_VALUE"""),"Chilled")</f>
        <v>Chilled</v>
      </c>
      <c r="W883" s="251" t="str">
        <f>IFERROR(__xludf.DUMMYFUNCTION("""COMPUTED_VALUE"""),"Telepath")</f>
        <v>Telepath</v>
      </c>
      <c r="X883" s="251" t="str">
        <f>IFERROR(__xludf.DUMMYFUNCTION("""COMPUTED_VALUE"""),"--")</f>
        <v>--</v>
      </c>
      <c r="Y883" s="251" t="str">
        <f>IFERROR(__xludf.DUMMYFUNCTION("""COMPUTED_VALUE"""),"--")</f>
        <v>--</v>
      </c>
      <c r="Z883" s="251" t="str">
        <f>IFERROR(__xludf.DUMMYFUNCTION("""COMPUTED_VALUE"""),"--")</f>
        <v>--</v>
      </c>
      <c r="AA883" s="251" t="str">
        <f>IFERROR(__xludf.DUMMYFUNCTION("""COMPUTED_VALUE"""),"--")</f>
        <v>--</v>
      </c>
      <c r="AB883" s="251" t="str">
        <f>IFERROR(__xludf.DUMMYFUNCTION("""COMPUTED_VALUE"""),"--")</f>
        <v>--</v>
      </c>
      <c r="AC883" s="251" t="str">
        <f>IFERROR(__xludf.DUMMYFUNCTION("""COMPUTED_VALUE"""),"--")</f>
        <v>--</v>
      </c>
      <c r="AD883" s="251">
        <f>IFERROR(__xludf.DUMMYFUNCTION("""COMPUTED_VALUE"""),3.0)</f>
        <v>3</v>
      </c>
      <c r="AE883" s="251" t="str">
        <f>IFERROR(__xludf.DUMMYFUNCTION("""COMPUTED_VALUE"""),"Omnivore")</f>
        <v>Omnivore</v>
      </c>
    </row>
    <row r="884">
      <c r="A884" s="251" t="str">
        <f>IFERROR(__xludf.DUMMYFUNCTION("""COMPUTED_VALUE"""),"Mr. Rime")</f>
        <v>Mr. Rime</v>
      </c>
      <c r="B884" s="251" t="str">
        <f>IFERROR(__xludf.DUMMYFUNCTION("""COMPUTED_VALUE"""),"Ice")</f>
        <v>Ice</v>
      </c>
      <c r="C884" s="251" t="str">
        <f>IFERROR(__xludf.DUMMYFUNCTION("""COMPUTED_VALUE"""),"Psychic")</f>
        <v>Psychic</v>
      </c>
      <c r="D884" s="251">
        <f>IFERROR(__xludf.DUMMYFUNCTION("""COMPUTED_VALUE"""),9.0)</f>
        <v>9</v>
      </c>
      <c r="E884" s="251">
        <f>IFERROR(__xludf.DUMMYFUNCTION("""COMPUTED_VALUE"""),9.0)</f>
        <v>9</v>
      </c>
      <c r="F884" s="251">
        <f>IFERROR(__xludf.DUMMYFUNCTION("""COMPUTED_VALUE"""),8.0)</f>
        <v>8</v>
      </c>
      <c r="G884" s="251">
        <f>IFERROR(__xludf.DUMMYFUNCTION("""COMPUTED_VALUE"""),11.0)</f>
        <v>11</v>
      </c>
      <c r="H884" s="251">
        <f>IFERROR(__xludf.DUMMYFUNCTION("""COMPUTED_VALUE"""),11.0)</f>
        <v>11</v>
      </c>
      <c r="I884" s="251">
        <f>IFERROR(__xludf.DUMMYFUNCTION("""COMPUTED_VALUE"""),8.0)</f>
        <v>8</v>
      </c>
      <c r="J884" s="251">
        <f>IFERROR(__xludf.DUMMYFUNCTION("""COMPUTED_VALUE"""),6.0)</f>
        <v>6</v>
      </c>
      <c r="K884" s="251" t="str">
        <f>IFERROR(__xludf.DUMMYFUNCTION("""COMPUTED_VALUE"""),"Medium")</f>
        <v>Medium</v>
      </c>
      <c r="L884" s="251">
        <f>IFERROR(__xludf.DUMMYFUNCTION("""COMPUTED_VALUE"""),4.0)</f>
        <v>4</v>
      </c>
      <c r="M884" s="251" t="str">
        <f>IFERROR(__xludf.DUMMYFUNCTION("""COMPUTED_VALUE"""),"Tundra")</f>
        <v>Tundra</v>
      </c>
      <c r="N884" s="251" t="str">
        <f>IFERROR(__xludf.DUMMYFUNCTION("""COMPUTED_VALUE"""),"--")</f>
        <v>--</v>
      </c>
      <c r="O884" s="251" t="str">
        <f>IFERROR(__xludf.DUMMYFUNCTION("""COMPUTED_VALUE"""),"--")</f>
        <v>--</v>
      </c>
      <c r="P884" s="251" t="str">
        <f>IFERROR(__xludf.DUMMYFUNCTION("""COMPUTED_VALUE"""),"--")</f>
        <v>--</v>
      </c>
      <c r="Q884" s="251" t="str">
        <f>IFERROR(__xludf.DUMMYFUNCTION("""COMPUTED_VALUE"""),"--")</f>
        <v>--</v>
      </c>
      <c r="R884" s="251" t="str">
        <f>IFERROR(__xludf.DUMMYFUNCTION("""COMPUTED_VALUE"""),"Telekinetic")</f>
        <v>Telekinetic</v>
      </c>
      <c r="S884" s="251" t="str">
        <f>IFERROR(__xludf.DUMMYFUNCTION("""COMPUTED_VALUE"""),"Wallshaper")</f>
        <v>Wallshaper</v>
      </c>
      <c r="T884" s="251" t="str">
        <f>IFERROR(__xludf.DUMMYFUNCTION("""COMPUTED_VALUE"""),"--")</f>
        <v>--</v>
      </c>
      <c r="U884" s="251" t="str">
        <f>IFERROR(__xludf.DUMMYFUNCTION("""COMPUTED_VALUE"""),"--")</f>
        <v>--</v>
      </c>
      <c r="V884" s="251" t="str">
        <f>IFERROR(__xludf.DUMMYFUNCTION("""COMPUTED_VALUE"""),"Chilled")</f>
        <v>Chilled</v>
      </c>
      <c r="W884" s="251" t="str">
        <f>IFERROR(__xludf.DUMMYFUNCTION("""COMPUTED_VALUE"""),"Telepath")</f>
        <v>Telepath</v>
      </c>
      <c r="X884" s="251" t="str">
        <f>IFERROR(__xludf.DUMMYFUNCTION("""COMPUTED_VALUE"""),"--")</f>
        <v>--</v>
      </c>
      <c r="Y884" s="251" t="str">
        <f>IFERROR(__xludf.DUMMYFUNCTION("""COMPUTED_VALUE"""),"--")</f>
        <v>--</v>
      </c>
      <c r="Z884" s="251" t="str">
        <f>IFERROR(__xludf.DUMMYFUNCTION("""COMPUTED_VALUE"""),"--")</f>
        <v>--</v>
      </c>
      <c r="AA884" s="251" t="str">
        <f>IFERROR(__xludf.DUMMYFUNCTION("""COMPUTED_VALUE"""),"--")</f>
        <v>--</v>
      </c>
      <c r="AB884" s="251" t="str">
        <f>IFERROR(__xludf.DUMMYFUNCTION("""COMPUTED_VALUE"""),"--")</f>
        <v>--</v>
      </c>
      <c r="AC884" s="251" t="str">
        <f>IFERROR(__xludf.DUMMYFUNCTION("""COMPUTED_VALUE"""),"--")</f>
        <v>--</v>
      </c>
      <c r="AD884" s="251">
        <f>IFERROR(__xludf.DUMMYFUNCTION("""COMPUTED_VALUE"""),3.0)</f>
        <v>3</v>
      </c>
      <c r="AE884" s="251" t="str">
        <f>IFERROR(__xludf.DUMMYFUNCTION("""COMPUTED_VALUE"""),"Omnivore")</f>
        <v>Omnivore</v>
      </c>
    </row>
    <row r="885">
      <c r="A885" s="251" t="str">
        <f>IFERROR(__xludf.DUMMYFUNCTION("""COMPUTED_VALUE"""),"Natu")</f>
        <v>Natu</v>
      </c>
      <c r="B885" s="251" t="str">
        <f>IFERROR(__xludf.DUMMYFUNCTION("""COMPUTED_VALUE"""),"Psychic")</f>
        <v>Psychic</v>
      </c>
      <c r="C885" s="251" t="str">
        <f>IFERROR(__xludf.DUMMYFUNCTION("""COMPUTED_VALUE"""),"Flying")</f>
        <v>Flying</v>
      </c>
      <c r="D885" s="251">
        <f>IFERROR(__xludf.DUMMYFUNCTION("""COMPUTED_VALUE"""),4.0)</f>
        <v>4</v>
      </c>
      <c r="E885" s="251">
        <f>IFERROR(__xludf.DUMMYFUNCTION("""COMPUTED_VALUE"""),5.0)</f>
        <v>5</v>
      </c>
      <c r="F885" s="251">
        <f>IFERROR(__xludf.DUMMYFUNCTION("""COMPUTED_VALUE"""),5.0)</f>
        <v>5</v>
      </c>
      <c r="G885" s="251">
        <f>IFERROR(__xludf.DUMMYFUNCTION("""COMPUTED_VALUE"""),7.0)</f>
        <v>7</v>
      </c>
      <c r="H885" s="251">
        <f>IFERROR(__xludf.DUMMYFUNCTION("""COMPUTED_VALUE"""),5.0)</f>
        <v>5</v>
      </c>
      <c r="I885" s="251">
        <f>IFERROR(__xludf.DUMMYFUNCTION("""COMPUTED_VALUE"""),7.0)</f>
        <v>7</v>
      </c>
      <c r="J885" s="251">
        <f>IFERROR(__xludf.DUMMYFUNCTION("""COMPUTED_VALUE"""),1.0)</f>
        <v>1</v>
      </c>
      <c r="K885" s="251" t="str">
        <f>IFERROR(__xludf.DUMMYFUNCTION("""COMPUTED_VALUE"""),"Small")</f>
        <v>Small</v>
      </c>
      <c r="L885" s="251">
        <f>IFERROR(__xludf.DUMMYFUNCTION("""COMPUTED_VALUE"""),1.0)</f>
        <v>1</v>
      </c>
      <c r="M885" s="251" t="str">
        <f>IFERROR(__xludf.DUMMYFUNCTION("""COMPUTED_VALUE"""),"Forest, Mountain")</f>
        <v>Forest, Mountain</v>
      </c>
      <c r="N885" s="251" t="str">
        <f>IFERROR(__xludf.DUMMYFUNCTION("""COMPUTED_VALUE"""),"Flier")</f>
        <v>Flier</v>
      </c>
      <c r="O885" s="251" t="str">
        <f>IFERROR(__xludf.DUMMYFUNCTION("""COMPUTED_VALUE"""),"Jumper")</f>
        <v>Jumper</v>
      </c>
      <c r="P885" s="251" t="str">
        <f>IFERROR(__xludf.DUMMYFUNCTION("""COMPUTED_VALUE"""),"Slow")</f>
        <v>Slow</v>
      </c>
      <c r="Q885" s="251" t="str">
        <f>IFERROR(__xludf.DUMMYFUNCTION("""COMPUTED_VALUE"""),"--")</f>
        <v>--</v>
      </c>
      <c r="R885" s="251" t="str">
        <f>IFERROR(__xludf.DUMMYFUNCTION("""COMPUTED_VALUE"""),"Underdog")</f>
        <v>Underdog</v>
      </c>
      <c r="S885" s="251" t="str">
        <f>IFERROR(__xludf.DUMMYFUNCTION("""COMPUTED_VALUE"""),"--")</f>
        <v>--</v>
      </c>
      <c r="T885" s="251" t="str">
        <f>IFERROR(__xludf.DUMMYFUNCTION("""COMPUTED_VALUE"""),"--")</f>
        <v>--</v>
      </c>
      <c r="U885" s="251" t="str">
        <f>IFERROR(__xludf.DUMMYFUNCTION("""COMPUTED_VALUE"""),"--")</f>
        <v>--</v>
      </c>
      <c r="V885" s="251" t="str">
        <f>IFERROR(__xludf.DUMMYFUNCTION("""COMPUTED_VALUE"""),"--")</f>
        <v>--</v>
      </c>
      <c r="W885" s="251" t="str">
        <f>IFERROR(__xludf.DUMMYFUNCTION("""COMPUTED_VALUE"""),"--")</f>
        <v>--</v>
      </c>
      <c r="X885" s="251" t="str">
        <f>IFERROR(__xludf.DUMMYFUNCTION("""COMPUTED_VALUE"""),"--")</f>
        <v>--</v>
      </c>
      <c r="Y885" s="251" t="str">
        <f>IFERROR(__xludf.DUMMYFUNCTION("""COMPUTED_VALUE"""),"--")</f>
        <v>--</v>
      </c>
      <c r="Z885" s="251" t="str">
        <f>IFERROR(__xludf.DUMMYFUNCTION("""COMPUTED_VALUE"""),"--")</f>
        <v>--</v>
      </c>
      <c r="AA885" s="251" t="str">
        <f>IFERROR(__xludf.DUMMYFUNCTION("""COMPUTED_VALUE"""),"--")</f>
        <v>--</v>
      </c>
      <c r="AB885" s="251" t="str">
        <f>IFERROR(__xludf.DUMMYFUNCTION("""COMPUTED_VALUE"""),"--")</f>
        <v>--</v>
      </c>
      <c r="AC885" s="251" t="str">
        <f>IFERROR(__xludf.DUMMYFUNCTION("""COMPUTED_VALUE"""),"--")</f>
        <v>--</v>
      </c>
      <c r="AD885" s="251">
        <f>IFERROR(__xludf.DUMMYFUNCTION("""COMPUTED_VALUE"""),2.0)</f>
        <v>2</v>
      </c>
      <c r="AE885" s="251" t="str">
        <f>IFERROR(__xludf.DUMMYFUNCTION("""COMPUTED_VALUE"""),"Herbivore")</f>
        <v>Herbivore</v>
      </c>
    </row>
    <row r="886">
      <c r="A886" s="251" t="str">
        <f>IFERROR(__xludf.DUMMYFUNCTION("""COMPUTED_VALUE"""),"Xatu")</f>
        <v>Xatu</v>
      </c>
      <c r="B886" s="251" t="str">
        <f>IFERROR(__xludf.DUMMYFUNCTION("""COMPUTED_VALUE"""),"Psychic")</f>
        <v>Psychic</v>
      </c>
      <c r="C886" s="251" t="str">
        <f>IFERROR(__xludf.DUMMYFUNCTION("""COMPUTED_VALUE"""),"Flying")</f>
        <v>Flying</v>
      </c>
      <c r="D886" s="251">
        <f>IFERROR(__xludf.DUMMYFUNCTION("""COMPUTED_VALUE"""),8.0)</f>
        <v>8</v>
      </c>
      <c r="E886" s="251">
        <f>IFERROR(__xludf.DUMMYFUNCTION("""COMPUTED_VALUE"""),8.0)</f>
        <v>8</v>
      </c>
      <c r="F886" s="251">
        <f>IFERROR(__xludf.DUMMYFUNCTION("""COMPUTED_VALUE"""),7.0)</f>
        <v>7</v>
      </c>
      <c r="G886" s="251">
        <f>IFERROR(__xludf.DUMMYFUNCTION("""COMPUTED_VALUE"""),11.0)</f>
        <v>11</v>
      </c>
      <c r="H886" s="251">
        <f>IFERROR(__xludf.DUMMYFUNCTION("""COMPUTED_VALUE"""),7.0)</f>
        <v>7</v>
      </c>
      <c r="I886" s="251">
        <f>IFERROR(__xludf.DUMMYFUNCTION("""COMPUTED_VALUE"""),10.0)</f>
        <v>10</v>
      </c>
      <c r="J886" s="251">
        <f>IFERROR(__xludf.DUMMYFUNCTION("""COMPUTED_VALUE"""),2.0)</f>
        <v>2</v>
      </c>
      <c r="K886" s="251" t="str">
        <f>IFERROR(__xludf.DUMMYFUNCTION("""COMPUTED_VALUE"""),"Medium")</f>
        <v>Medium</v>
      </c>
      <c r="L886" s="251">
        <f>IFERROR(__xludf.DUMMYFUNCTION("""COMPUTED_VALUE"""),2.0)</f>
        <v>2</v>
      </c>
      <c r="M886" s="251" t="str">
        <f>IFERROR(__xludf.DUMMYFUNCTION("""COMPUTED_VALUE"""),"Forest, Mountain")</f>
        <v>Forest, Mountain</v>
      </c>
      <c r="N886" s="251" t="str">
        <f>IFERROR(__xludf.DUMMYFUNCTION("""COMPUTED_VALUE"""),"Flier")</f>
        <v>Flier</v>
      </c>
      <c r="O886" s="251" t="str">
        <f>IFERROR(__xludf.DUMMYFUNCTION("""COMPUTED_VALUE"""),"Jumper")</f>
        <v>Jumper</v>
      </c>
      <c r="P886" s="251" t="str">
        <f>IFERROR(__xludf.DUMMYFUNCTION("""COMPUTED_VALUE"""),"--")</f>
        <v>--</v>
      </c>
      <c r="Q886" s="251" t="str">
        <f>IFERROR(__xludf.DUMMYFUNCTION("""COMPUTED_VALUE"""),"--")</f>
        <v>--</v>
      </c>
      <c r="R886" s="251" t="str">
        <f>IFERROR(__xludf.DUMMYFUNCTION("""COMPUTED_VALUE"""),"--")</f>
        <v>--</v>
      </c>
      <c r="S886" s="251" t="str">
        <f>IFERROR(__xludf.DUMMYFUNCTION("""COMPUTED_VALUE"""),"--")</f>
        <v>--</v>
      </c>
      <c r="T886" s="251" t="str">
        <f>IFERROR(__xludf.DUMMYFUNCTION("""COMPUTED_VALUE"""),"--")</f>
        <v>--</v>
      </c>
      <c r="U886" s="251" t="str">
        <f>IFERROR(__xludf.DUMMYFUNCTION("""COMPUTED_VALUE"""),"--")</f>
        <v>--</v>
      </c>
      <c r="V886" s="251" t="str">
        <f>IFERROR(__xludf.DUMMYFUNCTION("""COMPUTED_VALUE"""),"Premonition")</f>
        <v>Premonition</v>
      </c>
      <c r="W886" s="251" t="str">
        <f>IFERROR(__xludf.DUMMYFUNCTION("""COMPUTED_VALUE"""),"Telepath")</f>
        <v>Telepath</v>
      </c>
      <c r="X886" s="251" t="str">
        <f>IFERROR(__xludf.DUMMYFUNCTION("""COMPUTED_VALUE"""),"--")</f>
        <v>--</v>
      </c>
      <c r="Y886" s="251" t="str">
        <f>IFERROR(__xludf.DUMMYFUNCTION("""COMPUTED_VALUE"""),"--")</f>
        <v>--</v>
      </c>
      <c r="Z886" s="251" t="str">
        <f>IFERROR(__xludf.DUMMYFUNCTION("""COMPUTED_VALUE"""),"--")</f>
        <v>--</v>
      </c>
      <c r="AA886" s="251" t="str">
        <f>IFERROR(__xludf.DUMMYFUNCTION("""COMPUTED_VALUE"""),"--")</f>
        <v>--</v>
      </c>
      <c r="AB886" s="251" t="str">
        <f>IFERROR(__xludf.DUMMYFUNCTION("""COMPUTED_VALUE"""),"--")</f>
        <v>--</v>
      </c>
      <c r="AC886" s="251" t="str">
        <f>IFERROR(__xludf.DUMMYFUNCTION("""COMPUTED_VALUE"""),"--")</f>
        <v>--</v>
      </c>
      <c r="AD886" s="251">
        <f>IFERROR(__xludf.DUMMYFUNCTION("""COMPUTED_VALUE"""),3.0)</f>
        <v>3</v>
      </c>
      <c r="AE886" s="251" t="str">
        <f>IFERROR(__xludf.DUMMYFUNCTION("""COMPUTED_VALUE"""),"Herbivore")</f>
        <v>Herbivore</v>
      </c>
    </row>
    <row r="887">
      <c r="A887" s="251" t="str">
        <f>IFERROR(__xludf.DUMMYFUNCTION("""COMPUTED_VALUE"""),"Wynaut")</f>
        <v>Wynaut</v>
      </c>
      <c r="B887" s="251" t="str">
        <f>IFERROR(__xludf.DUMMYFUNCTION("""COMPUTED_VALUE"""),"Psychic")</f>
        <v>Psychic</v>
      </c>
      <c r="C887" s="251" t="str">
        <f>IFERROR(__xludf.DUMMYFUNCTION("""COMPUTED_VALUE"""),"None")</f>
        <v>None</v>
      </c>
      <c r="D887" s="251">
        <f>IFERROR(__xludf.DUMMYFUNCTION("""COMPUTED_VALUE"""),10.0)</f>
        <v>10</v>
      </c>
      <c r="E887" s="251">
        <f>IFERROR(__xludf.DUMMYFUNCTION("""COMPUTED_VALUE"""),3.0)</f>
        <v>3</v>
      </c>
      <c r="F887" s="251">
        <f>IFERROR(__xludf.DUMMYFUNCTION("""COMPUTED_VALUE"""),5.0)</f>
        <v>5</v>
      </c>
      <c r="G887" s="251">
        <f>IFERROR(__xludf.DUMMYFUNCTION("""COMPUTED_VALUE"""),4.0)</f>
        <v>4</v>
      </c>
      <c r="H887" s="251">
        <f>IFERROR(__xludf.DUMMYFUNCTION("""COMPUTED_VALUE"""),5.0)</f>
        <v>5</v>
      </c>
      <c r="I887" s="251">
        <f>IFERROR(__xludf.DUMMYFUNCTION("""COMPUTED_VALUE"""),3.0)</f>
        <v>3</v>
      </c>
      <c r="J887" s="251">
        <f>IFERROR(__xludf.DUMMYFUNCTION("""COMPUTED_VALUE"""),2.0)</f>
        <v>2</v>
      </c>
      <c r="K887" s="251" t="str">
        <f>IFERROR(__xludf.DUMMYFUNCTION("""COMPUTED_VALUE"""),"Small")</f>
        <v>Small</v>
      </c>
      <c r="L887" s="251">
        <f>IFERROR(__xludf.DUMMYFUNCTION("""COMPUTED_VALUE"""),2.0)</f>
        <v>2</v>
      </c>
      <c r="M887" s="251" t="str">
        <f>IFERROR(__xludf.DUMMYFUNCTION("""COMPUTED_VALUE"""),"Urban")</f>
        <v>Urban</v>
      </c>
      <c r="N887" s="251" t="str">
        <f>IFERROR(__xludf.DUMMYFUNCTION("""COMPUTED_VALUE"""),"Slow")</f>
        <v>Slow</v>
      </c>
      <c r="O887" s="251" t="str">
        <f>IFERROR(__xludf.DUMMYFUNCTION("""COMPUTED_VALUE"""),"--")</f>
        <v>--</v>
      </c>
      <c r="P887" s="251" t="str">
        <f>IFERROR(__xludf.DUMMYFUNCTION("""COMPUTED_VALUE"""),"--")</f>
        <v>--</v>
      </c>
      <c r="Q887" s="251" t="str">
        <f>IFERROR(__xludf.DUMMYFUNCTION("""COMPUTED_VALUE"""),"--")</f>
        <v>--</v>
      </c>
      <c r="R887" s="251" t="str">
        <f>IFERROR(__xludf.DUMMYFUNCTION("""COMPUTED_VALUE"""),"Underdog")</f>
        <v>Underdog</v>
      </c>
      <c r="S887" s="251" t="str">
        <f>IFERROR(__xludf.DUMMYFUNCTION("""COMPUTED_VALUE"""),"--")</f>
        <v>--</v>
      </c>
      <c r="T887" s="251" t="str">
        <f>IFERROR(__xludf.DUMMYFUNCTION("""COMPUTED_VALUE"""),"--")</f>
        <v>--</v>
      </c>
      <c r="U887" s="251" t="str">
        <f>IFERROR(__xludf.DUMMYFUNCTION("""COMPUTED_VALUE"""),"--")</f>
        <v>--</v>
      </c>
      <c r="V887" s="251" t="str">
        <f>IFERROR(__xludf.DUMMYFUNCTION("""COMPUTED_VALUE"""),"--")</f>
        <v>--</v>
      </c>
      <c r="W887" s="251" t="str">
        <f>IFERROR(__xludf.DUMMYFUNCTION("""COMPUTED_VALUE"""),"--")</f>
        <v>--</v>
      </c>
      <c r="X887" s="251" t="str">
        <f>IFERROR(__xludf.DUMMYFUNCTION("""COMPUTED_VALUE"""),"--")</f>
        <v>--</v>
      </c>
      <c r="Y887" s="251" t="str">
        <f>IFERROR(__xludf.DUMMYFUNCTION("""COMPUTED_VALUE"""),"--")</f>
        <v>--</v>
      </c>
      <c r="Z887" s="251" t="str">
        <f>IFERROR(__xludf.DUMMYFUNCTION("""COMPUTED_VALUE"""),"--")</f>
        <v>--</v>
      </c>
      <c r="AA887" s="251" t="str">
        <f>IFERROR(__xludf.DUMMYFUNCTION("""COMPUTED_VALUE"""),"--")</f>
        <v>--</v>
      </c>
      <c r="AB887" s="251" t="str">
        <f>IFERROR(__xludf.DUMMYFUNCTION("""COMPUTED_VALUE"""),"--")</f>
        <v>--</v>
      </c>
      <c r="AC887" s="251" t="str">
        <f>IFERROR(__xludf.DUMMYFUNCTION("""COMPUTED_VALUE"""),"--")</f>
        <v>--</v>
      </c>
      <c r="AD887" s="251">
        <f>IFERROR(__xludf.DUMMYFUNCTION("""COMPUTED_VALUE"""),2.0)</f>
        <v>2</v>
      </c>
      <c r="AE887" s="251" t="str">
        <f>IFERROR(__xludf.DUMMYFUNCTION("""COMPUTED_VALUE"""),"Herbivore")</f>
        <v>Herbivore</v>
      </c>
    </row>
    <row r="888">
      <c r="A888" s="251" t="str">
        <f>IFERROR(__xludf.DUMMYFUNCTION("""COMPUTED_VALUE"""),"Wobbuffet")</f>
        <v>Wobbuffet</v>
      </c>
      <c r="B888" s="251" t="str">
        <f>IFERROR(__xludf.DUMMYFUNCTION("""COMPUTED_VALUE"""),"Psychic")</f>
        <v>Psychic</v>
      </c>
      <c r="C888" s="251" t="str">
        <f>IFERROR(__xludf.DUMMYFUNCTION("""COMPUTED_VALUE"""),"None")</f>
        <v>None</v>
      </c>
      <c r="D888" s="251">
        <f>IFERROR(__xludf.DUMMYFUNCTION("""COMPUTED_VALUE"""),19.0)</f>
        <v>19</v>
      </c>
      <c r="E888" s="251">
        <f>IFERROR(__xludf.DUMMYFUNCTION("""COMPUTED_VALUE"""),5.0)</f>
        <v>5</v>
      </c>
      <c r="F888" s="251">
        <f>IFERROR(__xludf.DUMMYFUNCTION("""COMPUTED_VALUE"""),7.0)</f>
        <v>7</v>
      </c>
      <c r="G888" s="251">
        <f>IFERROR(__xludf.DUMMYFUNCTION("""COMPUTED_VALUE"""),8.0)</f>
        <v>8</v>
      </c>
      <c r="H888" s="251">
        <f>IFERROR(__xludf.DUMMYFUNCTION("""COMPUTED_VALUE"""),7.0)</f>
        <v>7</v>
      </c>
      <c r="I888" s="251">
        <f>IFERROR(__xludf.DUMMYFUNCTION("""COMPUTED_VALUE"""),5.0)</f>
        <v>5</v>
      </c>
      <c r="J888" s="251">
        <f>IFERROR(__xludf.DUMMYFUNCTION("""COMPUTED_VALUE"""),3.0)</f>
        <v>3</v>
      </c>
      <c r="K888" s="251" t="str">
        <f>IFERROR(__xludf.DUMMYFUNCTION("""COMPUTED_VALUE"""),"Medium")</f>
        <v>Medium</v>
      </c>
      <c r="L888" s="251">
        <f>IFERROR(__xludf.DUMMYFUNCTION("""COMPUTED_VALUE"""),3.0)</f>
        <v>3</v>
      </c>
      <c r="M888" s="251" t="str">
        <f>IFERROR(__xludf.DUMMYFUNCTION("""COMPUTED_VALUE"""),"Urban")</f>
        <v>Urban</v>
      </c>
      <c r="N888" s="251" t="str">
        <f>IFERROR(__xludf.DUMMYFUNCTION("""COMPUTED_VALUE"""),"Slow")</f>
        <v>Slow</v>
      </c>
      <c r="O888" s="251" t="str">
        <f>IFERROR(__xludf.DUMMYFUNCTION("""COMPUTED_VALUE"""),"--")</f>
        <v>--</v>
      </c>
      <c r="P888" s="251" t="str">
        <f>IFERROR(__xludf.DUMMYFUNCTION("""COMPUTED_VALUE"""),"--")</f>
        <v>--</v>
      </c>
      <c r="Q888" s="251" t="str">
        <f>IFERROR(__xludf.DUMMYFUNCTION("""COMPUTED_VALUE"""),"--")</f>
        <v>--</v>
      </c>
      <c r="R888" s="251" t="str">
        <f>IFERROR(__xludf.DUMMYFUNCTION("""COMPUTED_VALUE"""),"--")</f>
        <v>--</v>
      </c>
      <c r="S888" s="251" t="str">
        <f>IFERROR(__xludf.DUMMYFUNCTION("""COMPUTED_VALUE"""),"--")</f>
        <v>--</v>
      </c>
      <c r="T888" s="251" t="str">
        <f>IFERROR(__xludf.DUMMYFUNCTION("""COMPUTED_VALUE"""),"--")</f>
        <v>--</v>
      </c>
      <c r="U888" s="251" t="str">
        <f>IFERROR(__xludf.DUMMYFUNCTION("""COMPUTED_VALUE"""),"--")</f>
        <v>--</v>
      </c>
      <c r="V888" s="251" t="str">
        <f>IFERROR(__xludf.DUMMYFUNCTION("""COMPUTED_VALUE"""),"--")</f>
        <v>--</v>
      </c>
      <c r="W888" s="251" t="str">
        <f>IFERROR(__xludf.DUMMYFUNCTION("""COMPUTED_VALUE"""),"--")</f>
        <v>--</v>
      </c>
      <c r="X888" s="251" t="str">
        <f>IFERROR(__xludf.DUMMYFUNCTION("""COMPUTED_VALUE"""),"--")</f>
        <v>--</v>
      </c>
      <c r="Y888" s="251" t="str">
        <f>IFERROR(__xludf.DUMMYFUNCTION("""COMPUTED_VALUE"""),"--")</f>
        <v>--</v>
      </c>
      <c r="Z888" s="251" t="str">
        <f>IFERROR(__xludf.DUMMYFUNCTION("""COMPUTED_VALUE"""),"--")</f>
        <v>--</v>
      </c>
      <c r="AA888" s="251" t="str">
        <f>IFERROR(__xludf.DUMMYFUNCTION("""COMPUTED_VALUE"""),"--")</f>
        <v>--</v>
      </c>
      <c r="AB888" s="251" t="str">
        <f>IFERROR(__xludf.DUMMYFUNCTION("""COMPUTED_VALUE"""),"--")</f>
        <v>--</v>
      </c>
      <c r="AC888" s="251" t="str">
        <f>IFERROR(__xludf.DUMMYFUNCTION("""COMPUTED_VALUE"""),"--")</f>
        <v>--</v>
      </c>
      <c r="AD888" s="251">
        <f>IFERROR(__xludf.DUMMYFUNCTION("""COMPUTED_VALUE"""),3.0)</f>
        <v>3</v>
      </c>
      <c r="AE888" s="251" t="str">
        <f>IFERROR(__xludf.DUMMYFUNCTION("""COMPUTED_VALUE"""),"Herbivore")</f>
        <v>Herbivore</v>
      </c>
    </row>
    <row r="889">
      <c r="A889" s="251" t="str">
        <f>IFERROR(__xludf.DUMMYFUNCTION("""COMPUTED_VALUE"""),"Spoink")</f>
        <v>Spoink</v>
      </c>
      <c r="B889" s="251" t="str">
        <f>IFERROR(__xludf.DUMMYFUNCTION("""COMPUTED_VALUE"""),"Psychic")</f>
        <v>Psychic</v>
      </c>
      <c r="C889" s="251" t="str">
        <f>IFERROR(__xludf.DUMMYFUNCTION("""COMPUTED_VALUE"""),"None")</f>
        <v>None</v>
      </c>
      <c r="D889" s="251">
        <f>IFERROR(__xludf.DUMMYFUNCTION("""COMPUTED_VALUE"""),6.0)</f>
        <v>6</v>
      </c>
      <c r="E889" s="251">
        <f>IFERROR(__xludf.DUMMYFUNCTION("""COMPUTED_VALUE"""),3.0)</f>
        <v>3</v>
      </c>
      <c r="F889" s="251">
        <f>IFERROR(__xludf.DUMMYFUNCTION("""COMPUTED_VALUE"""),4.0)</f>
        <v>4</v>
      </c>
      <c r="G889" s="251">
        <f>IFERROR(__xludf.DUMMYFUNCTION("""COMPUTED_VALUE"""),7.0)</f>
        <v>7</v>
      </c>
      <c r="H889" s="251">
        <f>IFERROR(__xludf.DUMMYFUNCTION("""COMPUTED_VALUE"""),8.0)</f>
        <v>8</v>
      </c>
      <c r="I889" s="251">
        <f>IFERROR(__xludf.DUMMYFUNCTION("""COMPUTED_VALUE"""),6.0)</f>
        <v>6</v>
      </c>
      <c r="J889" s="251">
        <f>IFERROR(__xludf.DUMMYFUNCTION("""COMPUTED_VALUE"""),1.0)</f>
        <v>1</v>
      </c>
      <c r="K889" s="251" t="str">
        <f>IFERROR(__xludf.DUMMYFUNCTION("""COMPUTED_VALUE"""),"Small")</f>
        <v>Small</v>
      </c>
      <c r="L889" s="251">
        <f>IFERROR(__xludf.DUMMYFUNCTION("""COMPUTED_VALUE"""),3.0)</f>
        <v>3</v>
      </c>
      <c r="M889" s="251" t="str">
        <f>IFERROR(__xludf.DUMMYFUNCTION("""COMPUTED_VALUE"""),"Forest, Grasslands")</f>
        <v>Forest, Grasslands</v>
      </c>
      <c r="N889" s="251" t="str">
        <f>IFERROR(__xludf.DUMMYFUNCTION("""COMPUTED_VALUE"""),"Jumper")</f>
        <v>Jumper</v>
      </c>
      <c r="O889" s="251" t="str">
        <f>IFERROR(__xludf.DUMMYFUNCTION("""COMPUTED_VALUE"""),"--")</f>
        <v>--</v>
      </c>
      <c r="P889" s="251" t="str">
        <f>IFERROR(__xludf.DUMMYFUNCTION("""COMPUTED_VALUE"""),"--")</f>
        <v>--</v>
      </c>
      <c r="Q889" s="251" t="str">
        <f>IFERROR(__xludf.DUMMYFUNCTION("""COMPUTED_VALUE"""),"--")</f>
        <v>--</v>
      </c>
      <c r="R889" s="251" t="str">
        <f>IFERROR(__xludf.DUMMYFUNCTION("""COMPUTED_VALUE"""),"Underdog")</f>
        <v>Underdog</v>
      </c>
      <c r="S889" s="251" t="str">
        <f>IFERROR(__xludf.DUMMYFUNCTION("""COMPUTED_VALUE"""),"--")</f>
        <v>--</v>
      </c>
      <c r="T889" s="251" t="str">
        <f>IFERROR(__xludf.DUMMYFUNCTION("""COMPUTED_VALUE"""),"--")</f>
        <v>--</v>
      </c>
      <c r="U889" s="251" t="str">
        <f>IFERROR(__xludf.DUMMYFUNCTION("""COMPUTED_VALUE"""),"--")</f>
        <v>--</v>
      </c>
      <c r="V889" s="251" t="str">
        <f>IFERROR(__xludf.DUMMYFUNCTION("""COMPUTED_VALUE"""),"Telepath")</f>
        <v>Telepath</v>
      </c>
      <c r="W889" s="251" t="str">
        <f>IFERROR(__xludf.DUMMYFUNCTION("""COMPUTED_VALUE"""),"--")</f>
        <v>--</v>
      </c>
      <c r="X889" s="251" t="str">
        <f>IFERROR(__xludf.DUMMYFUNCTION("""COMPUTED_VALUE"""),"--")</f>
        <v>--</v>
      </c>
      <c r="Y889" s="251" t="str">
        <f>IFERROR(__xludf.DUMMYFUNCTION("""COMPUTED_VALUE"""),"--")</f>
        <v>--</v>
      </c>
      <c r="Z889" s="251" t="str">
        <f>IFERROR(__xludf.DUMMYFUNCTION("""COMPUTED_VALUE"""),"--")</f>
        <v>--</v>
      </c>
      <c r="AA889" s="251" t="str">
        <f>IFERROR(__xludf.DUMMYFUNCTION("""COMPUTED_VALUE"""),"--")</f>
        <v>--</v>
      </c>
      <c r="AB889" s="251" t="str">
        <f>IFERROR(__xludf.DUMMYFUNCTION("""COMPUTED_VALUE"""),"--")</f>
        <v>--</v>
      </c>
      <c r="AC889" s="251" t="str">
        <f>IFERROR(__xludf.DUMMYFUNCTION("""COMPUTED_VALUE"""),"--")</f>
        <v>--</v>
      </c>
      <c r="AD889" s="251">
        <f>IFERROR(__xludf.DUMMYFUNCTION("""COMPUTED_VALUE"""),2.0)</f>
        <v>2</v>
      </c>
      <c r="AE889" s="251" t="str">
        <f>IFERROR(__xludf.DUMMYFUNCTION("""COMPUTED_VALUE"""),"Herbivore")</f>
        <v>Herbivore</v>
      </c>
    </row>
    <row r="890">
      <c r="A890" s="251" t="str">
        <f>IFERROR(__xludf.DUMMYFUNCTION("""COMPUTED_VALUE"""),"Grumpig")</f>
        <v>Grumpig</v>
      </c>
      <c r="B890" s="251" t="str">
        <f>IFERROR(__xludf.DUMMYFUNCTION("""COMPUTED_VALUE"""),"Psychic")</f>
        <v>Psychic</v>
      </c>
      <c r="C890" s="251" t="str">
        <f>IFERROR(__xludf.DUMMYFUNCTION("""COMPUTED_VALUE"""),"None")</f>
        <v>None</v>
      </c>
      <c r="D890" s="251">
        <f>IFERROR(__xludf.DUMMYFUNCTION("""COMPUTED_VALUE"""),8.0)</f>
        <v>8</v>
      </c>
      <c r="E890" s="251">
        <f>IFERROR(__xludf.DUMMYFUNCTION("""COMPUTED_VALUE"""),5.0)</f>
        <v>5</v>
      </c>
      <c r="F890" s="251">
        <f>IFERROR(__xludf.DUMMYFUNCTION("""COMPUTED_VALUE"""),7.0)</f>
        <v>7</v>
      </c>
      <c r="G890" s="251">
        <f>IFERROR(__xludf.DUMMYFUNCTION("""COMPUTED_VALUE"""),10.0)</f>
        <v>10</v>
      </c>
      <c r="H890" s="251">
        <f>IFERROR(__xludf.DUMMYFUNCTION("""COMPUTED_VALUE"""),12.0)</f>
        <v>12</v>
      </c>
      <c r="I890" s="251">
        <f>IFERROR(__xludf.DUMMYFUNCTION("""COMPUTED_VALUE"""),9.0)</f>
        <v>9</v>
      </c>
      <c r="J890" s="251">
        <f>IFERROR(__xludf.DUMMYFUNCTION("""COMPUTED_VALUE"""),5.0)</f>
        <v>5</v>
      </c>
      <c r="K890" s="251" t="str">
        <f>IFERROR(__xludf.DUMMYFUNCTION("""COMPUTED_VALUE"""),"Small")</f>
        <v>Small</v>
      </c>
      <c r="L890" s="251">
        <f>IFERROR(__xludf.DUMMYFUNCTION("""COMPUTED_VALUE"""),4.0)</f>
        <v>4</v>
      </c>
      <c r="M890" s="251" t="str">
        <f>IFERROR(__xludf.DUMMYFUNCTION("""COMPUTED_VALUE"""),"Forest, Grasslands")</f>
        <v>Forest, Grasslands</v>
      </c>
      <c r="N890" s="251" t="str">
        <f>IFERROR(__xludf.DUMMYFUNCTION("""COMPUTED_VALUE"""),"Jumper")</f>
        <v>Jumper</v>
      </c>
      <c r="O890" s="251" t="str">
        <f>IFERROR(__xludf.DUMMYFUNCTION("""COMPUTED_VALUE"""),"--")</f>
        <v>--</v>
      </c>
      <c r="P890" s="251" t="str">
        <f>IFERROR(__xludf.DUMMYFUNCTION("""COMPUTED_VALUE"""),"--")</f>
        <v>--</v>
      </c>
      <c r="Q890" s="251" t="str">
        <f>IFERROR(__xludf.DUMMYFUNCTION("""COMPUTED_VALUE"""),"--")</f>
        <v>--</v>
      </c>
      <c r="R890" s="251" t="str">
        <f>IFERROR(__xludf.DUMMYFUNCTION("""COMPUTED_VALUE"""),"--")</f>
        <v>--</v>
      </c>
      <c r="S890" s="251" t="str">
        <f>IFERROR(__xludf.DUMMYFUNCTION("""COMPUTED_VALUE"""),"--")</f>
        <v>--</v>
      </c>
      <c r="T890" s="251" t="str">
        <f>IFERROR(__xludf.DUMMYFUNCTION("""COMPUTED_VALUE"""),"--")</f>
        <v>--</v>
      </c>
      <c r="U890" s="251" t="str">
        <f>IFERROR(__xludf.DUMMYFUNCTION("""COMPUTED_VALUE"""),"--")</f>
        <v>--</v>
      </c>
      <c r="V890" s="251" t="str">
        <f>IFERROR(__xludf.DUMMYFUNCTION("""COMPUTED_VALUE"""),"Telepath")</f>
        <v>Telepath</v>
      </c>
      <c r="W890" s="251" t="str">
        <f>IFERROR(__xludf.DUMMYFUNCTION("""COMPUTED_VALUE"""),"--")</f>
        <v>--</v>
      </c>
      <c r="X890" s="251" t="str">
        <f>IFERROR(__xludf.DUMMYFUNCTION("""COMPUTED_VALUE"""),"--")</f>
        <v>--</v>
      </c>
      <c r="Y890" s="251" t="str">
        <f>IFERROR(__xludf.DUMMYFUNCTION("""COMPUTED_VALUE"""),"--")</f>
        <v>--</v>
      </c>
      <c r="Z890" s="251" t="str">
        <f>IFERROR(__xludf.DUMMYFUNCTION("""COMPUTED_VALUE"""),"--")</f>
        <v>--</v>
      </c>
      <c r="AA890" s="251" t="str">
        <f>IFERROR(__xludf.DUMMYFUNCTION("""COMPUTED_VALUE"""),"--")</f>
        <v>--</v>
      </c>
      <c r="AB890" s="251" t="str">
        <f>IFERROR(__xludf.DUMMYFUNCTION("""COMPUTED_VALUE"""),"--")</f>
        <v>--</v>
      </c>
      <c r="AC890" s="251" t="str">
        <f>IFERROR(__xludf.DUMMYFUNCTION("""COMPUTED_VALUE"""),"--")</f>
        <v>--</v>
      </c>
      <c r="AD890" s="251">
        <f>IFERROR(__xludf.DUMMYFUNCTION("""COMPUTED_VALUE"""),3.0)</f>
        <v>3</v>
      </c>
      <c r="AE890" s="251" t="str">
        <f>IFERROR(__xludf.DUMMYFUNCTION("""COMPUTED_VALUE"""),"Herbivore")</f>
        <v>Herbivore</v>
      </c>
    </row>
    <row r="891">
      <c r="A891" s="251" t="str">
        <f>IFERROR(__xludf.DUMMYFUNCTION("""COMPUTED_VALUE"""),"Chingling")</f>
        <v>Chingling</v>
      </c>
      <c r="B891" s="251" t="str">
        <f>IFERROR(__xludf.DUMMYFUNCTION("""COMPUTED_VALUE"""),"Psychic")</f>
        <v>Psychic</v>
      </c>
      <c r="C891" s="251" t="str">
        <f>IFERROR(__xludf.DUMMYFUNCTION("""COMPUTED_VALUE"""),"None")</f>
        <v>None</v>
      </c>
      <c r="D891" s="251">
        <f>IFERROR(__xludf.DUMMYFUNCTION("""COMPUTED_VALUE"""),5.0)</f>
        <v>5</v>
      </c>
      <c r="E891" s="251">
        <f>IFERROR(__xludf.DUMMYFUNCTION("""COMPUTED_VALUE"""),3.0)</f>
        <v>3</v>
      </c>
      <c r="F891" s="251">
        <f>IFERROR(__xludf.DUMMYFUNCTION("""COMPUTED_VALUE"""),5.0)</f>
        <v>5</v>
      </c>
      <c r="G891" s="251">
        <f>IFERROR(__xludf.DUMMYFUNCTION("""COMPUTED_VALUE"""),7.0)</f>
        <v>7</v>
      </c>
      <c r="H891" s="251">
        <f>IFERROR(__xludf.DUMMYFUNCTION("""COMPUTED_VALUE"""),5.0)</f>
        <v>5</v>
      </c>
      <c r="I891" s="251">
        <f>IFERROR(__xludf.DUMMYFUNCTION("""COMPUTED_VALUE"""),5.0)</f>
        <v>5</v>
      </c>
      <c r="J891" s="251">
        <f>IFERROR(__xludf.DUMMYFUNCTION("""COMPUTED_VALUE"""),1.0)</f>
        <v>1</v>
      </c>
      <c r="K891" s="251" t="str">
        <f>IFERROR(__xludf.DUMMYFUNCTION("""COMPUTED_VALUE"""),"Small")</f>
        <v>Small</v>
      </c>
      <c r="L891" s="251">
        <f>IFERROR(__xludf.DUMMYFUNCTION("""COMPUTED_VALUE"""),1.0)</f>
        <v>1</v>
      </c>
      <c r="M891" s="251" t="str">
        <f>IFERROR(__xludf.DUMMYFUNCTION("""COMPUTED_VALUE"""),"Cave, Urban")</f>
        <v>Cave, Urban</v>
      </c>
      <c r="N891" s="251" t="str">
        <f>IFERROR(__xludf.DUMMYFUNCTION("""COMPUTED_VALUE"""),"Flier")</f>
        <v>Flier</v>
      </c>
      <c r="O891" s="251" t="str">
        <f>IFERROR(__xludf.DUMMYFUNCTION("""COMPUTED_VALUE"""),"--")</f>
        <v>--</v>
      </c>
      <c r="P891" s="251" t="str">
        <f>IFERROR(__xludf.DUMMYFUNCTION("""COMPUTED_VALUE"""),"--")</f>
        <v>--</v>
      </c>
      <c r="Q891" s="251" t="str">
        <f>IFERROR(__xludf.DUMMYFUNCTION("""COMPUTED_VALUE"""),"--")</f>
        <v>--</v>
      </c>
      <c r="R891" s="251" t="str">
        <f>IFERROR(__xludf.DUMMYFUNCTION("""COMPUTED_VALUE"""),"Underdog")</f>
        <v>Underdog</v>
      </c>
      <c r="S891" s="251" t="str">
        <f>IFERROR(__xludf.DUMMYFUNCTION("""COMPUTED_VALUE"""),"--")</f>
        <v>--</v>
      </c>
      <c r="T891" s="251" t="str">
        <f>IFERROR(__xludf.DUMMYFUNCTION("""COMPUTED_VALUE"""),"--")</f>
        <v>--</v>
      </c>
      <c r="U891" s="251" t="str">
        <f>IFERROR(__xludf.DUMMYFUNCTION("""COMPUTED_VALUE"""),"--")</f>
        <v>--</v>
      </c>
      <c r="V891" s="251" t="str">
        <f>IFERROR(__xludf.DUMMYFUNCTION("""COMPUTED_VALUE"""),"--")</f>
        <v>--</v>
      </c>
      <c r="W891" s="251" t="str">
        <f>IFERROR(__xludf.DUMMYFUNCTION("""COMPUTED_VALUE"""),"--")</f>
        <v>--</v>
      </c>
      <c r="X891" s="251" t="str">
        <f>IFERROR(__xludf.DUMMYFUNCTION("""COMPUTED_VALUE"""),"--")</f>
        <v>--</v>
      </c>
      <c r="Y891" s="251" t="str">
        <f>IFERROR(__xludf.DUMMYFUNCTION("""COMPUTED_VALUE"""),"--")</f>
        <v>--</v>
      </c>
      <c r="Z891" s="251" t="str">
        <f>IFERROR(__xludf.DUMMYFUNCTION("""COMPUTED_VALUE"""),"--")</f>
        <v>--</v>
      </c>
      <c r="AA891" s="251" t="str">
        <f>IFERROR(__xludf.DUMMYFUNCTION("""COMPUTED_VALUE"""),"--")</f>
        <v>--</v>
      </c>
      <c r="AB891" s="251" t="str">
        <f>IFERROR(__xludf.DUMMYFUNCTION("""COMPUTED_VALUE"""),"--")</f>
        <v>--</v>
      </c>
      <c r="AC891" s="251" t="str">
        <f>IFERROR(__xludf.DUMMYFUNCTION("""COMPUTED_VALUE"""),"--")</f>
        <v>--</v>
      </c>
      <c r="AD891" s="251">
        <f>IFERROR(__xludf.DUMMYFUNCTION("""COMPUTED_VALUE"""),2.0)</f>
        <v>2</v>
      </c>
      <c r="AE891" s="251" t="str">
        <f>IFERROR(__xludf.DUMMYFUNCTION("""COMPUTED_VALUE"""),"Herbivore")</f>
        <v>Herbivore</v>
      </c>
    </row>
    <row r="892">
      <c r="A892" s="251" t="str">
        <f>IFERROR(__xludf.DUMMYFUNCTION("""COMPUTED_VALUE"""),"Chimecho")</f>
        <v>Chimecho</v>
      </c>
      <c r="B892" s="251" t="str">
        <f>IFERROR(__xludf.DUMMYFUNCTION("""COMPUTED_VALUE"""),"Psychic")</f>
        <v>Psychic</v>
      </c>
      <c r="C892" s="251" t="str">
        <f>IFERROR(__xludf.DUMMYFUNCTION("""COMPUTED_VALUE"""),"None")</f>
        <v>None</v>
      </c>
      <c r="D892" s="251">
        <f>IFERROR(__xludf.DUMMYFUNCTION("""COMPUTED_VALUE"""),9.0)</f>
        <v>9</v>
      </c>
      <c r="E892" s="251">
        <f>IFERROR(__xludf.DUMMYFUNCTION("""COMPUTED_VALUE"""),5.0)</f>
        <v>5</v>
      </c>
      <c r="F892" s="251">
        <f>IFERROR(__xludf.DUMMYFUNCTION("""COMPUTED_VALUE"""),9.0)</f>
        <v>9</v>
      </c>
      <c r="G892" s="251">
        <f>IFERROR(__xludf.DUMMYFUNCTION("""COMPUTED_VALUE"""),11.0)</f>
        <v>11</v>
      </c>
      <c r="H892" s="251">
        <f>IFERROR(__xludf.DUMMYFUNCTION("""COMPUTED_VALUE"""),10.0)</f>
        <v>10</v>
      </c>
      <c r="I892" s="251">
        <f>IFERROR(__xludf.DUMMYFUNCTION("""COMPUTED_VALUE"""),7.0)</f>
        <v>7</v>
      </c>
      <c r="J892" s="251">
        <f>IFERROR(__xludf.DUMMYFUNCTION("""COMPUTED_VALUE"""),1.0)</f>
        <v>1</v>
      </c>
      <c r="K892" s="251" t="str">
        <f>IFERROR(__xludf.DUMMYFUNCTION("""COMPUTED_VALUE"""),"Small")</f>
        <v>Small</v>
      </c>
      <c r="L892" s="251">
        <f>IFERROR(__xludf.DUMMYFUNCTION("""COMPUTED_VALUE"""),1.0)</f>
        <v>1</v>
      </c>
      <c r="M892" s="251" t="str">
        <f>IFERROR(__xludf.DUMMYFUNCTION("""COMPUTED_VALUE"""),"Cave, Urban")</f>
        <v>Cave, Urban</v>
      </c>
      <c r="N892" s="251" t="str">
        <f>IFERROR(__xludf.DUMMYFUNCTION("""COMPUTED_VALUE"""),"Flier")</f>
        <v>Flier</v>
      </c>
      <c r="O892" s="251" t="str">
        <f>IFERROR(__xludf.DUMMYFUNCTION("""COMPUTED_VALUE"""),"--")</f>
        <v>--</v>
      </c>
      <c r="P892" s="251" t="str">
        <f>IFERROR(__xludf.DUMMYFUNCTION("""COMPUTED_VALUE"""),"--")</f>
        <v>--</v>
      </c>
      <c r="Q892" s="251" t="str">
        <f>IFERROR(__xludf.DUMMYFUNCTION("""COMPUTED_VALUE"""),"--")</f>
        <v>--</v>
      </c>
      <c r="R892" s="251" t="str">
        <f>IFERROR(__xludf.DUMMYFUNCTION("""COMPUTED_VALUE"""),"--")</f>
        <v>--</v>
      </c>
      <c r="S892" s="251" t="str">
        <f>IFERROR(__xludf.DUMMYFUNCTION("""COMPUTED_VALUE"""),"--")</f>
        <v>--</v>
      </c>
      <c r="T892" s="251" t="str">
        <f>IFERROR(__xludf.DUMMYFUNCTION("""COMPUTED_VALUE"""),"--")</f>
        <v>--</v>
      </c>
      <c r="U892" s="251" t="str">
        <f>IFERROR(__xludf.DUMMYFUNCTION("""COMPUTED_VALUE"""),"--")</f>
        <v>--</v>
      </c>
      <c r="V892" s="251" t="str">
        <f>IFERROR(__xludf.DUMMYFUNCTION("""COMPUTED_VALUE"""),"--")</f>
        <v>--</v>
      </c>
      <c r="W892" s="251" t="str">
        <f>IFERROR(__xludf.DUMMYFUNCTION("""COMPUTED_VALUE"""),"--")</f>
        <v>--</v>
      </c>
      <c r="X892" s="251" t="str">
        <f>IFERROR(__xludf.DUMMYFUNCTION("""COMPUTED_VALUE"""),"--")</f>
        <v>--</v>
      </c>
      <c r="Y892" s="251" t="str">
        <f>IFERROR(__xludf.DUMMYFUNCTION("""COMPUTED_VALUE"""),"--")</f>
        <v>--</v>
      </c>
      <c r="Z892" s="251" t="str">
        <f>IFERROR(__xludf.DUMMYFUNCTION("""COMPUTED_VALUE"""),"--")</f>
        <v>--</v>
      </c>
      <c r="AA892" s="251" t="str">
        <f>IFERROR(__xludf.DUMMYFUNCTION("""COMPUTED_VALUE"""),"--")</f>
        <v>--</v>
      </c>
      <c r="AB892" s="251" t="str">
        <f>IFERROR(__xludf.DUMMYFUNCTION("""COMPUTED_VALUE"""),"--")</f>
        <v>--</v>
      </c>
      <c r="AC892" s="251" t="str">
        <f>IFERROR(__xludf.DUMMYFUNCTION("""COMPUTED_VALUE"""),"--")</f>
        <v>--</v>
      </c>
      <c r="AD892" s="251">
        <f>IFERROR(__xludf.DUMMYFUNCTION("""COMPUTED_VALUE"""),3.0)</f>
        <v>3</v>
      </c>
      <c r="AE892" s="251" t="str">
        <f>IFERROR(__xludf.DUMMYFUNCTION("""COMPUTED_VALUE"""),"Herbivore")</f>
        <v>Herbivore</v>
      </c>
    </row>
    <row r="893">
      <c r="A893" s="251" t="str">
        <f>IFERROR(__xludf.DUMMYFUNCTION("""COMPUTED_VALUE"""),"Munna")</f>
        <v>Munna</v>
      </c>
      <c r="B893" s="251" t="str">
        <f>IFERROR(__xludf.DUMMYFUNCTION("""COMPUTED_VALUE"""),"Psychic")</f>
        <v>Psychic</v>
      </c>
      <c r="C893" s="251" t="str">
        <f>IFERROR(__xludf.DUMMYFUNCTION("""COMPUTED_VALUE"""),"None")</f>
        <v>None</v>
      </c>
      <c r="D893" s="251">
        <f>IFERROR(__xludf.DUMMYFUNCTION("""COMPUTED_VALUE"""),8.0)</f>
        <v>8</v>
      </c>
      <c r="E893" s="251">
        <f>IFERROR(__xludf.DUMMYFUNCTION("""COMPUTED_VALUE"""),3.0)</f>
        <v>3</v>
      </c>
      <c r="F893" s="251">
        <f>IFERROR(__xludf.DUMMYFUNCTION("""COMPUTED_VALUE"""),5.0)</f>
        <v>5</v>
      </c>
      <c r="G893" s="251">
        <f>IFERROR(__xludf.DUMMYFUNCTION("""COMPUTED_VALUE"""),7.0)</f>
        <v>7</v>
      </c>
      <c r="H893" s="251">
        <f>IFERROR(__xludf.DUMMYFUNCTION("""COMPUTED_VALUE"""),6.0)</f>
        <v>6</v>
      </c>
      <c r="I893" s="251">
        <f>IFERROR(__xludf.DUMMYFUNCTION("""COMPUTED_VALUE"""),2.0)</f>
        <v>2</v>
      </c>
      <c r="J893" s="251">
        <f>IFERROR(__xludf.DUMMYFUNCTION("""COMPUTED_VALUE"""),1.0)</f>
        <v>1</v>
      </c>
      <c r="K893" s="251" t="str">
        <f>IFERROR(__xludf.DUMMYFUNCTION("""COMPUTED_VALUE"""),"Small")</f>
        <v>Small</v>
      </c>
      <c r="L893" s="251">
        <f>IFERROR(__xludf.DUMMYFUNCTION("""COMPUTED_VALUE"""),2.0)</f>
        <v>2</v>
      </c>
      <c r="M893" s="251" t="str">
        <f>IFERROR(__xludf.DUMMYFUNCTION("""COMPUTED_VALUE"""),"Space, Urban")</f>
        <v>Space, Urban</v>
      </c>
      <c r="N893" s="251" t="str">
        <f>IFERROR(__xludf.DUMMYFUNCTION("""COMPUTED_VALUE"""),"Flier")</f>
        <v>Flier</v>
      </c>
      <c r="O893" s="251" t="str">
        <f>IFERROR(__xludf.DUMMYFUNCTION("""COMPUTED_VALUE"""),"--")</f>
        <v>--</v>
      </c>
      <c r="P893" s="251" t="str">
        <f>IFERROR(__xludf.DUMMYFUNCTION("""COMPUTED_VALUE"""),"--")</f>
        <v>--</v>
      </c>
      <c r="Q893" s="251" t="str">
        <f>IFERROR(__xludf.DUMMYFUNCTION("""COMPUTED_VALUE"""),"--")</f>
        <v>--</v>
      </c>
      <c r="R893" s="251" t="str">
        <f>IFERROR(__xludf.DUMMYFUNCTION("""COMPUTED_VALUE"""),"Telekinetic")</f>
        <v>Telekinetic</v>
      </c>
      <c r="S893" s="251" t="str">
        <f>IFERROR(__xludf.DUMMYFUNCTION("""COMPUTED_VALUE"""),"Underdog")</f>
        <v>Underdog</v>
      </c>
      <c r="T893" s="251" t="str">
        <f>IFERROR(__xludf.DUMMYFUNCTION("""COMPUTED_VALUE"""),"--")</f>
        <v>--</v>
      </c>
      <c r="U893" s="251" t="str">
        <f>IFERROR(__xludf.DUMMYFUNCTION("""COMPUTED_VALUE"""),"--")</f>
        <v>--</v>
      </c>
      <c r="V893" s="251" t="str">
        <f>IFERROR(__xludf.DUMMYFUNCTION("""COMPUTED_VALUE"""),"Dream Reader")</f>
        <v>Dream Reader</v>
      </c>
      <c r="W893" s="251" t="str">
        <f>IFERROR(__xludf.DUMMYFUNCTION("""COMPUTED_VALUE"""),"Telepath")</f>
        <v>Telepath</v>
      </c>
      <c r="X893" s="251" t="str">
        <f>IFERROR(__xludf.DUMMYFUNCTION("""COMPUTED_VALUE"""),"--")</f>
        <v>--</v>
      </c>
      <c r="Y893" s="251" t="str">
        <f>IFERROR(__xludf.DUMMYFUNCTION("""COMPUTED_VALUE"""),"--")</f>
        <v>--</v>
      </c>
      <c r="Z893" s="251" t="str">
        <f>IFERROR(__xludf.DUMMYFUNCTION("""COMPUTED_VALUE"""),"--")</f>
        <v>--</v>
      </c>
      <c r="AA893" s="251" t="str">
        <f>IFERROR(__xludf.DUMMYFUNCTION("""COMPUTED_VALUE"""),"--")</f>
        <v>--</v>
      </c>
      <c r="AB893" s="251" t="str">
        <f>IFERROR(__xludf.DUMMYFUNCTION("""COMPUTED_VALUE"""),"--")</f>
        <v>--</v>
      </c>
      <c r="AC893" s="251" t="str">
        <f>IFERROR(__xludf.DUMMYFUNCTION("""COMPUTED_VALUE"""),"--")</f>
        <v>--</v>
      </c>
      <c r="AD893" s="251">
        <f>IFERROR(__xludf.DUMMYFUNCTION("""COMPUTED_VALUE"""),2.0)</f>
        <v>2</v>
      </c>
      <c r="AE893" s="251" t="str">
        <f>IFERROR(__xludf.DUMMYFUNCTION("""COMPUTED_VALUE"""),"Herbivore")</f>
        <v>Herbivore</v>
      </c>
    </row>
    <row r="894">
      <c r="A894" s="251" t="str">
        <f>IFERROR(__xludf.DUMMYFUNCTION("""COMPUTED_VALUE"""),"Musharna")</f>
        <v>Musharna</v>
      </c>
      <c r="B894" s="251" t="str">
        <f>IFERROR(__xludf.DUMMYFUNCTION("""COMPUTED_VALUE"""),"Psychic")</f>
        <v>Psychic</v>
      </c>
      <c r="C894" s="251" t="str">
        <f>IFERROR(__xludf.DUMMYFUNCTION("""COMPUTED_VALUE"""),"None")</f>
        <v>None</v>
      </c>
      <c r="D894" s="251">
        <f>IFERROR(__xludf.DUMMYFUNCTION("""COMPUTED_VALUE"""),12.0)</f>
        <v>12</v>
      </c>
      <c r="E894" s="251">
        <f>IFERROR(__xludf.DUMMYFUNCTION("""COMPUTED_VALUE"""),6.0)</f>
        <v>6</v>
      </c>
      <c r="F894" s="251">
        <f>IFERROR(__xludf.DUMMYFUNCTION("""COMPUTED_VALUE"""),9.0)</f>
        <v>9</v>
      </c>
      <c r="G894" s="251">
        <f>IFERROR(__xludf.DUMMYFUNCTION("""COMPUTED_VALUE"""),11.0)</f>
        <v>11</v>
      </c>
      <c r="H894" s="251">
        <f>IFERROR(__xludf.DUMMYFUNCTION("""COMPUTED_VALUE"""),10.0)</f>
        <v>10</v>
      </c>
      <c r="I894" s="251">
        <f>IFERROR(__xludf.DUMMYFUNCTION("""COMPUTED_VALUE"""),3.0)</f>
        <v>3</v>
      </c>
      <c r="J894" s="251">
        <f>IFERROR(__xludf.DUMMYFUNCTION("""COMPUTED_VALUE"""),5.0)</f>
        <v>5</v>
      </c>
      <c r="K894" s="251" t="str">
        <f>IFERROR(__xludf.DUMMYFUNCTION("""COMPUTED_VALUE"""),"Medium")</f>
        <v>Medium</v>
      </c>
      <c r="L894" s="251">
        <f>IFERROR(__xludf.DUMMYFUNCTION("""COMPUTED_VALUE"""),4.0)</f>
        <v>4</v>
      </c>
      <c r="M894" s="251" t="str">
        <f>IFERROR(__xludf.DUMMYFUNCTION("""COMPUTED_VALUE"""),"Space, Urban")</f>
        <v>Space, Urban</v>
      </c>
      <c r="N894" s="251" t="str">
        <f>IFERROR(__xludf.DUMMYFUNCTION("""COMPUTED_VALUE"""),"Flier")</f>
        <v>Flier</v>
      </c>
      <c r="O894" s="251" t="str">
        <f>IFERROR(__xludf.DUMMYFUNCTION("""COMPUTED_VALUE"""),"--")</f>
        <v>--</v>
      </c>
      <c r="P894" s="251" t="str">
        <f>IFERROR(__xludf.DUMMYFUNCTION("""COMPUTED_VALUE"""),"--")</f>
        <v>--</v>
      </c>
      <c r="Q894" s="251" t="str">
        <f>IFERROR(__xludf.DUMMYFUNCTION("""COMPUTED_VALUE"""),"--")</f>
        <v>--</v>
      </c>
      <c r="R894" s="251" t="str">
        <f>IFERROR(__xludf.DUMMYFUNCTION("""COMPUTED_VALUE"""),"Telekinetic")</f>
        <v>Telekinetic</v>
      </c>
      <c r="S894" s="251" t="str">
        <f>IFERROR(__xludf.DUMMYFUNCTION("""COMPUTED_VALUE"""),"--")</f>
        <v>--</v>
      </c>
      <c r="T894" s="251" t="str">
        <f>IFERROR(__xludf.DUMMYFUNCTION("""COMPUTED_VALUE"""),"--")</f>
        <v>--</v>
      </c>
      <c r="U894" s="251" t="str">
        <f>IFERROR(__xludf.DUMMYFUNCTION("""COMPUTED_VALUE"""),"--")</f>
        <v>--</v>
      </c>
      <c r="V894" s="251" t="str">
        <f>IFERROR(__xludf.DUMMYFUNCTION("""COMPUTED_VALUE"""),"Dream Reader")</f>
        <v>Dream Reader</v>
      </c>
      <c r="W894" s="251" t="str">
        <f>IFERROR(__xludf.DUMMYFUNCTION("""COMPUTED_VALUE"""),"Telepath")</f>
        <v>Telepath</v>
      </c>
      <c r="X894" s="251" t="str">
        <f>IFERROR(__xludf.DUMMYFUNCTION("""COMPUTED_VALUE"""),"--")</f>
        <v>--</v>
      </c>
      <c r="Y894" s="251" t="str">
        <f>IFERROR(__xludf.DUMMYFUNCTION("""COMPUTED_VALUE"""),"--")</f>
        <v>--</v>
      </c>
      <c r="Z894" s="251" t="str">
        <f>IFERROR(__xludf.DUMMYFUNCTION("""COMPUTED_VALUE"""),"--")</f>
        <v>--</v>
      </c>
      <c r="AA894" s="251" t="str">
        <f>IFERROR(__xludf.DUMMYFUNCTION("""COMPUTED_VALUE"""),"--")</f>
        <v>--</v>
      </c>
      <c r="AB894" s="251" t="str">
        <f>IFERROR(__xludf.DUMMYFUNCTION("""COMPUTED_VALUE"""),"--")</f>
        <v>--</v>
      </c>
      <c r="AC894" s="251" t="str">
        <f>IFERROR(__xludf.DUMMYFUNCTION("""COMPUTED_VALUE"""),"--")</f>
        <v>--</v>
      </c>
      <c r="AD894" s="251">
        <f>IFERROR(__xludf.DUMMYFUNCTION("""COMPUTED_VALUE"""),3.0)</f>
        <v>3</v>
      </c>
      <c r="AE894" s="251" t="str">
        <f>IFERROR(__xludf.DUMMYFUNCTION("""COMPUTED_VALUE"""),"Herbivore")</f>
        <v>Herbivore</v>
      </c>
    </row>
    <row r="895">
      <c r="A895" s="251" t="str">
        <f>IFERROR(__xludf.DUMMYFUNCTION("""COMPUTED_VALUE"""),"Woobat")</f>
        <v>Woobat</v>
      </c>
      <c r="B895" s="251" t="str">
        <f>IFERROR(__xludf.DUMMYFUNCTION("""COMPUTED_VALUE"""),"Psychic")</f>
        <v>Psychic</v>
      </c>
      <c r="C895" s="251" t="str">
        <f>IFERROR(__xludf.DUMMYFUNCTION("""COMPUTED_VALUE"""),"Flying")</f>
        <v>Flying</v>
      </c>
      <c r="D895" s="251">
        <f>IFERROR(__xludf.DUMMYFUNCTION("""COMPUTED_VALUE"""),7.0)</f>
        <v>7</v>
      </c>
      <c r="E895" s="251">
        <f>IFERROR(__xludf.DUMMYFUNCTION("""COMPUTED_VALUE"""),5.0)</f>
        <v>5</v>
      </c>
      <c r="F895" s="251">
        <f>IFERROR(__xludf.DUMMYFUNCTION("""COMPUTED_VALUE"""),4.0)</f>
        <v>4</v>
      </c>
      <c r="G895" s="251">
        <f>IFERROR(__xludf.DUMMYFUNCTION("""COMPUTED_VALUE"""),6.0)</f>
        <v>6</v>
      </c>
      <c r="H895" s="251">
        <f>IFERROR(__xludf.DUMMYFUNCTION("""COMPUTED_VALUE"""),4.0)</f>
        <v>4</v>
      </c>
      <c r="I895" s="251">
        <f>IFERROR(__xludf.DUMMYFUNCTION("""COMPUTED_VALUE"""),7.0)</f>
        <v>7</v>
      </c>
      <c r="J895" s="251">
        <f>IFERROR(__xludf.DUMMYFUNCTION("""COMPUTED_VALUE"""),1.0)</f>
        <v>1</v>
      </c>
      <c r="K895" s="251" t="str">
        <f>IFERROR(__xludf.DUMMYFUNCTION("""COMPUTED_VALUE"""),"Small")</f>
        <v>Small</v>
      </c>
      <c r="L895" s="251">
        <f>IFERROR(__xludf.DUMMYFUNCTION("""COMPUTED_VALUE"""),1.0)</f>
        <v>1</v>
      </c>
      <c r="M895" s="251" t="str">
        <f>IFERROR(__xludf.DUMMYFUNCTION("""COMPUTED_VALUE"""),"Cave")</f>
        <v>Cave</v>
      </c>
      <c r="N895" s="251" t="str">
        <f>IFERROR(__xludf.DUMMYFUNCTION("""COMPUTED_VALUE"""),"Flier")</f>
        <v>Flier</v>
      </c>
      <c r="O895" s="251" t="str">
        <f>IFERROR(__xludf.DUMMYFUNCTION("""COMPUTED_VALUE"""),"--")</f>
        <v>--</v>
      </c>
      <c r="P895" s="251" t="str">
        <f>IFERROR(__xludf.DUMMYFUNCTION("""COMPUTED_VALUE"""),"--")</f>
        <v>--</v>
      </c>
      <c r="Q895" s="251" t="str">
        <f>IFERROR(__xludf.DUMMYFUNCTION("""COMPUTED_VALUE"""),"--")</f>
        <v>--</v>
      </c>
      <c r="R895" s="251" t="str">
        <f>IFERROR(__xludf.DUMMYFUNCTION("""COMPUTED_VALUE"""),"Darkvision")</f>
        <v>Darkvision</v>
      </c>
      <c r="S895" s="251" t="str">
        <f>IFERROR(__xludf.DUMMYFUNCTION("""COMPUTED_VALUE"""),"Underdog")</f>
        <v>Underdog</v>
      </c>
      <c r="T895" s="251" t="str">
        <f>IFERROR(__xludf.DUMMYFUNCTION("""COMPUTED_VALUE"""),"--")</f>
        <v>--</v>
      </c>
      <c r="U895" s="251" t="str">
        <f>IFERROR(__xludf.DUMMYFUNCTION("""COMPUTED_VALUE"""),"--")</f>
        <v>--</v>
      </c>
      <c r="V895" s="251" t="str">
        <f>IFERROR(__xludf.DUMMYFUNCTION("""COMPUTED_VALUE"""),"Tracker")</f>
        <v>Tracker</v>
      </c>
      <c r="W895" s="251" t="str">
        <f>IFERROR(__xludf.DUMMYFUNCTION("""COMPUTED_VALUE"""),"--")</f>
        <v>--</v>
      </c>
      <c r="X895" s="251" t="str">
        <f>IFERROR(__xludf.DUMMYFUNCTION("""COMPUTED_VALUE"""),"--")</f>
        <v>--</v>
      </c>
      <c r="Y895" s="251" t="str">
        <f>IFERROR(__xludf.DUMMYFUNCTION("""COMPUTED_VALUE"""),"--")</f>
        <v>--</v>
      </c>
      <c r="Z895" s="251" t="str">
        <f>IFERROR(__xludf.DUMMYFUNCTION("""COMPUTED_VALUE"""),"--")</f>
        <v>--</v>
      </c>
      <c r="AA895" s="251" t="str">
        <f>IFERROR(__xludf.DUMMYFUNCTION("""COMPUTED_VALUE"""),"--")</f>
        <v>--</v>
      </c>
      <c r="AB895" s="251" t="str">
        <f>IFERROR(__xludf.DUMMYFUNCTION("""COMPUTED_VALUE"""),"--")</f>
        <v>--</v>
      </c>
      <c r="AC895" s="251" t="str">
        <f>IFERROR(__xludf.DUMMYFUNCTION("""COMPUTED_VALUE"""),"--")</f>
        <v>--</v>
      </c>
      <c r="AD895" s="251">
        <f>IFERROR(__xludf.DUMMYFUNCTION("""COMPUTED_VALUE"""),2.0)</f>
        <v>2</v>
      </c>
      <c r="AE895" s="251" t="str">
        <f>IFERROR(__xludf.DUMMYFUNCTION("""COMPUTED_VALUE"""),"Herbivore")</f>
        <v>Herbivore</v>
      </c>
    </row>
    <row r="896">
      <c r="A896" s="251" t="str">
        <f>IFERROR(__xludf.DUMMYFUNCTION("""COMPUTED_VALUE"""),"Swoobat")</f>
        <v>Swoobat</v>
      </c>
      <c r="B896" s="251" t="str">
        <f>IFERROR(__xludf.DUMMYFUNCTION("""COMPUTED_VALUE"""),"Psychic")</f>
        <v>Psychic</v>
      </c>
      <c r="C896" s="251" t="str">
        <f>IFERROR(__xludf.DUMMYFUNCTION("""COMPUTED_VALUE"""),"Flying")</f>
        <v>Flying</v>
      </c>
      <c r="D896" s="251">
        <f>IFERROR(__xludf.DUMMYFUNCTION("""COMPUTED_VALUE"""),7.0)</f>
        <v>7</v>
      </c>
      <c r="E896" s="251">
        <f>IFERROR(__xludf.DUMMYFUNCTION("""COMPUTED_VALUE"""),6.0)</f>
        <v>6</v>
      </c>
      <c r="F896" s="251">
        <f>IFERROR(__xludf.DUMMYFUNCTION("""COMPUTED_VALUE"""),6.0)</f>
        <v>6</v>
      </c>
      <c r="G896" s="251">
        <f>IFERROR(__xludf.DUMMYFUNCTION("""COMPUTED_VALUE"""),8.0)</f>
        <v>8</v>
      </c>
      <c r="H896" s="251">
        <f>IFERROR(__xludf.DUMMYFUNCTION("""COMPUTED_VALUE"""),6.0)</f>
        <v>6</v>
      </c>
      <c r="I896" s="251">
        <f>IFERROR(__xludf.DUMMYFUNCTION("""COMPUTED_VALUE"""),11.0)</f>
        <v>11</v>
      </c>
      <c r="J896" s="251">
        <f>IFERROR(__xludf.DUMMYFUNCTION("""COMPUTED_VALUE"""),3.0)</f>
        <v>3</v>
      </c>
      <c r="K896" s="251" t="str">
        <f>IFERROR(__xludf.DUMMYFUNCTION("""COMPUTED_VALUE"""),"Small")</f>
        <v>Small</v>
      </c>
      <c r="L896" s="251">
        <f>IFERROR(__xludf.DUMMYFUNCTION("""COMPUTED_VALUE"""),1.0)</f>
        <v>1</v>
      </c>
      <c r="M896" s="251" t="str">
        <f>IFERROR(__xludf.DUMMYFUNCTION("""COMPUTED_VALUE"""),"Cave")</f>
        <v>Cave</v>
      </c>
      <c r="N896" s="251" t="str">
        <f>IFERROR(__xludf.DUMMYFUNCTION("""COMPUTED_VALUE"""),"Flier")</f>
        <v>Flier</v>
      </c>
      <c r="O896" s="251" t="str">
        <f>IFERROR(__xludf.DUMMYFUNCTION("""COMPUTED_VALUE"""),"--")</f>
        <v>--</v>
      </c>
      <c r="P896" s="251" t="str">
        <f>IFERROR(__xludf.DUMMYFUNCTION("""COMPUTED_VALUE"""),"--")</f>
        <v>--</v>
      </c>
      <c r="Q896" s="251" t="str">
        <f>IFERROR(__xludf.DUMMYFUNCTION("""COMPUTED_VALUE"""),"--")</f>
        <v>--</v>
      </c>
      <c r="R896" s="251" t="str">
        <f>IFERROR(__xludf.DUMMYFUNCTION("""COMPUTED_VALUE"""),"Darkvision")</f>
        <v>Darkvision</v>
      </c>
      <c r="S896" s="251" t="str">
        <f>IFERROR(__xludf.DUMMYFUNCTION("""COMPUTED_VALUE"""),"Telekinetic")</f>
        <v>Telekinetic</v>
      </c>
      <c r="T896" s="251" t="str">
        <f>IFERROR(__xludf.DUMMYFUNCTION("""COMPUTED_VALUE"""),"--")</f>
        <v>--</v>
      </c>
      <c r="U896" s="251" t="str">
        <f>IFERROR(__xludf.DUMMYFUNCTION("""COMPUTED_VALUE"""),"--")</f>
        <v>--</v>
      </c>
      <c r="V896" s="251" t="str">
        <f>IFERROR(__xludf.DUMMYFUNCTION("""COMPUTED_VALUE"""),"Tracker")</f>
        <v>Tracker</v>
      </c>
      <c r="W896" s="251" t="str">
        <f>IFERROR(__xludf.DUMMYFUNCTION("""COMPUTED_VALUE"""),"--")</f>
        <v>--</v>
      </c>
      <c r="X896" s="251" t="str">
        <f>IFERROR(__xludf.DUMMYFUNCTION("""COMPUTED_VALUE"""),"--")</f>
        <v>--</v>
      </c>
      <c r="Y896" s="251" t="str">
        <f>IFERROR(__xludf.DUMMYFUNCTION("""COMPUTED_VALUE"""),"--")</f>
        <v>--</v>
      </c>
      <c r="Z896" s="251" t="str">
        <f>IFERROR(__xludf.DUMMYFUNCTION("""COMPUTED_VALUE"""),"--")</f>
        <v>--</v>
      </c>
      <c r="AA896" s="251" t="str">
        <f>IFERROR(__xludf.DUMMYFUNCTION("""COMPUTED_VALUE"""),"--")</f>
        <v>--</v>
      </c>
      <c r="AB896" s="251" t="str">
        <f>IFERROR(__xludf.DUMMYFUNCTION("""COMPUTED_VALUE"""),"--")</f>
        <v>--</v>
      </c>
      <c r="AC896" s="251" t="str">
        <f>IFERROR(__xludf.DUMMYFUNCTION("""COMPUTED_VALUE"""),"--")</f>
        <v>--</v>
      </c>
      <c r="AD896" s="251">
        <f>IFERROR(__xludf.DUMMYFUNCTION("""COMPUTED_VALUE"""),3.0)</f>
        <v>3</v>
      </c>
      <c r="AE896" s="251" t="str">
        <f>IFERROR(__xludf.DUMMYFUNCTION("""COMPUTED_VALUE"""),"Herbivore")</f>
        <v>Herbivore</v>
      </c>
    </row>
    <row r="897">
      <c r="A897" s="251" t="str">
        <f>IFERROR(__xludf.DUMMYFUNCTION("""COMPUTED_VALUE"""),"Elgyem")</f>
        <v>Elgyem</v>
      </c>
      <c r="B897" s="251" t="str">
        <f>IFERROR(__xludf.DUMMYFUNCTION("""COMPUTED_VALUE"""),"Psychic")</f>
        <v>Psychic</v>
      </c>
      <c r="C897" s="251" t="str">
        <f>IFERROR(__xludf.DUMMYFUNCTION("""COMPUTED_VALUE"""),"None")</f>
        <v>None</v>
      </c>
      <c r="D897" s="251">
        <f>IFERROR(__xludf.DUMMYFUNCTION("""COMPUTED_VALUE"""),6.0)</f>
        <v>6</v>
      </c>
      <c r="E897" s="251">
        <f>IFERROR(__xludf.DUMMYFUNCTION("""COMPUTED_VALUE"""),6.0)</f>
        <v>6</v>
      </c>
      <c r="F897" s="251">
        <f>IFERROR(__xludf.DUMMYFUNCTION("""COMPUTED_VALUE"""),6.0)</f>
        <v>6</v>
      </c>
      <c r="G897" s="251">
        <f>IFERROR(__xludf.DUMMYFUNCTION("""COMPUTED_VALUE"""),9.0)</f>
        <v>9</v>
      </c>
      <c r="H897" s="251">
        <f>IFERROR(__xludf.DUMMYFUNCTION("""COMPUTED_VALUE"""),6.0)</f>
        <v>6</v>
      </c>
      <c r="I897" s="251">
        <f>IFERROR(__xludf.DUMMYFUNCTION("""COMPUTED_VALUE"""),3.0)</f>
        <v>3</v>
      </c>
      <c r="J897" s="251">
        <f>IFERROR(__xludf.DUMMYFUNCTION("""COMPUTED_VALUE"""),1.0)</f>
        <v>1</v>
      </c>
      <c r="K897" s="251" t="str">
        <f>IFERROR(__xludf.DUMMYFUNCTION("""COMPUTED_VALUE"""),"Small")</f>
        <v>Small</v>
      </c>
      <c r="L897" s="251">
        <f>IFERROR(__xludf.DUMMYFUNCTION("""COMPUTED_VALUE"""),1.0)</f>
        <v>1</v>
      </c>
      <c r="M897" s="251" t="str">
        <f>IFERROR(__xludf.DUMMYFUNCTION("""COMPUTED_VALUE"""),"Space, Urban")</f>
        <v>Space, Urban</v>
      </c>
      <c r="N897" s="251" t="str">
        <f>IFERROR(__xludf.DUMMYFUNCTION("""COMPUTED_VALUE"""),"Flier")</f>
        <v>Flier</v>
      </c>
      <c r="O897" s="251" t="str">
        <f>IFERROR(__xludf.DUMMYFUNCTION("""COMPUTED_VALUE"""),"Teleporter")</f>
        <v>Teleporter</v>
      </c>
      <c r="P897" s="251" t="str">
        <f>IFERROR(__xludf.DUMMYFUNCTION("""COMPUTED_VALUE"""),"--")</f>
        <v>--</v>
      </c>
      <c r="Q897" s="251" t="str">
        <f>IFERROR(__xludf.DUMMYFUNCTION("""COMPUTED_VALUE"""),"--")</f>
        <v>--</v>
      </c>
      <c r="R897" s="251" t="str">
        <f>IFERROR(__xludf.DUMMYFUNCTION("""COMPUTED_VALUE"""),"Telekinetic")</f>
        <v>Telekinetic</v>
      </c>
      <c r="S897" s="251" t="str">
        <f>IFERROR(__xludf.DUMMYFUNCTION("""COMPUTED_VALUE"""),"Underdog")</f>
        <v>Underdog</v>
      </c>
      <c r="T897" s="251" t="str">
        <f>IFERROR(__xludf.DUMMYFUNCTION("""COMPUTED_VALUE"""),"--")</f>
        <v>--</v>
      </c>
      <c r="U897" s="251" t="str">
        <f>IFERROR(__xludf.DUMMYFUNCTION("""COMPUTED_VALUE"""),"--")</f>
        <v>--</v>
      </c>
      <c r="V897" s="251" t="str">
        <f>IFERROR(__xludf.DUMMYFUNCTION("""COMPUTED_VALUE"""),"Telepath")</f>
        <v>Telepath</v>
      </c>
      <c r="W897" s="251" t="str">
        <f>IFERROR(__xludf.DUMMYFUNCTION("""COMPUTED_VALUE"""),"--")</f>
        <v>--</v>
      </c>
      <c r="X897" s="251" t="str">
        <f>IFERROR(__xludf.DUMMYFUNCTION("""COMPUTED_VALUE"""),"--")</f>
        <v>--</v>
      </c>
      <c r="Y897" s="251" t="str">
        <f>IFERROR(__xludf.DUMMYFUNCTION("""COMPUTED_VALUE"""),"--")</f>
        <v>--</v>
      </c>
      <c r="Z897" s="251" t="str">
        <f>IFERROR(__xludf.DUMMYFUNCTION("""COMPUTED_VALUE"""),"--")</f>
        <v>--</v>
      </c>
      <c r="AA897" s="251" t="str">
        <f>IFERROR(__xludf.DUMMYFUNCTION("""COMPUTED_VALUE"""),"--")</f>
        <v>--</v>
      </c>
      <c r="AB897" s="251" t="str">
        <f>IFERROR(__xludf.DUMMYFUNCTION("""COMPUTED_VALUE"""),"--")</f>
        <v>--</v>
      </c>
      <c r="AC897" s="251" t="str">
        <f>IFERROR(__xludf.DUMMYFUNCTION("""COMPUTED_VALUE"""),"--")</f>
        <v>--</v>
      </c>
      <c r="AD897" s="251">
        <f>IFERROR(__xludf.DUMMYFUNCTION("""COMPUTED_VALUE"""),2.0)</f>
        <v>2</v>
      </c>
      <c r="AE897" s="251" t="str">
        <f>IFERROR(__xludf.DUMMYFUNCTION("""COMPUTED_VALUE"""),"Nullivore")</f>
        <v>Nullivore</v>
      </c>
    </row>
    <row r="898">
      <c r="A898" s="251" t="str">
        <f>IFERROR(__xludf.DUMMYFUNCTION("""COMPUTED_VALUE"""),"Beheeyem")</f>
        <v>Beheeyem</v>
      </c>
      <c r="B898" s="251" t="str">
        <f>IFERROR(__xludf.DUMMYFUNCTION("""COMPUTED_VALUE"""),"Psychic")</f>
        <v>Psychic</v>
      </c>
      <c r="C898" s="251" t="str">
        <f>IFERROR(__xludf.DUMMYFUNCTION("""COMPUTED_VALUE"""),"None")</f>
        <v>None</v>
      </c>
      <c r="D898" s="251">
        <f>IFERROR(__xludf.DUMMYFUNCTION("""COMPUTED_VALUE"""),8.0)</f>
        <v>8</v>
      </c>
      <c r="E898" s="251">
        <f>IFERROR(__xludf.DUMMYFUNCTION("""COMPUTED_VALUE"""),8.0)</f>
        <v>8</v>
      </c>
      <c r="F898" s="251">
        <f>IFERROR(__xludf.DUMMYFUNCTION("""COMPUTED_VALUE"""),8.0)</f>
        <v>8</v>
      </c>
      <c r="G898" s="251">
        <f>IFERROR(__xludf.DUMMYFUNCTION("""COMPUTED_VALUE"""),13.0)</f>
        <v>13</v>
      </c>
      <c r="H898" s="251">
        <f>IFERROR(__xludf.DUMMYFUNCTION("""COMPUTED_VALUE"""),10.0)</f>
        <v>10</v>
      </c>
      <c r="I898" s="251">
        <f>IFERROR(__xludf.DUMMYFUNCTION("""COMPUTED_VALUE"""),4.0)</f>
        <v>4</v>
      </c>
      <c r="J898" s="251">
        <f>IFERROR(__xludf.DUMMYFUNCTION("""COMPUTED_VALUE"""),3.0)</f>
        <v>3</v>
      </c>
      <c r="K898" s="251" t="str">
        <f>IFERROR(__xludf.DUMMYFUNCTION("""COMPUTED_VALUE"""),"Medium")</f>
        <v>Medium</v>
      </c>
      <c r="L898" s="251">
        <f>IFERROR(__xludf.DUMMYFUNCTION("""COMPUTED_VALUE"""),3.0)</f>
        <v>3</v>
      </c>
      <c r="M898" s="251" t="str">
        <f>IFERROR(__xludf.DUMMYFUNCTION("""COMPUTED_VALUE"""),"Space, Urban")</f>
        <v>Space, Urban</v>
      </c>
      <c r="N898" s="251" t="str">
        <f>IFERROR(__xludf.DUMMYFUNCTION("""COMPUTED_VALUE"""),"Flier")</f>
        <v>Flier</v>
      </c>
      <c r="O898" s="251" t="str">
        <f>IFERROR(__xludf.DUMMYFUNCTION("""COMPUTED_VALUE"""),"Teleporter")</f>
        <v>Teleporter</v>
      </c>
      <c r="P898" s="251" t="str">
        <f>IFERROR(__xludf.DUMMYFUNCTION("""COMPUTED_VALUE"""),"--")</f>
        <v>--</v>
      </c>
      <c r="Q898" s="251" t="str">
        <f>IFERROR(__xludf.DUMMYFUNCTION("""COMPUTED_VALUE"""),"--")</f>
        <v>--</v>
      </c>
      <c r="R898" s="251" t="str">
        <f>IFERROR(__xludf.DUMMYFUNCTION("""COMPUTED_VALUE"""),"Telekinetic")</f>
        <v>Telekinetic</v>
      </c>
      <c r="S898" s="251" t="str">
        <f>IFERROR(__xludf.DUMMYFUNCTION("""COMPUTED_VALUE"""),"--")</f>
        <v>--</v>
      </c>
      <c r="T898" s="251" t="str">
        <f>IFERROR(__xludf.DUMMYFUNCTION("""COMPUTED_VALUE"""),"--")</f>
        <v>--</v>
      </c>
      <c r="U898" s="251" t="str">
        <f>IFERROR(__xludf.DUMMYFUNCTION("""COMPUTED_VALUE"""),"--")</f>
        <v>--</v>
      </c>
      <c r="V898" s="251" t="str">
        <f>IFERROR(__xludf.DUMMYFUNCTION("""COMPUTED_VALUE"""),"Telepath")</f>
        <v>Telepath</v>
      </c>
      <c r="W898" s="251" t="str">
        <f>IFERROR(__xludf.DUMMYFUNCTION("""COMPUTED_VALUE"""),"--")</f>
        <v>--</v>
      </c>
      <c r="X898" s="251" t="str">
        <f>IFERROR(__xludf.DUMMYFUNCTION("""COMPUTED_VALUE"""),"--")</f>
        <v>--</v>
      </c>
      <c r="Y898" s="251" t="str">
        <f>IFERROR(__xludf.DUMMYFUNCTION("""COMPUTED_VALUE"""),"--")</f>
        <v>--</v>
      </c>
      <c r="Z898" s="251" t="str">
        <f>IFERROR(__xludf.DUMMYFUNCTION("""COMPUTED_VALUE"""),"--")</f>
        <v>--</v>
      </c>
      <c r="AA898" s="251" t="str">
        <f>IFERROR(__xludf.DUMMYFUNCTION("""COMPUTED_VALUE"""),"--")</f>
        <v>--</v>
      </c>
      <c r="AB898" s="251" t="str">
        <f>IFERROR(__xludf.DUMMYFUNCTION("""COMPUTED_VALUE"""),"--")</f>
        <v>--</v>
      </c>
      <c r="AC898" s="251" t="str">
        <f>IFERROR(__xludf.DUMMYFUNCTION("""COMPUTED_VALUE"""),"--")</f>
        <v>--</v>
      </c>
      <c r="AD898" s="251">
        <f>IFERROR(__xludf.DUMMYFUNCTION("""COMPUTED_VALUE"""),3.0)</f>
        <v>3</v>
      </c>
      <c r="AE898" s="251" t="str">
        <f>IFERROR(__xludf.DUMMYFUNCTION("""COMPUTED_VALUE"""),"Nullivore")</f>
        <v>Nullivore</v>
      </c>
    </row>
    <row r="899">
      <c r="A899" s="251" t="str">
        <f>IFERROR(__xludf.DUMMYFUNCTION("""COMPUTED_VALUE"""),"Espurr")</f>
        <v>Espurr</v>
      </c>
      <c r="B899" s="251" t="str">
        <f>IFERROR(__xludf.DUMMYFUNCTION("""COMPUTED_VALUE"""),"Psychic")</f>
        <v>Psychic</v>
      </c>
      <c r="C899" s="251" t="str">
        <f>IFERROR(__xludf.DUMMYFUNCTION("""COMPUTED_VALUE"""),"None")</f>
        <v>None</v>
      </c>
      <c r="D899" s="251">
        <f>IFERROR(__xludf.DUMMYFUNCTION("""COMPUTED_VALUE"""),6.0)</f>
        <v>6</v>
      </c>
      <c r="E899" s="251">
        <f>IFERROR(__xludf.DUMMYFUNCTION("""COMPUTED_VALUE"""),5.0)</f>
        <v>5</v>
      </c>
      <c r="F899" s="251">
        <f>IFERROR(__xludf.DUMMYFUNCTION("""COMPUTED_VALUE"""),5.0)</f>
        <v>5</v>
      </c>
      <c r="G899" s="251">
        <f>IFERROR(__xludf.DUMMYFUNCTION("""COMPUTED_VALUE"""),6.0)</f>
        <v>6</v>
      </c>
      <c r="H899" s="251">
        <f>IFERROR(__xludf.DUMMYFUNCTION("""COMPUTED_VALUE"""),6.0)</f>
        <v>6</v>
      </c>
      <c r="I899" s="251">
        <f>IFERROR(__xludf.DUMMYFUNCTION("""COMPUTED_VALUE"""),7.0)</f>
        <v>7</v>
      </c>
      <c r="J899" s="251">
        <f>IFERROR(__xludf.DUMMYFUNCTION("""COMPUTED_VALUE"""),1.0)</f>
        <v>1</v>
      </c>
      <c r="K899" s="251" t="str">
        <f>IFERROR(__xludf.DUMMYFUNCTION("""COMPUTED_VALUE"""),"Small")</f>
        <v>Small</v>
      </c>
      <c r="L899" s="251">
        <f>IFERROR(__xludf.DUMMYFUNCTION("""COMPUTED_VALUE"""),1.0)</f>
        <v>1</v>
      </c>
      <c r="M899" s="251" t="str">
        <f>IFERROR(__xludf.DUMMYFUNCTION("""COMPUTED_VALUE"""),"Grasslands, Urban")</f>
        <v>Grasslands, Urban</v>
      </c>
      <c r="N899" s="251" t="str">
        <f>IFERROR(__xludf.DUMMYFUNCTION("""COMPUTED_VALUE"""),"--")</f>
        <v>--</v>
      </c>
      <c r="O899" s="251" t="str">
        <f>IFERROR(__xludf.DUMMYFUNCTION("""COMPUTED_VALUE"""),"--")</f>
        <v>--</v>
      </c>
      <c r="P899" s="251" t="str">
        <f>IFERROR(__xludf.DUMMYFUNCTION("""COMPUTED_VALUE"""),"--")</f>
        <v>--</v>
      </c>
      <c r="Q899" s="251" t="str">
        <f>IFERROR(__xludf.DUMMYFUNCTION("""COMPUTED_VALUE"""),"--")</f>
        <v>--</v>
      </c>
      <c r="R899" s="251" t="str">
        <f>IFERROR(__xludf.DUMMYFUNCTION("""COMPUTED_VALUE"""),"Telekinetic")</f>
        <v>Telekinetic</v>
      </c>
      <c r="S899" s="251" t="str">
        <f>IFERROR(__xludf.DUMMYFUNCTION("""COMPUTED_VALUE"""),"Underdog")</f>
        <v>Underdog</v>
      </c>
      <c r="T899" s="251" t="str">
        <f>IFERROR(__xludf.DUMMYFUNCTION("""COMPUTED_VALUE"""),"--")</f>
        <v>--</v>
      </c>
      <c r="U899" s="251" t="str">
        <f>IFERROR(__xludf.DUMMYFUNCTION("""COMPUTED_VALUE"""),"--")</f>
        <v>--</v>
      </c>
      <c r="V899" s="251" t="str">
        <f>IFERROR(__xludf.DUMMYFUNCTION("""COMPUTED_VALUE"""),"Telepath")</f>
        <v>Telepath</v>
      </c>
      <c r="W899" s="251" t="str">
        <f>IFERROR(__xludf.DUMMYFUNCTION("""COMPUTED_VALUE"""),"--")</f>
        <v>--</v>
      </c>
      <c r="X899" s="251" t="str">
        <f>IFERROR(__xludf.DUMMYFUNCTION("""COMPUTED_VALUE"""),"--")</f>
        <v>--</v>
      </c>
      <c r="Y899" s="251" t="str">
        <f>IFERROR(__xludf.DUMMYFUNCTION("""COMPUTED_VALUE"""),"--")</f>
        <v>--</v>
      </c>
      <c r="Z899" s="251" t="str">
        <f>IFERROR(__xludf.DUMMYFUNCTION("""COMPUTED_VALUE"""),"--")</f>
        <v>--</v>
      </c>
      <c r="AA899" s="251" t="str">
        <f>IFERROR(__xludf.DUMMYFUNCTION("""COMPUTED_VALUE"""),"--")</f>
        <v>--</v>
      </c>
      <c r="AB899" s="251" t="str">
        <f>IFERROR(__xludf.DUMMYFUNCTION("""COMPUTED_VALUE"""),"--")</f>
        <v>--</v>
      </c>
      <c r="AC899" s="251" t="str">
        <f>IFERROR(__xludf.DUMMYFUNCTION("""COMPUTED_VALUE"""),"--")</f>
        <v>--</v>
      </c>
      <c r="AD899" s="251">
        <f>IFERROR(__xludf.DUMMYFUNCTION("""COMPUTED_VALUE"""),2.0)</f>
        <v>2</v>
      </c>
      <c r="AE899" s="251" t="str">
        <f>IFERROR(__xludf.DUMMYFUNCTION("""COMPUTED_VALUE"""),"Carnivore")</f>
        <v>Carnivore</v>
      </c>
    </row>
    <row r="900">
      <c r="A900" s="251" t="str">
        <f>IFERROR(__xludf.DUMMYFUNCTION("""COMPUTED_VALUE"""),"Meowstic Male")</f>
        <v>Meowstic Male</v>
      </c>
      <c r="B900" s="251" t="str">
        <f>IFERROR(__xludf.DUMMYFUNCTION("""COMPUTED_VALUE"""),"Psychic")</f>
        <v>Psychic</v>
      </c>
      <c r="C900" s="251" t="str">
        <f>IFERROR(__xludf.DUMMYFUNCTION("""COMPUTED_VALUE"""),"None")</f>
        <v>None</v>
      </c>
      <c r="D900" s="251">
        <f>IFERROR(__xludf.DUMMYFUNCTION("""COMPUTED_VALUE"""),8.0)</f>
        <v>8</v>
      </c>
      <c r="E900" s="251">
        <f>IFERROR(__xludf.DUMMYFUNCTION("""COMPUTED_VALUE"""),5.0)</f>
        <v>5</v>
      </c>
      <c r="F900" s="251">
        <f>IFERROR(__xludf.DUMMYFUNCTION("""COMPUTED_VALUE"""),9.0)</f>
        <v>9</v>
      </c>
      <c r="G900" s="251">
        <f>IFERROR(__xludf.DUMMYFUNCTION("""COMPUTED_VALUE"""),9.0)</f>
        <v>9</v>
      </c>
      <c r="H900" s="251">
        <f>IFERROR(__xludf.DUMMYFUNCTION("""COMPUTED_VALUE"""),9.0)</f>
        <v>9</v>
      </c>
      <c r="I900" s="251">
        <f>IFERROR(__xludf.DUMMYFUNCTION("""COMPUTED_VALUE"""),11.0)</f>
        <v>11</v>
      </c>
      <c r="J900" s="251">
        <f>IFERROR(__xludf.DUMMYFUNCTION("""COMPUTED_VALUE"""),2.0)</f>
        <v>2</v>
      </c>
      <c r="K900" s="251" t="str">
        <f>IFERROR(__xludf.DUMMYFUNCTION("""COMPUTED_VALUE"""),"Small")</f>
        <v>Small</v>
      </c>
      <c r="L900" s="251">
        <f>IFERROR(__xludf.DUMMYFUNCTION("""COMPUTED_VALUE"""),1.0)</f>
        <v>1</v>
      </c>
      <c r="M900" s="251" t="str">
        <f>IFERROR(__xludf.DUMMYFUNCTION("""COMPUTED_VALUE"""),"Grasslands, Urban")</f>
        <v>Grasslands, Urban</v>
      </c>
      <c r="N900" s="251" t="str">
        <f>IFERROR(__xludf.DUMMYFUNCTION("""COMPUTED_VALUE"""),"--")</f>
        <v>--</v>
      </c>
      <c r="O900" s="251" t="str">
        <f>IFERROR(__xludf.DUMMYFUNCTION("""COMPUTED_VALUE"""),"--")</f>
        <v>--</v>
      </c>
      <c r="P900" s="251" t="str">
        <f>IFERROR(__xludf.DUMMYFUNCTION("""COMPUTED_VALUE"""),"--")</f>
        <v>--</v>
      </c>
      <c r="Q900" s="251" t="str">
        <f>IFERROR(__xludf.DUMMYFUNCTION("""COMPUTED_VALUE"""),"--")</f>
        <v>--</v>
      </c>
      <c r="R900" s="251" t="str">
        <f>IFERROR(__xludf.DUMMYFUNCTION("""COMPUTED_VALUE"""),"Telekinetic")</f>
        <v>Telekinetic</v>
      </c>
      <c r="S900" s="251" t="str">
        <f>IFERROR(__xludf.DUMMYFUNCTION("""COMPUTED_VALUE"""),"--")</f>
        <v>--</v>
      </c>
      <c r="T900" s="251" t="str">
        <f>IFERROR(__xludf.DUMMYFUNCTION("""COMPUTED_VALUE"""),"--")</f>
        <v>--</v>
      </c>
      <c r="U900" s="251" t="str">
        <f>IFERROR(__xludf.DUMMYFUNCTION("""COMPUTED_VALUE"""),"--")</f>
        <v>--</v>
      </c>
      <c r="V900" s="251" t="str">
        <f>IFERROR(__xludf.DUMMYFUNCTION("""COMPUTED_VALUE"""),"Telepath")</f>
        <v>Telepath</v>
      </c>
      <c r="W900" s="251" t="str">
        <f>IFERROR(__xludf.DUMMYFUNCTION("""COMPUTED_VALUE"""),"--")</f>
        <v>--</v>
      </c>
      <c r="X900" s="251" t="str">
        <f>IFERROR(__xludf.DUMMYFUNCTION("""COMPUTED_VALUE"""),"--")</f>
        <v>--</v>
      </c>
      <c r="Y900" s="251" t="str">
        <f>IFERROR(__xludf.DUMMYFUNCTION("""COMPUTED_VALUE"""),"--")</f>
        <v>--</v>
      </c>
      <c r="Z900" s="251" t="str">
        <f>IFERROR(__xludf.DUMMYFUNCTION("""COMPUTED_VALUE"""),"--")</f>
        <v>--</v>
      </c>
      <c r="AA900" s="251" t="str">
        <f>IFERROR(__xludf.DUMMYFUNCTION("""COMPUTED_VALUE"""),"--")</f>
        <v>--</v>
      </c>
      <c r="AB900" s="251" t="str">
        <f>IFERROR(__xludf.DUMMYFUNCTION("""COMPUTED_VALUE"""),"--")</f>
        <v>--</v>
      </c>
      <c r="AC900" s="251" t="str">
        <f>IFERROR(__xludf.DUMMYFUNCTION("""COMPUTED_VALUE"""),"--")</f>
        <v>--</v>
      </c>
      <c r="AD900" s="251">
        <f>IFERROR(__xludf.DUMMYFUNCTION("""COMPUTED_VALUE"""),3.0)</f>
        <v>3</v>
      </c>
      <c r="AE900" s="251" t="str">
        <f>IFERROR(__xludf.DUMMYFUNCTION("""COMPUTED_VALUE"""),"Carnivore")</f>
        <v>Carnivore</v>
      </c>
    </row>
    <row r="901">
      <c r="A901" s="251" t="str">
        <f>IFERROR(__xludf.DUMMYFUNCTION("""COMPUTED_VALUE"""),"Meowstic Female")</f>
        <v>Meowstic Female</v>
      </c>
      <c r="B901" s="251" t="str">
        <f>IFERROR(__xludf.DUMMYFUNCTION("""COMPUTED_VALUE"""),"Psychic")</f>
        <v>Psychic</v>
      </c>
      <c r="C901" s="251" t="str">
        <f>IFERROR(__xludf.DUMMYFUNCTION("""COMPUTED_VALUE"""),"None")</f>
        <v>None</v>
      </c>
      <c r="D901" s="251">
        <f>IFERROR(__xludf.DUMMYFUNCTION("""COMPUTED_VALUE"""),8.0)</f>
        <v>8</v>
      </c>
      <c r="E901" s="251">
        <f>IFERROR(__xludf.DUMMYFUNCTION("""COMPUTED_VALUE"""),5.0)</f>
        <v>5</v>
      </c>
      <c r="F901" s="251">
        <f>IFERROR(__xludf.DUMMYFUNCTION("""COMPUTED_VALUE"""),9.0)</f>
        <v>9</v>
      </c>
      <c r="G901" s="251">
        <f>IFERROR(__xludf.DUMMYFUNCTION("""COMPUTED_VALUE"""),11.0)</f>
        <v>11</v>
      </c>
      <c r="H901" s="251">
        <f>IFERROR(__xludf.DUMMYFUNCTION("""COMPUTED_VALUE"""),9.0)</f>
        <v>9</v>
      </c>
      <c r="I901" s="251">
        <f>IFERROR(__xludf.DUMMYFUNCTION("""COMPUTED_VALUE"""),9.0)</f>
        <v>9</v>
      </c>
      <c r="J901" s="251">
        <f>IFERROR(__xludf.DUMMYFUNCTION("""COMPUTED_VALUE"""),2.0)</f>
        <v>2</v>
      </c>
      <c r="K901" s="251" t="str">
        <f>IFERROR(__xludf.DUMMYFUNCTION("""COMPUTED_VALUE"""),"Small")</f>
        <v>Small</v>
      </c>
      <c r="L901" s="251">
        <f>IFERROR(__xludf.DUMMYFUNCTION("""COMPUTED_VALUE"""),1.0)</f>
        <v>1</v>
      </c>
      <c r="M901" s="251" t="str">
        <f>IFERROR(__xludf.DUMMYFUNCTION("""COMPUTED_VALUE"""),"Grasslands, Urban")</f>
        <v>Grasslands, Urban</v>
      </c>
      <c r="N901" s="251" t="str">
        <f>IFERROR(__xludf.DUMMYFUNCTION("""COMPUTED_VALUE"""),"--")</f>
        <v>--</v>
      </c>
      <c r="O901" s="251" t="str">
        <f>IFERROR(__xludf.DUMMYFUNCTION("""COMPUTED_VALUE"""),"--")</f>
        <v>--</v>
      </c>
      <c r="P901" s="251" t="str">
        <f>IFERROR(__xludf.DUMMYFUNCTION("""COMPUTED_VALUE"""),"--")</f>
        <v>--</v>
      </c>
      <c r="Q901" s="251" t="str">
        <f>IFERROR(__xludf.DUMMYFUNCTION("""COMPUTED_VALUE"""),"--")</f>
        <v>--</v>
      </c>
      <c r="R901" s="251" t="str">
        <f>IFERROR(__xludf.DUMMYFUNCTION("""COMPUTED_VALUE"""),"Telekinetic")</f>
        <v>Telekinetic</v>
      </c>
      <c r="S901" s="251" t="str">
        <f>IFERROR(__xludf.DUMMYFUNCTION("""COMPUTED_VALUE"""),"--")</f>
        <v>--</v>
      </c>
      <c r="T901" s="251" t="str">
        <f>IFERROR(__xludf.DUMMYFUNCTION("""COMPUTED_VALUE"""),"--")</f>
        <v>--</v>
      </c>
      <c r="U901" s="251" t="str">
        <f>IFERROR(__xludf.DUMMYFUNCTION("""COMPUTED_VALUE"""),"--")</f>
        <v>--</v>
      </c>
      <c r="V901" s="251" t="str">
        <f>IFERROR(__xludf.DUMMYFUNCTION("""COMPUTED_VALUE"""),"Telepath")</f>
        <v>Telepath</v>
      </c>
      <c r="W901" s="251" t="str">
        <f>IFERROR(__xludf.DUMMYFUNCTION("""COMPUTED_VALUE"""),"--")</f>
        <v>--</v>
      </c>
      <c r="X901" s="251" t="str">
        <f>IFERROR(__xludf.DUMMYFUNCTION("""COMPUTED_VALUE"""),"--")</f>
        <v>--</v>
      </c>
      <c r="Y901" s="251" t="str">
        <f>IFERROR(__xludf.DUMMYFUNCTION("""COMPUTED_VALUE"""),"--")</f>
        <v>--</v>
      </c>
      <c r="Z901" s="251" t="str">
        <f>IFERROR(__xludf.DUMMYFUNCTION("""COMPUTED_VALUE"""),"--")</f>
        <v>--</v>
      </c>
      <c r="AA901" s="251" t="str">
        <f>IFERROR(__xludf.DUMMYFUNCTION("""COMPUTED_VALUE"""),"--")</f>
        <v>--</v>
      </c>
      <c r="AB901" s="251" t="str">
        <f>IFERROR(__xludf.DUMMYFUNCTION("""COMPUTED_VALUE"""),"--")</f>
        <v>--</v>
      </c>
      <c r="AC901" s="251" t="str">
        <f>IFERROR(__xludf.DUMMYFUNCTION("""COMPUTED_VALUE"""),"--")</f>
        <v>--</v>
      </c>
      <c r="AD901" s="251">
        <f>IFERROR(__xludf.DUMMYFUNCTION("""COMPUTED_VALUE"""),3.0)</f>
        <v>3</v>
      </c>
      <c r="AE901" s="251" t="str">
        <f>IFERROR(__xludf.DUMMYFUNCTION("""COMPUTED_VALUE"""),"Carnivore")</f>
        <v>Carnivore</v>
      </c>
    </row>
    <row r="902">
      <c r="A902" s="251" t="str">
        <f>IFERROR(__xludf.DUMMYFUNCTION("""COMPUTED_VALUE"""),"Flittle")</f>
        <v>Flittle</v>
      </c>
      <c r="B902" s="251" t="str">
        <f>IFERROR(__xludf.DUMMYFUNCTION("""COMPUTED_VALUE"""),"Psychic")</f>
        <v>Psychic</v>
      </c>
      <c r="C902" s="251" t="str">
        <f>IFERROR(__xludf.DUMMYFUNCTION("""COMPUTED_VALUE"""),"None")</f>
        <v>None</v>
      </c>
      <c r="D902" s="251">
        <f>IFERROR(__xludf.DUMMYFUNCTION("""COMPUTED_VALUE"""),4.0)</f>
        <v>4</v>
      </c>
      <c r="E902" s="251">
        <f>IFERROR(__xludf.DUMMYFUNCTION("""COMPUTED_VALUE"""),4.0)</f>
        <v>4</v>
      </c>
      <c r="F902" s="251">
        <f>IFERROR(__xludf.DUMMYFUNCTION("""COMPUTED_VALUE"""),3.0)</f>
        <v>3</v>
      </c>
      <c r="G902" s="251">
        <f>IFERROR(__xludf.DUMMYFUNCTION("""COMPUTED_VALUE"""),8.0)</f>
        <v>8</v>
      </c>
      <c r="H902" s="251">
        <f>IFERROR(__xludf.DUMMYFUNCTION("""COMPUTED_VALUE"""),3.0)</f>
        <v>3</v>
      </c>
      <c r="I902" s="251">
        <f>IFERROR(__xludf.DUMMYFUNCTION("""COMPUTED_VALUE"""),8.0)</f>
        <v>8</v>
      </c>
      <c r="J902" s="251">
        <f>IFERROR(__xludf.DUMMYFUNCTION("""COMPUTED_VALUE"""),2.0)</f>
        <v>2</v>
      </c>
      <c r="K902" s="251" t="str">
        <f>IFERROR(__xludf.DUMMYFUNCTION("""COMPUTED_VALUE"""),"Small")</f>
        <v>Small</v>
      </c>
      <c r="L902" s="251">
        <f>IFERROR(__xludf.DUMMYFUNCTION("""COMPUTED_VALUE"""),1.0)</f>
        <v>1</v>
      </c>
      <c r="M902" s="251" t="str">
        <f>IFERROR(__xludf.DUMMYFUNCTION("""COMPUTED_VALUE"""),"Desert, Grasslands")</f>
        <v>Desert, Grasslands</v>
      </c>
      <c r="N902" s="251" t="str">
        <f>IFERROR(__xludf.DUMMYFUNCTION("""COMPUTED_VALUE"""),"Flier")</f>
        <v>Flier</v>
      </c>
      <c r="O902" s="251" t="str">
        <f>IFERROR(__xludf.DUMMYFUNCTION("""COMPUTED_VALUE"""),"--")</f>
        <v>--</v>
      </c>
      <c r="P902" s="251" t="str">
        <f>IFERROR(__xludf.DUMMYFUNCTION("""COMPUTED_VALUE"""),"--")</f>
        <v>--</v>
      </c>
      <c r="Q902" s="251" t="str">
        <f>IFERROR(__xludf.DUMMYFUNCTION("""COMPUTED_VALUE"""),"--")</f>
        <v>--</v>
      </c>
      <c r="R902" s="251" t="str">
        <f>IFERROR(__xludf.DUMMYFUNCTION("""COMPUTED_VALUE"""),"Telekinetic")</f>
        <v>Telekinetic</v>
      </c>
      <c r="S902" s="251" t="str">
        <f>IFERROR(__xludf.DUMMYFUNCTION("""COMPUTED_VALUE"""),"Underdog")</f>
        <v>Underdog</v>
      </c>
      <c r="T902" s="251" t="str">
        <f>IFERROR(__xludf.DUMMYFUNCTION("""COMPUTED_VALUE"""),"--")</f>
        <v>--</v>
      </c>
      <c r="U902" s="251" t="str">
        <f>IFERROR(__xludf.DUMMYFUNCTION("""COMPUTED_VALUE"""),"--")</f>
        <v>--</v>
      </c>
      <c r="V902" s="251" t="str">
        <f>IFERROR(__xludf.DUMMYFUNCTION("""COMPUTED_VALUE"""),"--")</f>
        <v>--</v>
      </c>
      <c r="W902" s="251" t="str">
        <f>IFERROR(__xludf.DUMMYFUNCTION("""COMPUTED_VALUE"""),"--")</f>
        <v>--</v>
      </c>
      <c r="X902" s="251" t="str">
        <f>IFERROR(__xludf.DUMMYFUNCTION("""COMPUTED_VALUE"""),"--")</f>
        <v>--</v>
      </c>
      <c r="Y902" s="251" t="str">
        <f>IFERROR(__xludf.DUMMYFUNCTION("""COMPUTED_VALUE"""),"--")</f>
        <v>--</v>
      </c>
      <c r="Z902" s="251" t="str">
        <f>IFERROR(__xludf.DUMMYFUNCTION("""COMPUTED_VALUE"""),"--")</f>
        <v>--</v>
      </c>
      <c r="AA902" s="251" t="str">
        <f>IFERROR(__xludf.DUMMYFUNCTION("""COMPUTED_VALUE"""),"--")</f>
        <v>--</v>
      </c>
      <c r="AB902" s="251" t="str">
        <f>IFERROR(__xludf.DUMMYFUNCTION("""COMPUTED_VALUE"""),"--")</f>
        <v>--</v>
      </c>
      <c r="AC902" s="251" t="str">
        <f>IFERROR(__xludf.DUMMYFUNCTION("""COMPUTED_VALUE"""),"--")</f>
        <v>--</v>
      </c>
      <c r="AD902" s="251">
        <f>IFERROR(__xludf.DUMMYFUNCTION("""COMPUTED_VALUE"""),2.0)</f>
        <v>2</v>
      </c>
      <c r="AE902" s="251" t="str">
        <f>IFERROR(__xludf.DUMMYFUNCTION("""COMPUTED_VALUE"""),"Omnivore")</f>
        <v>Omnivore</v>
      </c>
    </row>
    <row r="903">
      <c r="A903" s="251" t="str">
        <f>IFERROR(__xludf.DUMMYFUNCTION("""COMPUTED_VALUE"""),"Espathra")</f>
        <v>Espathra</v>
      </c>
      <c r="B903" s="251" t="str">
        <f>IFERROR(__xludf.DUMMYFUNCTION("""COMPUTED_VALUE"""),"Psychic")</f>
        <v>Psychic</v>
      </c>
      <c r="C903" s="251" t="str">
        <f>IFERROR(__xludf.DUMMYFUNCTION("""COMPUTED_VALUE"""),"None")</f>
        <v>None</v>
      </c>
      <c r="D903" s="251">
        <f>IFERROR(__xludf.DUMMYFUNCTION("""COMPUTED_VALUE"""),11.0)</f>
        <v>11</v>
      </c>
      <c r="E903" s="251">
        <f>IFERROR(__xludf.DUMMYFUNCTION("""COMPUTED_VALUE"""),6.0)</f>
        <v>6</v>
      </c>
      <c r="F903" s="251">
        <f>IFERROR(__xludf.DUMMYFUNCTION("""COMPUTED_VALUE"""),6.0)</f>
        <v>6</v>
      </c>
      <c r="G903" s="251">
        <f>IFERROR(__xludf.DUMMYFUNCTION("""COMPUTED_VALUE"""),11.0)</f>
        <v>11</v>
      </c>
      <c r="H903" s="251">
        <f>IFERROR(__xludf.DUMMYFUNCTION("""COMPUTED_VALUE"""),6.0)</f>
        <v>6</v>
      </c>
      <c r="I903" s="251">
        <f>IFERROR(__xludf.DUMMYFUNCTION("""COMPUTED_VALUE"""),11.0)</f>
        <v>11</v>
      </c>
      <c r="J903" s="251">
        <f>IFERROR(__xludf.DUMMYFUNCTION("""COMPUTED_VALUE"""),8.0)</f>
        <v>8</v>
      </c>
      <c r="K903" s="251" t="str">
        <f>IFERROR(__xludf.DUMMYFUNCTION("""COMPUTED_VALUE"""),"Large")</f>
        <v>Large</v>
      </c>
      <c r="L903" s="251">
        <f>IFERROR(__xludf.DUMMYFUNCTION("""COMPUTED_VALUE"""),4.0)</f>
        <v>4</v>
      </c>
      <c r="M903" s="251" t="str">
        <f>IFERROR(__xludf.DUMMYFUNCTION("""COMPUTED_VALUE"""),"Desert, Grasslands")</f>
        <v>Desert, Grasslands</v>
      </c>
      <c r="N903" s="251" t="str">
        <f>IFERROR(__xludf.DUMMYFUNCTION("""COMPUTED_VALUE"""),"Jumper")</f>
        <v>Jumper</v>
      </c>
      <c r="O903" s="251" t="str">
        <f>IFERROR(__xludf.DUMMYFUNCTION("""COMPUTED_VALUE"""),"Quick")</f>
        <v>Quick</v>
      </c>
      <c r="P903" s="251" t="str">
        <f>IFERROR(__xludf.DUMMYFUNCTION("""COMPUTED_VALUE"""),"--")</f>
        <v>--</v>
      </c>
      <c r="Q903" s="251" t="str">
        <f>IFERROR(__xludf.DUMMYFUNCTION("""COMPUTED_VALUE"""),"--")</f>
        <v>--</v>
      </c>
      <c r="R903" s="251" t="str">
        <f>IFERROR(__xludf.DUMMYFUNCTION("""COMPUTED_VALUE"""),"Telekinetic")</f>
        <v>Telekinetic</v>
      </c>
      <c r="S903" s="251" t="str">
        <f>IFERROR(__xludf.DUMMYFUNCTION("""COMPUTED_VALUE"""),"--")</f>
        <v>--</v>
      </c>
      <c r="T903" s="251" t="str">
        <f>IFERROR(__xludf.DUMMYFUNCTION("""COMPUTED_VALUE"""),"--")</f>
        <v>--</v>
      </c>
      <c r="U903" s="251" t="str">
        <f>IFERROR(__xludf.DUMMYFUNCTION("""COMPUTED_VALUE"""),"--")</f>
        <v>--</v>
      </c>
      <c r="V903" s="251" t="str">
        <f>IFERROR(__xludf.DUMMYFUNCTION("""COMPUTED_VALUE"""),"--")</f>
        <v>--</v>
      </c>
      <c r="W903" s="251" t="str">
        <f>IFERROR(__xludf.DUMMYFUNCTION("""COMPUTED_VALUE"""),"--")</f>
        <v>--</v>
      </c>
      <c r="X903" s="251" t="str">
        <f>IFERROR(__xludf.DUMMYFUNCTION("""COMPUTED_VALUE"""),"--")</f>
        <v>--</v>
      </c>
      <c r="Y903" s="251" t="str">
        <f>IFERROR(__xludf.DUMMYFUNCTION("""COMPUTED_VALUE"""),"--")</f>
        <v>--</v>
      </c>
      <c r="Z903" s="251" t="str">
        <f>IFERROR(__xludf.DUMMYFUNCTION("""COMPUTED_VALUE"""),"--")</f>
        <v>--</v>
      </c>
      <c r="AA903" s="251" t="str">
        <f>IFERROR(__xludf.DUMMYFUNCTION("""COMPUTED_VALUE"""),"--")</f>
        <v>--</v>
      </c>
      <c r="AB903" s="251" t="str">
        <f>IFERROR(__xludf.DUMMYFUNCTION("""COMPUTED_VALUE"""),"--")</f>
        <v>--</v>
      </c>
      <c r="AC903" s="251" t="str">
        <f>IFERROR(__xludf.DUMMYFUNCTION("""COMPUTED_VALUE"""),"--")</f>
        <v>--</v>
      </c>
      <c r="AD903" s="251">
        <f>IFERROR(__xludf.DUMMYFUNCTION("""COMPUTED_VALUE"""),3.0)</f>
        <v>3</v>
      </c>
      <c r="AE903" s="251" t="str">
        <f>IFERROR(__xludf.DUMMYFUNCTION("""COMPUTED_VALUE"""),"Omnivore")</f>
        <v>Omnivore</v>
      </c>
    </row>
    <row r="904">
      <c r="A904" s="251" t="str">
        <f>IFERROR(__xludf.DUMMYFUNCTION("""COMPUTED_VALUE"""),"Onix")</f>
        <v>Onix</v>
      </c>
      <c r="B904" s="251" t="str">
        <f>IFERROR(__xludf.DUMMYFUNCTION("""COMPUTED_VALUE"""),"Rock")</f>
        <v>Rock</v>
      </c>
      <c r="C904" s="251" t="str">
        <f>IFERROR(__xludf.DUMMYFUNCTION("""COMPUTED_VALUE"""),"Ground")</f>
        <v>Ground</v>
      </c>
      <c r="D904" s="251">
        <f>IFERROR(__xludf.DUMMYFUNCTION("""COMPUTED_VALUE"""),4.0)</f>
        <v>4</v>
      </c>
      <c r="E904" s="251">
        <f>IFERROR(__xludf.DUMMYFUNCTION("""COMPUTED_VALUE"""),5.0)</f>
        <v>5</v>
      </c>
      <c r="F904" s="251">
        <f>IFERROR(__xludf.DUMMYFUNCTION("""COMPUTED_VALUE"""),16.0)</f>
        <v>16</v>
      </c>
      <c r="G904" s="251">
        <f>IFERROR(__xludf.DUMMYFUNCTION("""COMPUTED_VALUE"""),3.0)</f>
        <v>3</v>
      </c>
      <c r="H904" s="251">
        <f>IFERROR(__xludf.DUMMYFUNCTION("""COMPUTED_VALUE"""),5.0)</f>
        <v>5</v>
      </c>
      <c r="I904" s="251">
        <f>IFERROR(__xludf.DUMMYFUNCTION("""COMPUTED_VALUE"""),7.0)</f>
        <v>7</v>
      </c>
      <c r="J904" s="251">
        <f>IFERROR(__xludf.DUMMYFUNCTION("""COMPUTED_VALUE"""),10.0)</f>
        <v>10</v>
      </c>
      <c r="K904" s="251" t="str">
        <f>IFERROR(__xludf.DUMMYFUNCTION("""COMPUTED_VALUE"""),"Huge")</f>
        <v>Huge</v>
      </c>
      <c r="L904" s="251">
        <f>IFERROR(__xludf.DUMMYFUNCTION("""COMPUTED_VALUE"""),6.0)</f>
        <v>6</v>
      </c>
      <c r="M904" s="251" t="str">
        <f>IFERROR(__xludf.DUMMYFUNCTION("""COMPUTED_VALUE"""),"Cave")</f>
        <v>Cave</v>
      </c>
      <c r="N904" s="251" t="str">
        <f>IFERROR(__xludf.DUMMYFUNCTION("""COMPUTED_VALUE"""),"Burrower")</f>
        <v>Burrower</v>
      </c>
      <c r="O904" s="251" t="str">
        <f>IFERROR(__xludf.DUMMYFUNCTION("""COMPUTED_VALUE"""),"--")</f>
        <v>--</v>
      </c>
      <c r="P904" s="251" t="str">
        <f>IFERROR(__xludf.DUMMYFUNCTION("""COMPUTED_VALUE"""),"--")</f>
        <v>--</v>
      </c>
      <c r="Q904" s="251" t="str">
        <f>IFERROR(__xludf.DUMMYFUNCTION("""COMPUTED_VALUE"""),"--")</f>
        <v>--</v>
      </c>
      <c r="R904" s="251" t="str">
        <f>IFERROR(__xludf.DUMMYFUNCTION("""COMPUTED_VALUE"""),"Groundshaper")</f>
        <v>Groundshaper</v>
      </c>
      <c r="S904" s="251" t="str">
        <f>IFERROR(__xludf.DUMMYFUNCTION("""COMPUTED_VALUE"""),"Mountable")</f>
        <v>Mountable</v>
      </c>
      <c r="T904" s="251" t="str">
        <f>IFERROR(__xludf.DUMMYFUNCTION("""COMPUTED_VALUE"""),"Reach")</f>
        <v>Reach</v>
      </c>
      <c r="U904" s="251" t="str">
        <f>IFERROR(__xludf.DUMMYFUNCTION("""COMPUTED_VALUE"""),"Underdog")</f>
        <v>Underdog</v>
      </c>
      <c r="V904" s="251" t="str">
        <f>IFERROR(__xludf.DUMMYFUNCTION("""COMPUTED_VALUE"""),"Tremorsense")</f>
        <v>Tremorsense</v>
      </c>
      <c r="W904" s="251" t="str">
        <f>IFERROR(__xludf.DUMMYFUNCTION("""COMPUTED_VALUE"""),"--")</f>
        <v>--</v>
      </c>
      <c r="X904" s="251" t="str">
        <f>IFERROR(__xludf.DUMMYFUNCTION("""COMPUTED_VALUE"""),"--")</f>
        <v>--</v>
      </c>
      <c r="Y904" s="251" t="str">
        <f>IFERROR(__xludf.DUMMYFUNCTION("""COMPUTED_VALUE"""),"--")</f>
        <v>--</v>
      </c>
      <c r="Z904" s="251" t="str">
        <f>IFERROR(__xludf.DUMMYFUNCTION("""COMPUTED_VALUE"""),"--")</f>
        <v>--</v>
      </c>
      <c r="AA904" s="251" t="str">
        <f>IFERROR(__xludf.DUMMYFUNCTION("""COMPUTED_VALUE"""),"--")</f>
        <v>--</v>
      </c>
      <c r="AB904" s="251" t="str">
        <f>IFERROR(__xludf.DUMMYFUNCTION("""COMPUTED_VALUE"""),"--")</f>
        <v>--</v>
      </c>
      <c r="AC904" s="251" t="str">
        <f>IFERROR(__xludf.DUMMYFUNCTION("""COMPUTED_VALUE"""),"--")</f>
        <v>--</v>
      </c>
      <c r="AD904" s="251">
        <f>IFERROR(__xludf.DUMMYFUNCTION("""COMPUTED_VALUE"""),2.0)</f>
        <v>2</v>
      </c>
      <c r="AE904" s="251" t="str">
        <f>IFERROR(__xludf.DUMMYFUNCTION("""COMPUTED_VALUE"""),"Terravore")</f>
        <v>Terravore</v>
      </c>
    </row>
    <row r="905">
      <c r="A905" s="251" t="str">
        <f>IFERROR(__xludf.DUMMYFUNCTION("""COMPUTED_VALUE"""),"Steelix")</f>
        <v>Steelix</v>
      </c>
      <c r="B905" s="251" t="str">
        <f>IFERROR(__xludf.DUMMYFUNCTION("""COMPUTED_VALUE"""),"Steel")</f>
        <v>Steel</v>
      </c>
      <c r="C905" s="251" t="str">
        <f>IFERROR(__xludf.DUMMYFUNCTION("""COMPUTED_VALUE"""),"Ground")</f>
        <v>Ground</v>
      </c>
      <c r="D905" s="251">
        <f>IFERROR(__xludf.DUMMYFUNCTION("""COMPUTED_VALUE"""),8.0)</f>
        <v>8</v>
      </c>
      <c r="E905" s="251">
        <f>IFERROR(__xludf.DUMMYFUNCTION("""COMPUTED_VALUE"""),9.0)</f>
        <v>9</v>
      </c>
      <c r="F905" s="251">
        <f>IFERROR(__xludf.DUMMYFUNCTION("""COMPUTED_VALUE"""),20.0)</f>
        <v>20</v>
      </c>
      <c r="G905" s="251">
        <f>IFERROR(__xludf.DUMMYFUNCTION("""COMPUTED_VALUE"""),6.0)</f>
        <v>6</v>
      </c>
      <c r="H905" s="251">
        <f>IFERROR(__xludf.DUMMYFUNCTION("""COMPUTED_VALUE"""),7.0)</f>
        <v>7</v>
      </c>
      <c r="I905" s="251">
        <f>IFERROR(__xludf.DUMMYFUNCTION("""COMPUTED_VALUE"""),3.0)</f>
        <v>3</v>
      </c>
      <c r="J905" s="251">
        <f>IFERROR(__xludf.DUMMYFUNCTION("""COMPUTED_VALUE"""),14.0)</f>
        <v>14</v>
      </c>
      <c r="K905" s="251" t="str">
        <f>IFERROR(__xludf.DUMMYFUNCTION("""COMPUTED_VALUE"""),"Huge")</f>
        <v>Huge</v>
      </c>
      <c r="L905" s="251">
        <f>IFERROR(__xludf.DUMMYFUNCTION("""COMPUTED_VALUE"""),6.0)</f>
        <v>6</v>
      </c>
      <c r="M905" s="251" t="str">
        <f>IFERROR(__xludf.DUMMYFUNCTION("""COMPUTED_VALUE"""),"Cave")</f>
        <v>Cave</v>
      </c>
      <c r="N905" s="251" t="str">
        <f>IFERROR(__xludf.DUMMYFUNCTION("""COMPUTED_VALUE"""),"Burrower")</f>
        <v>Burrower</v>
      </c>
      <c r="O905" s="251" t="str">
        <f>IFERROR(__xludf.DUMMYFUNCTION("""COMPUTED_VALUE"""),"--")</f>
        <v>--</v>
      </c>
      <c r="P905" s="251" t="str">
        <f>IFERROR(__xludf.DUMMYFUNCTION("""COMPUTED_VALUE"""),"--")</f>
        <v>--</v>
      </c>
      <c r="Q905" s="251" t="str">
        <f>IFERROR(__xludf.DUMMYFUNCTION("""COMPUTED_VALUE"""),"--")</f>
        <v>--</v>
      </c>
      <c r="R905" s="251" t="str">
        <f>IFERROR(__xludf.DUMMYFUNCTION("""COMPUTED_VALUE"""),"Groundshaper")</f>
        <v>Groundshaper</v>
      </c>
      <c r="S905" s="251" t="str">
        <f>IFERROR(__xludf.DUMMYFUNCTION("""COMPUTED_VALUE"""),"Mountable")</f>
        <v>Mountable</v>
      </c>
      <c r="T905" s="251" t="str">
        <f>IFERROR(__xludf.DUMMYFUNCTION("""COMPUTED_VALUE"""),"Reach")</f>
        <v>Reach</v>
      </c>
      <c r="U905" s="251" t="str">
        <f>IFERROR(__xludf.DUMMYFUNCTION("""COMPUTED_VALUE"""),"--")</f>
        <v>--</v>
      </c>
      <c r="V905" s="251" t="str">
        <f>IFERROR(__xludf.DUMMYFUNCTION("""COMPUTED_VALUE"""),"Tremorsense")</f>
        <v>Tremorsense</v>
      </c>
      <c r="W905" s="251" t="str">
        <f>IFERROR(__xludf.DUMMYFUNCTION("""COMPUTED_VALUE"""),"--")</f>
        <v>--</v>
      </c>
      <c r="X905" s="251" t="str">
        <f>IFERROR(__xludf.DUMMYFUNCTION("""COMPUTED_VALUE"""),"--")</f>
        <v>--</v>
      </c>
      <c r="Y905" s="251" t="str">
        <f>IFERROR(__xludf.DUMMYFUNCTION("""COMPUTED_VALUE"""),"--")</f>
        <v>--</v>
      </c>
      <c r="Z905" s="251" t="str">
        <f>IFERROR(__xludf.DUMMYFUNCTION("""COMPUTED_VALUE"""),"--")</f>
        <v>--</v>
      </c>
      <c r="AA905" s="251" t="str">
        <f>IFERROR(__xludf.DUMMYFUNCTION("""COMPUTED_VALUE"""),"--")</f>
        <v>--</v>
      </c>
      <c r="AB905" s="251" t="str">
        <f>IFERROR(__xludf.DUMMYFUNCTION("""COMPUTED_VALUE"""),"--")</f>
        <v>--</v>
      </c>
      <c r="AC905" s="251" t="str">
        <f>IFERROR(__xludf.DUMMYFUNCTION("""COMPUTED_VALUE"""),"--")</f>
        <v>--</v>
      </c>
      <c r="AD905" s="251">
        <f>IFERROR(__xludf.DUMMYFUNCTION("""COMPUTED_VALUE"""),3.0)</f>
        <v>3</v>
      </c>
      <c r="AE905" s="251" t="str">
        <f>IFERROR(__xludf.DUMMYFUNCTION("""COMPUTED_VALUE"""),"Terravore")</f>
        <v>Terravore</v>
      </c>
    </row>
    <row r="906">
      <c r="A906" s="251" t="str">
        <f>IFERROR(__xludf.DUMMYFUNCTION("""COMPUTED_VALUE"""),"Omanyte")</f>
        <v>Omanyte</v>
      </c>
      <c r="B906" s="251" t="str">
        <f>IFERROR(__xludf.DUMMYFUNCTION("""COMPUTED_VALUE"""),"Rock")</f>
        <v>Rock</v>
      </c>
      <c r="C906" s="251" t="str">
        <f>IFERROR(__xludf.DUMMYFUNCTION("""COMPUTED_VALUE"""),"Water")</f>
        <v>Water</v>
      </c>
      <c r="D906" s="251">
        <f>IFERROR(__xludf.DUMMYFUNCTION("""COMPUTED_VALUE"""),4.0)</f>
        <v>4</v>
      </c>
      <c r="E906" s="251">
        <f>IFERROR(__xludf.DUMMYFUNCTION("""COMPUTED_VALUE"""),4.0)</f>
        <v>4</v>
      </c>
      <c r="F906" s="251">
        <f>IFERROR(__xludf.DUMMYFUNCTION("""COMPUTED_VALUE"""),10.0)</f>
        <v>10</v>
      </c>
      <c r="G906" s="251">
        <f>IFERROR(__xludf.DUMMYFUNCTION("""COMPUTED_VALUE"""),9.0)</f>
        <v>9</v>
      </c>
      <c r="H906" s="251">
        <f>IFERROR(__xludf.DUMMYFUNCTION("""COMPUTED_VALUE"""),6.0)</f>
        <v>6</v>
      </c>
      <c r="I906" s="251">
        <f>IFERROR(__xludf.DUMMYFUNCTION("""COMPUTED_VALUE"""),4.0)</f>
        <v>4</v>
      </c>
      <c r="J906" s="251">
        <f>IFERROR(__xludf.DUMMYFUNCTION("""COMPUTED_VALUE"""),1.0)</f>
        <v>1</v>
      </c>
      <c r="K906" s="251" t="str">
        <f>IFERROR(__xludf.DUMMYFUNCTION("""COMPUTED_VALUE"""),"Small")</f>
        <v>Small</v>
      </c>
      <c r="L906" s="251">
        <f>IFERROR(__xludf.DUMMYFUNCTION("""COMPUTED_VALUE"""),1.0)</f>
        <v>1</v>
      </c>
      <c r="M906" s="251" t="str">
        <f>IFERROR(__xludf.DUMMYFUNCTION("""COMPUTED_VALUE"""),"Ocean")</f>
        <v>Ocean</v>
      </c>
      <c r="N906" s="251" t="str">
        <f>IFERROR(__xludf.DUMMYFUNCTION("""COMPUTED_VALUE"""),"Slow")</f>
        <v>Slow</v>
      </c>
      <c r="O906" s="251" t="str">
        <f>IFERROR(__xludf.DUMMYFUNCTION("""COMPUTED_VALUE"""),"Swimmer")</f>
        <v>Swimmer</v>
      </c>
      <c r="P906" s="251" t="str">
        <f>IFERROR(__xludf.DUMMYFUNCTION("""COMPUTED_VALUE"""),"--")</f>
        <v>--</v>
      </c>
      <c r="Q906" s="251" t="str">
        <f>IFERROR(__xludf.DUMMYFUNCTION("""COMPUTED_VALUE"""),"--")</f>
        <v>--</v>
      </c>
      <c r="R906" s="251" t="str">
        <f>IFERROR(__xludf.DUMMYFUNCTION("""COMPUTED_VALUE"""),"Underdog")</f>
        <v>Underdog</v>
      </c>
      <c r="S906" s="251" t="str">
        <f>IFERROR(__xludf.DUMMYFUNCTION("""COMPUTED_VALUE"""),"--")</f>
        <v>--</v>
      </c>
      <c r="T906" s="251" t="str">
        <f>IFERROR(__xludf.DUMMYFUNCTION("""COMPUTED_VALUE"""),"--")</f>
        <v>--</v>
      </c>
      <c r="U906" s="251" t="str">
        <f>IFERROR(__xludf.DUMMYFUNCTION("""COMPUTED_VALUE"""),"--")</f>
        <v>--</v>
      </c>
      <c r="V906" s="251" t="str">
        <f>IFERROR(__xludf.DUMMYFUNCTION("""COMPUTED_VALUE"""),"Gilled")</f>
        <v>Gilled</v>
      </c>
      <c r="W906" s="251" t="str">
        <f>IFERROR(__xludf.DUMMYFUNCTION("""COMPUTED_VALUE"""),"--")</f>
        <v>--</v>
      </c>
      <c r="X906" s="251" t="str">
        <f>IFERROR(__xludf.DUMMYFUNCTION("""COMPUTED_VALUE"""),"--")</f>
        <v>--</v>
      </c>
      <c r="Y906" s="251" t="str">
        <f>IFERROR(__xludf.DUMMYFUNCTION("""COMPUTED_VALUE"""),"--")</f>
        <v>--</v>
      </c>
      <c r="Z906" s="251" t="str">
        <f>IFERROR(__xludf.DUMMYFUNCTION("""COMPUTED_VALUE"""),"--")</f>
        <v>--</v>
      </c>
      <c r="AA906" s="251" t="str">
        <f>IFERROR(__xludf.DUMMYFUNCTION("""COMPUTED_VALUE"""),"--")</f>
        <v>--</v>
      </c>
      <c r="AB906" s="251" t="str">
        <f>IFERROR(__xludf.DUMMYFUNCTION("""COMPUTED_VALUE"""),"--")</f>
        <v>--</v>
      </c>
      <c r="AC906" s="251" t="str">
        <f>IFERROR(__xludf.DUMMYFUNCTION("""COMPUTED_VALUE"""),"--")</f>
        <v>--</v>
      </c>
      <c r="AD906" s="251">
        <f>IFERROR(__xludf.DUMMYFUNCTION("""COMPUTED_VALUE"""),2.0)</f>
        <v>2</v>
      </c>
      <c r="AE906" s="251" t="str">
        <f>IFERROR(__xludf.DUMMYFUNCTION("""COMPUTED_VALUE"""),"Herbivore")</f>
        <v>Herbivore</v>
      </c>
    </row>
    <row r="907">
      <c r="A907" s="251" t="str">
        <f>IFERROR(__xludf.DUMMYFUNCTION("""COMPUTED_VALUE"""),"Omastar")</f>
        <v>Omastar</v>
      </c>
      <c r="B907" s="251" t="str">
        <f>IFERROR(__xludf.DUMMYFUNCTION("""COMPUTED_VALUE"""),"Rock")</f>
        <v>Rock</v>
      </c>
      <c r="C907" s="251" t="str">
        <f>IFERROR(__xludf.DUMMYFUNCTION("""COMPUTED_VALUE"""),"Water")</f>
        <v>Water</v>
      </c>
      <c r="D907" s="251">
        <f>IFERROR(__xludf.DUMMYFUNCTION("""COMPUTED_VALUE"""),7.0)</f>
        <v>7</v>
      </c>
      <c r="E907" s="251">
        <f>IFERROR(__xludf.DUMMYFUNCTION("""COMPUTED_VALUE"""),6.0)</f>
        <v>6</v>
      </c>
      <c r="F907" s="251">
        <f>IFERROR(__xludf.DUMMYFUNCTION("""COMPUTED_VALUE"""),13.0)</f>
        <v>13</v>
      </c>
      <c r="G907" s="251">
        <f>IFERROR(__xludf.DUMMYFUNCTION("""COMPUTED_VALUE"""),12.0)</f>
        <v>12</v>
      </c>
      <c r="H907" s="251">
        <f>IFERROR(__xludf.DUMMYFUNCTION("""COMPUTED_VALUE"""),7.0)</f>
        <v>7</v>
      </c>
      <c r="I907" s="251">
        <f>IFERROR(__xludf.DUMMYFUNCTION("""COMPUTED_VALUE"""),6.0)</f>
        <v>6</v>
      </c>
      <c r="J907" s="251">
        <f>IFERROR(__xludf.DUMMYFUNCTION("""COMPUTED_VALUE"""),4.0)</f>
        <v>4</v>
      </c>
      <c r="K907" s="251" t="str">
        <f>IFERROR(__xludf.DUMMYFUNCTION("""COMPUTED_VALUE"""),"Medium")</f>
        <v>Medium</v>
      </c>
      <c r="L907" s="251">
        <f>IFERROR(__xludf.DUMMYFUNCTION("""COMPUTED_VALUE"""),3.0)</f>
        <v>3</v>
      </c>
      <c r="M907" s="251" t="str">
        <f>IFERROR(__xludf.DUMMYFUNCTION("""COMPUTED_VALUE"""),"Ocean")</f>
        <v>Ocean</v>
      </c>
      <c r="N907" s="251" t="str">
        <f>IFERROR(__xludf.DUMMYFUNCTION("""COMPUTED_VALUE"""),"Swimmer")</f>
        <v>Swimmer</v>
      </c>
      <c r="O907" s="251" t="str">
        <f>IFERROR(__xludf.DUMMYFUNCTION("""COMPUTED_VALUE"""),"--")</f>
        <v>--</v>
      </c>
      <c r="P907" s="251" t="str">
        <f>IFERROR(__xludf.DUMMYFUNCTION("""COMPUTED_VALUE"""),"--")</f>
        <v>--</v>
      </c>
      <c r="Q907" s="251" t="str">
        <f>IFERROR(__xludf.DUMMYFUNCTION("""COMPUTED_VALUE"""),"--")</f>
        <v>--</v>
      </c>
      <c r="R907" s="251" t="str">
        <f>IFERROR(__xludf.DUMMYFUNCTION("""COMPUTED_VALUE"""),"--")</f>
        <v>--</v>
      </c>
      <c r="S907" s="251" t="str">
        <f>IFERROR(__xludf.DUMMYFUNCTION("""COMPUTED_VALUE"""),"--")</f>
        <v>--</v>
      </c>
      <c r="T907" s="251" t="str">
        <f>IFERROR(__xludf.DUMMYFUNCTION("""COMPUTED_VALUE"""),"--")</f>
        <v>--</v>
      </c>
      <c r="U907" s="251" t="str">
        <f>IFERROR(__xludf.DUMMYFUNCTION("""COMPUTED_VALUE"""),"--")</f>
        <v>--</v>
      </c>
      <c r="V907" s="251" t="str">
        <f>IFERROR(__xludf.DUMMYFUNCTION("""COMPUTED_VALUE"""),"Gilled")</f>
        <v>Gilled</v>
      </c>
      <c r="W907" s="251" t="str">
        <f>IFERROR(__xludf.DUMMYFUNCTION("""COMPUTED_VALUE"""),"--")</f>
        <v>--</v>
      </c>
      <c r="X907" s="251" t="str">
        <f>IFERROR(__xludf.DUMMYFUNCTION("""COMPUTED_VALUE"""),"--")</f>
        <v>--</v>
      </c>
      <c r="Y907" s="251" t="str">
        <f>IFERROR(__xludf.DUMMYFUNCTION("""COMPUTED_VALUE"""),"--")</f>
        <v>--</v>
      </c>
      <c r="Z907" s="251" t="str">
        <f>IFERROR(__xludf.DUMMYFUNCTION("""COMPUTED_VALUE"""),"--")</f>
        <v>--</v>
      </c>
      <c r="AA907" s="251" t="str">
        <f>IFERROR(__xludf.DUMMYFUNCTION("""COMPUTED_VALUE"""),"--")</f>
        <v>--</v>
      </c>
      <c r="AB907" s="251" t="str">
        <f>IFERROR(__xludf.DUMMYFUNCTION("""COMPUTED_VALUE"""),"--")</f>
        <v>--</v>
      </c>
      <c r="AC907" s="251" t="str">
        <f>IFERROR(__xludf.DUMMYFUNCTION("""COMPUTED_VALUE"""),"--")</f>
        <v>--</v>
      </c>
      <c r="AD907" s="251">
        <f>IFERROR(__xludf.DUMMYFUNCTION("""COMPUTED_VALUE"""),3.0)</f>
        <v>3</v>
      </c>
      <c r="AE907" s="251" t="str">
        <f>IFERROR(__xludf.DUMMYFUNCTION("""COMPUTED_VALUE"""),"Omnivore")</f>
        <v>Omnivore</v>
      </c>
    </row>
    <row r="908">
      <c r="A908" s="251" t="str">
        <f>IFERROR(__xludf.DUMMYFUNCTION("""COMPUTED_VALUE"""),"Kabuto")</f>
        <v>Kabuto</v>
      </c>
      <c r="B908" s="251" t="str">
        <f>IFERROR(__xludf.DUMMYFUNCTION("""COMPUTED_VALUE"""),"Rock")</f>
        <v>Rock</v>
      </c>
      <c r="C908" s="251" t="str">
        <f>IFERROR(__xludf.DUMMYFUNCTION("""COMPUTED_VALUE"""),"Water")</f>
        <v>Water</v>
      </c>
      <c r="D908" s="251">
        <f>IFERROR(__xludf.DUMMYFUNCTION("""COMPUTED_VALUE"""),3.0)</f>
        <v>3</v>
      </c>
      <c r="E908" s="251">
        <f>IFERROR(__xludf.DUMMYFUNCTION("""COMPUTED_VALUE"""),8.0)</f>
        <v>8</v>
      </c>
      <c r="F908" s="251">
        <f>IFERROR(__xludf.DUMMYFUNCTION("""COMPUTED_VALUE"""),9.0)</f>
        <v>9</v>
      </c>
      <c r="G908" s="251">
        <f>IFERROR(__xludf.DUMMYFUNCTION("""COMPUTED_VALUE"""),6.0)</f>
        <v>6</v>
      </c>
      <c r="H908" s="251">
        <f>IFERROR(__xludf.DUMMYFUNCTION("""COMPUTED_VALUE"""),5.0)</f>
        <v>5</v>
      </c>
      <c r="I908" s="251">
        <f>IFERROR(__xludf.DUMMYFUNCTION("""COMPUTED_VALUE"""),6.0)</f>
        <v>6</v>
      </c>
      <c r="J908" s="251">
        <f>IFERROR(__xludf.DUMMYFUNCTION("""COMPUTED_VALUE"""),2.0)</f>
        <v>2</v>
      </c>
      <c r="K908" s="251" t="str">
        <f>IFERROR(__xludf.DUMMYFUNCTION("""COMPUTED_VALUE"""),"Small")</f>
        <v>Small</v>
      </c>
      <c r="L908" s="251">
        <f>IFERROR(__xludf.DUMMYFUNCTION("""COMPUTED_VALUE"""),2.0)</f>
        <v>2</v>
      </c>
      <c r="M908" s="251" t="str">
        <f>IFERROR(__xludf.DUMMYFUNCTION("""COMPUTED_VALUE"""),"Cave, Ocean")</f>
        <v>Cave, Ocean</v>
      </c>
      <c r="N908" s="251" t="str">
        <f>IFERROR(__xludf.DUMMYFUNCTION("""COMPUTED_VALUE"""),"Slow")</f>
        <v>Slow</v>
      </c>
      <c r="O908" s="251" t="str">
        <f>IFERROR(__xludf.DUMMYFUNCTION("""COMPUTED_VALUE"""),"Swimmer")</f>
        <v>Swimmer</v>
      </c>
      <c r="P908" s="251" t="str">
        <f>IFERROR(__xludf.DUMMYFUNCTION("""COMPUTED_VALUE"""),"--")</f>
        <v>--</v>
      </c>
      <c r="Q908" s="251" t="str">
        <f>IFERROR(__xludf.DUMMYFUNCTION("""COMPUTED_VALUE"""),"--")</f>
        <v>--</v>
      </c>
      <c r="R908" s="251" t="str">
        <f>IFERROR(__xludf.DUMMYFUNCTION("""COMPUTED_VALUE"""),"Underdog")</f>
        <v>Underdog</v>
      </c>
      <c r="S908" s="251" t="str">
        <f>IFERROR(__xludf.DUMMYFUNCTION("""COMPUTED_VALUE"""),"--")</f>
        <v>--</v>
      </c>
      <c r="T908" s="251" t="str">
        <f>IFERROR(__xludf.DUMMYFUNCTION("""COMPUTED_VALUE"""),"--")</f>
        <v>--</v>
      </c>
      <c r="U908" s="251" t="str">
        <f>IFERROR(__xludf.DUMMYFUNCTION("""COMPUTED_VALUE"""),"--")</f>
        <v>--</v>
      </c>
      <c r="V908" s="251" t="str">
        <f>IFERROR(__xludf.DUMMYFUNCTION("""COMPUTED_VALUE"""),"Gilled")</f>
        <v>Gilled</v>
      </c>
      <c r="W908" s="251" t="str">
        <f>IFERROR(__xludf.DUMMYFUNCTION("""COMPUTED_VALUE"""),"--")</f>
        <v>--</v>
      </c>
      <c r="X908" s="251" t="str">
        <f>IFERROR(__xludf.DUMMYFUNCTION("""COMPUTED_VALUE"""),"--")</f>
        <v>--</v>
      </c>
      <c r="Y908" s="251" t="str">
        <f>IFERROR(__xludf.DUMMYFUNCTION("""COMPUTED_VALUE"""),"--")</f>
        <v>--</v>
      </c>
      <c r="Z908" s="251" t="str">
        <f>IFERROR(__xludf.DUMMYFUNCTION("""COMPUTED_VALUE"""),"--")</f>
        <v>--</v>
      </c>
      <c r="AA908" s="251" t="str">
        <f>IFERROR(__xludf.DUMMYFUNCTION("""COMPUTED_VALUE"""),"--")</f>
        <v>--</v>
      </c>
      <c r="AB908" s="251" t="str">
        <f>IFERROR(__xludf.DUMMYFUNCTION("""COMPUTED_VALUE"""),"--")</f>
        <v>--</v>
      </c>
      <c r="AC908" s="251" t="str">
        <f>IFERROR(__xludf.DUMMYFUNCTION("""COMPUTED_VALUE"""),"--")</f>
        <v>--</v>
      </c>
      <c r="AD908" s="251">
        <f>IFERROR(__xludf.DUMMYFUNCTION("""COMPUTED_VALUE"""),2.0)</f>
        <v>2</v>
      </c>
      <c r="AE908" s="251" t="str">
        <f>IFERROR(__xludf.DUMMYFUNCTION("""COMPUTED_VALUE"""),"Herbivore")</f>
        <v>Herbivore</v>
      </c>
    </row>
    <row r="909">
      <c r="A909" s="251" t="str">
        <f>IFERROR(__xludf.DUMMYFUNCTION("""COMPUTED_VALUE"""),"Kabutops")</f>
        <v>Kabutops</v>
      </c>
      <c r="B909" s="251" t="str">
        <f>IFERROR(__xludf.DUMMYFUNCTION("""COMPUTED_VALUE"""),"Rock")</f>
        <v>Rock</v>
      </c>
      <c r="C909" s="251" t="str">
        <f>IFERROR(__xludf.DUMMYFUNCTION("""COMPUTED_VALUE"""),"Water")</f>
        <v>Water</v>
      </c>
      <c r="D909" s="251">
        <f>IFERROR(__xludf.DUMMYFUNCTION("""COMPUTED_VALUE"""),6.0)</f>
        <v>6</v>
      </c>
      <c r="E909" s="251">
        <f>IFERROR(__xludf.DUMMYFUNCTION("""COMPUTED_VALUE"""),12.0)</f>
        <v>12</v>
      </c>
      <c r="F909" s="251">
        <f>IFERROR(__xludf.DUMMYFUNCTION("""COMPUTED_VALUE"""),11.0)</f>
        <v>11</v>
      </c>
      <c r="G909" s="251">
        <f>IFERROR(__xludf.DUMMYFUNCTION("""COMPUTED_VALUE"""),7.0)</f>
        <v>7</v>
      </c>
      <c r="H909" s="251">
        <f>IFERROR(__xludf.DUMMYFUNCTION("""COMPUTED_VALUE"""),7.0)</f>
        <v>7</v>
      </c>
      <c r="I909" s="251">
        <f>IFERROR(__xludf.DUMMYFUNCTION("""COMPUTED_VALUE"""),8.0)</f>
        <v>8</v>
      </c>
      <c r="J909" s="251">
        <f>IFERROR(__xludf.DUMMYFUNCTION("""COMPUTED_VALUE"""),5.0)</f>
        <v>5</v>
      </c>
      <c r="K909" s="251" t="str">
        <f>IFERROR(__xludf.DUMMYFUNCTION("""COMPUTED_VALUE"""),"Medium")</f>
        <v>Medium</v>
      </c>
      <c r="L909" s="251">
        <f>IFERROR(__xludf.DUMMYFUNCTION("""COMPUTED_VALUE"""),2.0)</f>
        <v>2</v>
      </c>
      <c r="M909" s="251" t="str">
        <f>IFERROR(__xludf.DUMMYFUNCTION("""COMPUTED_VALUE"""),"Cave, Ocean")</f>
        <v>Cave, Ocean</v>
      </c>
      <c r="N909" s="251" t="str">
        <f>IFERROR(__xludf.DUMMYFUNCTION("""COMPUTED_VALUE"""),"Climber")</f>
        <v>Climber</v>
      </c>
      <c r="O909" s="251" t="str">
        <f>IFERROR(__xludf.DUMMYFUNCTION("""COMPUTED_VALUE"""),"Swimmer")</f>
        <v>Swimmer</v>
      </c>
      <c r="P909" s="251" t="str">
        <f>IFERROR(__xludf.DUMMYFUNCTION("""COMPUTED_VALUE"""),"--")</f>
        <v>--</v>
      </c>
      <c r="Q909" s="251" t="str">
        <f>IFERROR(__xludf.DUMMYFUNCTION("""COMPUTED_VALUE"""),"--")</f>
        <v>--</v>
      </c>
      <c r="R909" s="251" t="str">
        <f>IFERROR(__xludf.DUMMYFUNCTION("""COMPUTED_VALUE"""),"--")</f>
        <v>--</v>
      </c>
      <c r="S909" s="251" t="str">
        <f>IFERROR(__xludf.DUMMYFUNCTION("""COMPUTED_VALUE"""),"--")</f>
        <v>--</v>
      </c>
      <c r="T909" s="251" t="str">
        <f>IFERROR(__xludf.DUMMYFUNCTION("""COMPUTED_VALUE"""),"--")</f>
        <v>--</v>
      </c>
      <c r="U909" s="251" t="str">
        <f>IFERROR(__xludf.DUMMYFUNCTION("""COMPUTED_VALUE"""),"--")</f>
        <v>--</v>
      </c>
      <c r="V909" s="251" t="str">
        <f>IFERROR(__xludf.DUMMYFUNCTION("""COMPUTED_VALUE"""),"Gilled")</f>
        <v>Gilled</v>
      </c>
      <c r="W909" s="251" t="str">
        <f>IFERROR(__xludf.DUMMYFUNCTION("""COMPUTED_VALUE"""),"--")</f>
        <v>--</v>
      </c>
      <c r="X909" s="251" t="str">
        <f>IFERROR(__xludf.DUMMYFUNCTION("""COMPUTED_VALUE"""),"--")</f>
        <v>--</v>
      </c>
      <c r="Y909" s="251" t="str">
        <f>IFERROR(__xludf.DUMMYFUNCTION("""COMPUTED_VALUE"""),"--")</f>
        <v>--</v>
      </c>
      <c r="Z909" s="251" t="str">
        <f>IFERROR(__xludf.DUMMYFUNCTION("""COMPUTED_VALUE"""),"--")</f>
        <v>--</v>
      </c>
      <c r="AA909" s="251" t="str">
        <f>IFERROR(__xludf.DUMMYFUNCTION("""COMPUTED_VALUE"""),"--")</f>
        <v>--</v>
      </c>
      <c r="AB909" s="251" t="str">
        <f>IFERROR(__xludf.DUMMYFUNCTION("""COMPUTED_VALUE"""),"--")</f>
        <v>--</v>
      </c>
      <c r="AC909" s="251" t="str">
        <f>IFERROR(__xludf.DUMMYFUNCTION("""COMPUTED_VALUE"""),"--")</f>
        <v>--</v>
      </c>
      <c r="AD909" s="251">
        <f>IFERROR(__xludf.DUMMYFUNCTION("""COMPUTED_VALUE"""),3.0)</f>
        <v>3</v>
      </c>
      <c r="AE909" s="251" t="str">
        <f>IFERROR(__xludf.DUMMYFUNCTION("""COMPUTED_VALUE"""),"Omnivore")</f>
        <v>Omnivore</v>
      </c>
    </row>
    <row r="910">
      <c r="A910" s="251" t="str">
        <f>IFERROR(__xludf.DUMMYFUNCTION("""COMPUTED_VALUE"""),"Nosepass")</f>
        <v>Nosepass</v>
      </c>
      <c r="B910" s="251" t="str">
        <f>IFERROR(__xludf.DUMMYFUNCTION("""COMPUTED_VALUE"""),"Rock")</f>
        <v>Rock</v>
      </c>
      <c r="C910" s="251" t="str">
        <f>IFERROR(__xludf.DUMMYFUNCTION("""COMPUTED_VALUE"""),"None")</f>
        <v>None</v>
      </c>
      <c r="D910" s="251">
        <f>IFERROR(__xludf.DUMMYFUNCTION("""COMPUTED_VALUE"""),3.0)</f>
        <v>3</v>
      </c>
      <c r="E910" s="251">
        <f>IFERROR(__xludf.DUMMYFUNCTION("""COMPUTED_VALUE"""),5.0)</f>
        <v>5</v>
      </c>
      <c r="F910" s="251">
        <f>IFERROR(__xludf.DUMMYFUNCTION("""COMPUTED_VALUE"""),14.0)</f>
        <v>14</v>
      </c>
      <c r="G910" s="251">
        <f>IFERROR(__xludf.DUMMYFUNCTION("""COMPUTED_VALUE"""),5.0)</f>
        <v>5</v>
      </c>
      <c r="H910" s="251">
        <f>IFERROR(__xludf.DUMMYFUNCTION("""COMPUTED_VALUE"""),9.0)</f>
        <v>9</v>
      </c>
      <c r="I910" s="251">
        <f>IFERROR(__xludf.DUMMYFUNCTION("""COMPUTED_VALUE"""),4.0)</f>
        <v>4</v>
      </c>
      <c r="J910" s="251">
        <f>IFERROR(__xludf.DUMMYFUNCTION("""COMPUTED_VALUE"""),7.0)</f>
        <v>7</v>
      </c>
      <c r="K910" s="251" t="str">
        <f>IFERROR(__xludf.DUMMYFUNCTION("""COMPUTED_VALUE"""),"Medium")</f>
        <v>Medium</v>
      </c>
      <c r="L910" s="251">
        <f>IFERROR(__xludf.DUMMYFUNCTION("""COMPUTED_VALUE"""),4.0)</f>
        <v>4</v>
      </c>
      <c r="M910" s="251" t="str">
        <f>IFERROR(__xludf.DUMMYFUNCTION("""COMPUTED_VALUE"""),"Cave")</f>
        <v>Cave</v>
      </c>
      <c r="N910" s="251" t="str">
        <f>IFERROR(__xludf.DUMMYFUNCTION("""COMPUTED_VALUE"""),"Slow")</f>
        <v>Slow</v>
      </c>
      <c r="O910" s="251" t="str">
        <f>IFERROR(__xludf.DUMMYFUNCTION("""COMPUTED_VALUE"""),"--")</f>
        <v>--</v>
      </c>
      <c r="P910" s="251" t="str">
        <f>IFERROR(__xludf.DUMMYFUNCTION("""COMPUTED_VALUE"""),"--")</f>
        <v>--</v>
      </c>
      <c r="Q910" s="251" t="str">
        <f>IFERROR(__xludf.DUMMYFUNCTION("""COMPUTED_VALUE"""),"--")</f>
        <v>--</v>
      </c>
      <c r="R910" s="251" t="str">
        <f>IFERROR(__xludf.DUMMYFUNCTION("""COMPUTED_VALUE"""),"Underdog")</f>
        <v>Underdog</v>
      </c>
      <c r="S910" s="251" t="str">
        <f>IFERROR(__xludf.DUMMYFUNCTION("""COMPUTED_VALUE"""),"--")</f>
        <v>--</v>
      </c>
      <c r="T910" s="251" t="str">
        <f>IFERROR(__xludf.DUMMYFUNCTION("""COMPUTED_VALUE"""),"--")</f>
        <v>--</v>
      </c>
      <c r="U910" s="251" t="str">
        <f>IFERROR(__xludf.DUMMYFUNCTION("""COMPUTED_VALUE"""),"--")</f>
        <v>--</v>
      </c>
      <c r="V910" s="251" t="str">
        <f>IFERROR(__xludf.DUMMYFUNCTION("""COMPUTED_VALUE"""),"Magnetic")</f>
        <v>Magnetic</v>
      </c>
      <c r="W910" s="251" t="str">
        <f>IFERROR(__xludf.DUMMYFUNCTION("""COMPUTED_VALUE"""),"--")</f>
        <v>--</v>
      </c>
      <c r="X910" s="251" t="str">
        <f>IFERROR(__xludf.DUMMYFUNCTION("""COMPUTED_VALUE"""),"--")</f>
        <v>--</v>
      </c>
      <c r="Y910" s="251" t="str">
        <f>IFERROR(__xludf.DUMMYFUNCTION("""COMPUTED_VALUE"""),"--")</f>
        <v>--</v>
      </c>
      <c r="Z910" s="251" t="str">
        <f>IFERROR(__xludf.DUMMYFUNCTION("""COMPUTED_VALUE"""),"--")</f>
        <v>--</v>
      </c>
      <c r="AA910" s="251" t="str">
        <f>IFERROR(__xludf.DUMMYFUNCTION("""COMPUTED_VALUE"""),"--")</f>
        <v>--</v>
      </c>
      <c r="AB910" s="251" t="str">
        <f>IFERROR(__xludf.DUMMYFUNCTION("""COMPUTED_VALUE"""),"--")</f>
        <v>--</v>
      </c>
      <c r="AC910" s="251" t="str">
        <f>IFERROR(__xludf.DUMMYFUNCTION("""COMPUTED_VALUE"""),"--")</f>
        <v>--</v>
      </c>
      <c r="AD910" s="251">
        <f>IFERROR(__xludf.DUMMYFUNCTION("""COMPUTED_VALUE"""),2.0)</f>
        <v>2</v>
      </c>
      <c r="AE910" s="251" t="str">
        <f>IFERROR(__xludf.DUMMYFUNCTION("""COMPUTED_VALUE"""),"Terravore")</f>
        <v>Terravore</v>
      </c>
    </row>
    <row r="911">
      <c r="A911" s="251" t="str">
        <f>IFERROR(__xludf.DUMMYFUNCTION("""COMPUTED_VALUE"""),"Probopass")</f>
        <v>Probopass</v>
      </c>
      <c r="B911" s="251" t="str">
        <f>IFERROR(__xludf.DUMMYFUNCTION("""COMPUTED_VALUE"""),"Rock")</f>
        <v>Rock</v>
      </c>
      <c r="C911" s="251" t="str">
        <f>IFERROR(__xludf.DUMMYFUNCTION("""COMPUTED_VALUE"""),"Steel")</f>
        <v>Steel</v>
      </c>
      <c r="D911" s="251">
        <f>IFERROR(__xludf.DUMMYFUNCTION("""COMPUTED_VALUE"""),6.0)</f>
        <v>6</v>
      </c>
      <c r="E911" s="251">
        <f>IFERROR(__xludf.DUMMYFUNCTION("""COMPUTED_VALUE"""),6.0)</f>
        <v>6</v>
      </c>
      <c r="F911" s="251">
        <f>IFERROR(__xludf.DUMMYFUNCTION("""COMPUTED_VALUE"""),15.0)</f>
        <v>15</v>
      </c>
      <c r="G911" s="251">
        <f>IFERROR(__xludf.DUMMYFUNCTION("""COMPUTED_VALUE"""),8.0)</f>
        <v>8</v>
      </c>
      <c r="H911" s="251">
        <f>IFERROR(__xludf.DUMMYFUNCTION("""COMPUTED_VALUE"""),15.0)</f>
        <v>15</v>
      </c>
      <c r="I911" s="251">
        <f>IFERROR(__xludf.DUMMYFUNCTION("""COMPUTED_VALUE"""),4.0)</f>
        <v>4</v>
      </c>
      <c r="J911" s="251">
        <f>IFERROR(__xludf.DUMMYFUNCTION("""COMPUTED_VALUE"""),11.0)</f>
        <v>11</v>
      </c>
      <c r="K911" s="251" t="str">
        <f>IFERROR(__xludf.DUMMYFUNCTION("""COMPUTED_VALUE"""),"Medium")</f>
        <v>Medium</v>
      </c>
      <c r="L911" s="251">
        <f>IFERROR(__xludf.DUMMYFUNCTION("""COMPUTED_VALUE"""),6.0)</f>
        <v>6</v>
      </c>
      <c r="M911" s="251" t="str">
        <f>IFERROR(__xludf.DUMMYFUNCTION("""COMPUTED_VALUE"""),"Cave")</f>
        <v>Cave</v>
      </c>
      <c r="N911" s="251" t="str">
        <f>IFERROR(__xludf.DUMMYFUNCTION("""COMPUTED_VALUE"""),"Flier")</f>
        <v>Flier</v>
      </c>
      <c r="O911" s="251" t="str">
        <f>IFERROR(__xludf.DUMMYFUNCTION("""COMPUTED_VALUE"""),"Slow")</f>
        <v>Slow</v>
      </c>
      <c r="P911" s="251" t="str">
        <f>IFERROR(__xludf.DUMMYFUNCTION("""COMPUTED_VALUE"""),"--")</f>
        <v>--</v>
      </c>
      <c r="Q911" s="251" t="str">
        <f>IFERROR(__xludf.DUMMYFUNCTION("""COMPUTED_VALUE"""),"--")</f>
        <v>--</v>
      </c>
      <c r="R911" s="251" t="str">
        <f>IFERROR(__xludf.DUMMYFUNCTION("""COMPUTED_VALUE"""),"--")</f>
        <v>--</v>
      </c>
      <c r="S911" s="251" t="str">
        <f>IFERROR(__xludf.DUMMYFUNCTION("""COMPUTED_VALUE"""),"--")</f>
        <v>--</v>
      </c>
      <c r="T911" s="251" t="str">
        <f>IFERROR(__xludf.DUMMYFUNCTION("""COMPUTED_VALUE"""),"--")</f>
        <v>--</v>
      </c>
      <c r="U911" s="251" t="str">
        <f>IFERROR(__xludf.DUMMYFUNCTION("""COMPUTED_VALUE"""),"--")</f>
        <v>--</v>
      </c>
      <c r="V911" s="251" t="str">
        <f>IFERROR(__xludf.DUMMYFUNCTION("""COMPUTED_VALUE"""),"Magnetic")</f>
        <v>Magnetic</v>
      </c>
      <c r="W911" s="251" t="str">
        <f>IFERROR(__xludf.DUMMYFUNCTION("""COMPUTED_VALUE"""),"--")</f>
        <v>--</v>
      </c>
      <c r="X911" s="251" t="str">
        <f>IFERROR(__xludf.DUMMYFUNCTION("""COMPUTED_VALUE"""),"--")</f>
        <v>--</v>
      </c>
      <c r="Y911" s="251" t="str">
        <f>IFERROR(__xludf.DUMMYFUNCTION("""COMPUTED_VALUE"""),"--")</f>
        <v>--</v>
      </c>
      <c r="Z911" s="251" t="str">
        <f>IFERROR(__xludf.DUMMYFUNCTION("""COMPUTED_VALUE"""),"--")</f>
        <v>--</v>
      </c>
      <c r="AA911" s="251" t="str">
        <f>IFERROR(__xludf.DUMMYFUNCTION("""COMPUTED_VALUE"""),"--")</f>
        <v>--</v>
      </c>
      <c r="AB911" s="251" t="str">
        <f>IFERROR(__xludf.DUMMYFUNCTION("""COMPUTED_VALUE"""),"--")</f>
        <v>--</v>
      </c>
      <c r="AC911" s="251" t="str">
        <f>IFERROR(__xludf.DUMMYFUNCTION("""COMPUTED_VALUE"""),"--")</f>
        <v>--</v>
      </c>
      <c r="AD911" s="251">
        <f>IFERROR(__xludf.DUMMYFUNCTION("""COMPUTED_VALUE"""),3.0)</f>
        <v>3</v>
      </c>
      <c r="AE911" s="251" t="str">
        <f>IFERROR(__xludf.DUMMYFUNCTION("""COMPUTED_VALUE"""),"Terravore")</f>
        <v>Terravore</v>
      </c>
    </row>
    <row r="912">
      <c r="A912" s="251" t="str">
        <f>IFERROR(__xludf.DUMMYFUNCTION("""COMPUTED_VALUE"""),"Lileep")</f>
        <v>Lileep</v>
      </c>
      <c r="B912" s="251" t="str">
        <f>IFERROR(__xludf.DUMMYFUNCTION("""COMPUTED_VALUE"""),"Rock")</f>
        <v>Rock</v>
      </c>
      <c r="C912" s="251" t="str">
        <f>IFERROR(__xludf.DUMMYFUNCTION("""COMPUTED_VALUE"""),"Grass")</f>
        <v>Grass</v>
      </c>
      <c r="D912" s="251">
        <f>IFERROR(__xludf.DUMMYFUNCTION("""COMPUTED_VALUE"""),7.0)</f>
        <v>7</v>
      </c>
      <c r="E912" s="251">
        <f>IFERROR(__xludf.DUMMYFUNCTION("""COMPUTED_VALUE"""),4.0)</f>
        <v>4</v>
      </c>
      <c r="F912" s="251">
        <f>IFERROR(__xludf.DUMMYFUNCTION("""COMPUTED_VALUE"""),8.0)</f>
        <v>8</v>
      </c>
      <c r="G912" s="251">
        <f>IFERROR(__xludf.DUMMYFUNCTION("""COMPUTED_VALUE"""),6.0)</f>
        <v>6</v>
      </c>
      <c r="H912" s="251">
        <f>IFERROR(__xludf.DUMMYFUNCTION("""COMPUTED_VALUE"""),9.0)</f>
        <v>9</v>
      </c>
      <c r="I912" s="251">
        <f>IFERROR(__xludf.DUMMYFUNCTION("""COMPUTED_VALUE"""),2.0)</f>
        <v>2</v>
      </c>
      <c r="J912" s="251">
        <f>IFERROR(__xludf.DUMMYFUNCTION("""COMPUTED_VALUE"""),4.0)</f>
        <v>4</v>
      </c>
      <c r="K912" s="251" t="str">
        <f>IFERROR(__xludf.DUMMYFUNCTION("""COMPUTED_VALUE"""),"Medium")</f>
        <v>Medium</v>
      </c>
      <c r="L912" s="251">
        <f>IFERROR(__xludf.DUMMYFUNCTION("""COMPUTED_VALUE"""),2.0)</f>
        <v>2</v>
      </c>
      <c r="M912" s="251" t="str">
        <f>IFERROR(__xludf.DUMMYFUNCTION("""COMPUTED_VALUE"""),"Cave")</f>
        <v>Cave</v>
      </c>
      <c r="N912" s="251" t="str">
        <f>IFERROR(__xludf.DUMMYFUNCTION("""COMPUTED_VALUE"""),"Grounded")</f>
        <v>Grounded</v>
      </c>
      <c r="O912" s="251" t="str">
        <f>IFERROR(__xludf.DUMMYFUNCTION("""COMPUTED_VALUE"""),"Slow")</f>
        <v>Slow</v>
      </c>
      <c r="P912" s="251" t="str">
        <f>IFERROR(__xludf.DUMMYFUNCTION("""COMPUTED_VALUE"""),"--")</f>
        <v>--</v>
      </c>
      <c r="Q912" s="251" t="str">
        <f>IFERROR(__xludf.DUMMYFUNCTION("""COMPUTED_VALUE"""),"--")</f>
        <v>--</v>
      </c>
      <c r="R912" s="251" t="str">
        <f>IFERROR(__xludf.DUMMYFUNCTION("""COMPUTED_VALUE"""),"Reach")</f>
        <v>Reach</v>
      </c>
      <c r="S912" s="251" t="str">
        <f>IFERROR(__xludf.DUMMYFUNCTION("""COMPUTED_VALUE"""),"Underdog")</f>
        <v>Underdog</v>
      </c>
      <c r="T912" s="251" t="str">
        <f>IFERROR(__xludf.DUMMYFUNCTION("""COMPUTED_VALUE"""),"--")</f>
        <v>--</v>
      </c>
      <c r="U912" s="251" t="str">
        <f>IFERROR(__xludf.DUMMYFUNCTION("""COMPUTED_VALUE"""),"--")</f>
        <v>--</v>
      </c>
      <c r="V912" s="251" t="str">
        <f>IFERROR(__xludf.DUMMYFUNCTION("""COMPUTED_VALUE"""),"Gilled")</f>
        <v>Gilled</v>
      </c>
      <c r="W912" s="251" t="str">
        <f>IFERROR(__xludf.DUMMYFUNCTION("""COMPUTED_VALUE"""),"--")</f>
        <v>--</v>
      </c>
      <c r="X912" s="251" t="str">
        <f>IFERROR(__xludf.DUMMYFUNCTION("""COMPUTED_VALUE"""),"--")</f>
        <v>--</v>
      </c>
      <c r="Y912" s="251" t="str">
        <f>IFERROR(__xludf.DUMMYFUNCTION("""COMPUTED_VALUE"""),"--")</f>
        <v>--</v>
      </c>
      <c r="Z912" s="251" t="str">
        <f>IFERROR(__xludf.DUMMYFUNCTION("""COMPUTED_VALUE"""),"--")</f>
        <v>--</v>
      </c>
      <c r="AA912" s="251" t="str">
        <f>IFERROR(__xludf.DUMMYFUNCTION("""COMPUTED_VALUE"""),"--")</f>
        <v>--</v>
      </c>
      <c r="AB912" s="251" t="str">
        <f>IFERROR(__xludf.DUMMYFUNCTION("""COMPUTED_VALUE"""),"--")</f>
        <v>--</v>
      </c>
      <c r="AC912" s="251" t="str">
        <f>IFERROR(__xludf.DUMMYFUNCTION("""COMPUTED_VALUE"""),"--")</f>
        <v>--</v>
      </c>
      <c r="AD912" s="251">
        <f>IFERROR(__xludf.DUMMYFUNCTION("""COMPUTED_VALUE"""),2.0)</f>
        <v>2</v>
      </c>
      <c r="AE912" s="251" t="str">
        <f>IFERROR(__xludf.DUMMYFUNCTION("""COMPUTED_VALUE"""),"Carnivore")</f>
        <v>Carnivore</v>
      </c>
    </row>
    <row r="913">
      <c r="A913" s="251" t="str">
        <f>IFERROR(__xludf.DUMMYFUNCTION("""COMPUTED_VALUE"""),"Cradily")</f>
        <v>Cradily</v>
      </c>
      <c r="B913" s="251" t="str">
        <f>IFERROR(__xludf.DUMMYFUNCTION("""COMPUTED_VALUE"""),"Rock")</f>
        <v>Rock</v>
      </c>
      <c r="C913" s="251" t="str">
        <f>IFERROR(__xludf.DUMMYFUNCTION("""COMPUTED_VALUE"""),"Grass")</f>
        <v>Grass</v>
      </c>
      <c r="D913" s="251">
        <f>IFERROR(__xludf.DUMMYFUNCTION("""COMPUTED_VALUE"""),9.0)</f>
        <v>9</v>
      </c>
      <c r="E913" s="251">
        <f>IFERROR(__xludf.DUMMYFUNCTION("""COMPUTED_VALUE"""),8.0)</f>
        <v>8</v>
      </c>
      <c r="F913" s="251">
        <f>IFERROR(__xludf.DUMMYFUNCTION("""COMPUTED_VALUE"""),11.0)</f>
        <v>11</v>
      </c>
      <c r="G913" s="251">
        <f>IFERROR(__xludf.DUMMYFUNCTION("""COMPUTED_VALUE"""),8.0)</f>
        <v>8</v>
      </c>
      <c r="H913" s="251">
        <f>IFERROR(__xludf.DUMMYFUNCTION("""COMPUTED_VALUE"""),11.0)</f>
        <v>11</v>
      </c>
      <c r="I913" s="251">
        <f>IFERROR(__xludf.DUMMYFUNCTION("""COMPUTED_VALUE"""),4.0)</f>
        <v>4</v>
      </c>
      <c r="J913" s="251">
        <f>IFERROR(__xludf.DUMMYFUNCTION("""COMPUTED_VALUE"""),8.0)</f>
        <v>8</v>
      </c>
      <c r="K913" s="251" t="str">
        <f>IFERROR(__xludf.DUMMYFUNCTION("""COMPUTED_VALUE"""),"Medium")</f>
        <v>Medium</v>
      </c>
      <c r="L913" s="251">
        <f>IFERROR(__xludf.DUMMYFUNCTION("""COMPUTED_VALUE"""),4.0)</f>
        <v>4</v>
      </c>
      <c r="M913" s="251" t="str">
        <f>IFERROR(__xludf.DUMMYFUNCTION("""COMPUTED_VALUE"""),"Cave")</f>
        <v>Cave</v>
      </c>
      <c r="N913" s="251" t="str">
        <f>IFERROR(__xludf.DUMMYFUNCTION("""COMPUTED_VALUE"""),"Grounded")</f>
        <v>Grounded</v>
      </c>
      <c r="O913" s="251" t="str">
        <f>IFERROR(__xludf.DUMMYFUNCTION("""COMPUTED_VALUE"""),"Slow")</f>
        <v>Slow</v>
      </c>
      <c r="P913" s="251" t="str">
        <f>IFERROR(__xludf.DUMMYFUNCTION("""COMPUTED_VALUE"""),"--")</f>
        <v>--</v>
      </c>
      <c r="Q913" s="251" t="str">
        <f>IFERROR(__xludf.DUMMYFUNCTION("""COMPUTED_VALUE"""),"--")</f>
        <v>--</v>
      </c>
      <c r="R913" s="251" t="str">
        <f>IFERROR(__xludf.DUMMYFUNCTION("""COMPUTED_VALUE"""),"Reach")</f>
        <v>Reach</v>
      </c>
      <c r="S913" s="251" t="str">
        <f>IFERROR(__xludf.DUMMYFUNCTION("""COMPUTED_VALUE"""),"--")</f>
        <v>--</v>
      </c>
      <c r="T913" s="251" t="str">
        <f>IFERROR(__xludf.DUMMYFUNCTION("""COMPUTED_VALUE"""),"--")</f>
        <v>--</v>
      </c>
      <c r="U913" s="251" t="str">
        <f>IFERROR(__xludf.DUMMYFUNCTION("""COMPUTED_VALUE"""),"--")</f>
        <v>--</v>
      </c>
      <c r="V913" s="251" t="str">
        <f>IFERROR(__xludf.DUMMYFUNCTION("""COMPUTED_VALUE"""),"Gilled")</f>
        <v>Gilled</v>
      </c>
      <c r="W913" s="251" t="str">
        <f>IFERROR(__xludf.DUMMYFUNCTION("""COMPUTED_VALUE"""),"--")</f>
        <v>--</v>
      </c>
      <c r="X913" s="251" t="str">
        <f>IFERROR(__xludf.DUMMYFUNCTION("""COMPUTED_VALUE"""),"--")</f>
        <v>--</v>
      </c>
      <c r="Y913" s="251" t="str">
        <f>IFERROR(__xludf.DUMMYFUNCTION("""COMPUTED_VALUE"""),"--")</f>
        <v>--</v>
      </c>
      <c r="Z913" s="251" t="str">
        <f>IFERROR(__xludf.DUMMYFUNCTION("""COMPUTED_VALUE"""),"--")</f>
        <v>--</v>
      </c>
      <c r="AA913" s="251" t="str">
        <f>IFERROR(__xludf.DUMMYFUNCTION("""COMPUTED_VALUE"""),"--")</f>
        <v>--</v>
      </c>
      <c r="AB913" s="251" t="str">
        <f>IFERROR(__xludf.DUMMYFUNCTION("""COMPUTED_VALUE"""),"--")</f>
        <v>--</v>
      </c>
      <c r="AC913" s="251" t="str">
        <f>IFERROR(__xludf.DUMMYFUNCTION("""COMPUTED_VALUE"""),"--")</f>
        <v>--</v>
      </c>
      <c r="AD913" s="251">
        <f>IFERROR(__xludf.DUMMYFUNCTION("""COMPUTED_VALUE"""),3.0)</f>
        <v>3</v>
      </c>
      <c r="AE913" s="251" t="str">
        <f>IFERROR(__xludf.DUMMYFUNCTION("""COMPUTED_VALUE"""),"Carnivore")</f>
        <v>Carnivore</v>
      </c>
    </row>
    <row r="914">
      <c r="A914" s="251" t="str">
        <f>IFERROR(__xludf.DUMMYFUNCTION("""COMPUTED_VALUE"""),"Anorith")</f>
        <v>Anorith</v>
      </c>
      <c r="B914" s="251" t="str">
        <f>IFERROR(__xludf.DUMMYFUNCTION("""COMPUTED_VALUE"""),"Rock")</f>
        <v>Rock</v>
      </c>
      <c r="C914" s="251" t="str">
        <f>IFERROR(__xludf.DUMMYFUNCTION("""COMPUTED_VALUE"""),"Bug")</f>
        <v>Bug</v>
      </c>
      <c r="D914" s="251">
        <f>IFERROR(__xludf.DUMMYFUNCTION("""COMPUTED_VALUE"""),5.0)</f>
        <v>5</v>
      </c>
      <c r="E914" s="251">
        <f>IFERROR(__xludf.DUMMYFUNCTION("""COMPUTED_VALUE"""),10.0)</f>
        <v>10</v>
      </c>
      <c r="F914" s="251">
        <f>IFERROR(__xludf.DUMMYFUNCTION("""COMPUTED_VALUE"""),5.0)</f>
        <v>5</v>
      </c>
      <c r="G914" s="251">
        <f>IFERROR(__xludf.DUMMYFUNCTION("""COMPUTED_VALUE"""),4.0)</f>
        <v>4</v>
      </c>
      <c r="H914" s="251">
        <f>IFERROR(__xludf.DUMMYFUNCTION("""COMPUTED_VALUE"""),5.0)</f>
        <v>5</v>
      </c>
      <c r="I914" s="251">
        <f>IFERROR(__xludf.DUMMYFUNCTION("""COMPUTED_VALUE"""),8.0)</f>
        <v>8</v>
      </c>
      <c r="J914" s="251">
        <f>IFERROR(__xludf.DUMMYFUNCTION("""COMPUTED_VALUE"""),2.0)</f>
        <v>2</v>
      </c>
      <c r="K914" s="251" t="str">
        <f>IFERROR(__xludf.DUMMYFUNCTION("""COMPUTED_VALUE"""),"Small")</f>
        <v>Small</v>
      </c>
      <c r="L914" s="251">
        <f>IFERROR(__xludf.DUMMYFUNCTION("""COMPUTED_VALUE"""),2.0)</f>
        <v>2</v>
      </c>
      <c r="M914" s="251" t="str">
        <f>IFERROR(__xludf.DUMMYFUNCTION("""COMPUTED_VALUE"""),"Cave, Ocean")</f>
        <v>Cave, Ocean</v>
      </c>
      <c r="N914" s="251" t="str">
        <f>IFERROR(__xludf.DUMMYFUNCTION("""COMPUTED_VALUE"""),"Slow")</f>
        <v>Slow</v>
      </c>
      <c r="O914" s="251" t="str">
        <f>IFERROR(__xludf.DUMMYFUNCTION("""COMPUTED_VALUE"""),"Swimmer")</f>
        <v>Swimmer</v>
      </c>
      <c r="P914" s="251" t="str">
        <f>IFERROR(__xludf.DUMMYFUNCTION("""COMPUTED_VALUE"""),"--")</f>
        <v>--</v>
      </c>
      <c r="Q914" s="251" t="str">
        <f>IFERROR(__xludf.DUMMYFUNCTION("""COMPUTED_VALUE"""),"--")</f>
        <v>--</v>
      </c>
      <c r="R914" s="251" t="str">
        <f>IFERROR(__xludf.DUMMYFUNCTION("""COMPUTED_VALUE"""),"Underdog")</f>
        <v>Underdog</v>
      </c>
      <c r="S914" s="251" t="str">
        <f>IFERROR(__xludf.DUMMYFUNCTION("""COMPUTED_VALUE"""),"--")</f>
        <v>--</v>
      </c>
      <c r="T914" s="251" t="str">
        <f>IFERROR(__xludf.DUMMYFUNCTION("""COMPUTED_VALUE"""),"--")</f>
        <v>--</v>
      </c>
      <c r="U914" s="251" t="str">
        <f>IFERROR(__xludf.DUMMYFUNCTION("""COMPUTED_VALUE"""),"--")</f>
        <v>--</v>
      </c>
      <c r="V914" s="251" t="str">
        <f>IFERROR(__xludf.DUMMYFUNCTION("""COMPUTED_VALUE"""),"Gilled")</f>
        <v>Gilled</v>
      </c>
      <c r="W914" s="251" t="str">
        <f>IFERROR(__xludf.DUMMYFUNCTION("""COMPUTED_VALUE"""),"--")</f>
        <v>--</v>
      </c>
      <c r="X914" s="251" t="str">
        <f>IFERROR(__xludf.DUMMYFUNCTION("""COMPUTED_VALUE"""),"--")</f>
        <v>--</v>
      </c>
      <c r="Y914" s="251" t="str">
        <f>IFERROR(__xludf.DUMMYFUNCTION("""COMPUTED_VALUE"""),"--")</f>
        <v>--</v>
      </c>
      <c r="Z914" s="251" t="str">
        <f>IFERROR(__xludf.DUMMYFUNCTION("""COMPUTED_VALUE"""),"--")</f>
        <v>--</v>
      </c>
      <c r="AA914" s="251" t="str">
        <f>IFERROR(__xludf.DUMMYFUNCTION("""COMPUTED_VALUE"""),"--")</f>
        <v>--</v>
      </c>
      <c r="AB914" s="251" t="str">
        <f>IFERROR(__xludf.DUMMYFUNCTION("""COMPUTED_VALUE"""),"--")</f>
        <v>--</v>
      </c>
      <c r="AC914" s="251" t="str">
        <f>IFERROR(__xludf.DUMMYFUNCTION("""COMPUTED_VALUE"""),"--")</f>
        <v>--</v>
      </c>
      <c r="AD914" s="251">
        <f>IFERROR(__xludf.DUMMYFUNCTION("""COMPUTED_VALUE"""),2.0)</f>
        <v>2</v>
      </c>
      <c r="AE914" s="251" t="str">
        <f>IFERROR(__xludf.DUMMYFUNCTION("""COMPUTED_VALUE"""),"Omnivore")</f>
        <v>Omnivore</v>
      </c>
    </row>
    <row r="915">
      <c r="A915" s="251" t="str">
        <f>IFERROR(__xludf.DUMMYFUNCTION("""COMPUTED_VALUE"""),"Armaldo")</f>
        <v>Armaldo</v>
      </c>
      <c r="B915" s="251" t="str">
        <f>IFERROR(__xludf.DUMMYFUNCTION("""COMPUTED_VALUE"""),"Rock")</f>
        <v>Rock</v>
      </c>
      <c r="C915" s="251" t="str">
        <f>IFERROR(__xludf.DUMMYFUNCTION("""COMPUTED_VALUE"""),"Bug")</f>
        <v>Bug</v>
      </c>
      <c r="D915" s="251">
        <f>IFERROR(__xludf.DUMMYFUNCTION("""COMPUTED_VALUE"""),8.0)</f>
        <v>8</v>
      </c>
      <c r="E915" s="251">
        <f>IFERROR(__xludf.DUMMYFUNCTION("""COMPUTED_VALUE"""),13.0)</f>
        <v>13</v>
      </c>
      <c r="F915" s="251">
        <f>IFERROR(__xludf.DUMMYFUNCTION("""COMPUTED_VALUE"""),10.0)</f>
        <v>10</v>
      </c>
      <c r="G915" s="251">
        <f>IFERROR(__xludf.DUMMYFUNCTION("""COMPUTED_VALUE"""),7.0)</f>
        <v>7</v>
      </c>
      <c r="H915" s="251">
        <f>IFERROR(__xludf.DUMMYFUNCTION("""COMPUTED_VALUE"""),8.0)</f>
        <v>8</v>
      </c>
      <c r="I915" s="251">
        <f>IFERROR(__xludf.DUMMYFUNCTION("""COMPUTED_VALUE"""),5.0)</f>
        <v>5</v>
      </c>
      <c r="J915" s="251">
        <f>IFERROR(__xludf.DUMMYFUNCTION("""COMPUTED_VALUE"""),6.0)</f>
        <v>6</v>
      </c>
      <c r="K915" s="251" t="str">
        <f>IFERROR(__xludf.DUMMYFUNCTION("""COMPUTED_VALUE"""),"Medium")</f>
        <v>Medium</v>
      </c>
      <c r="L915" s="251">
        <f>IFERROR(__xludf.DUMMYFUNCTION("""COMPUTED_VALUE"""),4.0)</f>
        <v>4</v>
      </c>
      <c r="M915" s="251" t="str">
        <f>IFERROR(__xludf.DUMMYFUNCTION("""COMPUTED_VALUE"""),"Cave, Ocean")</f>
        <v>Cave, Ocean</v>
      </c>
      <c r="N915" s="251" t="str">
        <f>IFERROR(__xludf.DUMMYFUNCTION("""COMPUTED_VALUE"""),"Swimmer")</f>
        <v>Swimmer</v>
      </c>
      <c r="O915" s="251" t="str">
        <f>IFERROR(__xludf.DUMMYFUNCTION("""COMPUTED_VALUE"""),"--")</f>
        <v>--</v>
      </c>
      <c r="P915" s="251" t="str">
        <f>IFERROR(__xludf.DUMMYFUNCTION("""COMPUTED_VALUE"""),"--")</f>
        <v>--</v>
      </c>
      <c r="Q915" s="251" t="str">
        <f>IFERROR(__xludf.DUMMYFUNCTION("""COMPUTED_VALUE"""),"--")</f>
        <v>--</v>
      </c>
      <c r="R915" s="251" t="str">
        <f>IFERROR(__xludf.DUMMYFUNCTION("""COMPUTED_VALUE"""),"--")</f>
        <v>--</v>
      </c>
      <c r="S915" s="251" t="str">
        <f>IFERROR(__xludf.DUMMYFUNCTION("""COMPUTED_VALUE"""),"--")</f>
        <v>--</v>
      </c>
      <c r="T915" s="251" t="str">
        <f>IFERROR(__xludf.DUMMYFUNCTION("""COMPUTED_VALUE"""),"--")</f>
        <v>--</v>
      </c>
      <c r="U915" s="251" t="str">
        <f>IFERROR(__xludf.DUMMYFUNCTION("""COMPUTED_VALUE"""),"--")</f>
        <v>--</v>
      </c>
      <c r="V915" s="251" t="str">
        <f>IFERROR(__xludf.DUMMYFUNCTION("""COMPUTED_VALUE"""),"Gilled")</f>
        <v>Gilled</v>
      </c>
      <c r="W915" s="251" t="str">
        <f>IFERROR(__xludf.DUMMYFUNCTION("""COMPUTED_VALUE"""),"--")</f>
        <v>--</v>
      </c>
      <c r="X915" s="251" t="str">
        <f>IFERROR(__xludf.DUMMYFUNCTION("""COMPUTED_VALUE"""),"--")</f>
        <v>--</v>
      </c>
      <c r="Y915" s="251" t="str">
        <f>IFERROR(__xludf.DUMMYFUNCTION("""COMPUTED_VALUE"""),"--")</f>
        <v>--</v>
      </c>
      <c r="Z915" s="251" t="str">
        <f>IFERROR(__xludf.DUMMYFUNCTION("""COMPUTED_VALUE"""),"--")</f>
        <v>--</v>
      </c>
      <c r="AA915" s="251" t="str">
        <f>IFERROR(__xludf.DUMMYFUNCTION("""COMPUTED_VALUE"""),"--")</f>
        <v>--</v>
      </c>
      <c r="AB915" s="251" t="str">
        <f>IFERROR(__xludf.DUMMYFUNCTION("""COMPUTED_VALUE"""),"--")</f>
        <v>--</v>
      </c>
      <c r="AC915" s="251" t="str">
        <f>IFERROR(__xludf.DUMMYFUNCTION("""COMPUTED_VALUE"""),"--")</f>
        <v>--</v>
      </c>
      <c r="AD915" s="251">
        <f>IFERROR(__xludf.DUMMYFUNCTION("""COMPUTED_VALUE"""),3.0)</f>
        <v>3</v>
      </c>
      <c r="AE915" s="251" t="str">
        <f>IFERROR(__xludf.DUMMYFUNCTION("""COMPUTED_VALUE"""),"Omnivore")</f>
        <v>Omnivore</v>
      </c>
    </row>
    <row r="916">
      <c r="A916" s="251" t="str">
        <f>IFERROR(__xludf.DUMMYFUNCTION("""COMPUTED_VALUE"""),"Cranidos")</f>
        <v>Cranidos</v>
      </c>
      <c r="B916" s="251" t="str">
        <f>IFERROR(__xludf.DUMMYFUNCTION("""COMPUTED_VALUE"""),"Rock")</f>
        <v>Rock</v>
      </c>
      <c r="C916" s="251" t="str">
        <f>IFERROR(__xludf.DUMMYFUNCTION("""COMPUTED_VALUE"""),"None")</f>
        <v>None</v>
      </c>
      <c r="D916" s="251">
        <f>IFERROR(__xludf.DUMMYFUNCTION("""COMPUTED_VALUE"""),7.0)</f>
        <v>7</v>
      </c>
      <c r="E916" s="251">
        <f>IFERROR(__xludf.DUMMYFUNCTION("""COMPUTED_VALUE"""),13.0)</f>
        <v>13</v>
      </c>
      <c r="F916" s="251">
        <f>IFERROR(__xludf.DUMMYFUNCTION("""COMPUTED_VALUE"""),4.0)</f>
        <v>4</v>
      </c>
      <c r="G916" s="251">
        <f>IFERROR(__xludf.DUMMYFUNCTION("""COMPUTED_VALUE"""),3.0)</f>
        <v>3</v>
      </c>
      <c r="H916" s="251">
        <f>IFERROR(__xludf.DUMMYFUNCTION("""COMPUTED_VALUE"""),3.0)</f>
        <v>3</v>
      </c>
      <c r="I916" s="251">
        <f>IFERROR(__xludf.DUMMYFUNCTION("""COMPUTED_VALUE"""),6.0)</f>
        <v>6</v>
      </c>
      <c r="J916" s="251">
        <f>IFERROR(__xludf.DUMMYFUNCTION("""COMPUTED_VALUE"""),5.0)</f>
        <v>5</v>
      </c>
      <c r="K916" s="251" t="str">
        <f>IFERROR(__xludf.DUMMYFUNCTION("""COMPUTED_VALUE"""),"Small")</f>
        <v>Small</v>
      </c>
      <c r="L916" s="251">
        <f>IFERROR(__xludf.DUMMYFUNCTION("""COMPUTED_VALUE"""),3.0)</f>
        <v>3</v>
      </c>
      <c r="M916" s="251" t="str">
        <f>IFERROR(__xludf.DUMMYFUNCTION("""COMPUTED_VALUE"""),"Desert")</f>
        <v>Desert</v>
      </c>
      <c r="N916" s="251" t="str">
        <f>IFERROR(__xludf.DUMMYFUNCTION("""COMPUTED_VALUE"""),"--")</f>
        <v>--</v>
      </c>
      <c r="O916" s="251" t="str">
        <f>IFERROR(__xludf.DUMMYFUNCTION("""COMPUTED_VALUE"""),"--")</f>
        <v>--</v>
      </c>
      <c r="P916" s="251" t="str">
        <f>IFERROR(__xludf.DUMMYFUNCTION("""COMPUTED_VALUE"""),"--")</f>
        <v>--</v>
      </c>
      <c r="Q916" s="251" t="str">
        <f>IFERROR(__xludf.DUMMYFUNCTION("""COMPUTED_VALUE"""),"--")</f>
        <v>--</v>
      </c>
      <c r="R916" s="251" t="str">
        <f>IFERROR(__xludf.DUMMYFUNCTION("""COMPUTED_VALUE"""),"Underdog")</f>
        <v>Underdog</v>
      </c>
      <c r="S916" s="251" t="str">
        <f>IFERROR(__xludf.DUMMYFUNCTION("""COMPUTED_VALUE"""),"--")</f>
        <v>--</v>
      </c>
      <c r="T916" s="251" t="str">
        <f>IFERROR(__xludf.DUMMYFUNCTION("""COMPUTED_VALUE"""),"--")</f>
        <v>--</v>
      </c>
      <c r="U916" s="251" t="str">
        <f>IFERROR(__xludf.DUMMYFUNCTION("""COMPUTED_VALUE"""),"--")</f>
        <v>--</v>
      </c>
      <c r="V916" s="251" t="str">
        <f>IFERROR(__xludf.DUMMYFUNCTION("""COMPUTED_VALUE"""),"--")</f>
        <v>--</v>
      </c>
      <c r="W916" s="251" t="str">
        <f>IFERROR(__xludf.DUMMYFUNCTION("""COMPUTED_VALUE"""),"--")</f>
        <v>--</v>
      </c>
      <c r="X916" s="251" t="str">
        <f>IFERROR(__xludf.DUMMYFUNCTION("""COMPUTED_VALUE"""),"--")</f>
        <v>--</v>
      </c>
      <c r="Y916" s="251" t="str">
        <f>IFERROR(__xludf.DUMMYFUNCTION("""COMPUTED_VALUE"""),"--")</f>
        <v>--</v>
      </c>
      <c r="Z916" s="251" t="str">
        <f>IFERROR(__xludf.DUMMYFUNCTION("""COMPUTED_VALUE"""),"--")</f>
        <v>--</v>
      </c>
      <c r="AA916" s="251" t="str">
        <f>IFERROR(__xludf.DUMMYFUNCTION("""COMPUTED_VALUE"""),"--")</f>
        <v>--</v>
      </c>
      <c r="AB916" s="251" t="str">
        <f>IFERROR(__xludf.DUMMYFUNCTION("""COMPUTED_VALUE"""),"--")</f>
        <v>--</v>
      </c>
      <c r="AC916" s="251" t="str">
        <f>IFERROR(__xludf.DUMMYFUNCTION("""COMPUTED_VALUE"""),"--")</f>
        <v>--</v>
      </c>
      <c r="AD916" s="251">
        <f>IFERROR(__xludf.DUMMYFUNCTION("""COMPUTED_VALUE"""),2.0)</f>
        <v>2</v>
      </c>
      <c r="AE916" s="251" t="str">
        <f>IFERROR(__xludf.DUMMYFUNCTION("""COMPUTED_VALUE"""),"Carnivore")</f>
        <v>Carnivore</v>
      </c>
    </row>
    <row r="917">
      <c r="A917" s="251" t="str">
        <f>IFERROR(__xludf.DUMMYFUNCTION("""COMPUTED_VALUE"""),"Rampardos")</f>
        <v>Rampardos</v>
      </c>
      <c r="B917" s="251" t="str">
        <f>IFERROR(__xludf.DUMMYFUNCTION("""COMPUTED_VALUE"""),"Rock")</f>
        <v>Rock</v>
      </c>
      <c r="C917" s="251" t="str">
        <f>IFERROR(__xludf.DUMMYFUNCTION("""COMPUTED_VALUE"""),"None")</f>
        <v>None</v>
      </c>
      <c r="D917" s="251">
        <f>IFERROR(__xludf.DUMMYFUNCTION("""COMPUTED_VALUE"""),10.0)</f>
        <v>10</v>
      </c>
      <c r="E917" s="251">
        <f>IFERROR(__xludf.DUMMYFUNCTION("""COMPUTED_VALUE"""),17.0)</f>
        <v>17</v>
      </c>
      <c r="F917" s="251">
        <f>IFERROR(__xludf.DUMMYFUNCTION("""COMPUTED_VALUE"""),6.0)</f>
        <v>6</v>
      </c>
      <c r="G917" s="251">
        <f>IFERROR(__xludf.DUMMYFUNCTION("""COMPUTED_VALUE"""),7.0)</f>
        <v>7</v>
      </c>
      <c r="H917" s="251">
        <f>IFERROR(__xludf.DUMMYFUNCTION("""COMPUTED_VALUE"""),5.0)</f>
        <v>5</v>
      </c>
      <c r="I917" s="251">
        <f>IFERROR(__xludf.DUMMYFUNCTION("""COMPUTED_VALUE"""),6.0)</f>
        <v>6</v>
      </c>
      <c r="J917" s="251">
        <f>IFERROR(__xludf.DUMMYFUNCTION("""COMPUTED_VALUE"""),10.0)</f>
        <v>10</v>
      </c>
      <c r="K917" s="251" t="str">
        <f>IFERROR(__xludf.DUMMYFUNCTION("""COMPUTED_VALUE"""),"Medium")</f>
        <v>Medium</v>
      </c>
      <c r="L917" s="251">
        <f>IFERROR(__xludf.DUMMYFUNCTION("""COMPUTED_VALUE"""),5.0)</f>
        <v>5</v>
      </c>
      <c r="M917" s="251" t="str">
        <f>IFERROR(__xludf.DUMMYFUNCTION("""COMPUTED_VALUE"""),"Desert")</f>
        <v>Desert</v>
      </c>
      <c r="N917" s="251" t="str">
        <f>IFERROR(__xludf.DUMMYFUNCTION("""COMPUTED_VALUE"""),"--")</f>
        <v>--</v>
      </c>
      <c r="O917" s="251" t="str">
        <f>IFERROR(__xludf.DUMMYFUNCTION("""COMPUTED_VALUE"""),"--")</f>
        <v>--</v>
      </c>
      <c r="P917" s="251" t="str">
        <f>IFERROR(__xludf.DUMMYFUNCTION("""COMPUTED_VALUE"""),"--")</f>
        <v>--</v>
      </c>
      <c r="Q917" s="251" t="str">
        <f>IFERROR(__xludf.DUMMYFUNCTION("""COMPUTED_VALUE"""),"--")</f>
        <v>--</v>
      </c>
      <c r="R917" s="251" t="str">
        <f>IFERROR(__xludf.DUMMYFUNCTION("""COMPUTED_VALUE"""),"Mountable")</f>
        <v>Mountable</v>
      </c>
      <c r="S917" s="251" t="str">
        <f>IFERROR(__xludf.DUMMYFUNCTION("""COMPUTED_VALUE"""),"--")</f>
        <v>--</v>
      </c>
      <c r="T917" s="251" t="str">
        <f>IFERROR(__xludf.DUMMYFUNCTION("""COMPUTED_VALUE"""),"--")</f>
        <v>--</v>
      </c>
      <c r="U917" s="251" t="str">
        <f>IFERROR(__xludf.DUMMYFUNCTION("""COMPUTED_VALUE"""),"--")</f>
        <v>--</v>
      </c>
      <c r="V917" s="251" t="str">
        <f>IFERROR(__xludf.DUMMYFUNCTION("""COMPUTED_VALUE"""),"--")</f>
        <v>--</v>
      </c>
      <c r="W917" s="251" t="str">
        <f>IFERROR(__xludf.DUMMYFUNCTION("""COMPUTED_VALUE"""),"--")</f>
        <v>--</v>
      </c>
      <c r="X917" s="251" t="str">
        <f>IFERROR(__xludf.DUMMYFUNCTION("""COMPUTED_VALUE"""),"--")</f>
        <v>--</v>
      </c>
      <c r="Y917" s="251" t="str">
        <f>IFERROR(__xludf.DUMMYFUNCTION("""COMPUTED_VALUE"""),"--")</f>
        <v>--</v>
      </c>
      <c r="Z917" s="251" t="str">
        <f>IFERROR(__xludf.DUMMYFUNCTION("""COMPUTED_VALUE"""),"--")</f>
        <v>--</v>
      </c>
      <c r="AA917" s="251" t="str">
        <f>IFERROR(__xludf.DUMMYFUNCTION("""COMPUTED_VALUE"""),"--")</f>
        <v>--</v>
      </c>
      <c r="AB917" s="251" t="str">
        <f>IFERROR(__xludf.DUMMYFUNCTION("""COMPUTED_VALUE"""),"--")</f>
        <v>--</v>
      </c>
      <c r="AC917" s="251" t="str">
        <f>IFERROR(__xludf.DUMMYFUNCTION("""COMPUTED_VALUE"""),"--")</f>
        <v>--</v>
      </c>
      <c r="AD917" s="251">
        <f>IFERROR(__xludf.DUMMYFUNCTION("""COMPUTED_VALUE"""),3.0)</f>
        <v>3</v>
      </c>
      <c r="AE917" s="251" t="str">
        <f>IFERROR(__xludf.DUMMYFUNCTION("""COMPUTED_VALUE"""),"Carnivore")</f>
        <v>Carnivore</v>
      </c>
    </row>
    <row r="918">
      <c r="A918" s="251" t="str">
        <f>IFERROR(__xludf.DUMMYFUNCTION("""COMPUTED_VALUE"""),"Shieldon")</f>
        <v>Shieldon</v>
      </c>
      <c r="B918" s="251" t="str">
        <f>IFERROR(__xludf.DUMMYFUNCTION("""COMPUTED_VALUE"""),"Rock")</f>
        <v>Rock</v>
      </c>
      <c r="C918" s="251" t="str">
        <f>IFERROR(__xludf.DUMMYFUNCTION("""COMPUTED_VALUE"""),"Steel")</f>
        <v>Steel</v>
      </c>
      <c r="D918" s="251">
        <f>IFERROR(__xludf.DUMMYFUNCTION("""COMPUTED_VALUE"""),3.0)</f>
        <v>3</v>
      </c>
      <c r="E918" s="251">
        <f>IFERROR(__xludf.DUMMYFUNCTION("""COMPUTED_VALUE"""),4.0)</f>
        <v>4</v>
      </c>
      <c r="F918" s="251">
        <f>IFERROR(__xludf.DUMMYFUNCTION("""COMPUTED_VALUE"""),12.0)</f>
        <v>12</v>
      </c>
      <c r="G918" s="251">
        <f>IFERROR(__xludf.DUMMYFUNCTION("""COMPUTED_VALUE"""),4.0)</f>
        <v>4</v>
      </c>
      <c r="H918" s="251">
        <f>IFERROR(__xludf.DUMMYFUNCTION("""COMPUTED_VALUE"""),9.0)</f>
        <v>9</v>
      </c>
      <c r="I918" s="251">
        <f>IFERROR(__xludf.DUMMYFUNCTION("""COMPUTED_VALUE"""),3.0)</f>
        <v>3</v>
      </c>
      <c r="J918" s="251">
        <f>IFERROR(__xludf.DUMMYFUNCTION("""COMPUTED_VALUE"""),5.0)</f>
        <v>5</v>
      </c>
      <c r="K918" s="251" t="str">
        <f>IFERROR(__xludf.DUMMYFUNCTION("""COMPUTED_VALUE"""),"Small")</f>
        <v>Small</v>
      </c>
      <c r="L918" s="251">
        <f>IFERROR(__xludf.DUMMYFUNCTION("""COMPUTED_VALUE"""),4.0)</f>
        <v>4</v>
      </c>
      <c r="M918" s="251" t="str">
        <f>IFERROR(__xludf.DUMMYFUNCTION("""COMPUTED_VALUE"""),"Cave, Mountain")</f>
        <v>Cave, Mountain</v>
      </c>
      <c r="N918" s="251" t="str">
        <f>IFERROR(__xludf.DUMMYFUNCTION("""COMPUTED_VALUE"""),"--")</f>
        <v>--</v>
      </c>
      <c r="O918" s="251" t="str">
        <f>IFERROR(__xludf.DUMMYFUNCTION("""COMPUTED_VALUE"""),"--")</f>
        <v>--</v>
      </c>
      <c r="P918" s="251" t="str">
        <f>IFERROR(__xludf.DUMMYFUNCTION("""COMPUTED_VALUE"""),"--")</f>
        <v>--</v>
      </c>
      <c r="Q918" s="251" t="str">
        <f>IFERROR(__xludf.DUMMYFUNCTION("""COMPUTED_VALUE"""),"--")</f>
        <v>--</v>
      </c>
      <c r="R918" s="251" t="str">
        <f>IFERROR(__xludf.DUMMYFUNCTION("""COMPUTED_VALUE"""),"Underdog")</f>
        <v>Underdog</v>
      </c>
      <c r="S918" s="251" t="str">
        <f>IFERROR(__xludf.DUMMYFUNCTION("""COMPUTED_VALUE"""),"--")</f>
        <v>--</v>
      </c>
      <c r="T918" s="251" t="str">
        <f>IFERROR(__xludf.DUMMYFUNCTION("""COMPUTED_VALUE"""),"--")</f>
        <v>--</v>
      </c>
      <c r="U918" s="251" t="str">
        <f>IFERROR(__xludf.DUMMYFUNCTION("""COMPUTED_VALUE"""),"--")</f>
        <v>--</v>
      </c>
      <c r="V918" s="251" t="str">
        <f>IFERROR(__xludf.DUMMYFUNCTION("""COMPUTED_VALUE"""),"--")</f>
        <v>--</v>
      </c>
      <c r="W918" s="251" t="str">
        <f>IFERROR(__xludf.DUMMYFUNCTION("""COMPUTED_VALUE"""),"--")</f>
        <v>--</v>
      </c>
      <c r="X918" s="251" t="str">
        <f>IFERROR(__xludf.DUMMYFUNCTION("""COMPUTED_VALUE"""),"--")</f>
        <v>--</v>
      </c>
      <c r="Y918" s="251" t="str">
        <f>IFERROR(__xludf.DUMMYFUNCTION("""COMPUTED_VALUE"""),"--")</f>
        <v>--</v>
      </c>
      <c r="Z918" s="251" t="str">
        <f>IFERROR(__xludf.DUMMYFUNCTION("""COMPUTED_VALUE"""),"--")</f>
        <v>--</v>
      </c>
      <c r="AA918" s="251" t="str">
        <f>IFERROR(__xludf.DUMMYFUNCTION("""COMPUTED_VALUE"""),"--")</f>
        <v>--</v>
      </c>
      <c r="AB918" s="251" t="str">
        <f>IFERROR(__xludf.DUMMYFUNCTION("""COMPUTED_VALUE"""),"--")</f>
        <v>--</v>
      </c>
      <c r="AC918" s="251" t="str">
        <f>IFERROR(__xludf.DUMMYFUNCTION("""COMPUTED_VALUE"""),"--")</f>
        <v>--</v>
      </c>
      <c r="AD918" s="251">
        <f>IFERROR(__xludf.DUMMYFUNCTION("""COMPUTED_VALUE"""),2.0)</f>
        <v>2</v>
      </c>
      <c r="AE918" s="251" t="str">
        <f>IFERROR(__xludf.DUMMYFUNCTION("""COMPUTED_VALUE"""),"Herbivore")</f>
        <v>Herbivore</v>
      </c>
    </row>
    <row r="919">
      <c r="A919" s="251" t="str">
        <f>IFERROR(__xludf.DUMMYFUNCTION("""COMPUTED_VALUE"""),"Bastiodon")</f>
        <v>Bastiodon</v>
      </c>
      <c r="B919" s="251" t="str">
        <f>IFERROR(__xludf.DUMMYFUNCTION("""COMPUTED_VALUE"""),"Rock")</f>
        <v>Rock</v>
      </c>
      <c r="C919" s="251" t="str">
        <f>IFERROR(__xludf.DUMMYFUNCTION("""COMPUTED_VALUE"""),"Steel")</f>
        <v>Steel</v>
      </c>
      <c r="D919" s="251">
        <f>IFERROR(__xludf.DUMMYFUNCTION("""COMPUTED_VALUE"""),6.0)</f>
        <v>6</v>
      </c>
      <c r="E919" s="251">
        <f>IFERROR(__xludf.DUMMYFUNCTION("""COMPUTED_VALUE"""),5.0)</f>
        <v>5</v>
      </c>
      <c r="F919" s="251">
        <f>IFERROR(__xludf.DUMMYFUNCTION("""COMPUTED_VALUE"""),17.0)</f>
        <v>17</v>
      </c>
      <c r="G919" s="251">
        <f>IFERROR(__xludf.DUMMYFUNCTION("""COMPUTED_VALUE"""),5.0)</f>
        <v>5</v>
      </c>
      <c r="H919" s="251">
        <f>IFERROR(__xludf.DUMMYFUNCTION("""COMPUTED_VALUE"""),15.0)</f>
        <v>15</v>
      </c>
      <c r="I919" s="251">
        <f>IFERROR(__xludf.DUMMYFUNCTION("""COMPUTED_VALUE"""),3.0)</f>
        <v>3</v>
      </c>
      <c r="J919" s="251">
        <f>IFERROR(__xludf.DUMMYFUNCTION("""COMPUTED_VALUE"""),8.0)</f>
        <v>8</v>
      </c>
      <c r="K919" s="251" t="str">
        <f>IFERROR(__xludf.DUMMYFUNCTION("""COMPUTED_VALUE"""),"Medium")</f>
        <v>Medium</v>
      </c>
      <c r="L919" s="251">
        <f>IFERROR(__xludf.DUMMYFUNCTION("""COMPUTED_VALUE"""),5.0)</f>
        <v>5</v>
      </c>
      <c r="M919" s="251" t="str">
        <f>IFERROR(__xludf.DUMMYFUNCTION("""COMPUTED_VALUE"""),"Cave, Mountain")</f>
        <v>Cave, Mountain</v>
      </c>
      <c r="N919" s="251" t="str">
        <f>IFERROR(__xludf.DUMMYFUNCTION("""COMPUTED_VALUE"""),"--")</f>
        <v>--</v>
      </c>
      <c r="O919" s="251" t="str">
        <f>IFERROR(__xludf.DUMMYFUNCTION("""COMPUTED_VALUE"""),"--")</f>
        <v>--</v>
      </c>
      <c r="P919" s="251" t="str">
        <f>IFERROR(__xludf.DUMMYFUNCTION("""COMPUTED_VALUE"""),"--")</f>
        <v>--</v>
      </c>
      <c r="Q919" s="251" t="str">
        <f>IFERROR(__xludf.DUMMYFUNCTION("""COMPUTED_VALUE"""),"--")</f>
        <v>--</v>
      </c>
      <c r="R919" s="251" t="str">
        <f>IFERROR(__xludf.DUMMYFUNCTION("""COMPUTED_VALUE"""),"Mountable")</f>
        <v>Mountable</v>
      </c>
      <c r="S919" s="251" t="str">
        <f>IFERROR(__xludf.DUMMYFUNCTION("""COMPUTED_VALUE"""),"--")</f>
        <v>--</v>
      </c>
      <c r="T919" s="251" t="str">
        <f>IFERROR(__xludf.DUMMYFUNCTION("""COMPUTED_VALUE"""),"--")</f>
        <v>--</v>
      </c>
      <c r="U919" s="251" t="str">
        <f>IFERROR(__xludf.DUMMYFUNCTION("""COMPUTED_VALUE"""),"--")</f>
        <v>--</v>
      </c>
      <c r="V919" s="251" t="str">
        <f>IFERROR(__xludf.DUMMYFUNCTION("""COMPUTED_VALUE"""),"--")</f>
        <v>--</v>
      </c>
      <c r="W919" s="251" t="str">
        <f>IFERROR(__xludf.DUMMYFUNCTION("""COMPUTED_VALUE"""),"--")</f>
        <v>--</v>
      </c>
      <c r="X919" s="251" t="str">
        <f>IFERROR(__xludf.DUMMYFUNCTION("""COMPUTED_VALUE"""),"--")</f>
        <v>--</v>
      </c>
      <c r="Y919" s="251" t="str">
        <f>IFERROR(__xludf.DUMMYFUNCTION("""COMPUTED_VALUE"""),"--")</f>
        <v>--</v>
      </c>
      <c r="Z919" s="251" t="str">
        <f>IFERROR(__xludf.DUMMYFUNCTION("""COMPUTED_VALUE"""),"--")</f>
        <v>--</v>
      </c>
      <c r="AA919" s="251" t="str">
        <f>IFERROR(__xludf.DUMMYFUNCTION("""COMPUTED_VALUE"""),"--")</f>
        <v>--</v>
      </c>
      <c r="AB919" s="251" t="str">
        <f>IFERROR(__xludf.DUMMYFUNCTION("""COMPUTED_VALUE"""),"--")</f>
        <v>--</v>
      </c>
      <c r="AC919" s="251" t="str">
        <f>IFERROR(__xludf.DUMMYFUNCTION("""COMPUTED_VALUE"""),"--")</f>
        <v>--</v>
      </c>
      <c r="AD919" s="251">
        <f>IFERROR(__xludf.DUMMYFUNCTION("""COMPUTED_VALUE"""),3.0)</f>
        <v>3</v>
      </c>
      <c r="AE919" s="251" t="str">
        <f>IFERROR(__xludf.DUMMYFUNCTION("""COMPUTED_VALUE"""),"Herbivore")</f>
        <v>Herbivore</v>
      </c>
    </row>
    <row r="920">
      <c r="A920" s="251" t="str">
        <f>IFERROR(__xludf.DUMMYFUNCTION("""COMPUTED_VALUE"""),"Bonsly")</f>
        <v>Bonsly</v>
      </c>
      <c r="B920" s="251" t="str">
        <f>IFERROR(__xludf.DUMMYFUNCTION("""COMPUTED_VALUE"""),"Rock")</f>
        <v>Rock</v>
      </c>
      <c r="C920" s="251" t="str">
        <f>IFERROR(__xludf.DUMMYFUNCTION("""COMPUTED_VALUE"""),"None")</f>
        <v>None</v>
      </c>
      <c r="D920" s="251">
        <f>IFERROR(__xludf.DUMMYFUNCTION("""COMPUTED_VALUE"""),5.0)</f>
        <v>5</v>
      </c>
      <c r="E920" s="251">
        <f>IFERROR(__xludf.DUMMYFUNCTION("""COMPUTED_VALUE"""),8.0)</f>
        <v>8</v>
      </c>
      <c r="F920" s="251">
        <f>IFERROR(__xludf.DUMMYFUNCTION("""COMPUTED_VALUE"""),10.0)</f>
        <v>10</v>
      </c>
      <c r="G920" s="251">
        <f>IFERROR(__xludf.DUMMYFUNCTION("""COMPUTED_VALUE"""),1.0)</f>
        <v>1</v>
      </c>
      <c r="H920" s="251">
        <f>IFERROR(__xludf.DUMMYFUNCTION("""COMPUTED_VALUE"""),5.0)</f>
        <v>5</v>
      </c>
      <c r="I920" s="251">
        <f>IFERROR(__xludf.DUMMYFUNCTION("""COMPUTED_VALUE"""),1.0)</f>
        <v>1</v>
      </c>
      <c r="J920" s="251">
        <f>IFERROR(__xludf.DUMMYFUNCTION("""COMPUTED_VALUE"""),1.0)</f>
        <v>1</v>
      </c>
      <c r="K920" s="251" t="str">
        <f>IFERROR(__xludf.DUMMYFUNCTION("""COMPUTED_VALUE"""),"Small")</f>
        <v>Small</v>
      </c>
      <c r="L920" s="251">
        <f>IFERROR(__xludf.DUMMYFUNCTION("""COMPUTED_VALUE"""),2.0)</f>
        <v>2</v>
      </c>
      <c r="M920" s="251" t="str">
        <f>IFERROR(__xludf.DUMMYFUNCTION("""COMPUTED_VALUE"""),"Forest")</f>
        <v>Forest</v>
      </c>
      <c r="N920" s="251" t="str">
        <f>IFERROR(__xludf.DUMMYFUNCTION("""COMPUTED_VALUE"""),"Slow")</f>
        <v>Slow</v>
      </c>
      <c r="O920" s="251" t="str">
        <f>IFERROR(__xludf.DUMMYFUNCTION("""COMPUTED_VALUE"""),"--")</f>
        <v>--</v>
      </c>
      <c r="P920" s="251" t="str">
        <f>IFERROR(__xludf.DUMMYFUNCTION("""COMPUTED_VALUE"""),"--")</f>
        <v>--</v>
      </c>
      <c r="Q920" s="251" t="str">
        <f>IFERROR(__xludf.DUMMYFUNCTION("""COMPUTED_VALUE"""),"--")</f>
        <v>--</v>
      </c>
      <c r="R920" s="251" t="str">
        <f>IFERROR(__xludf.DUMMYFUNCTION("""COMPUTED_VALUE"""),"Underdog")</f>
        <v>Underdog</v>
      </c>
      <c r="S920" s="251" t="str">
        <f>IFERROR(__xludf.DUMMYFUNCTION("""COMPUTED_VALUE"""),"--")</f>
        <v>--</v>
      </c>
      <c r="T920" s="251" t="str">
        <f>IFERROR(__xludf.DUMMYFUNCTION("""COMPUTED_VALUE"""),"--")</f>
        <v>--</v>
      </c>
      <c r="U920" s="251" t="str">
        <f>IFERROR(__xludf.DUMMYFUNCTION("""COMPUTED_VALUE"""),"--")</f>
        <v>--</v>
      </c>
      <c r="V920" s="251" t="str">
        <f>IFERROR(__xludf.DUMMYFUNCTION("""COMPUTED_VALUE"""),"--")</f>
        <v>--</v>
      </c>
      <c r="W920" s="251" t="str">
        <f>IFERROR(__xludf.DUMMYFUNCTION("""COMPUTED_VALUE"""),"--")</f>
        <v>--</v>
      </c>
      <c r="X920" s="251" t="str">
        <f>IFERROR(__xludf.DUMMYFUNCTION("""COMPUTED_VALUE"""),"--")</f>
        <v>--</v>
      </c>
      <c r="Y920" s="251" t="str">
        <f>IFERROR(__xludf.DUMMYFUNCTION("""COMPUTED_VALUE"""),"--")</f>
        <v>--</v>
      </c>
      <c r="Z920" s="251" t="str">
        <f>IFERROR(__xludf.DUMMYFUNCTION("""COMPUTED_VALUE"""),"--")</f>
        <v>--</v>
      </c>
      <c r="AA920" s="251" t="str">
        <f>IFERROR(__xludf.DUMMYFUNCTION("""COMPUTED_VALUE"""),"--")</f>
        <v>--</v>
      </c>
      <c r="AB920" s="251" t="str">
        <f>IFERROR(__xludf.DUMMYFUNCTION("""COMPUTED_VALUE"""),"--")</f>
        <v>--</v>
      </c>
      <c r="AC920" s="251" t="str">
        <f>IFERROR(__xludf.DUMMYFUNCTION("""COMPUTED_VALUE"""),"--")</f>
        <v>--</v>
      </c>
      <c r="AD920" s="251">
        <f>IFERROR(__xludf.DUMMYFUNCTION("""COMPUTED_VALUE"""),2.0)</f>
        <v>2</v>
      </c>
      <c r="AE920" s="251" t="str">
        <f>IFERROR(__xludf.DUMMYFUNCTION("""COMPUTED_VALUE"""),"Phototroph")</f>
        <v>Phototroph</v>
      </c>
    </row>
    <row r="921">
      <c r="A921" s="251" t="str">
        <f>IFERROR(__xludf.DUMMYFUNCTION("""COMPUTED_VALUE"""),"Sudowoodo")</f>
        <v>Sudowoodo</v>
      </c>
      <c r="B921" s="251" t="str">
        <f>IFERROR(__xludf.DUMMYFUNCTION("""COMPUTED_VALUE"""),"Rock")</f>
        <v>Rock</v>
      </c>
      <c r="C921" s="251" t="str">
        <f>IFERROR(__xludf.DUMMYFUNCTION("""COMPUTED_VALUE"""),"None")</f>
        <v>None</v>
      </c>
      <c r="D921" s="251">
        <f>IFERROR(__xludf.DUMMYFUNCTION("""COMPUTED_VALUE"""),7.0)</f>
        <v>7</v>
      </c>
      <c r="E921" s="251">
        <f>IFERROR(__xludf.DUMMYFUNCTION("""COMPUTED_VALUE"""),10.0)</f>
        <v>10</v>
      </c>
      <c r="F921" s="251">
        <f>IFERROR(__xludf.DUMMYFUNCTION("""COMPUTED_VALUE"""),12.0)</f>
        <v>12</v>
      </c>
      <c r="G921" s="251">
        <f>IFERROR(__xludf.DUMMYFUNCTION("""COMPUTED_VALUE"""),3.0)</f>
        <v>3</v>
      </c>
      <c r="H921" s="251">
        <f>IFERROR(__xludf.DUMMYFUNCTION("""COMPUTED_VALUE"""),7.0)</f>
        <v>7</v>
      </c>
      <c r="I921" s="251">
        <f>IFERROR(__xludf.DUMMYFUNCTION("""COMPUTED_VALUE"""),3.0)</f>
        <v>3</v>
      </c>
      <c r="J921" s="251">
        <f>IFERROR(__xludf.DUMMYFUNCTION("""COMPUTED_VALUE"""),5.0)</f>
        <v>5</v>
      </c>
      <c r="K921" s="251" t="str">
        <f>IFERROR(__xludf.DUMMYFUNCTION("""COMPUTED_VALUE"""),"Medium")</f>
        <v>Medium</v>
      </c>
      <c r="L921" s="251">
        <f>IFERROR(__xludf.DUMMYFUNCTION("""COMPUTED_VALUE"""),3.0)</f>
        <v>3</v>
      </c>
      <c r="M921" s="251" t="str">
        <f>IFERROR(__xludf.DUMMYFUNCTION("""COMPUTED_VALUE"""),"Forest")</f>
        <v>Forest</v>
      </c>
      <c r="N921" s="251" t="str">
        <f>IFERROR(__xludf.DUMMYFUNCTION("""COMPUTED_VALUE"""),"--")</f>
        <v>--</v>
      </c>
      <c r="O921" s="251" t="str">
        <f>IFERROR(__xludf.DUMMYFUNCTION("""COMPUTED_VALUE"""),"--")</f>
        <v>--</v>
      </c>
      <c r="P921" s="251" t="str">
        <f>IFERROR(__xludf.DUMMYFUNCTION("""COMPUTED_VALUE"""),"--")</f>
        <v>--</v>
      </c>
      <c r="Q921" s="251" t="str">
        <f>IFERROR(__xludf.DUMMYFUNCTION("""COMPUTED_VALUE"""),"--")</f>
        <v>--</v>
      </c>
      <c r="R921" s="251" t="str">
        <f>IFERROR(__xludf.DUMMYFUNCTION("""COMPUTED_VALUE"""),"--")</f>
        <v>--</v>
      </c>
      <c r="S921" s="251" t="str">
        <f>IFERROR(__xludf.DUMMYFUNCTION("""COMPUTED_VALUE"""),"--")</f>
        <v>--</v>
      </c>
      <c r="T921" s="251" t="str">
        <f>IFERROR(__xludf.DUMMYFUNCTION("""COMPUTED_VALUE"""),"--")</f>
        <v>--</v>
      </c>
      <c r="U921" s="251" t="str">
        <f>IFERROR(__xludf.DUMMYFUNCTION("""COMPUTED_VALUE"""),"--")</f>
        <v>--</v>
      </c>
      <c r="V921" s="251" t="str">
        <f>IFERROR(__xludf.DUMMYFUNCTION("""COMPUTED_VALUE"""),"--")</f>
        <v>--</v>
      </c>
      <c r="W921" s="251" t="str">
        <f>IFERROR(__xludf.DUMMYFUNCTION("""COMPUTED_VALUE"""),"--")</f>
        <v>--</v>
      </c>
      <c r="X921" s="251" t="str">
        <f>IFERROR(__xludf.DUMMYFUNCTION("""COMPUTED_VALUE"""),"--")</f>
        <v>--</v>
      </c>
      <c r="Y921" s="251" t="str">
        <f>IFERROR(__xludf.DUMMYFUNCTION("""COMPUTED_VALUE"""),"--")</f>
        <v>--</v>
      </c>
      <c r="Z921" s="251" t="str">
        <f>IFERROR(__xludf.DUMMYFUNCTION("""COMPUTED_VALUE"""),"--")</f>
        <v>--</v>
      </c>
      <c r="AA921" s="251" t="str">
        <f>IFERROR(__xludf.DUMMYFUNCTION("""COMPUTED_VALUE"""),"--")</f>
        <v>--</v>
      </c>
      <c r="AB921" s="251" t="str">
        <f>IFERROR(__xludf.DUMMYFUNCTION("""COMPUTED_VALUE"""),"--")</f>
        <v>--</v>
      </c>
      <c r="AC921" s="251" t="str">
        <f>IFERROR(__xludf.DUMMYFUNCTION("""COMPUTED_VALUE"""),"--")</f>
        <v>--</v>
      </c>
      <c r="AD921" s="251">
        <f>IFERROR(__xludf.DUMMYFUNCTION("""COMPUTED_VALUE"""),3.0)</f>
        <v>3</v>
      </c>
      <c r="AE921" s="251" t="str">
        <f>IFERROR(__xludf.DUMMYFUNCTION("""COMPUTED_VALUE"""),"Phototroph")</f>
        <v>Phototroph</v>
      </c>
    </row>
    <row r="922">
      <c r="A922" s="251" t="str">
        <f>IFERROR(__xludf.DUMMYFUNCTION("""COMPUTED_VALUE"""),"Tirtouga")</f>
        <v>Tirtouga</v>
      </c>
      <c r="B922" s="251" t="str">
        <f>IFERROR(__xludf.DUMMYFUNCTION("""COMPUTED_VALUE"""),"Rock")</f>
        <v>Rock</v>
      </c>
      <c r="C922" s="251" t="str">
        <f>IFERROR(__xludf.DUMMYFUNCTION("""COMPUTED_VALUE"""),"Water")</f>
        <v>Water</v>
      </c>
      <c r="D922" s="251">
        <f>IFERROR(__xludf.DUMMYFUNCTION("""COMPUTED_VALUE"""),6.0)</f>
        <v>6</v>
      </c>
      <c r="E922" s="251">
        <f>IFERROR(__xludf.DUMMYFUNCTION("""COMPUTED_VALUE"""),8.0)</f>
        <v>8</v>
      </c>
      <c r="F922" s="251">
        <f>IFERROR(__xludf.DUMMYFUNCTION("""COMPUTED_VALUE"""),10.0)</f>
        <v>10</v>
      </c>
      <c r="G922" s="251">
        <f>IFERROR(__xludf.DUMMYFUNCTION("""COMPUTED_VALUE"""),5.0)</f>
        <v>5</v>
      </c>
      <c r="H922" s="251">
        <f>IFERROR(__xludf.DUMMYFUNCTION("""COMPUTED_VALUE"""),5.0)</f>
        <v>5</v>
      </c>
      <c r="I922" s="251">
        <f>IFERROR(__xludf.DUMMYFUNCTION("""COMPUTED_VALUE"""),2.0)</f>
        <v>2</v>
      </c>
      <c r="J922" s="251">
        <f>IFERROR(__xludf.DUMMYFUNCTION("""COMPUTED_VALUE"""),4.0)</f>
        <v>4</v>
      </c>
      <c r="K922" s="251" t="str">
        <f>IFERROR(__xludf.DUMMYFUNCTION("""COMPUTED_VALUE"""),"Small")</f>
        <v>Small</v>
      </c>
      <c r="L922" s="251">
        <f>IFERROR(__xludf.DUMMYFUNCTION("""COMPUTED_VALUE"""),2.0)</f>
        <v>2</v>
      </c>
      <c r="M922" s="251" t="str">
        <f>IFERROR(__xludf.DUMMYFUNCTION("""COMPUTED_VALUE"""),"Ocean")</f>
        <v>Ocean</v>
      </c>
      <c r="N922" s="251" t="str">
        <f>IFERROR(__xludf.DUMMYFUNCTION("""COMPUTED_VALUE"""),"Swimmer")</f>
        <v>Swimmer</v>
      </c>
      <c r="O922" s="251" t="str">
        <f>IFERROR(__xludf.DUMMYFUNCTION("""COMPUTED_VALUE"""),"--")</f>
        <v>--</v>
      </c>
      <c r="P922" s="251" t="str">
        <f>IFERROR(__xludf.DUMMYFUNCTION("""COMPUTED_VALUE"""),"--")</f>
        <v>--</v>
      </c>
      <c r="Q922" s="251" t="str">
        <f>IFERROR(__xludf.DUMMYFUNCTION("""COMPUTED_VALUE"""),"--")</f>
        <v>--</v>
      </c>
      <c r="R922" s="251" t="str">
        <f>IFERROR(__xludf.DUMMYFUNCTION("""COMPUTED_VALUE"""),"Underdog")</f>
        <v>Underdog</v>
      </c>
      <c r="S922" s="251" t="str">
        <f>IFERROR(__xludf.DUMMYFUNCTION("""COMPUTED_VALUE"""),"--")</f>
        <v>--</v>
      </c>
      <c r="T922" s="251" t="str">
        <f>IFERROR(__xludf.DUMMYFUNCTION("""COMPUTED_VALUE"""),"--")</f>
        <v>--</v>
      </c>
      <c r="U922" s="251" t="str">
        <f>IFERROR(__xludf.DUMMYFUNCTION("""COMPUTED_VALUE"""),"--")</f>
        <v>--</v>
      </c>
      <c r="V922" s="251" t="str">
        <f>IFERROR(__xludf.DUMMYFUNCTION("""COMPUTED_VALUE"""),"--")</f>
        <v>--</v>
      </c>
      <c r="W922" s="251" t="str">
        <f>IFERROR(__xludf.DUMMYFUNCTION("""COMPUTED_VALUE"""),"--")</f>
        <v>--</v>
      </c>
      <c r="X922" s="251" t="str">
        <f>IFERROR(__xludf.DUMMYFUNCTION("""COMPUTED_VALUE"""),"--")</f>
        <v>--</v>
      </c>
      <c r="Y922" s="251" t="str">
        <f>IFERROR(__xludf.DUMMYFUNCTION("""COMPUTED_VALUE"""),"--")</f>
        <v>--</v>
      </c>
      <c r="Z922" s="251" t="str">
        <f>IFERROR(__xludf.DUMMYFUNCTION("""COMPUTED_VALUE"""),"--")</f>
        <v>--</v>
      </c>
      <c r="AA922" s="251" t="str">
        <f>IFERROR(__xludf.DUMMYFUNCTION("""COMPUTED_VALUE"""),"--")</f>
        <v>--</v>
      </c>
      <c r="AB922" s="251" t="str">
        <f>IFERROR(__xludf.DUMMYFUNCTION("""COMPUTED_VALUE"""),"--")</f>
        <v>--</v>
      </c>
      <c r="AC922" s="251" t="str">
        <f>IFERROR(__xludf.DUMMYFUNCTION("""COMPUTED_VALUE"""),"--")</f>
        <v>--</v>
      </c>
      <c r="AD922" s="251">
        <f>IFERROR(__xludf.DUMMYFUNCTION("""COMPUTED_VALUE"""),2.0)</f>
        <v>2</v>
      </c>
      <c r="AE922" s="251" t="str">
        <f>IFERROR(__xludf.DUMMYFUNCTION("""COMPUTED_VALUE"""),"Carnivore")</f>
        <v>Carnivore</v>
      </c>
    </row>
    <row r="923">
      <c r="A923" s="251" t="str">
        <f>IFERROR(__xludf.DUMMYFUNCTION("""COMPUTED_VALUE"""),"Carracosta")</f>
        <v>Carracosta</v>
      </c>
      <c r="B923" s="251" t="str">
        <f>IFERROR(__xludf.DUMMYFUNCTION("""COMPUTED_VALUE"""),"Rock")</f>
        <v>Rock</v>
      </c>
      <c r="C923" s="251" t="str">
        <f>IFERROR(__xludf.DUMMYFUNCTION("""COMPUTED_VALUE"""),"Water")</f>
        <v>Water</v>
      </c>
      <c r="D923" s="251">
        <f>IFERROR(__xludf.DUMMYFUNCTION("""COMPUTED_VALUE"""),8.0)</f>
        <v>8</v>
      </c>
      <c r="E923" s="251">
        <f>IFERROR(__xludf.DUMMYFUNCTION("""COMPUTED_VALUE"""),11.0)</f>
        <v>11</v>
      </c>
      <c r="F923" s="251">
        <f>IFERROR(__xludf.DUMMYFUNCTION("""COMPUTED_VALUE"""),13.0)</f>
        <v>13</v>
      </c>
      <c r="G923" s="251">
        <f>IFERROR(__xludf.DUMMYFUNCTION("""COMPUTED_VALUE"""),8.0)</f>
        <v>8</v>
      </c>
      <c r="H923" s="251">
        <f>IFERROR(__xludf.DUMMYFUNCTION("""COMPUTED_VALUE"""),8.0)</f>
        <v>8</v>
      </c>
      <c r="I923" s="251">
        <f>IFERROR(__xludf.DUMMYFUNCTION("""COMPUTED_VALUE"""),3.0)</f>
        <v>3</v>
      </c>
      <c r="J923" s="251">
        <f>IFERROR(__xludf.DUMMYFUNCTION("""COMPUTED_VALUE"""),7.0)</f>
        <v>7</v>
      </c>
      <c r="K923" s="251" t="str">
        <f>IFERROR(__xludf.DUMMYFUNCTION("""COMPUTED_VALUE"""),"Medium")</f>
        <v>Medium</v>
      </c>
      <c r="L923" s="251">
        <f>IFERROR(__xludf.DUMMYFUNCTION("""COMPUTED_VALUE"""),4.0)</f>
        <v>4</v>
      </c>
      <c r="M923" s="251" t="str">
        <f>IFERROR(__xludf.DUMMYFUNCTION("""COMPUTED_VALUE"""),"Ocean")</f>
        <v>Ocean</v>
      </c>
      <c r="N923" s="251" t="str">
        <f>IFERROR(__xludf.DUMMYFUNCTION("""COMPUTED_VALUE"""),"Swimmer")</f>
        <v>Swimmer</v>
      </c>
      <c r="O923" s="251" t="str">
        <f>IFERROR(__xludf.DUMMYFUNCTION("""COMPUTED_VALUE"""),"--")</f>
        <v>--</v>
      </c>
      <c r="P923" s="251" t="str">
        <f>IFERROR(__xludf.DUMMYFUNCTION("""COMPUTED_VALUE"""),"--")</f>
        <v>--</v>
      </c>
      <c r="Q923" s="251" t="str">
        <f>IFERROR(__xludf.DUMMYFUNCTION("""COMPUTED_VALUE"""),"--")</f>
        <v>--</v>
      </c>
      <c r="R923" s="251" t="str">
        <f>IFERROR(__xludf.DUMMYFUNCTION("""COMPUTED_VALUE"""),"Mountable")</f>
        <v>Mountable</v>
      </c>
      <c r="S923" s="251" t="str">
        <f>IFERROR(__xludf.DUMMYFUNCTION("""COMPUTED_VALUE"""),"--")</f>
        <v>--</v>
      </c>
      <c r="T923" s="251" t="str">
        <f>IFERROR(__xludf.DUMMYFUNCTION("""COMPUTED_VALUE"""),"--")</f>
        <v>--</v>
      </c>
      <c r="U923" s="251" t="str">
        <f>IFERROR(__xludf.DUMMYFUNCTION("""COMPUTED_VALUE"""),"--")</f>
        <v>--</v>
      </c>
      <c r="V923" s="251" t="str">
        <f>IFERROR(__xludf.DUMMYFUNCTION("""COMPUTED_VALUE"""),"--")</f>
        <v>--</v>
      </c>
      <c r="W923" s="251" t="str">
        <f>IFERROR(__xludf.DUMMYFUNCTION("""COMPUTED_VALUE"""),"--")</f>
        <v>--</v>
      </c>
      <c r="X923" s="251" t="str">
        <f>IFERROR(__xludf.DUMMYFUNCTION("""COMPUTED_VALUE"""),"--")</f>
        <v>--</v>
      </c>
      <c r="Y923" s="251" t="str">
        <f>IFERROR(__xludf.DUMMYFUNCTION("""COMPUTED_VALUE"""),"--")</f>
        <v>--</v>
      </c>
      <c r="Z923" s="251" t="str">
        <f>IFERROR(__xludf.DUMMYFUNCTION("""COMPUTED_VALUE"""),"--")</f>
        <v>--</v>
      </c>
      <c r="AA923" s="251" t="str">
        <f>IFERROR(__xludf.DUMMYFUNCTION("""COMPUTED_VALUE"""),"--")</f>
        <v>--</v>
      </c>
      <c r="AB923" s="251" t="str">
        <f>IFERROR(__xludf.DUMMYFUNCTION("""COMPUTED_VALUE"""),"--")</f>
        <v>--</v>
      </c>
      <c r="AC923" s="251" t="str">
        <f>IFERROR(__xludf.DUMMYFUNCTION("""COMPUTED_VALUE"""),"--")</f>
        <v>--</v>
      </c>
      <c r="AD923" s="251">
        <f>IFERROR(__xludf.DUMMYFUNCTION("""COMPUTED_VALUE"""),3.0)</f>
        <v>3</v>
      </c>
      <c r="AE923" s="251" t="str">
        <f>IFERROR(__xludf.DUMMYFUNCTION("""COMPUTED_VALUE"""),"Carnivore")</f>
        <v>Carnivore</v>
      </c>
    </row>
    <row r="924">
      <c r="A924" s="251" t="str">
        <f>IFERROR(__xludf.DUMMYFUNCTION("""COMPUTED_VALUE"""),"Archen")</f>
        <v>Archen</v>
      </c>
      <c r="B924" s="251" t="str">
        <f>IFERROR(__xludf.DUMMYFUNCTION("""COMPUTED_VALUE"""),"Rock")</f>
        <v>Rock</v>
      </c>
      <c r="C924" s="251" t="str">
        <f>IFERROR(__xludf.DUMMYFUNCTION("""COMPUTED_VALUE"""),"Flying")</f>
        <v>Flying</v>
      </c>
      <c r="D924" s="251">
        <f>IFERROR(__xludf.DUMMYFUNCTION("""COMPUTED_VALUE"""),6.0)</f>
        <v>6</v>
      </c>
      <c r="E924" s="251">
        <f>IFERROR(__xludf.DUMMYFUNCTION("""COMPUTED_VALUE"""),11.0)</f>
        <v>11</v>
      </c>
      <c r="F924" s="251">
        <f>IFERROR(__xludf.DUMMYFUNCTION("""COMPUTED_VALUE"""),5.0)</f>
        <v>5</v>
      </c>
      <c r="G924" s="251">
        <f>IFERROR(__xludf.DUMMYFUNCTION("""COMPUTED_VALUE"""),7.0)</f>
        <v>7</v>
      </c>
      <c r="H924" s="251">
        <f>IFERROR(__xludf.DUMMYFUNCTION("""COMPUTED_VALUE"""),5.0)</f>
        <v>5</v>
      </c>
      <c r="I924" s="251">
        <f>IFERROR(__xludf.DUMMYFUNCTION("""COMPUTED_VALUE"""),7.0)</f>
        <v>7</v>
      </c>
      <c r="J924" s="251">
        <f>IFERROR(__xludf.DUMMYFUNCTION("""COMPUTED_VALUE"""),2.0)</f>
        <v>2</v>
      </c>
      <c r="K924" s="251" t="str">
        <f>IFERROR(__xludf.DUMMYFUNCTION("""COMPUTED_VALUE"""),"Small")</f>
        <v>Small</v>
      </c>
      <c r="L924" s="251">
        <f>IFERROR(__xludf.DUMMYFUNCTION("""COMPUTED_VALUE"""),1.0)</f>
        <v>1</v>
      </c>
      <c r="M924" s="251" t="str">
        <f>IFERROR(__xludf.DUMMYFUNCTION("""COMPUTED_VALUE"""),"Mountain")</f>
        <v>Mountain</v>
      </c>
      <c r="N924" s="251" t="str">
        <f>IFERROR(__xludf.DUMMYFUNCTION("""COMPUTED_VALUE"""),"Glider")</f>
        <v>Glider</v>
      </c>
      <c r="O924" s="251" t="str">
        <f>IFERROR(__xludf.DUMMYFUNCTION("""COMPUTED_VALUE"""),"Jumper")</f>
        <v>Jumper</v>
      </c>
      <c r="P924" s="251" t="str">
        <f>IFERROR(__xludf.DUMMYFUNCTION("""COMPUTED_VALUE"""),"--")</f>
        <v>--</v>
      </c>
      <c r="Q924" s="251" t="str">
        <f>IFERROR(__xludf.DUMMYFUNCTION("""COMPUTED_VALUE"""),"--")</f>
        <v>--</v>
      </c>
      <c r="R924" s="251" t="str">
        <f>IFERROR(__xludf.DUMMYFUNCTION("""COMPUTED_VALUE"""),"Underdog")</f>
        <v>Underdog</v>
      </c>
      <c r="S924" s="251" t="str">
        <f>IFERROR(__xludf.DUMMYFUNCTION("""COMPUTED_VALUE"""),"--")</f>
        <v>--</v>
      </c>
      <c r="T924" s="251" t="str">
        <f>IFERROR(__xludf.DUMMYFUNCTION("""COMPUTED_VALUE"""),"--")</f>
        <v>--</v>
      </c>
      <c r="U924" s="251" t="str">
        <f>IFERROR(__xludf.DUMMYFUNCTION("""COMPUTED_VALUE"""),"--")</f>
        <v>--</v>
      </c>
      <c r="V924" s="251" t="str">
        <f>IFERROR(__xludf.DUMMYFUNCTION("""COMPUTED_VALUE"""),"--")</f>
        <v>--</v>
      </c>
      <c r="W924" s="251" t="str">
        <f>IFERROR(__xludf.DUMMYFUNCTION("""COMPUTED_VALUE"""),"--")</f>
        <v>--</v>
      </c>
      <c r="X924" s="251" t="str">
        <f>IFERROR(__xludf.DUMMYFUNCTION("""COMPUTED_VALUE"""),"--")</f>
        <v>--</v>
      </c>
      <c r="Y924" s="251" t="str">
        <f>IFERROR(__xludf.DUMMYFUNCTION("""COMPUTED_VALUE"""),"--")</f>
        <v>--</v>
      </c>
      <c r="Z924" s="251" t="str">
        <f>IFERROR(__xludf.DUMMYFUNCTION("""COMPUTED_VALUE"""),"--")</f>
        <v>--</v>
      </c>
      <c r="AA924" s="251" t="str">
        <f>IFERROR(__xludf.DUMMYFUNCTION("""COMPUTED_VALUE"""),"--")</f>
        <v>--</v>
      </c>
      <c r="AB924" s="251" t="str">
        <f>IFERROR(__xludf.DUMMYFUNCTION("""COMPUTED_VALUE"""),"--")</f>
        <v>--</v>
      </c>
      <c r="AC924" s="251" t="str">
        <f>IFERROR(__xludf.DUMMYFUNCTION("""COMPUTED_VALUE"""),"--")</f>
        <v>--</v>
      </c>
      <c r="AD924" s="251">
        <f>IFERROR(__xludf.DUMMYFUNCTION("""COMPUTED_VALUE"""),2.0)</f>
        <v>2</v>
      </c>
      <c r="AE924" s="251" t="str">
        <f>IFERROR(__xludf.DUMMYFUNCTION("""COMPUTED_VALUE"""),"Carnivore")</f>
        <v>Carnivore</v>
      </c>
    </row>
    <row r="925">
      <c r="A925" s="251" t="str">
        <f>IFERROR(__xludf.DUMMYFUNCTION("""COMPUTED_VALUE"""),"Archeops")</f>
        <v>Archeops</v>
      </c>
      <c r="B925" s="251" t="str">
        <f>IFERROR(__xludf.DUMMYFUNCTION("""COMPUTED_VALUE"""),"Rock")</f>
        <v>Rock</v>
      </c>
      <c r="C925" s="251" t="str">
        <f>IFERROR(__xludf.DUMMYFUNCTION("""COMPUTED_VALUE"""),"Flying")</f>
        <v>Flying</v>
      </c>
      <c r="D925" s="251">
        <f>IFERROR(__xludf.DUMMYFUNCTION("""COMPUTED_VALUE"""),8.0)</f>
        <v>8</v>
      </c>
      <c r="E925" s="251">
        <f>IFERROR(__xludf.DUMMYFUNCTION("""COMPUTED_VALUE"""),14.0)</f>
        <v>14</v>
      </c>
      <c r="F925" s="251">
        <f>IFERROR(__xludf.DUMMYFUNCTION("""COMPUTED_VALUE"""),7.0)</f>
        <v>7</v>
      </c>
      <c r="G925" s="251">
        <f>IFERROR(__xludf.DUMMYFUNCTION("""COMPUTED_VALUE"""),11.0)</f>
        <v>11</v>
      </c>
      <c r="H925" s="251">
        <f>IFERROR(__xludf.DUMMYFUNCTION("""COMPUTED_VALUE"""),7.0)</f>
        <v>7</v>
      </c>
      <c r="I925" s="251">
        <f>IFERROR(__xludf.DUMMYFUNCTION("""COMPUTED_VALUE"""),11.0)</f>
        <v>11</v>
      </c>
      <c r="J925" s="251">
        <f>IFERROR(__xludf.DUMMYFUNCTION("""COMPUTED_VALUE"""),4.0)</f>
        <v>4</v>
      </c>
      <c r="K925" s="251" t="str">
        <f>IFERROR(__xludf.DUMMYFUNCTION("""COMPUTED_VALUE"""),"Medium")</f>
        <v>Medium</v>
      </c>
      <c r="L925" s="251">
        <f>IFERROR(__xludf.DUMMYFUNCTION("""COMPUTED_VALUE"""),3.0)</f>
        <v>3</v>
      </c>
      <c r="M925" s="251" t="str">
        <f>IFERROR(__xludf.DUMMYFUNCTION("""COMPUTED_VALUE"""),"Mountain")</f>
        <v>Mountain</v>
      </c>
      <c r="N925" s="251" t="str">
        <f>IFERROR(__xludf.DUMMYFUNCTION("""COMPUTED_VALUE"""),"Flier")</f>
        <v>Flier</v>
      </c>
      <c r="O925" s="251" t="str">
        <f>IFERROR(__xludf.DUMMYFUNCTION("""COMPUTED_VALUE"""),"Jumper")</f>
        <v>Jumper</v>
      </c>
      <c r="P925" s="251" t="str">
        <f>IFERROR(__xludf.DUMMYFUNCTION("""COMPUTED_VALUE"""),"Quick")</f>
        <v>Quick</v>
      </c>
      <c r="Q925" s="251" t="str">
        <f>IFERROR(__xludf.DUMMYFUNCTION("""COMPUTED_VALUE"""),"--")</f>
        <v>--</v>
      </c>
      <c r="R925" s="251" t="str">
        <f>IFERROR(__xludf.DUMMYFUNCTION("""COMPUTED_VALUE"""),"Mountable")</f>
        <v>Mountable</v>
      </c>
      <c r="S925" s="251" t="str">
        <f>IFERROR(__xludf.DUMMYFUNCTION("""COMPUTED_VALUE"""),"--")</f>
        <v>--</v>
      </c>
      <c r="T925" s="251" t="str">
        <f>IFERROR(__xludf.DUMMYFUNCTION("""COMPUTED_VALUE"""),"--")</f>
        <v>--</v>
      </c>
      <c r="U925" s="251" t="str">
        <f>IFERROR(__xludf.DUMMYFUNCTION("""COMPUTED_VALUE"""),"--")</f>
        <v>--</v>
      </c>
      <c r="V925" s="251" t="str">
        <f>IFERROR(__xludf.DUMMYFUNCTION("""COMPUTED_VALUE"""),"--")</f>
        <v>--</v>
      </c>
      <c r="W925" s="251" t="str">
        <f>IFERROR(__xludf.DUMMYFUNCTION("""COMPUTED_VALUE"""),"--")</f>
        <v>--</v>
      </c>
      <c r="X925" s="251" t="str">
        <f>IFERROR(__xludf.DUMMYFUNCTION("""COMPUTED_VALUE"""),"--")</f>
        <v>--</v>
      </c>
      <c r="Y925" s="251" t="str">
        <f>IFERROR(__xludf.DUMMYFUNCTION("""COMPUTED_VALUE"""),"--")</f>
        <v>--</v>
      </c>
      <c r="Z925" s="251" t="str">
        <f>IFERROR(__xludf.DUMMYFUNCTION("""COMPUTED_VALUE"""),"--")</f>
        <v>--</v>
      </c>
      <c r="AA925" s="251" t="str">
        <f>IFERROR(__xludf.DUMMYFUNCTION("""COMPUTED_VALUE"""),"--")</f>
        <v>--</v>
      </c>
      <c r="AB925" s="251" t="str">
        <f>IFERROR(__xludf.DUMMYFUNCTION("""COMPUTED_VALUE"""),"--")</f>
        <v>--</v>
      </c>
      <c r="AC925" s="251" t="str">
        <f>IFERROR(__xludf.DUMMYFUNCTION("""COMPUTED_VALUE"""),"--")</f>
        <v>--</v>
      </c>
      <c r="AD925" s="251">
        <f>IFERROR(__xludf.DUMMYFUNCTION("""COMPUTED_VALUE"""),3.0)</f>
        <v>3</v>
      </c>
      <c r="AE925" s="251" t="str">
        <f>IFERROR(__xludf.DUMMYFUNCTION("""COMPUTED_VALUE"""),"Carnivore")</f>
        <v>Carnivore</v>
      </c>
    </row>
    <row r="926">
      <c r="A926" s="251" t="str">
        <f>IFERROR(__xludf.DUMMYFUNCTION("""COMPUTED_VALUE"""),"Binacle")</f>
        <v>Binacle</v>
      </c>
      <c r="B926" s="251" t="str">
        <f>IFERROR(__xludf.DUMMYFUNCTION("""COMPUTED_VALUE"""),"Rock")</f>
        <v>Rock</v>
      </c>
      <c r="C926" s="251" t="str">
        <f>IFERROR(__xludf.DUMMYFUNCTION("""COMPUTED_VALUE"""),"Water")</f>
        <v>Water</v>
      </c>
      <c r="D926" s="251">
        <f>IFERROR(__xludf.DUMMYFUNCTION("""COMPUTED_VALUE"""),4.0)</f>
        <v>4</v>
      </c>
      <c r="E926" s="251">
        <f>IFERROR(__xludf.DUMMYFUNCTION("""COMPUTED_VALUE"""),5.0)</f>
        <v>5</v>
      </c>
      <c r="F926" s="251">
        <f>IFERROR(__xludf.DUMMYFUNCTION("""COMPUTED_VALUE"""),7.0)</f>
        <v>7</v>
      </c>
      <c r="G926" s="251">
        <f>IFERROR(__xludf.DUMMYFUNCTION("""COMPUTED_VALUE"""),4.0)</f>
        <v>4</v>
      </c>
      <c r="H926" s="251">
        <f>IFERROR(__xludf.DUMMYFUNCTION("""COMPUTED_VALUE"""),6.0)</f>
        <v>6</v>
      </c>
      <c r="I926" s="251">
        <f>IFERROR(__xludf.DUMMYFUNCTION("""COMPUTED_VALUE"""),5.0)</f>
        <v>5</v>
      </c>
      <c r="J926" s="251">
        <f>IFERROR(__xludf.DUMMYFUNCTION("""COMPUTED_VALUE"""),2.0)</f>
        <v>2</v>
      </c>
      <c r="K926" s="251" t="str">
        <f>IFERROR(__xludf.DUMMYFUNCTION("""COMPUTED_VALUE"""),"Small")</f>
        <v>Small</v>
      </c>
      <c r="L926" s="251">
        <f>IFERROR(__xludf.DUMMYFUNCTION("""COMPUTED_VALUE"""),3.0)</f>
        <v>3</v>
      </c>
      <c r="M926" s="251" t="str">
        <f>IFERROR(__xludf.DUMMYFUNCTION("""COMPUTED_VALUE"""),"Cave, Ocean")</f>
        <v>Cave, Ocean</v>
      </c>
      <c r="N926" s="251" t="str">
        <f>IFERROR(__xludf.DUMMYFUNCTION("""COMPUTED_VALUE"""),"Slow")</f>
        <v>Slow</v>
      </c>
      <c r="O926" s="251" t="str">
        <f>IFERROR(__xludf.DUMMYFUNCTION("""COMPUTED_VALUE"""),"Swimmer")</f>
        <v>Swimmer</v>
      </c>
      <c r="P926" s="251" t="str">
        <f>IFERROR(__xludf.DUMMYFUNCTION("""COMPUTED_VALUE"""),"--")</f>
        <v>--</v>
      </c>
      <c r="Q926" s="251" t="str">
        <f>IFERROR(__xludf.DUMMYFUNCTION("""COMPUTED_VALUE"""),"--")</f>
        <v>--</v>
      </c>
      <c r="R926" s="251" t="str">
        <f>IFERROR(__xludf.DUMMYFUNCTION("""COMPUTED_VALUE"""),"Underdog")</f>
        <v>Underdog</v>
      </c>
      <c r="S926" s="251" t="str">
        <f>IFERROR(__xludf.DUMMYFUNCTION("""COMPUTED_VALUE"""),"--")</f>
        <v>--</v>
      </c>
      <c r="T926" s="251" t="str">
        <f>IFERROR(__xludf.DUMMYFUNCTION("""COMPUTED_VALUE"""),"--")</f>
        <v>--</v>
      </c>
      <c r="U926" s="251" t="str">
        <f>IFERROR(__xludf.DUMMYFUNCTION("""COMPUTED_VALUE"""),"--")</f>
        <v>--</v>
      </c>
      <c r="V926" s="251" t="str">
        <f>IFERROR(__xludf.DUMMYFUNCTION("""COMPUTED_VALUE"""),"Gilled")</f>
        <v>Gilled</v>
      </c>
      <c r="W926" s="251" t="str">
        <f>IFERROR(__xludf.DUMMYFUNCTION("""COMPUTED_VALUE"""),"--")</f>
        <v>--</v>
      </c>
      <c r="X926" s="251" t="str">
        <f>IFERROR(__xludf.DUMMYFUNCTION("""COMPUTED_VALUE"""),"--")</f>
        <v>--</v>
      </c>
      <c r="Y926" s="251" t="str">
        <f>IFERROR(__xludf.DUMMYFUNCTION("""COMPUTED_VALUE"""),"--")</f>
        <v>--</v>
      </c>
      <c r="Z926" s="251" t="str">
        <f>IFERROR(__xludf.DUMMYFUNCTION("""COMPUTED_VALUE"""),"--")</f>
        <v>--</v>
      </c>
      <c r="AA926" s="251" t="str">
        <f>IFERROR(__xludf.DUMMYFUNCTION("""COMPUTED_VALUE"""),"--")</f>
        <v>--</v>
      </c>
      <c r="AB926" s="251" t="str">
        <f>IFERROR(__xludf.DUMMYFUNCTION("""COMPUTED_VALUE"""),"--")</f>
        <v>--</v>
      </c>
      <c r="AC926" s="251" t="str">
        <f>IFERROR(__xludf.DUMMYFUNCTION("""COMPUTED_VALUE"""),"--")</f>
        <v>--</v>
      </c>
      <c r="AD926" s="251">
        <f>IFERROR(__xludf.DUMMYFUNCTION("""COMPUTED_VALUE"""),2.0)</f>
        <v>2</v>
      </c>
      <c r="AE926" s="251" t="str">
        <f>IFERROR(__xludf.DUMMYFUNCTION("""COMPUTED_VALUE"""),"Herbivore")</f>
        <v>Herbivore</v>
      </c>
    </row>
    <row r="927">
      <c r="A927" s="251" t="str">
        <f>IFERROR(__xludf.DUMMYFUNCTION("""COMPUTED_VALUE"""),"Barbaracle")</f>
        <v>Barbaracle</v>
      </c>
      <c r="B927" s="251" t="str">
        <f>IFERROR(__xludf.DUMMYFUNCTION("""COMPUTED_VALUE"""),"Rock")</f>
        <v>Rock</v>
      </c>
      <c r="C927" s="251" t="str">
        <f>IFERROR(__xludf.DUMMYFUNCTION("""COMPUTED_VALUE"""),"Water")</f>
        <v>Water</v>
      </c>
      <c r="D927" s="251">
        <f>IFERROR(__xludf.DUMMYFUNCTION("""COMPUTED_VALUE"""),7.0)</f>
        <v>7</v>
      </c>
      <c r="E927" s="251">
        <f>IFERROR(__xludf.DUMMYFUNCTION("""COMPUTED_VALUE"""),11.0)</f>
        <v>11</v>
      </c>
      <c r="F927" s="251">
        <f>IFERROR(__xludf.DUMMYFUNCTION("""COMPUTED_VALUE"""),12.0)</f>
        <v>12</v>
      </c>
      <c r="G927" s="251">
        <f>IFERROR(__xludf.DUMMYFUNCTION("""COMPUTED_VALUE"""),5.0)</f>
        <v>5</v>
      </c>
      <c r="H927" s="251">
        <f>IFERROR(__xludf.DUMMYFUNCTION("""COMPUTED_VALUE"""),9.0)</f>
        <v>9</v>
      </c>
      <c r="I927" s="251">
        <f>IFERROR(__xludf.DUMMYFUNCTION("""COMPUTED_VALUE"""),7.0)</f>
        <v>7</v>
      </c>
      <c r="J927" s="251">
        <f>IFERROR(__xludf.DUMMYFUNCTION("""COMPUTED_VALUE"""),6.0)</f>
        <v>6</v>
      </c>
      <c r="K927" s="251" t="str">
        <f>IFERROR(__xludf.DUMMYFUNCTION("""COMPUTED_VALUE"""),"Medium")</f>
        <v>Medium</v>
      </c>
      <c r="L927" s="251">
        <f>IFERROR(__xludf.DUMMYFUNCTION("""COMPUTED_VALUE"""),4.0)</f>
        <v>4</v>
      </c>
      <c r="M927" s="251" t="str">
        <f>IFERROR(__xludf.DUMMYFUNCTION("""COMPUTED_VALUE"""),"Cave, Ocean")</f>
        <v>Cave, Ocean</v>
      </c>
      <c r="N927" s="251" t="str">
        <f>IFERROR(__xludf.DUMMYFUNCTION("""COMPUTED_VALUE"""),"Swimmer")</f>
        <v>Swimmer</v>
      </c>
      <c r="O927" s="251" t="str">
        <f>IFERROR(__xludf.DUMMYFUNCTION("""COMPUTED_VALUE"""),"--")</f>
        <v>--</v>
      </c>
      <c r="P927" s="251" t="str">
        <f>IFERROR(__xludf.DUMMYFUNCTION("""COMPUTED_VALUE"""),"--")</f>
        <v>--</v>
      </c>
      <c r="Q927" s="251" t="str">
        <f>IFERROR(__xludf.DUMMYFUNCTION("""COMPUTED_VALUE"""),"--")</f>
        <v>--</v>
      </c>
      <c r="R927" s="251" t="str">
        <f>IFERROR(__xludf.DUMMYFUNCTION("""COMPUTED_VALUE"""),"--")</f>
        <v>--</v>
      </c>
      <c r="S927" s="251" t="str">
        <f>IFERROR(__xludf.DUMMYFUNCTION("""COMPUTED_VALUE"""),"--")</f>
        <v>--</v>
      </c>
      <c r="T927" s="251" t="str">
        <f>IFERROR(__xludf.DUMMYFUNCTION("""COMPUTED_VALUE"""),"--")</f>
        <v>--</v>
      </c>
      <c r="U927" s="251" t="str">
        <f>IFERROR(__xludf.DUMMYFUNCTION("""COMPUTED_VALUE"""),"--")</f>
        <v>--</v>
      </c>
      <c r="V927" s="251" t="str">
        <f>IFERROR(__xludf.DUMMYFUNCTION("""COMPUTED_VALUE"""),"Gilled")</f>
        <v>Gilled</v>
      </c>
      <c r="W927" s="251" t="str">
        <f>IFERROR(__xludf.DUMMYFUNCTION("""COMPUTED_VALUE"""),"--")</f>
        <v>--</v>
      </c>
      <c r="X927" s="251" t="str">
        <f>IFERROR(__xludf.DUMMYFUNCTION("""COMPUTED_VALUE"""),"--")</f>
        <v>--</v>
      </c>
      <c r="Y927" s="251" t="str">
        <f>IFERROR(__xludf.DUMMYFUNCTION("""COMPUTED_VALUE"""),"--")</f>
        <v>--</v>
      </c>
      <c r="Z927" s="251" t="str">
        <f>IFERROR(__xludf.DUMMYFUNCTION("""COMPUTED_VALUE"""),"--")</f>
        <v>--</v>
      </c>
      <c r="AA927" s="251" t="str">
        <f>IFERROR(__xludf.DUMMYFUNCTION("""COMPUTED_VALUE"""),"--")</f>
        <v>--</v>
      </c>
      <c r="AB927" s="251" t="str">
        <f>IFERROR(__xludf.DUMMYFUNCTION("""COMPUTED_VALUE"""),"--")</f>
        <v>--</v>
      </c>
      <c r="AC927" s="251" t="str">
        <f>IFERROR(__xludf.DUMMYFUNCTION("""COMPUTED_VALUE"""),"--")</f>
        <v>--</v>
      </c>
      <c r="AD927" s="251">
        <f>IFERROR(__xludf.DUMMYFUNCTION("""COMPUTED_VALUE"""),3.0)</f>
        <v>3</v>
      </c>
      <c r="AE927" s="251" t="str">
        <f>IFERROR(__xludf.DUMMYFUNCTION("""COMPUTED_VALUE"""),"Herbivore")</f>
        <v>Herbivore</v>
      </c>
    </row>
    <row r="928">
      <c r="A928" s="251" t="str">
        <f>IFERROR(__xludf.DUMMYFUNCTION("""COMPUTED_VALUE"""),"Tyrunt")</f>
        <v>Tyrunt</v>
      </c>
      <c r="B928" s="251" t="str">
        <f>IFERROR(__xludf.DUMMYFUNCTION("""COMPUTED_VALUE"""),"Rock")</f>
        <v>Rock</v>
      </c>
      <c r="C928" s="251" t="str">
        <f>IFERROR(__xludf.DUMMYFUNCTION("""COMPUTED_VALUE"""),"Dragon")</f>
        <v>Dragon</v>
      </c>
      <c r="D928" s="251">
        <f>IFERROR(__xludf.DUMMYFUNCTION("""COMPUTED_VALUE"""),6.0)</f>
        <v>6</v>
      </c>
      <c r="E928" s="251">
        <f>IFERROR(__xludf.DUMMYFUNCTION("""COMPUTED_VALUE"""),9.0)</f>
        <v>9</v>
      </c>
      <c r="F928" s="251">
        <f>IFERROR(__xludf.DUMMYFUNCTION("""COMPUTED_VALUE"""),8.0)</f>
        <v>8</v>
      </c>
      <c r="G928" s="251">
        <f>IFERROR(__xludf.DUMMYFUNCTION("""COMPUTED_VALUE"""),5.0)</f>
        <v>5</v>
      </c>
      <c r="H928" s="251">
        <f>IFERROR(__xludf.DUMMYFUNCTION("""COMPUTED_VALUE"""),5.0)</f>
        <v>5</v>
      </c>
      <c r="I928" s="251">
        <f>IFERROR(__xludf.DUMMYFUNCTION("""COMPUTED_VALUE"""),5.0)</f>
        <v>5</v>
      </c>
      <c r="J928" s="251">
        <f>IFERROR(__xludf.DUMMYFUNCTION("""COMPUTED_VALUE"""),3.0)</f>
        <v>3</v>
      </c>
      <c r="K928" s="251" t="str">
        <f>IFERROR(__xludf.DUMMYFUNCTION("""COMPUTED_VALUE"""),"Small")</f>
        <v>Small</v>
      </c>
      <c r="L928" s="251">
        <f>IFERROR(__xludf.DUMMYFUNCTION("""COMPUTED_VALUE"""),3.0)</f>
        <v>3</v>
      </c>
      <c r="M928" s="251" t="str">
        <f>IFERROR(__xludf.DUMMYFUNCTION("""COMPUTED_VALUE"""),"Mountain")</f>
        <v>Mountain</v>
      </c>
      <c r="N928" s="251" t="str">
        <f>IFERROR(__xludf.DUMMYFUNCTION("""COMPUTED_VALUE"""),"--")</f>
        <v>--</v>
      </c>
      <c r="O928" s="251" t="str">
        <f>IFERROR(__xludf.DUMMYFUNCTION("""COMPUTED_VALUE"""),"--")</f>
        <v>--</v>
      </c>
      <c r="P928" s="251" t="str">
        <f>IFERROR(__xludf.DUMMYFUNCTION("""COMPUTED_VALUE"""),"--")</f>
        <v>--</v>
      </c>
      <c r="Q928" s="251" t="str">
        <f>IFERROR(__xludf.DUMMYFUNCTION("""COMPUTED_VALUE"""),"--")</f>
        <v>--</v>
      </c>
      <c r="R928" s="251" t="str">
        <f>IFERROR(__xludf.DUMMYFUNCTION("""COMPUTED_VALUE"""),"Underdog")</f>
        <v>Underdog</v>
      </c>
      <c r="S928" s="251" t="str">
        <f>IFERROR(__xludf.DUMMYFUNCTION("""COMPUTED_VALUE"""),"--")</f>
        <v>--</v>
      </c>
      <c r="T928" s="251" t="str">
        <f>IFERROR(__xludf.DUMMYFUNCTION("""COMPUTED_VALUE"""),"--")</f>
        <v>--</v>
      </c>
      <c r="U928" s="251" t="str">
        <f>IFERROR(__xludf.DUMMYFUNCTION("""COMPUTED_VALUE"""),"--")</f>
        <v>--</v>
      </c>
      <c r="V928" s="251" t="str">
        <f>IFERROR(__xludf.DUMMYFUNCTION("""COMPUTED_VALUE"""),"--")</f>
        <v>--</v>
      </c>
      <c r="W928" s="251" t="str">
        <f>IFERROR(__xludf.DUMMYFUNCTION("""COMPUTED_VALUE"""),"--")</f>
        <v>--</v>
      </c>
      <c r="X928" s="251" t="str">
        <f>IFERROR(__xludf.DUMMYFUNCTION("""COMPUTED_VALUE"""),"--")</f>
        <v>--</v>
      </c>
      <c r="Y928" s="251" t="str">
        <f>IFERROR(__xludf.DUMMYFUNCTION("""COMPUTED_VALUE"""),"--")</f>
        <v>--</v>
      </c>
      <c r="Z928" s="251" t="str">
        <f>IFERROR(__xludf.DUMMYFUNCTION("""COMPUTED_VALUE"""),"--")</f>
        <v>--</v>
      </c>
      <c r="AA928" s="251" t="str">
        <f>IFERROR(__xludf.DUMMYFUNCTION("""COMPUTED_VALUE"""),"--")</f>
        <v>--</v>
      </c>
      <c r="AB928" s="251" t="str">
        <f>IFERROR(__xludf.DUMMYFUNCTION("""COMPUTED_VALUE"""),"--")</f>
        <v>--</v>
      </c>
      <c r="AC928" s="251" t="str">
        <f>IFERROR(__xludf.DUMMYFUNCTION("""COMPUTED_VALUE"""),"--")</f>
        <v>--</v>
      </c>
      <c r="AD928" s="251">
        <f>IFERROR(__xludf.DUMMYFUNCTION("""COMPUTED_VALUE"""),2.0)</f>
        <v>2</v>
      </c>
      <c r="AE928" s="251" t="str">
        <f>IFERROR(__xludf.DUMMYFUNCTION("""COMPUTED_VALUE"""),"Carnivore")</f>
        <v>Carnivore</v>
      </c>
    </row>
    <row r="929">
      <c r="A929" s="251" t="str">
        <f>IFERROR(__xludf.DUMMYFUNCTION("""COMPUTED_VALUE"""),"Tyrantrum")</f>
        <v>Tyrantrum</v>
      </c>
      <c r="B929" s="251" t="str">
        <f>IFERROR(__xludf.DUMMYFUNCTION("""COMPUTED_VALUE"""),"Rock")</f>
        <v>Rock</v>
      </c>
      <c r="C929" s="251" t="str">
        <f>IFERROR(__xludf.DUMMYFUNCTION("""COMPUTED_VALUE"""),"Dragon")</f>
        <v>Dragon</v>
      </c>
      <c r="D929" s="251">
        <f>IFERROR(__xludf.DUMMYFUNCTION("""COMPUTED_VALUE"""),8.0)</f>
        <v>8</v>
      </c>
      <c r="E929" s="251">
        <f>IFERROR(__xludf.DUMMYFUNCTION("""COMPUTED_VALUE"""),12.0)</f>
        <v>12</v>
      </c>
      <c r="F929" s="251">
        <f>IFERROR(__xludf.DUMMYFUNCTION("""COMPUTED_VALUE"""),12.0)</f>
        <v>12</v>
      </c>
      <c r="G929" s="251">
        <f>IFERROR(__xludf.DUMMYFUNCTION("""COMPUTED_VALUE"""),7.0)</f>
        <v>7</v>
      </c>
      <c r="H929" s="251">
        <f>IFERROR(__xludf.DUMMYFUNCTION("""COMPUTED_VALUE"""),6.0)</f>
        <v>6</v>
      </c>
      <c r="I929" s="251">
        <f>IFERROR(__xludf.DUMMYFUNCTION("""COMPUTED_VALUE"""),7.0)</f>
        <v>7</v>
      </c>
      <c r="J929" s="251">
        <f>IFERROR(__xludf.DUMMYFUNCTION("""COMPUTED_VALUE"""),10.0)</f>
        <v>10</v>
      </c>
      <c r="K929" s="251" t="str">
        <f>IFERROR(__xludf.DUMMYFUNCTION("""COMPUTED_VALUE"""),"Large")</f>
        <v>Large</v>
      </c>
      <c r="L929" s="251">
        <f>IFERROR(__xludf.DUMMYFUNCTION("""COMPUTED_VALUE"""),6.0)</f>
        <v>6</v>
      </c>
      <c r="M929" s="251" t="str">
        <f>IFERROR(__xludf.DUMMYFUNCTION("""COMPUTED_VALUE"""),"Mountain")</f>
        <v>Mountain</v>
      </c>
      <c r="N929" s="251" t="str">
        <f>IFERROR(__xludf.DUMMYFUNCTION("""COMPUTED_VALUE"""),"--")</f>
        <v>--</v>
      </c>
      <c r="O929" s="251" t="str">
        <f>IFERROR(__xludf.DUMMYFUNCTION("""COMPUTED_VALUE"""),"--")</f>
        <v>--</v>
      </c>
      <c r="P929" s="251" t="str">
        <f>IFERROR(__xludf.DUMMYFUNCTION("""COMPUTED_VALUE"""),"--")</f>
        <v>--</v>
      </c>
      <c r="Q929" s="251" t="str">
        <f>IFERROR(__xludf.DUMMYFUNCTION("""COMPUTED_VALUE"""),"--")</f>
        <v>--</v>
      </c>
      <c r="R929" s="251" t="str">
        <f>IFERROR(__xludf.DUMMYFUNCTION("""COMPUTED_VALUE"""),"Mountable")</f>
        <v>Mountable</v>
      </c>
      <c r="S929" s="251" t="str">
        <f>IFERROR(__xludf.DUMMYFUNCTION("""COMPUTED_VALUE"""),"--")</f>
        <v>--</v>
      </c>
      <c r="T929" s="251" t="str">
        <f>IFERROR(__xludf.DUMMYFUNCTION("""COMPUTED_VALUE"""),"--")</f>
        <v>--</v>
      </c>
      <c r="U929" s="251" t="str">
        <f>IFERROR(__xludf.DUMMYFUNCTION("""COMPUTED_VALUE"""),"--")</f>
        <v>--</v>
      </c>
      <c r="V929" s="251" t="str">
        <f>IFERROR(__xludf.DUMMYFUNCTION("""COMPUTED_VALUE"""),"--")</f>
        <v>--</v>
      </c>
      <c r="W929" s="251" t="str">
        <f>IFERROR(__xludf.DUMMYFUNCTION("""COMPUTED_VALUE"""),"--")</f>
        <v>--</v>
      </c>
      <c r="X929" s="251" t="str">
        <f>IFERROR(__xludf.DUMMYFUNCTION("""COMPUTED_VALUE"""),"--")</f>
        <v>--</v>
      </c>
      <c r="Y929" s="251" t="str">
        <f>IFERROR(__xludf.DUMMYFUNCTION("""COMPUTED_VALUE"""),"--")</f>
        <v>--</v>
      </c>
      <c r="Z929" s="251" t="str">
        <f>IFERROR(__xludf.DUMMYFUNCTION("""COMPUTED_VALUE"""),"--")</f>
        <v>--</v>
      </c>
      <c r="AA929" s="251" t="str">
        <f>IFERROR(__xludf.DUMMYFUNCTION("""COMPUTED_VALUE"""),"--")</f>
        <v>--</v>
      </c>
      <c r="AB929" s="251" t="str">
        <f>IFERROR(__xludf.DUMMYFUNCTION("""COMPUTED_VALUE"""),"--")</f>
        <v>--</v>
      </c>
      <c r="AC929" s="251" t="str">
        <f>IFERROR(__xludf.DUMMYFUNCTION("""COMPUTED_VALUE"""),"--")</f>
        <v>--</v>
      </c>
      <c r="AD929" s="251">
        <f>IFERROR(__xludf.DUMMYFUNCTION("""COMPUTED_VALUE"""),3.0)</f>
        <v>3</v>
      </c>
      <c r="AE929" s="251" t="str">
        <f>IFERROR(__xludf.DUMMYFUNCTION("""COMPUTED_VALUE"""),"Carnivore")</f>
        <v>Carnivore</v>
      </c>
    </row>
    <row r="930">
      <c r="A930" s="251" t="str">
        <f>IFERROR(__xludf.DUMMYFUNCTION("""COMPUTED_VALUE"""),"Amaura")</f>
        <v>Amaura</v>
      </c>
      <c r="B930" s="251" t="str">
        <f>IFERROR(__xludf.DUMMYFUNCTION("""COMPUTED_VALUE"""),"Rock")</f>
        <v>Rock</v>
      </c>
      <c r="C930" s="251" t="str">
        <f>IFERROR(__xludf.DUMMYFUNCTION("""COMPUTED_VALUE"""),"Ice")</f>
        <v>Ice</v>
      </c>
      <c r="D930" s="251">
        <f>IFERROR(__xludf.DUMMYFUNCTION("""COMPUTED_VALUE"""),8.0)</f>
        <v>8</v>
      </c>
      <c r="E930" s="251">
        <f>IFERROR(__xludf.DUMMYFUNCTION("""COMPUTED_VALUE"""),6.0)</f>
        <v>6</v>
      </c>
      <c r="F930" s="251">
        <f>IFERROR(__xludf.DUMMYFUNCTION("""COMPUTED_VALUE"""),5.0)</f>
        <v>5</v>
      </c>
      <c r="G930" s="251">
        <f>IFERROR(__xludf.DUMMYFUNCTION("""COMPUTED_VALUE"""),7.0)</f>
        <v>7</v>
      </c>
      <c r="H930" s="251">
        <f>IFERROR(__xludf.DUMMYFUNCTION("""COMPUTED_VALUE"""),6.0)</f>
        <v>6</v>
      </c>
      <c r="I930" s="251">
        <f>IFERROR(__xludf.DUMMYFUNCTION("""COMPUTED_VALUE"""),5.0)</f>
        <v>5</v>
      </c>
      <c r="J930" s="251">
        <f>IFERROR(__xludf.DUMMYFUNCTION("""COMPUTED_VALUE"""),2.0)</f>
        <v>2</v>
      </c>
      <c r="K930" s="251" t="str">
        <f>IFERROR(__xludf.DUMMYFUNCTION("""COMPUTED_VALUE"""),"Medium")</f>
        <v>Medium</v>
      </c>
      <c r="L930" s="251">
        <f>IFERROR(__xludf.DUMMYFUNCTION("""COMPUTED_VALUE"""),3.0)</f>
        <v>3</v>
      </c>
      <c r="M930" s="251" t="str">
        <f>IFERROR(__xludf.DUMMYFUNCTION("""COMPUTED_VALUE"""),"Cave, Tundra")</f>
        <v>Cave, Tundra</v>
      </c>
      <c r="N930" s="251" t="str">
        <f>IFERROR(__xludf.DUMMYFUNCTION("""COMPUTED_VALUE"""),"--")</f>
        <v>--</v>
      </c>
      <c r="O930" s="251" t="str">
        <f>IFERROR(__xludf.DUMMYFUNCTION("""COMPUTED_VALUE"""),"--")</f>
        <v>--</v>
      </c>
      <c r="P930" s="251" t="str">
        <f>IFERROR(__xludf.DUMMYFUNCTION("""COMPUTED_VALUE"""),"--")</f>
        <v>--</v>
      </c>
      <c r="Q930" s="251" t="str">
        <f>IFERROR(__xludf.DUMMYFUNCTION("""COMPUTED_VALUE"""),"--")</f>
        <v>--</v>
      </c>
      <c r="R930" s="251" t="str">
        <f>IFERROR(__xludf.DUMMYFUNCTION("""COMPUTED_VALUE"""),"Underdog")</f>
        <v>Underdog</v>
      </c>
      <c r="S930" s="251" t="str">
        <f>IFERROR(__xludf.DUMMYFUNCTION("""COMPUTED_VALUE"""),"--")</f>
        <v>--</v>
      </c>
      <c r="T930" s="251" t="str">
        <f>IFERROR(__xludf.DUMMYFUNCTION("""COMPUTED_VALUE"""),"--")</f>
        <v>--</v>
      </c>
      <c r="U930" s="251" t="str">
        <f>IFERROR(__xludf.DUMMYFUNCTION("""COMPUTED_VALUE"""),"--")</f>
        <v>--</v>
      </c>
      <c r="V930" s="251" t="str">
        <f>IFERROR(__xludf.DUMMYFUNCTION("""COMPUTED_VALUE"""),"Chilled")</f>
        <v>Chilled</v>
      </c>
      <c r="W930" s="251" t="str">
        <f>IFERROR(__xludf.DUMMYFUNCTION("""COMPUTED_VALUE"""),"--")</f>
        <v>--</v>
      </c>
      <c r="X930" s="251" t="str">
        <f>IFERROR(__xludf.DUMMYFUNCTION("""COMPUTED_VALUE"""),"--")</f>
        <v>--</v>
      </c>
      <c r="Y930" s="251" t="str">
        <f>IFERROR(__xludf.DUMMYFUNCTION("""COMPUTED_VALUE"""),"--")</f>
        <v>--</v>
      </c>
      <c r="Z930" s="251" t="str">
        <f>IFERROR(__xludf.DUMMYFUNCTION("""COMPUTED_VALUE"""),"--")</f>
        <v>--</v>
      </c>
      <c r="AA930" s="251" t="str">
        <f>IFERROR(__xludf.DUMMYFUNCTION("""COMPUTED_VALUE"""),"--")</f>
        <v>--</v>
      </c>
      <c r="AB930" s="251" t="str">
        <f>IFERROR(__xludf.DUMMYFUNCTION("""COMPUTED_VALUE"""),"--")</f>
        <v>--</v>
      </c>
      <c r="AC930" s="251" t="str">
        <f>IFERROR(__xludf.DUMMYFUNCTION("""COMPUTED_VALUE"""),"--")</f>
        <v>--</v>
      </c>
      <c r="AD930" s="251">
        <f>IFERROR(__xludf.DUMMYFUNCTION("""COMPUTED_VALUE"""),2.0)</f>
        <v>2</v>
      </c>
      <c r="AE930" s="251" t="str">
        <f>IFERROR(__xludf.DUMMYFUNCTION("""COMPUTED_VALUE"""),"Herbivore")</f>
        <v>Herbivore</v>
      </c>
    </row>
    <row r="931">
      <c r="A931" s="251" t="str">
        <f>IFERROR(__xludf.DUMMYFUNCTION("""COMPUTED_VALUE"""),"Aurorus")</f>
        <v>Aurorus</v>
      </c>
      <c r="B931" s="251" t="str">
        <f>IFERROR(__xludf.DUMMYFUNCTION("""COMPUTED_VALUE"""),"Rock")</f>
        <v>Rock</v>
      </c>
      <c r="C931" s="251" t="str">
        <f>IFERROR(__xludf.DUMMYFUNCTION("""COMPUTED_VALUE"""),"Ice")</f>
        <v>Ice</v>
      </c>
      <c r="D931" s="251">
        <f>IFERROR(__xludf.DUMMYFUNCTION("""COMPUTED_VALUE"""),12.0)</f>
        <v>12</v>
      </c>
      <c r="E931" s="251">
        <f>IFERROR(__xludf.DUMMYFUNCTION("""COMPUTED_VALUE"""),8.0)</f>
        <v>8</v>
      </c>
      <c r="F931" s="251">
        <f>IFERROR(__xludf.DUMMYFUNCTION("""COMPUTED_VALUE"""),7.0)</f>
        <v>7</v>
      </c>
      <c r="G931" s="251">
        <f>IFERROR(__xludf.DUMMYFUNCTION("""COMPUTED_VALUE"""),10.0)</f>
        <v>10</v>
      </c>
      <c r="H931" s="251">
        <f>IFERROR(__xludf.DUMMYFUNCTION("""COMPUTED_VALUE"""),9.0)</f>
        <v>9</v>
      </c>
      <c r="I931" s="251">
        <f>IFERROR(__xludf.DUMMYFUNCTION("""COMPUTED_VALUE"""),6.0)</f>
        <v>6</v>
      </c>
      <c r="J931" s="251">
        <f>IFERROR(__xludf.DUMMYFUNCTION("""COMPUTED_VALUE"""),8.0)</f>
        <v>8</v>
      </c>
      <c r="K931" s="251" t="str">
        <f>IFERROR(__xludf.DUMMYFUNCTION("""COMPUTED_VALUE"""),"Large")</f>
        <v>Large</v>
      </c>
      <c r="L931" s="251">
        <f>IFERROR(__xludf.DUMMYFUNCTION("""COMPUTED_VALUE"""),6.0)</f>
        <v>6</v>
      </c>
      <c r="M931" s="251" t="str">
        <f>IFERROR(__xludf.DUMMYFUNCTION("""COMPUTED_VALUE"""),"Cave, Tundra")</f>
        <v>Cave, Tundra</v>
      </c>
      <c r="N931" s="251" t="str">
        <f>IFERROR(__xludf.DUMMYFUNCTION("""COMPUTED_VALUE"""),"--")</f>
        <v>--</v>
      </c>
      <c r="O931" s="251" t="str">
        <f>IFERROR(__xludf.DUMMYFUNCTION("""COMPUTED_VALUE"""),"--")</f>
        <v>--</v>
      </c>
      <c r="P931" s="251" t="str">
        <f>IFERROR(__xludf.DUMMYFUNCTION("""COMPUTED_VALUE"""),"--")</f>
        <v>--</v>
      </c>
      <c r="Q931" s="251" t="str">
        <f>IFERROR(__xludf.DUMMYFUNCTION("""COMPUTED_VALUE"""),"--")</f>
        <v>--</v>
      </c>
      <c r="R931" s="251" t="str">
        <f>IFERROR(__xludf.DUMMYFUNCTION("""COMPUTED_VALUE"""),"Mountable")</f>
        <v>Mountable</v>
      </c>
      <c r="S931" s="251" t="str">
        <f>IFERROR(__xludf.DUMMYFUNCTION("""COMPUTED_VALUE"""),"--")</f>
        <v>--</v>
      </c>
      <c r="T931" s="251" t="str">
        <f>IFERROR(__xludf.DUMMYFUNCTION("""COMPUTED_VALUE"""),"--")</f>
        <v>--</v>
      </c>
      <c r="U931" s="251" t="str">
        <f>IFERROR(__xludf.DUMMYFUNCTION("""COMPUTED_VALUE"""),"--")</f>
        <v>--</v>
      </c>
      <c r="V931" s="251" t="str">
        <f>IFERROR(__xludf.DUMMYFUNCTION("""COMPUTED_VALUE"""),"Chilled")</f>
        <v>Chilled</v>
      </c>
      <c r="W931" s="251" t="str">
        <f>IFERROR(__xludf.DUMMYFUNCTION("""COMPUTED_VALUE"""),"--")</f>
        <v>--</v>
      </c>
      <c r="X931" s="251" t="str">
        <f>IFERROR(__xludf.DUMMYFUNCTION("""COMPUTED_VALUE"""),"--")</f>
        <v>--</v>
      </c>
      <c r="Y931" s="251" t="str">
        <f>IFERROR(__xludf.DUMMYFUNCTION("""COMPUTED_VALUE"""),"--")</f>
        <v>--</v>
      </c>
      <c r="Z931" s="251" t="str">
        <f>IFERROR(__xludf.DUMMYFUNCTION("""COMPUTED_VALUE"""),"--")</f>
        <v>--</v>
      </c>
      <c r="AA931" s="251" t="str">
        <f>IFERROR(__xludf.DUMMYFUNCTION("""COMPUTED_VALUE"""),"--")</f>
        <v>--</v>
      </c>
      <c r="AB931" s="251" t="str">
        <f>IFERROR(__xludf.DUMMYFUNCTION("""COMPUTED_VALUE"""),"--")</f>
        <v>--</v>
      </c>
      <c r="AC931" s="251" t="str">
        <f>IFERROR(__xludf.DUMMYFUNCTION("""COMPUTED_VALUE"""),"--")</f>
        <v>--</v>
      </c>
      <c r="AD931" s="251">
        <f>IFERROR(__xludf.DUMMYFUNCTION("""COMPUTED_VALUE"""),3.0)</f>
        <v>3</v>
      </c>
      <c r="AE931" s="251" t="str">
        <f>IFERROR(__xludf.DUMMYFUNCTION("""COMPUTED_VALUE"""),"Herbivore")</f>
        <v>Herbivore</v>
      </c>
    </row>
    <row r="932">
      <c r="A932" s="251" t="str">
        <f>IFERROR(__xludf.DUMMYFUNCTION("""COMPUTED_VALUE"""),"Rockruff")</f>
        <v>Rockruff</v>
      </c>
      <c r="B932" s="251" t="str">
        <f>IFERROR(__xludf.DUMMYFUNCTION("""COMPUTED_VALUE"""),"Rock")</f>
        <v>Rock</v>
      </c>
      <c r="C932" s="251" t="str">
        <f>IFERROR(__xludf.DUMMYFUNCTION("""COMPUTED_VALUE"""),"None")</f>
        <v>None</v>
      </c>
      <c r="D932" s="251">
        <f>IFERROR(__xludf.DUMMYFUNCTION("""COMPUTED_VALUE"""),6.0)</f>
        <v>6</v>
      </c>
      <c r="E932" s="251">
        <f>IFERROR(__xludf.DUMMYFUNCTION("""COMPUTED_VALUE"""),7.0)</f>
        <v>7</v>
      </c>
      <c r="F932" s="251">
        <f>IFERROR(__xludf.DUMMYFUNCTION("""COMPUTED_VALUE"""),4.0)</f>
        <v>4</v>
      </c>
      <c r="G932" s="251">
        <f>IFERROR(__xludf.DUMMYFUNCTION("""COMPUTED_VALUE"""),3.0)</f>
        <v>3</v>
      </c>
      <c r="H932" s="251">
        <f>IFERROR(__xludf.DUMMYFUNCTION("""COMPUTED_VALUE"""),4.0)</f>
        <v>4</v>
      </c>
      <c r="I932" s="251">
        <f>IFERROR(__xludf.DUMMYFUNCTION("""COMPUTED_VALUE"""),6.0)</f>
        <v>6</v>
      </c>
      <c r="J932" s="251">
        <f>IFERROR(__xludf.DUMMYFUNCTION("""COMPUTED_VALUE"""),2.0)</f>
        <v>2</v>
      </c>
      <c r="K932" s="251" t="str">
        <f>IFERROR(__xludf.DUMMYFUNCTION("""COMPUTED_VALUE"""),"Small")</f>
        <v>Small</v>
      </c>
      <c r="L932" s="251">
        <f>IFERROR(__xludf.DUMMYFUNCTION("""COMPUTED_VALUE"""),1.0)</f>
        <v>1</v>
      </c>
      <c r="M932" s="251" t="str">
        <f>IFERROR(__xludf.DUMMYFUNCTION("""COMPUTED_VALUE"""),"Cave, Mountain")</f>
        <v>Cave, Mountain</v>
      </c>
      <c r="N932" s="251" t="str">
        <f>IFERROR(__xludf.DUMMYFUNCTION("""COMPUTED_VALUE"""),"Jumper")</f>
        <v>Jumper</v>
      </c>
      <c r="O932" s="251" t="str">
        <f>IFERROR(__xludf.DUMMYFUNCTION("""COMPUTED_VALUE"""),"--")</f>
        <v>--</v>
      </c>
      <c r="P932" s="251" t="str">
        <f>IFERROR(__xludf.DUMMYFUNCTION("""COMPUTED_VALUE"""),"--")</f>
        <v>--</v>
      </c>
      <c r="Q932" s="251" t="str">
        <f>IFERROR(__xludf.DUMMYFUNCTION("""COMPUTED_VALUE"""),"--")</f>
        <v>--</v>
      </c>
      <c r="R932" s="251" t="str">
        <f>IFERROR(__xludf.DUMMYFUNCTION("""COMPUTED_VALUE"""),"Darkvision")</f>
        <v>Darkvision</v>
      </c>
      <c r="S932" s="251" t="str">
        <f>IFERROR(__xludf.DUMMYFUNCTION("""COMPUTED_VALUE"""),"Underdog")</f>
        <v>Underdog</v>
      </c>
      <c r="T932" s="251" t="str">
        <f>IFERROR(__xludf.DUMMYFUNCTION("""COMPUTED_VALUE"""),"--")</f>
        <v>--</v>
      </c>
      <c r="U932" s="251" t="str">
        <f>IFERROR(__xludf.DUMMYFUNCTION("""COMPUTED_VALUE"""),"--")</f>
        <v>--</v>
      </c>
      <c r="V932" s="251" t="str">
        <f>IFERROR(__xludf.DUMMYFUNCTION("""COMPUTED_VALUE"""),"Tracker")</f>
        <v>Tracker</v>
      </c>
      <c r="W932" s="251" t="str">
        <f>IFERROR(__xludf.DUMMYFUNCTION("""COMPUTED_VALUE"""),"--")</f>
        <v>--</v>
      </c>
      <c r="X932" s="251" t="str">
        <f>IFERROR(__xludf.DUMMYFUNCTION("""COMPUTED_VALUE"""),"--")</f>
        <v>--</v>
      </c>
      <c r="Y932" s="251" t="str">
        <f>IFERROR(__xludf.DUMMYFUNCTION("""COMPUTED_VALUE"""),"--")</f>
        <v>--</v>
      </c>
      <c r="Z932" s="251" t="str">
        <f>IFERROR(__xludf.DUMMYFUNCTION("""COMPUTED_VALUE"""),"--")</f>
        <v>--</v>
      </c>
      <c r="AA932" s="251" t="str">
        <f>IFERROR(__xludf.DUMMYFUNCTION("""COMPUTED_VALUE"""),"--")</f>
        <v>--</v>
      </c>
      <c r="AB932" s="251" t="str">
        <f>IFERROR(__xludf.DUMMYFUNCTION("""COMPUTED_VALUE"""),"--")</f>
        <v>--</v>
      </c>
      <c r="AC932" s="251" t="str">
        <f>IFERROR(__xludf.DUMMYFUNCTION("""COMPUTED_VALUE"""),"--")</f>
        <v>--</v>
      </c>
      <c r="AD932" s="251">
        <f>IFERROR(__xludf.DUMMYFUNCTION("""COMPUTED_VALUE"""),2.0)</f>
        <v>2</v>
      </c>
      <c r="AE932" s="251" t="str">
        <f>IFERROR(__xludf.DUMMYFUNCTION("""COMPUTED_VALUE"""),"Omnivore")</f>
        <v>Omnivore</v>
      </c>
    </row>
    <row r="933">
      <c r="A933" s="251" t="str">
        <f>IFERROR(__xludf.DUMMYFUNCTION("""COMPUTED_VALUE"""),"Lycanroc Midday")</f>
        <v>Lycanroc Midday</v>
      </c>
      <c r="B933" s="251" t="str">
        <f>IFERROR(__xludf.DUMMYFUNCTION("""COMPUTED_VALUE"""),"Rock")</f>
        <v>Rock</v>
      </c>
      <c r="C933" s="251" t="str">
        <f>IFERROR(__xludf.DUMMYFUNCTION("""COMPUTED_VALUE"""),"None")</f>
        <v>None</v>
      </c>
      <c r="D933" s="251">
        <f>IFERROR(__xludf.DUMMYFUNCTION("""COMPUTED_VALUE"""),8.0)</f>
        <v>8</v>
      </c>
      <c r="E933" s="251">
        <f>IFERROR(__xludf.DUMMYFUNCTION("""COMPUTED_VALUE"""),12.0)</f>
        <v>12</v>
      </c>
      <c r="F933" s="251">
        <f>IFERROR(__xludf.DUMMYFUNCTION("""COMPUTED_VALUE"""),8.0)</f>
        <v>8</v>
      </c>
      <c r="G933" s="251">
        <f>IFERROR(__xludf.DUMMYFUNCTION("""COMPUTED_VALUE"""),6.0)</f>
        <v>6</v>
      </c>
      <c r="H933" s="251">
        <f>IFERROR(__xludf.DUMMYFUNCTION("""COMPUTED_VALUE"""),7.0)</f>
        <v>7</v>
      </c>
      <c r="I933" s="251">
        <f>IFERROR(__xludf.DUMMYFUNCTION("""COMPUTED_VALUE"""),10.0)</f>
        <v>10</v>
      </c>
      <c r="J933" s="251">
        <f>IFERROR(__xludf.DUMMYFUNCTION("""COMPUTED_VALUE"""),4.0)</f>
        <v>4</v>
      </c>
      <c r="K933" s="251" t="str">
        <f>IFERROR(__xludf.DUMMYFUNCTION("""COMPUTED_VALUE"""),"Small")</f>
        <v>Small</v>
      </c>
      <c r="L933" s="251">
        <f>IFERROR(__xludf.DUMMYFUNCTION("""COMPUTED_VALUE"""),3.0)</f>
        <v>3</v>
      </c>
      <c r="M933" s="251" t="str">
        <f>IFERROR(__xludf.DUMMYFUNCTION("""COMPUTED_VALUE"""),"Cave, Mountain")</f>
        <v>Cave, Mountain</v>
      </c>
      <c r="N933" s="251" t="str">
        <f>IFERROR(__xludf.DUMMYFUNCTION("""COMPUTED_VALUE"""),"Jumper")</f>
        <v>Jumper</v>
      </c>
      <c r="O933" s="251" t="str">
        <f>IFERROR(__xludf.DUMMYFUNCTION("""COMPUTED_VALUE"""),"Quick")</f>
        <v>Quick</v>
      </c>
      <c r="P933" s="251" t="str">
        <f>IFERROR(__xludf.DUMMYFUNCTION("""COMPUTED_VALUE"""),"--")</f>
        <v>--</v>
      </c>
      <c r="Q933" s="251" t="str">
        <f>IFERROR(__xludf.DUMMYFUNCTION("""COMPUTED_VALUE"""),"--")</f>
        <v>--</v>
      </c>
      <c r="R933" s="251" t="str">
        <f>IFERROR(__xludf.DUMMYFUNCTION("""COMPUTED_VALUE"""),"Darkvision")</f>
        <v>Darkvision</v>
      </c>
      <c r="S933" s="251" t="str">
        <f>IFERROR(__xludf.DUMMYFUNCTION("""COMPUTED_VALUE"""),"--")</f>
        <v>--</v>
      </c>
      <c r="T933" s="251" t="str">
        <f>IFERROR(__xludf.DUMMYFUNCTION("""COMPUTED_VALUE"""),"--")</f>
        <v>--</v>
      </c>
      <c r="U933" s="251" t="str">
        <f>IFERROR(__xludf.DUMMYFUNCTION("""COMPUTED_VALUE"""),"--")</f>
        <v>--</v>
      </c>
      <c r="V933" s="251" t="str">
        <f>IFERROR(__xludf.DUMMYFUNCTION("""COMPUTED_VALUE"""),"Tracker")</f>
        <v>Tracker</v>
      </c>
      <c r="W933" s="251" t="str">
        <f>IFERROR(__xludf.DUMMYFUNCTION("""COMPUTED_VALUE"""),"--")</f>
        <v>--</v>
      </c>
      <c r="X933" s="251" t="str">
        <f>IFERROR(__xludf.DUMMYFUNCTION("""COMPUTED_VALUE"""),"--")</f>
        <v>--</v>
      </c>
      <c r="Y933" s="251" t="str">
        <f>IFERROR(__xludf.DUMMYFUNCTION("""COMPUTED_VALUE"""),"--")</f>
        <v>--</v>
      </c>
      <c r="Z933" s="251" t="str">
        <f>IFERROR(__xludf.DUMMYFUNCTION("""COMPUTED_VALUE"""),"--")</f>
        <v>--</v>
      </c>
      <c r="AA933" s="251" t="str">
        <f>IFERROR(__xludf.DUMMYFUNCTION("""COMPUTED_VALUE"""),"--")</f>
        <v>--</v>
      </c>
      <c r="AB933" s="251" t="str">
        <f>IFERROR(__xludf.DUMMYFUNCTION("""COMPUTED_VALUE"""),"--")</f>
        <v>--</v>
      </c>
      <c r="AC933" s="251" t="str">
        <f>IFERROR(__xludf.DUMMYFUNCTION("""COMPUTED_VALUE"""),"--")</f>
        <v>--</v>
      </c>
      <c r="AD933" s="251">
        <f>IFERROR(__xludf.DUMMYFUNCTION("""COMPUTED_VALUE"""),3.0)</f>
        <v>3</v>
      </c>
      <c r="AE933" s="251" t="str">
        <f>IFERROR(__xludf.DUMMYFUNCTION("""COMPUTED_VALUE"""),"Omnivore")</f>
        <v>Omnivore</v>
      </c>
    </row>
    <row r="934">
      <c r="A934" s="251" t="str">
        <f>IFERROR(__xludf.DUMMYFUNCTION("""COMPUTED_VALUE"""),"Lycanroc Midnight")</f>
        <v>Lycanroc Midnight</v>
      </c>
      <c r="B934" s="251" t="str">
        <f>IFERROR(__xludf.DUMMYFUNCTION("""COMPUTED_VALUE"""),"Rock")</f>
        <v>Rock</v>
      </c>
      <c r="C934" s="251" t="str">
        <f>IFERROR(__xludf.DUMMYFUNCTION("""COMPUTED_VALUE"""),"None")</f>
        <v>None</v>
      </c>
      <c r="D934" s="251">
        <f>IFERROR(__xludf.DUMMYFUNCTION("""COMPUTED_VALUE"""),9.0)</f>
        <v>9</v>
      </c>
      <c r="E934" s="251">
        <f>IFERROR(__xludf.DUMMYFUNCTION("""COMPUTED_VALUE"""),12.0)</f>
        <v>12</v>
      </c>
      <c r="F934" s="251">
        <f>IFERROR(__xludf.DUMMYFUNCTION("""COMPUTED_VALUE"""),8.0)</f>
        <v>8</v>
      </c>
      <c r="G934" s="251">
        <f>IFERROR(__xludf.DUMMYFUNCTION("""COMPUTED_VALUE"""),6.0)</f>
        <v>6</v>
      </c>
      <c r="H934" s="251">
        <f>IFERROR(__xludf.DUMMYFUNCTION("""COMPUTED_VALUE"""),8.0)</f>
        <v>8</v>
      </c>
      <c r="I934" s="251">
        <f>IFERROR(__xludf.DUMMYFUNCTION("""COMPUTED_VALUE"""),8.0)</f>
        <v>8</v>
      </c>
      <c r="J934" s="251">
        <f>IFERROR(__xludf.DUMMYFUNCTION("""COMPUTED_VALUE"""),4.0)</f>
        <v>4</v>
      </c>
      <c r="K934" s="251" t="str">
        <f>IFERROR(__xludf.DUMMYFUNCTION("""COMPUTED_VALUE"""),"Medium")</f>
        <v>Medium</v>
      </c>
      <c r="L934" s="251">
        <f>IFERROR(__xludf.DUMMYFUNCTION("""COMPUTED_VALUE"""),3.0)</f>
        <v>3</v>
      </c>
      <c r="M934" s="251" t="str">
        <f>IFERROR(__xludf.DUMMYFUNCTION("""COMPUTED_VALUE"""),"Cave, Mountain")</f>
        <v>Cave, Mountain</v>
      </c>
      <c r="N934" s="251" t="str">
        <f>IFERROR(__xludf.DUMMYFUNCTION("""COMPUTED_VALUE"""),"Jumper")</f>
        <v>Jumper</v>
      </c>
      <c r="O934" s="251" t="str">
        <f>IFERROR(__xludf.DUMMYFUNCTION("""COMPUTED_VALUE"""),"Quick")</f>
        <v>Quick</v>
      </c>
      <c r="P934" s="251" t="str">
        <f>IFERROR(__xludf.DUMMYFUNCTION("""COMPUTED_VALUE"""),"--")</f>
        <v>--</v>
      </c>
      <c r="Q934" s="251" t="str">
        <f>IFERROR(__xludf.DUMMYFUNCTION("""COMPUTED_VALUE"""),"--")</f>
        <v>--</v>
      </c>
      <c r="R934" s="251" t="str">
        <f>IFERROR(__xludf.DUMMYFUNCTION("""COMPUTED_VALUE"""),"Darkvision")</f>
        <v>Darkvision</v>
      </c>
      <c r="S934" s="251" t="str">
        <f>IFERROR(__xludf.DUMMYFUNCTION("""COMPUTED_VALUE"""),"--")</f>
        <v>--</v>
      </c>
      <c r="T934" s="251" t="str">
        <f>IFERROR(__xludf.DUMMYFUNCTION("""COMPUTED_VALUE"""),"--")</f>
        <v>--</v>
      </c>
      <c r="U934" s="251" t="str">
        <f>IFERROR(__xludf.DUMMYFUNCTION("""COMPUTED_VALUE"""),"--")</f>
        <v>--</v>
      </c>
      <c r="V934" s="251" t="str">
        <f>IFERROR(__xludf.DUMMYFUNCTION("""COMPUTED_VALUE"""),"Tracker")</f>
        <v>Tracker</v>
      </c>
      <c r="W934" s="251" t="str">
        <f>IFERROR(__xludf.DUMMYFUNCTION("""COMPUTED_VALUE"""),"--")</f>
        <v>--</v>
      </c>
      <c r="X934" s="251" t="str">
        <f>IFERROR(__xludf.DUMMYFUNCTION("""COMPUTED_VALUE"""),"--")</f>
        <v>--</v>
      </c>
      <c r="Y934" s="251" t="str">
        <f>IFERROR(__xludf.DUMMYFUNCTION("""COMPUTED_VALUE"""),"--")</f>
        <v>--</v>
      </c>
      <c r="Z934" s="251" t="str">
        <f>IFERROR(__xludf.DUMMYFUNCTION("""COMPUTED_VALUE"""),"--")</f>
        <v>--</v>
      </c>
      <c r="AA934" s="251" t="str">
        <f>IFERROR(__xludf.DUMMYFUNCTION("""COMPUTED_VALUE"""),"--")</f>
        <v>--</v>
      </c>
      <c r="AB934" s="251" t="str">
        <f>IFERROR(__xludf.DUMMYFUNCTION("""COMPUTED_VALUE"""),"--")</f>
        <v>--</v>
      </c>
      <c r="AC934" s="251" t="str">
        <f>IFERROR(__xludf.DUMMYFUNCTION("""COMPUTED_VALUE"""),"--")</f>
        <v>--</v>
      </c>
      <c r="AD934" s="251">
        <f>IFERROR(__xludf.DUMMYFUNCTION("""COMPUTED_VALUE"""),3.0)</f>
        <v>3</v>
      </c>
      <c r="AE934" s="251" t="str">
        <f>IFERROR(__xludf.DUMMYFUNCTION("""COMPUTED_VALUE"""),"Carnivore")</f>
        <v>Carnivore</v>
      </c>
    </row>
    <row r="935">
      <c r="A935" s="251" t="str">
        <f>IFERROR(__xludf.DUMMYFUNCTION("""COMPUTED_VALUE"""),"Lycanroc Dusk")</f>
        <v>Lycanroc Dusk</v>
      </c>
      <c r="B935" s="251" t="str">
        <f>IFERROR(__xludf.DUMMYFUNCTION("""COMPUTED_VALUE"""),"Rock")</f>
        <v>Rock</v>
      </c>
      <c r="C935" s="251" t="str">
        <f>IFERROR(__xludf.DUMMYFUNCTION("""COMPUTED_VALUE"""),"None")</f>
        <v>None</v>
      </c>
      <c r="D935" s="251">
        <f>IFERROR(__xludf.DUMMYFUNCTION("""COMPUTED_VALUE"""),8.0)</f>
        <v>8</v>
      </c>
      <c r="E935" s="251">
        <f>IFERROR(__xludf.DUMMYFUNCTION("""COMPUTED_VALUE"""),12.0)</f>
        <v>12</v>
      </c>
      <c r="F935" s="251">
        <f>IFERROR(__xludf.DUMMYFUNCTION("""COMPUTED_VALUE"""),11.0)</f>
        <v>11</v>
      </c>
      <c r="G935" s="251">
        <f>IFERROR(__xludf.DUMMYFUNCTION("""COMPUTED_VALUE"""),6.0)</f>
        <v>6</v>
      </c>
      <c r="H935" s="251">
        <f>IFERROR(__xludf.DUMMYFUNCTION("""COMPUTED_VALUE"""),7.0)</f>
        <v>7</v>
      </c>
      <c r="I935" s="251">
        <f>IFERROR(__xludf.DUMMYFUNCTION("""COMPUTED_VALUE"""),7.0)</f>
        <v>7</v>
      </c>
      <c r="J935" s="251">
        <f>IFERROR(__xludf.DUMMYFUNCTION("""COMPUTED_VALUE"""),4.0)</f>
        <v>4</v>
      </c>
      <c r="K935" s="251" t="str">
        <f>IFERROR(__xludf.DUMMYFUNCTION("""COMPUTED_VALUE"""),"Small")</f>
        <v>Small</v>
      </c>
      <c r="L935" s="251">
        <f>IFERROR(__xludf.DUMMYFUNCTION("""COMPUTED_VALUE"""),3.0)</f>
        <v>3</v>
      </c>
      <c r="M935" s="251" t="str">
        <f>IFERROR(__xludf.DUMMYFUNCTION("""COMPUTED_VALUE"""),"Cave, Mountain")</f>
        <v>Cave, Mountain</v>
      </c>
      <c r="N935" s="251" t="str">
        <f>IFERROR(__xludf.DUMMYFUNCTION("""COMPUTED_VALUE"""),"Jumper")</f>
        <v>Jumper</v>
      </c>
      <c r="O935" s="251" t="str">
        <f>IFERROR(__xludf.DUMMYFUNCTION("""COMPUTED_VALUE"""),"Quick")</f>
        <v>Quick</v>
      </c>
      <c r="P935" s="251" t="str">
        <f>IFERROR(__xludf.DUMMYFUNCTION("""COMPUTED_VALUE"""),"--")</f>
        <v>--</v>
      </c>
      <c r="Q935" s="251" t="str">
        <f>IFERROR(__xludf.DUMMYFUNCTION("""COMPUTED_VALUE"""),"--")</f>
        <v>--</v>
      </c>
      <c r="R935" s="251" t="str">
        <f>IFERROR(__xludf.DUMMYFUNCTION("""COMPUTED_VALUE"""),"Darkvision")</f>
        <v>Darkvision</v>
      </c>
      <c r="S935" s="251" t="str">
        <f>IFERROR(__xludf.DUMMYFUNCTION("""COMPUTED_VALUE"""),"--")</f>
        <v>--</v>
      </c>
      <c r="T935" s="251" t="str">
        <f>IFERROR(__xludf.DUMMYFUNCTION("""COMPUTED_VALUE"""),"--")</f>
        <v>--</v>
      </c>
      <c r="U935" s="251" t="str">
        <f>IFERROR(__xludf.DUMMYFUNCTION("""COMPUTED_VALUE"""),"--")</f>
        <v>--</v>
      </c>
      <c r="V935" s="251" t="str">
        <f>IFERROR(__xludf.DUMMYFUNCTION("""COMPUTED_VALUE"""),"Tracker")</f>
        <v>Tracker</v>
      </c>
      <c r="W935" s="251" t="str">
        <f>IFERROR(__xludf.DUMMYFUNCTION("""COMPUTED_VALUE"""),"--")</f>
        <v>--</v>
      </c>
      <c r="X935" s="251" t="str">
        <f>IFERROR(__xludf.DUMMYFUNCTION("""COMPUTED_VALUE"""),"--")</f>
        <v>--</v>
      </c>
      <c r="Y935" s="251" t="str">
        <f>IFERROR(__xludf.DUMMYFUNCTION("""COMPUTED_VALUE"""),"--")</f>
        <v>--</v>
      </c>
      <c r="Z935" s="251" t="str">
        <f>IFERROR(__xludf.DUMMYFUNCTION("""COMPUTED_VALUE"""),"--")</f>
        <v>--</v>
      </c>
      <c r="AA935" s="251" t="str">
        <f>IFERROR(__xludf.DUMMYFUNCTION("""COMPUTED_VALUE"""),"--")</f>
        <v>--</v>
      </c>
      <c r="AB935" s="251" t="str">
        <f>IFERROR(__xludf.DUMMYFUNCTION("""COMPUTED_VALUE"""),"--")</f>
        <v>--</v>
      </c>
      <c r="AC935" s="251" t="str">
        <f>IFERROR(__xludf.DUMMYFUNCTION("""COMPUTED_VALUE"""),"--")</f>
        <v>--</v>
      </c>
      <c r="AD935" s="251">
        <f>IFERROR(__xludf.DUMMYFUNCTION("""COMPUTED_VALUE"""),3.0)</f>
        <v>3</v>
      </c>
      <c r="AE935" s="251" t="str">
        <f>IFERROR(__xludf.DUMMYFUNCTION("""COMPUTED_VALUE"""),"Omnivore")</f>
        <v>Omnivore</v>
      </c>
    </row>
    <row r="936">
      <c r="A936" s="251" t="str">
        <f>IFERROR(__xludf.DUMMYFUNCTION("""COMPUTED_VALUE"""),"Glimmet")</f>
        <v>Glimmet</v>
      </c>
      <c r="B936" s="251" t="str">
        <f>IFERROR(__xludf.DUMMYFUNCTION("""COMPUTED_VALUE"""),"Rock")</f>
        <v>Rock</v>
      </c>
      <c r="C936" s="251" t="str">
        <f>IFERROR(__xludf.DUMMYFUNCTION("""COMPUTED_VALUE"""),"Poison")</f>
        <v>Poison</v>
      </c>
      <c r="D936" s="251">
        <f>IFERROR(__xludf.DUMMYFUNCTION("""COMPUTED_VALUE"""),5.0)</f>
        <v>5</v>
      </c>
      <c r="E936" s="251">
        <f>IFERROR(__xludf.DUMMYFUNCTION("""COMPUTED_VALUE"""),4.0)</f>
        <v>4</v>
      </c>
      <c r="F936" s="251">
        <f>IFERROR(__xludf.DUMMYFUNCTION("""COMPUTED_VALUE"""),4.0)</f>
        <v>4</v>
      </c>
      <c r="G936" s="251">
        <f>IFERROR(__xludf.DUMMYFUNCTION("""COMPUTED_VALUE"""),11.0)</f>
        <v>11</v>
      </c>
      <c r="H936" s="251">
        <f>IFERROR(__xludf.DUMMYFUNCTION("""COMPUTED_VALUE"""),6.0)</f>
        <v>6</v>
      </c>
      <c r="I936" s="251">
        <f>IFERROR(__xludf.DUMMYFUNCTION("""COMPUTED_VALUE"""),6.0)</f>
        <v>6</v>
      </c>
      <c r="J936" s="251">
        <f>IFERROR(__xludf.DUMMYFUNCTION("""COMPUTED_VALUE"""),3.0)</f>
        <v>3</v>
      </c>
      <c r="K936" s="251" t="str">
        <f>IFERROR(__xludf.DUMMYFUNCTION("""COMPUTED_VALUE"""),"Small")</f>
        <v>Small</v>
      </c>
      <c r="L936" s="251">
        <f>IFERROR(__xludf.DUMMYFUNCTION("""COMPUTED_VALUE"""),1.0)</f>
        <v>1</v>
      </c>
      <c r="M936" s="251" t="str">
        <f>IFERROR(__xludf.DUMMYFUNCTION("""COMPUTED_VALUE"""),"Cave")</f>
        <v>Cave</v>
      </c>
      <c r="N936" s="251" t="str">
        <f>IFERROR(__xludf.DUMMYFUNCTION("""COMPUTED_VALUE"""),"Climber")</f>
        <v>Climber</v>
      </c>
      <c r="O936" s="251" t="str">
        <f>IFERROR(__xludf.DUMMYFUNCTION("""COMPUTED_VALUE"""),"Flier")</f>
        <v>Flier</v>
      </c>
      <c r="P936" s="251" t="str">
        <f>IFERROR(__xludf.DUMMYFUNCTION("""COMPUTED_VALUE"""),"--")</f>
        <v>--</v>
      </c>
      <c r="Q936" s="251" t="str">
        <f>IFERROR(__xludf.DUMMYFUNCTION("""COMPUTED_VALUE"""),"--")</f>
        <v>--</v>
      </c>
      <c r="R936" s="251" t="str">
        <f>IFERROR(__xludf.DUMMYFUNCTION("""COMPUTED_VALUE"""),"Underdog")</f>
        <v>Underdog</v>
      </c>
      <c r="S936" s="251" t="str">
        <f>IFERROR(__xludf.DUMMYFUNCTION("""COMPUTED_VALUE"""),"--")</f>
        <v>--</v>
      </c>
      <c r="T936" s="251" t="str">
        <f>IFERROR(__xludf.DUMMYFUNCTION("""COMPUTED_VALUE"""),"--")</f>
        <v>--</v>
      </c>
      <c r="U936" s="251" t="str">
        <f>IFERROR(__xludf.DUMMYFUNCTION("""COMPUTED_VALUE"""),"--")</f>
        <v>--</v>
      </c>
      <c r="V936" s="251" t="str">
        <f>IFERROR(__xludf.DUMMYFUNCTION("""COMPUTED_VALUE"""),"--")</f>
        <v>--</v>
      </c>
      <c r="W936" s="251" t="str">
        <f>IFERROR(__xludf.DUMMYFUNCTION("""COMPUTED_VALUE"""),"--")</f>
        <v>--</v>
      </c>
      <c r="X936" s="251" t="str">
        <f>IFERROR(__xludf.DUMMYFUNCTION("""COMPUTED_VALUE"""),"--")</f>
        <v>--</v>
      </c>
      <c r="Y936" s="251" t="str">
        <f>IFERROR(__xludf.DUMMYFUNCTION("""COMPUTED_VALUE"""),"--")</f>
        <v>--</v>
      </c>
      <c r="Z936" s="251" t="str">
        <f>IFERROR(__xludf.DUMMYFUNCTION("""COMPUTED_VALUE"""),"--")</f>
        <v>--</v>
      </c>
      <c r="AA936" s="251" t="str">
        <f>IFERROR(__xludf.DUMMYFUNCTION("""COMPUTED_VALUE"""),"--")</f>
        <v>--</v>
      </c>
      <c r="AB936" s="251" t="str">
        <f>IFERROR(__xludf.DUMMYFUNCTION("""COMPUTED_VALUE"""),"--")</f>
        <v>--</v>
      </c>
      <c r="AC936" s="251" t="str">
        <f>IFERROR(__xludf.DUMMYFUNCTION("""COMPUTED_VALUE"""),"--")</f>
        <v>--</v>
      </c>
      <c r="AD936" s="251">
        <f>IFERROR(__xludf.DUMMYFUNCTION("""COMPUTED_VALUE"""),2.0)</f>
        <v>2</v>
      </c>
      <c r="AE936" s="251" t="str">
        <f>IFERROR(__xludf.DUMMYFUNCTION("""COMPUTED_VALUE"""),"Terravore")</f>
        <v>Terravore</v>
      </c>
    </row>
    <row r="937">
      <c r="A937" s="251" t="str">
        <f>IFERROR(__xludf.DUMMYFUNCTION("""COMPUTED_VALUE"""),"Glimmora")</f>
        <v>Glimmora</v>
      </c>
      <c r="B937" s="251" t="str">
        <f>IFERROR(__xludf.DUMMYFUNCTION("""COMPUTED_VALUE"""),"Rock")</f>
        <v>Rock</v>
      </c>
      <c r="C937" s="251" t="str">
        <f>IFERROR(__xludf.DUMMYFUNCTION("""COMPUTED_VALUE"""),"Poison")</f>
        <v>Poison</v>
      </c>
      <c r="D937" s="251">
        <f>IFERROR(__xludf.DUMMYFUNCTION("""COMPUTED_VALUE"""),8.0)</f>
        <v>8</v>
      </c>
      <c r="E937" s="251">
        <f>IFERROR(__xludf.DUMMYFUNCTION("""COMPUTED_VALUE"""),6.0)</f>
        <v>6</v>
      </c>
      <c r="F937" s="251">
        <f>IFERROR(__xludf.DUMMYFUNCTION("""COMPUTED_VALUE"""),9.0)</f>
        <v>9</v>
      </c>
      <c r="G937" s="251">
        <f>IFERROR(__xludf.DUMMYFUNCTION("""COMPUTED_VALUE"""),13.0)</f>
        <v>13</v>
      </c>
      <c r="H937" s="251">
        <f>IFERROR(__xludf.DUMMYFUNCTION("""COMPUTED_VALUE"""),8.0)</f>
        <v>8</v>
      </c>
      <c r="I937" s="251">
        <f>IFERROR(__xludf.DUMMYFUNCTION("""COMPUTED_VALUE"""),9.0)</f>
        <v>9</v>
      </c>
      <c r="J937" s="251">
        <f>IFERROR(__xludf.DUMMYFUNCTION("""COMPUTED_VALUE"""),4.0)</f>
        <v>4</v>
      </c>
      <c r="K937" s="251" t="str">
        <f>IFERROR(__xludf.DUMMYFUNCTION("""COMPUTED_VALUE"""),"Medium")</f>
        <v>Medium</v>
      </c>
      <c r="L937" s="251">
        <f>IFERROR(__xludf.DUMMYFUNCTION("""COMPUTED_VALUE"""),3.0)</f>
        <v>3</v>
      </c>
      <c r="M937" s="251" t="str">
        <f>IFERROR(__xludf.DUMMYFUNCTION("""COMPUTED_VALUE"""),"Cave")</f>
        <v>Cave</v>
      </c>
      <c r="N937" s="251" t="str">
        <f>IFERROR(__xludf.DUMMYFUNCTION("""COMPUTED_VALUE"""),"Climber")</f>
        <v>Climber</v>
      </c>
      <c r="O937" s="251" t="str">
        <f>IFERROR(__xludf.DUMMYFUNCTION("""COMPUTED_VALUE"""),"Flier")</f>
        <v>Flier</v>
      </c>
      <c r="P937" s="251" t="str">
        <f>IFERROR(__xludf.DUMMYFUNCTION("""COMPUTED_VALUE"""),"--")</f>
        <v>--</v>
      </c>
      <c r="Q937" s="251" t="str">
        <f>IFERROR(__xludf.DUMMYFUNCTION("""COMPUTED_VALUE"""),"--")</f>
        <v>--</v>
      </c>
      <c r="R937" s="251" t="str">
        <f>IFERROR(__xludf.DUMMYFUNCTION("""COMPUTED_VALUE"""),"--")</f>
        <v>--</v>
      </c>
      <c r="S937" s="251" t="str">
        <f>IFERROR(__xludf.DUMMYFUNCTION("""COMPUTED_VALUE"""),"--")</f>
        <v>--</v>
      </c>
      <c r="T937" s="251" t="str">
        <f>IFERROR(__xludf.DUMMYFUNCTION("""COMPUTED_VALUE"""),"--")</f>
        <v>--</v>
      </c>
      <c r="U937" s="251" t="str">
        <f>IFERROR(__xludf.DUMMYFUNCTION("""COMPUTED_VALUE"""),"--")</f>
        <v>--</v>
      </c>
      <c r="V937" s="251" t="str">
        <f>IFERROR(__xludf.DUMMYFUNCTION("""COMPUTED_VALUE"""),"--")</f>
        <v>--</v>
      </c>
      <c r="W937" s="251" t="str">
        <f>IFERROR(__xludf.DUMMYFUNCTION("""COMPUTED_VALUE"""),"--")</f>
        <v>--</v>
      </c>
      <c r="X937" s="251" t="str">
        <f>IFERROR(__xludf.DUMMYFUNCTION("""COMPUTED_VALUE"""),"--")</f>
        <v>--</v>
      </c>
      <c r="Y937" s="251" t="str">
        <f>IFERROR(__xludf.DUMMYFUNCTION("""COMPUTED_VALUE"""),"--")</f>
        <v>--</v>
      </c>
      <c r="Z937" s="251" t="str">
        <f>IFERROR(__xludf.DUMMYFUNCTION("""COMPUTED_VALUE"""),"--")</f>
        <v>--</v>
      </c>
      <c r="AA937" s="251" t="str">
        <f>IFERROR(__xludf.DUMMYFUNCTION("""COMPUTED_VALUE"""),"--")</f>
        <v>--</v>
      </c>
      <c r="AB937" s="251" t="str">
        <f>IFERROR(__xludf.DUMMYFUNCTION("""COMPUTED_VALUE"""),"--")</f>
        <v>--</v>
      </c>
      <c r="AC937" s="251" t="str">
        <f>IFERROR(__xludf.DUMMYFUNCTION("""COMPUTED_VALUE"""),"--")</f>
        <v>--</v>
      </c>
      <c r="AD937" s="251">
        <f>IFERROR(__xludf.DUMMYFUNCTION("""COMPUTED_VALUE"""),3.0)</f>
        <v>3</v>
      </c>
      <c r="AE937" s="251" t="str">
        <f>IFERROR(__xludf.DUMMYFUNCTION("""COMPUTED_VALUE"""),"Terravore")</f>
        <v>Terravore</v>
      </c>
    </row>
    <row r="938">
      <c r="A938" s="251" t="str">
        <f>IFERROR(__xludf.DUMMYFUNCTION("""COMPUTED_VALUE"""),"Bronzor")</f>
        <v>Bronzor</v>
      </c>
      <c r="B938" s="251" t="str">
        <f>IFERROR(__xludf.DUMMYFUNCTION("""COMPUTED_VALUE"""),"Steel")</f>
        <v>Steel</v>
      </c>
      <c r="C938" s="251" t="str">
        <f>IFERROR(__xludf.DUMMYFUNCTION("""COMPUTED_VALUE"""),"Psychic")</f>
        <v>Psychic</v>
      </c>
      <c r="D938" s="251">
        <f>IFERROR(__xludf.DUMMYFUNCTION("""COMPUTED_VALUE"""),6.0)</f>
        <v>6</v>
      </c>
      <c r="E938" s="251">
        <f>IFERROR(__xludf.DUMMYFUNCTION("""COMPUTED_VALUE"""),2.0)</f>
        <v>2</v>
      </c>
      <c r="F938" s="251">
        <f>IFERROR(__xludf.DUMMYFUNCTION("""COMPUTED_VALUE"""),9.0)</f>
        <v>9</v>
      </c>
      <c r="G938" s="251">
        <f>IFERROR(__xludf.DUMMYFUNCTION("""COMPUTED_VALUE"""),2.0)</f>
        <v>2</v>
      </c>
      <c r="H938" s="251">
        <f>IFERROR(__xludf.DUMMYFUNCTION("""COMPUTED_VALUE"""),9.0)</f>
        <v>9</v>
      </c>
      <c r="I938" s="251">
        <f>IFERROR(__xludf.DUMMYFUNCTION("""COMPUTED_VALUE"""),2.0)</f>
        <v>2</v>
      </c>
      <c r="J938" s="251">
        <f>IFERROR(__xludf.DUMMYFUNCTION("""COMPUTED_VALUE"""),4.0)</f>
        <v>4</v>
      </c>
      <c r="K938" s="251" t="str">
        <f>IFERROR(__xludf.DUMMYFUNCTION("""COMPUTED_VALUE"""),"Small")</f>
        <v>Small</v>
      </c>
      <c r="L938" s="251">
        <f>IFERROR(__xludf.DUMMYFUNCTION("""COMPUTED_VALUE"""),4.0)</f>
        <v>4</v>
      </c>
      <c r="M938" s="251" t="str">
        <f>IFERROR(__xludf.DUMMYFUNCTION("""COMPUTED_VALUE"""),"Cave")</f>
        <v>Cave</v>
      </c>
      <c r="N938" s="251" t="str">
        <f>IFERROR(__xludf.DUMMYFUNCTION("""COMPUTED_VALUE"""),"Flier")</f>
        <v>Flier</v>
      </c>
      <c r="O938" s="251" t="str">
        <f>IFERROR(__xludf.DUMMYFUNCTION("""COMPUTED_VALUE"""),"--")</f>
        <v>--</v>
      </c>
      <c r="P938" s="251" t="str">
        <f>IFERROR(__xludf.DUMMYFUNCTION("""COMPUTED_VALUE"""),"--")</f>
        <v>--</v>
      </c>
      <c r="Q938" s="251" t="str">
        <f>IFERROR(__xludf.DUMMYFUNCTION("""COMPUTED_VALUE"""),"--")</f>
        <v>--</v>
      </c>
      <c r="R938" s="251" t="str">
        <f>IFERROR(__xludf.DUMMYFUNCTION("""COMPUTED_VALUE"""),"Underdog")</f>
        <v>Underdog</v>
      </c>
      <c r="S938" s="251" t="str">
        <f>IFERROR(__xludf.DUMMYFUNCTION("""COMPUTED_VALUE"""),"--")</f>
        <v>--</v>
      </c>
      <c r="T938" s="251" t="str">
        <f>IFERROR(__xludf.DUMMYFUNCTION("""COMPUTED_VALUE"""),"--")</f>
        <v>--</v>
      </c>
      <c r="U938" s="251" t="str">
        <f>IFERROR(__xludf.DUMMYFUNCTION("""COMPUTED_VALUE"""),"--")</f>
        <v>--</v>
      </c>
      <c r="V938" s="251" t="str">
        <f>IFERROR(__xludf.DUMMYFUNCTION("""COMPUTED_VALUE"""),"Breathless")</f>
        <v>Breathless</v>
      </c>
      <c r="W938" s="251" t="str">
        <f>IFERROR(__xludf.DUMMYFUNCTION("""COMPUTED_VALUE"""),"Dead Silent")</f>
        <v>Dead Silent</v>
      </c>
      <c r="X938" s="251" t="str">
        <f>IFERROR(__xludf.DUMMYFUNCTION("""COMPUTED_VALUE"""),"--")</f>
        <v>--</v>
      </c>
      <c r="Y938" s="251" t="str">
        <f>IFERROR(__xludf.DUMMYFUNCTION("""COMPUTED_VALUE"""),"--")</f>
        <v>--</v>
      </c>
      <c r="Z938" s="251" t="str">
        <f>IFERROR(__xludf.DUMMYFUNCTION("""COMPUTED_VALUE"""),"--")</f>
        <v>--</v>
      </c>
      <c r="AA938" s="251" t="str">
        <f>IFERROR(__xludf.DUMMYFUNCTION("""COMPUTED_VALUE"""),"--")</f>
        <v>--</v>
      </c>
      <c r="AB938" s="251" t="str">
        <f>IFERROR(__xludf.DUMMYFUNCTION("""COMPUTED_VALUE"""),"--")</f>
        <v>--</v>
      </c>
      <c r="AC938" s="251" t="str">
        <f>IFERROR(__xludf.DUMMYFUNCTION("""COMPUTED_VALUE"""),"--")</f>
        <v>--</v>
      </c>
      <c r="AD938" s="251">
        <f>IFERROR(__xludf.DUMMYFUNCTION("""COMPUTED_VALUE"""),2.0)</f>
        <v>2</v>
      </c>
      <c r="AE938" s="251" t="str">
        <f>IFERROR(__xludf.DUMMYFUNCTION("""COMPUTED_VALUE"""),"Nullivore")</f>
        <v>Nullivore</v>
      </c>
    </row>
    <row r="939">
      <c r="A939" s="251" t="str">
        <f>IFERROR(__xludf.DUMMYFUNCTION("""COMPUTED_VALUE"""),"Bronzong")</f>
        <v>Bronzong</v>
      </c>
      <c r="B939" s="251" t="str">
        <f>IFERROR(__xludf.DUMMYFUNCTION("""COMPUTED_VALUE"""),"Steel")</f>
        <v>Steel</v>
      </c>
      <c r="C939" s="251" t="str">
        <f>IFERROR(__xludf.DUMMYFUNCTION("""COMPUTED_VALUE"""),"Psychic")</f>
        <v>Psychic</v>
      </c>
      <c r="D939" s="251">
        <f>IFERROR(__xludf.DUMMYFUNCTION("""COMPUTED_VALUE"""),7.0)</f>
        <v>7</v>
      </c>
      <c r="E939" s="251">
        <f>IFERROR(__xludf.DUMMYFUNCTION("""COMPUTED_VALUE"""),9.0)</f>
        <v>9</v>
      </c>
      <c r="F939" s="251">
        <f>IFERROR(__xludf.DUMMYFUNCTION("""COMPUTED_VALUE"""),12.0)</f>
        <v>12</v>
      </c>
      <c r="G939" s="251">
        <f>IFERROR(__xludf.DUMMYFUNCTION("""COMPUTED_VALUE"""),8.0)</f>
        <v>8</v>
      </c>
      <c r="H939" s="251">
        <f>IFERROR(__xludf.DUMMYFUNCTION("""COMPUTED_VALUE"""),12.0)</f>
        <v>12</v>
      </c>
      <c r="I939" s="251">
        <f>IFERROR(__xludf.DUMMYFUNCTION("""COMPUTED_VALUE"""),3.0)</f>
        <v>3</v>
      </c>
      <c r="J939" s="251">
        <f>IFERROR(__xludf.DUMMYFUNCTION("""COMPUTED_VALUE"""),8.0)</f>
        <v>8</v>
      </c>
      <c r="K939" s="251" t="str">
        <f>IFERROR(__xludf.DUMMYFUNCTION("""COMPUTED_VALUE"""),"Medium")</f>
        <v>Medium</v>
      </c>
      <c r="L939" s="251">
        <f>IFERROR(__xludf.DUMMYFUNCTION("""COMPUTED_VALUE"""),5.0)</f>
        <v>5</v>
      </c>
      <c r="M939" s="251" t="str">
        <f>IFERROR(__xludf.DUMMYFUNCTION("""COMPUTED_VALUE"""),"Cave")</f>
        <v>Cave</v>
      </c>
      <c r="N939" s="251" t="str">
        <f>IFERROR(__xludf.DUMMYFUNCTION("""COMPUTED_VALUE"""),"Flier")</f>
        <v>Flier</v>
      </c>
      <c r="O939" s="251" t="str">
        <f>IFERROR(__xludf.DUMMYFUNCTION("""COMPUTED_VALUE"""),"--")</f>
        <v>--</v>
      </c>
      <c r="P939" s="251" t="str">
        <f>IFERROR(__xludf.DUMMYFUNCTION("""COMPUTED_VALUE"""),"--")</f>
        <v>--</v>
      </c>
      <c r="Q939" s="251" t="str">
        <f>IFERROR(__xludf.DUMMYFUNCTION("""COMPUTED_VALUE"""),"--")</f>
        <v>--</v>
      </c>
      <c r="R939" s="251" t="str">
        <f>IFERROR(__xludf.DUMMYFUNCTION("""COMPUTED_VALUE"""),"--")</f>
        <v>--</v>
      </c>
      <c r="S939" s="251" t="str">
        <f>IFERROR(__xludf.DUMMYFUNCTION("""COMPUTED_VALUE"""),"--")</f>
        <v>--</v>
      </c>
      <c r="T939" s="251" t="str">
        <f>IFERROR(__xludf.DUMMYFUNCTION("""COMPUTED_VALUE"""),"--")</f>
        <v>--</v>
      </c>
      <c r="U939" s="251" t="str">
        <f>IFERROR(__xludf.DUMMYFUNCTION("""COMPUTED_VALUE"""),"--")</f>
        <v>--</v>
      </c>
      <c r="V939" s="251" t="str">
        <f>IFERROR(__xludf.DUMMYFUNCTION("""COMPUTED_VALUE"""),"Breathless")</f>
        <v>Breathless</v>
      </c>
      <c r="W939" s="251" t="str">
        <f>IFERROR(__xludf.DUMMYFUNCTION("""COMPUTED_VALUE"""),"Dead Silent")</f>
        <v>Dead Silent</v>
      </c>
      <c r="X939" s="251" t="str">
        <f>IFERROR(__xludf.DUMMYFUNCTION("""COMPUTED_VALUE"""),"--")</f>
        <v>--</v>
      </c>
      <c r="Y939" s="251" t="str">
        <f>IFERROR(__xludf.DUMMYFUNCTION("""COMPUTED_VALUE"""),"--")</f>
        <v>--</v>
      </c>
      <c r="Z939" s="251" t="str">
        <f>IFERROR(__xludf.DUMMYFUNCTION("""COMPUTED_VALUE"""),"--")</f>
        <v>--</v>
      </c>
      <c r="AA939" s="251" t="str">
        <f>IFERROR(__xludf.DUMMYFUNCTION("""COMPUTED_VALUE"""),"--")</f>
        <v>--</v>
      </c>
      <c r="AB939" s="251" t="str">
        <f>IFERROR(__xludf.DUMMYFUNCTION("""COMPUTED_VALUE"""),"--")</f>
        <v>--</v>
      </c>
      <c r="AC939" s="251" t="str">
        <f>IFERROR(__xludf.DUMMYFUNCTION("""COMPUTED_VALUE"""),"--")</f>
        <v>--</v>
      </c>
      <c r="AD939" s="251">
        <f>IFERROR(__xludf.DUMMYFUNCTION("""COMPUTED_VALUE"""),3.0)</f>
        <v>3</v>
      </c>
      <c r="AE939" s="251" t="str">
        <f>IFERROR(__xludf.DUMMYFUNCTION("""COMPUTED_VALUE"""),"Nullivore")</f>
        <v>Nullivore</v>
      </c>
    </row>
    <row r="940">
      <c r="A940" s="251" t="str">
        <f>IFERROR(__xludf.DUMMYFUNCTION("""COMPUTED_VALUE"""),"Meltan")</f>
        <v>Meltan</v>
      </c>
      <c r="B940" s="251" t="str">
        <f>IFERROR(__xludf.DUMMYFUNCTION("""COMPUTED_VALUE"""),"Steel")</f>
        <v>Steel</v>
      </c>
      <c r="C940" s="251" t="str">
        <f>IFERROR(__xludf.DUMMYFUNCTION("""COMPUTED_VALUE"""),"None")</f>
        <v>None</v>
      </c>
      <c r="D940" s="251">
        <f>IFERROR(__xludf.DUMMYFUNCTION("""COMPUTED_VALUE"""),5.0)</f>
        <v>5</v>
      </c>
      <c r="E940" s="251">
        <f>IFERROR(__xludf.DUMMYFUNCTION("""COMPUTED_VALUE"""),7.0)</f>
        <v>7</v>
      </c>
      <c r="F940" s="251">
        <f>IFERROR(__xludf.DUMMYFUNCTION("""COMPUTED_VALUE"""),7.0)</f>
        <v>7</v>
      </c>
      <c r="G940" s="251">
        <f>IFERROR(__xludf.DUMMYFUNCTION("""COMPUTED_VALUE"""),6.0)</f>
        <v>6</v>
      </c>
      <c r="H940" s="251">
        <f>IFERROR(__xludf.DUMMYFUNCTION("""COMPUTED_VALUE"""),4.0)</f>
        <v>4</v>
      </c>
      <c r="I940" s="251">
        <f>IFERROR(__xludf.DUMMYFUNCTION("""COMPUTED_VALUE"""),3.0)</f>
        <v>3</v>
      </c>
      <c r="J940" s="251">
        <f>IFERROR(__xludf.DUMMYFUNCTION("""COMPUTED_VALUE"""),2.0)</f>
        <v>2</v>
      </c>
      <c r="K940" s="251" t="str">
        <f>IFERROR(__xludf.DUMMYFUNCTION("""COMPUTED_VALUE"""),"Small")</f>
        <v>Small</v>
      </c>
      <c r="L940" s="251">
        <f>IFERROR(__xludf.DUMMYFUNCTION("""COMPUTED_VALUE"""),1.0)</f>
        <v>1</v>
      </c>
      <c r="M940" s="251" t="str">
        <f>IFERROR(__xludf.DUMMYFUNCTION("""COMPUTED_VALUE"""),"Urban")</f>
        <v>Urban</v>
      </c>
      <c r="N940" s="251" t="str">
        <f>IFERROR(__xludf.DUMMYFUNCTION("""COMPUTED_VALUE"""),"Grounded")</f>
        <v>Grounded</v>
      </c>
      <c r="O940" s="251" t="str">
        <f>IFERROR(__xludf.DUMMYFUNCTION("""COMPUTED_VALUE"""),"Slow")</f>
        <v>Slow</v>
      </c>
      <c r="P940" s="251" t="str">
        <f>IFERROR(__xludf.DUMMYFUNCTION("""COMPUTED_VALUE"""),"--")</f>
        <v>--</v>
      </c>
      <c r="Q940" s="251" t="str">
        <f>IFERROR(__xludf.DUMMYFUNCTION("""COMPUTED_VALUE"""),"--")</f>
        <v>--</v>
      </c>
      <c r="R940" s="251" t="str">
        <f>IFERROR(__xludf.DUMMYFUNCTION("""COMPUTED_VALUE"""),"Underdog")</f>
        <v>Underdog</v>
      </c>
      <c r="S940" s="251" t="str">
        <f>IFERROR(__xludf.DUMMYFUNCTION("""COMPUTED_VALUE"""),"--")</f>
        <v>--</v>
      </c>
      <c r="T940" s="251" t="str">
        <f>IFERROR(__xludf.DUMMYFUNCTION("""COMPUTED_VALUE"""),"--")</f>
        <v>--</v>
      </c>
      <c r="U940" s="251" t="str">
        <f>IFERROR(__xludf.DUMMYFUNCTION("""COMPUTED_VALUE"""),"--")</f>
        <v>--</v>
      </c>
      <c r="V940" s="251" t="str">
        <f>IFERROR(__xludf.DUMMYFUNCTION("""COMPUTED_VALUE"""),"Amorphous")</f>
        <v>Amorphous</v>
      </c>
      <c r="W940" s="251" t="str">
        <f>IFERROR(__xludf.DUMMYFUNCTION("""COMPUTED_VALUE"""),"Dead Silent")</f>
        <v>Dead Silent</v>
      </c>
      <c r="X940" s="251" t="str">
        <f>IFERROR(__xludf.DUMMYFUNCTION("""COMPUTED_VALUE"""),"Magnetic")</f>
        <v>Magnetic</v>
      </c>
      <c r="Y940" s="251" t="str">
        <f>IFERROR(__xludf.DUMMYFUNCTION("""COMPUTED_VALUE"""),"--")</f>
        <v>--</v>
      </c>
      <c r="Z940" s="251" t="str">
        <f>IFERROR(__xludf.DUMMYFUNCTION("""COMPUTED_VALUE"""),"--")</f>
        <v>--</v>
      </c>
      <c r="AA940" s="251" t="str">
        <f>IFERROR(__xludf.DUMMYFUNCTION("""COMPUTED_VALUE"""),"--")</f>
        <v>--</v>
      </c>
      <c r="AB940" s="251" t="str">
        <f>IFERROR(__xludf.DUMMYFUNCTION("""COMPUTED_VALUE"""),"--")</f>
        <v>--</v>
      </c>
      <c r="AC940" s="251" t="str">
        <f>IFERROR(__xludf.DUMMYFUNCTION("""COMPUTED_VALUE"""),"--")</f>
        <v>--</v>
      </c>
      <c r="AD940" s="251">
        <f>IFERROR(__xludf.DUMMYFUNCTION("""COMPUTED_VALUE"""),2.0)</f>
        <v>2</v>
      </c>
      <c r="AE940" s="251" t="str">
        <f>IFERROR(__xludf.DUMMYFUNCTION("""COMPUTED_VALUE"""),"Terravore")</f>
        <v>Terravore</v>
      </c>
    </row>
    <row r="941">
      <c r="A941" s="251" t="str">
        <f>IFERROR(__xludf.DUMMYFUNCTION("""COMPUTED_VALUE"""),"Melmetal")</f>
        <v>Melmetal</v>
      </c>
      <c r="B941" s="251" t="str">
        <f>IFERROR(__xludf.DUMMYFUNCTION("""COMPUTED_VALUE"""),"Steel")</f>
        <v>Steel</v>
      </c>
      <c r="C941" s="251" t="str">
        <f>IFERROR(__xludf.DUMMYFUNCTION("""COMPUTED_VALUE"""),"None")</f>
        <v>None</v>
      </c>
      <c r="D941" s="251">
        <f>IFERROR(__xludf.DUMMYFUNCTION("""COMPUTED_VALUE"""),14.0)</f>
        <v>14</v>
      </c>
      <c r="E941" s="251">
        <f>IFERROR(__xludf.DUMMYFUNCTION("""COMPUTED_VALUE"""),14.0)</f>
        <v>14</v>
      </c>
      <c r="F941" s="251">
        <f>IFERROR(__xludf.DUMMYFUNCTION("""COMPUTED_VALUE"""),14.0)</f>
        <v>14</v>
      </c>
      <c r="G941" s="251">
        <f>IFERROR(__xludf.DUMMYFUNCTION("""COMPUTED_VALUE"""),8.0)</f>
        <v>8</v>
      </c>
      <c r="H941" s="251">
        <f>IFERROR(__xludf.DUMMYFUNCTION("""COMPUTED_VALUE"""),7.0)</f>
        <v>7</v>
      </c>
      <c r="I941" s="251">
        <f>IFERROR(__xludf.DUMMYFUNCTION("""COMPUTED_VALUE"""),3.0)</f>
        <v>3</v>
      </c>
      <c r="J941" s="251">
        <f>IFERROR(__xludf.DUMMYFUNCTION("""COMPUTED_VALUE"""),11.0)</f>
        <v>11</v>
      </c>
      <c r="K941" s="251" t="str">
        <f>IFERROR(__xludf.DUMMYFUNCTION("""COMPUTED_VALUE"""),"Large")</f>
        <v>Large</v>
      </c>
      <c r="L941" s="251">
        <f>IFERROR(__xludf.DUMMYFUNCTION("""COMPUTED_VALUE"""),6.0)</f>
        <v>6</v>
      </c>
      <c r="M941" s="251" t="str">
        <f>IFERROR(__xludf.DUMMYFUNCTION("""COMPUTED_VALUE"""),"Urban")</f>
        <v>Urban</v>
      </c>
      <c r="N941" s="251" t="str">
        <f>IFERROR(__xludf.DUMMYFUNCTION("""COMPUTED_VALUE"""),"--")</f>
        <v>--</v>
      </c>
      <c r="O941" s="251" t="str">
        <f>IFERROR(__xludf.DUMMYFUNCTION("""COMPUTED_VALUE"""),"--")</f>
        <v>--</v>
      </c>
      <c r="P941" s="251" t="str">
        <f>IFERROR(__xludf.DUMMYFUNCTION("""COMPUTED_VALUE"""),"--")</f>
        <v>--</v>
      </c>
      <c r="Q941" s="251" t="str">
        <f>IFERROR(__xludf.DUMMYFUNCTION("""COMPUTED_VALUE"""),"--")</f>
        <v>--</v>
      </c>
      <c r="R941" s="251" t="str">
        <f>IFERROR(__xludf.DUMMYFUNCTION("""COMPUTED_VALUE"""),"--")</f>
        <v>--</v>
      </c>
      <c r="S941" s="251" t="str">
        <f>IFERROR(__xludf.DUMMYFUNCTION("""COMPUTED_VALUE"""),"--")</f>
        <v>--</v>
      </c>
      <c r="T941" s="251" t="str">
        <f>IFERROR(__xludf.DUMMYFUNCTION("""COMPUTED_VALUE"""),"--")</f>
        <v>--</v>
      </c>
      <c r="U941" s="251" t="str">
        <f>IFERROR(__xludf.DUMMYFUNCTION("""COMPUTED_VALUE"""),"--")</f>
        <v>--</v>
      </c>
      <c r="V941" s="251" t="str">
        <f>IFERROR(__xludf.DUMMYFUNCTION("""COMPUTED_VALUE"""),"Amorphous")</f>
        <v>Amorphous</v>
      </c>
      <c r="W941" s="251" t="str">
        <f>IFERROR(__xludf.DUMMYFUNCTION("""COMPUTED_VALUE"""),"Magnetic")</f>
        <v>Magnetic</v>
      </c>
      <c r="X941" s="251" t="str">
        <f>IFERROR(__xludf.DUMMYFUNCTION("""COMPUTED_VALUE"""),"--")</f>
        <v>--</v>
      </c>
      <c r="Y941" s="251" t="str">
        <f>IFERROR(__xludf.DUMMYFUNCTION("""COMPUTED_VALUE"""),"--")</f>
        <v>--</v>
      </c>
      <c r="Z941" s="251" t="str">
        <f>IFERROR(__xludf.DUMMYFUNCTION("""COMPUTED_VALUE"""),"--")</f>
        <v>--</v>
      </c>
      <c r="AA941" s="251" t="str">
        <f>IFERROR(__xludf.DUMMYFUNCTION("""COMPUTED_VALUE"""),"--")</f>
        <v>--</v>
      </c>
      <c r="AB941" s="251" t="str">
        <f>IFERROR(__xludf.DUMMYFUNCTION("""COMPUTED_VALUE"""),"--")</f>
        <v>--</v>
      </c>
      <c r="AC941" s="251" t="str">
        <f>IFERROR(__xludf.DUMMYFUNCTION("""COMPUTED_VALUE"""),"--")</f>
        <v>--</v>
      </c>
      <c r="AD941" s="251">
        <f>IFERROR(__xludf.DUMMYFUNCTION("""COMPUTED_VALUE"""),3.0)</f>
        <v>3</v>
      </c>
      <c r="AE941" s="251" t="str">
        <f>IFERROR(__xludf.DUMMYFUNCTION("""COMPUTED_VALUE"""),"Terravore")</f>
        <v>Terravore</v>
      </c>
    </row>
    <row r="942">
      <c r="A942" s="251" t="str">
        <f>IFERROR(__xludf.DUMMYFUNCTION("""COMPUTED_VALUE"""),"Cufant")</f>
        <v>Cufant</v>
      </c>
      <c r="B942" s="251" t="str">
        <f>IFERROR(__xludf.DUMMYFUNCTION("""COMPUTED_VALUE"""),"Steel")</f>
        <v>Steel</v>
      </c>
      <c r="C942" s="251" t="str">
        <f>IFERROR(__xludf.DUMMYFUNCTION("""COMPUTED_VALUE"""),"None")</f>
        <v>None</v>
      </c>
      <c r="D942" s="251">
        <f>IFERROR(__xludf.DUMMYFUNCTION("""COMPUTED_VALUE"""),7.0)</f>
        <v>7</v>
      </c>
      <c r="E942" s="251">
        <f>IFERROR(__xludf.DUMMYFUNCTION("""COMPUTED_VALUE"""),8.0)</f>
        <v>8</v>
      </c>
      <c r="F942" s="251">
        <f>IFERROR(__xludf.DUMMYFUNCTION("""COMPUTED_VALUE"""),5.0)</f>
        <v>5</v>
      </c>
      <c r="G942" s="251">
        <f>IFERROR(__xludf.DUMMYFUNCTION("""COMPUTED_VALUE"""),4.0)</f>
        <v>4</v>
      </c>
      <c r="H942" s="251">
        <f>IFERROR(__xludf.DUMMYFUNCTION("""COMPUTED_VALUE"""),5.0)</f>
        <v>5</v>
      </c>
      <c r="I942" s="251">
        <f>IFERROR(__xludf.DUMMYFUNCTION("""COMPUTED_VALUE"""),4.0)</f>
        <v>4</v>
      </c>
      <c r="J942" s="251">
        <f>IFERROR(__xludf.DUMMYFUNCTION("""COMPUTED_VALUE"""),8.0)</f>
        <v>8</v>
      </c>
      <c r="K942" s="251" t="str">
        <f>IFERROR(__xludf.DUMMYFUNCTION("""COMPUTED_VALUE"""),"Medium")</f>
        <v>Medium</v>
      </c>
      <c r="L942" s="251">
        <f>IFERROR(__xludf.DUMMYFUNCTION("""COMPUTED_VALUE"""),5.0)</f>
        <v>5</v>
      </c>
      <c r="M942" s="251" t="str">
        <f>IFERROR(__xludf.DUMMYFUNCTION("""COMPUTED_VALUE"""),"Mountain")</f>
        <v>Mountain</v>
      </c>
      <c r="N942" s="251" t="str">
        <f>IFERROR(__xludf.DUMMYFUNCTION("""COMPUTED_VALUE"""),"Grounded")</f>
        <v>Grounded</v>
      </c>
      <c r="O942" s="251" t="str">
        <f>IFERROR(__xludf.DUMMYFUNCTION("""COMPUTED_VALUE"""),"--")</f>
        <v>--</v>
      </c>
      <c r="P942" s="251" t="str">
        <f>IFERROR(__xludf.DUMMYFUNCTION("""COMPUTED_VALUE"""),"--")</f>
        <v>--</v>
      </c>
      <c r="Q942" s="251" t="str">
        <f>IFERROR(__xludf.DUMMYFUNCTION("""COMPUTED_VALUE"""),"--")</f>
        <v>--</v>
      </c>
      <c r="R942" s="251" t="str">
        <f>IFERROR(__xludf.DUMMYFUNCTION("""COMPUTED_VALUE"""),"Groundshaper")</f>
        <v>Groundshaper</v>
      </c>
      <c r="S942" s="251" t="str">
        <f>IFERROR(__xludf.DUMMYFUNCTION("""COMPUTED_VALUE"""),"Mountable")</f>
        <v>Mountable</v>
      </c>
      <c r="T942" s="251" t="str">
        <f>IFERROR(__xludf.DUMMYFUNCTION("""COMPUTED_VALUE"""),"Underdog")</f>
        <v>Underdog</v>
      </c>
      <c r="U942" s="251" t="str">
        <f>IFERROR(__xludf.DUMMYFUNCTION("""COMPUTED_VALUE"""),"--")</f>
        <v>--</v>
      </c>
      <c r="V942" s="251" t="str">
        <f>IFERROR(__xludf.DUMMYFUNCTION("""COMPUTED_VALUE"""),"--")</f>
        <v>--</v>
      </c>
      <c r="W942" s="251" t="str">
        <f>IFERROR(__xludf.DUMMYFUNCTION("""COMPUTED_VALUE"""),"--")</f>
        <v>--</v>
      </c>
      <c r="X942" s="251" t="str">
        <f>IFERROR(__xludf.DUMMYFUNCTION("""COMPUTED_VALUE"""),"--")</f>
        <v>--</v>
      </c>
      <c r="Y942" s="251" t="str">
        <f>IFERROR(__xludf.DUMMYFUNCTION("""COMPUTED_VALUE"""),"--")</f>
        <v>--</v>
      </c>
      <c r="Z942" s="251" t="str">
        <f>IFERROR(__xludf.DUMMYFUNCTION("""COMPUTED_VALUE"""),"--")</f>
        <v>--</v>
      </c>
      <c r="AA942" s="251" t="str">
        <f>IFERROR(__xludf.DUMMYFUNCTION("""COMPUTED_VALUE"""),"--")</f>
        <v>--</v>
      </c>
      <c r="AB942" s="251" t="str">
        <f>IFERROR(__xludf.DUMMYFUNCTION("""COMPUTED_VALUE"""),"--")</f>
        <v>--</v>
      </c>
      <c r="AC942" s="251" t="str">
        <f>IFERROR(__xludf.DUMMYFUNCTION("""COMPUTED_VALUE"""),"--")</f>
        <v>--</v>
      </c>
      <c r="AD942" s="251">
        <f>IFERROR(__xludf.DUMMYFUNCTION("""COMPUTED_VALUE"""),2.0)</f>
        <v>2</v>
      </c>
      <c r="AE942" s="251" t="str">
        <f>IFERROR(__xludf.DUMMYFUNCTION("""COMPUTED_VALUE"""),"Terravore")</f>
        <v>Terravore</v>
      </c>
    </row>
    <row r="943">
      <c r="A943" s="251" t="str">
        <f>IFERROR(__xludf.DUMMYFUNCTION("""COMPUTED_VALUE"""),"Copperajah")</f>
        <v>Copperajah</v>
      </c>
      <c r="B943" s="251" t="str">
        <f>IFERROR(__xludf.DUMMYFUNCTION("""COMPUTED_VALUE"""),"Steel")</f>
        <v>Steel</v>
      </c>
      <c r="C943" s="251" t="str">
        <f>IFERROR(__xludf.DUMMYFUNCTION("""COMPUTED_VALUE"""),"None")</f>
        <v>None</v>
      </c>
      <c r="D943" s="251">
        <f>IFERROR(__xludf.DUMMYFUNCTION("""COMPUTED_VALUE"""),12.0)</f>
        <v>12</v>
      </c>
      <c r="E943" s="251">
        <f>IFERROR(__xludf.DUMMYFUNCTION("""COMPUTED_VALUE"""),13.0)</f>
        <v>13</v>
      </c>
      <c r="F943" s="251">
        <f>IFERROR(__xludf.DUMMYFUNCTION("""COMPUTED_VALUE"""),7.0)</f>
        <v>7</v>
      </c>
      <c r="G943" s="251">
        <f>IFERROR(__xludf.DUMMYFUNCTION("""COMPUTED_VALUE"""),8.0)</f>
        <v>8</v>
      </c>
      <c r="H943" s="251">
        <f>IFERROR(__xludf.DUMMYFUNCTION("""COMPUTED_VALUE"""),7.0)</f>
        <v>7</v>
      </c>
      <c r="I943" s="251">
        <f>IFERROR(__xludf.DUMMYFUNCTION("""COMPUTED_VALUE"""),3.0)</f>
        <v>3</v>
      </c>
      <c r="J943" s="251">
        <f>IFERROR(__xludf.DUMMYFUNCTION("""COMPUTED_VALUE"""),12.0)</f>
        <v>12</v>
      </c>
      <c r="K943" s="251" t="str">
        <f>IFERROR(__xludf.DUMMYFUNCTION("""COMPUTED_VALUE"""),"Huge")</f>
        <v>Huge</v>
      </c>
      <c r="L943" s="251">
        <f>IFERROR(__xludf.DUMMYFUNCTION("""COMPUTED_VALUE"""),6.0)</f>
        <v>6</v>
      </c>
      <c r="M943" s="251" t="str">
        <f>IFERROR(__xludf.DUMMYFUNCTION("""COMPUTED_VALUE"""),"Mountain")</f>
        <v>Mountain</v>
      </c>
      <c r="N943" s="251" t="str">
        <f>IFERROR(__xludf.DUMMYFUNCTION("""COMPUTED_VALUE"""),"Grounded")</f>
        <v>Grounded</v>
      </c>
      <c r="O943" s="251" t="str">
        <f>IFERROR(__xludf.DUMMYFUNCTION("""COMPUTED_VALUE"""),"--")</f>
        <v>--</v>
      </c>
      <c r="P943" s="251" t="str">
        <f>IFERROR(__xludf.DUMMYFUNCTION("""COMPUTED_VALUE"""),"--")</f>
        <v>--</v>
      </c>
      <c r="Q943" s="251" t="str">
        <f>IFERROR(__xludf.DUMMYFUNCTION("""COMPUTED_VALUE"""),"--")</f>
        <v>--</v>
      </c>
      <c r="R943" s="251" t="str">
        <f>IFERROR(__xludf.DUMMYFUNCTION("""COMPUTED_VALUE"""),"Groundshaper")</f>
        <v>Groundshaper</v>
      </c>
      <c r="S943" s="251" t="str">
        <f>IFERROR(__xludf.DUMMYFUNCTION("""COMPUTED_VALUE"""),"Mountable")</f>
        <v>Mountable</v>
      </c>
      <c r="T943" s="251" t="str">
        <f>IFERROR(__xludf.DUMMYFUNCTION("""COMPUTED_VALUE"""),"--")</f>
        <v>--</v>
      </c>
      <c r="U943" s="251" t="str">
        <f>IFERROR(__xludf.DUMMYFUNCTION("""COMPUTED_VALUE"""),"--")</f>
        <v>--</v>
      </c>
      <c r="V943" s="251" t="str">
        <f>IFERROR(__xludf.DUMMYFUNCTION("""COMPUTED_VALUE"""),"--")</f>
        <v>--</v>
      </c>
      <c r="W943" s="251" t="str">
        <f>IFERROR(__xludf.DUMMYFUNCTION("""COMPUTED_VALUE"""),"--")</f>
        <v>--</v>
      </c>
      <c r="X943" s="251" t="str">
        <f>IFERROR(__xludf.DUMMYFUNCTION("""COMPUTED_VALUE"""),"--")</f>
        <v>--</v>
      </c>
      <c r="Y943" s="251" t="str">
        <f>IFERROR(__xludf.DUMMYFUNCTION("""COMPUTED_VALUE"""),"--")</f>
        <v>--</v>
      </c>
      <c r="Z943" s="251" t="str">
        <f>IFERROR(__xludf.DUMMYFUNCTION("""COMPUTED_VALUE"""),"--")</f>
        <v>--</v>
      </c>
      <c r="AA943" s="251" t="str">
        <f>IFERROR(__xludf.DUMMYFUNCTION("""COMPUTED_VALUE"""),"--")</f>
        <v>--</v>
      </c>
      <c r="AB943" s="251" t="str">
        <f>IFERROR(__xludf.DUMMYFUNCTION("""COMPUTED_VALUE"""),"--")</f>
        <v>--</v>
      </c>
      <c r="AC943" s="251" t="str">
        <f>IFERROR(__xludf.DUMMYFUNCTION("""COMPUTED_VALUE"""),"--")</f>
        <v>--</v>
      </c>
      <c r="AD943" s="251">
        <f>IFERROR(__xludf.DUMMYFUNCTION("""COMPUTED_VALUE"""),3.0)</f>
        <v>3</v>
      </c>
      <c r="AE943" s="251" t="str">
        <f>IFERROR(__xludf.DUMMYFUNCTION("""COMPUTED_VALUE"""),"Terravore")</f>
        <v>Terravore</v>
      </c>
    </row>
    <row r="944">
      <c r="A944" s="251" t="str">
        <f>IFERROR(__xludf.DUMMYFUNCTION("""COMPUTED_VALUE"""),"Duraludon")</f>
        <v>Duraludon</v>
      </c>
      <c r="B944" s="251" t="str">
        <f>IFERROR(__xludf.DUMMYFUNCTION("""COMPUTED_VALUE"""),"Steel")</f>
        <v>Steel</v>
      </c>
      <c r="C944" s="251" t="str">
        <f>IFERROR(__xludf.DUMMYFUNCTION("""COMPUTED_VALUE"""),"Dragon")</f>
        <v>Dragon</v>
      </c>
      <c r="D944" s="251">
        <f>IFERROR(__xludf.DUMMYFUNCTION("""COMPUTED_VALUE"""),7.0)</f>
        <v>7</v>
      </c>
      <c r="E944" s="251">
        <f>IFERROR(__xludf.DUMMYFUNCTION("""COMPUTED_VALUE"""),10.0)</f>
        <v>10</v>
      </c>
      <c r="F944" s="251">
        <f>IFERROR(__xludf.DUMMYFUNCTION("""COMPUTED_VALUE"""),12.0)</f>
        <v>12</v>
      </c>
      <c r="G944" s="251">
        <f>IFERROR(__xludf.DUMMYFUNCTION("""COMPUTED_VALUE"""),12.0)</f>
        <v>12</v>
      </c>
      <c r="H944" s="251">
        <f>IFERROR(__xludf.DUMMYFUNCTION("""COMPUTED_VALUE"""),5.0)</f>
        <v>5</v>
      </c>
      <c r="I944" s="251">
        <f>IFERROR(__xludf.DUMMYFUNCTION("""COMPUTED_VALUE"""),9.0)</f>
        <v>9</v>
      </c>
      <c r="J944" s="251">
        <f>IFERROR(__xludf.DUMMYFUNCTION("""COMPUTED_VALUE"""),8.0)</f>
        <v>8</v>
      </c>
      <c r="K944" s="251" t="str">
        <f>IFERROR(__xludf.DUMMYFUNCTION("""COMPUTED_VALUE"""),"Medium")</f>
        <v>Medium</v>
      </c>
      <c r="L944" s="251">
        <f>IFERROR(__xludf.DUMMYFUNCTION("""COMPUTED_VALUE"""),2.0)</f>
        <v>2</v>
      </c>
      <c r="M944" s="251" t="str">
        <f>IFERROR(__xludf.DUMMYFUNCTION("""COMPUTED_VALUE"""),"Mountain")</f>
        <v>Mountain</v>
      </c>
      <c r="N944" s="251" t="str">
        <f>IFERROR(__xludf.DUMMYFUNCTION("""COMPUTED_VALUE"""),"--")</f>
        <v>--</v>
      </c>
      <c r="O944" s="251" t="str">
        <f>IFERROR(__xludf.DUMMYFUNCTION("""COMPUTED_VALUE"""),"--")</f>
        <v>--</v>
      </c>
      <c r="P944" s="251" t="str">
        <f>IFERROR(__xludf.DUMMYFUNCTION("""COMPUTED_VALUE"""),"--")</f>
        <v>--</v>
      </c>
      <c r="Q944" s="251" t="str">
        <f>IFERROR(__xludf.DUMMYFUNCTION("""COMPUTED_VALUE"""),"--")</f>
        <v>--</v>
      </c>
      <c r="R944" s="251" t="str">
        <f>IFERROR(__xludf.DUMMYFUNCTION("""COMPUTED_VALUE"""),"--")</f>
        <v>--</v>
      </c>
      <c r="S944" s="251" t="str">
        <f>IFERROR(__xludf.DUMMYFUNCTION("""COMPUTED_VALUE"""),"--")</f>
        <v>--</v>
      </c>
      <c r="T944" s="251" t="str">
        <f>IFERROR(__xludf.DUMMYFUNCTION("""COMPUTED_VALUE"""),"--")</f>
        <v>--</v>
      </c>
      <c r="U944" s="251" t="str">
        <f>IFERROR(__xludf.DUMMYFUNCTION("""COMPUTED_VALUE"""),"--")</f>
        <v>--</v>
      </c>
      <c r="V944" s="251" t="str">
        <f>IFERROR(__xludf.DUMMYFUNCTION("""COMPUTED_VALUE"""),"Magnetic")</f>
        <v>Magnetic</v>
      </c>
      <c r="W944" s="251" t="str">
        <f>IFERROR(__xludf.DUMMYFUNCTION("""COMPUTED_VALUE"""),"X-Ray Vision")</f>
        <v>X-Ray Vision</v>
      </c>
      <c r="X944" s="251" t="str">
        <f>IFERROR(__xludf.DUMMYFUNCTION("""COMPUTED_VALUE"""),"--")</f>
        <v>--</v>
      </c>
      <c r="Y944" s="251" t="str">
        <f>IFERROR(__xludf.DUMMYFUNCTION("""COMPUTED_VALUE"""),"--")</f>
        <v>--</v>
      </c>
      <c r="Z944" s="251" t="str">
        <f>IFERROR(__xludf.DUMMYFUNCTION("""COMPUTED_VALUE"""),"--")</f>
        <v>--</v>
      </c>
      <c r="AA944" s="251" t="str">
        <f>IFERROR(__xludf.DUMMYFUNCTION("""COMPUTED_VALUE"""),"--")</f>
        <v>--</v>
      </c>
      <c r="AB944" s="251" t="str">
        <f>IFERROR(__xludf.DUMMYFUNCTION("""COMPUTED_VALUE"""),"--")</f>
        <v>--</v>
      </c>
      <c r="AC944" s="251" t="str">
        <f>IFERROR(__xludf.DUMMYFUNCTION("""COMPUTED_VALUE"""),"--")</f>
        <v>--</v>
      </c>
      <c r="AD944" s="251">
        <f>IFERROR(__xludf.DUMMYFUNCTION("""COMPUTED_VALUE"""),2.0)</f>
        <v>2</v>
      </c>
      <c r="AE944" s="251" t="str">
        <f>IFERROR(__xludf.DUMMYFUNCTION("""COMPUTED_VALUE"""),"Terravore")</f>
        <v>Terravore</v>
      </c>
    </row>
    <row r="945">
      <c r="A945" s="251" t="str">
        <f>IFERROR(__xludf.DUMMYFUNCTION("""COMPUTED_VALUE"""),"Archaludon")</f>
        <v>Archaludon</v>
      </c>
      <c r="B945" s="251" t="str">
        <f>IFERROR(__xludf.DUMMYFUNCTION("""COMPUTED_VALUE"""),"Steel")</f>
        <v>Steel</v>
      </c>
      <c r="C945" s="251" t="str">
        <f>IFERROR(__xludf.DUMMYFUNCTION("""COMPUTED_VALUE"""),"Dragon")</f>
        <v>Dragon</v>
      </c>
      <c r="D945" s="251">
        <f>IFERROR(__xludf.DUMMYFUNCTION("""COMPUTED_VALUE"""),9.0)</f>
        <v>9</v>
      </c>
      <c r="E945" s="251">
        <f>IFERROR(__xludf.DUMMYFUNCTION("""COMPUTED_VALUE"""),11.0)</f>
        <v>11</v>
      </c>
      <c r="F945" s="251">
        <f>IFERROR(__xludf.DUMMYFUNCTION("""COMPUTED_VALUE"""),13.0)</f>
        <v>13</v>
      </c>
      <c r="G945" s="251">
        <f>IFERROR(__xludf.DUMMYFUNCTION("""COMPUTED_VALUE"""),13.0)</f>
        <v>13</v>
      </c>
      <c r="H945" s="251">
        <f>IFERROR(__xludf.DUMMYFUNCTION("""COMPUTED_VALUE"""),6.0)</f>
        <v>6</v>
      </c>
      <c r="I945" s="251">
        <f>IFERROR(__xludf.DUMMYFUNCTION("""COMPUTED_VALUE"""),8.0)</f>
        <v>8</v>
      </c>
      <c r="J945" s="251">
        <f>IFERROR(__xludf.DUMMYFUNCTION("""COMPUTED_VALUE"""),9.0)</f>
        <v>9</v>
      </c>
      <c r="K945" s="251" t="str">
        <f>IFERROR(__xludf.DUMMYFUNCTION("""COMPUTED_VALUE"""),"Medium")</f>
        <v>Medium</v>
      </c>
      <c r="L945" s="251">
        <f>IFERROR(__xludf.DUMMYFUNCTION("""COMPUTED_VALUE"""),3.0)</f>
        <v>3</v>
      </c>
      <c r="M945" s="251" t="str">
        <f>IFERROR(__xludf.DUMMYFUNCTION("""COMPUTED_VALUE"""),"Mountain")</f>
        <v>Mountain</v>
      </c>
      <c r="N945" s="251" t="str">
        <f>IFERROR(__xludf.DUMMYFUNCTION("""COMPUTED_VALUE"""),"--")</f>
        <v>--</v>
      </c>
      <c r="O945" s="251" t="str">
        <f>IFERROR(__xludf.DUMMYFUNCTION("""COMPUTED_VALUE"""),"--")</f>
        <v>--</v>
      </c>
      <c r="P945" s="251" t="str">
        <f>IFERROR(__xludf.DUMMYFUNCTION("""COMPUTED_VALUE"""),"--")</f>
        <v>--</v>
      </c>
      <c r="Q945" s="251" t="str">
        <f>IFERROR(__xludf.DUMMYFUNCTION("""COMPUTED_VALUE"""),"--")</f>
        <v>--</v>
      </c>
      <c r="R945" s="251" t="str">
        <f>IFERROR(__xludf.DUMMYFUNCTION("""COMPUTED_VALUE"""),"--")</f>
        <v>--</v>
      </c>
      <c r="S945" s="251" t="str">
        <f>IFERROR(__xludf.DUMMYFUNCTION("""COMPUTED_VALUE"""),"--")</f>
        <v>--</v>
      </c>
      <c r="T945" s="251" t="str">
        <f>IFERROR(__xludf.DUMMYFUNCTION("""COMPUTED_VALUE"""),"--")</f>
        <v>--</v>
      </c>
      <c r="U945" s="251" t="str">
        <f>IFERROR(__xludf.DUMMYFUNCTION("""COMPUTED_VALUE"""),"--")</f>
        <v>--</v>
      </c>
      <c r="V945" s="251" t="str">
        <f>IFERROR(__xludf.DUMMYFUNCTION("""COMPUTED_VALUE"""),"Magnetic")</f>
        <v>Magnetic</v>
      </c>
      <c r="W945" s="251" t="str">
        <f>IFERROR(__xludf.DUMMYFUNCTION("""COMPUTED_VALUE"""),"X-Ray Vision")</f>
        <v>X-Ray Vision</v>
      </c>
      <c r="X945" s="251" t="str">
        <f>IFERROR(__xludf.DUMMYFUNCTION("""COMPUTED_VALUE"""),"--")</f>
        <v>--</v>
      </c>
      <c r="Y945" s="251" t="str">
        <f>IFERROR(__xludf.DUMMYFUNCTION("""COMPUTED_VALUE"""),"--")</f>
        <v>--</v>
      </c>
      <c r="Z945" s="251" t="str">
        <f>IFERROR(__xludf.DUMMYFUNCTION("""COMPUTED_VALUE"""),"--")</f>
        <v>--</v>
      </c>
      <c r="AA945" s="251" t="str">
        <f>IFERROR(__xludf.DUMMYFUNCTION("""COMPUTED_VALUE"""),"--")</f>
        <v>--</v>
      </c>
      <c r="AB945" s="251" t="str">
        <f>IFERROR(__xludf.DUMMYFUNCTION("""COMPUTED_VALUE"""),"--")</f>
        <v>--</v>
      </c>
      <c r="AC945" s="251" t="str">
        <f>IFERROR(__xludf.DUMMYFUNCTION("""COMPUTED_VALUE"""),"--")</f>
        <v>--</v>
      </c>
      <c r="AD945" s="251">
        <f>IFERROR(__xludf.DUMMYFUNCTION("""COMPUTED_VALUE"""),3.0)</f>
        <v>3</v>
      </c>
      <c r="AE945" s="251" t="str">
        <f>IFERROR(__xludf.DUMMYFUNCTION("""COMPUTED_VALUE"""),"Terravore")</f>
        <v>Terravore</v>
      </c>
    </row>
    <row r="946">
      <c r="A946" s="251" t="str">
        <f>IFERROR(__xludf.DUMMYFUNCTION("""COMPUTED_VALUE"""),"Psyduck")</f>
        <v>Psyduck</v>
      </c>
      <c r="B946" s="251" t="str">
        <f>IFERROR(__xludf.DUMMYFUNCTION("""COMPUTED_VALUE"""),"Water")</f>
        <v>Water</v>
      </c>
      <c r="C946" s="251" t="str">
        <f>IFERROR(__xludf.DUMMYFUNCTION("""COMPUTED_VALUE"""),"None")</f>
        <v>None</v>
      </c>
      <c r="D946" s="251">
        <f>IFERROR(__xludf.DUMMYFUNCTION("""COMPUTED_VALUE"""),5.0)</f>
        <v>5</v>
      </c>
      <c r="E946" s="251">
        <f>IFERROR(__xludf.DUMMYFUNCTION("""COMPUTED_VALUE"""),5.0)</f>
        <v>5</v>
      </c>
      <c r="F946" s="251">
        <f>IFERROR(__xludf.DUMMYFUNCTION("""COMPUTED_VALUE"""),5.0)</f>
        <v>5</v>
      </c>
      <c r="G946" s="251">
        <f>IFERROR(__xludf.DUMMYFUNCTION("""COMPUTED_VALUE"""),7.0)</f>
        <v>7</v>
      </c>
      <c r="H946" s="251">
        <f>IFERROR(__xludf.DUMMYFUNCTION("""COMPUTED_VALUE"""),5.0)</f>
        <v>5</v>
      </c>
      <c r="I946" s="251">
        <f>IFERROR(__xludf.DUMMYFUNCTION("""COMPUTED_VALUE"""),6.0)</f>
        <v>6</v>
      </c>
      <c r="J946" s="251">
        <f>IFERROR(__xludf.DUMMYFUNCTION("""COMPUTED_VALUE"""),1.0)</f>
        <v>1</v>
      </c>
      <c r="K946" s="251" t="str">
        <f>IFERROR(__xludf.DUMMYFUNCTION("""COMPUTED_VALUE"""),"Small")</f>
        <v>Small</v>
      </c>
      <c r="L946" s="251">
        <f>IFERROR(__xludf.DUMMYFUNCTION("""COMPUTED_VALUE"""),2.0)</f>
        <v>2</v>
      </c>
      <c r="M946" s="251" t="str">
        <f>IFERROR(__xludf.DUMMYFUNCTION("""COMPUTED_VALUE"""),"Wetlands")</f>
        <v>Wetlands</v>
      </c>
      <c r="N946" s="251" t="str">
        <f>IFERROR(__xludf.DUMMYFUNCTION("""COMPUTED_VALUE"""),"Slow")</f>
        <v>Slow</v>
      </c>
      <c r="O946" s="251" t="str">
        <f>IFERROR(__xludf.DUMMYFUNCTION("""COMPUTED_VALUE"""),"Swimmer")</f>
        <v>Swimmer</v>
      </c>
      <c r="P946" s="251" t="str">
        <f>IFERROR(__xludf.DUMMYFUNCTION("""COMPUTED_VALUE"""),"--")</f>
        <v>--</v>
      </c>
      <c r="Q946" s="251" t="str">
        <f>IFERROR(__xludf.DUMMYFUNCTION("""COMPUTED_VALUE"""),"--")</f>
        <v>--</v>
      </c>
      <c r="R946" s="251" t="str">
        <f>IFERROR(__xludf.DUMMYFUNCTION("""COMPUTED_VALUE"""),"Underdog")</f>
        <v>Underdog</v>
      </c>
      <c r="S946" s="251" t="str">
        <f>IFERROR(__xludf.DUMMYFUNCTION("""COMPUTED_VALUE"""),"--")</f>
        <v>--</v>
      </c>
      <c r="T946" s="251" t="str">
        <f>IFERROR(__xludf.DUMMYFUNCTION("""COMPUTED_VALUE"""),"--")</f>
        <v>--</v>
      </c>
      <c r="U946" s="251" t="str">
        <f>IFERROR(__xludf.DUMMYFUNCTION("""COMPUTED_VALUE"""),"--")</f>
        <v>--</v>
      </c>
      <c r="V946" s="251" t="str">
        <f>IFERROR(__xludf.DUMMYFUNCTION("""COMPUTED_VALUE"""),"--")</f>
        <v>--</v>
      </c>
      <c r="W946" s="251" t="str">
        <f>IFERROR(__xludf.DUMMYFUNCTION("""COMPUTED_VALUE"""),"--")</f>
        <v>--</v>
      </c>
      <c r="X946" s="251" t="str">
        <f>IFERROR(__xludf.DUMMYFUNCTION("""COMPUTED_VALUE"""),"--")</f>
        <v>--</v>
      </c>
      <c r="Y946" s="251" t="str">
        <f>IFERROR(__xludf.DUMMYFUNCTION("""COMPUTED_VALUE"""),"--")</f>
        <v>--</v>
      </c>
      <c r="Z946" s="251" t="str">
        <f>IFERROR(__xludf.DUMMYFUNCTION("""COMPUTED_VALUE"""),"--")</f>
        <v>--</v>
      </c>
      <c r="AA946" s="251" t="str">
        <f>IFERROR(__xludf.DUMMYFUNCTION("""COMPUTED_VALUE"""),"--")</f>
        <v>--</v>
      </c>
      <c r="AB946" s="251" t="str">
        <f>IFERROR(__xludf.DUMMYFUNCTION("""COMPUTED_VALUE"""),"--")</f>
        <v>--</v>
      </c>
      <c r="AC946" s="251" t="str">
        <f>IFERROR(__xludf.DUMMYFUNCTION("""COMPUTED_VALUE"""),"--")</f>
        <v>--</v>
      </c>
      <c r="AD946" s="251">
        <f>IFERROR(__xludf.DUMMYFUNCTION("""COMPUTED_VALUE"""),2.0)</f>
        <v>2</v>
      </c>
      <c r="AE946" s="251" t="str">
        <f>IFERROR(__xludf.DUMMYFUNCTION("""COMPUTED_VALUE"""),"Herbivore")</f>
        <v>Herbivore</v>
      </c>
    </row>
    <row r="947">
      <c r="A947" s="251" t="str">
        <f>IFERROR(__xludf.DUMMYFUNCTION("""COMPUTED_VALUE"""),"Golduck")</f>
        <v>Golduck</v>
      </c>
      <c r="B947" s="251" t="str">
        <f>IFERROR(__xludf.DUMMYFUNCTION("""COMPUTED_VALUE"""),"Water")</f>
        <v>Water</v>
      </c>
      <c r="C947" s="251" t="str">
        <f>IFERROR(__xludf.DUMMYFUNCTION("""COMPUTED_VALUE"""),"None")</f>
        <v>None</v>
      </c>
      <c r="D947" s="251">
        <f>IFERROR(__xludf.DUMMYFUNCTION("""COMPUTED_VALUE"""),8.0)</f>
        <v>8</v>
      </c>
      <c r="E947" s="251">
        <f>IFERROR(__xludf.DUMMYFUNCTION("""COMPUTED_VALUE"""),8.0)</f>
        <v>8</v>
      </c>
      <c r="F947" s="251">
        <f>IFERROR(__xludf.DUMMYFUNCTION("""COMPUTED_VALUE"""),8.0)</f>
        <v>8</v>
      </c>
      <c r="G947" s="251">
        <f>IFERROR(__xludf.DUMMYFUNCTION("""COMPUTED_VALUE"""),10.0)</f>
        <v>10</v>
      </c>
      <c r="H947" s="251">
        <f>IFERROR(__xludf.DUMMYFUNCTION("""COMPUTED_VALUE"""),8.0)</f>
        <v>8</v>
      </c>
      <c r="I947" s="251">
        <f>IFERROR(__xludf.DUMMYFUNCTION("""COMPUTED_VALUE"""),9.0)</f>
        <v>9</v>
      </c>
      <c r="J947" s="251">
        <f>IFERROR(__xludf.DUMMYFUNCTION("""COMPUTED_VALUE"""),5.0)</f>
        <v>5</v>
      </c>
      <c r="K947" s="251" t="str">
        <f>IFERROR(__xludf.DUMMYFUNCTION("""COMPUTED_VALUE"""),"Medium")</f>
        <v>Medium</v>
      </c>
      <c r="L947" s="251">
        <f>IFERROR(__xludf.DUMMYFUNCTION("""COMPUTED_VALUE"""),4.0)</f>
        <v>4</v>
      </c>
      <c r="M947" s="251" t="str">
        <f>IFERROR(__xludf.DUMMYFUNCTION("""COMPUTED_VALUE"""),"Wetlands")</f>
        <v>Wetlands</v>
      </c>
      <c r="N947" s="251" t="str">
        <f>IFERROR(__xludf.DUMMYFUNCTION("""COMPUTED_VALUE"""),"Swimmer")</f>
        <v>Swimmer</v>
      </c>
      <c r="O947" s="251" t="str">
        <f>IFERROR(__xludf.DUMMYFUNCTION("""COMPUTED_VALUE"""),"--")</f>
        <v>--</v>
      </c>
      <c r="P947" s="251" t="str">
        <f>IFERROR(__xludf.DUMMYFUNCTION("""COMPUTED_VALUE"""),"--")</f>
        <v>--</v>
      </c>
      <c r="Q947" s="251" t="str">
        <f>IFERROR(__xludf.DUMMYFUNCTION("""COMPUTED_VALUE"""),"--")</f>
        <v>--</v>
      </c>
      <c r="R947" s="251" t="str">
        <f>IFERROR(__xludf.DUMMYFUNCTION("""COMPUTED_VALUE"""),"Telekinetic")</f>
        <v>Telekinetic</v>
      </c>
      <c r="S947" s="251" t="str">
        <f>IFERROR(__xludf.DUMMYFUNCTION("""COMPUTED_VALUE"""),"--")</f>
        <v>--</v>
      </c>
      <c r="T947" s="251" t="str">
        <f>IFERROR(__xludf.DUMMYFUNCTION("""COMPUTED_VALUE"""),"--")</f>
        <v>--</v>
      </c>
      <c r="U947" s="251" t="str">
        <f>IFERROR(__xludf.DUMMYFUNCTION("""COMPUTED_VALUE"""),"--")</f>
        <v>--</v>
      </c>
      <c r="V947" s="251" t="str">
        <f>IFERROR(__xludf.DUMMYFUNCTION("""COMPUTED_VALUE"""),"Telepath")</f>
        <v>Telepath</v>
      </c>
      <c r="W947" s="251" t="str">
        <f>IFERROR(__xludf.DUMMYFUNCTION("""COMPUTED_VALUE"""),"--")</f>
        <v>--</v>
      </c>
      <c r="X947" s="251" t="str">
        <f>IFERROR(__xludf.DUMMYFUNCTION("""COMPUTED_VALUE"""),"--")</f>
        <v>--</v>
      </c>
      <c r="Y947" s="251" t="str">
        <f>IFERROR(__xludf.DUMMYFUNCTION("""COMPUTED_VALUE"""),"--")</f>
        <v>--</v>
      </c>
      <c r="Z947" s="251" t="str">
        <f>IFERROR(__xludf.DUMMYFUNCTION("""COMPUTED_VALUE"""),"--")</f>
        <v>--</v>
      </c>
      <c r="AA947" s="251" t="str">
        <f>IFERROR(__xludf.DUMMYFUNCTION("""COMPUTED_VALUE"""),"--")</f>
        <v>--</v>
      </c>
      <c r="AB947" s="251" t="str">
        <f>IFERROR(__xludf.DUMMYFUNCTION("""COMPUTED_VALUE"""),"--")</f>
        <v>--</v>
      </c>
      <c r="AC947" s="251" t="str">
        <f>IFERROR(__xludf.DUMMYFUNCTION("""COMPUTED_VALUE"""),"--")</f>
        <v>--</v>
      </c>
      <c r="AD947" s="251">
        <f>IFERROR(__xludf.DUMMYFUNCTION("""COMPUTED_VALUE"""),3.0)</f>
        <v>3</v>
      </c>
      <c r="AE947" s="251" t="str">
        <f>IFERROR(__xludf.DUMMYFUNCTION("""COMPUTED_VALUE"""),"Omnivore")</f>
        <v>Omnivore</v>
      </c>
    </row>
    <row r="948">
      <c r="A948" s="251" t="str">
        <f>IFERROR(__xludf.DUMMYFUNCTION("""COMPUTED_VALUE"""),"Tentacool")</f>
        <v>Tentacool</v>
      </c>
      <c r="B948" s="251" t="str">
        <f>IFERROR(__xludf.DUMMYFUNCTION("""COMPUTED_VALUE"""),"Water")</f>
        <v>Water</v>
      </c>
      <c r="C948" s="251" t="str">
        <f>IFERROR(__xludf.DUMMYFUNCTION("""COMPUTED_VALUE"""),"Poison")</f>
        <v>Poison</v>
      </c>
      <c r="D948" s="251">
        <f>IFERROR(__xludf.DUMMYFUNCTION("""COMPUTED_VALUE"""),4.0)</f>
        <v>4</v>
      </c>
      <c r="E948" s="251">
        <f>IFERROR(__xludf.DUMMYFUNCTION("""COMPUTED_VALUE"""),4.0)</f>
        <v>4</v>
      </c>
      <c r="F948" s="251">
        <f>IFERROR(__xludf.DUMMYFUNCTION("""COMPUTED_VALUE"""),4.0)</f>
        <v>4</v>
      </c>
      <c r="G948" s="251">
        <f>IFERROR(__xludf.DUMMYFUNCTION("""COMPUTED_VALUE"""),5.0)</f>
        <v>5</v>
      </c>
      <c r="H948" s="251">
        <f>IFERROR(__xludf.DUMMYFUNCTION("""COMPUTED_VALUE"""),10.0)</f>
        <v>10</v>
      </c>
      <c r="I948" s="251">
        <f>IFERROR(__xludf.DUMMYFUNCTION("""COMPUTED_VALUE"""),7.0)</f>
        <v>7</v>
      </c>
      <c r="J948" s="251">
        <f>IFERROR(__xludf.DUMMYFUNCTION("""COMPUTED_VALUE"""),2.0)</f>
        <v>2</v>
      </c>
      <c r="K948" s="251" t="str">
        <f>IFERROR(__xludf.DUMMYFUNCTION("""COMPUTED_VALUE"""),"Small")</f>
        <v>Small</v>
      </c>
      <c r="L948" s="251">
        <f>IFERROR(__xludf.DUMMYFUNCTION("""COMPUTED_VALUE"""),3.0)</f>
        <v>3</v>
      </c>
      <c r="M948" s="251" t="str">
        <f>IFERROR(__xludf.DUMMYFUNCTION("""COMPUTED_VALUE"""),"Ocean")</f>
        <v>Ocean</v>
      </c>
      <c r="N948" s="251" t="str">
        <f>IFERROR(__xludf.DUMMYFUNCTION("""COMPUTED_VALUE"""),"Swimmer")</f>
        <v>Swimmer</v>
      </c>
      <c r="O948" s="251" t="str">
        <f>IFERROR(__xludf.DUMMYFUNCTION("""COMPUTED_VALUE"""),"--")</f>
        <v>--</v>
      </c>
      <c r="P948" s="251" t="str">
        <f>IFERROR(__xludf.DUMMYFUNCTION("""COMPUTED_VALUE"""),"--")</f>
        <v>--</v>
      </c>
      <c r="Q948" s="251" t="str">
        <f>IFERROR(__xludf.DUMMYFUNCTION("""COMPUTED_VALUE"""),"--")</f>
        <v>--</v>
      </c>
      <c r="R948" s="251" t="str">
        <f>IFERROR(__xludf.DUMMYFUNCTION("""COMPUTED_VALUE"""),"Underdog")</f>
        <v>Underdog</v>
      </c>
      <c r="S948" s="251" t="str">
        <f>IFERROR(__xludf.DUMMYFUNCTION("""COMPUTED_VALUE"""),"--")</f>
        <v>--</v>
      </c>
      <c r="T948" s="251" t="str">
        <f>IFERROR(__xludf.DUMMYFUNCTION("""COMPUTED_VALUE"""),"--")</f>
        <v>--</v>
      </c>
      <c r="U948" s="251" t="str">
        <f>IFERROR(__xludf.DUMMYFUNCTION("""COMPUTED_VALUE"""),"--")</f>
        <v>--</v>
      </c>
      <c r="V948" s="251" t="str">
        <f>IFERROR(__xludf.DUMMYFUNCTION("""COMPUTED_VALUE"""),"Gilled")</f>
        <v>Gilled</v>
      </c>
      <c r="W948" s="251" t="str">
        <f>IFERROR(__xludf.DUMMYFUNCTION("""COMPUTED_VALUE"""),"Glow")</f>
        <v>Glow</v>
      </c>
      <c r="X948" s="251" t="str">
        <f>IFERROR(__xludf.DUMMYFUNCTION("""COMPUTED_VALUE"""),"--")</f>
        <v>--</v>
      </c>
      <c r="Y948" s="251" t="str">
        <f>IFERROR(__xludf.DUMMYFUNCTION("""COMPUTED_VALUE"""),"--")</f>
        <v>--</v>
      </c>
      <c r="Z948" s="251" t="str">
        <f>IFERROR(__xludf.DUMMYFUNCTION("""COMPUTED_VALUE"""),"--")</f>
        <v>--</v>
      </c>
      <c r="AA948" s="251" t="str">
        <f>IFERROR(__xludf.DUMMYFUNCTION("""COMPUTED_VALUE"""),"--")</f>
        <v>--</v>
      </c>
      <c r="AB948" s="251" t="str">
        <f>IFERROR(__xludf.DUMMYFUNCTION("""COMPUTED_VALUE"""),"--")</f>
        <v>--</v>
      </c>
      <c r="AC948" s="251" t="str">
        <f>IFERROR(__xludf.DUMMYFUNCTION("""COMPUTED_VALUE"""),"--")</f>
        <v>--</v>
      </c>
      <c r="AD948" s="251">
        <f>IFERROR(__xludf.DUMMYFUNCTION("""COMPUTED_VALUE"""),2.0)</f>
        <v>2</v>
      </c>
      <c r="AE948" s="251" t="str">
        <f>IFERROR(__xludf.DUMMYFUNCTION("""COMPUTED_VALUE"""),"Carnivore")</f>
        <v>Carnivore</v>
      </c>
    </row>
    <row r="949">
      <c r="A949" s="251" t="str">
        <f>IFERROR(__xludf.DUMMYFUNCTION("""COMPUTED_VALUE"""),"Tentacruel")</f>
        <v>Tentacruel</v>
      </c>
      <c r="B949" s="251" t="str">
        <f>IFERROR(__xludf.DUMMYFUNCTION("""COMPUTED_VALUE"""),"Water")</f>
        <v>Water</v>
      </c>
      <c r="C949" s="251" t="str">
        <f>IFERROR(__xludf.DUMMYFUNCTION("""COMPUTED_VALUE"""),"Poison")</f>
        <v>Poison</v>
      </c>
      <c r="D949" s="251">
        <f>IFERROR(__xludf.DUMMYFUNCTION("""COMPUTED_VALUE"""),8.0)</f>
        <v>8</v>
      </c>
      <c r="E949" s="251">
        <f>IFERROR(__xludf.DUMMYFUNCTION("""COMPUTED_VALUE"""),7.0)</f>
        <v>7</v>
      </c>
      <c r="F949" s="251">
        <f>IFERROR(__xludf.DUMMYFUNCTION("""COMPUTED_VALUE"""),7.0)</f>
        <v>7</v>
      </c>
      <c r="G949" s="251">
        <f>IFERROR(__xludf.DUMMYFUNCTION("""COMPUTED_VALUE"""),8.0)</f>
        <v>8</v>
      </c>
      <c r="H949" s="251">
        <f>IFERROR(__xludf.DUMMYFUNCTION("""COMPUTED_VALUE"""),12.0)</f>
        <v>12</v>
      </c>
      <c r="I949" s="251">
        <f>IFERROR(__xludf.DUMMYFUNCTION("""COMPUTED_VALUE"""),10.0)</f>
        <v>10</v>
      </c>
      <c r="J949" s="251">
        <f>IFERROR(__xludf.DUMMYFUNCTION("""COMPUTED_VALUE"""),6.0)</f>
        <v>6</v>
      </c>
      <c r="K949" s="251" t="str">
        <f>IFERROR(__xludf.DUMMYFUNCTION("""COMPUTED_VALUE"""),"Medium")</f>
        <v>Medium</v>
      </c>
      <c r="L949" s="251">
        <f>IFERROR(__xludf.DUMMYFUNCTION("""COMPUTED_VALUE"""),4.0)</f>
        <v>4</v>
      </c>
      <c r="M949" s="251" t="str">
        <f>IFERROR(__xludf.DUMMYFUNCTION("""COMPUTED_VALUE"""),"Ocean")</f>
        <v>Ocean</v>
      </c>
      <c r="N949" s="251" t="str">
        <f>IFERROR(__xludf.DUMMYFUNCTION("""COMPUTED_VALUE"""),"Swimmer")</f>
        <v>Swimmer</v>
      </c>
      <c r="O949" s="251" t="str">
        <f>IFERROR(__xludf.DUMMYFUNCTION("""COMPUTED_VALUE"""),"--")</f>
        <v>--</v>
      </c>
      <c r="P949" s="251" t="str">
        <f>IFERROR(__xludf.DUMMYFUNCTION("""COMPUTED_VALUE"""),"--")</f>
        <v>--</v>
      </c>
      <c r="Q949" s="251" t="str">
        <f>IFERROR(__xludf.DUMMYFUNCTION("""COMPUTED_VALUE"""),"--")</f>
        <v>--</v>
      </c>
      <c r="R949" s="251" t="str">
        <f>IFERROR(__xludf.DUMMYFUNCTION("""COMPUTED_VALUE"""),"Reach")</f>
        <v>Reach</v>
      </c>
      <c r="S949" s="251" t="str">
        <f>IFERROR(__xludf.DUMMYFUNCTION("""COMPUTED_VALUE"""),"--")</f>
        <v>--</v>
      </c>
      <c r="T949" s="251" t="str">
        <f>IFERROR(__xludf.DUMMYFUNCTION("""COMPUTED_VALUE"""),"--")</f>
        <v>--</v>
      </c>
      <c r="U949" s="251" t="str">
        <f>IFERROR(__xludf.DUMMYFUNCTION("""COMPUTED_VALUE"""),"--")</f>
        <v>--</v>
      </c>
      <c r="V949" s="251" t="str">
        <f>IFERROR(__xludf.DUMMYFUNCTION("""COMPUTED_VALUE"""),"Gilled")</f>
        <v>Gilled</v>
      </c>
      <c r="W949" s="251" t="str">
        <f>IFERROR(__xludf.DUMMYFUNCTION("""COMPUTED_VALUE"""),"Glow")</f>
        <v>Glow</v>
      </c>
      <c r="X949" s="251" t="str">
        <f>IFERROR(__xludf.DUMMYFUNCTION("""COMPUTED_VALUE"""),"--")</f>
        <v>--</v>
      </c>
      <c r="Y949" s="251" t="str">
        <f>IFERROR(__xludf.DUMMYFUNCTION("""COMPUTED_VALUE"""),"--")</f>
        <v>--</v>
      </c>
      <c r="Z949" s="251" t="str">
        <f>IFERROR(__xludf.DUMMYFUNCTION("""COMPUTED_VALUE"""),"--")</f>
        <v>--</v>
      </c>
      <c r="AA949" s="251" t="str">
        <f>IFERROR(__xludf.DUMMYFUNCTION("""COMPUTED_VALUE"""),"--")</f>
        <v>--</v>
      </c>
      <c r="AB949" s="251" t="str">
        <f>IFERROR(__xludf.DUMMYFUNCTION("""COMPUTED_VALUE"""),"--")</f>
        <v>--</v>
      </c>
      <c r="AC949" s="251" t="str">
        <f>IFERROR(__xludf.DUMMYFUNCTION("""COMPUTED_VALUE"""),"--")</f>
        <v>--</v>
      </c>
      <c r="AD949" s="251">
        <f>IFERROR(__xludf.DUMMYFUNCTION("""COMPUTED_VALUE"""),3.0)</f>
        <v>3</v>
      </c>
      <c r="AE949" s="251" t="str">
        <f>IFERROR(__xludf.DUMMYFUNCTION("""COMPUTED_VALUE"""),"Carnivore")</f>
        <v>Carnivore</v>
      </c>
    </row>
    <row r="950">
      <c r="A950" s="251" t="str">
        <f>IFERROR(__xludf.DUMMYFUNCTION("""COMPUTED_VALUE"""),"Slowpoke")</f>
        <v>Slowpoke</v>
      </c>
      <c r="B950" s="251" t="str">
        <f>IFERROR(__xludf.DUMMYFUNCTION("""COMPUTED_VALUE"""),"Water")</f>
        <v>Water</v>
      </c>
      <c r="C950" s="251" t="str">
        <f>IFERROR(__xludf.DUMMYFUNCTION("""COMPUTED_VALUE"""),"Psychic")</f>
        <v>Psychic</v>
      </c>
      <c r="D950" s="251">
        <f>IFERROR(__xludf.DUMMYFUNCTION("""COMPUTED_VALUE"""),9.0)</f>
        <v>9</v>
      </c>
      <c r="E950" s="251">
        <f>IFERROR(__xludf.DUMMYFUNCTION("""COMPUTED_VALUE"""),7.0)</f>
        <v>7</v>
      </c>
      <c r="F950" s="251">
        <f>IFERROR(__xludf.DUMMYFUNCTION("""COMPUTED_VALUE"""),7.0)</f>
        <v>7</v>
      </c>
      <c r="G950" s="251">
        <f>IFERROR(__xludf.DUMMYFUNCTION("""COMPUTED_VALUE"""),4.0)</f>
        <v>4</v>
      </c>
      <c r="H950" s="251">
        <f>IFERROR(__xludf.DUMMYFUNCTION("""COMPUTED_VALUE"""),4.0)</f>
        <v>4</v>
      </c>
      <c r="I950" s="251">
        <f>IFERROR(__xludf.DUMMYFUNCTION("""COMPUTED_VALUE"""),2.0)</f>
        <v>2</v>
      </c>
      <c r="J950" s="251">
        <f>IFERROR(__xludf.DUMMYFUNCTION("""COMPUTED_VALUE"""),2.0)</f>
        <v>2</v>
      </c>
      <c r="K950" s="251" t="str">
        <f>IFERROR(__xludf.DUMMYFUNCTION("""COMPUTED_VALUE"""),"Medium")</f>
        <v>Medium</v>
      </c>
      <c r="L950" s="251">
        <f>IFERROR(__xludf.DUMMYFUNCTION("""COMPUTED_VALUE"""),3.0)</f>
        <v>3</v>
      </c>
      <c r="M950" s="251" t="str">
        <f>IFERROR(__xludf.DUMMYFUNCTION("""COMPUTED_VALUE"""),"Wetlands")</f>
        <v>Wetlands</v>
      </c>
      <c r="N950" s="251" t="str">
        <f>IFERROR(__xludf.DUMMYFUNCTION("""COMPUTED_VALUE"""),"Slow")</f>
        <v>Slow</v>
      </c>
      <c r="O950" s="251" t="str">
        <f>IFERROR(__xludf.DUMMYFUNCTION("""COMPUTED_VALUE"""),"--")</f>
        <v>--</v>
      </c>
      <c r="P950" s="251" t="str">
        <f>IFERROR(__xludf.DUMMYFUNCTION("""COMPUTED_VALUE"""),"--")</f>
        <v>--</v>
      </c>
      <c r="Q950" s="251" t="str">
        <f>IFERROR(__xludf.DUMMYFUNCTION("""COMPUTED_VALUE"""),"--")</f>
        <v>--</v>
      </c>
      <c r="R950" s="251" t="str">
        <f>IFERROR(__xludf.DUMMYFUNCTION("""COMPUTED_VALUE"""),"Underdog")</f>
        <v>Underdog</v>
      </c>
      <c r="S950" s="251" t="str">
        <f>IFERROR(__xludf.DUMMYFUNCTION("""COMPUTED_VALUE"""),"--")</f>
        <v>--</v>
      </c>
      <c r="T950" s="251" t="str">
        <f>IFERROR(__xludf.DUMMYFUNCTION("""COMPUTED_VALUE"""),"--")</f>
        <v>--</v>
      </c>
      <c r="U950" s="251" t="str">
        <f>IFERROR(__xludf.DUMMYFUNCTION("""COMPUTED_VALUE"""),"--")</f>
        <v>--</v>
      </c>
      <c r="V950" s="251" t="str">
        <f>IFERROR(__xludf.DUMMYFUNCTION("""COMPUTED_VALUE"""),"--")</f>
        <v>--</v>
      </c>
      <c r="W950" s="251" t="str">
        <f>IFERROR(__xludf.DUMMYFUNCTION("""COMPUTED_VALUE"""),"--")</f>
        <v>--</v>
      </c>
      <c r="X950" s="251" t="str">
        <f>IFERROR(__xludf.DUMMYFUNCTION("""COMPUTED_VALUE"""),"--")</f>
        <v>--</v>
      </c>
      <c r="Y950" s="251" t="str">
        <f>IFERROR(__xludf.DUMMYFUNCTION("""COMPUTED_VALUE"""),"--")</f>
        <v>--</v>
      </c>
      <c r="Z950" s="251" t="str">
        <f>IFERROR(__xludf.DUMMYFUNCTION("""COMPUTED_VALUE"""),"--")</f>
        <v>--</v>
      </c>
      <c r="AA950" s="251" t="str">
        <f>IFERROR(__xludf.DUMMYFUNCTION("""COMPUTED_VALUE"""),"--")</f>
        <v>--</v>
      </c>
      <c r="AB950" s="251" t="str">
        <f>IFERROR(__xludf.DUMMYFUNCTION("""COMPUTED_VALUE"""),"--")</f>
        <v>--</v>
      </c>
      <c r="AC950" s="251" t="str">
        <f>IFERROR(__xludf.DUMMYFUNCTION("""COMPUTED_VALUE"""),"--")</f>
        <v>--</v>
      </c>
      <c r="AD950" s="251">
        <f>IFERROR(__xludf.DUMMYFUNCTION("""COMPUTED_VALUE"""),2.0)</f>
        <v>2</v>
      </c>
      <c r="AE950" s="251" t="str">
        <f>IFERROR(__xludf.DUMMYFUNCTION("""COMPUTED_VALUE"""),"Herbivore")</f>
        <v>Herbivore</v>
      </c>
    </row>
    <row r="951">
      <c r="A951" s="251" t="str">
        <f>IFERROR(__xludf.DUMMYFUNCTION("""COMPUTED_VALUE"""),"Slowbro")</f>
        <v>Slowbro</v>
      </c>
      <c r="B951" s="251" t="str">
        <f>IFERROR(__xludf.DUMMYFUNCTION("""COMPUTED_VALUE"""),"Water")</f>
        <v>Water</v>
      </c>
      <c r="C951" s="251" t="str">
        <f>IFERROR(__xludf.DUMMYFUNCTION("""COMPUTED_VALUE"""),"Psychic")</f>
        <v>Psychic</v>
      </c>
      <c r="D951" s="251">
        <f>IFERROR(__xludf.DUMMYFUNCTION("""COMPUTED_VALUE"""),10.0)</f>
        <v>10</v>
      </c>
      <c r="E951" s="251">
        <f>IFERROR(__xludf.DUMMYFUNCTION("""COMPUTED_VALUE"""),8.0)</f>
        <v>8</v>
      </c>
      <c r="F951" s="251">
        <f>IFERROR(__xludf.DUMMYFUNCTION("""COMPUTED_VALUE"""),11.0)</f>
        <v>11</v>
      </c>
      <c r="G951" s="251">
        <f>IFERROR(__xludf.DUMMYFUNCTION("""COMPUTED_VALUE"""),11.0)</f>
        <v>11</v>
      </c>
      <c r="H951" s="251">
        <f>IFERROR(__xludf.DUMMYFUNCTION("""COMPUTED_VALUE"""),8.0)</f>
        <v>8</v>
      </c>
      <c r="I951" s="251">
        <f>IFERROR(__xludf.DUMMYFUNCTION("""COMPUTED_VALUE"""),3.0)</f>
        <v>3</v>
      </c>
      <c r="J951" s="251">
        <f>IFERROR(__xludf.DUMMYFUNCTION("""COMPUTED_VALUE"""),7.0)</f>
        <v>7</v>
      </c>
      <c r="K951" s="251" t="str">
        <f>IFERROR(__xludf.DUMMYFUNCTION("""COMPUTED_VALUE"""),"Medium")</f>
        <v>Medium</v>
      </c>
      <c r="L951" s="251">
        <f>IFERROR(__xludf.DUMMYFUNCTION("""COMPUTED_VALUE"""),4.0)</f>
        <v>4</v>
      </c>
      <c r="M951" s="251" t="str">
        <f>IFERROR(__xludf.DUMMYFUNCTION("""COMPUTED_VALUE"""),"Wetlands")</f>
        <v>Wetlands</v>
      </c>
      <c r="N951" s="251" t="str">
        <f>IFERROR(__xludf.DUMMYFUNCTION("""COMPUTED_VALUE"""),"Slow")</f>
        <v>Slow</v>
      </c>
      <c r="O951" s="251" t="str">
        <f>IFERROR(__xludf.DUMMYFUNCTION("""COMPUTED_VALUE"""),"--")</f>
        <v>--</v>
      </c>
      <c r="P951" s="251" t="str">
        <f>IFERROR(__xludf.DUMMYFUNCTION("""COMPUTED_VALUE"""),"--")</f>
        <v>--</v>
      </c>
      <c r="Q951" s="251" t="str">
        <f>IFERROR(__xludf.DUMMYFUNCTION("""COMPUTED_VALUE"""),"--")</f>
        <v>--</v>
      </c>
      <c r="R951" s="251" t="str">
        <f>IFERROR(__xludf.DUMMYFUNCTION("""COMPUTED_VALUE"""),"--")</f>
        <v>--</v>
      </c>
      <c r="S951" s="251" t="str">
        <f>IFERROR(__xludf.DUMMYFUNCTION("""COMPUTED_VALUE"""),"--")</f>
        <v>--</v>
      </c>
      <c r="T951" s="251" t="str">
        <f>IFERROR(__xludf.DUMMYFUNCTION("""COMPUTED_VALUE"""),"--")</f>
        <v>--</v>
      </c>
      <c r="U951" s="251" t="str">
        <f>IFERROR(__xludf.DUMMYFUNCTION("""COMPUTED_VALUE"""),"--")</f>
        <v>--</v>
      </c>
      <c r="V951" s="251" t="str">
        <f>IFERROR(__xludf.DUMMYFUNCTION("""COMPUTED_VALUE"""),"--")</f>
        <v>--</v>
      </c>
      <c r="W951" s="251" t="str">
        <f>IFERROR(__xludf.DUMMYFUNCTION("""COMPUTED_VALUE"""),"--")</f>
        <v>--</v>
      </c>
      <c r="X951" s="251" t="str">
        <f>IFERROR(__xludf.DUMMYFUNCTION("""COMPUTED_VALUE"""),"--")</f>
        <v>--</v>
      </c>
      <c r="Y951" s="251" t="str">
        <f>IFERROR(__xludf.DUMMYFUNCTION("""COMPUTED_VALUE"""),"--")</f>
        <v>--</v>
      </c>
      <c r="Z951" s="251" t="str">
        <f>IFERROR(__xludf.DUMMYFUNCTION("""COMPUTED_VALUE"""),"--")</f>
        <v>--</v>
      </c>
      <c r="AA951" s="251" t="str">
        <f>IFERROR(__xludf.DUMMYFUNCTION("""COMPUTED_VALUE"""),"--")</f>
        <v>--</v>
      </c>
      <c r="AB951" s="251" t="str">
        <f>IFERROR(__xludf.DUMMYFUNCTION("""COMPUTED_VALUE"""),"--")</f>
        <v>--</v>
      </c>
      <c r="AC951" s="251" t="str">
        <f>IFERROR(__xludf.DUMMYFUNCTION("""COMPUTED_VALUE"""),"--")</f>
        <v>--</v>
      </c>
      <c r="AD951" s="251">
        <f>IFERROR(__xludf.DUMMYFUNCTION("""COMPUTED_VALUE"""),3.0)</f>
        <v>3</v>
      </c>
      <c r="AE951" s="251" t="str">
        <f>IFERROR(__xludf.DUMMYFUNCTION("""COMPUTED_VALUE"""),"Herbivore")</f>
        <v>Herbivore</v>
      </c>
    </row>
    <row r="952">
      <c r="A952" s="251" t="str">
        <f>IFERROR(__xludf.DUMMYFUNCTION("""COMPUTED_VALUE"""),"Slowking")</f>
        <v>Slowking</v>
      </c>
      <c r="B952" s="251" t="str">
        <f>IFERROR(__xludf.DUMMYFUNCTION("""COMPUTED_VALUE"""),"Water")</f>
        <v>Water</v>
      </c>
      <c r="C952" s="251" t="str">
        <f>IFERROR(__xludf.DUMMYFUNCTION("""COMPUTED_VALUE"""),"Psychic")</f>
        <v>Psychic</v>
      </c>
      <c r="D952" s="251">
        <f>IFERROR(__xludf.DUMMYFUNCTION("""COMPUTED_VALUE"""),10.0)</f>
        <v>10</v>
      </c>
      <c r="E952" s="251">
        <f>IFERROR(__xludf.DUMMYFUNCTION("""COMPUTED_VALUE"""),8.0)</f>
        <v>8</v>
      </c>
      <c r="F952" s="251">
        <f>IFERROR(__xludf.DUMMYFUNCTION("""COMPUTED_VALUE"""),8.0)</f>
        <v>8</v>
      </c>
      <c r="G952" s="251">
        <f>IFERROR(__xludf.DUMMYFUNCTION("""COMPUTED_VALUE"""),11.0)</f>
        <v>11</v>
      </c>
      <c r="H952" s="251">
        <f>IFERROR(__xludf.DUMMYFUNCTION("""COMPUTED_VALUE"""),11.0)</f>
        <v>11</v>
      </c>
      <c r="I952" s="251">
        <f>IFERROR(__xludf.DUMMYFUNCTION("""COMPUTED_VALUE"""),3.0)</f>
        <v>3</v>
      </c>
      <c r="J952" s="251">
        <f>IFERROR(__xludf.DUMMYFUNCTION("""COMPUTED_VALUE"""),5.0)</f>
        <v>5</v>
      </c>
      <c r="K952" s="251" t="str">
        <f>IFERROR(__xludf.DUMMYFUNCTION("""COMPUTED_VALUE"""),"Medium")</f>
        <v>Medium</v>
      </c>
      <c r="L952" s="251">
        <f>IFERROR(__xludf.DUMMYFUNCTION("""COMPUTED_VALUE"""),4.0)</f>
        <v>4</v>
      </c>
      <c r="M952" s="251" t="str">
        <f>IFERROR(__xludf.DUMMYFUNCTION("""COMPUTED_VALUE"""),"Wetlands")</f>
        <v>Wetlands</v>
      </c>
      <c r="N952" s="251" t="str">
        <f>IFERROR(__xludf.DUMMYFUNCTION("""COMPUTED_VALUE"""),"Slow")</f>
        <v>Slow</v>
      </c>
      <c r="O952" s="251" t="str">
        <f>IFERROR(__xludf.DUMMYFUNCTION("""COMPUTED_VALUE"""),"--")</f>
        <v>--</v>
      </c>
      <c r="P952" s="251" t="str">
        <f>IFERROR(__xludf.DUMMYFUNCTION("""COMPUTED_VALUE"""),"--")</f>
        <v>--</v>
      </c>
      <c r="Q952" s="251" t="str">
        <f>IFERROR(__xludf.DUMMYFUNCTION("""COMPUTED_VALUE"""),"--")</f>
        <v>--</v>
      </c>
      <c r="R952" s="251" t="str">
        <f>IFERROR(__xludf.DUMMYFUNCTION("""COMPUTED_VALUE"""),"Telekinetic")</f>
        <v>Telekinetic</v>
      </c>
      <c r="S952" s="251" t="str">
        <f>IFERROR(__xludf.DUMMYFUNCTION("""COMPUTED_VALUE"""),"--")</f>
        <v>--</v>
      </c>
      <c r="T952" s="251" t="str">
        <f>IFERROR(__xludf.DUMMYFUNCTION("""COMPUTED_VALUE"""),"--")</f>
        <v>--</v>
      </c>
      <c r="U952" s="251" t="str">
        <f>IFERROR(__xludf.DUMMYFUNCTION("""COMPUTED_VALUE"""),"--")</f>
        <v>--</v>
      </c>
      <c r="V952" s="251" t="str">
        <f>IFERROR(__xludf.DUMMYFUNCTION("""COMPUTED_VALUE"""),"Pack Mon")</f>
        <v>Pack Mon</v>
      </c>
      <c r="W952" s="251" t="str">
        <f>IFERROR(__xludf.DUMMYFUNCTION("""COMPUTED_VALUE"""),"Telepath")</f>
        <v>Telepath</v>
      </c>
      <c r="X952" s="251" t="str">
        <f>IFERROR(__xludf.DUMMYFUNCTION("""COMPUTED_VALUE"""),"--")</f>
        <v>--</v>
      </c>
      <c r="Y952" s="251" t="str">
        <f>IFERROR(__xludf.DUMMYFUNCTION("""COMPUTED_VALUE"""),"--")</f>
        <v>--</v>
      </c>
      <c r="Z952" s="251" t="str">
        <f>IFERROR(__xludf.DUMMYFUNCTION("""COMPUTED_VALUE"""),"--")</f>
        <v>--</v>
      </c>
      <c r="AA952" s="251" t="str">
        <f>IFERROR(__xludf.DUMMYFUNCTION("""COMPUTED_VALUE"""),"--")</f>
        <v>--</v>
      </c>
      <c r="AB952" s="251" t="str">
        <f>IFERROR(__xludf.DUMMYFUNCTION("""COMPUTED_VALUE"""),"--")</f>
        <v>--</v>
      </c>
      <c r="AC952" s="251" t="str">
        <f>IFERROR(__xludf.DUMMYFUNCTION("""COMPUTED_VALUE"""),"--")</f>
        <v>--</v>
      </c>
      <c r="AD952" s="251">
        <f>IFERROR(__xludf.DUMMYFUNCTION("""COMPUTED_VALUE"""),3.0)</f>
        <v>3</v>
      </c>
      <c r="AE952" s="251" t="str">
        <f>IFERROR(__xludf.DUMMYFUNCTION("""COMPUTED_VALUE"""),"Herbivore")</f>
        <v>Herbivore</v>
      </c>
    </row>
    <row r="953">
      <c r="A953" s="251" t="str">
        <f>IFERROR(__xludf.DUMMYFUNCTION("""COMPUTED_VALUE"""),"Seel")</f>
        <v>Seel</v>
      </c>
      <c r="B953" s="251" t="str">
        <f>IFERROR(__xludf.DUMMYFUNCTION("""COMPUTED_VALUE"""),"Water")</f>
        <v>Water</v>
      </c>
      <c r="C953" s="251" t="str">
        <f>IFERROR(__xludf.DUMMYFUNCTION("""COMPUTED_VALUE"""),"None")</f>
        <v>None</v>
      </c>
      <c r="D953" s="251">
        <f>IFERROR(__xludf.DUMMYFUNCTION("""COMPUTED_VALUE"""),7.0)</f>
        <v>7</v>
      </c>
      <c r="E953" s="251">
        <f>IFERROR(__xludf.DUMMYFUNCTION("""COMPUTED_VALUE"""),5.0)</f>
        <v>5</v>
      </c>
      <c r="F953" s="251">
        <f>IFERROR(__xludf.DUMMYFUNCTION("""COMPUTED_VALUE"""),6.0)</f>
        <v>6</v>
      </c>
      <c r="G953" s="251">
        <f>IFERROR(__xludf.DUMMYFUNCTION("""COMPUTED_VALUE"""),5.0)</f>
        <v>5</v>
      </c>
      <c r="H953" s="251">
        <f>IFERROR(__xludf.DUMMYFUNCTION("""COMPUTED_VALUE"""),7.0)</f>
        <v>7</v>
      </c>
      <c r="I953" s="251">
        <f>IFERROR(__xludf.DUMMYFUNCTION("""COMPUTED_VALUE"""),5.0)</f>
        <v>5</v>
      </c>
      <c r="J953" s="251">
        <f>IFERROR(__xludf.DUMMYFUNCTION("""COMPUTED_VALUE"""),3.0)</f>
        <v>3</v>
      </c>
      <c r="K953" s="251" t="str">
        <f>IFERROR(__xludf.DUMMYFUNCTION("""COMPUTED_VALUE"""),"Medium")</f>
        <v>Medium</v>
      </c>
      <c r="L953" s="251">
        <f>IFERROR(__xludf.DUMMYFUNCTION("""COMPUTED_VALUE"""),4.0)</f>
        <v>4</v>
      </c>
      <c r="M953" s="251" t="str">
        <f>IFERROR(__xludf.DUMMYFUNCTION("""COMPUTED_VALUE"""),"Ocean, Tundra")</f>
        <v>Ocean, Tundra</v>
      </c>
      <c r="N953" s="251" t="str">
        <f>IFERROR(__xludf.DUMMYFUNCTION("""COMPUTED_VALUE"""),"Swimmer")</f>
        <v>Swimmer</v>
      </c>
      <c r="O953" s="251" t="str">
        <f>IFERROR(__xludf.DUMMYFUNCTION("""COMPUTED_VALUE"""),"--")</f>
        <v>--</v>
      </c>
      <c r="P953" s="251" t="str">
        <f>IFERROR(__xludf.DUMMYFUNCTION("""COMPUTED_VALUE"""),"--")</f>
        <v>--</v>
      </c>
      <c r="Q953" s="251" t="str">
        <f>IFERROR(__xludf.DUMMYFUNCTION("""COMPUTED_VALUE"""),"--")</f>
        <v>--</v>
      </c>
      <c r="R953" s="251" t="str">
        <f>IFERROR(__xludf.DUMMYFUNCTION("""COMPUTED_VALUE"""),"Underdog")</f>
        <v>Underdog</v>
      </c>
      <c r="S953" s="251" t="str">
        <f>IFERROR(__xludf.DUMMYFUNCTION("""COMPUTED_VALUE"""),"--")</f>
        <v>--</v>
      </c>
      <c r="T953" s="251" t="str">
        <f>IFERROR(__xludf.DUMMYFUNCTION("""COMPUTED_VALUE"""),"--")</f>
        <v>--</v>
      </c>
      <c r="U953" s="251" t="str">
        <f>IFERROR(__xludf.DUMMYFUNCTION("""COMPUTED_VALUE"""),"--")</f>
        <v>--</v>
      </c>
      <c r="V953" s="251" t="str">
        <f>IFERROR(__xludf.DUMMYFUNCTION("""COMPUTED_VALUE"""),"--")</f>
        <v>--</v>
      </c>
      <c r="W953" s="251" t="str">
        <f>IFERROR(__xludf.DUMMYFUNCTION("""COMPUTED_VALUE"""),"--")</f>
        <v>--</v>
      </c>
      <c r="X953" s="251" t="str">
        <f>IFERROR(__xludf.DUMMYFUNCTION("""COMPUTED_VALUE"""),"--")</f>
        <v>--</v>
      </c>
      <c r="Y953" s="251" t="str">
        <f>IFERROR(__xludf.DUMMYFUNCTION("""COMPUTED_VALUE"""),"--")</f>
        <v>--</v>
      </c>
      <c r="Z953" s="251" t="str">
        <f>IFERROR(__xludf.DUMMYFUNCTION("""COMPUTED_VALUE"""),"--")</f>
        <v>--</v>
      </c>
      <c r="AA953" s="251" t="str">
        <f>IFERROR(__xludf.DUMMYFUNCTION("""COMPUTED_VALUE"""),"--")</f>
        <v>--</v>
      </c>
      <c r="AB953" s="251" t="str">
        <f>IFERROR(__xludf.DUMMYFUNCTION("""COMPUTED_VALUE"""),"--")</f>
        <v>--</v>
      </c>
      <c r="AC953" s="251" t="str">
        <f>IFERROR(__xludf.DUMMYFUNCTION("""COMPUTED_VALUE"""),"--")</f>
        <v>--</v>
      </c>
      <c r="AD953" s="251">
        <f>IFERROR(__xludf.DUMMYFUNCTION("""COMPUTED_VALUE"""),2.0)</f>
        <v>2</v>
      </c>
      <c r="AE953" s="251" t="str">
        <f>IFERROR(__xludf.DUMMYFUNCTION("""COMPUTED_VALUE"""),"Carnivore")</f>
        <v>Carnivore</v>
      </c>
    </row>
    <row r="954">
      <c r="A954" s="251" t="str">
        <f>IFERROR(__xludf.DUMMYFUNCTION("""COMPUTED_VALUE"""),"Dewgong")</f>
        <v>Dewgong</v>
      </c>
      <c r="B954" s="251" t="str">
        <f>IFERROR(__xludf.DUMMYFUNCTION("""COMPUTED_VALUE"""),"Water")</f>
        <v>Water</v>
      </c>
      <c r="C954" s="251" t="str">
        <f>IFERROR(__xludf.DUMMYFUNCTION("""COMPUTED_VALUE"""),"Ice")</f>
        <v>Ice</v>
      </c>
      <c r="D954" s="251">
        <f>IFERROR(__xludf.DUMMYFUNCTION("""COMPUTED_VALUE"""),10.0)</f>
        <v>10</v>
      </c>
      <c r="E954" s="251">
        <f>IFERROR(__xludf.DUMMYFUNCTION("""COMPUTED_VALUE"""),7.0)</f>
        <v>7</v>
      </c>
      <c r="F954" s="251">
        <f>IFERROR(__xludf.DUMMYFUNCTION("""COMPUTED_VALUE"""),9.0)</f>
        <v>9</v>
      </c>
      <c r="G954" s="251">
        <f>IFERROR(__xludf.DUMMYFUNCTION("""COMPUTED_VALUE"""),7.0)</f>
        <v>7</v>
      </c>
      <c r="H954" s="251">
        <f>IFERROR(__xludf.DUMMYFUNCTION("""COMPUTED_VALUE"""),10.0)</f>
        <v>10</v>
      </c>
      <c r="I954" s="251">
        <f>IFERROR(__xludf.DUMMYFUNCTION("""COMPUTED_VALUE"""),8.0)</f>
        <v>8</v>
      </c>
      <c r="J954" s="251">
        <f>IFERROR(__xludf.DUMMYFUNCTION("""COMPUTED_VALUE"""),5.0)</f>
        <v>5</v>
      </c>
      <c r="K954" s="251" t="str">
        <f>IFERROR(__xludf.DUMMYFUNCTION("""COMPUTED_VALUE"""),"Medium")</f>
        <v>Medium</v>
      </c>
      <c r="L954" s="251">
        <f>IFERROR(__xludf.DUMMYFUNCTION("""COMPUTED_VALUE"""),5.0)</f>
        <v>5</v>
      </c>
      <c r="M954" s="251" t="str">
        <f>IFERROR(__xludf.DUMMYFUNCTION("""COMPUTED_VALUE"""),"Ocean, Tundra")</f>
        <v>Ocean, Tundra</v>
      </c>
      <c r="N954" s="251" t="str">
        <f>IFERROR(__xludf.DUMMYFUNCTION("""COMPUTED_VALUE"""),"Swimmer")</f>
        <v>Swimmer</v>
      </c>
      <c r="O954" s="251" t="str">
        <f>IFERROR(__xludf.DUMMYFUNCTION("""COMPUTED_VALUE"""),"--")</f>
        <v>--</v>
      </c>
      <c r="P954" s="251" t="str">
        <f>IFERROR(__xludf.DUMMYFUNCTION("""COMPUTED_VALUE"""),"--")</f>
        <v>--</v>
      </c>
      <c r="Q954" s="251" t="str">
        <f>IFERROR(__xludf.DUMMYFUNCTION("""COMPUTED_VALUE"""),"--")</f>
        <v>--</v>
      </c>
      <c r="R954" s="251" t="str">
        <f>IFERROR(__xludf.DUMMYFUNCTION("""COMPUTED_VALUE"""),"--")</f>
        <v>--</v>
      </c>
      <c r="S954" s="251" t="str">
        <f>IFERROR(__xludf.DUMMYFUNCTION("""COMPUTED_VALUE"""),"--")</f>
        <v>--</v>
      </c>
      <c r="T954" s="251" t="str">
        <f>IFERROR(__xludf.DUMMYFUNCTION("""COMPUTED_VALUE"""),"--")</f>
        <v>--</v>
      </c>
      <c r="U954" s="251" t="str">
        <f>IFERROR(__xludf.DUMMYFUNCTION("""COMPUTED_VALUE"""),"--")</f>
        <v>--</v>
      </c>
      <c r="V954" s="251" t="str">
        <f>IFERROR(__xludf.DUMMYFUNCTION("""COMPUTED_VALUE"""),"--")</f>
        <v>--</v>
      </c>
      <c r="W954" s="251" t="str">
        <f>IFERROR(__xludf.DUMMYFUNCTION("""COMPUTED_VALUE"""),"--")</f>
        <v>--</v>
      </c>
      <c r="X954" s="251" t="str">
        <f>IFERROR(__xludf.DUMMYFUNCTION("""COMPUTED_VALUE"""),"--")</f>
        <v>--</v>
      </c>
      <c r="Y954" s="251" t="str">
        <f>IFERROR(__xludf.DUMMYFUNCTION("""COMPUTED_VALUE"""),"--")</f>
        <v>--</v>
      </c>
      <c r="Z954" s="251" t="str">
        <f>IFERROR(__xludf.DUMMYFUNCTION("""COMPUTED_VALUE"""),"--")</f>
        <v>--</v>
      </c>
      <c r="AA954" s="251" t="str">
        <f>IFERROR(__xludf.DUMMYFUNCTION("""COMPUTED_VALUE"""),"--")</f>
        <v>--</v>
      </c>
      <c r="AB954" s="251" t="str">
        <f>IFERROR(__xludf.DUMMYFUNCTION("""COMPUTED_VALUE"""),"--")</f>
        <v>--</v>
      </c>
      <c r="AC954" s="251" t="str">
        <f>IFERROR(__xludf.DUMMYFUNCTION("""COMPUTED_VALUE"""),"--")</f>
        <v>--</v>
      </c>
      <c r="AD954" s="251">
        <f>IFERROR(__xludf.DUMMYFUNCTION("""COMPUTED_VALUE"""),3.0)</f>
        <v>3</v>
      </c>
      <c r="AE954" s="251" t="str">
        <f>IFERROR(__xludf.DUMMYFUNCTION("""COMPUTED_VALUE"""),"Carnivore")</f>
        <v>Carnivore</v>
      </c>
    </row>
    <row r="955">
      <c r="A955" s="251" t="str">
        <f>IFERROR(__xludf.DUMMYFUNCTION("""COMPUTED_VALUE"""),"Shellder")</f>
        <v>Shellder</v>
      </c>
      <c r="B955" s="251" t="str">
        <f>IFERROR(__xludf.DUMMYFUNCTION("""COMPUTED_VALUE"""),"Water")</f>
        <v>Water</v>
      </c>
      <c r="C955" s="251" t="str">
        <f>IFERROR(__xludf.DUMMYFUNCTION("""COMPUTED_VALUE"""),"None")</f>
        <v>None</v>
      </c>
      <c r="D955" s="251">
        <f>IFERROR(__xludf.DUMMYFUNCTION("""COMPUTED_VALUE"""),3.0)</f>
        <v>3</v>
      </c>
      <c r="E955" s="251">
        <f>IFERROR(__xludf.DUMMYFUNCTION("""COMPUTED_VALUE"""),7.0)</f>
        <v>7</v>
      </c>
      <c r="F955" s="251">
        <f>IFERROR(__xludf.DUMMYFUNCTION("""COMPUTED_VALUE"""),10.0)</f>
        <v>10</v>
      </c>
      <c r="G955" s="251">
        <f>IFERROR(__xludf.DUMMYFUNCTION("""COMPUTED_VALUE"""),5.0)</f>
        <v>5</v>
      </c>
      <c r="H955" s="251">
        <f>IFERROR(__xludf.DUMMYFUNCTION("""COMPUTED_VALUE"""),3.0)</f>
        <v>3</v>
      </c>
      <c r="I955" s="251">
        <f>IFERROR(__xludf.DUMMYFUNCTION("""COMPUTED_VALUE"""),4.0)</f>
        <v>4</v>
      </c>
      <c r="J955" s="251">
        <f>IFERROR(__xludf.DUMMYFUNCTION("""COMPUTED_VALUE"""),4.0)</f>
        <v>4</v>
      </c>
      <c r="K955" s="251" t="str">
        <f>IFERROR(__xludf.DUMMYFUNCTION("""COMPUTED_VALUE"""),"Small")</f>
        <v>Small</v>
      </c>
      <c r="L955" s="251">
        <f>IFERROR(__xludf.DUMMYFUNCTION("""COMPUTED_VALUE"""),1.0)</f>
        <v>1</v>
      </c>
      <c r="M955" s="251" t="str">
        <f>IFERROR(__xludf.DUMMYFUNCTION("""COMPUTED_VALUE"""),"Ocean")</f>
        <v>Ocean</v>
      </c>
      <c r="N955" s="251" t="str">
        <f>IFERROR(__xludf.DUMMYFUNCTION("""COMPUTED_VALUE"""),"Grounded")</f>
        <v>Grounded</v>
      </c>
      <c r="O955" s="251" t="str">
        <f>IFERROR(__xludf.DUMMYFUNCTION("""COMPUTED_VALUE"""),"Swimmer")</f>
        <v>Swimmer</v>
      </c>
      <c r="P955" s="251" t="str">
        <f>IFERROR(__xludf.DUMMYFUNCTION("""COMPUTED_VALUE"""),"--")</f>
        <v>--</v>
      </c>
      <c r="Q955" s="251" t="str">
        <f>IFERROR(__xludf.DUMMYFUNCTION("""COMPUTED_VALUE"""),"--")</f>
        <v>--</v>
      </c>
      <c r="R955" s="251" t="str">
        <f>IFERROR(__xludf.DUMMYFUNCTION("""COMPUTED_VALUE"""),"Underdog")</f>
        <v>Underdog</v>
      </c>
      <c r="S955" s="251" t="str">
        <f>IFERROR(__xludf.DUMMYFUNCTION("""COMPUTED_VALUE"""),"--")</f>
        <v>--</v>
      </c>
      <c r="T955" s="251" t="str">
        <f>IFERROR(__xludf.DUMMYFUNCTION("""COMPUTED_VALUE"""),"--")</f>
        <v>--</v>
      </c>
      <c r="U955" s="251" t="str">
        <f>IFERROR(__xludf.DUMMYFUNCTION("""COMPUTED_VALUE"""),"--")</f>
        <v>--</v>
      </c>
      <c r="V955" s="251" t="str">
        <f>IFERROR(__xludf.DUMMYFUNCTION("""COMPUTED_VALUE"""),"Gilled")</f>
        <v>Gilled</v>
      </c>
      <c r="W955" s="251" t="str">
        <f>IFERROR(__xludf.DUMMYFUNCTION("""COMPUTED_VALUE"""),"--")</f>
        <v>--</v>
      </c>
      <c r="X955" s="251" t="str">
        <f>IFERROR(__xludf.DUMMYFUNCTION("""COMPUTED_VALUE"""),"--")</f>
        <v>--</v>
      </c>
      <c r="Y955" s="251" t="str">
        <f>IFERROR(__xludf.DUMMYFUNCTION("""COMPUTED_VALUE"""),"--")</f>
        <v>--</v>
      </c>
      <c r="Z955" s="251" t="str">
        <f>IFERROR(__xludf.DUMMYFUNCTION("""COMPUTED_VALUE"""),"--")</f>
        <v>--</v>
      </c>
      <c r="AA955" s="251" t="str">
        <f>IFERROR(__xludf.DUMMYFUNCTION("""COMPUTED_VALUE"""),"--")</f>
        <v>--</v>
      </c>
      <c r="AB955" s="251" t="str">
        <f>IFERROR(__xludf.DUMMYFUNCTION("""COMPUTED_VALUE"""),"--")</f>
        <v>--</v>
      </c>
      <c r="AC955" s="251" t="str">
        <f>IFERROR(__xludf.DUMMYFUNCTION("""COMPUTED_VALUE"""),"--")</f>
        <v>--</v>
      </c>
      <c r="AD955" s="251">
        <f>IFERROR(__xludf.DUMMYFUNCTION("""COMPUTED_VALUE"""),2.0)</f>
        <v>2</v>
      </c>
      <c r="AE955" s="251" t="str">
        <f>IFERROR(__xludf.DUMMYFUNCTION("""COMPUTED_VALUE"""),"Herbivore")</f>
        <v>Herbivore</v>
      </c>
    </row>
    <row r="956">
      <c r="A956" s="251" t="str">
        <f>IFERROR(__xludf.DUMMYFUNCTION("""COMPUTED_VALUE"""),"Cloyster")</f>
        <v>Cloyster</v>
      </c>
      <c r="B956" s="251" t="str">
        <f>IFERROR(__xludf.DUMMYFUNCTION("""COMPUTED_VALUE"""),"Water")</f>
        <v>Water</v>
      </c>
      <c r="C956" s="251" t="str">
        <f>IFERROR(__xludf.DUMMYFUNCTION("""COMPUTED_VALUE"""),"Ice")</f>
        <v>Ice</v>
      </c>
      <c r="D956" s="251">
        <f>IFERROR(__xludf.DUMMYFUNCTION("""COMPUTED_VALUE"""),5.0)</f>
        <v>5</v>
      </c>
      <c r="E956" s="251">
        <f>IFERROR(__xludf.DUMMYFUNCTION("""COMPUTED_VALUE"""),10.0)</f>
        <v>10</v>
      </c>
      <c r="F956" s="251">
        <f>IFERROR(__xludf.DUMMYFUNCTION("""COMPUTED_VALUE"""),19.0)</f>
        <v>19</v>
      </c>
      <c r="G956" s="251">
        <f>IFERROR(__xludf.DUMMYFUNCTION("""COMPUTED_VALUE"""),9.0)</f>
        <v>9</v>
      </c>
      <c r="H956" s="251">
        <f>IFERROR(__xludf.DUMMYFUNCTION("""COMPUTED_VALUE"""),5.0)</f>
        <v>5</v>
      </c>
      <c r="I956" s="251">
        <f>IFERROR(__xludf.DUMMYFUNCTION("""COMPUTED_VALUE"""),7.0)</f>
        <v>7</v>
      </c>
      <c r="J956" s="251">
        <f>IFERROR(__xludf.DUMMYFUNCTION("""COMPUTED_VALUE"""),4.0)</f>
        <v>4</v>
      </c>
      <c r="K956" s="251" t="str">
        <f>IFERROR(__xludf.DUMMYFUNCTION("""COMPUTED_VALUE"""),"Medium")</f>
        <v>Medium</v>
      </c>
      <c r="L956" s="251">
        <f>IFERROR(__xludf.DUMMYFUNCTION("""COMPUTED_VALUE"""),5.0)</f>
        <v>5</v>
      </c>
      <c r="M956" s="251" t="str">
        <f>IFERROR(__xludf.DUMMYFUNCTION("""COMPUTED_VALUE"""),"Ocean")</f>
        <v>Ocean</v>
      </c>
      <c r="N956" s="251" t="str">
        <f>IFERROR(__xludf.DUMMYFUNCTION("""COMPUTED_VALUE"""),"Grounded")</f>
        <v>Grounded</v>
      </c>
      <c r="O956" s="251" t="str">
        <f>IFERROR(__xludf.DUMMYFUNCTION("""COMPUTED_VALUE"""),"Swimmer")</f>
        <v>Swimmer</v>
      </c>
      <c r="P956" s="251" t="str">
        <f>IFERROR(__xludf.DUMMYFUNCTION("""COMPUTED_VALUE"""),"--")</f>
        <v>--</v>
      </c>
      <c r="Q956" s="251" t="str">
        <f>IFERROR(__xludf.DUMMYFUNCTION("""COMPUTED_VALUE"""),"--")</f>
        <v>--</v>
      </c>
      <c r="R956" s="251" t="str">
        <f>IFERROR(__xludf.DUMMYFUNCTION("""COMPUTED_VALUE"""),"--")</f>
        <v>--</v>
      </c>
      <c r="S956" s="251" t="str">
        <f>IFERROR(__xludf.DUMMYFUNCTION("""COMPUTED_VALUE"""),"--")</f>
        <v>--</v>
      </c>
      <c r="T956" s="251" t="str">
        <f>IFERROR(__xludf.DUMMYFUNCTION("""COMPUTED_VALUE"""),"--")</f>
        <v>--</v>
      </c>
      <c r="U956" s="251" t="str">
        <f>IFERROR(__xludf.DUMMYFUNCTION("""COMPUTED_VALUE"""),"--")</f>
        <v>--</v>
      </c>
      <c r="V956" s="251" t="str">
        <f>IFERROR(__xludf.DUMMYFUNCTION("""COMPUTED_VALUE"""),"Gilled")</f>
        <v>Gilled</v>
      </c>
      <c r="W956" s="251" t="str">
        <f>IFERROR(__xludf.DUMMYFUNCTION("""COMPUTED_VALUE"""),"--")</f>
        <v>--</v>
      </c>
      <c r="X956" s="251" t="str">
        <f>IFERROR(__xludf.DUMMYFUNCTION("""COMPUTED_VALUE"""),"--")</f>
        <v>--</v>
      </c>
      <c r="Y956" s="251" t="str">
        <f>IFERROR(__xludf.DUMMYFUNCTION("""COMPUTED_VALUE"""),"--")</f>
        <v>--</v>
      </c>
      <c r="Z956" s="251" t="str">
        <f>IFERROR(__xludf.DUMMYFUNCTION("""COMPUTED_VALUE"""),"--")</f>
        <v>--</v>
      </c>
      <c r="AA956" s="251" t="str">
        <f>IFERROR(__xludf.DUMMYFUNCTION("""COMPUTED_VALUE"""),"--")</f>
        <v>--</v>
      </c>
      <c r="AB956" s="251" t="str">
        <f>IFERROR(__xludf.DUMMYFUNCTION("""COMPUTED_VALUE"""),"--")</f>
        <v>--</v>
      </c>
      <c r="AC956" s="251" t="str">
        <f>IFERROR(__xludf.DUMMYFUNCTION("""COMPUTED_VALUE"""),"--")</f>
        <v>--</v>
      </c>
      <c r="AD956" s="251">
        <f>IFERROR(__xludf.DUMMYFUNCTION("""COMPUTED_VALUE"""),3.0)</f>
        <v>3</v>
      </c>
      <c r="AE956" s="251" t="str">
        <f>IFERROR(__xludf.DUMMYFUNCTION("""COMPUTED_VALUE"""),"Herbivore")</f>
        <v>Herbivore</v>
      </c>
    </row>
    <row r="957">
      <c r="A957" s="251" t="str">
        <f>IFERROR(__xludf.DUMMYFUNCTION("""COMPUTED_VALUE"""),"Krabby")</f>
        <v>Krabby</v>
      </c>
      <c r="B957" s="251" t="str">
        <f>IFERROR(__xludf.DUMMYFUNCTION("""COMPUTED_VALUE"""),"Water")</f>
        <v>Water</v>
      </c>
      <c r="C957" s="251" t="str">
        <f>IFERROR(__xludf.DUMMYFUNCTION("""COMPUTED_VALUE"""),"None")</f>
        <v>None</v>
      </c>
      <c r="D957" s="251">
        <f>IFERROR(__xludf.DUMMYFUNCTION("""COMPUTED_VALUE"""),3.0)</f>
        <v>3</v>
      </c>
      <c r="E957" s="251">
        <f>IFERROR(__xludf.DUMMYFUNCTION("""COMPUTED_VALUE"""),11.0)</f>
        <v>11</v>
      </c>
      <c r="F957" s="251">
        <f>IFERROR(__xludf.DUMMYFUNCTION("""COMPUTED_VALUE"""),9.0)</f>
        <v>9</v>
      </c>
      <c r="G957" s="251">
        <f>IFERROR(__xludf.DUMMYFUNCTION("""COMPUTED_VALUE"""),3.0)</f>
        <v>3</v>
      </c>
      <c r="H957" s="251">
        <f>IFERROR(__xludf.DUMMYFUNCTION("""COMPUTED_VALUE"""),3.0)</f>
        <v>3</v>
      </c>
      <c r="I957" s="251">
        <f>IFERROR(__xludf.DUMMYFUNCTION("""COMPUTED_VALUE"""),5.0)</f>
        <v>5</v>
      </c>
      <c r="J957" s="251">
        <f>IFERROR(__xludf.DUMMYFUNCTION("""COMPUTED_VALUE"""),3.0)</f>
        <v>3</v>
      </c>
      <c r="K957" s="251" t="str">
        <f>IFERROR(__xludf.DUMMYFUNCTION("""COMPUTED_VALUE"""),"Small")</f>
        <v>Small</v>
      </c>
      <c r="L957" s="251">
        <f>IFERROR(__xludf.DUMMYFUNCTION("""COMPUTED_VALUE"""),1.0)</f>
        <v>1</v>
      </c>
      <c r="M957" s="251" t="str">
        <f>IFERROR(__xludf.DUMMYFUNCTION("""COMPUTED_VALUE"""),"Ocean")</f>
        <v>Ocean</v>
      </c>
      <c r="N957" s="251" t="str">
        <f>IFERROR(__xludf.DUMMYFUNCTION("""COMPUTED_VALUE"""),"--")</f>
        <v>--</v>
      </c>
      <c r="O957" s="251" t="str">
        <f>IFERROR(__xludf.DUMMYFUNCTION("""COMPUTED_VALUE"""),"--")</f>
        <v>--</v>
      </c>
      <c r="P957" s="251" t="str">
        <f>IFERROR(__xludf.DUMMYFUNCTION("""COMPUTED_VALUE"""),"--")</f>
        <v>--</v>
      </c>
      <c r="Q957" s="251" t="str">
        <f>IFERROR(__xludf.DUMMYFUNCTION("""COMPUTED_VALUE"""),"--")</f>
        <v>--</v>
      </c>
      <c r="R957" s="251" t="str">
        <f>IFERROR(__xludf.DUMMYFUNCTION("""COMPUTED_VALUE"""),"Underdog")</f>
        <v>Underdog</v>
      </c>
      <c r="S957" s="251" t="str">
        <f>IFERROR(__xludf.DUMMYFUNCTION("""COMPUTED_VALUE"""),"--")</f>
        <v>--</v>
      </c>
      <c r="T957" s="251" t="str">
        <f>IFERROR(__xludf.DUMMYFUNCTION("""COMPUTED_VALUE"""),"--")</f>
        <v>--</v>
      </c>
      <c r="U957" s="251" t="str">
        <f>IFERROR(__xludf.DUMMYFUNCTION("""COMPUTED_VALUE"""),"--")</f>
        <v>--</v>
      </c>
      <c r="V957" s="251" t="str">
        <f>IFERROR(__xludf.DUMMYFUNCTION("""COMPUTED_VALUE"""),"Gilled")</f>
        <v>Gilled</v>
      </c>
      <c r="W957" s="251" t="str">
        <f>IFERROR(__xludf.DUMMYFUNCTION("""COMPUTED_VALUE"""),"--")</f>
        <v>--</v>
      </c>
      <c r="X957" s="251" t="str">
        <f>IFERROR(__xludf.DUMMYFUNCTION("""COMPUTED_VALUE"""),"--")</f>
        <v>--</v>
      </c>
      <c r="Y957" s="251" t="str">
        <f>IFERROR(__xludf.DUMMYFUNCTION("""COMPUTED_VALUE"""),"--")</f>
        <v>--</v>
      </c>
      <c r="Z957" s="251" t="str">
        <f>IFERROR(__xludf.DUMMYFUNCTION("""COMPUTED_VALUE"""),"--")</f>
        <v>--</v>
      </c>
      <c r="AA957" s="251" t="str">
        <f>IFERROR(__xludf.DUMMYFUNCTION("""COMPUTED_VALUE"""),"--")</f>
        <v>--</v>
      </c>
      <c r="AB957" s="251" t="str">
        <f>IFERROR(__xludf.DUMMYFUNCTION("""COMPUTED_VALUE"""),"--")</f>
        <v>--</v>
      </c>
      <c r="AC957" s="251" t="str">
        <f>IFERROR(__xludf.DUMMYFUNCTION("""COMPUTED_VALUE"""),"--")</f>
        <v>--</v>
      </c>
      <c r="AD957" s="251">
        <f>IFERROR(__xludf.DUMMYFUNCTION("""COMPUTED_VALUE"""),2.0)</f>
        <v>2</v>
      </c>
      <c r="AE957" s="251" t="str">
        <f>IFERROR(__xludf.DUMMYFUNCTION("""COMPUTED_VALUE"""),"Carnivore")</f>
        <v>Carnivore</v>
      </c>
    </row>
    <row r="958">
      <c r="A958" s="251" t="str">
        <f>IFERROR(__xludf.DUMMYFUNCTION("""COMPUTED_VALUE"""),"Kingler")</f>
        <v>Kingler</v>
      </c>
      <c r="B958" s="251" t="str">
        <f>IFERROR(__xludf.DUMMYFUNCTION("""COMPUTED_VALUE"""),"Water")</f>
        <v>Water</v>
      </c>
      <c r="C958" s="251" t="str">
        <f>IFERROR(__xludf.DUMMYFUNCTION("""COMPUTED_VALUE"""),"None")</f>
        <v>None</v>
      </c>
      <c r="D958" s="251">
        <f>IFERROR(__xludf.DUMMYFUNCTION("""COMPUTED_VALUE"""),7.0)</f>
        <v>7</v>
      </c>
      <c r="E958" s="251">
        <f>IFERROR(__xludf.DUMMYFUNCTION("""COMPUTED_VALUE"""),14.0)</f>
        <v>14</v>
      </c>
      <c r="F958" s="251">
        <f>IFERROR(__xludf.DUMMYFUNCTION("""COMPUTED_VALUE"""),12.0)</f>
        <v>12</v>
      </c>
      <c r="G958" s="251">
        <f>IFERROR(__xludf.DUMMYFUNCTION("""COMPUTED_VALUE"""),5.0)</f>
        <v>5</v>
      </c>
      <c r="H958" s="251">
        <f>IFERROR(__xludf.DUMMYFUNCTION("""COMPUTED_VALUE"""),5.0)</f>
        <v>5</v>
      </c>
      <c r="I958" s="251">
        <f>IFERROR(__xludf.DUMMYFUNCTION("""COMPUTED_VALUE"""),8.0)</f>
        <v>8</v>
      </c>
      <c r="J958" s="251">
        <f>IFERROR(__xludf.DUMMYFUNCTION("""COMPUTED_VALUE"""),6.0)</f>
        <v>6</v>
      </c>
      <c r="K958" s="251" t="str">
        <f>IFERROR(__xludf.DUMMYFUNCTION("""COMPUTED_VALUE"""),"Medium")</f>
        <v>Medium</v>
      </c>
      <c r="L958" s="251">
        <f>IFERROR(__xludf.DUMMYFUNCTION("""COMPUTED_VALUE"""),4.0)</f>
        <v>4</v>
      </c>
      <c r="M958" s="251" t="str">
        <f>IFERROR(__xludf.DUMMYFUNCTION("""COMPUTED_VALUE"""),"Ocean")</f>
        <v>Ocean</v>
      </c>
      <c r="N958" s="251" t="str">
        <f>IFERROR(__xludf.DUMMYFUNCTION("""COMPUTED_VALUE"""),"--")</f>
        <v>--</v>
      </c>
      <c r="O958" s="251" t="str">
        <f>IFERROR(__xludf.DUMMYFUNCTION("""COMPUTED_VALUE"""),"--")</f>
        <v>--</v>
      </c>
      <c r="P958" s="251" t="str">
        <f>IFERROR(__xludf.DUMMYFUNCTION("""COMPUTED_VALUE"""),"--")</f>
        <v>--</v>
      </c>
      <c r="Q958" s="251" t="str">
        <f>IFERROR(__xludf.DUMMYFUNCTION("""COMPUTED_VALUE"""),"--")</f>
        <v>--</v>
      </c>
      <c r="R958" s="251" t="str">
        <f>IFERROR(__xludf.DUMMYFUNCTION("""COMPUTED_VALUE"""),"--")</f>
        <v>--</v>
      </c>
      <c r="S958" s="251" t="str">
        <f>IFERROR(__xludf.DUMMYFUNCTION("""COMPUTED_VALUE"""),"--")</f>
        <v>--</v>
      </c>
      <c r="T958" s="251" t="str">
        <f>IFERROR(__xludf.DUMMYFUNCTION("""COMPUTED_VALUE"""),"--")</f>
        <v>--</v>
      </c>
      <c r="U958" s="251" t="str">
        <f>IFERROR(__xludf.DUMMYFUNCTION("""COMPUTED_VALUE"""),"--")</f>
        <v>--</v>
      </c>
      <c r="V958" s="251" t="str">
        <f>IFERROR(__xludf.DUMMYFUNCTION("""COMPUTED_VALUE"""),"Gilled")</f>
        <v>Gilled</v>
      </c>
      <c r="W958" s="251" t="str">
        <f>IFERROR(__xludf.DUMMYFUNCTION("""COMPUTED_VALUE"""),"--")</f>
        <v>--</v>
      </c>
      <c r="X958" s="251" t="str">
        <f>IFERROR(__xludf.DUMMYFUNCTION("""COMPUTED_VALUE"""),"--")</f>
        <v>--</v>
      </c>
      <c r="Y958" s="251" t="str">
        <f>IFERROR(__xludf.DUMMYFUNCTION("""COMPUTED_VALUE"""),"--")</f>
        <v>--</v>
      </c>
      <c r="Z958" s="251" t="str">
        <f>IFERROR(__xludf.DUMMYFUNCTION("""COMPUTED_VALUE"""),"--")</f>
        <v>--</v>
      </c>
      <c r="AA958" s="251" t="str">
        <f>IFERROR(__xludf.DUMMYFUNCTION("""COMPUTED_VALUE"""),"--")</f>
        <v>--</v>
      </c>
      <c r="AB958" s="251" t="str">
        <f>IFERROR(__xludf.DUMMYFUNCTION("""COMPUTED_VALUE"""),"--")</f>
        <v>--</v>
      </c>
      <c r="AC958" s="251" t="str">
        <f>IFERROR(__xludf.DUMMYFUNCTION("""COMPUTED_VALUE"""),"--")</f>
        <v>--</v>
      </c>
      <c r="AD958" s="251">
        <f>IFERROR(__xludf.DUMMYFUNCTION("""COMPUTED_VALUE"""),3.0)</f>
        <v>3</v>
      </c>
      <c r="AE958" s="251" t="str">
        <f>IFERROR(__xludf.DUMMYFUNCTION("""COMPUTED_VALUE"""),"Carnivore")</f>
        <v>Carnivore</v>
      </c>
    </row>
    <row r="959">
      <c r="A959" s="251" t="str">
        <f>IFERROR(__xludf.DUMMYFUNCTION("""COMPUTED_VALUE"""),"Goldeen")</f>
        <v>Goldeen</v>
      </c>
      <c r="B959" s="251" t="str">
        <f>IFERROR(__xludf.DUMMYFUNCTION("""COMPUTED_VALUE"""),"Water")</f>
        <v>Water</v>
      </c>
      <c r="C959" s="251" t="str">
        <f>IFERROR(__xludf.DUMMYFUNCTION("""COMPUTED_VALUE"""),"None")</f>
        <v>None</v>
      </c>
      <c r="D959" s="251">
        <f>IFERROR(__xludf.DUMMYFUNCTION("""COMPUTED_VALUE"""),5.0)</f>
        <v>5</v>
      </c>
      <c r="E959" s="251">
        <f>IFERROR(__xludf.DUMMYFUNCTION("""COMPUTED_VALUE"""),7.0)</f>
        <v>7</v>
      </c>
      <c r="F959" s="251">
        <f>IFERROR(__xludf.DUMMYFUNCTION("""COMPUTED_VALUE"""),6.0)</f>
        <v>6</v>
      </c>
      <c r="G959" s="251">
        <f>IFERROR(__xludf.DUMMYFUNCTION("""COMPUTED_VALUE"""),4.0)</f>
        <v>4</v>
      </c>
      <c r="H959" s="251">
        <f>IFERROR(__xludf.DUMMYFUNCTION("""COMPUTED_VALUE"""),5.0)</f>
        <v>5</v>
      </c>
      <c r="I959" s="251">
        <f>IFERROR(__xludf.DUMMYFUNCTION("""COMPUTED_VALUE"""),6.0)</f>
        <v>6</v>
      </c>
      <c r="J959" s="251">
        <f>IFERROR(__xludf.DUMMYFUNCTION("""COMPUTED_VALUE"""),1.0)</f>
        <v>1</v>
      </c>
      <c r="K959" s="251" t="str">
        <f>IFERROR(__xludf.DUMMYFUNCTION("""COMPUTED_VALUE"""),"Small")</f>
        <v>Small</v>
      </c>
      <c r="L959" s="251">
        <f>IFERROR(__xludf.DUMMYFUNCTION("""COMPUTED_VALUE"""),2.0)</f>
        <v>2</v>
      </c>
      <c r="M959" s="251" t="str">
        <f>IFERROR(__xludf.DUMMYFUNCTION("""COMPUTED_VALUE"""),"Ocean")</f>
        <v>Ocean</v>
      </c>
      <c r="N959" s="251" t="str">
        <f>IFERROR(__xludf.DUMMYFUNCTION("""COMPUTED_VALUE"""),"Swimmer")</f>
        <v>Swimmer</v>
      </c>
      <c r="O959" s="251" t="str">
        <f>IFERROR(__xludf.DUMMYFUNCTION("""COMPUTED_VALUE"""),"--")</f>
        <v>--</v>
      </c>
      <c r="P959" s="251" t="str">
        <f>IFERROR(__xludf.DUMMYFUNCTION("""COMPUTED_VALUE"""),"--")</f>
        <v>--</v>
      </c>
      <c r="Q959" s="251" t="str">
        <f>IFERROR(__xludf.DUMMYFUNCTION("""COMPUTED_VALUE"""),"--")</f>
        <v>--</v>
      </c>
      <c r="R959" s="251" t="str">
        <f>IFERROR(__xludf.DUMMYFUNCTION("""COMPUTED_VALUE"""),"Underdog")</f>
        <v>Underdog</v>
      </c>
      <c r="S959" s="251" t="str">
        <f>IFERROR(__xludf.DUMMYFUNCTION("""COMPUTED_VALUE"""),"--")</f>
        <v>--</v>
      </c>
      <c r="T959" s="251" t="str">
        <f>IFERROR(__xludf.DUMMYFUNCTION("""COMPUTED_VALUE"""),"--")</f>
        <v>--</v>
      </c>
      <c r="U959" s="251" t="str">
        <f>IFERROR(__xludf.DUMMYFUNCTION("""COMPUTED_VALUE"""),"--")</f>
        <v>--</v>
      </c>
      <c r="V959" s="251" t="str">
        <f>IFERROR(__xludf.DUMMYFUNCTION("""COMPUTED_VALUE"""),"Gilled")</f>
        <v>Gilled</v>
      </c>
      <c r="W959" s="251" t="str">
        <f>IFERROR(__xludf.DUMMYFUNCTION("""COMPUTED_VALUE"""),"--")</f>
        <v>--</v>
      </c>
      <c r="X959" s="251" t="str">
        <f>IFERROR(__xludf.DUMMYFUNCTION("""COMPUTED_VALUE"""),"--")</f>
        <v>--</v>
      </c>
      <c r="Y959" s="251" t="str">
        <f>IFERROR(__xludf.DUMMYFUNCTION("""COMPUTED_VALUE"""),"--")</f>
        <v>--</v>
      </c>
      <c r="Z959" s="251" t="str">
        <f>IFERROR(__xludf.DUMMYFUNCTION("""COMPUTED_VALUE"""),"--")</f>
        <v>--</v>
      </c>
      <c r="AA959" s="251" t="str">
        <f>IFERROR(__xludf.DUMMYFUNCTION("""COMPUTED_VALUE"""),"--")</f>
        <v>--</v>
      </c>
      <c r="AB959" s="251" t="str">
        <f>IFERROR(__xludf.DUMMYFUNCTION("""COMPUTED_VALUE"""),"--")</f>
        <v>--</v>
      </c>
      <c r="AC959" s="251" t="str">
        <f>IFERROR(__xludf.DUMMYFUNCTION("""COMPUTED_VALUE"""),"--")</f>
        <v>--</v>
      </c>
      <c r="AD959" s="251">
        <f>IFERROR(__xludf.DUMMYFUNCTION("""COMPUTED_VALUE"""),2.0)</f>
        <v>2</v>
      </c>
      <c r="AE959" s="251" t="str">
        <f>IFERROR(__xludf.DUMMYFUNCTION("""COMPUTED_VALUE"""),"Omnivore")</f>
        <v>Omnivore</v>
      </c>
    </row>
    <row r="960">
      <c r="A960" s="251" t="str">
        <f>IFERROR(__xludf.DUMMYFUNCTION("""COMPUTED_VALUE"""),"Seaking")</f>
        <v>Seaking</v>
      </c>
      <c r="B960" s="251" t="str">
        <f>IFERROR(__xludf.DUMMYFUNCTION("""COMPUTED_VALUE"""),"Water")</f>
        <v>Water</v>
      </c>
      <c r="C960" s="251" t="str">
        <f>IFERROR(__xludf.DUMMYFUNCTION("""COMPUTED_VALUE"""),"None")</f>
        <v>None</v>
      </c>
      <c r="D960" s="251">
        <f>IFERROR(__xludf.DUMMYFUNCTION("""COMPUTED_VALUE"""),9.0)</f>
        <v>9</v>
      </c>
      <c r="E960" s="251">
        <f>IFERROR(__xludf.DUMMYFUNCTION("""COMPUTED_VALUE"""),10.0)</f>
        <v>10</v>
      </c>
      <c r="F960" s="251">
        <f>IFERROR(__xludf.DUMMYFUNCTION("""COMPUTED_VALUE"""),8.0)</f>
        <v>8</v>
      </c>
      <c r="G960" s="251">
        <f>IFERROR(__xludf.DUMMYFUNCTION("""COMPUTED_VALUE"""),8.0)</f>
        <v>8</v>
      </c>
      <c r="H960" s="251">
        <f>IFERROR(__xludf.DUMMYFUNCTION("""COMPUTED_VALUE"""),8.0)</f>
        <v>8</v>
      </c>
      <c r="I960" s="251">
        <f>IFERROR(__xludf.DUMMYFUNCTION("""COMPUTED_VALUE"""),8.0)</f>
        <v>8</v>
      </c>
      <c r="J960" s="251">
        <f>IFERROR(__xludf.DUMMYFUNCTION("""COMPUTED_VALUE"""),3.0)</f>
        <v>3</v>
      </c>
      <c r="K960" s="251" t="str">
        <f>IFERROR(__xludf.DUMMYFUNCTION("""COMPUTED_VALUE"""),"Medium")</f>
        <v>Medium</v>
      </c>
      <c r="L960" s="251">
        <f>IFERROR(__xludf.DUMMYFUNCTION("""COMPUTED_VALUE"""),3.0)</f>
        <v>3</v>
      </c>
      <c r="M960" s="251" t="str">
        <f>IFERROR(__xludf.DUMMYFUNCTION("""COMPUTED_VALUE"""),"Ocean")</f>
        <v>Ocean</v>
      </c>
      <c r="N960" s="251" t="str">
        <f>IFERROR(__xludf.DUMMYFUNCTION("""COMPUTED_VALUE"""),"Swimmer")</f>
        <v>Swimmer</v>
      </c>
      <c r="O960" s="251" t="str">
        <f>IFERROR(__xludf.DUMMYFUNCTION("""COMPUTED_VALUE"""),"--")</f>
        <v>--</v>
      </c>
      <c r="P960" s="251" t="str">
        <f>IFERROR(__xludf.DUMMYFUNCTION("""COMPUTED_VALUE"""),"--")</f>
        <v>--</v>
      </c>
      <c r="Q960" s="251" t="str">
        <f>IFERROR(__xludf.DUMMYFUNCTION("""COMPUTED_VALUE"""),"--")</f>
        <v>--</v>
      </c>
      <c r="R960" s="251" t="str">
        <f>IFERROR(__xludf.DUMMYFUNCTION("""COMPUTED_VALUE"""),"--")</f>
        <v>--</v>
      </c>
      <c r="S960" s="251" t="str">
        <f>IFERROR(__xludf.DUMMYFUNCTION("""COMPUTED_VALUE"""),"--")</f>
        <v>--</v>
      </c>
      <c r="T960" s="251" t="str">
        <f>IFERROR(__xludf.DUMMYFUNCTION("""COMPUTED_VALUE"""),"--")</f>
        <v>--</v>
      </c>
      <c r="U960" s="251" t="str">
        <f>IFERROR(__xludf.DUMMYFUNCTION("""COMPUTED_VALUE"""),"--")</f>
        <v>--</v>
      </c>
      <c r="V960" s="251" t="str">
        <f>IFERROR(__xludf.DUMMYFUNCTION("""COMPUTED_VALUE"""),"Gilled")</f>
        <v>Gilled</v>
      </c>
      <c r="W960" s="251" t="str">
        <f>IFERROR(__xludf.DUMMYFUNCTION("""COMPUTED_VALUE"""),"--")</f>
        <v>--</v>
      </c>
      <c r="X960" s="251" t="str">
        <f>IFERROR(__xludf.DUMMYFUNCTION("""COMPUTED_VALUE"""),"--")</f>
        <v>--</v>
      </c>
      <c r="Y960" s="251" t="str">
        <f>IFERROR(__xludf.DUMMYFUNCTION("""COMPUTED_VALUE"""),"--")</f>
        <v>--</v>
      </c>
      <c r="Z960" s="251" t="str">
        <f>IFERROR(__xludf.DUMMYFUNCTION("""COMPUTED_VALUE"""),"--")</f>
        <v>--</v>
      </c>
      <c r="AA960" s="251" t="str">
        <f>IFERROR(__xludf.DUMMYFUNCTION("""COMPUTED_VALUE"""),"--")</f>
        <v>--</v>
      </c>
      <c r="AB960" s="251" t="str">
        <f>IFERROR(__xludf.DUMMYFUNCTION("""COMPUTED_VALUE"""),"--")</f>
        <v>--</v>
      </c>
      <c r="AC960" s="251" t="str">
        <f>IFERROR(__xludf.DUMMYFUNCTION("""COMPUTED_VALUE"""),"--")</f>
        <v>--</v>
      </c>
      <c r="AD960" s="251">
        <f>IFERROR(__xludf.DUMMYFUNCTION("""COMPUTED_VALUE"""),3.0)</f>
        <v>3</v>
      </c>
      <c r="AE960" s="251" t="str">
        <f>IFERROR(__xludf.DUMMYFUNCTION("""COMPUTED_VALUE"""),"Omnivore")</f>
        <v>Omnivore</v>
      </c>
    </row>
    <row r="961">
      <c r="A961" s="251" t="str">
        <f>IFERROR(__xludf.DUMMYFUNCTION("""COMPUTED_VALUE"""),"Staryu")</f>
        <v>Staryu</v>
      </c>
      <c r="B961" s="251" t="str">
        <f>IFERROR(__xludf.DUMMYFUNCTION("""COMPUTED_VALUE"""),"Water")</f>
        <v>Water</v>
      </c>
      <c r="C961" s="251" t="str">
        <f>IFERROR(__xludf.DUMMYFUNCTION("""COMPUTED_VALUE"""),"None")</f>
        <v>None</v>
      </c>
      <c r="D961" s="251">
        <f>IFERROR(__xludf.DUMMYFUNCTION("""COMPUTED_VALUE"""),3.0)</f>
        <v>3</v>
      </c>
      <c r="E961" s="251">
        <f>IFERROR(__xludf.DUMMYFUNCTION("""COMPUTED_VALUE"""),5.0)</f>
        <v>5</v>
      </c>
      <c r="F961" s="251">
        <f>IFERROR(__xludf.DUMMYFUNCTION("""COMPUTED_VALUE"""),6.0)</f>
        <v>6</v>
      </c>
      <c r="G961" s="251">
        <f>IFERROR(__xludf.DUMMYFUNCTION("""COMPUTED_VALUE"""),7.0)</f>
        <v>7</v>
      </c>
      <c r="H961" s="251">
        <f>IFERROR(__xludf.DUMMYFUNCTION("""COMPUTED_VALUE"""),6.0)</f>
        <v>6</v>
      </c>
      <c r="I961" s="251">
        <f>IFERROR(__xludf.DUMMYFUNCTION("""COMPUTED_VALUE"""),9.0)</f>
        <v>9</v>
      </c>
      <c r="J961" s="251">
        <f>IFERROR(__xludf.DUMMYFUNCTION("""COMPUTED_VALUE"""),2.0)</f>
        <v>2</v>
      </c>
      <c r="K961" s="251" t="str">
        <f>IFERROR(__xludf.DUMMYFUNCTION("""COMPUTED_VALUE"""),"Small")</f>
        <v>Small</v>
      </c>
      <c r="L961" s="251">
        <f>IFERROR(__xludf.DUMMYFUNCTION("""COMPUTED_VALUE"""),3.0)</f>
        <v>3</v>
      </c>
      <c r="M961" s="251" t="str">
        <f>IFERROR(__xludf.DUMMYFUNCTION("""COMPUTED_VALUE"""),"Ocean, Space")</f>
        <v>Ocean, Space</v>
      </c>
      <c r="N961" s="251" t="str">
        <f>IFERROR(__xludf.DUMMYFUNCTION("""COMPUTED_VALUE"""),"Flier")</f>
        <v>Flier</v>
      </c>
      <c r="O961" s="251" t="str">
        <f>IFERROR(__xludf.DUMMYFUNCTION("""COMPUTED_VALUE"""),"Swimmer")</f>
        <v>Swimmer</v>
      </c>
      <c r="P961" s="251" t="str">
        <f>IFERROR(__xludf.DUMMYFUNCTION("""COMPUTED_VALUE"""),"--")</f>
        <v>--</v>
      </c>
      <c r="Q961" s="251" t="str">
        <f>IFERROR(__xludf.DUMMYFUNCTION("""COMPUTED_VALUE"""),"--")</f>
        <v>--</v>
      </c>
      <c r="R961" s="251" t="str">
        <f>IFERROR(__xludf.DUMMYFUNCTION("""COMPUTED_VALUE"""),"Underdog")</f>
        <v>Underdog</v>
      </c>
      <c r="S961" s="251" t="str">
        <f>IFERROR(__xludf.DUMMYFUNCTION("""COMPUTED_VALUE"""),"--")</f>
        <v>--</v>
      </c>
      <c r="T961" s="251" t="str">
        <f>IFERROR(__xludf.DUMMYFUNCTION("""COMPUTED_VALUE"""),"--")</f>
        <v>--</v>
      </c>
      <c r="U961" s="251" t="str">
        <f>IFERROR(__xludf.DUMMYFUNCTION("""COMPUTED_VALUE"""),"--")</f>
        <v>--</v>
      </c>
      <c r="V961" s="251" t="str">
        <f>IFERROR(__xludf.DUMMYFUNCTION("""COMPUTED_VALUE"""),"Gilled")</f>
        <v>Gilled</v>
      </c>
      <c r="W961" s="251" t="str">
        <f>IFERROR(__xludf.DUMMYFUNCTION("""COMPUTED_VALUE"""),"Glow")</f>
        <v>Glow</v>
      </c>
      <c r="X961" s="251" t="str">
        <f>IFERROR(__xludf.DUMMYFUNCTION("""COMPUTED_VALUE"""),"--")</f>
        <v>--</v>
      </c>
      <c r="Y961" s="251" t="str">
        <f>IFERROR(__xludf.DUMMYFUNCTION("""COMPUTED_VALUE"""),"--")</f>
        <v>--</v>
      </c>
      <c r="Z961" s="251" t="str">
        <f>IFERROR(__xludf.DUMMYFUNCTION("""COMPUTED_VALUE"""),"--")</f>
        <v>--</v>
      </c>
      <c r="AA961" s="251" t="str">
        <f>IFERROR(__xludf.DUMMYFUNCTION("""COMPUTED_VALUE"""),"--")</f>
        <v>--</v>
      </c>
      <c r="AB961" s="251" t="str">
        <f>IFERROR(__xludf.DUMMYFUNCTION("""COMPUTED_VALUE"""),"--")</f>
        <v>--</v>
      </c>
      <c r="AC961" s="251" t="str">
        <f>IFERROR(__xludf.DUMMYFUNCTION("""COMPUTED_VALUE"""),"--")</f>
        <v>--</v>
      </c>
      <c r="AD961" s="251">
        <f>IFERROR(__xludf.DUMMYFUNCTION("""COMPUTED_VALUE"""),2.0)</f>
        <v>2</v>
      </c>
      <c r="AE961" s="251" t="str">
        <f>IFERROR(__xludf.DUMMYFUNCTION("""COMPUTED_VALUE"""),"Nullivore")</f>
        <v>Nullivore</v>
      </c>
    </row>
    <row r="962">
      <c r="A962" s="251" t="str">
        <f>IFERROR(__xludf.DUMMYFUNCTION("""COMPUTED_VALUE"""),"Starmie")</f>
        <v>Starmie</v>
      </c>
      <c r="B962" s="251" t="str">
        <f>IFERROR(__xludf.DUMMYFUNCTION("""COMPUTED_VALUE"""),"Water")</f>
        <v>Water</v>
      </c>
      <c r="C962" s="251" t="str">
        <f>IFERROR(__xludf.DUMMYFUNCTION("""COMPUTED_VALUE"""),"Psychic")</f>
        <v>Psychic</v>
      </c>
      <c r="D962" s="251">
        <f>IFERROR(__xludf.DUMMYFUNCTION("""COMPUTED_VALUE"""),6.0)</f>
        <v>6</v>
      </c>
      <c r="E962" s="251">
        <f>IFERROR(__xludf.DUMMYFUNCTION("""COMPUTED_VALUE"""),8.0)</f>
        <v>8</v>
      </c>
      <c r="F962" s="251">
        <f>IFERROR(__xludf.DUMMYFUNCTION("""COMPUTED_VALUE"""),9.0)</f>
        <v>9</v>
      </c>
      <c r="G962" s="251">
        <f>IFERROR(__xludf.DUMMYFUNCTION("""COMPUTED_VALUE"""),10.0)</f>
        <v>10</v>
      </c>
      <c r="H962" s="251">
        <f>IFERROR(__xludf.DUMMYFUNCTION("""COMPUTED_VALUE"""),9.0)</f>
        <v>9</v>
      </c>
      <c r="I962" s="251">
        <f>IFERROR(__xludf.DUMMYFUNCTION("""COMPUTED_VALUE"""),12.0)</f>
        <v>12</v>
      </c>
      <c r="J962" s="251">
        <f>IFERROR(__xludf.DUMMYFUNCTION("""COMPUTED_VALUE"""),3.0)</f>
        <v>3</v>
      </c>
      <c r="K962" s="251" t="str">
        <f>IFERROR(__xludf.DUMMYFUNCTION("""COMPUTED_VALUE"""),"Medium")</f>
        <v>Medium</v>
      </c>
      <c r="L962" s="251">
        <f>IFERROR(__xludf.DUMMYFUNCTION("""COMPUTED_VALUE"""),4.0)</f>
        <v>4</v>
      </c>
      <c r="M962" s="251" t="str">
        <f>IFERROR(__xludf.DUMMYFUNCTION("""COMPUTED_VALUE"""),"Ocean, Space")</f>
        <v>Ocean, Space</v>
      </c>
      <c r="N962" s="251" t="str">
        <f>IFERROR(__xludf.DUMMYFUNCTION("""COMPUTED_VALUE"""),"Flier")</f>
        <v>Flier</v>
      </c>
      <c r="O962" s="251" t="str">
        <f>IFERROR(__xludf.DUMMYFUNCTION("""COMPUTED_VALUE"""),"Swimmer")</f>
        <v>Swimmer</v>
      </c>
      <c r="P962" s="251" t="str">
        <f>IFERROR(__xludf.DUMMYFUNCTION("""COMPUTED_VALUE"""),"--")</f>
        <v>--</v>
      </c>
      <c r="Q962" s="251" t="str">
        <f>IFERROR(__xludf.DUMMYFUNCTION("""COMPUTED_VALUE"""),"--")</f>
        <v>--</v>
      </c>
      <c r="R962" s="251" t="str">
        <f>IFERROR(__xludf.DUMMYFUNCTION("""COMPUTED_VALUE"""),"Telekinetic")</f>
        <v>Telekinetic</v>
      </c>
      <c r="S962" s="251" t="str">
        <f>IFERROR(__xludf.DUMMYFUNCTION("""COMPUTED_VALUE"""),"--")</f>
        <v>--</v>
      </c>
      <c r="T962" s="251" t="str">
        <f>IFERROR(__xludf.DUMMYFUNCTION("""COMPUTED_VALUE"""),"--")</f>
        <v>--</v>
      </c>
      <c r="U962" s="251" t="str">
        <f>IFERROR(__xludf.DUMMYFUNCTION("""COMPUTED_VALUE"""),"--")</f>
        <v>--</v>
      </c>
      <c r="V962" s="251" t="str">
        <f>IFERROR(__xludf.DUMMYFUNCTION("""COMPUTED_VALUE"""),"Gilled")</f>
        <v>Gilled</v>
      </c>
      <c r="W962" s="251" t="str">
        <f>IFERROR(__xludf.DUMMYFUNCTION("""COMPUTED_VALUE"""),"Glow")</f>
        <v>Glow</v>
      </c>
      <c r="X962" s="251" t="str">
        <f>IFERROR(__xludf.DUMMYFUNCTION("""COMPUTED_VALUE"""),"--")</f>
        <v>--</v>
      </c>
      <c r="Y962" s="251" t="str">
        <f>IFERROR(__xludf.DUMMYFUNCTION("""COMPUTED_VALUE"""),"--")</f>
        <v>--</v>
      </c>
      <c r="Z962" s="251" t="str">
        <f>IFERROR(__xludf.DUMMYFUNCTION("""COMPUTED_VALUE"""),"--")</f>
        <v>--</v>
      </c>
      <c r="AA962" s="251" t="str">
        <f>IFERROR(__xludf.DUMMYFUNCTION("""COMPUTED_VALUE"""),"--")</f>
        <v>--</v>
      </c>
      <c r="AB962" s="251" t="str">
        <f>IFERROR(__xludf.DUMMYFUNCTION("""COMPUTED_VALUE"""),"--")</f>
        <v>--</v>
      </c>
      <c r="AC962" s="251" t="str">
        <f>IFERROR(__xludf.DUMMYFUNCTION("""COMPUTED_VALUE"""),"--")</f>
        <v>--</v>
      </c>
      <c r="AD962" s="251">
        <f>IFERROR(__xludf.DUMMYFUNCTION("""COMPUTED_VALUE"""),3.0)</f>
        <v>3</v>
      </c>
      <c r="AE962" s="251" t="str">
        <f>IFERROR(__xludf.DUMMYFUNCTION("""COMPUTED_VALUE"""),"Nullivore")</f>
        <v>Nullivore</v>
      </c>
    </row>
    <row r="963">
      <c r="A963" s="251" t="str">
        <f>IFERROR(__xludf.DUMMYFUNCTION("""COMPUTED_VALUE"""),"Magikarp")</f>
        <v>Magikarp</v>
      </c>
      <c r="B963" s="251" t="str">
        <f>IFERROR(__xludf.DUMMYFUNCTION("""COMPUTED_VALUE"""),"Water")</f>
        <v>Water</v>
      </c>
      <c r="C963" s="251" t="str">
        <f>IFERROR(__xludf.DUMMYFUNCTION("""COMPUTED_VALUE"""),"None")</f>
        <v>None</v>
      </c>
      <c r="D963" s="251">
        <f>IFERROR(__xludf.DUMMYFUNCTION("""COMPUTED_VALUE"""),3.0)</f>
        <v>3</v>
      </c>
      <c r="E963" s="251">
        <f>IFERROR(__xludf.DUMMYFUNCTION("""COMPUTED_VALUE"""),3.0)</f>
        <v>3</v>
      </c>
      <c r="F963" s="251">
        <f>IFERROR(__xludf.DUMMYFUNCTION("""COMPUTED_VALUE"""),7.0)</f>
        <v>7</v>
      </c>
      <c r="G963" s="251">
        <f>IFERROR(__xludf.DUMMYFUNCTION("""COMPUTED_VALUE"""),4.0)</f>
        <v>4</v>
      </c>
      <c r="H963" s="251">
        <f>IFERROR(__xludf.DUMMYFUNCTION("""COMPUTED_VALUE"""),4.0)</f>
        <v>4</v>
      </c>
      <c r="I963" s="251">
        <f>IFERROR(__xludf.DUMMYFUNCTION("""COMPUTED_VALUE"""),9.0)</f>
        <v>9</v>
      </c>
      <c r="J963" s="251">
        <f>IFERROR(__xludf.DUMMYFUNCTION("""COMPUTED_VALUE"""),1.0)</f>
        <v>1</v>
      </c>
      <c r="K963" s="251" t="str">
        <f>IFERROR(__xludf.DUMMYFUNCTION("""COMPUTED_VALUE"""),"Small")</f>
        <v>Small</v>
      </c>
      <c r="L963" s="251">
        <f>IFERROR(__xludf.DUMMYFUNCTION("""COMPUTED_VALUE"""),1.0)</f>
        <v>1</v>
      </c>
      <c r="M963" s="251" t="str">
        <f>IFERROR(__xludf.DUMMYFUNCTION("""COMPUTED_VALUE"""),"Ocean")</f>
        <v>Ocean</v>
      </c>
      <c r="N963" s="251" t="str">
        <f>IFERROR(__xludf.DUMMYFUNCTION("""COMPUTED_VALUE"""),"Jumper")</f>
        <v>Jumper</v>
      </c>
      <c r="O963" s="251" t="str">
        <f>IFERROR(__xludf.DUMMYFUNCTION("""COMPUTED_VALUE"""),"Slow")</f>
        <v>Slow</v>
      </c>
      <c r="P963" s="251" t="str">
        <f>IFERROR(__xludf.DUMMYFUNCTION("""COMPUTED_VALUE"""),"Swimmer")</f>
        <v>Swimmer</v>
      </c>
      <c r="Q963" s="251" t="str">
        <f>IFERROR(__xludf.DUMMYFUNCTION("""COMPUTED_VALUE"""),"--")</f>
        <v>--</v>
      </c>
      <c r="R963" s="251" t="str">
        <f>IFERROR(__xludf.DUMMYFUNCTION("""COMPUTED_VALUE"""),"Underdog")</f>
        <v>Underdog</v>
      </c>
      <c r="S963" s="251" t="str">
        <f>IFERROR(__xludf.DUMMYFUNCTION("""COMPUTED_VALUE"""),"--")</f>
        <v>--</v>
      </c>
      <c r="T963" s="251" t="str">
        <f>IFERROR(__xludf.DUMMYFUNCTION("""COMPUTED_VALUE"""),"--")</f>
        <v>--</v>
      </c>
      <c r="U963" s="251" t="str">
        <f>IFERROR(__xludf.DUMMYFUNCTION("""COMPUTED_VALUE"""),"--")</f>
        <v>--</v>
      </c>
      <c r="V963" s="251" t="str">
        <f>IFERROR(__xludf.DUMMYFUNCTION("""COMPUTED_VALUE"""),"Gilled")</f>
        <v>Gilled</v>
      </c>
      <c r="W963" s="251" t="str">
        <f>IFERROR(__xludf.DUMMYFUNCTION("""COMPUTED_VALUE"""),"--")</f>
        <v>--</v>
      </c>
      <c r="X963" s="251" t="str">
        <f>IFERROR(__xludf.DUMMYFUNCTION("""COMPUTED_VALUE"""),"--")</f>
        <v>--</v>
      </c>
      <c r="Y963" s="251" t="str">
        <f>IFERROR(__xludf.DUMMYFUNCTION("""COMPUTED_VALUE"""),"--")</f>
        <v>--</v>
      </c>
      <c r="Z963" s="251" t="str">
        <f>IFERROR(__xludf.DUMMYFUNCTION("""COMPUTED_VALUE"""),"--")</f>
        <v>--</v>
      </c>
      <c r="AA963" s="251" t="str">
        <f>IFERROR(__xludf.DUMMYFUNCTION("""COMPUTED_VALUE"""),"--")</f>
        <v>--</v>
      </c>
      <c r="AB963" s="251" t="str">
        <f>IFERROR(__xludf.DUMMYFUNCTION("""COMPUTED_VALUE"""),"--")</f>
        <v>--</v>
      </c>
      <c r="AC963" s="251" t="str">
        <f>IFERROR(__xludf.DUMMYFUNCTION("""COMPUTED_VALUE"""),"--")</f>
        <v>--</v>
      </c>
      <c r="AD963" s="251">
        <f>IFERROR(__xludf.DUMMYFUNCTION("""COMPUTED_VALUE"""),2.0)</f>
        <v>2</v>
      </c>
      <c r="AE963" s="251" t="str">
        <f>IFERROR(__xludf.DUMMYFUNCTION("""COMPUTED_VALUE"""),"Herbivore")</f>
        <v>Herbivore</v>
      </c>
    </row>
    <row r="964">
      <c r="A964" s="251" t="str">
        <f>IFERROR(__xludf.DUMMYFUNCTION("""COMPUTED_VALUE"""),"Gyarados")</f>
        <v>Gyarados</v>
      </c>
      <c r="B964" s="251" t="str">
        <f>IFERROR(__xludf.DUMMYFUNCTION("""COMPUTED_VALUE"""),"Water")</f>
        <v>Water</v>
      </c>
      <c r="C964" s="251" t="str">
        <f>IFERROR(__xludf.DUMMYFUNCTION("""COMPUTED_VALUE"""),"Flying")</f>
        <v>Flying</v>
      </c>
      <c r="D964" s="251">
        <f>IFERROR(__xludf.DUMMYFUNCTION("""COMPUTED_VALUE"""),10.0)</f>
        <v>10</v>
      </c>
      <c r="E964" s="251">
        <f>IFERROR(__xludf.DUMMYFUNCTION("""COMPUTED_VALUE"""),13.0)</f>
        <v>13</v>
      </c>
      <c r="F964" s="251">
        <f>IFERROR(__xludf.DUMMYFUNCTION("""COMPUTED_VALUE"""),8.0)</f>
        <v>8</v>
      </c>
      <c r="G964" s="251">
        <f>IFERROR(__xludf.DUMMYFUNCTION("""COMPUTED_VALUE"""),6.0)</f>
        <v>6</v>
      </c>
      <c r="H964" s="251">
        <f>IFERROR(__xludf.DUMMYFUNCTION("""COMPUTED_VALUE"""),10.0)</f>
        <v>10</v>
      </c>
      <c r="I964" s="251">
        <f>IFERROR(__xludf.DUMMYFUNCTION("""COMPUTED_VALUE"""),8.0)</f>
        <v>8</v>
      </c>
      <c r="J964" s="251">
        <f>IFERROR(__xludf.DUMMYFUNCTION("""COMPUTED_VALUE"""),13.0)</f>
        <v>13</v>
      </c>
      <c r="K964" s="251" t="str">
        <f>IFERROR(__xludf.DUMMYFUNCTION("""COMPUTED_VALUE"""),"Huge")</f>
        <v>Huge</v>
      </c>
      <c r="L964" s="251">
        <f>IFERROR(__xludf.DUMMYFUNCTION("""COMPUTED_VALUE"""),6.0)</f>
        <v>6</v>
      </c>
      <c r="M964" s="251" t="str">
        <f>IFERROR(__xludf.DUMMYFUNCTION("""COMPUTED_VALUE"""),"Ocean")</f>
        <v>Ocean</v>
      </c>
      <c r="N964" s="251" t="str">
        <f>IFERROR(__xludf.DUMMYFUNCTION("""COMPUTED_VALUE"""),"Jumper")</f>
        <v>Jumper</v>
      </c>
      <c r="O964" s="251" t="str">
        <f>IFERROR(__xludf.DUMMYFUNCTION("""COMPUTED_VALUE"""),"Swimmer")</f>
        <v>Swimmer</v>
      </c>
      <c r="P964" s="251" t="str">
        <f>IFERROR(__xludf.DUMMYFUNCTION("""COMPUTED_VALUE"""),"--")</f>
        <v>--</v>
      </c>
      <c r="Q964" s="251" t="str">
        <f>IFERROR(__xludf.DUMMYFUNCTION("""COMPUTED_VALUE"""),"--")</f>
        <v>--</v>
      </c>
      <c r="R964" s="251" t="str">
        <f>IFERROR(__xludf.DUMMYFUNCTION("""COMPUTED_VALUE"""),"Mountable")</f>
        <v>Mountable</v>
      </c>
      <c r="S964" s="251" t="str">
        <f>IFERROR(__xludf.DUMMYFUNCTION("""COMPUTED_VALUE"""),"Reach")</f>
        <v>Reach</v>
      </c>
      <c r="T964" s="251" t="str">
        <f>IFERROR(__xludf.DUMMYFUNCTION("""COMPUTED_VALUE"""),"--")</f>
        <v>--</v>
      </c>
      <c r="U964" s="251" t="str">
        <f>IFERROR(__xludf.DUMMYFUNCTION("""COMPUTED_VALUE"""),"--")</f>
        <v>--</v>
      </c>
      <c r="V964" s="251" t="str">
        <f>IFERROR(__xludf.DUMMYFUNCTION("""COMPUTED_VALUE"""),"Gilled")</f>
        <v>Gilled</v>
      </c>
      <c r="W964" s="251" t="str">
        <f>IFERROR(__xludf.DUMMYFUNCTION("""COMPUTED_VALUE"""),"--")</f>
        <v>--</v>
      </c>
      <c r="X964" s="251" t="str">
        <f>IFERROR(__xludf.DUMMYFUNCTION("""COMPUTED_VALUE"""),"--")</f>
        <v>--</v>
      </c>
      <c r="Y964" s="251" t="str">
        <f>IFERROR(__xludf.DUMMYFUNCTION("""COMPUTED_VALUE"""),"--")</f>
        <v>--</v>
      </c>
      <c r="Z964" s="251" t="str">
        <f>IFERROR(__xludf.DUMMYFUNCTION("""COMPUTED_VALUE"""),"--")</f>
        <v>--</v>
      </c>
      <c r="AA964" s="251" t="str">
        <f>IFERROR(__xludf.DUMMYFUNCTION("""COMPUTED_VALUE"""),"--")</f>
        <v>--</v>
      </c>
      <c r="AB964" s="251" t="str">
        <f>IFERROR(__xludf.DUMMYFUNCTION("""COMPUTED_VALUE"""),"--")</f>
        <v>--</v>
      </c>
      <c r="AC964" s="251" t="str">
        <f>IFERROR(__xludf.DUMMYFUNCTION("""COMPUTED_VALUE"""),"--")</f>
        <v>--</v>
      </c>
      <c r="AD964" s="251">
        <f>IFERROR(__xludf.DUMMYFUNCTION("""COMPUTED_VALUE"""),3.0)</f>
        <v>3</v>
      </c>
      <c r="AE964" s="251" t="str">
        <f>IFERROR(__xludf.DUMMYFUNCTION("""COMPUTED_VALUE"""),"Carnivore")</f>
        <v>Carnivore</v>
      </c>
    </row>
    <row r="965">
      <c r="A965" s="251" t="str">
        <f>IFERROR(__xludf.DUMMYFUNCTION("""COMPUTED_VALUE"""),"Chinchou")</f>
        <v>Chinchou</v>
      </c>
      <c r="B965" s="251" t="str">
        <f>IFERROR(__xludf.DUMMYFUNCTION("""COMPUTED_VALUE"""),"Water")</f>
        <v>Water</v>
      </c>
      <c r="C965" s="251" t="str">
        <f>IFERROR(__xludf.DUMMYFUNCTION("""COMPUTED_VALUE"""),"Electric")</f>
        <v>Electric</v>
      </c>
      <c r="D965" s="251">
        <f>IFERROR(__xludf.DUMMYFUNCTION("""COMPUTED_VALUE"""),8.0)</f>
        <v>8</v>
      </c>
      <c r="E965" s="251">
        <f>IFERROR(__xludf.DUMMYFUNCTION("""COMPUTED_VALUE"""),4.0)</f>
        <v>4</v>
      </c>
      <c r="F965" s="251">
        <f>IFERROR(__xludf.DUMMYFUNCTION("""COMPUTED_VALUE"""),4.0)</f>
        <v>4</v>
      </c>
      <c r="G965" s="251">
        <f>IFERROR(__xludf.DUMMYFUNCTION("""COMPUTED_VALUE"""),6.0)</f>
        <v>6</v>
      </c>
      <c r="H965" s="251">
        <f>IFERROR(__xludf.DUMMYFUNCTION("""COMPUTED_VALUE"""),6.0)</f>
        <v>6</v>
      </c>
      <c r="I965" s="251">
        <f>IFERROR(__xludf.DUMMYFUNCTION("""COMPUTED_VALUE"""),7.0)</f>
        <v>7</v>
      </c>
      <c r="J965" s="251">
        <f>IFERROR(__xludf.DUMMYFUNCTION("""COMPUTED_VALUE"""),1.0)</f>
        <v>1</v>
      </c>
      <c r="K965" s="251" t="str">
        <f>IFERROR(__xludf.DUMMYFUNCTION("""COMPUTED_VALUE"""),"Small")</f>
        <v>Small</v>
      </c>
      <c r="L965" s="251">
        <f>IFERROR(__xludf.DUMMYFUNCTION("""COMPUTED_VALUE"""),2.0)</f>
        <v>2</v>
      </c>
      <c r="M965" s="251" t="str">
        <f>IFERROR(__xludf.DUMMYFUNCTION("""COMPUTED_VALUE"""),"Ocean")</f>
        <v>Ocean</v>
      </c>
      <c r="N965" s="251" t="str">
        <f>IFERROR(__xludf.DUMMYFUNCTION("""COMPUTED_VALUE"""),"Swimmer")</f>
        <v>Swimmer</v>
      </c>
      <c r="O965" s="251" t="str">
        <f>IFERROR(__xludf.DUMMYFUNCTION("""COMPUTED_VALUE"""),"--")</f>
        <v>--</v>
      </c>
      <c r="P965" s="251" t="str">
        <f>IFERROR(__xludf.DUMMYFUNCTION("""COMPUTED_VALUE"""),"--")</f>
        <v>--</v>
      </c>
      <c r="Q965" s="251" t="str">
        <f>IFERROR(__xludf.DUMMYFUNCTION("""COMPUTED_VALUE"""),"--")</f>
        <v>--</v>
      </c>
      <c r="R965" s="251" t="str">
        <f>IFERROR(__xludf.DUMMYFUNCTION("""COMPUTED_VALUE"""),"Underdog")</f>
        <v>Underdog</v>
      </c>
      <c r="S965" s="251" t="str">
        <f>IFERROR(__xludf.DUMMYFUNCTION("""COMPUTED_VALUE"""),"--")</f>
        <v>--</v>
      </c>
      <c r="T965" s="251" t="str">
        <f>IFERROR(__xludf.DUMMYFUNCTION("""COMPUTED_VALUE"""),"--")</f>
        <v>--</v>
      </c>
      <c r="U965" s="251" t="str">
        <f>IFERROR(__xludf.DUMMYFUNCTION("""COMPUTED_VALUE"""),"--")</f>
        <v>--</v>
      </c>
      <c r="V965" s="251" t="str">
        <f>IFERROR(__xludf.DUMMYFUNCTION("""COMPUTED_VALUE"""),"Gilled")</f>
        <v>Gilled</v>
      </c>
      <c r="W965" s="251" t="str">
        <f>IFERROR(__xludf.DUMMYFUNCTION("""COMPUTED_VALUE"""),"Glow")</f>
        <v>Glow</v>
      </c>
      <c r="X965" s="251" t="str">
        <f>IFERROR(__xludf.DUMMYFUNCTION("""COMPUTED_VALUE"""),"--")</f>
        <v>--</v>
      </c>
      <c r="Y965" s="251" t="str">
        <f>IFERROR(__xludf.DUMMYFUNCTION("""COMPUTED_VALUE"""),"--")</f>
        <v>--</v>
      </c>
      <c r="Z965" s="251" t="str">
        <f>IFERROR(__xludf.DUMMYFUNCTION("""COMPUTED_VALUE"""),"--")</f>
        <v>--</v>
      </c>
      <c r="AA965" s="251" t="str">
        <f>IFERROR(__xludf.DUMMYFUNCTION("""COMPUTED_VALUE"""),"--")</f>
        <v>--</v>
      </c>
      <c r="AB965" s="251" t="str">
        <f>IFERROR(__xludf.DUMMYFUNCTION("""COMPUTED_VALUE"""),"--")</f>
        <v>--</v>
      </c>
      <c r="AC965" s="251" t="str">
        <f>IFERROR(__xludf.DUMMYFUNCTION("""COMPUTED_VALUE"""),"--")</f>
        <v>--</v>
      </c>
      <c r="AD965" s="251">
        <f>IFERROR(__xludf.DUMMYFUNCTION("""COMPUTED_VALUE"""),2.0)</f>
        <v>2</v>
      </c>
      <c r="AE965" s="251" t="str">
        <f>IFERROR(__xludf.DUMMYFUNCTION("""COMPUTED_VALUE"""),"Herbivore")</f>
        <v>Herbivore</v>
      </c>
    </row>
    <row r="966">
      <c r="A966" s="251" t="str">
        <f>IFERROR(__xludf.DUMMYFUNCTION("""COMPUTED_VALUE"""),"Lanturn")</f>
        <v>Lanturn</v>
      </c>
      <c r="B966" s="251" t="str">
        <f>IFERROR(__xludf.DUMMYFUNCTION("""COMPUTED_VALUE"""),"Water")</f>
        <v>Water</v>
      </c>
      <c r="C966" s="251" t="str">
        <f>IFERROR(__xludf.DUMMYFUNCTION("""COMPUTED_VALUE"""),"Electric")</f>
        <v>Electric</v>
      </c>
      <c r="D966" s="251">
        <f>IFERROR(__xludf.DUMMYFUNCTION("""COMPUTED_VALUE"""),14.0)</f>
        <v>14</v>
      </c>
      <c r="E966" s="251">
        <f>IFERROR(__xludf.DUMMYFUNCTION("""COMPUTED_VALUE"""),6.0)</f>
        <v>6</v>
      </c>
      <c r="F966" s="251">
        <f>IFERROR(__xludf.DUMMYFUNCTION("""COMPUTED_VALUE"""),6.0)</f>
        <v>6</v>
      </c>
      <c r="G966" s="251">
        <f>IFERROR(__xludf.DUMMYFUNCTION("""COMPUTED_VALUE"""),9.0)</f>
        <v>9</v>
      </c>
      <c r="H966" s="251">
        <f>IFERROR(__xludf.DUMMYFUNCTION("""COMPUTED_VALUE"""),9.0)</f>
        <v>9</v>
      </c>
      <c r="I966" s="251">
        <f>IFERROR(__xludf.DUMMYFUNCTION("""COMPUTED_VALUE"""),7.0)</f>
        <v>7</v>
      </c>
      <c r="J966" s="251">
        <f>IFERROR(__xludf.DUMMYFUNCTION("""COMPUTED_VALUE"""),2.0)</f>
        <v>2</v>
      </c>
      <c r="K966" s="251" t="str">
        <f>IFERROR(__xludf.DUMMYFUNCTION("""COMPUTED_VALUE"""),"Medium")</f>
        <v>Medium</v>
      </c>
      <c r="L966" s="251">
        <f>IFERROR(__xludf.DUMMYFUNCTION("""COMPUTED_VALUE"""),2.0)</f>
        <v>2</v>
      </c>
      <c r="M966" s="251" t="str">
        <f>IFERROR(__xludf.DUMMYFUNCTION("""COMPUTED_VALUE"""),"Ocean")</f>
        <v>Ocean</v>
      </c>
      <c r="N966" s="251" t="str">
        <f>IFERROR(__xludf.DUMMYFUNCTION("""COMPUTED_VALUE"""),"Swimmer")</f>
        <v>Swimmer</v>
      </c>
      <c r="O966" s="251" t="str">
        <f>IFERROR(__xludf.DUMMYFUNCTION("""COMPUTED_VALUE"""),"--")</f>
        <v>--</v>
      </c>
      <c r="P966" s="251" t="str">
        <f>IFERROR(__xludf.DUMMYFUNCTION("""COMPUTED_VALUE"""),"--")</f>
        <v>--</v>
      </c>
      <c r="Q966" s="251" t="str">
        <f>IFERROR(__xludf.DUMMYFUNCTION("""COMPUTED_VALUE"""),"--")</f>
        <v>--</v>
      </c>
      <c r="R966" s="251" t="str">
        <f>IFERROR(__xludf.DUMMYFUNCTION("""COMPUTED_VALUE"""),"--")</f>
        <v>--</v>
      </c>
      <c r="S966" s="251" t="str">
        <f>IFERROR(__xludf.DUMMYFUNCTION("""COMPUTED_VALUE"""),"--")</f>
        <v>--</v>
      </c>
      <c r="T966" s="251" t="str">
        <f>IFERROR(__xludf.DUMMYFUNCTION("""COMPUTED_VALUE"""),"--")</f>
        <v>--</v>
      </c>
      <c r="U966" s="251" t="str">
        <f>IFERROR(__xludf.DUMMYFUNCTION("""COMPUTED_VALUE"""),"--")</f>
        <v>--</v>
      </c>
      <c r="V966" s="251" t="str">
        <f>IFERROR(__xludf.DUMMYFUNCTION("""COMPUTED_VALUE"""),"Gilled")</f>
        <v>Gilled</v>
      </c>
      <c r="W966" s="251" t="str">
        <f>IFERROR(__xludf.DUMMYFUNCTION("""COMPUTED_VALUE"""),"Glow")</f>
        <v>Glow</v>
      </c>
      <c r="X966" s="251" t="str">
        <f>IFERROR(__xludf.DUMMYFUNCTION("""COMPUTED_VALUE"""),"--")</f>
        <v>--</v>
      </c>
      <c r="Y966" s="251" t="str">
        <f>IFERROR(__xludf.DUMMYFUNCTION("""COMPUTED_VALUE"""),"--")</f>
        <v>--</v>
      </c>
      <c r="Z966" s="251" t="str">
        <f>IFERROR(__xludf.DUMMYFUNCTION("""COMPUTED_VALUE"""),"--")</f>
        <v>--</v>
      </c>
      <c r="AA966" s="251" t="str">
        <f>IFERROR(__xludf.DUMMYFUNCTION("""COMPUTED_VALUE"""),"--")</f>
        <v>--</v>
      </c>
      <c r="AB966" s="251" t="str">
        <f>IFERROR(__xludf.DUMMYFUNCTION("""COMPUTED_VALUE"""),"--")</f>
        <v>--</v>
      </c>
      <c r="AC966" s="251" t="str">
        <f>IFERROR(__xludf.DUMMYFUNCTION("""COMPUTED_VALUE"""),"--")</f>
        <v>--</v>
      </c>
      <c r="AD966" s="251">
        <f>IFERROR(__xludf.DUMMYFUNCTION("""COMPUTED_VALUE"""),3.0)</f>
        <v>3</v>
      </c>
      <c r="AE966" s="251" t="str">
        <f>IFERROR(__xludf.DUMMYFUNCTION("""COMPUTED_VALUE"""),"Herbivore")</f>
        <v>Herbivore</v>
      </c>
    </row>
    <row r="967">
      <c r="A967" s="251" t="str">
        <f>IFERROR(__xludf.DUMMYFUNCTION("""COMPUTED_VALUE"""),"Wooper")</f>
        <v>Wooper</v>
      </c>
      <c r="B967" s="251" t="str">
        <f>IFERROR(__xludf.DUMMYFUNCTION("""COMPUTED_VALUE"""),"Water")</f>
        <v>Water</v>
      </c>
      <c r="C967" s="251" t="str">
        <f>IFERROR(__xludf.DUMMYFUNCTION("""COMPUTED_VALUE"""),"Ground")</f>
        <v>Ground</v>
      </c>
      <c r="D967" s="251">
        <f>IFERROR(__xludf.DUMMYFUNCTION("""COMPUTED_VALUE"""),7.0)</f>
        <v>7</v>
      </c>
      <c r="E967" s="251">
        <f>IFERROR(__xludf.DUMMYFUNCTION("""COMPUTED_VALUE"""),6.0)</f>
        <v>6</v>
      </c>
      <c r="F967" s="251">
        <f>IFERROR(__xludf.DUMMYFUNCTION("""COMPUTED_VALUE"""),6.0)</f>
        <v>6</v>
      </c>
      <c r="G967" s="251">
        <f>IFERROR(__xludf.DUMMYFUNCTION("""COMPUTED_VALUE"""),4.0)</f>
        <v>4</v>
      </c>
      <c r="H967" s="251">
        <f>IFERROR(__xludf.DUMMYFUNCTION("""COMPUTED_VALUE"""),4.0)</f>
        <v>4</v>
      </c>
      <c r="I967" s="251">
        <f>IFERROR(__xludf.DUMMYFUNCTION("""COMPUTED_VALUE"""),3.0)</f>
        <v>3</v>
      </c>
      <c r="J967" s="251">
        <f>IFERROR(__xludf.DUMMYFUNCTION("""COMPUTED_VALUE"""),1.0)</f>
        <v>1</v>
      </c>
      <c r="K967" s="251" t="str">
        <f>IFERROR(__xludf.DUMMYFUNCTION("""COMPUTED_VALUE"""),"Small")</f>
        <v>Small</v>
      </c>
      <c r="L967" s="251">
        <f>IFERROR(__xludf.DUMMYFUNCTION("""COMPUTED_VALUE"""),1.0)</f>
        <v>1</v>
      </c>
      <c r="M967" s="251" t="str">
        <f>IFERROR(__xludf.DUMMYFUNCTION("""COMPUTED_VALUE"""),"Wetlands")</f>
        <v>Wetlands</v>
      </c>
      <c r="N967" s="251" t="str">
        <f>IFERROR(__xludf.DUMMYFUNCTION("""COMPUTED_VALUE"""),"Swimmer")</f>
        <v>Swimmer</v>
      </c>
      <c r="O967" s="251" t="str">
        <f>IFERROR(__xludf.DUMMYFUNCTION("""COMPUTED_VALUE"""),"--")</f>
        <v>--</v>
      </c>
      <c r="P967" s="251" t="str">
        <f>IFERROR(__xludf.DUMMYFUNCTION("""COMPUTED_VALUE"""),"--")</f>
        <v>--</v>
      </c>
      <c r="Q967" s="251" t="str">
        <f>IFERROR(__xludf.DUMMYFUNCTION("""COMPUTED_VALUE"""),"--")</f>
        <v>--</v>
      </c>
      <c r="R967" s="251" t="str">
        <f>IFERROR(__xludf.DUMMYFUNCTION("""COMPUTED_VALUE"""),"Underdog")</f>
        <v>Underdog</v>
      </c>
      <c r="S967" s="251" t="str">
        <f>IFERROR(__xludf.DUMMYFUNCTION("""COMPUTED_VALUE"""),"--")</f>
        <v>--</v>
      </c>
      <c r="T967" s="251" t="str">
        <f>IFERROR(__xludf.DUMMYFUNCTION("""COMPUTED_VALUE"""),"--")</f>
        <v>--</v>
      </c>
      <c r="U967" s="251" t="str">
        <f>IFERROR(__xludf.DUMMYFUNCTION("""COMPUTED_VALUE"""),"--")</f>
        <v>--</v>
      </c>
      <c r="V967" s="251" t="str">
        <f>IFERROR(__xludf.DUMMYFUNCTION("""COMPUTED_VALUE"""),"Gilled")</f>
        <v>Gilled</v>
      </c>
      <c r="W967" s="251" t="str">
        <f>IFERROR(__xludf.DUMMYFUNCTION("""COMPUTED_VALUE"""),"--")</f>
        <v>--</v>
      </c>
      <c r="X967" s="251" t="str">
        <f>IFERROR(__xludf.DUMMYFUNCTION("""COMPUTED_VALUE"""),"--")</f>
        <v>--</v>
      </c>
      <c r="Y967" s="251" t="str">
        <f>IFERROR(__xludf.DUMMYFUNCTION("""COMPUTED_VALUE"""),"--")</f>
        <v>--</v>
      </c>
      <c r="Z967" s="251" t="str">
        <f>IFERROR(__xludf.DUMMYFUNCTION("""COMPUTED_VALUE"""),"--")</f>
        <v>--</v>
      </c>
      <c r="AA967" s="251" t="str">
        <f>IFERROR(__xludf.DUMMYFUNCTION("""COMPUTED_VALUE"""),"--")</f>
        <v>--</v>
      </c>
      <c r="AB967" s="251" t="str">
        <f>IFERROR(__xludf.DUMMYFUNCTION("""COMPUTED_VALUE"""),"--")</f>
        <v>--</v>
      </c>
      <c r="AC967" s="251" t="str">
        <f>IFERROR(__xludf.DUMMYFUNCTION("""COMPUTED_VALUE"""),"--")</f>
        <v>--</v>
      </c>
      <c r="AD967" s="251">
        <f>IFERROR(__xludf.DUMMYFUNCTION("""COMPUTED_VALUE"""),2.0)</f>
        <v>2</v>
      </c>
      <c r="AE967" s="251" t="str">
        <f>IFERROR(__xludf.DUMMYFUNCTION("""COMPUTED_VALUE"""),"Herbivore")</f>
        <v>Herbivore</v>
      </c>
    </row>
    <row r="968">
      <c r="A968" s="251" t="str">
        <f>IFERROR(__xludf.DUMMYFUNCTION("""COMPUTED_VALUE"""),"Quagsire")</f>
        <v>Quagsire</v>
      </c>
      <c r="B968" s="251" t="str">
        <f>IFERROR(__xludf.DUMMYFUNCTION("""COMPUTED_VALUE"""),"Water")</f>
        <v>Water</v>
      </c>
      <c r="C968" s="251" t="str">
        <f>IFERROR(__xludf.DUMMYFUNCTION("""COMPUTED_VALUE"""),"Ground")</f>
        <v>Ground</v>
      </c>
      <c r="D968" s="251">
        <f>IFERROR(__xludf.DUMMYFUNCTION("""COMPUTED_VALUE"""),11.0)</f>
        <v>11</v>
      </c>
      <c r="E968" s="251">
        <f>IFERROR(__xludf.DUMMYFUNCTION("""COMPUTED_VALUE"""),9.0)</f>
        <v>9</v>
      </c>
      <c r="F968" s="251">
        <f>IFERROR(__xludf.DUMMYFUNCTION("""COMPUTED_VALUE"""),9.0)</f>
        <v>9</v>
      </c>
      <c r="G968" s="251">
        <f>IFERROR(__xludf.DUMMYFUNCTION("""COMPUTED_VALUE"""),9.0)</f>
        <v>9</v>
      </c>
      <c r="H968" s="251">
        <f>IFERROR(__xludf.DUMMYFUNCTION("""COMPUTED_VALUE"""),9.0)</f>
        <v>9</v>
      </c>
      <c r="I968" s="251">
        <f>IFERROR(__xludf.DUMMYFUNCTION("""COMPUTED_VALUE"""),4.0)</f>
        <v>4</v>
      </c>
      <c r="J968" s="251">
        <f>IFERROR(__xludf.DUMMYFUNCTION("""COMPUTED_VALUE"""),3.0)</f>
        <v>3</v>
      </c>
      <c r="K968" s="251" t="str">
        <f>IFERROR(__xludf.DUMMYFUNCTION("""COMPUTED_VALUE"""),"Medium")</f>
        <v>Medium</v>
      </c>
      <c r="L968" s="251">
        <f>IFERROR(__xludf.DUMMYFUNCTION("""COMPUTED_VALUE"""),4.0)</f>
        <v>4</v>
      </c>
      <c r="M968" s="251" t="str">
        <f>IFERROR(__xludf.DUMMYFUNCTION("""COMPUTED_VALUE"""),"Wetlands")</f>
        <v>Wetlands</v>
      </c>
      <c r="N968" s="251" t="str">
        <f>IFERROR(__xludf.DUMMYFUNCTION("""COMPUTED_VALUE"""),"Swimmer")</f>
        <v>Swimmer</v>
      </c>
      <c r="O968" s="251" t="str">
        <f>IFERROR(__xludf.DUMMYFUNCTION("""COMPUTED_VALUE"""),"--")</f>
        <v>--</v>
      </c>
      <c r="P968" s="251" t="str">
        <f>IFERROR(__xludf.DUMMYFUNCTION("""COMPUTED_VALUE"""),"--")</f>
        <v>--</v>
      </c>
      <c r="Q968" s="251" t="str">
        <f>IFERROR(__xludf.DUMMYFUNCTION("""COMPUTED_VALUE"""),"--")</f>
        <v>--</v>
      </c>
      <c r="R968" s="251" t="str">
        <f>IFERROR(__xludf.DUMMYFUNCTION("""COMPUTED_VALUE"""),"--")</f>
        <v>--</v>
      </c>
      <c r="S968" s="251" t="str">
        <f>IFERROR(__xludf.DUMMYFUNCTION("""COMPUTED_VALUE"""),"--")</f>
        <v>--</v>
      </c>
      <c r="T968" s="251" t="str">
        <f>IFERROR(__xludf.DUMMYFUNCTION("""COMPUTED_VALUE"""),"--")</f>
        <v>--</v>
      </c>
      <c r="U968" s="251" t="str">
        <f>IFERROR(__xludf.DUMMYFUNCTION("""COMPUTED_VALUE"""),"--")</f>
        <v>--</v>
      </c>
      <c r="V968" s="251" t="str">
        <f>IFERROR(__xludf.DUMMYFUNCTION("""COMPUTED_VALUE"""),"Gilled")</f>
        <v>Gilled</v>
      </c>
      <c r="W968" s="251" t="str">
        <f>IFERROR(__xludf.DUMMYFUNCTION("""COMPUTED_VALUE"""),"--")</f>
        <v>--</v>
      </c>
      <c r="X968" s="251" t="str">
        <f>IFERROR(__xludf.DUMMYFUNCTION("""COMPUTED_VALUE"""),"--")</f>
        <v>--</v>
      </c>
      <c r="Y968" s="251" t="str">
        <f>IFERROR(__xludf.DUMMYFUNCTION("""COMPUTED_VALUE"""),"--")</f>
        <v>--</v>
      </c>
      <c r="Z968" s="251" t="str">
        <f>IFERROR(__xludf.DUMMYFUNCTION("""COMPUTED_VALUE"""),"--")</f>
        <v>--</v>
      </c>
      <c r="AA968" s="251" t="str">
        <f>IFERROR(__xludf.DUMMYFUNCTION("""COMPUTED_VALUE"""),"--")</f>
        <v>--</v>
      </c>
      <c r="AB968" s="251" t="str">
        <f>IFERROR(__xludf.DUMMYFUNCTION("""COMPUTED_VALUE"""),"--")</f>
        <v>--</v>
      </c>
      <c r="AC968" s="251" t="str">
        <f>IFERROR(__xludf.DUMMYFUNCTION("""COMPUTED_VALUE"""),"--")</f>
        <v>--</v>
      </c>
      <c r="AD968" s="251">
        <f>IFERROR(__xludf.DUMMYFUNCTION("""COMPUTED_VALUE"""),3.0)</f>
        <v>3</v>
      </c>
      <c r="AE968" s="251" t="str">
        <f>IFERROR(__xludf.DUMMYFUNCTION("""COMPUTED_VALUE"""),"Herbivore")</f>
        <v>Herbivore</v>
      </c>
    </row>
    <row r="969">
      <c r="A969" s="251" t="str">
        <f>IFERROR(__xludf.DUMMYFUNCTION("""COMPUTED_VALUE"""),"Remoraid")</f>
        <v>Remoraid</v>
      </c>
      <c r="B969" s="251" t="str">
        <f>IFERROR(__xludf.DUMMYFUNCTION("""COMPUTED_VALUE"""),"Water")</f>
        <v>Water</v>
      </c>
      <c r="C969" s="251" t="str">
        <f>IFERROR(__xludf.DUMMYFUNCTION("""COMPUTED_VALUE"""),"None")</f>
        <v>None</v>
      </c>
      <c r="D969" s="251">
        <f>IFERROR(__xludf.DUMMYFUNCTION("""COMPUTED_VALUE"""),4.0)</f>
        <v>4</v>
      </c>
      <c r="E969" s="251">
        <f>IFERROR(__xludf.DUMMYFUNCTION("""COMPUTED_VALUE"""),7.0)</f>
        <v>7</v>
      </c>
      <c r="F969" s="251">
        <f>IFERROR(__xludf.DUMMYFUNCTION("""COMPUTED_VALUE"""),4.0)</f>
        <v>4</v>
      </c>
      <c r="G969" s="251">
        <f>IFERROR(__xludf.DUMMYFUNCTION("""COMPUTED_VALUE"""),7.0)</f>
        <v>7</v>
      </c>
      <c r="H969" s="251">
        <f>IFERROR(__xludf.DUMMYFUNCTION("""COMPUTED_VALUE"""),4.0)</f>
        <v>4</v>
      </c>
      <c r="I969" s="251">
        <f>IFERROR(__xludf.DUMMYFUNCTION("""COMPUTED_VALUE"""),7.0)</f>
        <v>7</v>
      </c>
      <c r="J969" s="251">
        <f>IFERROR(__xludf.DUMMYFUNCTION("""COMPUTED_VALUE"""),1.0)</f>
        <v>1</v>
      </c>
      <c r="K969" s="251" t="str">
        <f>IFERROR(__xludf.DUMMYFUNCTION("""COMPUTED_VALUE"""),"Small")</f>
        <v>Small</v>
      </c>
      <c r="L969" s="251">
        <f>IFERROR(__xludf.DUMMYFUNCTION("""COMPUTED_VALUE"""),2.0)</f>
        <v>2</v>
      </c>
      <c r="M969" s="251" t="str">
        <f>IFERROR(__xludf.DUMMYFUNCTION("""COMPUTED_VALUE"""),"Ocean")</f>
        <v>Ocean</v>
      </c>
      <c r="N969" s="251" t="str">
        <f>IFERROR(__xludf.DUMMYFUNCTION("""COMPUTED_VALUE"""),"Swimmer")</f>
        <v>Swimmer</v>
      </c>
      <c r="O969" s="251" t="str">
        <f>IFERROR(__xludf.DUMMYFUNCTION("""COMPUTED_VALUE"""),"--")</f>
        <v>--</v>
      </c>
      <c r="P969" s="251" t="str">
        <f>IFERROR(__xludf.DUMMYFUNCTION("""COMPUTED_VALUE"""),"--")</f>
        <v>--</v>
      </c>
      <c r="Q969" s="251" t="str">
        <f>IFERROR(__xludf.DUMMYFUNCTION("""COMPUTED_VALUE"""),"--")</f>
        <v>--</v>
      </c>
      <c r="R969" s="251" t="str">
        <f>IFERROR(__xludf.DUMMYFUNCTION("""COMPUTED_VALUE"""),"Underdog")</f>
        <v>Underdog</v>
      </c>
      <c r="S969" s="251" t="str">
        <f>IFERROR(__xludf.DUMMYFUNCTION("""COMPUTED_VALUE"""),"--")</f>
        <v>--</v>
      </c>
      <c r="T969" s="251" t="str">
        <f>IFERROR(__xludf.DUMMYFUNCTION("""COMPUTED_VALUE"""),"--")</f>
        <v>--</v>
      </c>
      <c r="U969" s="251" t="str">
        <f>IFERROR(__xludf.DUMMYFUNCTION("""COMPUTED_VALUE"""),"--")</f>
        <v>--</v>
      </c>
      <c r="V969" s="251" t="str">
        <f>IFERROR(__xludf.DUMMYFUNCTION("""COMPUTED_VALUE"""),"Gilled")</f>
        <v>Gilled</v>
      </c>
      <c r="W969" s="251" t="str">
        <f>IFERROR(__xludf.DUMMYFUNCTION("""COMPUTED_VALUE"""),"--")</f>
        <v>--</v>
      </c>
      <c r="X969" s="251" t="str">
        <f>IFERROR(__xludf.DUMMYFUNCTION("""COMPUTED_VALUE"""),"--")</f>
        <v>--</v>
      </c>
      <c r="Y969" s="251" t="str">
        <f>IFERROR(__xludf.DUMMYFUNCTION("""COMPUTED_VALUE"""),"--")</f>
        <v>--</v>
      </c>
      <c r="Z969" s="251" t="str">
        <f>IFERROR(__xludf.DUMMYFUNCTION("""COMPUTED_VALUE"""),"--")</f>
        <v>--</v>
      </c>
      <c r="AA969" s="251" t="str">
        <f>IFERROR(__xludf.DUMMYFUNCTION("""COMPUTED_VALUE"""),"--")</f>
        <v>--</v>
      </c>
      <c r="AB969" s="251" t="str">
        <f>IFERROR(__xludf.DUMMYFUNCTION("""COMPUTED_VALUE"""),"--")</f>
        <v>--</v>
      </c>
      <c r="AC969" s="251" t="str">
        <f>IFERROR(__xludf.DUMMYFUNCTION("""COMPUTED_VALUE"""),"--")</f>
        <v>--</v>
      </c>
      <c r="AD969" s="251">
        <f>IFERROR(__xludf.DUMMYFUNCTION("""COMPUTED_VALUE"""),2.0)</f>
        <v>2</v>
      </c>
      <c r="AE969" s="251" t="str">
        <f>IFERROR(__xludf.DUMMYFUNCTION("""COMPUTED_VALUE"""),"Carnivore")</f>
        <v>Carnivore</v>
      </c>
    </row>
    <row r="970">
      <c r="A970" s="251" t="str">
        <f>IFERROR(__xludf.DUMMYFUNCTION("""COMPUTED_VALUE"""),"Octillery")</f>
        <v>Octillery</v>
      </c>
      <c r="B970" s="251" t="str">
        <f>IFERROR(__xludf.DUMMYFUNCTION("""COMPUTED_VALUE"""),"Water")</f>
        <v>Water</v>
      </c>
      <c r="C970" s="251" t="str">
        <f>IFERROR(__xludf.DUMMYFUNCTION("""COMPUTED_VALUE"""),"None")</f>
        <v>None</v>
      </c>
      <c r="D970" s="251">
        <f>IFERROR(__xludf.DUMMYFUNCTION("""COMPUTED_VALUE"""),8.0)</f>
        <v>8</v>
      </c>
      <c r="E970" s="251">
        <f>IFERROR(__xludf.DUMMYFUNCTION("""COMPUTED_VALUE"""),11.0)</f>
        <v>11</v>
      </c>
      <c r="F970" s="251">
        <f>IFERROR(__xludf.DUMMYFUNCTION("""COMPUTED_VALUE"""),8.0)</f>
        <v>8</v>
      </c>
      <c r="G970" s="251">
        <f>IFERROR(__xludf.DUMMYFUNCTION("""COMPUTED_VALUE"""),11.0)</f>
        <v>11</v>
      </c>
      <c r="H970" s="251">
        <f>IFERROR(__xludf.DUMMYFUNCTION("""COMPUTED_VALUE"""),8.0)</f>
        <v>8</v>
      </c>
      <c r="I970" s="251">
        <f>IFERROR(__xludf.DUMMYFUNCTION("""COMPUTED_VALUE"""),5.0)</f>
        <v>5</v>
      </c>
      <c r="J970" s="251">
        <f>IFERROR(__xludf.DUMMYFUNCTION("""COMPUTED_VALUE"""),4.0)</f>
        <v>4</v>
      </c>
      <c r="K970" s="251" t="str">
        <f>IFERROR(__xludf.DUMMYFUNCTION("""COMPUTED_VALUE"""),"Small")</f>
        <v>Small</v>
      </c>
      <c r="L970" s="251">
        <f>IFERROR(__xludf.DUMMYFUNCTION("""COMPUTED_VALUE"""),3.0)</f>
        <v>3</v>
      </c>
      <c r="M970" s="251" t="str">
        <f>IFERROR(__xludf.DUMMYFUNCTION("""COMPUTED_VALUE"""),"Ocean")</f>
        <v>Ocean</v>
      </c>
      <c r="N970" s="251" t="str">
        <f>IFERROR(__xludf.DUMMYFUNCTION("""COMPUTED_VALUE"""),"Swimmer")</f>
        <v>Swimmer</v>
      </c>
      <c r="O970" s="251" t="str">
        <f>IFERROR(__xludf.DUMMYFUNCTION("""COMPUTED_VALUE"""),"--")</f>
        <v>--</v>
      </c>
      <c r="P970" s="251" t="str">
        <f>IFERROR(__xludf.DUMMYFUNCTION("""COMPUTED_VALUE"""),"--")</f>
        <v>--</v>
      </c>
      <c r="Q970" s="251" t="str">
        <f>IFERROR(__xludf.DUMMYFUNCTION("""COMPUTED_VALUE"""),"--")</f>
        <v>--</v>
      </c>
      <c r="R970" s="251" t="str">
        <f>IFERROR(__xludf.DUMMYFUNCTION("""COMPUTED_VALUE"""),"--")</f>
        <v>--</v>
      </c>
      <c r="S970" s="251" t="str">
        <f>IFERROR(__xludf.DUMMYFUNCTION("""COMPUTED_VALUE"""),"--")</f>
        <v>--</v>
      </c>
      <c r="T970" s="251" t="str">
        <f>IFERROR(__xludf.DUMMYFUNCTION("""COMPUTED_VALUE"""),"--")</f>
        <v>--</v>
      </c>
      <c r="U970" s="251" t="str">
        <f>IFERROR(__xludf.DUMMYFUNCTION("""COMPUTED_VALUE"""),"--")</f>
        <v>--</v>
      </c>
      <c r="V970" s="251" t="str">
        <f>IFERROR(__xludf.DUMMYFUNCTION("""COMPUTED_VALUE"""),"Amorphous")</f>
        <v>Amorphous</v>
      </c>
      <c r="W970" s="251" t="str">
        <f>IFERROR(__xludf.DUMMYFUNCTION("""COMPUTED_VALUE"""),"Gilled")</f>
        <v>Gilled</v>
      </c>
      <c r="X970" s="251" t="str">
        <f>IFERROR(__xludf.DUMMYFUNCTION("""COMPUTED_VALUE"""),"--")</f>
        <v>--</v>
      </c>
      <c r="Y970" s="251" t="str">
        <f>IFERROR(__xludf.DUMMYFUNCTION("""COMPUTED_VALUE"""),"--")</f>
        <v>--</v>
      </c>
      <c r="Z970" s="251" t="str">
        <f>IFERROR(__xludf.DUMMYFUNCTION("""COMPUTED_VALUE"""),"--")</f>
        <v>--</v>
      </c>
      <c r="AA970" s="251" t="str">
        <f>IFERROR(__xludf.DUMMYFUNCTION("""COMPUTED_VALUE"""),"--")</f>
        <v>--</v>
      </c>
      <c r="AB970" s="251" t="str">
        <f>IFERROR(__xludf.DUMMYFUNCTION("""COMPUTED_VALUE"""),"--")</f>
        <v>--</v>
      </c>
      <c r="AC970" s="251" t="str">
        <f>IFERROR(__xludf.DUMMYFUNCTION("""COMPUTED_VALUE"""),"--")</f>
        <v>--</v>
      </c>
      <c r="AD970" s="251">
        <f>IFERROR(__xludf.DUMMYFUNCTION("""COMPUTED_VALUE"""),3.0)</f>
        <v>3</v>
      </c>
      <c r="AE970" s="251" t="str">
        <f>IFERROR(__xludf.DUMMYFUNCTION("""COMPUTED_VALUE"""),"Carnivore")</f>
        <v>Carnivore</v>
      </c>
    </row>
    <row r="971">
      <c r="A971" s="251" t="str">
        <f>IFERROR(__xludf.DUMMYFUNCTION("""COMPUTED_VALUE"""),"Mantyke")</f>
        <v>Mantyke</v>
      </c>
      <c r="B971" s="251" t="str">
        <f>IFERROR(__xludf.DUMMYFUNCTION("""COMPUTED_VALUE"""),"Water")</f>
        <v>Water</v>
      </c>
      <c r="C971" s="251" t="str">
        <f>IFERROR(__xludf.DUMMYFUNCTION("""COMPUTED_VALUE"""),"Flying")</f>
        <v>Flying</v>
      </c>
      <c r="D971" s="251">
        <f>IFERROR(__xludf.DUMMYFUNCTION("""COMPUTED_VALUE"""),5.0)</f>
        <v>5</v>
      </c>
      <c r="E971" s="251">
        <f>IFERROR(__xludf.DUMMYFUNCTION("""COMPUTED_VALUE"""),2.0)</f>
        <v>2</v>
      </c>
      <c r="F971" s="251">
        <f>IFERROR(__xludf.DUMMYFUNCTION("""COMPUTED_VALUE"""),5.0)</f>
        <v>5</v>
      </c>
      <c r="G971" s="251">
        <f>IFERROR(__xludf.DUMMYFUNCTION("""COMPUTED_VALUE"""),6.0)</f>
        <v>6</v>
      </c>
      <c r="H971" s="251">
        <f>IFERROR(__xludf.DUMMYFUNCTION("""COMPUTED_VALUE"""),12.0)</f>
        <v>12</v>
      </c>
      <c r="I971" s="251">
        <f>IFERROR(__xludf.DUMMYFUNCTION("""COMPUTED_VALUE"""),5.0)</f>
        <v>5</v>
      </c>
      <c r="J971" s="251">
        <f>IFERROR(__xludf.DUMMYFUNCTION("""COMPUTED_VALUE"""),2.0)</f>
        <v>2</v>
      </c>
      <c r="K971" s="251" t="str">
        <f>IFERROR(__xludf.DUMMYFUNCTION("""COMPUTED_VALUE"""),"Medium")</f>
        <v>Medium</v>
      </c>
      <c r="L971" s="251">
        <f>IFERROR(__xludf.DUMMYFUNCTION("""COMPUTED_VALUE"""),4.0)</f>
        <v>4</v>
      </c>
      <c r="M971" s="251" t="str">
        <f>IFERROR(__xludf.DUMMYFUNCTION("""COMPUTED_VALUE"""),"Ocean")</f>
        <v>Ocean</v>
      </c>
      <c r="N971" s="251" t="str">
        <f>IFERROR(__xludf.DUMMYFUNCTION("""COMPUTED_VALUE"""),"Flier")</f>
        <v>Flier</v>
      </c>
      <c r="O971" s="251" t="str">
        <f>IFERROR(__xludf.DUMMYFUNCTION("""COMPUTED_VALUE"""),"Swimmer")</f>
        <v>Swimmer</v>
      </c>
      <c r="P971" s="251" t="str">
        <f>IFERROR(__xludf.DUMMYFUNCTION("""COMPUTED_VALUE"""),"--")</f>
        <v>--</v>
      </c>
      <c r="Q971" s="251" t="str">
        <f>IFERROR(__xludf.DUMMYFUNCTION("""COMPUTED_VALUE"""),"--")</f>
        <v>--</v>
      </c>
      <c r="R971" s="251" t="str">
        <f>IFERROR(__xludf.DUMMYFUNCTION("""COMPUTED_VALUE"""),"Underdog")</f>
        <v>Underdog</v>
      </c>
      <c r="S971" s="251" t="str">
        <f>IFERROR(__xludf.DUMMYFUNCTION("""COMPUTED_VALUE"""),"--")</f>
        <v>--</v>
      </c>
      <c r="T971" s="251" t="str">
        <f>IFERROR(__xludf.DUMMYFUNCTION("""COMPUTED_VALUE"""),"--")</f>
        <v>--</v>
      </c>
      <c r="U971" s="251" t="str">
        <f>IFERROR(__xludf.DUMMYFUNCTION("""COMPUTED_VALUE"""),"--")</f>
        <v>--</v>
      </c>
      <c r="V971" s="251" t="str">
        <f>IFERROR(__xludf.DUMMYFUNCTION("""COMPUTED_VALUE"""),"Gilled")</f>
        <v>Gilled</v>
      </c>
      <c r="W971" s="251" t="str">
        <f>IFERROR(__xludf.DUMMYFUNCTION("""COMPUTED_VALUE"""),"--")</f>
        <v>--</v>
      </c>
      <c r="X971" s="251" t="str">
        <f>IFERROR(__xludf.DUMMYFUNCTION("""COMPUTED_VALUE"""),"--")</f>
        <v>--</v>
      </c>
      <c r="Y971" s="251" t="str">
        <f>IFERROR(__xludf.DUMMYFUNCTION("""COMPUTED_VALUE"""),"--")</f>
        <v>--</v>
      </c>
      <c r="Z971" s="251" t="str">
        <f>IFERROR(__xludf.DUMMYFUNCTION("""COMPUTED_VALUE"""),"--")</f>
        <v>--</v>
      </c>
      <c r="AA971" s="251" t="str">
        <f>IFERROR(__xludf.DUMMYFUNCTION("""COMPUTED_VALUE"""),"--")</f>
        <v>--</v>
      </c>
      <c r="AB971" s="251" t="str">
        <f>IFERROR(__xludf.DUMMYFUNCTION("""COMPUTED_VALUE"""),"--")</f>
        <v>--</v>
      </c>
      <c r="AC971" s="251" t="str">
        <f>IFERROR(__xludf.DUMMYFUNCTION("""COMPUTED_VALUE"""),"--")</f>
        <v>--</v>
      </c>
      <c r="AD971" s="251">
        <f>IFERROR(__xludf.DUMMYFUNCTION("""COMPUTED_VALUE"""),2.0)</f>
        <v>2</v>
      </c>
      <c r="AE971" s="251" t="str">
        <f>IFERROR(__xludf.DUMMYFUNCTION("""COMPUTED_VALUE"""),"Herbivore")</f>
        <v>Herbivore</v>
      </c>
    </row>
    <row r="972">
      <c r="A972" s="251" t="str">
        <f>IFERROR(__xludf.DUMMYFUNCTION("""COMPUTED_VALUE"""),"Mantine")</f>
        <v>Mantine</v>
      </c>
      <c r="B972" s="251" t="str">
        <f>IFERROR(__xludf.DUMMYFUNCTION("""COMPUTED_VALUE"""),"Water")</f>
        <v>Water</v>
      </c>
      <c r="C972" s="251" t="str">
        <f>IFERROR(__xludf.DUMMYFUNCTION("""COMPUTED_VALUE"""),"Flying")</f>
        <v>Flying</v>
      </c>
      <c r="D972" s="251">
        <f>IFERROR(__xludf.DUMMYFUNCTION("""COMPUTED_VALUE"""),9.0)</f>
        <v>9</v>
      </c>
      <c r="E972" s="251">
        <f>IFERROR(__xludf.DUMMYFUNCTION("""COMPUTED_VALUE"""),4.0)</f>
        <v>4</v>
      </c>
      <c r="F972" s="251">
        <f>IFERROR(__xludf.DUMMYFUNCTION("""COMPUTED_VALUE"""),7.0)</f>
        <v>7</v>
      </c>
      <c r="G972" s="251">
        <f>IFERROR(__xludf.DUMMYFUNCTION("""COMPUTED_VALUE"""),9.0)</f>
        <v>9</v>
      </c>
      <c r="H972" s="251">
        <f>IFERROR(__xludf.DUMMYFUNCTION("""COMPUTED_VALUE"""),14.0)</f>
        <v>14</v>
      </c>
      <c r="I972" s="251">
        <f>IFERROR(__xludf.DUMMYFUNCTION("""COMPUTED_VALUE"""),8.0)</f>
        <v>8</v>
      </c>
      <c r="J972" s="251">
        <f>IFERROR(__xludf.DUMMYFUNCTION("""COMPUTED_VALUE"""),5.0)</f>
        <v>5</v>
      </c>
      <c r="K972" s="251" t="str">
        <f>IFERROR(__xludf.DUMMYFUNCTION("""COMPUTED_VALUE"""),"Large")</f>
        <v>Large</v>
      </c>
      <c r="L972" s="251">
        <f>IFERROR(__xludf.DUMMYFUNCTION("""COMPUTED_VALUE"""),6.0)</f>
        <v>6</v>
      </c>
      <c r="M972" s="251" t="str">
        <f>IFERROR(__xludf.DUMMYFUNCTION("""COMPUTED_VALUE"""),"Ocean")</f>
        <v>Ocean</v>
      </c>
      <c r="N972" s="251" t="str">
        <f>IFERROR(__xludf.DUMMYFUNCTION("""COMPUTED_VALUE"""),"Flier")</f>
        <v>Flier</v>
      </c>
      <c r="O972" s="251" t="str">
        <f>IFERROR(__xludf.DUMMYFUNCTION("""COMPUTED_VALUE"""),"Quick")</f>
        <v>Quick</v>
      </c>
      <c r="P972" s="251" t="str">
        <f>IFERROR(__xludf.DUMMYFUNCTION("""COMPUTED_VALUE"""),"Swimmer")</f>
        <v>Swimmer</v>
      </c>
      <c r="Q972" s="251" t="str">
        <f>IFERROR(__xludf.DUMMYFUNCTION("""COMPUTED_VALUE"""),"--")</f>
        <v>--</v>
      </c>
      <c r="R972" s="251" t="str">
        <f>IFERROR(__xludf.DUMMYFUNCTION("""COMPUTED_VALUE"""),"Mountable")</f>
        <v>Mountable</v>
      </c>
      <c r="S972" s="251" t="str">
        <f>IFERROR(__xludf.DUMMYFUNCTION("""COMPUTED_VALUE"""),"--")</f>
        <v>--</v>
      </c>
      <c r="T972" s="251" t="str">
        <f>IFERROR(__xludf.DUMMYFUNCTION("""COMPUTED_VALUE"""),"--")</f>
        <v>--</v>
      </c>
      <c r="U972" s="251" t="str">
        <f>IFERROR(__xludf.DUMMYFUNCTION("""COMPUTED_VALUE"""),"--")</f>
        <v>--</v>
      </c>
      <c r="V972" s="251" t="str">
        <f>IFERROR(__xludf.DUMMYFUNCTION("""COMPUTED_VALUE"""),"Gilled")</f>
        <v>Gilled</v>
      </c>
      <c r="W972" s="251" t="str">
        <f>IFERROR(__xludf.DUMMYFUNCTION("""COMPUTED_VALUE"""),"--")</f>
        <v>--</v>
      </c>
      <c r="X972" s="251" t="str">
        <f>IFERROR(__xludf.DUMMYFUNCTION("""COMPUTED_VALUE"""),"--")</f>
        <v>--</v>
      </c>
      <c r="Y972" s="251" t="str">
        <f>IFERROR(__xludf.DUMMYFUNCTION("""COMPUTED_VALUE"""),"--")</f>
        <v>--</v>
      </c>
      <c r="Z972" s="251" t="str">
        <f>IFERROR(__xludf.DUMMYFUNCTION("""COMPUTED_VALUE"""),"--")</f>
        <v>--</v>
      </c>
      <c r="AA972" s="251" t="str">
        <f>IFERROR(__xludf.DUMMYFUNCTION("""COMPUTED_VALUE"""),"--")</f>
        <v>--</v>
      </c>
      <c r="AB972" s="251" t="str">
        <f>IFERROR(__xludf.DUMMYFUNCTION("""COMPUTED_VALUE"""),"--")</f>
        <v>--</v>
      </c>
      <c r="AC972" s="251" t="str">
        <f>IFERROR(__xludf.DUMMYFUNCTION("""COMPUTED_VALUE"""),"--")</f>
        <v>--</v>
      </c>
      <c r="AD972" s="251">
        <f>IFERROR(__xludf.DUMMYFUNCTION("""COMPUTED_VALUE"""),3.0)</f>
        <v>3</v>
      </c>
      <c r="AE972" s="251" t="str">
        <f>IFERROR(__xludf.DUMMYFUNCTION("""COMPUTED_VALUE"""),"Omnivore")</f>
        <v>Omnivore</v>
      </c>
    </row>
    <row r="973">
      <c r="A973" s="251" t="str">
        <f>IFERROR(__xludf.DUMMYFUNCTION("""COMPUTED_VALUE"""),"Wingull")</f>
        <v>Wingull</v>
      </c>
      <c r="B973" s="251" t="str">
        <f>IFERROR(__xludf.DUMMYFUNCTION("""COMPUTED_VALUE"""),"Water")</f>
        <v>Water</v>
      </c>
      <c r="C973" s="251" t="str">
        <f>IFERROR(__xludf.DUMMYFUNCTION("""COMPUTED_VALUE"""),"Flying")</f>
        <v>Flying</v>
      </c>
      <c r="D973" s="251">
        <f>IFERROR(__xludf.DUMMYFUNCTION("""COMPUTED_VALUE"""),5.0)</f>
        <v>5</v>
      </c>
      <c r="E973" s="251">
        <f>IFERROR(__xludf.DUMMYFUNCTION("""COMPUTED_VALUE"""),3.0)</f>
        <v>3</v>
      </c>
      <c r="F973" s="251">
        <f>IFERROR(__xludf.DUMMYFUNCTION("""COMPUTED_VALUE"""),3.0)</f>
        <v>3</v>
      </c>
      <c r="G973" s="251">
        <f>IFERROR(__xludf.DUMMYFUNCTION("""COMPUTED_VALUE"""),7.0)</f>
        <v>7</v>
      </c>
      <c r="H973" s="251">
        <f>IFERROR(__xludf.DUMMYFUNCTION("""COMPUTED_VALUE"""),3.0)</f>
        <v>3</v>
      </c>
      <c r="I973" s="251">
        <f>IFERROR(__xludf.DUMMYFUNCTION("""COMPUTED_VALUE"""),9.0)</f>
        <v>9</v>
      </c>
      <c r="J973" s="251">
        <f>IFERROR(__xludf.DUMMYFUNCTION("""COMPUTED_VALUE"""),1.0)</f>
        <v>1</v>
      </c>
      <c r="K973" s="251" t="str">
        <f>IFERROR(__xludf.DUMMYFUNCTION("""COMPUTED_VALUE"""),"Small")</f>
        <v>Small</v>
      </c>
      <c r="L973" s="251">
        <f>IFERROR(__xludf.DUMMYFUNCTION("""COMPUTED_VALUE"""),1.0)</f>
        <v>1</v>
      </c>
      <c r="M973" s="251" t="str">
        <f>IFERROR(__xludf.DUMMYFUNCTION("""COMPUTED_VALUE"""),"Grasslands, Ocean")</f>
        <v>Grasslands, Ocean</v>
      </c>
      <c r="N973" s="251" t="str">
        <f>IFERROR(__xludf.DUMMYFUNCTION("""COMPUTED_VALUE"""),"Flier")</f>
        <v>Flier</v>
      </c>
      <c r="O973" s="251" t="str">
        <f>IFERROR(__xludf.DUMMYFUNCTION("""COMPUTED_VALUE"""),"--")</f>
        <v>--</v>
      </c>
      <c r="P973" s="251" t="str">
        <f>IFERROR(__xludf.DUMMYFUNCTION("""COMPUTED_VALUE"""),"--")</f>
        <v>--</v>
      </c>
      <c r="Q973" s="251" t="str">
        <f>IFERROR(__xludf.DUMMYFUNCTION("""COMPUTED_VALUE"""),"--")</f>
        <v>--</v>
      </c>
      <c r="R973" s="251" t="str">
        <f>IFERROR(__xludf.DUMMYFUNCTION("""COMPUTED_VALUE"""),"Underdog")</f>
        <v>Underdog</v>
      </c>
      <c r="S973" s="251" t="str">
        <f>IFERROR(__xludf.DUMMYFUNCTION("""COMPUTED_VALUE"""),"--")</f>
        <v>--</v>
      </c>
      <c r="T973" s="251" t="str">
        <f>IFERROR(__xludf.DUMMYFUNCTION("""COMPUTED_VALUE"""),"--")</f>
        <v>--</v>
      </c>
      <c r="U973" s="251" t="str">
        <f>IFERROR(__xludf.DUMMYFUNCTION("""COMPUTED_VALUE"""),"--")</f>
        <v>--</v>
      </c>
      <c r="V973" s="251" t="str">
        <f>IFERROR(__xludf.DUMMYFUNCTION("""COMPUTED_VALUE"""),"--")</f>
        <v>--</v>
      </c>
      <c r="W973" s="251" t="str">
        <f>IFERROR(__xludf.DUMMYFUNCTION("""COMPUTED_VALUE"""),"--")</f>
        <v>--</v>
      </c>
      <c r="X973" s="251" t="str">
        <f>IFERROR(__xludf.DUMMYFUNCTION("""COMPUTED_VALUE"""),"--")</f>
        <v>--</v>
      </c>
      <c r="Y973" s="251" t="str">
        <f>IFERROR(__xludf.DUMMYFUNCTION("""COMPUTED_VALUE"""),"--")</f>
        <v>--</v>
      </c>
      <c r="Z973" s="251" t="str">
        <f>IFERROR(__xludf.DUMMYFUNCTION("""COMPUTED_VALUE"""),"--")</f>
        <v>--</v>
      </c>
      <c r="AA973" s="251" t="str">
        <f>IFERROR(__xludf.DUMMYFUNCTION("""COMPUTED_VALUE"""),"--")</f>
        <v>--</v>
      </c>
      <c r="AB973" s="251" t="str">
        <f>IFERROR(__xludf.DUMMYFUNCTION("""COMPUTED_VALUE"""),"--")</f>
        <v>--</v>
      </c>
      <c r="AC973" s="251" t="str">
        <f>IFERROR(__xludf.DUMMYFUNCTION("""COMPUTED_VALUE"""),"--")</f>
        <v>--</v>
      </c>
      <c r="AD973" s="251">
        <f>IFERROR(__xludf.DUMMYFUNCTION("""COMPUTED_VALUE"""),2.0)</f>
        <v>2</v>
      </c>
      <c r="AE973" s="251" t="str">
        <f>IFERROR(__xludf.DUMMYFUNCTION("""COMPUTED_VALUE"""),"Omnivore")</f>
        <v>Omnivore</v>
      </c>
    </row>
    <row r="974">
      <c r="A974" s="251" t="str">
        <f>IFERROR(__xludf.DUMMYFUNCTION("""COMPUTED_VALUE"""),"Pelipper")</f>
        <v>Pelipper</v>
      </c>
      <c r="B974" s="251" t="str">
        <f>IFERROR(__xludf.DUMMYFUNCTION("""COMPUTED_VALUE"""),"Water")</f>
        <v>Water</v>
      </c>
      <c r="C974" s="251" t="str">
        <f>IFERROR(__xludf.DUMMYFUNCTION("""COMPUTED_VALUE"""),"Flying")</f>
        <v>Flying</v>
      </c>
      <c r="D974" s="251">
        <f>IFERROR(__xludf.DUMMYFUNCTION("""COMPUTED_VALUE"""),11.0)</f>
        <v>11</v>
      </c>
      <c r="E974" s="251">
        <f>IFERROR(__xludf.DUMMYFUNCTION("""COMPUTED_VALUE"""),5.0)</f>
        <v>5</v>
      </c>
      <c r="F974" s="251">
        <f>IFERROR(__xludf.DUMMYFUNCTION("""COMPUTED_VALUE"""),10.0)</f>
        <v>10</v>
      </c>
      <c r="G974" s="251">
        <f>IFERROR(__xludf.DUMMYFUNCTION("""COMPUTED_VALUE"""),10.0)</f>
        <v>10</v>
      </c>
      <c r="H974" s="251">
        <f>IFERROR(__xludf.DUMMYFUNCTION("""COMPUTED_VALUE"""),8.0)</f>
        <v>8</v>
      </c>
      <c r="I974" s="251">
        <f>IFERROR(__xludf.DUMMYFUNCTION("""COMPUTED_VALUE"""),7.0)</f>
        <v>7</v>
      </c>
      <c r="J974" s="251">
        <f>IFERROR(__xludf.DUMMYFUNCTION("""COMPUTED_VALUE"""),3.0)</f>
        <v>3</v>
      </c>
      <c r="K974" s="251" t="str">
        <f>IFERROR(__xludf.DUMMYFUNCTION("""COMPUTED_VALUE"""),"Medium")</f>
        <v>Medium</v>
      </c>
      <c r="L974" s="251">
        <f>IFERROR(__xludf.DUMMYFUNCTION("""COMPUTED_VALUE"""),3.0)</f>
        <v>3</v>
      </c>
      <c r="M974" s="251" t="str">
        <f>IFERROR(__xludf.DUMMYFUNCTION("""COMPUTED_VALUE"""),"Grasslands, Ocean")</f>
        <v>Grasslands, Ocean</v>
      </c>
      <c r="N974" s="251" t="str">
        <f>IFERROR(__xludf.DUMMYFUNCTION("""COMPUTED_VALUE"""),"Flier")</f>
        <v>Flier</v>
      </c>
      <c r="O974" s="251" t="str">
        <f>IFERROR(__xludf.DUMMYFUNCTION("""COMPUTED_VALUE"""),"--")</f>
        <v>--</v>
      </c>
      <c r="P974" s="251" t="str">
        <f>IFERROR(__xludf.DUMMYFUNCTION("""COMPUTED_VALUE"""),"--")</f>
        <v>--</v>
      </c>
      <c r="Q974" s="251" t="str">
        <f>IFERROR(__xludf.DUMMYFUNCTION("""COMPUTED_VALUE"""),"--")</f>
        <v>--</v>
      </c>
      <c r="R974" s="251" t="str">
        <f>IFERROR(__xludf.DUMMYFUNCTION("""COMPUTED_VALUE"""),"--")</f>
        <v>--</v>
      </c>
      <c r="S974" s="251" t="str">
        <f>IFERROR(__xludf.DUMMYFUNCTION("""COMPUTED_VALUE"""),"--")</f>
        <v>--</v>
      </c>
      <c r="T974" s="251" t="str">
        <f>IFERROR(__xludf.DUMMYFUNCTION("""COMPUTED_VALUE"""),"--")</f>
        <v>--</v>
      </c>
      <c r="U974" s="251" t="str">
        <f>IFERROR(__xludf.DUMMYFUNCTION("""COMPUTED_VALUE"""),"--")</f>
        <v>--</v>
      </c>
      <c r="V974" s="251" t="str">
        <f>IFERROR(__xludf.DUMMYFUNCTION("""COMPUTED_VALUE"""),"--")</f>
        <v>--</v>
      </c>
      <c r="W974" s="251" t="str">
        <f>IFERROR(__xludf.DUMMYFUNCTION("""COMPUTED_VALUE"""),"--")</f>
        <v>--</v>
      </c>
      <c r="X974" s="251" t="str">
        <f>IFERROR(__xludf.DUMMYFUNCTION("""COMPUTED_VALUE"""),"--")</f>
        <v>--</v>
      </c>
      <c r="Y974" s="251" t="str">
        <f>IFERROR(__xludf.DUMMYFUNCTION("""COMPUTED_VALUE"""),"--")</f>
        <v>--</v>
      </c>
      <c r="Z974" s="251" t="str">
        <f>IFERROR(__xludf.DUMMYFUNCTION("""COMPUTED_VALUE"""),"--")</f>
        <v>--</v>
      </c>
      <c r="AA974" s="251" t="str">
        <f>IFERROR(__xludf.DUMMYFUNCTION("""COMPUTED_VALUE"""),"--")</f>
        <v>--</v>
      </c>
      <c r="AB974" s="251" t="str">
        <f>IFERROR(__xludf.DUMMYFUNCTION("""COMPUTED_VALUE"""),"--")</f>
        <v>--</v>
      </c>
      <c r="AC974" s="251" t="str">
        <f>IFERROR(__xludf.DUMMYFUNCTION("""COMPUTED_VALUE"""),"--")</f>
        <v>--</v>
      </c>
      <c r="AD974" s="251">
        <f>IFERROR(__xludf.DUMMYFUNCTION("""COMPUTED_VALUE"""),3.0)</f>
        <v>3</v>
      </c>
      <c r="AE974" s="251" t="str">
        <f>IFERROR(__xludf.DUMMYFUNCTION("""COMPUTED_VALUE"""),"Omnivore")</f>
        <v>Omnivore</v>
      </c>
    </row>
    <row r="975">
      <c r="A975" s="251" t="str">
        <f>IFERROR(__xludf.DUMMYFUNCTION("""COMPUTED_VALUE"""),"Carvanha")</f>
        <v>Carvanha</v>
      </c>
      <c r="B975" s="251" t="str">
        <f>IFERROR(__xludf.DUMMYFUNCTION("""COMPUTED_VALUE"""),"Water")</f>
        <v>Water</v>
      </c>
      <c r="C975" s="251" t="str">
        <f>IFERROR(__xludf.DUMMYFUNCTION("""COMPUTED_VALUE"""),"Dark")</f>
        <v>Dark</v>
      </c>
      <c r="D975" s="251">
        <f>IFERROR(__xludf.DUMMYFUNCTION("""COMPUTED_VALUE"""),5.0)</f>
        <v>5</v>
      </c>
      <c r="E975" s="251">
        <f>IFERROR(__xludf.DUMMYFUNCTION("""COMPUTED_VALUE"""),9.0)</f>
        <v>9</v>
      </c>
      <c r="F975" s="251">
        <f>IFERROR(__xludf.DUMMYFUNCTION("""COMPUTED_VALUE"""),2.0)</f>
        <v>2</v>
      </c>
      <c r="G975" s="251">
        <f>IFERROR(__xludf.DUMMYFUNCTION("""COMPUTED_VALUE"""),7.0)</f>
        <v>7</v>
      </c>
      <c r="H975" s="251">
        <f>IFERROR(__xludf.DUMMYFUNCTION("""COMPUTED_VALUE"""),2.0)</f>
        <v>2</v>
      </c>
      <c r="I975" s="251">
        <f>IFERROR(__xludf.DUMMYFUNCTION("""COMPUTED_VALUE"""),7.0)</f>
        <v>7</v>
      </c>
      <c r="J975" s="251">
        <f>IFERROR(__xludf.DUMMYFUNCTION("""COMPUTED_VALUE"""),2.0)</f>
        <v>2</v>
      </c>
      <c r="K975" s="251" t="str">
        <f>IFERROR(__xludf.DUMMYFUNCTION("""COMPUTED_VALUE"""),"Small")</f>
        <v>Small</v>
      </c>
      <c r="L975" s="251">
        <f>IFERROR(__xludf.DUMMYFUNCTION("""COMPUTED_VALUE"""),2.0)</f>
        <v>2</v>
      </c>
      <c r="M975" s="251" t="str">
        <f>IFERROR(__xludf.DUMMYFUNCTION("""COMPUTED_VALUE"""),"Ocean")</f>
        <v>Ocean</v>
      </c>
      <c r="N975" s="251" t="str">
        <f>IFERROR(__xludf.DUMMYFUNCTION("""COMPUTED_VALUE"""),"Quick")</f>
        <v>Quick</v>
      </c>
      <c r="O975" s="251" t="str">
        <f>IFERROR(__xludf.DUMMYFUNCTION("""COMPUTED_VALUE"""),"Swimmer")</f>
        <v>Swimmer</v>
      </c>
      <c r="P975" s="251" t="str">
        <f>IFERROR(__xludf.DUMMYFUNCTION("""COMPUTED_VALUE"""),"--")</f>
        <v>--</v>
      </c>
      <c r="Q975" s="251" t="str">
        <f>IFERROR(__xludf.DUMMYFUNCTION("""COMPUTED_VALUE"""),"--")</f>
        <v>--</v>
      </c>
      <c r="R975" s="251" t="str">
        <f>IFERROR(__xludf.DUMMYFUNCTION("""COMPUTED_VALUE"""),"Darkvision")</f>
        <v>Darkvision</v>
      </c>
      <c r="S975" s="251" t="str">
        <f>IFERROR(__xludf.DUMMYFUNCTION("""COMPUTED_VALUE"""),"Underdog")</f>
        <v>Underdog</v>
      </c>
      <c r="T975" s="251" t="str">
        <f>IFERROR(__xludf.DUMMYFUNCTION("""COMPUTED_VALUE"""),"--")</f>
        <v>--</v>
      </c>
      <c r="U975" s="251" t="str">
        <f>IFERROR(__xludf.DUMMYFUNCTION("""COMPUTED_VALUE"""),"--")</f>
        <v>--</v>
      </c>
      <c r="V975" s="251" t="str">
        <f>IFERROR(__xludf.DUMMYFUNCTION("""COMPUTED_VALUE"""),"Gilled")</f>
        <v>Gilled</v>
      </c>
      <c r="W975" s="251" t="str">
        <f>IFERROR(__xludf.DUMMYFUNCTION("""COMPUTED_VALUE"""),"--")</f>
        <v>--</v>
      </c>
      <c r="X975" s="251" t="str">
        <f>IFERROR(__xludf.DUMMYFUNCTION("""COMPUTED_VALUE"""),"--")</f>
        <v>--</v>
      </c>
      <c r="Y975" s="251" t="str">
        <f>IFERROR(__xludf.DUMMYFUNCTION("""COMPUTED_VALUE"""),"--")</f>
        <v>--</v>
      </c>
      <c r="Z975" s="251" t="str">
        <f>IFERROR(__xludf.DUMMYFUNCTION("""COMPUTED_VALUE"""),"--")</f>
        <v>--</v>
      </c>
      <c r="AA975" s="251" t="str">
        <f>IFERROR(__xludf.DUMMYFUNCTION("""COMPUTED_VALUE"""),"--")</f>
        <v>--</v>
      </c>
      <c r="AB975" s="251" t="str">
        <f>IFERROR(__xludf.DUMMYFUNCTION("""COMPUTED_VALUE"""),"--")</f>
        <v>--</v>
      </c>
      <c r="AC975" s="251" t="str">
        <f>IFERROR(__xludf.DUMMYFUNCTION("""COMPUTED_VALUE"""),"--")</f>
        <v>--</v>
      </c>
      <c r="AD975" s="251">
        <f>IFERROR(__xludf.DUMMYFUNCTION("""COMPUTED_VALUE"""),2.0)</f>
        <v>2</v>
      </c>
      <c r="AE975" s="251" t="str">
        <f>IFERROR(__xludf.DUMMYFUNCTION("""COMPUTED_VALUE"""),"Carnivore")</f>
        <v>Carnivore</v>
      </c>
    </row>
    <row r="976">
      <c r="A976" s="251" t="str">
        <f>IFERROR(__xludf.DUMMYFUNCTION("""COMPUTED_VALUE"""),"Sharpedo")</f>
        <v>Sharpedo</v>
      </c>
      <c r="B976" s="251" t="str">
        <f>IFERROR(__xludf.DUMMYFUNCTION("""COMPUTED_VALUE"""),"Water")</f>
        <v>Water</v>
      </c>
      <c r="C976" s="251" t="str">
        <f>IFERROR(__xludf.DUMMYFUNCTION("""COMPUTED_VALUE"""),"Dark")</f>
        <v>Dark</v>
      </c>
      <c r="D976" s="251">
        <f>IFERROR(__xludf.DUMMYFUNCTION("""COMPUTED_VALUE"""),7.0)</f>
        <v>7</v>
      </c>
      <c r="E976" s="251">
        <f>IFERROR(__xludf.DUMMYFUNCTION("""COMPUTED_VALUE"""),12.0)</f>
        <v>12</v>
      </c>
      <c r="F976" s="251">
        <f>IFERROR(__xludf.DUMMYFUNCTION("""COMPUTED_VALUE"""),5.0)</f>
        <v>5</v>
      </c>
      <c r="G976" s="251">
        <f>IFERROR(__xludf.DUMMYFUNCTION("""COMPUTED_VALUE"""),10.0)</f>
        <v>10</v>
      </c>
      <c r="H976" s="251">
        <f>IFERROR(__xludf.DUMMYFUNCTION("""COMPUTED_VALUE"""),5.0)</f>
        <v>5</v>
      </c>
      <c r="I976" s="251">
        <f>IFERROR(__xludf.DUMMYFUNCTION("""COMPUTED_VALUE"""),12.0)</f>
        <v>12</v>
      </c>
      <c r="J976" s="251">
        <f>IFERROR(__xludf.DUMMYFUNCTION("""COMPUTED_VALUE"""),5.0)</f>
        <v>5</v>
      </c>
      <c r="K976" s="251" t="str">
        <f>IFERROR(__xludf.DUMMYFUNCTION("""COMPUTED_VALUE"""),"Medium")</f>
        <v>Medium</v>
      </c>
      <c r="L976" s="251">
        <f>IFERROR(__xludf.DUMMYFUNCTION("""COMPUTED_VALUE"""),4.0)</f>
        <v>4</v>
      </c>
      <c r="M976" s="251" t="str">
        <f>IFERROR(__xludf.DUMMYFUNCTION("""COMPUTED_VALUE"""),"Ocean")</f>
        <v>Ocean</v>
      </c>
      <c r="N976" s="251" t="str">
        <f>IFERROR(__xludf.DUMMYFUNCTION("""COMPUTED_VALUE"""),"Quick")</f>
        <v>Quick</v>
      </c>
      <c r="O976" s="251" t="str">
        <f>IFERROR(__xludf.DUMMYFUNCTION("""COMPUTED_VALUE"""),"Swimmer")</f>
        <v>Swimmer</v>
      </c>
      <c r="P976" s="251" t="str">
        <f>IFERROR(__xludf.DUMMYFUNCTION("""COMPUTED_VALUE"""),"--")</f>
        <v>--</v>
      </c>
      <c r="Q976" s="251" t="str">
        <f>IFERROR(__xludf.DUMMYFUNCTION("""COMPUTED_VALUE"""),"--")</f>
        <v>--</v>
      </c>
      <c r="R976" s="251" t="str">
        <f>IFERROR(__xludf.DUMMYFUNCTION("""COMPUTED_VALUE"""),"Darkvision")</f>
        <v>Darkvision</v>
      </c>
      <c r="S976" s="251" t="str">
        <f>IFERROR(__xludf.DUMMYFUNCTION("""COMPUTED_VALUE"""),"Mountable")</f>
        <v>Mountable</v>
      </c>
      <c r="T976" s="251" t="str">
        <f>IFERROR(__xludf.DUMMYFUNCTION("""COMPUTED_VALUE"""),"Underdog")</f>
        <v>Underdog</v>
      </c>
      <c r="U976" s="251" t="str">
        <f>IFERROR(__xludf.DUMMYFUNCTION("""COMPUTED_VALUE"""),"--")</f>
        <v>--</v>
      </c>
      <c r="V976" s="251" t="str">
        <f>IFERROR(__xludf.DUMMYFUNCTION("""COMPUTED_VALUE"""),"Gilled")</f>
        <v>Gilled</v>
      </c>
      <c r="W976" s="251" t="str">
        <f>IFERROR(__xludf.DUMMYFUNCTION("""COMPUTED_VALUE"""),"--")</f>
        <v>--</v>
      </c>
      <c r="X976" s="251" t="str">
        <f>IFERROR(__xludf.DUMMYFUNCTION("""COMPUTED_VALUE"""),"--")</f>
        <v>--</v>
      </c>
      <c r="Y976" s="251" t="str">
        <f>IFERROR(__xludf.DUMMYFUNCTION("""COMPUTED_VALUE"""),"--")</f>
        <v>--</v>
      </c>
      <c r="Z976" s="251" t="str">
        <f>IFERROR(__xludf.DUMMYFUNCTION("""COMPUTED_VALUE"""),"--")</f>
        <v>--</v>
      </c>
      <c r="AA976" s="251" t="str">
        <f>IFERROR(__xludf.DUMMYFUNCTION("""COMPUTED_VALUE"""),"--")</f>
        <v>--</v>
      </c>
      <c r="AB976" s="251" t="str">
        <f>IFERROR(__xludf.DUMMYFUNCTION("""COMPUTED_VALUE"""),"--")</f>
        <v>--</v>
      </c>
      <c r="AC976" s="251" t="str">
        <f>IFERROR(__xludf.DUMMYFUNCTION("""COMPUTED_VALUE"""),"--")</f>
        <v>--</v>
      </c>
      <c r="AD976" s="251">
        <f>IFERROR(__xludf.DUMMYFUNCTION("""COMPUTED_VALUE"""),3.0)</f>
        <v>3</v>
      </c>
      <c r="AE976" s="251" t="str">
        <f>IFERROR(__xludf.DUMMYFUNCTION("""COMPUTED_VALUE"""),"Carnivore")</f>
        <v>Carnivore</v>
      </c>
    </row>
    <row r="977">
      <c r="A977" s="251" t="str">
        <f>IFERROR(__xludf.DUMMYFUNCTION("""COMPUTED_VALUE"""),"Wailmer")</f>
        <v>Wailmer</v>
      </c>
      <c r="B977" s="251" t="str">
        <f>IFERROR(__xludf.DUMMYFUNCTION("""COMPUTED_VALUE"""),"Water")</f>
        <v>Water</v>
      </c>
      <c r="C977" s="251" t="str">
        <f>IFERROR(__xludf.DUMMYFUNCTION("""COMPUTED_VALUE"""),"None")</f>
        <v>None</v>
      </c>
      <c r="D977" s="251">
        <f>IFERROR(__xludf.DUMMYFUNCTION("""COMPUTED_VALUE"""),13.0)</f>
        <v>13</v>
      </c>
      <c r="E977" s="251">
        <f>IFERROR(__xludf.DUMMYFUNCTION("""COMPUTED_VALUE"""),7.0)</f>
        <v>7</v>
      </c>
      <c r="F977" s="251">
        <f>IFERROR(__xludf.DUMMYFUNCTION("""COMPUTED_VALUE"""),4.0)</f>
        <v>4</v>
      </c>
      <c r="G977" s="251">
        <f>IFERROR(__xludf.DUMMYFUNCTION("""COMPUTED_VALUE"""),7.0)</f>
        <v>7</v>
      </c>
      <c r="H977" s="251">
        <f>IFERROR(__xludf.DUMMYFUNCTION("""COMPUTED_VALUE"""),4.0)</f>
        <v>4</v>
      </c>
      <c r="I977" s="251">
        <f>IFERROR(__xludf.DUMMYFUNCTION("""COMPUTED_VALUE"""),6.0)</f>
        <v>6</v>
      </c>
      <c r="J977" s="251">
        <f>IFERROR(__xludf.DUMMYFUNCTION("""COMPUTED_VALUE"""),5.0)</f>
        <v>5</v>
      </c>
      <c r="K977" s="251" t="str">
        <f>IFERROR(__xludf.DUMMYFUNCTION("""COMPUTED_VALUE"""),"Large")</f>
        <v>Large</v>
      </c>
      <c r="L977" s="251">
        <f>IFERROR(__xludf.DUMMYFUNCTION("""COMPUTED_VALUE"""),5.0)</f>
        <v>5</v>
      </c>
      <c r="M977" s="251" t="str">
        <f>IFERROR(__xludf.DUMMYFUNCTION("""COMPUTED_VALUE"""),"Ocean")</f>
        <v>Ocean</v>
      </c>
      <c r="N977" s="251" t="str">
        <f>IFERROR(__xludf.DUMMYFUNCTION("""COMPUTED_VALUE"""),"Swimmer")</f>
        <v>Swimmer</v>
      </c>
      <c r="O977" s="251" t="str">
        <f>IFERROR(__xludf.DUMMYFUNCTION("""COMPUTED_VALUE"""),"--")</f>
        <v>--</v>
      </c>
      <c r="P977" s="251" t="str">
        <f>IFERROR(__xludf.DUMMYFUNCTION("""COMPUTED_VALUE"""),"--")</f>
        <v>--</v>
      </c>
      <c r="Q977" s="251" t="str">
        <f>IFERROR(__xludf.DUMMYFUNCTION("""COMPUTED_VALUE"""),"--")</f>
        <v>--</v>
      </c>
      <c r="R977" s="251" t="str">
        <f>IFERROR(__xludf.DUMMYFUNCTION("""COMPUTED_VALUE"""),"Mountable")</f>
        <v>Mountable</v>
      </c>
      <c r="S977" s="251" t="str">
        <f>IFERROR(__xludf.DUMMYFUNCTION("""COMPUTED_VALUE"""),"Underdog")</f>
        <v>Underdog</v>
      </c>
      <c r="T977" s="251" t="str">
        <f>IFERROR(__xludf.DUMMYFUNCTION("""COMPUTED_VALUE"""),"--")</f>
        <v>--</v>
      </c>
      <c r="U977" s="251" t="str">
        <f>IFERROR(__xludf.DUMMYFUNCTION("""COMPUTED_VALUE"""),"--")</f>
        <v>--</v>
      </c>
      <c r="V977" s="251" t="str">
        <f>IFERROR(__xludf.DUMMYFUNCTION("""COMPUTED_VALUE"""),"--")</f>
        <v>--</v>
      </c>
      <c r="W977" s="251" t="str">
        <f>IFERROR(__xludf.DUMMYFUNCTION("""COMPUTED_VALUE"""),"--")</f>
        <v>--</v>
      </c>
      <c r="X977" s="251" t="str">
        <f>IFERROR(__xludf.DUMMYFUNCTION("""COMPUTED_VALUE"""),"--")</f>
        <v>--</v>
      </c>
      <c r="Y977" s="251" t="str">
        <f>IFERROR(__xludf.DUMMYFUNCTION("""COMPUTED_VALUE"""),"--")</f>
        <v>--</v>
      </c>
      <c r="Z977" s="251" t="str">
        <f>IFERROR(__xludf.DUMMYFUNCTION("""COMPUTED_VALUE"""),"--")</f>
        <v>--</v>
      </c>
      <c r="AA977" s="251" t="str">
        <f>IFERROR(__xludf.DUMMYFUNCTION("""COMPUTED_VALUE"""),"--")</f>
        <v>--</v>
      </c>
      <c r="AB977" s="251" t="str">
        <f>IFERROR(__xludf.DUMMYFUNCTION("""COMPUTED_VALUE"""),"--")</f>
        <v>--</v>
      </c>
      <c r="AC977" s="251" t="str">
        <f>IFERROR(__xludf.DUMMYFUNCTION("""COMPUTED_VALUE"""),"--")</f>
        <v>--</v>
      </c>
      <c r="AD977" s="251">
        <f>IFERROR(__xludf.DUMMYFUNCTION("""COMPUTED_VALUE"""),2.0)</f>
        <v>2</v>
      </c>
      <c r="AE977" s="251" t="str">
        <f>IFERROR(__xludf.DUMMYFUNCTION("""COMPUTED_VALUE"""),"Filter Feeder")</f>
        <v>Filter Feeder</v>
      </c>
    </row>
    <row r="978">
      <c r="A978" s="251" t="str">
        <f>IFERROR(__xludf.DUMMYFUNCTION("""COMPUTED_VALUE"""),"Wailord")</f>
        <v>Wailord</v>
      </c>
      <c r="B978" s="251" t="str">
        <f>IFERROR(__xludf.DUMMYFUNCTION("""COMPUTED_VALUE"""),"Water")</f>
        <v>Water</v>
      </c>
      <c r="C978" s="251" t="str">
        <f>IFERROR(__xludf.DUMMYFUNCTION("""COMPUTED_VALUE"""),"None")</f>
        <v>None</v>
      </c>
      <c r="D978" s="251">
        <f>IFERROR(__xludf.DUMMYFUNCTION("""COMPUTED_VALUE"""),17.0)</f>
        <v>17</v>
      </c>
      <c r="E978" s="251">
        <f>IFERROR(__xludf.DUMMYFUNCTION("""COMPUTED_VALUE"""),9.0)</f>
        <v>9</v>
      </c>
      <c r="F978" s="251">
        <f>IFERROR(__xludf.DUMMYFUNCTION("""COMPUTED_VALUE"""),5.0)</f>
        <v>5</v>
      </c>
      <c r="G978" s="251">
        <f>IFERROR(__xludf.DUMMYFUNCTION("""COMPUTED_VALUE"""),9.0)</f>
        <v>9</v>
      </c>
      <c r="H978" s="251">
        <f>IFERROR(__xludf.DUMMYFUNCTION("""COMPUTED_VALUE"""),5.0)</f>
        <v>5</v>
      </c>
      <c r="I978" s="251">
        <f>IFERROR(__xludf.DUMMYFUNCTION("""COMPUTED_VALUE"""),6.0)</f>
        <v>6</v>
      </c>
      <c r="J978" s="251">
        <f>IFERROR(__xludf.DUMMYFUNCTION("""COMPUTED_VALUE"""),12.0)</f>
        <v>12</v>
      </c>
      <c r="K978" s="251" t="str">
        <f>IFERROR(__xludf.DUMMYFUNCTION("""COMPUTED_VALUE"""),"Huge")</f>
        <v>Huge</v>
      </c>
      <c r="L978" s="251">
        <f>IFERROR(__xludf.DUMMYFUNCTION("""COMPUTED_VALUE"""),6.0)</f>
        <v>6</v>
      </c>
      <c r="M978" s="251" t="str">
        <f>IFERROR(__xludf.DUMMYFUNCTION("""COMPUTED_VALUE"""),"Ocean")</f>
        <v>Ocean</v>
      </c>
      <c r="N978" s="251" t="str">
        <f>IFERROR(__xludf.DUMMYFUNCTION("""COMPUTED_VALUE"""),"Swimmer")</f>
        <v>Swimmer</v>
      </c>
      <c r="O978" s="251" t="str">
        <f>IFERROR(__xludf.DUMMYFUNCTION("""COMPUTED_VALUE"""),"--")</f>
        <v>--</v>
      </c>
      <c r="P978" s="251" t="str">
        <f>IFERROR(__xludf.DUMMYFUNCTION("""COMPUTED_VALUE"""),"--")</f>
        <v>--</v>
      </c>
      <c r="Q978" s="251" t="str">
        <f>IFERROR(__xludf.DUMMYFUNCTION("""COMPUTED_VALUE"""),"--")</f>
        <v>--</v>
      </c>
      <c r="R978" s="251" t="str">
        <f>IFERROR(__xludf.DUMMYFUNCTION("""COMPUTED_VALUE"""),"Mountable")</f>
        <v>Mountable</v>
      </c>
      <c r="S978" s="251" t="str">
        <f>IFERROR(__xludf.DUMMYFUNCTION("""COMPUTED_VALUE"""),"--")</f>
        <v>--</v>
      </c>
      <c r="T978" s="251" t="str">
        <f>IFERROR(__xludf.DUMMYFUNCTION("""COMPUTED_VALUE"""),"--")</f>
        <v>--</v>
      </c>
      <c r="U978" s="251" t="str">
        <f>IFERROR(__xludf.DUMMYFUNCTION("""COMPUTED_VALUE"""),"--")</f>
        <v>--</v>
      </c>
      <c r="V978" s="251" t="str">
        <f>IFERROR(__xludf.DUMMYFUNCTION("""COMPUTED_VALUE"""),"--")</f>
        <v>--</v>
      </c>
      <c r="W978" s="251" t="str">
        <f>IFERROR(__xludf.DUMMYFUNCTION("""COMPUTED_VALUE"""),"--")</f>
        <v>--</v>
      </c>
      <c r="X978" s="251" t="str">
        <f>IFERROR(__xludf.DUMMYFUNCTION("""COMPUTED_VALUE"""),"--")</f>
        <v>--</v>
      </c>
      <c r="Y978" s="251" t="str">
        <f>IFERROR(__xludf.DUMMYFUNCTION("""COMPUTED_VALUE"""),"--")</f>
        <v>--</v>
      </c>
      <c r="Z978" s="251" t="str">
        <f>IFERROR(__xludf.DUMMYFUNCTION("""COMPUTED_VALUE"""),"--")</f>
        <v>--</v>
      </c>
      <c r="AA978" s="251" t="str">
        <f>IFERROR(__xludf.DUMMYFUNCTION("""COMPUTED_VALUE"""),"--")</f>
        <v>--</v>
      </c>
      <c r="AB978" s="251" t="str">
        <f>IFERROR(__xludf.DUMMYFUNCTION("""COMPUTED_VALUE"""),"--")</f>
        <v>--</v>
      </c>
      <c r="AC978" s="251" t="str">
        <f>IFERROR(__xludf.DUMMYFUNCTION("""COMPUTED_VALUE"""),"--")</f>
        <v>--</v>
      </c>
      <c r="AD978" s="251">
        <f>IFERROR(__xludf.DUMMYFUNCTION("""COMPUTED_VALUE"""),3.0)</f>
        <v>3</v>
      </c>
      <c r="AE978" s="251" t="str">
        <f>IFERROR(__xludf.DUMMYFUNCTION("""COMPUTED_VALUE"""),"Filter Feeder")</f>
        <v>Filter Feeder</v>
      </c>
    </row>
    <row r="979">
      <c r="A979" s="251" t="str">
        <f>IFERROR(__xludf.DUMMYFUNCTION("""COMPUTED_VALUE"""),"Barboach")</f>
        <v>Barboach</v>
      </c>
      <c r="B979" s="251" t="str">
        <f>IFERROR(__xludf.DUMMYFUNCTION("""COMPUTED_VALUE"""),"Water")</f>
        <v>Water</v>
      </c>
      <c r="C979" s="251" t="str">
        <f>IFERROR(__xludf.DUMMYFUNCTION("""COMPUTED_VALUE"""),"Ground")</f>
        <v>Ground</v>
      </c>
      <c r="D979" s="251">
        <f>IFERROR(__xludf.DUMMYFUNCTION("""COMPUTED_VALUE"""),6.0)</f>
        <v>6</v>
      </c>
      <c r="E979" s="251">
        <f>IFERROR(__xludf.DUMMYFUNCTION("""COMPUTED_VALUE"""),5.0)</f>
        <v>5</v>
      </c>
      <c r="F979" s="251">
        <f>IFERROR(__xludf.DUMMYFUNCTION("""COMPUTED_VALUE"""),4.0)</f>
        <v>4</v>
      </c>
      <c r="G979" s="251">
        <f>IFERROR(__xludf.DUMMYFUNCTION("""COMPUTED_VALUE"""),5.0)</f>
        <v>5</v>
      </c>
      <c r="H979" s="251">
        <f>IFERROR(__xludf.DUMMYFUNCTION("""COMPUTED_VALUE"""),4.0)</f>
        <v>4</v>
      </c>
      <c r="I979" s="251">
        <f>IFERROR(__xludf.DUMMYFUNCTION("""COMPUTED_VALUE"""),6.0)</f>
        <v>6</v>
      </c>
      <c r="J979" s="251">
        <f>IFERROR(__xludf.DUMMYFUNCTION("""COMPUTED_VALUE"""),2.0)</f>
        <v>2</v>
      </c>
      <c r="K979" s="251" t="str">
        <f>IFERROR(__xludf.DUMMYFUNCTION("""COMPUTED_VALUE"""),"Small")</f>
        <v>Small</v>
      </c>
      <c r="L979" s="251">
        <f>IFERROR(__xludf.DUMMYFUNCTION("""COMPUTED_VALUE"""),1.0)</f>
        <v>1</v>
      </c>
      <c r="M979" s="251" t="str">
        <f>IFERROR(__xludf.DUMMYFUNCTION("""COMPUTED_VALUE"""),"Wetlands")</f>
        <v>Wetlands</v>
      </c>
      <c r="N979" s="251" t="str">
        <f>IFERROR(__xludf.DUMMYFUNCTION("""COMPUTED_VALUE"""),"Swimmer")</f>
        <v>Swimmer</v>
      </c>
      <c r="O979" s="251" t="str">
        <f>IFERROR(__xludf.DUMMYFUNCTION("""COMPUTED_VALUE"""),"--")</f>
        <v>--</v>
      </c>
      <c r="P979" s="251" t="str">
        <f>IFERROR(__xludf.DUMMYFUNCTION("""COMPUTED_VALUE"""),"--")</f>
        <v>--</v>
      </c>
      <c r="Q979" s="251" t="str">
        <f>IFERROR(__xludf.DUMMYFUNCTION("""COMPUTED_VALUE"""),"--")</f>
        <v>--</v>
      </c>
      <c r="R979" s="251" t="str">
        <f>IFERROR(__xludf.DUMMYFUNCTION("""COMPUTED_VALUE"""),"Underdog")</f>
        <v>Underdog</v>
      </c>
      <c r="S979" s="251" t="str">
        <f>IFERROR(__xludf.DUMMYFUNCTION("""COMPUTED_VALUE"""),"--")</f>
        <v>--</v>
      </c>
      <c r="T979" s="251" t="str">
        <f>IFERROR(__xludf.DUMMYFUNCTION("""COMPUTED_VALUE"""),"--")</f>
        <v>--</v>
      </c>
      <c r="U979" s="251" t="str">
        <f>IFERROR(__xludf.DUMMYFUNCTION("""COMPUTED_VALUE"""),"--")</f>
        <v>--</v>
      </c>
      <c r="V979" s="251" t="str">
        <f>IFERROR(__xludf.DUMMYFUNCTION("""COMPUTED_VALUE"""),"Gilled")</f>
        <v>Gilled</v>
      </c>
      <c r="W979" s="251" t="str">
        <f>IFERROR(__xludf.DUMMYFUNCTION("""COMPUTED_VALUE"""),"--")</f>
        <v>--</v>
      </c>
      <c r="X979" s="251" t="str">
        <f>IFERROR(__xludf.DUMMYFUNCTION("""COMPUTED_VALUE"""),"--")</f>
        <v>--</v>
      </c>
      <c r="Y979" s="251" t="str">
        <f>IFERROR(__xludf.DUMMYFUNCTION("""COMPUTED_VALUE"""),"--")</f>
        <v>--</v>
      </c>
      <c r="Z979" s="251" t="str">
        <f>IFERROR(__xludf.DUMMYFUNCTION("""COMPUTED_VALUE"""),"--")</f>
        <v>--</v>
      </c>
      <c r="AA979" s="251" t="str">
        <f>IFERROR(__xludf.DUMMYFUNCTION("""COMPUTED_VALUE"""),"--")</f>
        <v>--</v>
      </c>
      <c r="AB979" s="251" t="str">
        <f>IFERROR(__xludf.DUMMYFUNCTION("""COMPUTED_VALUE"""),"--")</f>
        <v>--</v>
      </c>
      <c r="AC979" s="251" t="str">
        <f>IFERROR(__xludf.DUMMYFUNCTION("""COMPUTED_VALUE"""),"--")</f>
        <v>--</v>
      </c>
      <c r="AD979" s="251">
        <f>IFERROR(__xludf.DUMMYFUNCTION("""COMPUTED_VALUE"""),2.0)</f>
        <v>2</v>
      </c>
      <c r="AE979" s="251" t="str">
        <f>IFERROR(__xludf.DUMMYFUNCTION("""COMPUTED_VALUE"""),"Omnivore")</f>
        <v>Omnivore</v>
      </c>
    </row>
    <row r="980">
      <c r="A980" s="251" t="str">
        <f>IFERROR(__xludf.DUMMYFUNCTION("""COMPUTED_VALUE"""),"Whiscash")</f>
        <v>Whiscash</v>
      </c>
      <c r="B980" s="251" t="str">
        <f>IFERROR(__xludf.DUMMYFUNCTION("""COMPUTED_VALUE"""),"Water")</f>
        <v>Water</v>
      </c>
      <c r="C980" s="251" t="str">
        <f>IFERROR(__xludf.DUMMYFUNCTION("""COMPUTED_VALUE"""),"Ground")</f>
        <v>Ground</v>
      </c>
      <c r="D980" s="251">
        <f>IFERROR(__xludf.DUMMYFUNCTION("""COMPUTED_VALUE"""),11.0)</f>
        <v>11</v>
      </c>
      <c r="E980" s="251">
        <f>IFERROR(__xludf.DUMMYFUNCTION("""COMPUTED_VALUE"""),9.0)</f>
        <v>9</v>
      </c>
      <c r="F980" s="251">
        <f>IFERROR(__xludf.DUMMYFUNCTION("""COMPUTED_VALUE"""),8.0)</f>
        <v>8</v>
      </c>
      <c r="G980" s="251">
        <f>IFERROR(__xludf.DUMMYFUNCTION("""COMPUTED_VALUE"""),9.0)</f>
        <v>9</v>
      </c>
      <c r="H980" s="251">
        <f>IFERROR(__xludf.DUMMYFUNCTION("""COMPUTED_VALUE"""),8.0)</f>
        <v>8</v>
      </c>
      <c r="I980" s="251">
        <f>IFERROR(__xludf.DUMMYFUNCTION("""COMPUTED_VALUE"""),6.0)</f>
        <v>6</v>
      </c>
      <c r="J980" s="251">
        <f>IFERROR(__xludf.DUMMYFUNCTION("""COMPUTED_VALUE"""),3.0)</f>
        <v>3</v>
      </c>
      <c r="K980" s="251" t="str">
        <f>IFERROR(__xludf.DUMMYFUNCTION("""COMPUTED_VALUE"""),"Small")</f>
        <v>Small</v>
      </c>
      <c r="L980" s="251">
        <f>IFERROR(__xludf.DUMMYFUNCTION("""COMPUTED_VALUE"""),2.0)</f>
        <v>2</v>
      </c>
      <c r="M980" s="251" t="str">
        <f>IFERROR(__xludf.DUMMYFUNCTION("""COMPUTED_VALUE"""),"Wetlands")</f>
        <v>Wetlands</v>
      </c>
      <c r="N980" s="251" t="str">
        <f>IFERROR(__xludf.DUMMYFUNCTION("""COMPUTED_VALUE"""),"Swimmer")</f>
        <v>Swimmer</v>
      </c>
      <c r="O980" s="251" t="str">
        <f>IFERROR(__xludf.DUMMYFUNCTION("""COMPUTED_VALUE"""),"--")</f>
        <v>--</v>
      </c>
      <c r="P980" s="251" t="str">
        <f>IFERROR(__xludf.DUMMYFUNCTION("""COMPUTED_VALUE"""),"--")</f>
        <v>--</v>
      </c>
      <c r="Q980" s="251" t="str">
        <f>IFERROR(__xludf.DUMMYFUNCTION("""COMPUTED_VALUE"""),"--")</f>
        <v>--</v>
      </c>
      <c r="R980" s="251" t="str">
        <f>IFERROR(__xludf.DUMMYFUNCTION("""COMPUTED_VALUE"""),"--")</f>
        <v>--</v>
      </c>
      <c r="S980" s="251" t="str">
        <f>IFERROR(__xludf.DUMMYFUNCTION("""COMPUTED_VALUE"""),"--")</f>
        <v>--</v>
      </c>
      <c r="T980" s="251" t="str">
        <f>IFERROR(__xludf.DUMMYFUNCTION("""COMPUTED_VALUE"""),"--")</f>
        <v>--</v>
      </c>
      <c r="U980" s="251" t="str">
        <f>IFERROR(__xludf.DUMMYFUNCTION("""COMPUTED_VALUE"""),"--")</f>
        <v>--</v>
      </c>
      <c r="V980" s="251" t="str">
        <f>IFERROR(__xludf.DUMMYFUNCTION("""COMPUTED_VALUE"""),"Gilled")</f>
        <v>Gilled</v>
      </c>
      <c r="W980" s="251" t="str">
        <f>IFERROR(__xludf.DUMMYFUNCTION("""COMPUTED_VALUE"""),"Tremorsense")</f>
        <v>Tremorsense</v>
      </c>
      <c r="X980" s="251" t="str">
        <f>IFERROR(__xludf.DUMMYFUNCTION("""COMPUTED_VALUE"""),"--")</f>
        <v>--</v>
      </c>
      <c r="Y980" s="251" t="str">
        <f>IFERROR(__xludf.DUMMYFUNCTION("""COMPUTED_VALUE"""),"--")</f>
        <v>--</v>
      </c>
      <c r="Z980" s="251" t="str">
        <f>IFERROR(__xludf.DUMMYFUNCTION("""COMPUTED_VALUE"""),"--")</f>
        <v>--</v>
      </c>
      <c r="AA980" s="251" t="str">
        <f>IFERROR(__xludf.DUMMYFUNCTION("""COMPUTED_VALUE"""),"--")</f>
        <v>--</v>
      </c>
      <c r="AB980" s="251" t="str">
        <f>IFERROR(__xludf.DUMMYFUNCTION("""COMPUTED_VALUE"""),"--")</f>
        <v>--</v>
      </c>
      <c r="AC980" s="251" t="str">
        <f>IFERROR(__xludf.DUMMYFUNCTION("""COMPUTED_VALUE"""),"--")</f>
        <v>--</v>
      </c>
      <c r="AD980" s="251">
        <f>IFERROR(__xludf.DUMMYFUNCTION("""COMPUTED_VALUE"""),3.0)</f>
        <v>3</v>
      </c>
      <c r="AE980" s="251" t="str">
        <f>IFERROR(__xludf.DUMMYFUNCTION("""COMPUTED_VALUE"""),"Omnivore")</f>
        <v>Omnivore</v>
      </c>
    </row>
    <row r="981">
      <c r="A981" s="251" t="str">
        <f>IFERROR(__xludf.DUMMYFUNCTION("""COMPUTED_VALUE"""),"Corphish")</f>
        <v>Corphish</v>
      </c>
      <c r="B981" s="251" t="str">
        <f>IFERROR(__xludf.DUMMYFUNCTION("""COMPUTED_VALUE"""),"Water")</f>
        <v>Water</v>
      </c>
      <c r="C981" s="251" t="str">
        <f>IFERROR(__xludf.DUMMYFUNCTION("""COMPUTED_VALUE"""),"None")</f>
        <v>None</v>
      </c>
      <c r="D981" s="251">
        <f>IFERROR(__xludf.DUMMYFUNCTION("""COMPUTED_VALUE"""),4.0)</f>
        <v>4</v>
      </c>
      <c r="E981" s="251">
        <f>IFERROR(__xludf.DUMMYFUNCTION("""COMPUTED_VALUE"""),8.0)</f>
        <v>8</v>
      </c>
      <c r="F981" s="251">
        <f>IFERROR(__xludf.DUMMYFUNCTION("""COMPUTED_VALUE"""),7.0)</f>
        <v>7</v>
      </c>
      <c r="G981" s="251">
        <f>IFERROR(__xludf.DUMMYFUNCTION("""COMPUTED_VALUE"""),5.0)</f>
        <v>5</v>
      </c>
      <c r="H981" s="251">
        <f>IFERROR(__xludf.DUMMYFUNCTION("""COMPUTED_VALUE"""),4.0)</f>
        <v>4</v>
      </c>
      <c r="I981" s="251">
        <f>IFERROR(__xludf.DUMMYFUNCTION("""COMPUTED_VALUE"""),4.0)</f>
        <v>4</v>
      </c>
      <c r="J981" s="251">
        <f>IFERROR(__xludf.DUMMYFUNCTION("""COMPUTED_VALUE"""),2.0)</f>
        <v>2</v>
      </c>
      <c r="K981" s="251" t="str">
        <f>IFERROR(__xludf.DUMMYFUNCTION("""COMPUTED_VALUE"""),"Small")</f>
        <v>Small</v>
      </c>
      <c r="L981" s="251">
        <f>IFERROR(__xludf.DUMMYFUNCTION("""COMPUTED_VALUE"""),2.0)</f>
        <v>2</v>
      </c>
      <c r="M981" s="251" t="str">
        <f>IFERROR(__xludf.DUMMYFUNCTION("""COMPUTED_VALUE"""),"Ocean")</f>
        <v>Ocean</v>
      </c>
      <c r="N981" s="251" t="str">
        <f>IFERROR(__xludf.DUMMYFUNCTION("""COMPUTED_VALUE"""),"Slow")</f>
        <v>Slow</v>
      </c>
      <c r="O981" s="251" t="str">
        <f>IFERROR(__xludf.DUMMYFUNCTION("""COMPUTED_VALUE"""),"Swimmer")</f>
        <v>Swimmer</v>
      </c>
      <c r="P981" s="251" t="str">
        <f>IFERROR(__xludf.DUMMYFUNCTION("""COMPUTED_VALUE"""),"--")</f>
        <v>--</v>
      </c>
      <c r="Q981" s="251" t="str">
        <f>IFERROR(__xludf.DUMMYFUNCTION("""COMPUTED_VALUE"""),"--")</f>
        <v>--</v>
      </c>
      <c r="R981" s="251" t="str">
        <f>IFERROR(__xludf.DUMMYFUNCTION("""COMPUTED_VALUE"""),"Underdog")</f>
        <v>Underdog</v>
      </c>
      <c r="S981" s="251" t="str">
        <f>IFERROR(__xludf.DUMMYFUNCTION("""COMPUTED_VALUE"""),"--")</f>
        <v>--</v>
      </c>
      <c r="T981" s="251" t="str">
        <f>IFERROR(__xludf.DUMMYFUNCTION("""COMPUTED_VALUE"""),"--")</f>
        <v>--</v>
      </c>
      <c r="U981" s="251" t="str">
        <f>IFERROR(__xludf.DUMMYFUNCTION("""COMPUTED_VALUE"""),"--")</f>
        <v>--</v>
      </c>
      <c r="V981" s="251" t="str">
        <f>IFERROR(__xludf.DUMMYFUNCTION("""COMPUTED_VALUE"""),"Gilled")</f>
        <v>Gilled</v>
      </c>
      <c r="W981" s="251" t="str">
        <f>IFERROR(__xludf.DUMMYFUNCTION("""COMPUTED_VALUE"""),"--")</f>
        <v>--</v>
      </c>
      <c r="X981" s="251" t="str">
        <f>IFERROR(__xludf.DUMMYFUNCTION("""COMPUTED_VALUE"""),"--")</f>
        <v>--</v>
      </c>
      <c r="Y981" s="251" t="str">
        <f>IFERROR(__xludf.DUMMYFUNCTION("""COMPUTED_VALUE"""),"--")</f>
        <v>--</v>
      </c>
      <c r="Z981" s="251" t="str">
        <f>IFERROR(__xludf.DUMMYFUNCTION("""COMPUTED_VALUE"""),"--")</f>
        <v>--</v>
      </c>
      <c r="AA981" s="251" t="str">
        <f>IFERROR(__xludf.DUMMYFUNCTION("""COMPUTED_VALUE"""),"--")</f>
        <v>--</v>
      </c>
      <c r="AB981" s="251" t="str">
        <f>IFERROR(__xludf.DUMMYFUNCTION("""COMPUTED_VALUE"""),"--")</f>
        <v>--</v>
      </c>
      <c r="AC981" s="251" t="str">
        <f>IFERROR(__xludf.DUMMYFUNCTION("""COMPUTED_VALUE"""),"--")</f>
        <v>--</v>
      </c>
      <c r="AD981" s="251">
        <f>IFERROR(__xludf.DUMMYFUNCTION("""COMPUTED_VALUE"""),2.0)</f>
        <v>2</v>
      </c>
      <c r="AE981" s="251" t="str">
        <f>IFERROR(__xludf.DUMMYFUNCTION("""COMPUTED_VALUE"""),"Carnivore")</f>
        <v>Carnivore</v>
      </c>
    </row>
    <row r="982">
      <c r="A982" s="251" t="str">
        <f>IFERROR(__xludf.DUMMYFUNCTION("""COMPUTED_VALUE"""),"Crawdaunt")</f>
        <v>Crawdaunt</v>
      </c>
      <c r="B982" s="251" t="str">
        <f>IFERROR(__xludf.DUMMYFUNCTION("""COMPUTED_VALUE"""),"Water")</f>
        <v>Water</v>
      </c>
      <c r="C982" s="251" t="str">
        <f>IFERROR(__xludf.DUMMYFUNCTION("""COMPUTED_VALUE"""),"Dark")</f>
        <v>Dark</v>
      </c>
      <c r="D982" s="251">
        <f>IFERROR(__xludf.DUMMYFUNCTION("""COMPUTED_VALUE"""),7.0)</f>
        <v>7</v>
      </c>
      <c r="E982" s="251">
        <f>IFERROR(__xludf.DUMMYFUNCTION("""COMPUTED_VALUE"""),12.0)</f>
        <v>12</v>
      </c>
      <c r="F982" s="251">
        <f>IFERROR(__xludf.DUMMYFUNCTION("""COMPUTED_VALUE"""),10.0)</f>
        <v>10</v>
      </c>
      <c r="G982" s="251">
        <f>IFERROR(__xludf.DUMMYFUNCTION("""COMPUTED_VALUE"""),10.0)</f>
        <v>10</v>
      </c>
      <c r="H982" s="251">
        <f>IFERROR(__xludf.DUMMYFUNCTION("""COMPUTED_VALUE"""),6.0)</f>
        <v>6</v>
      </c>
      <c r="I982" s="251">
        <f>IFERROR(__xludf.DUMMYFUNCTION("""COMPUTED_VALUE"""),6.0)</f>
        <v>6</v>
      </c>
      <c r="J982" s="251">
        <f>IFERROR(__xludf.DUMMYFUNCTION("""COMPUTED_VALUE"""),5.0)</f>
        <v>5</v>
      </c>
      <c r="K982" s="251" t="str">
        <f>IFERROR(__xludf.DUMMYFUNCTION("""COMPUTED_VALUE"""),"Medium")</f>
        <v>Medium</v>
      </c>
      <c r="L982" s="251">
        <f>IFERROR(__xludf.DUMMYFUNCTION("""COMPUTED_VALUE"""),3.0)</f>
        <v>3</v>
      </c>
      <c r="M982" s="251" t="str">
        <f>IFERROR(__xludf.DUMMYFUNCTION("""COMPUTED_VALUE"""),"Ocean")</f>
        <v>Ocean</v>
      </c>
      <c r="N982" s="251" t="str">
        <f>IFERROR(__xludf.DUMMYFUNCTION("""COMPUTED_VALUE"""),"Swimmer")</f>
        <v>Swimmer</v>
      </c>
      <c r="O982" s="251" t="str">
        <f>IFERROR(__xludf.DUMMYFUNCTION("""COMPUTED_VALUE"""),"--")</f>
        <v>--</v>
      </c>
      <c r="P982" s="251" t="str">
        <f>IFERROR(__xludf.DUMMYFUNCTION("""COMPUTED_VALUE"""),"--")</f>
        <v>--</v>
      </c>
      <c r="Q982" s="251" t="str">
        <f>IFERROR(__xludf.DUMMYFUNCTION("""COMPUTED_VALUE"""),"--")</f>
        <v>--</v>
      </c>
      <c r="R982" s="251" t="str">
        <f>IFERROR(__xludf.DUMMYFUNCTION("""COMPUTED_VALUE"""),"Darkvision")</f>
        <v>Darkvision</v>
      </c>
      <c r="S982" s="251" t="str">
        <f>IFERROR(__xludf.DUMMYFUNCTION("""COMPUTED_VALUE"""),"--")</f>
        <v>--</v>
      </c>
      <c r="T982" s="251" t="str">
        <f>IFERROR(__xludf.DUMMYFUNCTION("""COMPUTED_VALUE"""),"--")</f>
        <v>--</v>
      </c>
      <c r="U982" s="251" t="str">
        <f>IFERROR(__xludf.DUMMYFUNCTION("""COMPUTED_VALUE"""),"--")</f>
        <v>--</v>
      </c>
      <c r="V982" s="251" t="str">
        <f>IFERROR(__xludf.DUMMYFUNCTION("""COMPUTED_VALUE"""),"Gilled")</f>
        <v>Gilled</v>
      </c>
      <c r="W982" s="251" t="str">
        <f>IFERROR(__xludf.DUMMYFUNCTION("""COMPUTED_VALUE"""),"--")</f>
        <v>--</v>
      </c>
      <c r="X982" s="251" t="str">
        <f>IFERROR(__xludf.DUMMYFUNCTION("""COMPUTED_VALUE"""),"--")</f>
        <v>--</v>
      </c>
      <c r="Y982" s="251" t="str">
        <f>IFERROR(__xludf.DUMMYFUNCTION("""COMPUTED_VALUE"""),"--")</f>
        <v>--</v>
      </c>
      <c r="Z982" s="251" t="str">
        <f>IFERROR(__xludf.DUMMYFUNCTION("""COMPUTED_VALUE"""),"--")</f>
        <v>--</v>
      </c>
      <c r="AA982" s="251" t="str">
        <f>IFERROR(__xludf.DUMMYFUNCTION("""COMPUTED_VALUE"""),"--")</f>
        <v>--</v>
      </c>
      <c r="AB982" s="251" t="str">
        <f>IFERROR(__xludf.DUMMYFUNCTION("""COMPUTED_VALUE"""),"--")</f>
        <v>--</v>
      </c>
      <c r="AC982" s="251" t="str">
        <f>IFERROR(__xludf.DUMMYFUNCTION("""COMPUTED_VALUE"""),"--")</f>
        <v>--</v>
      </c>
      <c r="AD982" s="251">
        <f>IFERROR(__xludf.DUMMYFUNCTION("""COMPUTED_VALUE"""),3.0)</f>
        <v>3</v>
      </c>
      <c r="AE982" s="251" t="str">
        <f>IFERROR(__xludf.DUMMYFUNCTION("""COMPUTED_VALUE"""),"Carnivore")</f>
        <v>Carnivore</v>
      </c>
    </row>
    <row r="983">
      <c r="A983" s="251" t="str">
        <f>IFERROR(__xludf.DUMMYFUNCTION("""COMPUTED_VALUE"""),"Feebas")</f>
        <v>Feebas</v>
      </c>
      <c r="B983" s="251" t="str">
        <f>IFERROR(__xludf.DUMMYFUNCTION("""COMPUTED_VALUE"""),"Water")</f>
        <v>Water</v>
      </c>
      <c r="C983" s="251" t="str">
        <f>IFERROR(__xludf.DUMMYFUNCTION("""COMPUTED_VALUE"""),"None")</f>
        <v>None</v>
      </c>
      <c r="D983" s="251">
        <f>IFERROR(__xludf.DUMMYFUNCTION("""COMPUTED_VALUE"""),4.0)</f>
        <v>4</v>
      </c>
      <c r="E983" s="251">
        <f>IFERROR(__xludf.DUMMYFUNCTION("""COMPUTED_VALUE"""),4.0)</f>
        <v>4</v>
      </c>
      <c r="F983" s="251">
        <f>IFERROR(__xludf.DUMMYFUNCTION("""COMPUTED_VALUE"""),4.0)</f>
        <v>4</v>
      </c>
      <c r="G983" s="251">
        <f>IFERROR(__xludf.DUMMYFUNCTION("""COMPUTED_VALUE"""),2.0)</f>
        <v>2</v>
      </c>
      <c r="H983" s="251">
        <f>IFERROR(__xludf.DUMMYFUNCTION("""COMPUTED_VALUE"""),7.0)</f>
        <v>7</v>
      </c>
      <c r="I983" s="251">
        <f>IFERROR(__xludf.DUMMYFUNCTION("""COMPUTED_VALUE"""),9.0)</f>
        <v>9</v>
      </c>
      <c r="J983" s="251">
        <f>IFERROR(__xludf.DUMMYFUNCTION("""COMPUTED_VALUE"""),1.0)</f>
        <v>1</v>
      </c>
      <c r="K983" s="251" t="str">
        <f>IFERROR(__xludf.DUMMYFUNCTION("""COMPUTED_VALUE"""),"Small")</f>
        <v>Small</v>
      </c>
      <c r="L983" s="251">
        <f>IFERROR(__xludf.DUMMYFUNCTION("""COMPUTED_VALUE"""),1.0)</f>
        <v>1</v>
      </c>
      <c r="M983" s="251" t="str">
        <f>IFERROR(__xludf.DUMMYFUNCTION("""COMPUTED_VALUE"""),"Ocean")</f>
        <v>Ocean</v>
      </c>
      <c r="N983" s="251" t="str">
        <f>IFERROR(__xludf.DUMMYFUNCTION("""COMPUTED_VALUE"""),"Slow")</f>
        <v>Slow</v>
      </c>
      <c r="O983" s="251" t="str">
        <f>IFERROR(__xludf.DUMMYFUNCTION("""COMPUTED_VALUE"""),"Swimmer")</f>
        <v>Swimmer</v>
      </c>
      <c r="P983" s="251" t="str">
        <f>IFERROR(__xludf.DUMMYFUNCTION("""COMPUTED_VALUE"""),"--")</f>
        <v>--</v>
      </c>
      <c r="Q983" s="251" t="str">
        <f>IFERROR(__xludf.DUMMYFUNCTION("""COMPUTED_VALUE"""),"--")</f>
        <v>--</v>
      </c>
      <c r="R983" s="251" t="str">
        <f>IFERROR(__xludf.DUMMYFUNCTION("""COMPUTED_VALUE"""),"Underdog")</f>
        <v>Underdog</v>
      </c>
      <c r="S983" s="251" t="str">
        <f>IFERROR(__xludf.DUMMYFUNCTION("""COMPUTED_VALUE"""),"--")</f>
        <v>--</v>
      </c>
      <c r="T983" s="251" t="str">
        <f>IFERROR(__xludf.DUMMYFUNCTION("""COMPUTED_VALUE"""),"--")</f>
        <v>--</v>
      </c>
      <c r="U983" s="251" t="str">
        <f>IFERROR(__xludf.DUMMYFUNCTION("""COMPUTED_VALUE"""),"--")</f>
        <v>--</v>
      </c>
      <c r="V983" s="251" t="str">
        <f>IFERROR(__xludf.DUMMYFUNCTION("""COMPUTED_VALUE"""),"Gilled")</f>
        <v>Gilled</v>
      </c>
      <c r="W983" s="251" t="str">
        <f>IFERROR(__xludf.DUMMYFUNCTION("""COMPUTED_VALUE"""),"--")</f>
        <v>--</v>
      </c>
      <c r="X983" s="251" t="str">
        <f>IFERROR(__xludf.DUMMYFUNCTION("""COMPUTED_VALUE"""),"--")</f>
        <v>--</v>
      </c>
      <c r="Y983" s="251" t="str">
        <f>IFERROR(__xludf.DUMMYFUNCTION("""COMPUTED_VALUE"""),"--")</f>
        <v>--</v>
      </c>
      <c r="Z983" s="251" t="str">
        <f>IFERROR(__xludf.DUMMYFUNCTION("""COMPUTED_VALUE"""),"--")</f>
        <v>--</v>
      </c>
      <c r="AA983" s="251" t="str">
        <f>IFERROR(__xludf.DUMMYFUNCTION("""COMPUTED_VALUE"""),"--")</f>
        <v>--</v>
      </c>
      <c r="AB983" s="251" t="str">
        <f>IFERROR(__xludf.DUMMYFUNCTION("""COMPUTED_VALUE"""),"--")</f>
        <v>--</v>
      </c>
      <c r="AC983" s="251" t="str">
        <f>IFERROR(__xludf.DUMMYFUNCTION("""COMPUTED_VALUE"""),"--")</f>
        <v>--</v>
      </c>
      <c r="AD983" s="251">
        <f>IFERROR(__xludf.DUMMYFUNCTION("""COMPUTED_VALUE"""),2.0)</f>
        <v>2</v>
      </c>
      <c r="AE983" s="251" t="str">
        <f>IFERROR(__xludf.DUMMYFUNCTION("""COMPUTED_VALUE"""),"Herbivore")</f>
        <v>Herbivore</v>
      </c>
    </row>
    <row r="984">
      <c r="A984" s="251" t="str">
        <f>IFERROR(__xludf.DUMMYFUNCTION("""COMPUTED_VALUE"""),"Milotic")</f>
        <v>Milotic</v>
      </c>
      <c r="B984" s="251" t="str">
        <f>IFERROR(__xludf.DUMMYFUNCTION("""COMPUTED_VALUE"""),"Water")</f>
        <v>Water</v>
      </c>
      <c r="C984" s="251" t="str">
        <f>IFERROR(__xludf.DUMMYFUNCTION("""COMPUTED_VALUE"""),"None")</f>
        <v>None</v>
      </c>
      <c r="D984" s="251">
        <f>IFERROR(__xludf.DUMMYFUNCTION("""COMPUTED_VALUE"""),10.0)</f>
        <v>10</v>
      </c>
      <c r="E984" s="251">
        <f>IFERROR(__xludf.DUMMYFUNCTION("""COMPUTED_VALUE"""),6.0)</f>
        <v>6</v>
      </c>
      <c r="F984" s="251">
        <f>IFERROR(__xludf.DUMMYFUNCTION("""COMPUTED_VALUE"""),8.0)</f>
        <v>8</v>
      </c>
      <c r="G984" s="251">
        <f>IFERROR(__xludf.DUMMYFUNCTION("""COMPUTED_VALUE"""),10.0)</f>
        <v>10</v>
      </c>
      <c r="H984" s="251">
        <f>IFERROR(__xludf.DUMMYFUNCTION("""COMPUTED_VALUE"""),13.0)</f>
        <v>13</v>
      </c>
      <c r="I984" s="251">
        <f>IFERROR(__xludf.DUMMYFUNCTION("""COMPUTED_VALUE"""),8.0)</f>
        <v>8</v>
      </c>
      <c r="J984" s="251">
        <f>IFERROR(__xludf.DUMMYFUNCTION("""COMPUTED_VALUE"""),8.0)</f>
        <v>8</v>
      </c>
      <c r="K984" s="251" t="str">
        <f>IFERROR(__xludf.DUMMYFUNCTION("""COMPUTED_VALUE"""),"Large")</f>
        <v>Large</v>
      </c>
      <c r="L984" s="251">
        <f>IFERROR(__xludf.DUMMYFUNCTION("""COMPUTED_VALUE"""),5.0)</f>
        <v>5</v>
      </c>
      <c r="M984" s="251" t="str">
        <f>IFERROR(__xludf.DUMMYFUNCTION("""COMPUTED_VALUE"""),"Ocean")</f>
        <v>Ocean</v>
      </c>
      <c r="N984" s="251" t="str">
        <f>IFERROR(__xludf.DUMMYFUNCTION("""COMPUTED_VALUE"""),"Swimmer")</f>
        <v>Swimmer</v>
      </c>
      <c r="O984" s="251" t="str">
        <f>IFERROR(__xludf.DUMMYFUNCTION("""COMPUTED_VALUE"""),"--")</f>
        <v>--</v>
      </c>
      <c r="P984" s="251" t="str">
        <f>IFERROR(__xludf.DUMMYFUNCTION("""COMPUTED_VALUE"""),"--")</f>
        <v>--</v>
      </c>
      <c r="Q984" s="251" t="str">
        <f>IFERROR(__xludf.DUMMYFUNCTION("""COMPUTED_VALUE"""),"--")</f>
        <v>--</v>
      </c>
      <c r="R984" s="251" t="str">
        <f>IFERROR(__xludf.DUMMYFUNCTION("""COMPUTED_VALUE"""),"Mountable")</f>
        <v>Mountable</v>
      </c>
      <c r="S984" s="251" t="str">
        <f>IFERROR(__xludf.DUMMYFUNCTION("""COMPUTED_VALUE"""),"--")</f>
        <v>--</v>
      </c>
      <c r="T984" s="251" t="str">
        <f>IFERROR(__xludf.DUMMYFUNCTION("""COMPUTED_VALUE"""),"--")</f>
        <v>--</v>
      </c>
      <c r="U984" s="251" t="str">
        <f>IFERROR(__xludf.DUMMYFUNCTION("""COMPUTED_VALUE"""),"--")</f>
        <v>--</v>
      </c>
      <c r="V984" s="251" t="str">
        <f>IFERROR(__xludf.DUMMYFUNCTION("""COMPUTED_VALUE"""),"Gilled")</f>
        <v>Gilled</v>
      </c>
      <c r="W984" s="251" t="str">
        <f>IFERROR(__xludf.DUMMYFUNCTION("""COMPUTED_VALUE"""),"--")</f>
        <v>--</v>
      </c>
      <c r="X984" s="251" t="str">
        <f>IFERROR(__xludf.DUMMYFUNCTION("""COMPUTED_VALUE"""),"--")</f>
        <v>--</v>
      </c>
      <c r="Y984" s="251" t="str">
        <f>IFERROR(__xludf.DUMMYFUNCTION("""COMPUTED_VALUE"""),"--")</f>
        <v>--</v>
      </c>
      <c r="Z984" s="251" t="str">
        <f>IFERROR(__xludf.DUMMYFUNCTION("""COMPUTED_VALUE"""),"--")</f>
        <v>--</v>
      </c>
      <c r="AA984" s="251" t="str">
        <f>IFERROR(__xludf.DUMMYFUNCTION("""COMPUTED_VALUE"""),"--")</f>
        <v>--</v>
      </c>
      <c r="AB984" s="251" t="str">
        <f>IFERROR(__xludf.DUMMYFUNCTION("""COMPUTED_VALUE"""),"--")</f>
        <v>--</v>
      </c>
      <c r="AC984" s="251" t="str">
        <f>IFERROR(__xludf.DUMMYFUNCTION("""COMPUTED_VALUE"""),"--")</f>
        <v>--</v>
      </c>
      <c r="AD984" s="251">
        <f>IFERROR(__xludf.DUMMYFUNCTION("""COMPUTED_VALUE"""),3.0)</f>
        <v>3</v>
      </c>
      <c r="AE984" s="251" t="str">
        <f>IFERROR(__xludf.DUMMYFUNCTION("""COMPUTED_VALUE"""),"Herbivore")</f>
        <v>Herbivore</v>
      </c>
    </row>
    <row r="985">
      <c r="A985" s="251" t="str">
        <f>IFERROR(__xludf.DUMMYFUNCTION("""COMPUTED_VALUE"""),"Clamperl")</f>
        <v>Clamperl</v>
      </c>
      <c r="B985" s="251" t="str">
        <f>IFERROR(__xludf.DUMMYFUNCTION("""COMPUTED_VALUE"""),"Water")</f>
        <v>Water</v>
      </c>
      <c r="C985" s="251" t="str">
        <f>IFERROR(__xludf.DUMMYFUNCTION("""COMPUTED_VALUE"""),"None")</f>
        <v>None</v>
      </c>
      <c r="D985" s="251">
        <f>IFERROR(__xludf.DUMMYFUNCTION("""COMPUTED_VALUE"""),4.0)</f>
        <v>4</v>
      </c>
      <c r="E985" s="251">
        <f>IFERROR(__xludf.DUMMYFUNCTION("""COMPUTED_VALUE"""),6.0)</f>
        <v>6</v>
      </c>
      <c r="F985" s="251">
        <f>IFERROR(__xludf.DUMMYFUNCTION("""COMPUTED_VALUE"""),9.0)</f>
        <v>9</v>
      </c>
      <c r="G985" s="251">
        <f>IFERROR(__xludf.DUMMYFUNCTION("""COMPUTED_VALUE"""),7.0)</f>
        <v>7</v>
      </c>
      <c r="H985" s="251">
        <f>IFERROR(__xludf.DUMMYFUNCTION("""COMPUTED_VALUE"""),6.0)</f>
        <v>6</v>
      </c>
      <c r="I985" s="251">
        <f>IFERROR(__xludf.DUMMYFUNCTION("""COMPUTED_VALUE"""),3.0)</f>
        <v>3</v>
      </c>
      <c r="J985" s="251">
        <f>IFERROR(__xludf.DUMMYFUNCTION("""COMPUTED_VALUE"""),2.0)</f>
        <v>2</v>
      </c>
      <c r="K985" s="251" t="str">
        <f>IFERROR(__xludf.DUMMYFUNCTION("""COMPUTED_VALUE"""),"Small")</f>
        <v>Small</v>
      </c>
      <c r="L985" s="251">
        <f>IFERROR(__xludf.DUMMYFUNCTION("""COMPUTED_VALUE"""),5.0)</f>
        <v>5</v>
      </c>
      <c r="M985" s="251" t="str">
        <f>IFERROR(__xludf.DUMMYFUNCTION("""COMPUTED_VALUE"""),"Ocean")</f>
        <v>Ocean</v>
      </c>
      <c r="N985" s="251" t="str">
        <f>IFERROR(__xludf.DUMMYFUNCTION("""COMPUTED_VALUE"""),"Grounded")</f>
        <v>Grounded</v>
      </c>
      <c r="O985" s="251" t="str">
        <f>IFERROR(__xludf.DUMMYFUNCTION("""COMPUTED_VALUE"""),"Slow")</f>
        <v>Slow</v>
      </c>
      <c r="P985" s="251" t="str">
        <f>IFERROR(__xludf.DUMMYFUNCTION("""COMPUTED_VALUE"""),"Swimmer")</f>
        <v>Swimmer</v>
      </c>
      <c r="Q985" s="251" t="str">
        <f>IFERROR(__xludf.DUMMYFUNCTION("""COMPUTED_VALUE"""),"--")</f>
        <v>--</v>
      </c>
      <c r="R985" s="251" t="str">
        <f>IFERROR(__xludf.DUMMYFUNCTION("""COMPUTED_VALUE"""),"Underdog")</f>
        <v>Underdog</v>
      </c>
      <c r="S985" s="251" t="str">
        <f>IFERROR(__xludf.DUMMYFUNCTION("""COMPUTED_VALUE"""),"--")</f>
        <v>--</v>
      </c>
      <c r="T985" s="251" t="str">
        <f>IFERROR(__xludf.DUMMYFUNCTION("""COMPUTED_VALUE"""),"--")</f>
        <v>--</v>
      </c>
      <c r="U985" s="251" t="str">
        <f>IFERROR(__xludf.DUMMYFUNCTION("""COMPUTED_VALUE"""),"--")</f>
        <v>--</v>
      </c>
      <c r="V985" s="251" t="str">
        <f>IFERROR(__xludf.DUMMYFUNCTION("""COMPUTED_VALUE"""),"Gilled")</f>
        <v>Gilled</v>
      </c>
      <c r="W985" s="251" t="str">
        <f>IFERROR(__xludf.DUMMYFUNCTION("""COMPUTED_VALUE"""),"--")</f>
        <v>--</v>
      </c>
      <c r="X985" s="251" t="str">
        <f>IFERROR(__xludf.DUMMYFUNCTION("""COMPUTED_VALUE"""),"--")</f>
        <v>--</v>
      </c>
      <c r="Y985" s="251" t="str">
        <f>IFERROR(__xludf.DUMMYFUNCTION("""COMPUTED_VALUE"""),"--")</f>
        <v>--</v>
      </c>
      <c r="Z985" s="251" t="str">
        <f>IFERROR(__xludf.DUMMYFUNCTION("""COMPUTED_VALUE"""),"--")</f>
        <v>--</v>
      </c>
      <c r="AA985" s="251" t="str">
        <f>IFERROR(__xludf.DUMMYFUNCTION("""COMPUTED_VALUE"""),"--")</f>
        <v>--</v>
      </c>
      <c r="AB985" s="251" t="str">
        <f>IFERROR(__xludf.DUMMYFUNCTION("""COMPUTED_VALUE"""),"--")</f>
        <v>--</v>
      </c>
      <c r="AC985" s="251" t="str">
        <f>IFERROR(__xludf.DUMMYFUNCTION("""COMPUTED_VALUE"""),"--")</f>
        <v>--</v>
      </c>
      <c r="AD985" s="251">
        <f>IFERROR(__xludf.DUMMYFUNCTION("""COMPUTED_VALUE"""),2.0)</f>
        <v>2</v>
      </c>
      <c r="AE985" s="251" t="str">
        <f>IFERROR(__xludf.DUMMYFUNCTION("""COMPUTED_VALUE"""),"Carnivore")</f>
        <v>Carnivore</v>
      </c>
    </row>
    <row r="986">
      <c r="A986" s="251" t="str">
        <f>IFERROR(__xludf.DUMMYFUNCTION("""COMPUTED_VALUE"""),"Huntail")</f>
        <v>Huntail</v>
      </c>
      <c r="B986" s="251" t="str">
        <f>IFERROR(__xludf.DUMMYFUNCTION("""COMPUTED_VALUE"""),"Water")</f>
        <v>Water</v>
      </c>
      <c r="C986" s="251" t="str">
        <f>IFERROR(__xludf.DUMMYFUNCTION("""COMPUTED_VALUE"""),"None")</f>
        <v>None</v>
      </c>
      <c r="D986" s="251">
        <f>IFERROR(__xludf.DUMMYFUNCTION("""COMPUTED_VALUE"""),6.0)</f>
        <v>6</v>
      </c>
      <c r="E986" s="251">
        <f>IFERROR(__xludf.DUMMYFUNCTION("""COMPUTED_VALUE"""),12.0)</f>
        <v>12</v>
      </c>
      <c r="F986" s="251">
        <f>IFERROR(__xludf.DUMMYFUNCTION("""COMPUTED_VALUE"""),11.0)</f>
        <v>11</v>
      </c>
      <c r="G986" s="251">
        <f>IFERROR(__xludf.DUMMYFUNCTION("""COMPUTED_VALUE"""),9.0)</f>
        <v>9</v>
      </c>
      <c r="H986" s="251">
        <f>IFERROR(__xludf.DUMMYFUNCTION("""COMPUTED_VALUE"""),8.0)</f>
        <v>8</v>
      </c>
      <c r="I986" s="251">
        <f>IFERROR(__xludf.DUMMYFUNCTION("""COMPUTED_VALUE"""),5.0)</f>
        <v>5</v>
      </c>
      <c r="J986" s="251">
        <f>IFERROR(__xludf.DUMMYFUNCTION("""COMPUTED_VALUE"""),3.0)</f>
        <v>3</v>
      </c>
      <c r="K986" s="251" t="str">
        <f>IFERROR(__xludf.DUMMYFUNCTION("""COMPUTED_VALUE"""),"Medium")</f>
        <v>Medium</v>
      </c>
      <c r="L986" s="251">
        <f>IFERROR(__xludf.DUMMYFUNCTION("""COMPUTED_VALUE"""),3.0)</f>
        <v>3</v>
      </c>
      <c r="M986" s="251" t="str">
        <f>IFERROR(__xludf.DUMMYFUNCTION("""COMPUTED_VALUE"""),"Ocean")</f>
        <v>Ocean</v>
      </c>
      <c r="N986" s="251" t="str">
        <f>IFERROR(__xludf.DUMMYFUNCTION("""COMPUTED_VALUE"""),"Swimmer")</f>
        <v>Swimmer</v>
      </c>
      <c r="O986" s="251" t="str">
        <f>IFERROR(__xludf.DUMMYFUNCTION("""COMPUTED_VALUE"""),"--")</f>
        <v>--</v>
      </c>
      <c r="P986" s="251" t="str">
        <f>IFERROR(__xludf.DUMMYFUNCTION("""COMPUTED_VALUE"""),"--")</f>
        <v>--</v>
      </c>
      <c r="Q986" s="251" t="str">
        <f>IFERROR(__xludf.DUMMYFUNCTION("""COMPUTED_VALUE"""),"--")</f>
        <v>--</v>
      </c>
      <c r="R986" s="251" t="str">
        <f>IFERROR(__xludf.DUMMYFUNCTION("""COMPUTED_VALUE"""),"--")</f>
        <v>--</v>
      </c>
      <c r="S986" s="251" t="str">
        <f>IFERROR(__xludf.DUMMYFUNCTION("""COMPUTED_VALUE"""),"--")</f>
        <v>--</v>
      </c>
      <c r="T986" s="251" t="str">
        <f>IFERROR(__xludf.DUMMYFUNCTION("""COMPUTED_VALUE"""),"--")</f>
        <v>--</v>
      </c>
      <c r="U986" s="251" t="str">
        <f>IFERROR(__xludf.DUMMYFUNCTION("""COMPUTED_VALUE"""),"--")</f>
        <v>--</v>
      </c>
      <c r="V986" s="251" t="str">
        <f>IFERROR(__xludf.DUMMYFUNCTION("""COMPUTED_VALUE"""),"Gilled")</f>
        <v>Gilled</v>
      </c>
      <c r="W986" s="251" t="str">
        <f>IFERROR(__xludf.DUMMYFUNCTION("""COMPUTED_VALUE"""),"--")</f>
        <v>--</v>
      </c>
      <c r="X986" s="251" t="str">
        <f>IFERROR(__xludf.DUMMYFUNCTION("""COMPUTED_VALUE"""),"--")</f>
        <v>--</v>
      </c>
      <c r="Y986" s="251" t="str">
        <f>IFERROR(__xludf.DUMMYFUNCTION("""COMPUTED_VALUE"""),"--")</f>
        <v>--</v>
      </c>
      <c r="Z986" s="251" t="str">
        <f>IFERROR(__xludf.DUMMYFUNCTION("""COMPUTED_VALUE"""),"--")</f>
        <v>--</v>
      </c>
      <c r="AA986" s="251" t="str">
        <f>IFERROR(__xludf.DUMMYFUNCTION("""COMPUTED_VALUE"""),"--")</f>
        <v>--</v>
      </c>
      <c r="AB986" s="251" t="str">
        <f>IFERROR(__xludf.DUMMYFUNCTION("""COMPUTED_VALUE"""),"--")</f>
        <v>--</v>
      </c>
      <c r="AC986" s="251" t="str">
        <f>IFERROR(__xludf.DUMMYFUNCTION("""COMPUTED_VALUE"""),"--")</f>
        <v>--</v>
      </c>
      <c r="AD986" s="251">
        <f>IFERROR(__xludf.DUMMYFUNCTION("""COMPUTED_VALUE"""),3.0)</f>
        <v>3</v>
      </c>
      <c r="AE986" s="251" t="str">
        <f>IFERROR(__xludf.DUMMYFUNCTION("""COMPUTED_VALUE"""),"Carnivore")</f>
        <v>Carnivore</v>
      </c>
    </row>
    <row r="987">
      <c r="A987" s="251" t="str">
        <f>IFERROR(__xludf.DUMMYFUNCTION("""COMPUTED_VALUE"""),"Gorebyss")</f>
        <v>Gorebyss</v>
      </c>
      <c r="B987" s="251" t="str">
        <f>IFERROR(__xludf.DUMMYFUNCTION("""COMPUTED_VALUE"""),"Water")</f>
        <v>Water</v>
      </c>
      <c r="C987" s="251" t="str">
        <f>IFERROR(__xludf.DUMMYFUNCTION("""COMPUTED_VALUE"""),"None")</f>
        <v>None</v>
      </c>
      <c r="D987" s="251">
        <f>IFERROR(__xludf.DUMMYFUNCTION("""COMPUTED_VALUE"""),6.0)</f>
        <v>6</v>
      </c>
      <c r="E987" s="251">
        <f>IFERROR(__xludf.DUMMYFUNCTION("""COMPUTED_VALUE"""),8.0)</f>
        <v>8</v>
      </c>
      <c r="F987" s="251">
        <f>IFERROR(__xludf.DUMMYFUNCTION("""COMPUTED_VALUE"""),12.0)</f>
        <v>12</v>
      </c>
      <c r="G987" s="251">
        <f>IFERROR(__xludf.DUMMYFUNCTION("""COMPUTED_VALUE"""),12.0)</f>
        <v>12</v>
      </c>
      <c r="H987" s="251">
        <f>IFERROR(__xludf.DUMMYFUNCTION("""COMPUTED_VALUE"""),8.0)</f>
        <v>8</v>
      </c>
      <c r="I987" s="251">
        <f>IFERROR(__xludf.DUMMYFUNCTION("""COMPUTED_VALUE"""),5.0)</f>
        <v>5</v>
      </c>
      <c r="J987" s="251">
        <f>IFERROR(__xludf.DUMMYFUNCTION("""COMPUTED_VALUE"""),3.0)</f>
        <v>3</v>
      </c>
      <c r="K987" s="251" t="str">
        <f>IFERROR(__xludf.DUMMYFUNCTION("""COMPUTED_VALUE"""),"Medium")</f>
        <v>Medium</v>
      </c>
      <c r="L987" s="251">
        <f>IFERROR(__xludf.DUMMYFUNCTION("""COMPUTED_VALUE"""),2.0)</f>
        <v>2</v>
      </c>
      <c r="M987" s="251" t="str">
        <f>IFERROR(__xludf.DUMMYFUNCTION("""COMPUTED_VALUE"""),"Ocean")</f>
        <v>Ocean</v>
      </c>
      <c r="N987" s="251" t="str">
        <f>IFERROR(__xludf.DUMMYFUNCTION("""COMPUTED_VALUE"""),"Swimmer")</f>
        <v>Swimmer</v>
      </c>
      <c r="O987" s="251" t="str">
        <f>IFERROR(__xludf.DUMMYFUNCTION("""COMPUTED_VALUE"""),"--")</f>
        <v>--</v>
      </c>
      <c r="P987" s="251" t="str">
        <f>IFERROR(__xludf.DUMMYFUNCTION("""COMPUTED_VALUE"""),"--")</f>
        <v>--</v>
      </c>
      <c r="Q987" s="251" t="str">
        <f>IFERROR(__xludf.DUMMYFUNCTION("""COMPUTED_VALUE"""),"--")</f>
        <v>--</v>
      </c>
      <c r="R987" s="251" t="str">
        <f>IFERROR(__xludf.DUMMYFUNCTION("""COMPUTED_VALUE"""),"--")</f>
        <v>--</v>
      </c>
      <c r="S987" s="251" t="str">
        <f>IFERROR(__xludf.DUMMYFUNCTION("""COMPUTED_VALUE"""),"--")</f>
        <v>--</v>
      </c>
      <c r="T987" s="251" t="str">
        <f>IFERROR(__xludf.DUMMYFUNCTION("""COMPUTED_VALUE"""),"--")</f>
        <v>--</v>
      </c>
      <c r="U987" s="251" t="str">
        <f>IFERROR(__xludf.DUMMYFUNCTION("""COMPUTED_VALUE"""),"--")</f>
        <v>--</v>
      </c>
      <c r="V987" s="251" t="str">
        <f>IFERROR(__xludf.DUMMYFUNCTION("""COMPUTED_VALUE"""),"Gilled")</f>
        <v>Gilled</v>
      </c>
      <c r="W987" s="251" t="str">
        <f>IFERROR(__xludf.DUMMYFUNCTION("""COMPUTED_VALUE"""),"--")</f>
        <v>--</v>
      </c>
      <c r="X987" s="251" t="str">
        <f>IFERROR(__xludf.DUMMYFUNCTION("""COMPUTED_VALUE"""),"--")</f>
        <v>--</v>
      </c>
      <c r="Y987" s="251" t="str">
        <f>IFERROR(__xludf.DUMMYFUNCTION("""COMPUTED_VALUE"""),"--")</f>
        <v>--</v>
      </c>
      <c r="Z987" s="251" t="str">
        <f>IFERROR(__xludf.DUMMYFUNCTION("""COMPUTED_VALUE"""),"--")</f>
        <v>--</v>
      </c>
      <c r="AA987" s="251" t="str">
        <f>IFERROR(__xludf.DUMMYFUNCTION("""COMPUTED_VALUE"""),"--")</f>
        <v>--</v>
      </c>
      <c r="AB987" s="251" t="str">
        <f>IFERROR(__xludf.DUMMYFUNCTION("""COMPUTED_VALUE"""),"--")</f>
        <v>--</v>
      </c>
      <c r="AC987" s="251" t="str">
        <f>IFERROR(__xludf.DUMMYFUNCTION("""COMPUTED_VALUE"""),"--")</f>
        <v>--</v>
      </c>
      <c r="AD987" s="251">
        <f>IFERROR(__xludf.DUMMYFUNCTION("""COMPUTED_VALUE"""),3.0)</f>
        <v>3</v>
      </c>
      <c r="AE987" s="251" t="str">
        <f>IFERROR(__xludf.DUMMYFUNCTION("""COMPUTED_VALUE"""),"Carnivore")</f>
        <v>Carnivore</v>
      </c>
    </row>
    <row r="988">
      <c r="A988" s="251" t="str">
        <f>IFERROR(__xludf.DUMMYFUNCTION("""COMPUTED_VALUE"""),"Buizel")</f>
        <v>Buizel</v>
      </c>
      <c r="B988" s="251" t="str">
        <f>IFERROR(__xludf.DUMMYFUNCTION("""COMPUTED_VALUE"""),"Water")</f>
        <v>Water</v>
      </c>
      <c r="C988" s="251" t="str">
        <f>IFERROR(__xludf.DUMMYFUNCTION("""COMPUTED_VALUE"""),"None")</f>
        <v>None</v>
      </c>
      <c r="D988" s="251">
        <f>IFERROR(__xludf.DUMMYFUNCTION("""COMPUTED_VALUE"""),6.0)</f>
        <v>6</v>
      </c>
      <c r="E988" s="251">
        <f>IFERROR(__xludf.DUMMYFUNCTION("""COMPUTED_VALUE"""),7.0)</f>
        <v>7</v>
      </c>
      <c r="F988" s="251">
        <f>IFERROR(__xludf.DUMMYFUNCTION("""COMPUTED_VALUE"""),4.0)</f>
        <v>4</v>
      </c>
      <c r="G988" s="251">
        <f>IFERROR(__xludf.DUMMYFUNCTION("""COMPUTED_VALUE"""),6.0)</f>
        <v>6</v>
      </c>
      <c r="H988" s="251">
        <f>IFERROR(__xludf.DUMMYFUNCTION("""COMPUTED_VALUE"""),3.0)</f>
        <v>3</v>
      </c>
      <c r="I988" s="251">
        <f>IFERROR(__xludf.DUMMYFUNCTION("""COMPUTED_VALUE"""),9.0)</f>
        <v>9</v>
      </c>
      <c r="J988" s="251">
        <f>IFERROR(__xludf.DUMMYFUNCTION("""COMPUTED_VALUE"""),2.0)</f>
        <v>2</v>
      </c>
      <c r="K988" s="251" t="str">
        <f>IFERROR(__xludf.DUMMYFUNCTION("""COMPUTED_VALUE"""),"Small")</f>
        <v>Small</v>
      </c>
      <c r="L988" s="251">
        <f>IFERROR(__xludf.DUMMYFUNCTION("""COMPUTED_VALUE"""),3.0)</f>
        <v>3</v>
      </c>
      <c r="M988" s="251" t="str">
        <f>IFERROR(__xludf.DUMMYFUNCTION("""COMPUTED_VALUE"""),"Grasslands, Wetlands")</f>
        <v>Grasslands, Wetlands</v>
      </c>
      <c r="N988" s="251" t="str">
        <f>IFERROR(__xludf.DUMMYFUNCTION("""COMPUTED_VALUE"""),"Quick")</f>
        <v>Quick</v>
      </c>
      <c r="O988" s="251" t="str">
        <f>IFERROR(__xludf.DUMMYFUNCTION("""COMPUTED_VALUE"""),"Swimmer")</f>
        <v>Swimmer</v>
      </c>
      <c r="P988" s="251" t="str">
        <f>IFERROR(__xludf.DUMMYFUNCTION("""COMPUTED_VALUE"""),"--")</f>
        <v>--</v>
      </c>
      <c r="Q988" s="251" t="str">
        <f>IFERROR(__xludf.DUMMYFUNCTION("""COMPUTED_VALUE"""),"--")</f>
        <v>--</v>
      </c>
      <c r="R988" s="251" t="str">
        <f>IFERROR(__xludf.DUMMYFUNCTION("""COMPUTED_VALUE"""),"Underdog")</f>
        <v>Underdog</v>
      </c>
      <c r="S988" s="251" t="str">
        <f>IFERROR(__xludf.DUMMYFUNCTION("""COMPUTED_VALUE"""),"--")</f>
        <v>--</v>
      </c>
      <c r="T988" s="251" t="str">
        <f>IFERROR(__xludf.DUMMYFUNCTION("""COMPUTED_VALUE"""),"--")</f>
        <v>--</v>
      </c>
      <c r="U988" s="251" t="str">
        <f>IFERROR(__xludf.DUMMYFUNCTION("""COMPUTED_VALUE"""),"--")</f>
        <v>--</v>
      </c>
      <c r="V988" s="251" t="str">
        <f>IFERROR(__xludf.DUMMYFUNCTION("""COMPUTED_VALUE"""),"--")</f>
        <v>--</v>
      </c>
      <c r="W988" s="251" t="str">
        <f>IFERROR(__xludf.DUMMYFUNCTION("""COMPUTED_VALUE"""),"--")</f>
        <v>--</v>
      </c>
      <c r="X988" s="251" t="str">
        <f>IFERROR(__xludf.DUMMYFUNCTION("""COMPUTED_VALUE"""),"--")</f>
        <v>--</v>
      </c>
      <c r="Y988" s="251" t="str">
        <f>IFERROR(__xludf.DUMMYFUNCTION("""COMPUTED_VALUE"""),"--")</f>
        <v>--</v>
      </c>
      <c r="Z988" s="251" t="str">
        <f>IFERROR(__xludf.DUMMYFUNCTION("""COMPUTED_VALUE"""),"--")</f>
        <v>--</v>
      </c>
      <c r="AA988" s="251" t="str">
        <f>IFERROR(__xludf.DUMMYFUNCTION("""COMPUTED_VALUE"""),"--")</f>
        <v>--</v>
      </c>
      <c r="AB988" s="251" t="str">
        <f>IFERROR(__xludf.DUMMYFUNCTION("""COMPUTED_VALUE"""),"--")</f>
        <v>--</v>
      </c>
      <c r="AC988" s="251" t="str">
        <f>IFERROR(__xludf.DUMMYFUNCTION("""COMPUTED_VALUE"""),"--")</f>
        <v>--</v>
      </c>
      <c r="AD988" s="251">
        <f>IFERROR(__xludf.DUMMYFUNCTION("""COMPUTED_VALUE"""),2.0)</f>
        <v>2</v>
      </c>
      <c r="AE988" s="251" t="str">
        <f>IFERROR(__xludf.DUMMYFUNCTION("""COMPUTED_VALUE"""),"Omnivore")</f>
        <v>Omnivore</v>
      </c>
    </row>
    <row r="989">
      <c r="A989" s="251" t="str">
        <f>IFERROR(__xludf.DUMMYFUNCTION("""COMPUTED_VALUE"""),"Floatzel")</f>
        <v>Floatzel</v>
      </c>
      <c r="B989" s="251" t="str">
        <f>IFERROR(__xludf.DUMMYFUNCTION("""COMPUTED_VALUE"""),"Water")</f>
        <v>Water</v>
      </c>
      <c r="C989" s="251" t="str">
        <f>IFERROR(__xludf.DUMMYFUNCTION("""COMPUTED_VALUE"""),"None")</f>
        <v>None</v>
      </c>
      <c r="D989" s="251">
        <f>IFERROR(__xludf.DUMMYFUNCTION("""COMPUTED_VALUE"""),9.0)</f>
        <v>9</v>
      </c>
      <c r="E989" s="251">
        <f>IFERROR(__xludf.DUMMYFUNCTION("""COMPUTED_VALUE"""),11.0)</f>
        <v>11</v>
      </c>
      <c r="F989" s="251">
        <f>IFERROR(__xludf.DUMMYFUNCTION("""COMPUTED_VALUE"""),6.0)</f>
        <v>6</v>
      </c>
      <c r="G989" s="251">
        <f>IFERROR(__xludf.DUMMYFUNCTION("""COMPUTED_VALUE"""),9.0)</f>
        <v>9</v>
      </c>
      <c r="H989" s="251">
        <f>IFERROR(__xludf.DUMMYFUNCTION("""COMPUTED_VALUE"""),5.0)</f>
        <v>5</v>
      </c>
      <c r="I989" s="251">
        <f>IFERROR(__xludf.DUMMYFUNCTION("""COMPUTED_VALUE"""),12.0)</f>
        <v>12</v>
      </c>
      <c r="J989" s="251">
        <f>IFERROR(__xludf.DUMMYFUNCTION("""COMPUTED_VALUE"""),3.0)</f>
        <v>3</v>
      </c>
      <c r="K989" s="251" t="str">
        <f>IFERROR(__xludf.DUMMYFUNCTION("""COMPUTED_VALUE"""),"Medium")</f>
        <v>Medium</v>
      </c>
      <c r="L989" s="251">
        <f>IFERROR(__xludf.DUMMYFUNCTION("""COMPUTED_VALUE"""),3.0)</f>
        <v>3</v>
      </c>
      <c r="M989" s="251" t="str">
        <f>IFERROR(__xludf.DUMMYFUNCTION("""COMPUTED_VALUE"""),"Grasslands, Wetlands")</f>
        <v>Grasslands, Wetlands</v>
      </c>
      <c r="N989" s="251" t="str">
        <f>IFERROR(__xludf.DUMMYFUNCTION("""COMPUTED_VALUE"""),"Quick")</f>
        <v>Quick</v>
      </c>
      <c r="O989" s="251" t="str">
        <f>IFERROR(__xludf.DUMMYFUNCTION("""COMPUTED_VALUE"""),"Swimmer")</f>
        <v>Swimmer</v>
      </c>
      <c r="P989" s="251" t="str">
        <f>IFERROR(__xludf.DUMMYFUNCTION("""COMPUTED_VALUE"""),"--")</f>
        <v>--</v>
      </c>
      <c r="Q989" s="251" t="str">
        <f>IFERROR(__xludf.DUMMYFUNCTION("""COMPUTED_VALUE"""),"--")</f>
        <v>--</v>
      </c>
      <c r="R989" s="251" t="str">
        <f>IFERROR(__xludf.DUMMYFUNCTION("""COMPUTED_VALUE"""),"--")</f>
        <v>--</v>
      </c>
      <c r="S989" s="251" t="str">
        <f>IFERROR(__xludf.DUMMYFUNCTION("""COMPUTED_VALUE"""),"--")</f>
        <v>--</v>
      </c>
      <c r="T989" s="251" t="str">
        <f>IFERROR(__xludf.DUMMYFUNCTION("""COMPUTED_VALUE"""),"--")</f>
        <v>--</v>
      </c>
      <c r="U989" s="251" t="str">
        <f>IFERROR(__xludf.DUMMYFUNCTION("""COMPUTED_VALUE"""),"--")</f>
        <v>--</v>
      </c>
      <c r="V989" s="251" t="str">
        <f>IFERROR(__xludf.DUMMYFUNCTION("""COMPUTED_VALUE"""),"--")</f>
        <v>--</v>
      </c>
      <c r="W989" s="251" t="str">
        <f>IFERROR(__xludf.DUMMYFUNCTION("""COMPUTED_VALUE"""),"--")</f>
        <v>--</v>
      </c>
      <c r="X989" s="251" t="str">
        <f>IFERROR(__xludf.DUMMYFUNCTION("""COMPUTED_VALUE"""),"--")</f>
        <v>--</v>
      </c>
      <c r="Y989" s="251" t="str">
        <f>IFERROR(__xludf.DUMMYFUNCTION("""COMPUTED_VALUE"""),"--")</f>
        <v>--</v>
      </c>
      <c r="Z989" s="251" t="str">
        <f>IFERROR(__xludf.DUMMYFUNCTION("""COMPUTED_VALUE"""),"--")</f>
        <v>--</v>
      </c>
      <c r="AA989" s="251" t="str">
        <f>IFERROR(__xludf.DUMMYFUNCTION("""COMPUTED_VALUE"""),"--")</f>
        <v>--</v>
      </c>
      <c r="AB989" s="251" t="str">
        <f>IFERROR(__xludf.DUMMYFUNCTION("""COMPUTED_VALUE"""),"--")</f>
        <v>--</v>
      </c>
      <c r="AC989" s="251" t="str">
        <f>IFERROR(__xludf.DUMMYFUNCTION("""COMPUTED_VALUE"""),"--")</f>
        <v>--</v>
      </c>
      <c r="AD989" s="251">
        <f>IFERROR(__xludf.DUMMYFUNCTION("""COMPUTED_VALUE"""),3.0)</f>
        <v>3</v>
      </c>
      <c r="AE989" s="251" t="str">
        <f>IFERROR(__xludf.DUMMYFUNCTION("""COMPUTED_VALUE"""),"Omnivore")</f>
        <v>Omnivore</v>
      </c>
    </row>
    <row r="990">
      <c r="A990" s="251" t="str">
        <f>IFERROR(__xludf.DUMMYFUNCTION("""COMPUTED_VALUE"""),"Shellos")</f>
        <v>Shellos</v>
      </c>
      <c r="B990" s="251" t="str">
        <f>IFERROR(__xludf.DUMMYFUNCTION("""COMPUTED_VALUE"""),"Water")</f>
        <v>Water</v>
      </c>
      <c r="C990" s="251" t="str">
        <f>IFERROR(__xludf.DUMMYFUNCTION("""COMPUTED_VALUE"""),"None")</f>
        <v>None</v>
      </c>
      <c r="D990" s="251">
        <f>IFERROR(__xludf.DUMMYFUNCTION("""COMPUTED_VALUE"""),8.0)</f>
        <v>8</v>
      </c>
      <c r="E990" s="251">
        <f>IFERROR(__xludf.DUMMYFUNCTION("""COMPUTED_VALUE"""),5.0)</f>
        <v>5</v>
      </c>
      <c r="F990" s="251">
        <f>IFERROR(__xludf.DUMMYFUNCTION("""COMPUTED_VALUE"""),5.0)</f>
        <v>5</v>
      </c>
      <c r="G990" s="251">
        <f>IFERROR(__xludf.DUMMYFUNCTION("""COMPUTED_VALUE"""),6.0)</f>
        <v>6</v>
      </c>
      <c r="H990" s="251">
        <f>IFERROR(__xludf.DUMMYFUNCTION("""COMPUTED_VALUE"""),6.0)</f>
        <v>6</v>
      </c>
      <c r="I990" s="251">
        <f>IFERROR(__xludf.DUMMYFUNCTION("""COMPUTED_VALUE"""),3.0)</f>
        <v>3</v>
      </c>
      <c r="J990" s="251">
        <f>IFERROR(__xludf.DUMMYFUNCTION("""COMPUTED_VALUE"""),1.0)</f>
        <v>1</v>
      </c>
      <c r="K990" s="251" t="str">
        <f>IFERROR(__xludf.DUMMYFUNCTION("""COMPUTED_VALUE"""),"Small")</f>
        <v>Small</v>
      </c>
      <c r="L990" s="251">
        <f>IFERROR(__xludf.DUMMYFUNCTION("""COMPUTED_VALUE"""),1.0)</f>
        <v>1</v>
      </c>
      <c r="M990" s="251" t="str">
        <f>IFERROR(__xludf.DUMMYFUNCTION("""COMPUTED_VALUE"""),"Wetlands")</f>
        <v>Wetlands</v>
      </c>
      <c r="N990" s="251" t="str">
        <f>IFERROR(__xludf.DUMMYFUNCTION("""COMPUTED_VALUE"""),"Climber")</f>
        <v>Climber</v>
      </c>
      <c r="O990" s="251" t="str">
        <f>IFERROR(__xludf.DUMMYFUNCTION("""COMPUTED_VALUE"""),"Grounded")</f>
        <v>Grounded</v>
      </c>
      <c r="P990" s="251" t="str">
        <f>IFERROR(__xludf.DUMMYFUNCTION("""COMPUTED_VALUE"""),"Slow")</f>
        <v>Slow</v>
      </c>
      <c r="Q990" s="251" t="str">
        <f>IFERROR(__xludf.DUMMYFUNCTION("""COMPUTED_VALUE"""),"Swimmer")</f>
        <v>Swimmer</v>
      </c>
      <c r="R990" s="251" t="str">
        <f>IFERROR(__xludf.DUMMYFUNCTION("""COMPUTED_VALUE"""),"Underdog")</f>
        <v>Underdog</v>
      </c>
      <c r="S990" s="251" t="str">
        <f>IFERROR(__xludf.DUMMYFUNCTION("""COMPUTED_VALUE"""),"--")</f>
        <v>--</v>
      </c>
      <c r="T990" s="251" t="str">
        <f>IFERROR(__xludf.DUMMYFUNCTION("""COMPUTED_VALUE"""),"--")</f>
        <v>--</v>
      </c>
      <c r="U990" s="251" t="str">
        <f>IFERROR(__xludf.DUMMYFUNCTION("""COMPUTED_VALUE"""),"--")</f>
        <v>--</v>
      </c>
      <c r="V990" s="251" t="str">
        <f>IFERROR(__xludf.DUMMYFUNCTION("""COMPUTED_VALUE"""),"Amorphous")</f>
        <v>Amorphous</v>
      </c>
      <c r="W990" s="251" t="str">
        <f>IFERROR(__xludf.DUMMYFUNCTION("""COMPUTED_VALUE"""),"Gilled")</f>
        <v>Gilled</v>
      </c>
      <c r="X990" s="251" t="str">
        <f>IFERROR(__xludf.DUMMYFUNCTION("""COMPUTED_VALUE"""),"--")</f>
        <v>--</v>
      </c>
      <c r="Y990" s="251" t="str">
        <f>IFERROR(__xludf.DUMMYFUNCTION("""COMPUTED_VALUE"""),"--")</f>
        <v>--</v>
      </c>
      <c r="Z990" s="251" t="str">
        <f>IFERROR(__xludf.DUMMYFUNCTION("""COMPUTED_VALUE"""),"--")</f>
        <v>--</v>
      </c>
      <c r="AA990" s="251" t="str">
        <f>IFERROR(__xludf.DUMMYFUNCTION("""COMPUTED_VALUE"""),"--")</f>
        <v>--</v>
      </c>
      <c r="AB990" s="251" t="str">
        <f>IFERROR(__xludf.DUMMYFUNCTION("""COMPUTED_VALUE"""),"--")</f>
        <v>--</v>
      </c>
      <c r="AC990" s="251" t="str">
        <f>IFERROR(__xludf.DUMMYFUNCTION("""COMPUTED_VALUE"""),"--")</f>
        <v>--</v>
      </c>
      <c r="AD990" s="251">
        <f>IFERROR(__xludf.DUMMYFUNCTION("""COMPUTED_VALUE"""),2.0)</f>
        <v>2</v>
      </c>
      <c r="AE990" s="251" t="str">
        <f>IFERROR(__xludf.DUMMYFUNCTION("""COMPUTED_VALUE"""),"Herbivore")</f>
        <v>Herbivore</v>
      </c>
    </row>
    <row r="991">
      <c r="A991" s="251" t="str">
        <f>IFERROR(__xludf.DUMMYFUNCTION("""COMPUTED_VALUE"""),"Gastrodon")</f>
        <v>Gastrodon</v>
      </c>
      <c r="B991" s="251" t="str">
        <f>IFERROR(__xludf.DUMMYFUNCTION("""COMPUTED_VALUE"""),"Water")</f>
        <v>Water</v>
      </c>
      <c r="C991" s="251" t="str">
        <f>IFERROR(__xludf.DUMMYFUNCTION("""COMPUTED_VALUE"""),"Ground")</f>
        <v>Ground</v>
      </c>
      <c r="D991" s="251">
        <f>IFERROR(__xludf.DUMMYFUNCTION("""COMPUTED_VALUE"""),12.0)</f>
        <v>12</v>
      </c>
      <c r="E991" s="251">
        <f>IFERROR(__xludf.DUMMYFUNCTION("""COMPUTED_VALUE"""),8.0)</f>
        <v>8</v>
      </c>
      <c r="F991" s="251">
        <f>IFERROR(__xludf.DUMMYFUNCTION("""COMPUTED_VALUE"""),8.0)</f>
        <v>8</v>
      </c>
      <c r="G991" s="251">
        <f>IFERROR(__xludf.DUMMYFUNCTION("""COMPUTED_VALUE"""),10.0)</f>
        <v>10</v>
      </c>
      <c r="H991" s="251">
        <f>IFERROR(__xludf.DUMMYFUNCTION("""COMPUTED_VALUE"""),9.0)</f>
        <v>9</v>
      </c>
      <c r="I991" s="251">
        <f>IFERROR(__xludf.DUMMYFUNCTION("""COMPUTED_VALUE"""),4.0)</f>
        <v>4</v>
      </c>
      <c r="J991" s="251">
        <f>IFERROR(__xludf.DUMMYFUNCTION("""COMPUTED_VALUE"""),3.0)</f>
        <v>3</v>
      </c>
      <c r="K991" s="251" t="str">
        <f>IFERROR(__xludf.DUMMYFUNCTION("""COMPUTED_VALUE"""),"Small")</f>
        <v>Small</v>
      </c>
      <c r="L991" s="251">
        <f>IFERROR(__xludf.DUMMYFUNCTION("""COMPUTED_VALUE"""),3.0)</f>
        <v>3</v>
      </c>
      <c r="M991" s="251" t="str">
        <f>IFERROR(__xludf.DUMMYFUNCTION("""COMPUTED_VALUE"""),"Wetlands")</f>
        <v>Wetlands</v>
      </c>
      <c r="N991" s="251" t="str">
        <f>IFERROR(__xludf.DUMMYFUNCTION("""COMPUTED_VALUE"""),"Climber")</f>
        <v>Climber</v>
      </c>
      <c r="O991" s="251" t="str">
        <f>IFERROR(__xludf.DUMMYFUNCTION("""COMPUTED_VALUE"""),"Grounded")</f>
        <v>Grounded</v>
      </c>
      <c r="P991" s="251" t="str">
        <f>IFERROR(__xludf.DUMMYFUNCTION("""COMPUTED_VALUE"""),"Slow")</f>
        <v>Slow</v>
      </c>
      <c r="Q991" s="251" t="str">
        <f>IFERROR(__xludf.DUMMYFUNCTION("""COMPUTED_VALUE"""),"Swimmer")</f>
        <v>Swimmer</v>
      </c>
      <c r="R991" s="251" t="str">
        <f>IFERROR(__xludf.DUMMYFUNCTION("""COMPUTED_VALUE"""),"--")</f>
        <v>--</v>
      </c>
      <c r="S991" s="251" t="str">
        <f>IFERROR(__xludf.DUMMYFUNCTION("""COMPUTED_VALUE"""),"--")</f>
        <v>--</v>
      </c>
      <c r="T991" s="251" t="str">
        <f>IFERROR(__xludf.DUMMYFUNCTION("""COMPUTED_VALUE"""),"--")</f>
        <v>--</v>
      </c>
      <c r="U991" s="251" t="str">
        <f>IFERROR(__xludf.DUMMYFUNCTION("""COMPUTED_VALUE"""),"--")</f>
        <v>--</v>
      </c>
      <c r="V991" s="251" t="str">
        <f>IFERROR(__xludf.DUMMYFUNCTION("""COMPUTED_VALUE"""),"Amorphous")</f>
        <v>Amorphous</v>
      </c>
      <c r="W991" s="251" t="str">
        <f>IFERROR(__xludf.DUMMYFUNCTION("""COMPUTED_VALUE"""),"Gilled")</f>
        <v>Gilled</v>
      </c>
      <c r="X991" s="251" t="str">
        <f>IFERROR(__xludf.DUMMYFUNCTION("""COMPUTED_VALUE"""),"--")</f>
        <v>--</v>
      </c>
      <c r="Y991" s="251" t="str">
        <f>IFERROR(__xludf.DUMMYFUNCTION("""COMPUTED_VALUE"""),"--")</f>
        <v>--</v>
      </c>
      <c r="Z991" s="251" t="str">
        <f>IFERROR(__xludf.DUMMYFUNCTION("""COMPUTED_VALUE"""),"--")</f>
        <v>--</v>
      </c>
      <c r="AA991" s="251" t="str">
        <f>IFERROR(__xludf.DUMMYFUNCTION("""COMPUTED_VALUE"""),"--")</f>
        <v>--</v>
      </c>
      <c r="AB991" s="251" t="str">
        <f>IFERROR(__xludf.DUMMYFUNCTION("""COMPUTED_VALUE"""),"--")</f>
        <v>--</v>
      </c>
      <c r="AC991" s="251" t="str">
        <f>IFERROR(__xludf.DUMMYFUNCTION("""COMPUTED_VALUE"""),"--")</f>
        <v>--</v>
      </c>
      <c r="AD991" s="251">
        <f>IFERROR(__xludf.DUMMYFUNCTION("""COMPUTED_VALUE"""),3.0)</f>
        <v>3</v>
      </c>
      <c r="AE991" s="251" t="str">
        <f>IFERROR(__xludf.DUMMYFUNCTION("""COMPUTED_VALUE"""),"Herbivore")</f>
        <v>Herbivore</v>
      </c>
    </row>
    <row r="992">
      <c r="A992" s="251" t="str">
        <f>IFERROR(__xludf.DUMMYFUNCTION("""COMPUTED_VALUE"""),"Finneon")</f>
        <v>Finneon</v>
      </c>
      <c r="B992" s="251" t="str">
        <f>IFERROR(__xludf.DUMMYFUNCTION("""COMPUTED_VALUE"""),"Water")</f>
        <v>Water</v>
      </c>
      <c r="C992" s="251" t="str">
        <f>IFERROR(__xludf.DUMMYFUNCTION("""COMPUTED_VALUE"""),"None")</f>
        <v>None</v>
      </c>
      <c r="D992" s="251">
        <f>IFERROR(__xludf.DUMMYFUNCTION("""COMPUTED_VALUE"""),5.0)</f>
        <v>5</v>
      </c>
      <c r="E992" s="251">
        <f>IFERROR(__xludf.DUMMYFUNCTION("""COMPUTED_VALUE"""),5.0)</f>
        <v>5</v>
      </c>
      <c r="F992" s="251">
        <f>IFERROR(__xludf.DUMMYFUNCTION("""COMPUTED_VALUE"""),6.0)</f>
        <v>6</v>
      </c>
      <c r="G992" s="251">
        <f>IFERROR(__xludf.DUMMYFUNCTION("""COMPUTED_VALUE"""),5.0)</f>
        <v>5</v>
      </c>
      <c r="H992" s="251">
        <f>IFERROR(__xludf.DUMMYFUNCTION("""COMPUTED_VALUE"""),6.0)</f>
        <v>6</v>
      </c>
      <c r="I992" s="251">
        <f>IFERROR(__xludf.DUMMYFUNCTION("""COMPUTED_VALUE"""),7.0)</f>
        <v>7</v>
      </c>
      <c r="J992" s="251">
        <f>IFERROR(__xludf.DUMMYFUNCTION("""COMPUTED_VALUE"""),1.0)</f>
        <v>1</v>
      </c>
      <c r="K992" s="251" t="str">
        <f>IFERROR(__xludf.DUMMYFUNCTION("""COMPUTED_VALUE"""),"Small")</f>
        <v>Small</v>
      </c>
      <c r="L992" s="251">
        <f>IFERROR(__xludf.DUMMYFUNCTION("""COMPUTED_VALUE"""),1.0)</f>
        <v>1</v>
      </c>
      <c r="M992" s="251" t="str">
        <f>IFERROR(__xludf.DUMMYFUNCTION("""COMPUTED_VALUE"""),"Ocean")</f>
        <v>Ocean</v>
      </c>
      <c r="N992" s="251" t="str">
        <f>IFERROR(__xludf.DUMMYFUNCTION("""COMPUTED_VALUE"""),"Swimmer")</f>
        <v>Swimmer</v>
      </c>
      <c r="O992" s="251" t="str">
        <f>IFERROR(__xludf.DUMMYFUNCTION("""COMPUTED_VALUE"""),"--")</f>
        <v>--</v>
      </c>
      <c r="P992" s="251" t="str">
        <f>IFERROR(__xludf.DUMMYFUNCTION("""COMPUTED_VALUE"""),"--")</f>
        <v>--</v>
      </c>
      <c r="Q992" s="251" t="str">
        <f>IFERROR(__xludf.DUMMYFUNCTION("""COMPUTED_VALUE"""),"--")</f>
        <v>--</v>
      </c>
      <c r="R992" s="251" t="str">
        <f>IFERROR(__xludf.DUMMYFUNCTION("""COMPUTED_VALUE"""),"Underdog")</f>
        <v>Underdog</v>
      </c>
      <c r="S992" s="251" t="str">
        <f>IFERROR(__xludf.DUMMYFUNCTION("""COMPUTED_VALUE"""),"--")</f>
        <v>--</v>
      </c>
      <c r="T992" s="251" t="str">
        <f>IFERROR(__xludf.DUMMYFUNCTION("""COMPUTED_VALUE"""),"--")</f>
        <v>--</v>
      </c>
      <c r="U992" s="251" t="str">
        <f>IFERROR(__xludf.DUMMYFUNCTION("""COMPUTED_VALUE"""),"--")</f>
        <v>--</v>
      </c>
      <c r="V992" s="251" t="str">
        <f>IFERROR(__xludf.DUMMYFUNCTION("""COMPUTED_VALUE"""),"Gilled")</f>
        <v>Gilled</v>
      </c>
      <c r="W992" s="251" t="str">
        <f>IFERROR(__xludf.DUMMYFUNCTION("""COMPUTED_VALUE"""),"Glow")</f>
        <v>Glow</v>
      </c>
      <c r="X992" s="251" t="str">
        <f>IFERROR(__xludf.DUMMYFUNCTION("""COMPUTED_VALUE"""),"--")</f>
        <v>--</v>
      </c>
      <c r="Y992" s="251" t="str">
        <f>IFERROR(__xludf.DUMMYFUNCTION("""COMPUTED_VALUE"""),"--")</f>
        <v>--</v>
      </c>
      <c r="Z992" s="251" t="str">
        <f>IFERROR(__xludf.DUMMYFUNCTION("""COMPUTED_VALUE"""),"--")</f>
        <v>--</v>
      </c>
      <c r="AA992" s="251" t="str">
        <f>IFERROR(__xludf.DUMMYFUNCTION("""COMPUTED_VALUE"""),"--")</f>
        <v>--</v>
      </c>
      <c r="AB992" s="251" t="str">
        <f>IFERROR(__xludf.DUMMYFUNCTION("""COMPUTED_VALUE"""),"--")</f>
        <v>--</v>
      </c>
      <c r="AC992" s="251" t="str">
        <f>IFERROR(__xludf.DUMMYFUNCTION("""COMPUTED_VALUE"""),"--")</f>
        <v>--</v>
      </c>
      <c r="AD992" s="251">
        <f>IFERROR(__xludf.DUMMYFUNCTION("""COMPUTED_VALUE"""),2.0)</f>
        <v>2</v>
      </c>
      <c r="AE992" s="251" t="str">
        <f>IFERROR(__xludf.DUMMYFUNCTION("""COMPUTED_VALUE"""),"Carnivore")</f>
        <v>Carnivore</v>
      </c>
    </row>
    <row r="993">
      <c r="A993" s="251" t="str">
        <f>IFERROR(__xludf.DUMMYFUNCTION("""COMPUTED_VALUE"""),"Lumineon")</f>
        <v>Lumineon</v>
      </c>
      <c r="B993" s="251" t="str">
        <f>IFERROR(__xludf.DUMMYFUNCTION("""COMPUTED_VALUE"""),"Water")</f>
        <v>Water</v>
      </c>
      <c r="C993" s="251" t="str">
        <f>IFERROR(__xludf.DUMMYFUNCTION("""COMPUTED_VALUE"""),"None")</f>
        <v>None</v>
      </c>
      <c r="D993" s="251">
        <f>IFERROR(__xludf.DUMMYFUNCTION("""COMPUTED_VALUE"""),7.0)</f>
        <v>7</v>
      </c>
      <c r="E993" s="251">
        <f>IFERROR(__xludf.DUMMYFUNCTION("""COMPUTED_VALUE"""),7.0)</f>
        <v>7</v>
      </c>
      <c r="F993" s="251">
        <f>IFERROR(__xludf.DUMMYFUNCTION("""COMPUTED_VALUE"""),9.0)</f>
        <v>9</v>
      </c>
      <c r="G993" s="251">
        <f>IFERROR(__xludf.DUMMYFUNCTION("""COMPUTED_VALUE"""),8.0)</f>
        <v>8</v>
      </c>
      <c r="H993" s="251">
        <f>IFERROR(__xludf.DUMMYFUNCTION("""COMPUTED_VALUE"""),10.0)</f>
        <v>10</v>
      </c>
      <c r="I993" s="251">
        <f>IFERROR(__xludf.DUMMYFUNCTION("""COMPUTED_VALUE"""),10.0)</f>
        <v>10</v>
      </c>
      <c r="J993" s="251">
        <f>IFERROR(__xludf.DUMMYFUNCTION("""COMPUTED_VALUE"""),2.0)</f>
        <v>2</v>
      </c>
      <c r="K993" s="251" t="str">
        <f>IFERROR(__xludf.DUMMYFUNCTION("""COMPUTED_VALUE"""),"Medium")</f>
        <v>Medium</v>
      </c>
      <c r="L993" s="251">
        <f>IFERROR(__xludf.DUMMYFUNCTION("""COMPUTED_VALUE"""),2.0)</f>
        <v>2</v>
      </c>
      <c r="M993" s="251" t="str">
        <f>IFERROR(__xludf.DUMMYFUNCTION("""COMPUTED_VALUE"""),"Ocean")</f>
        <v>Ocean</v>
      </c>
      <c r="N993" s="251" t="str">
        <f>IFERROR(__xludf.DUMMYFUNCTION("""COMPUTED_VALUE"""),"Swimmer")</f>
        <v>Swimmer</v>
      </c>
      <c r="O993" s="251" t="str">
        <f>IFERROR(__xludf.DUMMYFUNCTION("""COMPUTED_VALUE"""),"--")</f>
        <v>--</v>
      </c>
      <c r="P993" s="251" t="str">
        <f>IFERROR(__xludf.DUMMYFUNCTION("""COMPUTED_VALUE"""),"--")</f>
        <v>--</v>
      </c>
      <c r="Q993" s="251" t="str">
        <f>IFERROR(__xludf.DUMMYFUNCTION("""COMPUTED_VALUE"""),"--")</f>
        <v>--</v>
      </c>
      <c r="R993" s="251" t="str">
        <f>IFERROR(__xludf.DUMMYFUNCTION("""COMPUTED_VALUE"""),"--")</f>
        <v>--</v>
      </c>
      <c r="S993" s="251" t="str">
        <f>IFERROR(__xludf.DUMMYFUNCTION("""COMPUTED_VALUE"""),"--")</f>
        <v>--</v>
      </c>
      <c r="T993" s="251" t="str">
        <f>IFERROR(__xludf.DUMMYFUNCTION("""COMPUTED_VALUE"""),"--")</f>
        <v>--</v>
      </c>
      <c r="U993" s="251" t="str">
        <f>IFERROR(__xludf.DUMMYFUNCTION("""COMPUTED_VALUE"""),"--")</f>
        <v>--</v>
      </c>
      <c r="V993" s="251" t="str">
        <f>IFERROR(__xludf.DUMMYFUNCTION("""COMPUTED_VALUE"""),"Gilled")</f>
        <v>Gilled</v>
      </c>
      <c r="W993" s="251" t="str">
        <f>IFERROR(__xludf.DUMMYFUNCTION("""COMPUTED_VALUE"""),"Glow")</f>
        <v>Glow</v>
      </c>
      <c r="X993" s="251" t="str">
        <f>IFERROR(__xludf.DUMMYFUNCTION("""COMPUTED_VALUE"""),"--")</f>
        <v>--</v>
      </c>
      <c r="Y993" s="251" t="str">
        <f>IFERROR(__xludf.DUMMYFUNCTION("""COMPUTED_VALUE"""),"--")</f>
        <v>--</v>
      </c>
      <c r="Z993" s="251" t="str">
        <f>IFERROR(__xludf.DUMMYFUNCTION("""COMPUTED_VALUE"""),"--")</f>
        <v>--</v>
      </c>
      <c r="AA993" s="251" t="str">
        <f>IFERROR(__xludf.DUMMYFUNCTION("""COMPUTED_VALUE"""),"--")</f>
        <v>--</v>
      </c>
      <c r="AB993" s="251" t="str">
        <f>IFERROR(__xludf.DUMMYFUNCTION("""COMPUTED_VALUE"""),"--")</f>
        <v>--</v>
      </c>
      <c r="AC993" s="251" t="str">
        <f>IFERROR(__xludf.DUMMYFUNCTION("""COMPUTED_VALUE"""),"--")</f>
        <v>--</v>
      </c>
      <c r="AD993" s="251">
        <f>IFERROR(__xludf.DUMMYFUNCTION("""COMPUTED_VALUE"""),3.0)</f>
        <v>3</v>
      </c>
      <c r="AE993" s="251" t="str">
        <f>IFERROR(__xludf.DUMMYFUNCTION("""COMPUTED_VALUE"""),"Carnivore")</f>
        <v>Carnivore</v>
      </c>
    </row>
    <row r="994">
      <c r="A994" s="251" t="str">
        <f>IFERROR(__xludf.DUMMYFUNCTION("""COMPUTED_VALUE"""),"Panpour")</f>
        <v>Panpour</v>
      </c>
      <c r="B994" s="251" t="str">
        <f>IFERROR(__xludf.DUMMYFUNCTION("""COMPUTED_VALUE"""),"Water")</f>
        <v>Water</v>
      </c>
      <c r="C994" s="251" t="str">
        <f>IFERROR(__xludf.DUMMYFUNCTION("""COMPUTED_VALUE"""),"None")</f>
        <v>None</v>
      </c>
      <c r="D994" s="251">
        <f>IFERROR(__xludf.DUMMYFUNCTION("""COMPUTED_VALUE"""),5.0)</f>
        <v>5</v>
      </c>
      <c r="E994" s="251">
        <f>IFERROR(__xludf.DUMMYFUNCTION("""COMPUTED_VALUE"""),5.0)</f>
        <v>5</v>
      </c>
      <c r="F994" s="251">
        <f>IFERROR(__xludf.DUMMYFUNCTION("""COMPUTED_VALUE"""),5.0)</f>
        <v>5</v>
      </c>
      <c r="G994" s="251">
        <f>IFERROR(__xludf.DUMMYFUNCTION("""COMPUTED_VALUE"""),5.0)</f>
        <v>5</v>
      </c>
      <c r="H994" s="251">
        <f>IFERROR(__xludf.DUMMYFUNCTION("""COMPUTED_VALUE"""),5.0)</f>
        <v>5</v>
      </c>
      <c r="I994" s="251">
        <f>IFERROR(__xludf.DUMMYFUNCTION("""COMPUTED_VALUE"""),6.0)</f>
        <v>6</v>
      </c>
      <c r="J994" s="251">
        <f>IFERROR(__xludf.DUMMYFUNCTION("""COMPUTED_VALUE"""),3.0)</f>
        <v>3</v>
      </c>
      <c r="K994" s="251" t="str">
        <f>IFERROR(__xludf.DUMMYFUNCTION("""COMPUTED_VALUE"""),"Small")</f>
        <v>Small</v>
      </c>
      <c r="L994" s="251">
        <f>IFERROR(__xludf.DUMMYFUNCTION("""COMPUTED_VALUE"""),2.0)</f>
        <v>2</v>
      </c>
      <c r="M994" s="251" t="str">
        <f>IFERROR(__xludf.DUMMYFUNCTION("""COMPUTED_VALUE"""),"Forest, Grasslands")</f>
        <v>Forest, Grasslands</v>
      </c>
      <c r="N994" s="251" t="str">
        <f>IFERROR(__xludf.DUMMYFUNCTION("""COMPUTED_VALUE"""),"Climber")</f>
        <v>Climber</v>
      </c>
      <c r="O994" s="251" t="str">
        <f>IFERROR(__xludf.DUMMYFUNCTION("""COMPUTED_VALUE"""),"Jumper")</f>
        <v>Jumper</v>
      </c>
      <c r="P994" s="251" t="str">
        <f>IFERROR(__xludf.DUMMYFUNCTION("""COMPUTED_VALUE"""),"--")</f>
        <v>--</v>
      </c>
      <c r="Q994" s="251" t="str">
        <f>IFERROR(__xludf.DUMMYFUNCTION("""COMPUTED_VALUE"""),"--")</f>
        <v>--</v>
      </c>
      <c r="R994" s="251" t="str">
        <f>IFERROR(__xludf.DUMMYFUNCTION("""COMPUTED_VALUE"""),"Underdog")</f>
        <v>Underdog</v>
      </c>
      <c r="S994" s="251" t="str">
        <f>IFERROR(__xludf.DUMMYFUNCTION("""COMPUTED_VALUE"""),"--")</f>
        <v>--</v>
      </c>
      <c r="T994" s="251" t="str">
        <f>IFERROR(__xludf.DUMMYFUNCTION("""COMPUTED_VALUE"""),"--")</f>
        <v>--</v>
      </c>
      <c r="U994" s="251" t="str">
        <f>IFERROR(__xludf.DUMMYFUNCTION("""COMPUTED_VALUE"""),"--")</f>
        <v>--</v>
      </c>
      <c r="V994" s="251" t="str">
        <f>IFERROR(__xludf.DUMMYFUNCTION("""COMPUTED_VALUE"""),"--")</f>
        <v>--</v>
      </c>
      <c r="W994" s="251" t="str">
        <f>IFERROR(__xludf.DUMMYFUNCTION("""COMPUTED_VALUE"""),"--")</f>
        <v>--</v>
      </c>
      <c r="X994" s="251" t="str">
        <f>IFERROR(__xludf.DUMMYFUNCTION("""COMPUTED_VALUE"""),"--")</f>
        <v>--</v>
      </c>
      <c r="Y994" s="251" t="str">
        <f>IFERROR(__xludf.DUMMYFUNCTION("""COMPUTED_VALUE"""),"--")</f>
        <v>--</v>
      </c>
      <c r="Z994" s="251" t="str">
        <f>IFERROR(__xludf.DUMMYFUNCTION("""COMPUTED_VALUE"""),"--")</f>
        <v>--</v>
      </c>
      <c r="AA994" s="251" t="str">
        <f>IFERROR(__xludf.DUMMYFUNCTION("""COMPUTED_VALUE"""),"--")</f>
        <v>--</v>
      </c>
      <c r="AB994" s="251" t="str">
        <f>IFERROR(__xludf.DUMMYFUNCTION("""COMPUTED_VALUE"""),"--")</f>
        <v>--</v>
      </c>
      <c r="AC994" s="251" t="str">
        <f>IFERROR(__xludf.DUMMYFUNCTION("""COMPUTED_VALUE"""),"--")</f>
        <v>--</v>
      </c>
      <c r="AD994" s="251">
        <f>IFERROR(__xludf.DUMMYFUNCTION("""COMPUTED_VALUE"""),2.0)</f>
        <v>2</v>
      </c>
      <c r="AE994" s="251" t="str">
        <f>IFERROR(__xludf.DUMMYFUNCTION("""COMPUTED_VALUE"""),"Omnivore")</f>
        <v>Omnivore</v>
      </c>
    </row>
    <row r="995">
      <c r="A995" s="251" t="str">
        <f>IFERROR(__xludf.DUMMYFUNCTION("""COMPUTED_VALUE"""),"Simipour")</f>
        <v>Simipour</v>
      </c>
      <c r="B995" s="251" t="str">
        <f>IFERROR(__xludf.DUMMYFUNCTION("""COMPUTED_VALUE"""),"Water")</f>
        <v>Water</v>
      </c>
      <c r="C995" s="251" t="str">
        <f>IFERROR(__xludf.DUMMYFUNCTION("""COMPUTED_VALUE"""),"None")</f>
        <v>None</v>
      </c>
      <c r="D995" s="251">
        <f>IFERROR(__xludf.DUMMYFUNCTION("""COMPUTED_VALUE"""),9.0)</f>
        <v>9</v>
      </c>
      <c r="E995" s="251">
        <f>IFERROR(__xludf.DUMMYFUNCTION("""COMPUTED_VALUE"""),10.0)</f>
        <v>10</v>
      </c>
      <c r="F995" s="251">
        <f>IFERROR(__xludf.DUMMYFUNCTION("""COMPUTED_VALUE"""),6.0)</f>
        <v>6</v>
      </c>
      <c r="G995" s="251">
        <f>IFERROR(__xludf.DUMMYFUNCTION("""COMPUTED_VALUE"""),10.0)</f>
        <v>10</v>
      </c>
      <c r="H995" s="251">
        <f>IFERROR(__xludf.DUMMYFUNCTION("""COMPUTED_VALUE"""),6.0)</f>
        <v>6</v>
      </c>
      <c r="I995" s="251">
        <f>IFERROR(__xludf.DUMMYFUNCTION("""COMPUTED_VALUE"""),10.0)</f>
        <v>10</v>
      </c>
      <c r="J995" s="251">
        <f>IFERROR(__xludf.DUMMYFUNCTION("""COMPUTED_VALUE"""),4.0)</f>
        <v>4</v>
      </c>
      <c r="K995" s="251" t="str">
        <f>IFERROR(__xludf.DUMMYFUNCTION("""COMPUTED_VALUE"""),"Medium")</f>
        <v>Medium</v>
      </c>
      <c r="L995" s="251">
        <f>IFERROR(__xludf.DUMMYFUNCTION("""COMPUTED_VALUE"""),3.0)</f>
        <v>3</v>
      </c>
      <c r="M995" s="251" t="str">
        <f>IFERROR(__xludf.DUMMYFUNCTION("""COMPUTED_VALUE"""),"Forest, Grasslands")</f>
        <v>Forest, Grasslands</v>
      </c>
      <c r="N995" s="251" t="str">
        <f>IFERROR(__xludf.DUMMYFUNCTION("""COMPUTED_VALUE"""),"Climber")</f>
        <v>Climber</v>
      </c>
      <c r="O995" s="251" t="str">
        <f>IFERROR(__xludf.DUMMYFUNCTION("""COMPUTED_VALUE"""),"Jumper")</f>
        <v>Jumper</v>
      </c>
      <c r="P995" s="251" t="str">
        <f>IFERROR(__xludf.DUMMYFUNCTION("""COMPUTED_VALUE"""),"--")</f>
        <v>--</v>
      </c>
      <c r="Q995" s="251" t="str">
        <f>IFERROR(__xludf.DUMMYFUNCTION("""COMPUTED_VALUE"""),"--")</f>
        <v>--</v>
      </c>
      <c r="R995" s="251" t="str">
        <f>IFERROR(__xludf.DUMMYFUNCTION("""COMPUTED_VALUE"""),"--")</f>
        <v>--</v>
      </c>
      <c r="S995" s="251" t="str">
        <f>IFERROR(__xludf.DUMMYFUNCTION("""COMPUTED_VALUE"""),"--")</f>
        <v>--</v>
      </c>
      <c r="T995" s="251" t="str">
        <f>IFERROR(__xludf.DUMMYFUNCTION("""COMPUTED_VALUE"""),"--")</f>
        <v>--</v>
      </c>
      <c r="U995" s="251" t="str">
        <f>IFERROR(__xludf.DUMMYFUNCTION("""COMPUTED_VALUE"""),"--")</f>
        <v>--</v>
      </c>
      <c r="V995" s="251" t="str">
        <f>IFERROR(__xludf.DUMMYFUNCTION("""COMPUTED_VALUE"""),"--")</f>
        <v>--</v>
      </c>
      <c r="W995" s="251" t="str">
        <f>IFERROR(__xludf.DUMMYFUNCTION("""COMPUTED_VALUE"""),"--")</f>
        <v>--</v>
      </c>
      <c r="X995" s="251" t="str">
        <f>IFERROR(__xludf.DUMMYFUNCTION("""COMPUTED_VALUE"""),"--")</f>
        <v>--</v>
      </c>
      <c r="Y995" s="251" t="str">
        <f>IFERROR(__xludf.DUMMYFUNCTION("""COMPUTED_VALUE"""),"--")</f>
        <v>--</v>
      </c>
      <c r="Z995" s="251" t="str">
        <f>IFERROR(__xludf.DUMMYFUNCTION("""COMPUTED_VALUE"""),"--")</f>
        <v>--</v>
      </c>
      <c r="AA995" s="251" t="str">
        <f>IFERROR(__xludf.DUMMYFUNCTION("""COMPUTED_VALUE"""),"--")</f>
        <v>--</v>
      </c>
      <c r="AB995" s="251" t="str">
        <f>IFERROR(__xludf.DUMMYFUNCTION("""COMPUTED_VALUE"""),"--")</f>
        <v>--</v>
      </c>
      <c r="AC995" s="251" t="str">
        <f>IFERROR(__xludf.DUMMYFUNCTION("""COMPUTED_VALUE"""),"--")</f>
        <v>--</v>
      </c>
      <c r="AD995" s="251">
        <f>IFERROR(__xludf.DUMMYFUNCTION("""COMPUTED_VALUE"""),3.0)</f>
        <v>3</v>
      </c>
      <c r="AE995" s="251" t="str">
        <f>IFERROR(__xludf.DUMMYFUNCTION("""COMPUTED_VALUE"""),"Omnivore")</f>
        <v>Omnivore</v>
      </c>
    </row>
    <row r="996">
      <c r="A996" s="251" t="str">
        <f>IFERROR(__xludf.DUMMYFUNCTION("""COMPUTED_VALUE"""),"Ducklett")</f>
        <v>Ducklett</v>
      </c>
      <c r="B996" s="251" t="str">
        <f>IFERROR(__xludf.DUMMYFUNCTION("""COMPUTED_VALUE"""),"Water")</f>
        <v>Water</v>
      </c>
      <c r="C996" s="251" t="str">
        <f>IFERROR(__xludf.DUMMYFUNCTION("""COMPUTED_VALUE"""),"Flying")</f>
        <v>Flying</v>
      </c>
      <c r="D996" s="251">
        <f>IFERROR(__xludf.DUMMYFUNCTION("""COMPUTED_VALUE"""),6.0)</f>
        <v>6</v>
      </c>
      <c r="E996" s="251">
        <f>IFERROR(__xludf.DUMMYFUNCTION("""COMPUTED_VALUE"""),4.0)</f>
        <v>4</v>
      </c>
      <c r="F996" s="251">
        <f>IFERROR(__xludf.DUMMYFUNCTION("""COMPUTED_VALUE"""),5.0)</f>
        <v>5</v>
      </c>
      <c r="G996" s="251">
        <f>IFERROR(__xludf.DUMMYFUNCTION("""COMPUTED_VALUE"""),4.0)</f>
        <v>4</v>
      </c>
      <c r="H996" s="251">
        <f>IFERROR(__xludf.DUMMYFUNCTION("""COMPUTED_VALUE"""),5.0)</f>
        <v>5</v>
      </c>
      <c r="I996" s="251">
        <f>IFERROR(__xludf.DUMMYFUNCTION("""COMPUTED_VALUE"""),6.0)</f>
        <v>6</v>
      </c>
      <c r="J996" s="251">
        <f>IFERROR(__xludf.DUMMYFUNCTION("""COMPUTED_VALUE"""),1.0)</f>
        <v>1</v>
      </c>
      <c r="K996" s="251" t="str">
        <f>IFERROR(__xludf.DUMMYFUNCTION("""COMPUTED_VALUE"""),"Small")</f>
        <v>Small</v>
      </c>
      <c r="L996" s="251">
        <f>IFERROR(__xludf.DUMMYFUNCTION("""COMPUTED_VALUE"""),1.0)</f>
        <v>1</v>
      </c>
      <c r="M996" s="251" t="str">
        <f>IFERROR(__xludf.DUMMYFUNCTION("""COMPUTED_VALUE"""),"Forest, Wetlands")</f>
        <v>Forest, Wetlands</v>
      </c>
      <c r="N996" s="251" t="str">
        <f>IFERROR(__xludf.DUMMYFUNCTION("""COMPUTED_VALUE"""),"Flier")</f>
        <v>Flier</v>
      </c>
      <c r="O996" s="251" t="str">
        <f>IFERROR(__xludf.DUMMYFUNCTION("""COMPUTED_VALUE"""),"Swimmer")</f>
        <v>Swimmer</v>
      </c>
      <c r="P996" s="251" t="str">
        <f>IFERROR(__xludf.DUMMYFUNCTION("""COMPUTED_VALUE"""),"--")</f>
        <v>--</v>
      </c>
      <c r="Q996" s="251" t="str">
        <f>IFERROR(__xludf.DUMMYFUNCTION("""COMPUTED_VALUE"""),"--")</f>
        <v>--</v>
      </c>
      <c r="R996" s="251" t="str">
        <f>IFERROR(__xludf.DUMMYFUNCTION("""COMPUTED_VALUE"""),"Underdog")</f>
        <v>Underdog</v>
      </c>
      <c r="S996" s="251" t="str">
        <f>IFERROR(__xludf.DUMMYFUNCTION("""COMPUTED_VALUE"""),"--")</f>
        <v>--</v>
      </c>
      <c r="T996" s="251" t="str">
        <f>IFERROR(__xludf.DUMMYFUNCTION("""COMPUTED_VALUE"""),"--")</f>
        <v>--</v>
      </c>
      <c r="U996" s="251" t="str">
        <f>IFERROR(__xludf.DUMMYFUNCTION("""COMPUTED_VALUE"""),"--")</f>
        <v>--</v>
      </c>
      <c r="V996" s="251" t="str">
        <f>IFERROR(__xludf.DUMMYFUNCTION("""COMPUTED_VALUE"""),"--")</f>
        <v>--</v>
      </c>
      <c r="W996" s="251" t="str">
        <f>IFERROR(__xludf.DUMMYFUNCTION("""COMPUTED_VALUE"""),"--")</f>
        <v>--</v>
      </c>
      <c r="X996" s="251" t="str">
        <f>IFERROR(__xludf.DUMMYFUNCTION("""COMPUTED_VALUE"""),"--")</f>
        <v>--</v>
      </c>
      <c r="Y996" s="251" t="str">
        <f>IFERROR(__xludf.DUMMYFUNCTION("""COMPUTED_VALUE"""),"--")</f>
        <v>--</v>
      </c>
      <c r="Z996" s="251" t="str">
        <f>IFERROR(__xludf.DUMMYFUNCTION("""COMPUTED_VALUE"""),"--")</f>
        <v>--</v>
      </c>
      <c r="AA996" s="251" t="str">
        <f>IFERROR(__xludf.DUMMYFUNCTION("""COMPUTED_VALUE"""),"--")</f>
        <v>--</v>
      </c>
      <c r="AB996" s="251" t="str">
        <f>IFERROR(__xludf.DUMMYFUNCTION("""COMPUTED_VALUE"""),"--")</f>
        <v>--</v>
      </c>
      <c r="AC996" s="251" t="str">
        <f>IFERROR(__xludf.DUMMYFUNCTION("""COMPUTED_VALUE"""),"--")</f>
        <v>--</v>
      </c>
      <c r="AD996" s="251">
        <f>IFERROR(__xludf.DUMMYFUNCTION("""COMPUTED_VALUE"""),2.0)</f>
        <v>2</v>
      </c>
      <c r="AE996" s="251" t="str">
        <f>IFERROR(__xludf.DUMMYFUNCTION("""COMPUTED_VALUE"""),"Herbivore")</f>
        <v>Herbivore</v>
      </c>
    </row>
    <row r="997">
      <c r="A997" s="251" t="str">
        <f>IFERROR(__xludf.DUMMYFUNCTION("""COMPUTED_VALUE"""),"Swanna")</f>
        <v>Swanna</v>
      </c>
      <c r="B997" s="251" t="str">
        <f>IFERROR(__xludf.DUMMYFUNCTION("""COMPUTED_VALUE"""),"Water")</f>
        <v>Water</v>
      </c>
      <c r="C997" s="251" t="str">
        <f>IFERROR(__xludf.DUMMYFUNCTION("""COMPUTED_VALUE"""),"Flying")</f>
        <v>Flying</v>
      </c>
      <c r="D997" s="251">
        <f>IFERROR(__xludf.DUMMYFUNCTION("""COMPUTED_VALUE"""),9.0)</f>
        <v>9</v>
      </c>
      <c r="E997" s="251">
        <f>IFERROR(__xludf.DUMMYFUNCTION("""COMPUTED_VALUE"""),9.0)</f>
        <v>9</v>
      </c>
      <c r="F997" s="251">
        <f>IFERROR(__xludf.DUMMYFUNCTION("""COMPUTED_VALUE"""),7.0)</f>
        <v>7</v>
      </c>
      <c r="G997" s="251">
        <f>IFERROR(__xludf.DUMMYFUNCTION("""COMPUTED_VALUE"""),9.0)</f>
        <v>9</v>
      </c>
      <c r="H997" s="251">
        <f>IFERROR(__xludf.DUMMYFUNCTION("""COMPUTED_VALUE"""),7.0)</f>
        <v>7</v>
      </c>
      <c r="I997" s="251">
        <f>IFERROR(__xludf.DUMMYFUNCTION("""COMPUTED_VALUE"""),10.0)</f>
        <v>10</v>
      </c>
      <c r="J997" s="251">
        <f>IFERROR(__xludf.DUMMYFUNCTION("""COMPUTED_VALUE"""),2.0)</f>
        <v>2</v>
      </c>
      <c r="K997" s="251" t="str">
        <f>IFERROR(__xludf.DUMMYFUNCTION("""COMPUTED_VALUE"""),"Medium")</f>
        <v>Medium</v>
      </c>
      <c r="L997" s="251">
        <f>IFERROR(__xludf.DUMMYFUNCTION("""COMPUTED_VALUE"""),2.0)</f>
        <v>2</v>
      </c>
      <c r="M997" s="251" t="str">
        <f>IFERROR(__xludf.DUMMYFUNCTION("""COMPUTED_VALUE"""),"Forest, Wetlands")</f>
        <v>Forest, Wetlands</v>
      </c>
      <c r="N997" s="251" t="str">
        <f>IFERROR(__xludf.DUMMYFUNCTION("""COMPUTED_VALUE"""),"Flier")</f>
        <v>Flier</v>
      </c>
      <c r="O997" s="251" t="str">
        <f>IFERROR(__xludf.DUMMYFUNCTION("""COMPUTED_VALUE"""),"Swimmer")</f>
        <v>Swimmer</v>
      </c>
      <c r="P997" s="251" t="str">
        <f>IFERROR(__xludf.DUMMYFUNCTION("""COMPUTED_VALUE"""),"--")</f>
        <v>--</v>
      </c>
      <c r="Q997" s="251" t="str">
        <f>IFERROR(__xludf.DUMMYFUNCTION("""COMPUTED_VALUE"""),"--")</f>
        <v>--</v>
      </c>
      <c r="R997" s="251" t="str">
        <f>IFERROR(__xludf.DUMMYFUNCTION("""COMPUTED_VALUE"""),"--")</f>
        <v>--</v>
      </c>
      <c r="S997" s="251" t="str">
        <f>IFERROR(__xludf.DUMMYFUNCTION("""COMPUTED_VALUE"""),"--")</f>
        <v>--</v>
      </c>
      <c r="T997" s="251" t="str">
        <f>IFERROR(__xludf.DUMMYFUNCTION("""COMPUTED_VALUE"""),"--")</f>
        <v>--</v>
      </c>
      <c r="U997" s="251" t="str">
        <f>IFERROR(__xludf.DUMMYFUNCTION("""COMPUTED_VALUE"""),"--")</f>
        <v>--</v>
      </c>
      <c r="V997" s="251" t="str">
        <f>IFERROR(__xludf.DUMMYFUNCTION("""COMPUTED_VALUE"""),"--")</f>
        <v>--</v>
      </c>
      <c r="W997" s="251" t="str">
        <f>IFERROR(__xludf.DUMMYFUNCTION("""COMPUTED_VALUE"""),"--")</f>
        <v>--</v>
      </c>
      <c r="X997" s="251" t="str">
        <f>IFERROR(__xludf.DUMMYFUNCTION("""COMPUTED_VALUE"""),"--")</f>
        <v>--</v>
      </c>
      <c r="Y997" s="251" t="str">
        <f>IFERROR(__xludf.DUMMYFUNCTION("""COMPUTED_VALUE"""),"--")</f>
        <v>--</v>
      </c>
      <c r="Z997" s="251" t="str">
        <f>IFERROR(__xludf.DUMMYFUNCTION("""COMPUTED_VALUE"""),"--")</f>
        <v>--</v>
      </c>
      <c r="AA997" s="251" t="str">
        <f>IFERROR(__xludf.DUMMYFUNCTION("""COMPUTED_VALUE"""),"--")</f>
        <v>--</v>
      </c>
      <c r="AB997" s="251" t="str">
        <f>IFERROR(__xludf.DUMMYFUNCTION("""COMPUTED_VALUE"""),"--")</f>
        <v>--</v>
      </c>
      <c r="AC997" s="251" t="str">
        <f>IFERROR(__xludf.DUMMYFUNCTION("""COMPUTED_VALUE"""),"--")</f>
        <v>--</v>
      </c>
      <c r="AD997" s="251">
        <f>IFERROR(__xludf.DUMMYFUNCTION("""COMPUTED_VALUE"""),3.0)</f>
        <v>3</v>
      </c>
      <c r="AE997" s="251" t="str">
        <f>IFERROR(__xludf.DUMMYFUNCTION("""COMPUTED_VALUE"""),"Herbivore")</f>
        <v>Herbivore</v>
      </c>
    </row>
    <row r="998">
      <c r="A998" s="251" t="str">
        <f>IFERROR(__xludf.DUMMYFUNCTION("""COMPUTED_VALUE"""),"Basculin")</f>
        <v>Basculin</v>
      </c>
      <c r="B998" s="251" t="str">
        <f>IFERROR(__xludf.DUMMYFUNCTION("""COMPUTED_VALUE"""),"Water")</f>
        <v>Water</v>
      </c>
      <c r="C998" s="251" t="str">
        <f>IFERROR(__xludf.DUMMYFUNCTION("""COMPUTED_VALUE"""),"None")</f>
        <v>None</v>
      </c>
      <c r="D998" s="251">
        <f>IFERROR(__xludf.DUMMYFUNCTION("""COMPUTED_VALUE"""),7.0)</f>
        <v>7</v>
      </c>
      <c r="E998" s="251">
        <f>IFERROR(__xludf.DUMMYFUNCTION("""COMPUTED_VALUE"""),9.0)</f>
        <v>9</v>
      </c>
      <c r="F998" s="251">
        <f>IFERROR(__xludf.DUMMYFUNCTION("""COMPUTED_VALUE"""),7.0)</f>
        <v>7</v>
      </c>
      <c r="G998" s="251">
        <f>IFERROR(__xludf.DUMMYFUNCTION("""COMPUTED_VALUE"""),8.0)</f>
        <v>8</v>
      </c>
      <c r="H998" s="251">
        <f>IFERROR(__xludf.DUMMYFUNCTION("""COMPUTED_VALUE"""),6.0)</f>
        <v>6</v>
      </c>
      <c r="I998" s="251">
        <f>IFERROR(__xludf.DUMMYFUNCTION("""COMPUTED_VALUE"""),10.0)</f>
        <v>10</v>
      </c>
      <c r="J998" s="251">
        <f>IFERROR(__xludf.DUMMYFUNCTION("""COMPUTED_VALUE"""),3.0)</f>
        <v>3</v>
      </c>
      <c r="K998" s="251" t="str">
        <f>IFERROR(__xludf.DUMMYFUNCTION("""COMPUTED_VALUE"""),"Medium")</f>
        <v>Medium</v>
      </c>
      <c r="L998" s="251">
        <f>IFERROR(__xludf.DUMMYFUNCTION("""COMPUTED_VALUE"""),2.0)</f>
        <v>2</v>
      </c>
      <c r="M998" s="251" t="str">
        <f>IFERROR(__xludf.DUMMYFUNCTION("""COMPUTED_VALUE"""),"Ocean")</f>
        <v>Ocean</v>
      </c>
      <c r="N998" s="251" t="str">
        <f>IFERROR(__xludf.DUMMYFUNCTION("""COMPUTED_VALUE"""),"Quick")</f>
        <v>Quick</v>
      </c>
      <c r="O998" s="251" t="str">
        <f>IFERROR(__xludf.DUMMYFUNCTION("""COMPUTED_VALUE"""),"Swimmer")</f>
        <v>Swimmer</v>
      </c>
      <c r="P998" s="251" t="str">
        <f>IFERROR(__xludf.DUMMYFUNCTION("""COMPUTED_VALUE"""),"--")</f>
        <v>--</v>
      </c>
      <c r="Q998" s="251" t="str">
        <f>IFERROR(__xludf.DUMMYFUNCTION("""COMPUTED_VALUE"""),"--")</f>
        <v>--</v>
      </c>
      <c r="R998" s="251" t="str">
        <f>IFERROR(__xludf.DUMMYFUNCTION("""COMPUTED_VALUE"""),"--")</f>
        <v>--</v>
      </c>
      <c r="S998" s="251" t="str">
        <f>IFERROR(__xludf.DUMMYFUNCTION("""COMPUTED_VALUE"""),"--")</f>
        <v>--</v>
      </c>
      <c r="T998" s="251" t="str">
        <f>IFERROR(__xludf.DUMMYFUNCTION("""COMPUTED_VALUE"""),"--")</f>
        <v>--</v>
      </c>
      <c r="U998" s="251" t="str">
        <f>IFERROR(__xludf.DUMMYFUNCTION("""COMPUTED_VALUE"""),"--")</f>
        <v>--</v>
      </c>
      <c r="V998" s="251" t="str">
        <f>IFERROR(__xludf.DUMMYFUNCTION("""COMPUTED_VALUE"""),"Gilled")</f>
        <v>Gilled</v>
      </c>
      <c r="W998" s="251" t="str">
        <f>IFERROR(__xludf.DUMMYFUNCTION("""COMPUTED_VALUE"""),"--")</f>
        <v>--</v>
      </c>
      <c r="X998" s="251" t="str">
        <f>IFERROR(__xludf.DUMMYFUNCTION("""COMPUTED_VALUE"""),"--")</f>
        <v>--</v>
      </c>
      <c r="Y998" s="251" t="str">
        <f>IFERROR(__xludf.DUMMYFUNCTION("""COMPUTED_VALUE"""),"--")</f>
        <v>--</v>
      </c>
      <c r="Z998" s="251" t="str">
        <f>IFERROR(__xludf.DUMMYFUNCTION("""COMPUTED_VALUE"""),"--")</f>
        <v>--</v>
      </c>
      <c r="AA998" s="251" t="str">
        <f>IFERROR(__xludf.DUMMYFUNCTION("""COMPUTED_VALUE"""),"--")</f>
        <v>--</v>
      </c>
      <c r="AB998" s="251" t="str">
        <f>IFERROR(__xludf.DUMMYFUNCTION("""COMPUTED_VALUE"""),"--")</f>
        <v>--</v>
      </c>
      <c r="AC998" s="251" t="str">
        <f>IFERROR(__xludf.DUMMYFUNCTION("""COMPUTED_VALUE"""),"--")</f>
        <v>--</v>
      </c>
      <c r="AD998" s="251">
        <f>IFERROR(__xludf.DUMMYFUNCTION("""COMPUTED_VALUE"""),2.0)</f>
        <v>2</v>
      </c>
      <c r="AE998" s="251" t="str">
        <f>IFERROR(__xludf.DUMMYFUNCTION("""COMPUTED_VALUE"""),"Omnivore")</f>
        <v>Omnivore</v>
      </c>
    </row>
    <row r="999">
      <c r="A999" s="251" t="str">
        <f>IFERROR(__xludf.DUMMYFUNCTION("""COMPUTED_VALUE"""),"Basculegion")</f>
        <v>Basculegion</v>
      </c>
      <c r="B999" s="251" t="str">
        <f>IFERROR(__xludf.DUMMYFUNCTION("""COMPUTED_VALUE"""),"Water")</f>
        <v>Water</v>
      </c>
      <c r="C999" s="251" t="str">
        <f>IFERROR(__xludf.DUMMYFUNCTION("""COMPUTED_VALUE"""),"Ghost")</f>
        <v>Ghost</v>
      </c>
      <c r="D999" s="251">
        <f>IFERROR(__xludf.DUMMYFUNCTION("""COMPUTED_VALUE"""),10.0)</f>
        <v>10</v>
      </c>
      <c r="E999" s="251">
        <f>IFERROR(__xludf.DUMMYFUNCTION("""COMPUTED_VALUE"""),12.0)</f>
        <v>12</v>
      </c>
      <c r="F999" s="251">
        <f>IFERROR(__xludf.DUMMYFUNCTION("""COMPUTED_VALUE"""),8.0)</f>
        <v>8</v>
      </c>
      <c r="G999" s="251">
        <f>IFERROR(__xludf.DUMMYFUNCTION("""COMPUTED_VALUE"""),8.0)</f>
        <v>8</v>
      </c>
      <c r="H999" s="251">
        <f>IFERROR(__xludf.DUMMYFUNCTION("""COMPUTED_VALUE"""),7.0)</f>
        <v>7</v>
      </c>
      <c r="I999" s="251">
        <f>IFERROR(__xludf.DUMMYFUNCTION("""COMPUTED_VALUE"""),11.0)</f>
        <v>11</v>
      </c>
      <c r="J999" s="251">
        <f>IFERROR(__xludf.DUMMYFUNCTION("""COMPUTED_VALUE"""),9.0)</f>
        <v>9</v>
      </c>
      <c r="K999" s="251" t="str">
        <f>IFERROR(__xludf.DUMMYFUNCTION("""COMPUTED_VALUE"""),"Huge")</f>
        <v>Huge</v>
      </c>
      <c r="L999" s="251">
        <f>IFERROR(__xludf.DUMMYFUNCTION("""COMPUTED_VALUE"""),5.0)</f>
        <v>5</v>
      </c>
      <c r="M999" s="251" t="str">
        <f>IFERROR(__xludf.DUMMYFUNCTION("""COMPUTED_VALUE"""),"Ocean")</f>
        <v>Ocean</v>
      </c>
      <c r="N999" s="251" t="str">
        <f>IFERROR(__xludf.DUMMYFUNCTION("""COMPUTED_VALUE"""),"Jumper")</f>
        <v>Jumper</v>
      </c>
      <c r="O999" s="251" t="str">
        <f>IFERROR(__xludf.DUMMYFUNCTION("""COMPUTED_VALUE"""),"Quick")</f>
        <v>Quick</v>
      </c>
      <c r="P999" s="251" t="str">
        <f>IFERROR(__xludf.DUMMYFUNCTION("""COMPUTED_VALUE"""),"Swimmer")</f>
        <v>Swimmer</v>
      </c>
      <c r="Q999" s="251" t="str">
        <f>IFERROR(__xludf.DUMMYFUNCTION("""COMPUTED_VALUE"""),"--")</f>
        <v>--</v>
      </c>
      <c r="R999" s="251" t="str">
        <f>IFERROR(__xludf.DUMMYFUNCTION("""COMPUTED_VALUE"""),"Mountable")</f>
        <v>Mountable</v>
      </c>
      <c r="S999" s="251" t="str">
        <f>IFERROR(__xludf.DUMMYFUNCTION("""COMPUTED_VALUE"""),"--")</f>
        <v>--</v>
      </c>
      <c r="T999" s="251" t="str">
        <f>IFERROR(__xludf.DUMMYFUNCTION("""COMPUTED_VALUE"""),"--")</f>
        <v>--</v>
      </c>
      <c r="U999" s="251" t="str">
        <f>IFERROR(__xludf.DUMMYFUNCTION("""COMPUTED_VALUE"""),"--")</f>
        <v>--</v>
      </c>
      <c r="V999" s="251" t="str">
        <f>IFERROR(__xludf.DUMMYFUNCTION("""COMPUTED_VALUE"""),"Gilled")</f>
        <v>Gilled</v>
      </c>
      <c r="W999" s="251" t="str">
        <f>IFERROR(__xludf.DUMMYFUNCTION("""COMPUTED_VALUE"""),"--")</f>
        <v>--</v>
      </c>
      <c r="X999" s="251" t="str">
        <f>IFERROR(__xludf.DUMMYFUNCTION("""COMPUTED_VALUE"""),"--")</f>
        <v>--</v>
      </c>
      <c r="Y999" s="251" t="str">
        <f>IFERROR(__xludf.DUMMYFUNCTION("""COMPUTED_VALUE"""),"--")</f>
        <v>--</v>
      </c>
      <c r="Z999" s="251" t="str">
        <f>IFERROR(__xludf.DUMMYFUNCTION("""COMPUTED_VALUE"""),"--")</f>
        <v>--</v>
      </c>
      <c r="AA999" s="251" t="str">
        <f>IFERROR(__xludf.DUMMYFUNCTION("""COMPUTED_VALUE"""),"--")</f>
        <v>--</v>
      </c>
      <c r="AB999" s="251" t="str">
        <f>IFERROR(__xludf.DUMMYFUNCTION("""COMPUTED_VALUE"""),"--")</f>
        <v>--</v>
      </c>
      <c r="AC999" s="251" t="str">
        <f>IFERROR(__xludf.DUMMYFUNCTION("""COMPUTED_VALUE"""),"--")</f>
        <v>--</v>
      </c>
      <c r="AD999" s="251">
        <f>IFERROR(__xludf.DUMMYFUNCTION("""COMPUTED_VALUE"""),3.0)</f>
        <v>3</v>
      </c>
      <c r="AE999" s="251" t="str">
        <f>IFERROR(__xludf.DUMMYFUNCTION("""COMPUTED_VALUE"""),"Omnivore")</f>
        <v>Omnivore</v>
      </c>
    </row>
    <row r="1000">
      <c r="A1000" s="251" t="str">
        <f>IFERROR(__xludf.DUMMYFUNCTION("""COMPUTED_VALUE"""),"Frillish")</f>
        <v>Frillish</v>
      </c>
      <c r="B1000" s="251" t="str">
        <f>IFERROR(__xludf.DUMMYFUNCTION("""COMPUTED_VALUE"""),"Water")</f>
        <v>Water</v>
      </c>
      <c r="C1000" s="251" t="str">
        <f>IFERROR(__xludf.DUMMYFUNCTION("""COMPUTED_VALUE"""),"Ghost")</f>
        <v>Ghost</v>
      </c>
      <c r="D1000" s="251">
        <f>IFERROR(__xludf.DUMMYFUNCTION("""COMPUTED_VALUE"""),6.0)</f>
        <v>6</v>
      </c>
      <c r="E1000" s="251">
        <f>IFERROR(__xludf.DUMMYFUNCTION("""COMPUTED_VALUE"""),4.0)</f>
        <v>4</v>
      </c>
      <c r="F1000" s="251">
        <f>IFERROR(__xludf.DUMMYFUNCTION("""COMPUTED_VALUE"""),5.0)</f>
        <v>5</v>
      </c>
      <c r="G1000" s="251">
        <f>IFERROR(__xludf.DUMMYFUNCTION("""COMPUTED_VALUE"""),7.0)</f>
        <v>7</v>
      </c>
      <c r="H1000" s="251">
        <f>IFERROR(__xludf.DUMMYFUNCTION("""COMPUTED_VALUE"""),9.0)</f>
        <v>9</v>
      </c>
      <c r="I1000" s="251">
        <f>IFERROR(__xludf.DUMMYFUNCTION("""COMPUTED_VALUE"""),4.0)</f>
        <v>4</v>
      </c>
      <c r="J1000" s="251">
        <f>IFERROR(__xludf.DUMMYFUNCTION("""COMPUTED_VALUE"""),1.0)</f>
        <v>1</v>
      </c>
      <c r="K1000" s="251" t="str">
        <f>IFERROR(__xludf.DUMMYFUNCTION("""COMPUTED_VALUE"""),"Medium")</f>
        <v>Medium</v>
      </c>
      <c r="L1000" s="251">
        <f>IFERROR(__xludf.DUMMYFUNCTION("""COMPUTED_VALUE"""),3.0)</f>
        <v>3</v>
      </c>
      <c r="M1000" s="251" t="str">
        <f>IFERROR(__xludf.DUMMYFUNCTION("""COMPUTED_VALUE"""),"Ocean")</f>
        <v>Ocean</v>
      </c>
      <c r="N1000" s="251" t="str">
        <f>IFERROR(__xludf.DUMMYFUNCTION("""COMPUTED_VALUE"""),"Flier")</f>
        <v>Flier</v>
      </c>
      <c r="O1000" s="251" t="str">
        <f>IFERROR(__xludf.DUMMYFUNCTION("""COMPUTED_VALUE"""),"Swimmer")</f>
        <v>Swimmer</v>
      </c>
      <c r="P1000" s="251" t="str">
        <f>IFERROR(__xludf.DUMMYFUNCTION("""COMPUTED_VALUE"""),"--")</f>
        <v>--</v>
      </c>
      <c r="Q1000" s="251" t="str">
        <f>IFERROR(__xludf.DUMMYFUNCTION("""COMPUTED_VALUE"""),"--")</f>
        <v>--</v>
      </c>
      <c r="R1000" s="251" t="str">
        <f>IFERROR(__xludf.DUMMYFUNCTION("""COMPUTED_VALUE"""),"Darkvision")</f>
        <v>Darkvision</v>
      </c>
      <c r="S1000" s="251" t="str">
        <f>IFERROR(__xludf.DUMMYFUNCTION("""COMPUTED_VALUE"""),"Invisibility")</f>
        <v>Invisibility</v>
      </c>
      <c r="T1000" s="251" t="str">
        <f>IFERROR(__xludf.DUMMYFUNCTION("""COMPUTED_VALUE"""),"Underdog")</f>
        <v>Underdog</v>
      </c>
      <c r="U1000" s="251" t="str">
        <f>IFERROR(__xludf.DUMMYFUNCTION("""COMPUTED_VALUE"""),"--")</f>
        <v>--</v>
      </c>
      <c r="V1000" s="251" t="str">
        <f>IFERROR(__xludf.DUMMYFUNCTION("""COMPUTED_VALUE"""),"Amorphous")</f>
        <v>Amorphous</v>
      </c>
      <c r="W1000" s="251" t="str">
        <f>IFERROR(__xludf.DUMMYFUNCTION("""COMPUTED_VALUE"""),"Dead Silent")</f>
        <v>Dead Silent</v>
      </c>
      <c r="X1000" s="251" t="str">
        <f>IFERROR(__xludf.DUMMYFUNCTION("""COMPUTED_VALUE"""),"Gilled")</f>
        <v>Gilled</v>
      </c>
      <c r="Y1000" s="251" t="str">
        <f>IFERROR(__xludf.DUMMYFUNCTION("""COMPUTED_VALUE"""),"--")</f>
        <v>--</v>
      </c>
      <c r="Z1000" s="251" t="str">
        <f>IFERROR(__xludf.DUMMYFUNCTION("""COMPUTED_VALUE"""),"--")</f>
        <v>--</v>
      </c>
      <c r="AA1000" s="251" t="str">
        <f>IFERROR(__xludf.DUMMYFUNCTION("""COMPUTED_VALUE"""),"--")</f>
        <v>--</v>
      </c>
      <c r="AB1000" s="251" t="str">
        <f>IFERROR(__xludf.DUMMYFUNCTION("""COMPUTED_VALUE"""),"--")</f>
        <v>--</v>
      </c>
      <c r="AC1000" s="251" t="str">
        <f>IFERROR(__xludf.DUMMYFUNCTION("""COMPUTED_VALUE"""),"--")</f>
        <v>--</v>
      </c>
      <c r="AD1000" s="251">
        <f>IFERROR(__xludf.DUMMYFUNCTION("""COMPUTED_VALUE"""),2.0)</f>
        <v>2</v>
      </c>
      <c r="AE1000" s="251" t="str">
        <f>IFERROR(__xludf.DUMMYFUNCTION("""COMPUTED_VALUE"""),"Carnivore")</f>
        <v>Carnivore</v>
      </c>
    </row>
    <row r="1001">
      <c r="A1001" s="251" t="str">
        <f>IFERROR(__xludf.DUMMYFUNCTION("""COMPUTED_VALUE"""),"Jellicent")</f>
        <v>Jellicent</v>
      </c>
      <c r="B1001" s="251" t="str">
        <f>IFERROR(__xludf.DUMMYFUNCTION("""COMPUTED_VALUE"""),"Water")</f>
        <v>Water</v>
      </c>
      <c r="C1001" s="251" t="str">
        <f>IFERROR(__xludf.DUMMYFUNCTION("""COMPUTED_VALUE"""),"Ghost")</f>
        <v>Ghost</v>
      </c>
      <c r="D1001" s="251">
        <f>IFERROR(__xludf.DUMMYFUNCTION("""COMPUTED_VALUE"""),10.0)</f>
        <v>10</v>
      </c>
      <c r="E1001" s="251">
        <f>IFERROR(__xludf.DUMMYFUNCTION("""COMPUTED_VALUE"""),6.0)</f>
        <v>6</v>
      </c>
      <c r="F1001" s="251">
        <f>IFERROR(__xludf.DUMMYFUNCTION("""COMPUTED_VALUE"""),8.0)</f>
        <v>8</v>
      </c>
      <c r="G1001" s="251">
        <f>IFERROR(__xludf.DUMMYFUNCTION("""COMPUTED_VALUE"""),10.0)</f>
        <v>10</v>
      </c>
      <c r="H1001" s="251">
        <f>IFERROR(__xludf.DUMMYFUNCTION("""COMPUTED_VALUE"""),11.0)</f>
        <v>11</v>
      </c>
      <c r="I1001" s="251">
        <f>IFERROR(__xludf.DUMMYFUNCTION("""COMPUTED_VALUE"""),6.0)</f>
        <v>6</v>
      </c>
      <c r="J1001" s="251">
        <f>IFERROR(__xludf.DUMMYFUNCTION("""COMPUTED_VALUE"""),3.0)</f>
        <v>3</v>
      </c>
      <c r="K1001" s="251" t="str">
        <f>IFERROR(__xludf.DUMMYFUNCTION("""COMPUTED_VALUE"""),"Large")</f>
        <v>Large</v>
      </c>
      <c r="L1001" s="251">
        <f>IFERROR(__xludf.DUMMYFUNCTION("""COMPUTED_VALUE"""),5.0)</f>
        <v>5</v>
      </c>
      <c r="M1001" s="251" t="str">
        <f>IFERROR(__xludf.DUMMYFUNCTION("""COMPUTED_VALUE"""),"Ocean")</f>
        <v>Ocean</v>
      </c>
      <c r="N1001" s="251" t="str">
        <f>IFERROR(__xludf.DUMMYFUNCTION("""COMPUTED_VALUE"""),"Flier")</f>
        <v>Flier</v>
      </c>
      <c r="O1001" s="251" t="str">
        <f>IFERROR(__xludf.DUMMYFUNCTION("""COMPUTED_VALUE"""),"Swimmer")</f>
        <v>Swimmer</v>
      </c>
      <c r="P1001" s="251" t="str">
        <f>IFERROR(__xludf.DUMMYFUNCTION("""COMPUTED_VALUE"""),"--")</f>
        <v>--</v>
      </c>
      <c r="Q1001" s="251" t="str">
        <f>IFERROR(__xludf.DUMMYFUNCTION("""COMPUTED_VALUE"""),"--")</f>
        <v>--</v>
      </c>
      <c r="R1001" s="251" t="str">
        <f>IFERROR(__xludf.DUMMYFUNCTION("""COMPUTED_VALUE"""),"Darkvision")</f>
        <v>Darkvision</v>
      </c>
      <c r="S1001" s="251" t="str">
        <f>IFERROR(__xludf.DUMMYFUNCTION("""COMPUTED_VALUE"""),"Invisibility")</f>
        <v>Invisibility</v>
      </c>
      <c r="T1001" s="251" t="str">
        <f>IFERROR(__xludf.DUMMYFUNCTION("""COMPUTED_VALUE"""),"--")</f>
        <v>--</v>
      </c>
      <c r="U1001" s="251" t="str">
        <f>IFERROR(__xludf.DUMMYFUNCTION("""COMPUTED_VALUE"""),"--")</f>
        <v>--</v>
      </c>
      <c r="V1001" s="251" t="str">
        <f>IFERROR(__xludf.DUMMYFUNCTION("""COMPUTED_VALUE"""),"Amorphous")</f>
        <v>Amorphous</v>
      </c>
      <c r="W1001" s="251" t="str">
        <f>IFERROR(__xludf.DUMMYFUNCTION("""COMPUTED_VALUE"""),"Dead Silent")</f>
        <v>Dead Silent</v>
      </c>
      <c r="X1001" s="251" t="str">
        <f>IFERROR(__xludf.DUMMYFUNCTION("""COMPUTED_VALUE"""),"Gilled")</f>
        <v>Gilled</v>
      </c>
      <c r="Y1001" s="251" t="str">
        <f>IFERROR(__xludf.DUMMYFUNCTION("""COMPUTED_VALUE"""),"--")</f>
        <v>--</v>
      </c>
      <c r="Z1001" s="251" t="str">
        <f>IFERROR(__xludf.DUMMYFUNCTION("""COMPUTED_VALUE"""),"--")</f>
        <v>--</v>
      </c>
      <c r="AA1001" s="251" t="str">
        <f>IFERROR(__xludf.DUMMYFUNCTION("""COMPUTED_VALUE"""),"--")</f>
        <v>--</v>
      </c>
      <c r="AB1001" s="251" t="str">
        <f>IFERROR(__xludf.DUMMYFUNCTION("""COMPUTED_VALUE"""),"--")</f>
        <v>--</v>
      </c>
      <c r="AC1001" s="251" t="str">
        <f>IFERROR(__xludf.DUMMYFUNCTION("""COMPUTED_VALUE"""),"--")</f>
        <v>--</v>
      </c>
      <c r="AD1001" s="251">
        <f>IFERROR(__xludf.DUMMYFUNCTION("""COMPUTED_VALUE"""),3.0)</f>
        <v>3</v>
      </c>
      <c r="AE1001" s="251" t="str">
        <f>IFERROR(__xludf.DUMMYFUNCTION("""COMPUTED_VALUE"""),"Carnivore")</f>
        <v>Carnivore</v>
      </c>
    </row>
    <row r="1002">
      <c r="A1002" s="251" t="str">
        <f>IFERROR(__xludf.DUMMYFUNCTION("""COMPUTED_VALUE"""),"Clauncher")</f>
        <v>Clauncher</v>
      </c>
      <c r="B1002" s="251" t="str">
        <f>IFERROR(__xludf.DUMMYFUNCTION("""COMPUTED_VALUE"""),"Water")</f>
        <v>Water</v>
      </c>
      <c r="C1002" s="251" t="str">
        <f>IFERROR(__xludf.DUMMYFUNCTION("""COMPUTED_VALUE"""),"None")</f>
        <v>None</v>
      </c>
      <c r="D1002" s="251">
        <f>IFERROR(__xludf.DUMMYFUNCTION("""COMPUTED_VALUE"""),5.0)</f>
        <v>5</v>
      </c>
      <c r="E1002" s="251">
        <f>IFERROR(__xludf.DUMMYFUNCTION("""COMPUTED_VALUE"""),5.0)</f>
        <v>5</v>
      </c>
      <c r="F1002" s="251">
        <f>IFERROR(__xludf.DUMMYFUNCTION("""COMPUTED_VALUE"""),6.0)</f>
        <v>6</v>
      </c>
      <c r="G1002" s="251">
        <f>IFERROR(__xludf.DUMMYFUNCTION("""COMPUTED_VALUE"""),6.0)</f>
        <v>6</v>
      </c>
      <c r="H1002" s="251">
        <f>IFERROR(__xludf.DUMMYFUNCTION("""COMPUTED_VALUE"""),6.0)</f>
        <v>6</v>
      </c>
      <c r="I1002" s="251">
        <f>IFERROR(__xludf.DUMMYFUNCTION("""COMPUTED_VALUE"""),4.0)</f>
        <v>4</v>
      </c>
      <c r="J1002" s="251">
        <f>IFERROR(__xludf.DUMMYFUNCTION("""COMPUTED_VALUE"""),2.0)</f>
        <v>2</v>
      </c>
      <c r="K1002" s="251" t="str">
        <f>IFERROR(__xludf.DUMMYFUNCTION("""COMPUTED_VALUE"""),"Small")</f>
        <v>Small</v>
      </c>
      <c r="L1002" s="251">
        <f>IFERROR(__xludf.DUMMYFUNCTION("""COMPUTED_VALUE"""),1.0)</f>
        <v>1</v>
      </c>
      <c r="M1002" s="251" t="str">
        <f>IFERROR(__xludf.DUMMYFUNCTION("""COMPUTED_VALUE"""),"Ocean")</f>
        <v>Ocean</v>
      </c>
      <c r="N1002" s="251" t="str">
        <f>IFERROR(__xludf.DUMMYFUNCTION("""COMPUTED_VALUE"""),"Swimmer")</f>
        <v>Swimmer</v>
      </c>
      <c r="O1002" s="251" t="str">
        <f>IFERROR(__xludf.DUMMYFUNCTION("""COMPUTED_VALUE"""),"--")</f>
        <v>--</v>
      </c>
      <c r="P1002" s="251" t="str">
        <f>IFERROR(__xludf.DUMMYFUNCTION("""COMPUTED_VALUE"""),"--")</f>
        <v>--</v>
      </c>
      <c r="Q1002" s="251" t="str">
        <f>IFERROR(__xludf.DUMMYFUNCTION("""COMPUTED_VALUE"""),"--")</f>
        <v>--</v>
      </c>
      <c r="R1002" s="251" t="str">
        <f>IFERROR(__xludf.DUMMYFUNCTION("""COMPUTED_VALUE"""),"Underdog")</f>
        <v>Underdog</v>
      </c>
      <c r="S1002" s="251" t="str">
        <f>IFERROR(__xludf.DUMMYFUNCTION("""COMPUTED_VALUE"""),"--")</f>
        <v>--</v>
      </c>
      <c r="T1002" s="251" t="str">
        <f>IFERROR(__xludf.DUMMYFUNCTION("""COMPUTED_VALUE"""),"--")</f>
        <v>--</v>
      </c>
      <c r="U1002" s="251" t="str">
        <f>IFERROR(__xludf.DUMMYFUNCTION("""COMPUTED_VALUE"""),"--")</f>
        <v>--</v>
      </c>
      <c r="V1002" s="251" t="str">
        <f>IFERROR(__xludf.DUMMYFUNCTION("""COMPUTED_VALUE"""),"Gilled")</f>
        <v>Gilled</v>
      </c>
      <c r="W1002" s="251" t="str">
        <f>IFERROR(__xludf.DUMMYFUNCTION("""COMPUTED_VALUE"""),"--")</f>
        <v>--</v>
      </c>
      <c r="X1002" s="251" t="str">
        <f>IFERROR(__xludf.DUMMYFUNCTION("""COMPUTED_VALUE"""),"--")</f>
        <v>--</v>
      </c>
      <c r="Y1002" s="251" t="str">
        <f>IFERROR(__xludf.DUMMYFUNCTION("""COMPUTED_VALUE"""),"--")</f>
        <v>--</v>
      </c>
      <c r="Z1002" s="251" t="str">
        <f>IFERROR(__xludf.DUMMYFUNCTION("""COMPUTED_VALUE"""),"--")</f>
        <v>--</v>
      </c>
      <c r="AA1002" s="251" t="str">
        <f>IFERROR(__xludf.DUMMYFUNCTION("""COMPUTED_VALUE"""),"--")</f>
        <v>--</v>
      </c>
      <c r="AB1002" s="251" t="str">
        <f>IFERROR(__xludf.DUMMYFUNCTION("""COMPUTED_VALUE"""),"--")</f>
        <v>--</v>
      </c>
      <c r="AC1002" s="251" t="str">
        <f>IFERROR(__xludf.DUMMYFUNCTION("""COMPUTED_VALUE"""),"--")</f>
        <v>--</v>
      </c>
      <c r="AD1002" s="251">
        <f>IFERROR(__xludf.DUMMYFUNCTION("""COMPUTED_VALUE"""),2.0)</f>
        <v>2</v>
      </c>
      <c r="AE1002" s="251" t="str">
        <f>IFERROR(__xludf.DUMMYFUNCTION("""COMPUTED_VALUE"""),"Carnivore")</f>
        <v>Carnivore</v>
      </c>
    </row>
    <row r="1003">
      <c r="A1003" s="251" t="str">
        <f>IFERROR(__xludf.DUMMYFUNCTION("""COMPUTED_VALUE"""),"Clawitzer")</f>
        <v>Clawitzer</v>
      </c>
      <c r="B1003" s="251" t="str">
        <f>IFERROR(__xludf.DUMMYFUNCTION("""COMPUTED_VALUE"""),"Water")</f>
        <v>Water</v>
      </c>
      <c r="C1003" s="251" t="str">
        <f>IFERROR(__xludf.DUMMYFUNCTION("""COMPUTED_VALUE"""),"None")</f>
        <v>None</v>
      </c>
      <c r="D1003" s="251">
        <f>IFERROR(__xludf.DUMMYFUNCTION("""COMPUTED_VALUE"""),8.0)</f>
        <v>8</v>
      </c>
      <c r="E1003" s="251">
        <f>IFERROR(__xludf.DUMMYFUNCTION("""COMPUTED_VALUE"""),7.0)</f>
        <v>7</v>
      </c>
      <c r="F1003" s="251">
        <f>IFERROR(__xludf.DUMMYFUNCTION("""COMPUTED_VALUE"""),9.0)</f>
        <v>9</v>
      </c>
      <c r="G1003" s="251">
        <f>IFERROR(__xludf.DUMMYFUNCTION("""COMPUTED_VALUE"""),12.0)</f>
        <v>12</v>
      </c>
      <c r="H1003" s="251">
        <f>IFERROR(__xludf.DUMMYFUNCTION("""COMPUTED_VALUE"""),9.0)</f>
        <v>9</v>
      </c>
      <c r="I1003" s="251">
        <f>IFERROR(__xludf.DUMMYFUNCTION("""COMPUTED_VALUE"""),6.0)</f>
        <v>6</v>
      </c>
      <c r="J1003" s="251">
        <f>IFERROR(__xludf.DUMMYFUNCTION("""COMPUTED_VALUE"""),4.0)</f>
        <v>4</v>
      </c>
      <c r="K1003" s="251" t="str">
        <f>IFERROR(__xludf.DUMMYFUNCTION("""COMPUTED_VALUE"""),"Medium")</f>
        <v>Medium</v>
      </c>
      <c r="L1003" s="251">
        <f>IFERROR(__xludf.DUMMYFUNCTION("""COMPUTED_VALUE"""),3.0)</f>
        <v>3</v>
      </c>
      <c r="M1003" s="251" t="str">
        <f>IFERROR(__xludf.DUMMYFUNCTION("""COMPUTED_VALUE"""),"Ocean")</f>
        <v>Ocean</v>
      </c>
      <c r="N1003" s="251" t="str">
        <f>IFERROR(__xludf.DUMMYFUNCTION("""COMPUTED_VALUE"""),"Swimmer")</f>
        <v>Swimmer</v>
      </c>
      <c r="O1003" s="251" t="str">
        <f>IFERROR(__xludf.DUMMYFUNCTION("""COMPUTED_VALUE"""),"--")</f>
        <v>--</v>
      </c>
      <c r="P1003" s="251" t="str">
        <f>IFERROR(__xludf.DUMMYFUNCTION("""COMPUTED_VALUE"""),"--")</f>
        <v>--</v>
      </c>
      <c r="Q1003" s="251" t="str">
        <f>IFERROR(__xludf.DUMMYFUNCTION("""COMPUTED_VALUE"""),"--")</f>
        <v>--</v>
      </c>
      <c r="R1003" s="251" t="str">
        <f>IFERROR(__xludf.DUMMYFUNCTION("""COMPUTED_VALUE"""),"--")</f>
        <v>--</v>
      </c>
      <c r="S1003" s="251" t="str">
        <f>IFERROR(__xludf.DUMMYFUNCTION("""COMPUTED_VALUE"""),"--")</f>
        <v>--</v>
      </c>
      <c r="T1003" s="251" t="str">
        <f>IFERROR(__xludf.DUMMYFUNCTION("""COMPUTED_VALUE"""),"--")</f>
        <v>--</v>
      </c>
      <c r="U1003" s="251" t="str">
        <f>IFERROR(__xludf.DUMMYFUNCTION("""COMPUTED_VALUE"""),"--")</f>
        <v>--</v>
      </c>
      <c r="V1003" s="251" t="str">
        <f>IFERROR(__xludf.DUMMYFUNCTION("""COMPUTED_VALUE"""),"Gilled")</f>
        <v>Gilled</v>
      </c>
      <c r="W1003" s="251" t="str">
        <f>IFERROR(__xludf.DUMMYFUNCTION("""COMPUTED_VALUE"""),"--")</f>
        <v>--</v>
      </c>
      <c r="X1003" s="251" t="str">
        <f>IFERROR(__xludf.DUMMYFUNCTION("""COMPUTED_VALUE"""),"--")</f>
        <v>--</v>
      </c>
      <c r="Y1003" s="251" t="str">
        <f>IFERROR(__xludf.DUMMYFUNCTION("""COMPUTED_VALUE"""),"--")</f>
        <v>--</v>
      </c>
      <c r="Z1003" s="251" t="str">
        <f>IFERROR(__xludf.DUMMYFUNCTION("""COMPUTED_VALUE"""),"--")</f>
        <v>--</v>
      </c>
      <c r="AA1003" s="251" t="str">
        <f>IFERROR(__xludf.DUMMYFUNCTION("""COMPUTED_VALUE"""),"--")</f>
        <v>--</v>
      </c>
      <c r="AB1003" s="251" t="str">
        <f>IFERROR(__xludf.DUMMYFUNCTION("""COMPUTED_VALUE"""),"--")</f>
        <v>--</v>
      </c>
      <c r="AC1003" s="251" t="str">
        <f>IFERROR(__xludf.DUMMYFUNCTION("""COMPUTED_VALUE"""),"--")</f>
        <v>--</v>
      </c>
      <c r="AD1003" s="251">
        <f>IFERROR(__xludf.DUMMYFUNCTION("""COMPUTED_VALUE"""),3.0)</f>
        <v>3</v>
      </c>
      <c r="AE1003" s="251" t="str">
        <f>IFERROR(__xludf.DUMMYFUNCTION("""COMPUTED_VALUE"""),"Carnivore")</f>
        <v>Carnivore</v>
      </c>
    </row>
    <row r="1004">
      <c r="A1004" s="251" t="str">
        <f>IFERROR(__xludf.DUMMYFUNCTION("""COMPUTED_VALUE"""),"Dewpider")</f>
        <v>Dewpider</v>
      </c>
      <c r="B1004" s="251" t="str">
        <f>IFERROR(__xludf.DUMMYFUNCTION("""COMPUTED_VALUE"""),"Water")</f>
        <v>Water</v>
      </c>
      <c r="C1004" s="251" t="str">
        <f>IFERROR(__xludf.DUMMYFUNCTION("""COMPUTED_VALUE"""),"Bug")</f>
        <v>Bug</v>
      </c>
      <c r="D1004" s="251">
        <f>IFERROR(__xludf.DUMMYFUNCTION("""COMPUTED_VALUE"""),5.0)</f>
        <v>5</v>
      </c>
      <c r="E1004" s="251">
        <f>IFERROR(__xludf.DUMMYFUNCTION("""COMPUTED_VALUE"""),4.0)</f>
        <v>4</v>
      </c>
      <c r="F1004" s="251">
        <f>IFERROR(__xludf.DUMMYFUNCTION("""COMPUTED_VALUE"""),6.0)</f>
        <v>6</v>
      </c>
      <c r="G1004" s="251">
        <f>IFERROR(__xludf.DUMMYFUNCTION("""COMPUTED_VALUE"""),4.0)</f>
        <v>4</v>
      </c>
      <c r="H1004" s="251">
        <f>IFERROR(__xludf.DUMMYFUNCTION("""COMPUTED_VALUE"""),8.0)</f>
        <v>8</v>
      </c>
      <c r="I1004" s="251">
        <f>IFERROR(__xludf.DUMMYFUNCTION("""COMPUTED_VALUE"""),3.0)</f>
        <v>3</v>
      </c>
      <c r="J1004" s="251">
        <f>IFERROR(__xludf.DUMMYFUNCTION("""COMPUTED_VALUE"""),1.0)</f>
        <v>1</v>
      </c>
      <c r="K1004" s="251" t="str">
        <f>IFERROR(__xludf.DUMMYFUNCTION("""COMPUTED_VALUE"""),"Small")</f>
        <v>Small</v>
      </c>
      <c r="L1004" s="251">
        <f>IFERROR(__xludf.DUMMYFUNCTION("""COMPUTED_VALUE"""),1.0)</f>
        <v>1</v>
      </c>
      <c r="M1004" s="251" t="str">
        <f>IFERROR(__xludf.DUMMYFUNCTION("""COMPUTED_VALUE"""),"Wetlands")</f>
        <v>Wetlands</v>
      </c>
      <c r="N1004" s="251" t="str">
        <f>IFERROR(__xludf.DUMMYFUNCTION("""COMPUTED_VALUE"""),"Climber")</f>
        <v>Climber</v>
      </c>
      <c r="O1004" s="251" t="str">
        <f>IFERROR(__xludf.DUMMYFUNCTION("""COMPUTED_VALUE"""),"--")</f>
        <v>--</v>
      </c>
      <c r="P1004" s="251" t="str">
        <f>IFERROR(__xludf.DUMMYFUNCTION("""COMPUTED_VALUE"""),"--")</f>
        <v>--</v>
      </c>
      <c r="Q1004" s="251" t="str">
        <f>IFERROR(__xludf.DUMMYFUNCTION("""COMPUTED_VALUE"""),"--")</f>
        <v>--</v>
      </c>
      <c r="R1004" s="251" t="str">
        <f>IFERROR(__xludf.DUMMYFUNCTION("""COMPUTED_VALUE"""),"Underdog")</f>
        <v>Underdog</v>
      </c>
      <c r="S1004" s="251" t="str">
        <f>IFERROR(__xludf.DUMMYFUNCTION("""COMPUTED_VALUE"""),"--")</f>
        <v>--</v>
      </c>
      <c r="T1004" s="251" t="str">
        <f>IFERROR(__xludf.DUMMYFUNCTION("""COMPUTED_VALUE"""),"--")</f>
        <v>--</v>
      </c>
      <c r="U1004" s="251" t="str">
        <f>IFERROR(__xludf.DUMMYFUNCTION("""COMPUTED_VALUE"""),"--")</f>
        <v>--</v>
      </c>
      <c r="V1004" s="251" t="str">
        <f>IFERROR(__xludf.DUMMYFUNCTION("""COMPUTED_VALUE"""),"Gilled")</f>
        <v>Gilled</v>
      </c>
      <c r="W1004" s="251" t="str">
        <f>IFERROR(__xludf.DUMMYFUNCTION("""COMPUTED_VALUE"""),"--")</f>
        <v>--</v>
      </c>
      <c r="X1004" s="251" t="str">
        <f>IFERROR(__xludf.DUMMYFUNCTION("""COMPUTED_VALUE"""),"--")</f>
        <v>--</v>
      </c>
      <c r="Y1004" s="251" t="str">
        <f>IFERROR(__xludf.DUMMYFUNCTION("""COMPUTED_VALUE"""),"--")</f>
        <v>--</v>
      </c>
      <c r="Z1004" s="251" t="str">
        <f>IFERROR(__xludf.DUMMYFUNCTION("""COMPUTED_VALUE"""),"--")</f>
        <v>--</v>
      </c>
      <c r="AA1004" s="251" t="str">
        <f>IFERROR(__xludf.DUMMYFUNCTION("""COMPUTED_VALUE"""),"--")</f>
        <v>--</v>
      </c>
      <c r="AB1004" s="251" t="str">
        <f>IFERROR(__xludf.DUMMYFUNCTION("""COMPUTED_VALUE"""),"--")</f>
        <v>--</v>
      </c>
      <c r="AC1004" s="251" t="str">
        <f>IFERROR(__xludf.DUMMYFUNCTION("""COMPUTED_VALUE"""),"--")</f>
        <v>--</v>
      </c>
      <c r="AD1004" s="251">
        <f>IFERROR(__xludf.DUMMYFUNCTION("""COMPUTED_VALUE"""),2.0)</f>
        <v>2</v>
      </c>
      <c r="AE1004" s="251" t="str">
        <f>IFERROR(__xludf.DUMMYFUNCTION("""COMPUTED_VALUE"""),"Carnivore")</f>
        <v>Carnivore</v>
      </c>
    </row>
    <row r="1005">
      <c r="A1005" s="251" t="str">
        <f>IFERROR(__xludf.DUMMYFUNCTION("""COMPUTED_VALUE"""),"Araquanid")</f>
        <v>Araquanid</v>
      </c>
      <c r="B1005" s="251" t="str">
        <f>IFERROR(__xludf.DUMMYFUNCTION("""COMPUTED_VALUE"""),"Water")</f>
        <v>Water</v>
      </c>
      <c r="C1005" s="251" t="str">
        <f>IFERROR(__xludf.DUMMYFUNCTION("""COMPUTED_VALUE"""),"Bug")</f>
        <v>Bug</v>
      </c>
      <c r="D1005" s="251">
        <f>IFERROR(__xludf.DUMMYFUNCTION("""COMPUTED_VALUE"""),9.0)</f>
        <v>9</v>
      </c>
      <c r="E1005" s="251">
        <f>IFERROR(__xludf.DUMMYFUNCTION("""COMPUTED_VALUE"""),9.0)</f>
        <v>9</v>
      </c>
      <c r="F1005" s="251">
        <f>IFERROR(__xludf.DUMMYFUNCTION("""COMPUTED_VALUE"""),10.0)</f>
        <v>10</v>
      </c>
      <c r="G1005" s="251">
        <f>IFERROR(__xludf.DUMMYFUNCTION("""COMPUTED_VALUE"""),5.0)</f>
        <v>5</v>
      </c>
      <c r="H1005" s="251">
        <f>IFERROR(__xludf.DUMMYFUNCTION("""COMPUTED_VALUE"""),13.0)</f>
        <v>13</v>
      </c>
      <c r="I1005" s="251">
        <f>IFERROR(__xludf.DUMMYFUNCTION("""COMPUTED_VALUE"""),5.0)</f>
        <v>5</v>
      </c>
      <c r="J1005" s="251">
        <f>IFERROR(__xludf.DUMMYFUNCTION("""COMPUTED_VALUE"""),4.0)</f>
        <v>4</v>
      </c>
      <c r="K1005" s="251" t="str">
        <f>IFERROR(__xludf.DUMMYFUNCTION("""COMPUTED_VALUE"""),"Medium")</f>
        <v>Medium</v>
      </c>
      <c r="L1005" s="251">
        <f>IFERROR(__xludf.DUMMYFUNCTION("""COMPUTED_VALUE"""),4.0)</f>
        <v>4</v>
      </c>
      <c r="M1005" s="251" t="str">
        <f>IFERROR(__xludf.DUMMYFUNCTION("""COMPUTED_VALUE"""),"Wetlands")</f>
        <v>Wetlands</v>
      </c>
      <c r="N1005" s="251" t="str">
        <f>IFERROR(__xludf.DUMMYFUNCTION("""COMPUTED_VALUE"""),"Climber")</f>
        <v>Climber</v>
      </c>
      <c r="O1005" s="251" t="str">
        <f>IFERROR(__xludf.DUMMYFUNCTION("""COMPUTED_VALUE"""),"--")</f>
        <v>--</v>
      </c>
      <c r="P1005" s="251" t="str">
        <f>IFERROR(__xludf.DUMMYFUNCTION("""COMPUTED_VALUE"""),"--")</f>
        <v>--</v>
      </c>
      <c r="Q1005" s="251" t="str">
        <f>IFERROR(__xludf.DUMMYFUNCTION("""COMPUTED_VALUE"""),"--")</f>
        <v>--</v>
      </c>
      <c r="R1005" s="251" t="str">
        <f>IFERROR(__xludf.DUMMYFUNCTION("""COMPUTED_VALUE"""),"--")</f>
        <v>--</v>
      </c>
      <c r="S1005" s="251" t="str">
        <f>IFERROR(__xludf.DUMMYFUNCTION("""COMPUTED_VALUE"""),"--")</f>
        <v>--</v>
      </c>
      <c r="T1005" s="251" t="str">
        <f>IFERROR(__xludf.DUMMYFUNCTION("""COMPUTED_VALUE"""),"--")</f>
        <v>--</v>
      </c>
      <c r="U1005" s="251" t="str">
        <f>IFERROR(__xludf.DUMMYFUNCTION("""COMPUTED_VALUE"""),"--")</f>
        <v>--</v>
      </c>
      <c r="V1005" s="251" t="str">
        <f>IFERROR(__xludf.DUMMYFUNCTION("""COMPUTED_VALUE"""),"Gilled")</f>
        <v>Gilled</v>
      </c>
      <c r="W1005" s="251" t="str">
        <f>IFERROR(__xludf.DUMMYFUNCTION("""COMPUTED_VALUE"""),"--")</f>
        <v>--</v>
      </c>
      <c r="X1005" s="251" t="str">
        <f>IFERROR(__xludf.DUMMYFUNCTION("""COMPUTED_VALUE"""),"--")</f>
        <v>--</v>
      </c>
      <c r="Y1005" s="251" t="str">
        <f>IFERROR(__xludf.DUMMYFUNCTION("""COMPUTED_VALUE"""),"--")</f>
        <v>--</v>
      </c>
      <c r="Z1005" s="251" t="str">
        <f>IFERROR(__xludf.DUMMYFUNCTION("""COMPUTED_VALUE"""),"--")</f>
        <v>--</v>
      </c>
      <c r="AA1005" s="251" t="str">
        <f>IFERROR(__xludf.DUMMYFUNCTION("""COMPUTED_VALUE"""),"--")</f>
        <v>--</v>
      </c>
      <c r="AB1005" s="251" t="str">
        <f>IFERROR(__xludf.DUMMYFUNCTION("""COMPUTED_VALUE"""),"--")</f>
        <v>--</v>
      </c>
      <c r="AC1005" s="251" t="str">
        <f>IFERROR(__xludf.DUMMYFUNCTION("""COMPUTED_VALUE"""),"--")</f>
        <v>--</v>
      </c>
      <c r="AD1005" s="251">
        <f>IFERROR(__xludf.DUMMYFUNCTION("""COMPUTED_VALUE"""),3.0)</f>
        <v>3</v>
      </c>
      <c r="AE1005" s="251" t="str">
        <f>IFERROR(__xludf.DUMMYFUNCTION("""COMPUTED_VALUE"""),"Carnivore")</f>
        <v>Carnivore</v>
      </c>
    </row>
    <row r="1006">
      <c r="A1006" s="251" t="str">
        <f>IFERROR(__xludf.DUMMYFUNCTION("""COMPUTED_VALUE"""),"Chewtle")</f>
        <v>Chewtle</v>
      </c>
      <c r="B1006" s="251" t="str">
        <f>IFERROR(__xludf.DUMMYFUNCTION("""COMPUTED_VALUE"""),"Water")</f>
        <v>Water</v>
      </c>
      <c r="C1006" s="251" t="str">
        <f>IFERROR(__xludf.DUMMYFUNCTION("""COMPUTED_VALUE"""),"None")</f>
        <v>None</v>
      </c>
      <c r="D1006" s="251">
        <f>IFERROR(__xludf.DUMMYFUNCTION("""COMPUTED_VALUE"""),5.0)</f>
        <v>5</v>
      </c>
      <c r="E1006" s="251">
        <f>IFERROR(__xludf.DUMMYFUNCTION("""COMPUTED_VALUE"""),7.0)</f>
        <v>7</v>
      </c>
      <c r="F1006" s="251">
        <f>IFERROR(__xludf.DUMMYFUNCTION("""COMPUTED_VALUE"""),6.0)</f>
        <v>6</v>
      </c>
      <c r="G1006" s="251">
        <f>IFERROR(__xludf.DUMMYFUNCTION("""COMPUTED_VALUE"""),4.0)</f>
        <v>4</v>
      </c>
      <c r="H1006" s="251">
        <f>IFERROR(__xludf.DUMMYFUNCTION("""COMPUTED_VALUE"""),4.0)</f>
        <v>4</v>
      </c>
      <c r="I1006" s="251">
        <f>IFERROR(__xludf.DUMMYFUNCTION("""COMPUTED_VALUE"""),4.0)</f>
        <v>4</v>
      </c>
      <c r="J1006" s="251">
        <f>IFERROR(__xludf.DUMMYFUNCTION("""COMPUTED_VALUE"""),4.0)</f>
        <v>4</v>
      </c>
      <c r="K1006" s="251" t="str">
        <f>IFERROR(__xludf.DUMMYFUNCTION("""COMPUTED_VALUE"""),"Small")</f>
        <v>Small</v>
      </c>
      <c r="L1006" s="251">
        <f>IFERROR(__xludf.DUMMYFUNCTION("""COMPUTED_VALUE"""),1.0)</f>
        <v>1</v>
      </c>
      <c r="M1006" s="251" t="str">
        <f>IFERROR(__xludf.DUMMYFUNCTION("""COMPUTED_VALUE"""),"Cave")</f>
        <v>Cave</v>
      </c>
      <c r="N1006" s="251" t="str">
        <f>IFERROR(__xludf.DUMMYFUNCTION("""COMPUTED_VALUE"""),"Slow")</f>
        <v>Slow</v>
      </c>
      <c r="O1006" s="251" t="str">
        <f>IFERROR(__xludf.DUMMYFUNCTION("""COMPUTED_VALUE"""),"Swimmer")</f>
        <v>Swimmer</v>
      </c>
      <c r="P1006" s="251" t="str">
        <f>IFERROR(__xludf.DUMMYFUNCTION("""COMPUTED_VALUE"""),"--")</f>
        <v>--</v>
      </c>
      <c r="Q1006" s="251" t="str">
        <f>IFERROR(__xludf.DUMMYFUNCTION("""COMPUTED_VALUE"""),"--")</f>
        <v>--</v>
      </c>
      <c r="R1006" s="251" t="str">
        <f>IFERROR(__xludf.DUMMYFUNCTION("""COMPUTED_VALUE"""),"Underdog")</f>
        <v>Underdog</v>
      </c>
      <c r="S1006" s="251" t="str">
        <f>IFERROR(__xludf.DUMMYFUNCTION("""COMPUTED_VALUE"""),"--")</f>
        <v>--</v>
      </c>
      <c r="T1006" s="251" t="str">
        <f>IFERROR(__xludf.DUMMYFUNCTION("""COMPUTED_VALUE"""),"--")</f>
        <v>--</v>
      </c>
      <c r="U1006" s="251" t="str">
        <f>IFERROR(__xludf.DUMMYFUNCTION("""COMPUTED_VALUE"""),"--")</f>
        <v>--</v>
      </c>
      <c r="V1006" s="251" t="str">
        <f>IFERROR(__xludf.DUMMYFUNCTION("""COMPUTED_VALUE"""),"Gilled")</f>
        <v>Gilled</v>
      </c>
      <c r="W1006" s="251" t="str">
        <f>IFERROR(__xludf.DUMMYFUNCTION("""COMPUTED_VALUE"""),"--")</f>
        <v>--</v>
      </c>
      <c r="X1006" s="251" t="str">
        <f>IFERROR(__xludf.DUMMYFUNCTION("""COMPUTED_VALUE"""),"--")</f>
        <v>--</v>
      </c>
      <c r="Y1006" s="251" t="str">
        <f>IFERROR(__xludf.DUMMYFUNCTION("""COMPUTED_VALUE"""),"--")</f>
        <v>--</v>
      </c>
      <c r="Z1006" s="251" t="str">
        <f>IFERROR(__xludf.DUMMYFUNCTION("""COMPUTED_VALUE"""),"--")</f>
        <v>--</v>
      </c>
      <c r="AA1006" s="251" t="str">
        <f>IFERROR(__xludf.DUMMYFUNCTION("""COMPUTED_VALUE"""),"--")</f>
        <v>--</v>
      </c>
      <c r="AB1006" s="251" t="str">
        <f>IFERROR(__xludf.DUMMYFUNCTION("""COMPUTED_VALUE"""),"--")</f>
        <v>--</v>
      </c>
      <c r="AC1006" s="251" t="str">
        <f>IFERROR(__xludf.DUMMYFUNCTION("""COMPUTED_VALUE"""),"--")</f>
        <v>--</v>
      </c>
      <c r="AD1006" s="251">
        <f>IFERROR(__xludf.DUMMYFUNCTION("""COMPUTED_VALUE"""),2.0)</f>
        <v>2</v>
      </c>
      <c r="AE1006" s="251" t="str">
        <f>IFERROR(__xludf.DUMMYFUNCTION("""COMPUTED_VALUE"""),"Carnivore")</f>
        <v>Carnivore</v>
      </c>
    </row>
    <row r="1007">
      <c r="A1007" s="251" t="str">
        <f>IFERROR(__xludf.DUMMYFUNCTION("""COMPUTED_VALUE"""),"Drednaw")</f>
        <v>Drednaw</v>
      </c>
      <c r="B1007" s="251" t="str">
        <f>IFERROR(__xludf.DUMMYFUNCTION("""COMPUTED_VALUE"""),"Water")</f>
        <v>Water</v>
      </c>
      <c r="C1007" s="251" t="str">
        <f>IFERROR(__xludf.DUMMYFUNCTION("""COMPUTED_VALUE"""),"Rock")</f>
        <v>Rock</v>
      </c>
      <c r="D1007" s="251">
        <f>IFERROR(__xludf.DUMMYFUNCTION("""COMPUTED_VALUE"""),9.0)</f>
        <v>9</v>
      </c>
      <c r="E1007" s="251">
        <f>IFERROR(__xludf.DUMMYFUNCTION("""COMPUTED_VALUE"""),13.0)</f>
        <v>13</v>
      </c>
      <c r="F1007" s="251">
        <f>IFERROR(__xludf.DUMMYFUNCTION("""COMPUTED_VALUE"""),10.0)</f>
        <v>10</v>
      </c>
      <c r="G1007" s="251">
        <f>IFERROR(__xludf.DUMMYFUNCTION("""COMPUTED_VALUE"""),5.0)</f>
        <v>5</v>
      </c>
      <c r="H1007" s="251">
        <f>IFERROR(__xludf.DUMMYFUNCTION("""COMPUTED_VALUE"""),7.0)</f>
        <v>7</v>
      </c>
      <c r="I1007" s="251">
        <f>IFERROR(__xludf.DUMMYFUNCTION("""COMPUTED_VALUE"""),7.0)</f>
        <v>7</v>
      </c>
      <c r="J1007" s="251">
        <f>IFERROR(__xludf.DUMMYFUNCTION("""COMPUTED_VALUE"""),8.0)</f>
        <v>8</v>
      </c>
      <c r="K1007" s="251" t="str">
        <f>IFERROR(__xludf.DUMMYFUNCTION("""COMPUTED_VALUE"""),"Medium")</f>
        <v>Medium</v>
      </c>
      <c r="L1007" s="251">
        <f>IFERROR(__xludf.DUMMYFUNCTION("""COMPUTED_VALUE"""),5.0)</f>
        <v>5</v>
      </c>
      <c r="M1007" s="251" t="str">
        <f>IFERROR(__xludf.DUMMYFUNCTION("""COMPUTED_VALUE"""),"Cave")</f>
        <v>Cave</v>
      </c>
      <c r="N1007" s="251" t="str">
        <f>IFERROR(__xludf.DUMMYFUNCTION("""COMPUTED_VALUE"""),"Swimmer")</f>
        <v>Swimmer</v>
      </c>
      <c r="O1007" s="251" t="str">
        <f>IFERROR(__xludf.DUMMYFUNCTION("""COMPUTED_VALUE"""),"--")</f>
        <v>--</v>
      </c>
      <c r="P1007" s="251" t="str">
        <f>IFERROR(__xludf.DUMMYFUNCTION("""COMPUTED_VALUE"""),"--")</f>
        <v>--</v>
      </c>
      <c r="Q1007" s="251" t="str">
        <f>IFERROR(__xludf.DUMMYFUNCTION("""COMPUTED_VALUE"""),"--")</f>
        <v>--</v>
      </c>
      <c r="R1007" s="251" t="str">
        <f>IFERROR(__xludf.DUMMYFUNCTION("""COMPUTED_VALUE"""),"Mountable")</f>
        <v>Mountable</v>
      </c>
      <c r="S1007" s="251" t="str">
        <f>IFERROR(__xludf.DUMMYFUNCTION("""COMPUTED_VALUE"""),"--")</f>
        <v>--</v>
      </c>
      <c r="T1007" s="251" t="str">
        <f>IFERROR(__xludf.DUMMYFUNCTION("""COMPUTED_VALUE"""),"--")</f>
        <v>--</v>
      </c>
      <c r="U1007" s="251" t="str">
        <f>IFERROR(__xludf.DUMMYFUNCTION("""COMPUTED_VALUE"""),"--")</f>
        <v>--</v>
      </c>
      <c r="V1007" s="251" t="str">
        <f>IFERROR(__xludf.DUMMYFUNCTION("""COMPUTED_VALUE"""),"Gilled")</f>
        <v>Gilled</v>
      </c>
      <c r="W1007" s="251" t="str">
        <f>IFERROR(__xludf.DUMMYFUNCTION("""COMPUTED_VALUE"""),"--")</f>
        <v>--</v>
      </c>
      <c r="X1007" s="251" t="str">
        <f>IFERROR(__xludf.DUMMYFUNCTION("""COMPUTED_VALUE"""),"--")</f>
        <v>--</v>
      </c>
      <c r="Y1007" s="251" t="str">
        <f>IFERROR(__xludf.DUMMYFUNCTION("""COMPUTED_VALUE"""),"--")</f>
        <v>--</v>
      </c>
      <c r="Z1007" s="251" t="str">
        <f>IFERROR(__xludf.DUMMYFUNCTION("""COMPUTED_VALUE"""),"--")</f>
        <v>--</v>
      </c>
      <c r="AA1007" s="251" t="str">
        <f>IFERROR(__xludf.DUMMYFUNCTION("""COMPUTED_VALUE"""),"--")</f>
        <v>--</v>
      </c>
      <c r="AB1007" s="251" t="str">
        <f>IFERROR(__xludf.DUMMYFUNCTION("""COMPUTED_VALUE"""),"--")</f>
        <v>--</v>
      </c>
      <c r="AC1007" s="251" t="str">
        <f>IFERROR(__xludf.DUMMYFUNCTION("""COMPUTED_VALUE"""),"--")</f>
        <v>--</v>
      </c>
      <c r="AD1007" s="251">
        <f>IFERROR(__xludf.DUMMYFUNCTION("""COMPUTED_VALUE"""),3.0)</f>
        <v>3</v>
      </c>
      <c r="AE1007" s="251" t="str">
        <f>IFERROR(__xludf.DUMMYFUNCTION("""COMPUTED_VALUE"""),"Carnivore")</f>
        <v>Carnivore</v>
      </c>
    </row>
    <row r="1008">
      <c r="A1008" s="251" t="str">
        <f>IFERROR(__xludf.DUMMYFUNCTION("""COMPUTED_VALUE"""),"Arrokuda")</f>
        <v>Arrokuda</v>
      </c>
      <c r="B1008" s="251" t="str">
        <f>IFERROR(__xludf.DUMMYFUNCTION("""COMPUTED_VALUE"""),"Water")</f>
        <v>Water</v>
      </c>
      <c r="C1008" s="251" t="str">
        <f>IFERROR(__xludf.DUMMYFUNCTION("""COMPUTED_VALUE"""),"None")</f>
        <v>None</v>
      </c>
      <c r="D1008" s="251">
        <f>IFERROR(__xludf.DUMMYFUNCTION("""COMPUTED_VALUE"""),6.0)</f>
        <v>6</v>
      </c>
      <c r="E1008" s="251">
        <f>IFERROR(__xludf.DUMMYFUNCTION("""COMPUTED_VALUE"""),6.0)</f>
        <v>6</v>
      </c>
      <c r="F1008" s="251">
        <f>IFERROR(__xludf.DUMMYFUNCTION("""COMPUTED_VALUE"""),4.0)</f>
        <v>4</v>
      </c>
      <c r="G1008" s="251">
        <f>IFERROR(__xludf.DUMMYFUNCTION("""COMPUTED_VALUE"""),4.0)</f>
        <v>4</v>
      </c>
      <c r="H1008" s="251">
        <f>IFERROR(__xludf.DUMMYFUNCTION("""COMPUTED_VALUE"""),3.0)</f>
        <v>3</v>
      </c>
      <c r="I1008" s="251">
        <f>IFERROR(__xludf.DUMMYFUNCTION("""COMPUTED_VALUE"""),7.0)</f>
        <v>7</v>
      </c>
      <c r="J1008" s="251">
        <f>IFERROR(__xludf.DUMMYFUNCTION("""COMPUTED_VALUE"""),1.0)</f>
        <v>1</v>
      </c>
      <c r="K1008" s="251" t="str">
        <f>IFERROR(__xludf.DUMMYFUNCTION("""COMPUTED_VALUE"""),"Small")</f>
        <v>Small</v>
      </c>
      <c r="L1008" s="251">
        <f>IFERROR(__xludf.DUMMYFUNCTION("""COMPUTED_VALUE"""),1.0)</f>
        <v>1</v>
      </c>
      <c r="M1008" s="251" t="str">
        <f>IFERROR(__xludf.DUMMYFUNCTION("""COMPUTED_VALUE"""),"Ocean")</f>
        <v>Ocean</v>
      </c>
      <c r="N1008" s="251" t="str">
        <f>IFERROR(__xludf.DUMMYFUNCTION("""COMPUTED_VALUE"""),"Quick")</f>
        <v>Quick</v>
      </c>
      <c r="O1008" s="251" t="str">
        <f>IFERROR(__xludf.DUMMYFUNCTION("""COMPUTED_VALUE"""),"Swimmer")</f>
        <v>Swimmer</v>
      </c>
      <c r="P1008" s="251" t="str">
        <f>IFERROR(__xludf.DUMMYFUNCTION("""COMPUTED_VALUE"""),"--")</f>
        <v>--</v>
      </c>
      <c r="Q1008" s="251" t="str">
        <f>IFERROR(__xludf.DUMMYFUNCTION("""COMPUTED_VALUE"""),"--")</f>
        <v>--</v>
      </c>
      <c r="R1008" s="251" t="str">
        <f>IFERROR(__xludf.DUMMYFUNCTION("""COMPUTED_VALUE"""),"Underdog")</f>
        <v>Underdog</v>
      </c>
      <c r="S1008" s="251" t="str">
        <f>IFERROR(__xludf.DUMMYFUNCTION("""COMPUTED_VALUE"""),"--")</f>
        <v>--</v>
      </c>
      <c r="T1008" s="251" t="str">
        <f>IFERROR(__xludf.DUMMYFUNCTION("""COMPUTED_VALUE"""),"--")</f>
        <v>--</v>
      </c>
      <c r="U1008" s="251" t="str">
        <f>IFERROR(__xludf.DUMMYFUNCTION("""COMPUTED_VALUE"""),"--")</f>
        <v>--</v>
      </c>
      <c r="V1008" s="251" t="str">
        <f>IFERROR(__xludf.DUMMYFUNCTION("""COMPUTED_VALUE"""),"Gilled")</f>
        <v>Gilled</v>
      </c>
      <c r="W1008" s="251" t="str">
        <f>IFERROR(__xludf.DUMMYFUNCTION("""COMPUTED_VALUE"""),"--")</f>
        <v>--</v>
      </c>
      <c r="X1008" s="251" t="str">
        <f>IFERROR(__xludf.DUMMYFUNCTION("""COMPUTED_VALUE"""),"--")</f>
        <v>--</v>
      </c>
      <c r="Y1008" s="251" t="str">
        <f>IFERROR(__xludf.DUMMYFUNCTION("""COMPUTED_VALUE"""),"--")</f>
        <v>--</v>
      </c>
      <c r="Z1008" s="251" t="str">
        <f>IFERROR(__xludf.DUMMYFUNCTION("""COMPUTED_VALUE"""),"--")</f>
        <v>--</v>
      </c>
      <c r="AA1008" s="251" t="str">
        <f>IFERROR(__xludf.DUMMYFUNCTION("""COMPUTED_VALUE"""),"--")</f>
        <v>--</v>
      </c>
      <c r="AB1008" s="251" t="str">
        <f>IFERROR(__xludf.DUMMYFUNCTION("""COMPUTED_VALUE"""),"--")</f>
        <v>--</v>
      </c>
      <c r="AC1008" s="251" t="str">
        <f>IFERROR(__xludf.DUMMYFUNCTION("""COMPUTED_VALUE"""),"--")</f>
        <v>--</v>
      </c>
      <c r="AD1008" s="251">
        <f>IFERROR(__xludf.DUMMYFUNCTION("""COMPUTED_VALUE"""),2.0)</f>
        <v>2</v>
      </c>
      <c r="AE1008" s="251" t="str">
        <f>IFERROR(__xludf.DUMMYFUNCTION("""COMPUTED_VALUE"""),"Carnivore")</f>
        <v>Carnivore</v>
      </c>
    </row>
    <row r="1009">
      <c r="A1009" s="251" t="str">
        <f>IFERROR(__xludf.DUMMYFUNCTION("""COMPUTED_VALUE"""),"Barraskewda")</f>
        <v>Barraskewda</v>
      </c>
      <c r="B1009" s="251" t="str">
        <f>IFERROR(__xludf.DUMMYFUNCTION("""COMPUTED_VALUE"""),"Water")</f>
        <v>Water</v>
      </c>
      <c r="C1009" s="251" t="str">
        <f>IFERROR(__xludf.DUMMYFUNCTION("""COMPUTED_VALUE"""),"None")</f>
        <v>None</v>
      </c>
      <c r="D1009" s="251">
        <f>IFERROR(__xludf.DUMMYFUNCTION("""COMPUTED_VALUE"""),6.0)</f>
        <v>6</v>
      </c>
      <c r="E1009" s="251">
        <f>IFERROR(__xludf.DUMMYFUNCTION("""COMPUTED_VALUE"""),12.0)</f>
        <v>12</v>
      </c>
      <c r="F1009" s="251">
        <f>IFERROR(__xludf.DUMMYFUNCTION("""COMPUTED_VALUE"""),6.0)</f>
        <v>6</v>
      </c>
      <c r="G1009" s="251">
        <f>IFERROR(__xludf.DUMMYFUNCTION("""COMPUTED_VALUE"""),6.0)</f>
        <v>6</v>
      </c>
      <c r="H1009" s="251">
        <f>IFERROR(__xludf.DUMMYFUNCTION("""COMPUTED_VALUE"""),6.0)</f>
        <v>6</v>
      </c>
      <c r="I1009" s="251">
        <f>IFERROR(__xludf.DUMMYFUNCTION("""COMPUTED_VALUE"""),15.0)</f>
        <v>15</v>
      </c>
      <c r="J1009" s="251">
        <f>IFERROR(__xludf.DUMMYFUNCTION("""COMPUTED_VALUE"""),4.0)</f>
        <v>4</v>
      </c>
      <c r="K1009" s="251" t="str">
        <f>IFERROR(__xludf.DUMMYFUNCTION("""COMPUTED_VALUE"""),"Medium")</f>
        <v>Medium</v>
      </c>
      <c r="L1009" s="251">
        <f>IFERROR(__xludf.DUMMYFUNCTION("""COMPUTED_VALUE"""),3.0)</f>
        <v>3</v>
      </c>
      <c r="M1009" s="251" t="str">
        <f>IFERROR(__xludf.DUMMYFUNCTION("""COMPUTED_VALUE"""),"Ocean")</f>
        <v>Ocean</v>
      </c>
      <c r="N1009" s="251" t="str">
        <f>IFERROR(__xludf.DUMMYFUNCTION("""COMPUTED_VALUE"""),"Quick")</f>
        <v>Quick</v>
      </c>
      <c r="O1009" s="251" t="str">
        <f>IFERROR(__xludf.DUMMYFUNCTION("""COMPUTED_VALUE"""),"Swimmer")</f>
        <v>Swimmer</v>
      </c>
      <c r="P1009" s="251" t="str">
        <f>IFERROR(__xludf.DUMMYFUNCTION("""COMPUTED_VALUE"""),"--")</f>
        <v>--</v>
      </c>
      <c r="Q1009" s="251" t="str">
        <f>IFERROR(__xludf.DUMMYFUNCTION("""COMPUTED_VALUE"""),"--")</f>
        <v>--</v>
      </c>
      <c r="R1009" s="251" t="str">
        <f>IFERROR(__xludf.DUMMYFUNCTION("""COMPUTED_VALUE"""),"--")</f>
        <v>--</v>
      </c>
      <c r="S1009" s="251" t="str">
        <f>IFERROR(__xludf.DUMMYFUNCTION("""COMPUTED_VALUE"""),"--")</f>
        <v>--</v>
      </c>
      <c r="T1009" s="251" t="str">
        <f>IFERROR(__xludf.DUMMYFUNCTION("""COMPUTED_VALUE"""),"--")</f>
        <v>--</v>
      </c>
      <c r="U1009" s="251" t="str">
        <f>IFERROR(__xludf.DUMMYFUNCTION("""COMPUTED_VALUE"""),"--")</f>
        <v>--</v>
      </c>
      <c r="V1009" s="251" t="str">
        <f>IFERROR(__xludf.DUMMYFUNCTION("""COMPUTED_VALUE"""),"Gilled")</f>
        <v>Gilled</v>
      </c>
      <c r="W1009" s="251" t="str">
        <f>IFERROR(__xludf.DUMMYFUNCTION("""COMPUTED_VALUE"""),"--")</f>
        <v>--</v>
      </c>
      <c r="X1009" s="251" t="str">
        <f>IFERROR(__xludf.DUMMYFUNCTION("""COMPUTED_VALUE"""),"--")</f>
        <v>--</v>
      </c>
      <c r="Y1009" s="251" t="str">
        <f>IFERROR(__xludf.DUMMYFUNCTION("""COMPUTED_VALUE"""),"--")</f>
        <v>--</v>
      </c>
      <c r="Z1009" s="251" t="str">
        <f>IFERROR(__xludf.DUMMYFUNCTION("""COMPUTED_VALUE"""),"--")</f>
        <v>--</v>
      </c>
      <c r="AA1009" s="251" t="str">
        <f>IFERROR(__xludf.DUMMYFUNCTION("""COMPUTED_VALUE"""),"--")</f>
        <v>--</v>
      </c>
      <c r="AB1009" s="251" t="str">
        <f>IFERROR(__xludf.DUMMYFUNCTION("""COMPUTED_VALUE"""),"--")</f>
        <v>--</v>
      </c>
      <c r="AC1009" s="251" t="str">
        <f>IFERROR(__xludf.DUMMYFUNCTION("""COMPUTED_VALUE"""),"--")</f>
        <v>--</v>
      </c>
      <c r="AD1009" s="251">
        <f>IFERROR(__xludf.DUMMYFUNCTION("""COMPUTED_VALUE"""),3.0)</f>
        <v>3</v>
      </c>
      <c r="AE1009" s="251" t="str">
        <f>IFERROR(__xludf.DUMMYFUNCTION("""COMPUTED_VALUE"""),"Carnivore")</f>
        <v>Carnivore</v>
      </c>
    </row>
    <row r="1010">
      <c r="A1010" s="251" t="str">
        <f>IFERROR(__xludf.DUMMYFUNCTION("""COMPUTED_VALUE"""),"Pinsir")</f>
        <v>Pinsir</v>
      </c>
      <c r="B1010" s="251" t="str">
        <f>IFERROR(__xludf.DUMMYFUNCTION("""COMPUTED_VALUE"""),"Bug")</f>
        <v>Bug</v>
      </c>
      <c r="C1010" s="251" t="str">
        <f>IFERROR(__xludf.DUMMYFUNCTION("""COMPUTED_VALUE"""),"None")</f>
        <v>None</v>
      </c>
      <c r="D1010" s="251">
        <f>IFERROR(__xludf.DUMMYFUNCTION("""COMPUTED_VALUE"""),7.0)</f>
        <v>7</v>
      </c>
      <c r="E1010" s="251">
        <f>IFERROR(__xludf.DUMMYFUNCTION("""COMPUTED_VALUE"""),13.0)</f>
        <v>13</v>
      </c>
      <c r="F1010" s="251">
        <f>IFERROR(__xludf.DUMMYFUNCTION("""COMPUTED_VALUE"""),10.0)</f>
        <v>10</v>
      </c>
      <c r="G1010" s="251">
        <f>IFERROR(__xludf.DUMMYFUNCTION("""COMPUTED_VALUE"""),6.0)</f>
        <v>6</v>
      </c>
      <c r="H1010" s="251">
        <f>IFERROR(__xludf.DUMMYFUNCTION("""COMPUTED_VALUE"""),7.0)</f>
        <v>7</v>
      </c>
      <c r="I1010" s="251">
        <f>IFERROR(__xludf.DUMMYFUNCTION("""COMPUTED_VALUE"""),9.0)</f>
        <v>9</v>
      </c>
      <c r="J1010" s="251">
        <f>IFERROR(__xludf.DUMMYFUNCTION("""COMPUTED_VALUE"""),8.0)</f>
        <v>8</v>
      </c>
      <c r="K1010" s="251" t="str">
        <f>IFERROR(__xludf.DUMMYFUNCTION("""COMPUTED_VALUE"""),"Medium")</f>
        <v>Medium</v>
      </c>
      <c r="L1010" s="251">
        <f>IFERROR(__xludf.DUMMYFUNCTION("""COMPUTED_VALUE"""),4.0)</f>
        <v>4</v>
      </c>
      <c r="M1010" s="251" t="str">
        <f>IFERROR(__xludf.DUMMYFUNCTION("""COMPUTED_VALUE"""),"Forest")</f>
        <v>Forest</v>
      </c>
      <c r="N1010" s="251" t="str">
        <f>IFERROR(__xludf.DUMMYFUNCTION("""COMPUTED_VALUE"""),"--")</f>
        <v>--</v>
      </c>
      <c r="O1010" s="251" t="str">
        <f>IFERROR(__xludf.DUMMYFUNCTION("""COMPUTED_VALUE"""),"--")</f>
        <v>--</v>
      </c>
      <c r="P1010" s="251" t="str">
        <f>IFERROR(__xludf.DUMMYFUNCTION("""COMPUTED_VALUE"""),"--")</f>
        <v>--</v>
      </c>
      <c r="Q1010" s="251" t="str">
        <f>IFERROR(__xludf.DUMMYFUNCTION("""COMPUTED_VALUE"""),"--")</f>
        <v>--</v>
      </c>
      <c r="R1010" s="251" t="str">
        <f>IFERROR(__xludf.DUMMYFUNCTION("""COMPUTED_VALUE"""),"--")</f>
        <v>--</v>
      </c>
      <c r="S1010" s="251" t="str">
        <f>IFERROR(__xludf.DUMMYFUNCTION("""COMPUTED_VALUE"""),"--")</f>
        <v>--</v>
      </c>
      <c r="T1010" s="251" t="str">
        <f>IFERROR(__xludf.DUMMYFUNCTION("""COMPUTED_VALUE"""),"--")</f>
        <v>--</v>
      </c>
      <c r="U1010" s="251" t="str">
        <f>IFERROR(__xludf.DUMMYFUNCTION("""COMPUTED_VALUE"""),"--")</f>
        <v>--</v>
      </c>
      <c r="V1010" s="251" t="str">
        <f>IFERROR(__xludf.DUMMYFUNCTION("""COMPUTED_VALUE"""),"--")</f>
        <v>--</v>
      </c>
      <c r="W1010" s="251" t="str">
        <f>IFERROR(__xludf.DUMMYFUNCTION("""COMPUTED_VALUE"""),"--")</f>
        <v>--</v>
      </c>
      <c r="X1010" s="251" t="str">
        <f>IFERROR(__xludf.DUMMYFUNCTION("""COMPUTED_VALUE"""),"--")</f>
        <v>--</v>
      </c>
      <c r="Y1010" s="251" t="str">
        <f>IFERROR(__xludf.DUMMYFUNCTION("""COMPUTED_VALUE"""),"--")</f>
        <v>--</v>
      </c>
      <c r="Z1010" s="251" t="str">
        <f>IFERROR(__xludf.DUMMYFUNCTION("""COMPUTED_VALUE"""),"--")</f>
        <v>--</v>
      </c>
      <c r="AA1010" s="251" t="str">
        <f>IFERROR(__xludf.DUMMYFUNCTION("""COMPUTED_VALUE"""),"--")</f>
        <v>--</v>
      </c>
      <c r="AB1010" s="251" t="str">
        <f>IFERROR(__xludf.DUMMYFUNCTION("""COMPUTED_VALUE"""),"--")</f>
        <v>--</v>
      </c>
      <c r="AC1010" s="251" t="str">
        <f>IFERROR(__xludf.DUMMYFUNCTION("""COMPUTED_VALUE"""),"--")</f>
        <v>--</v>
      </c>
      <c r="AD1010" s="251">
        <f>IFERROR(__xludf.DUMMYFUNCTION("""COMPUTED_VALUE"""),3.0)</f>
        <v>3</v>
      </c>
      <c r="AE1010" s="251" t="str">
        <f>IFERROR(__xludf.DUMMYFUNCTION("""COMPUTED_VALUE"""),"Herbivore")</f>
        <v>Herbivore</v>
      </c>
    </row>
    <row r="1011">
      <c r="A1011" s="251" t="str">
        <f>IFERROR(__xludf.DUMMYFUNCTION("""COMPUTED_VALUE"""),"Shuckle")</f>
        <v>Shuckle</v>
      </c>
      <c r="B1011" s="251" t="str">
        <f>IFERROR(__xludf.DUMMYFUNCTION("""COMPUTED_VALUE"""),"Bug")</f>
        <v>Bug</v>
      </c>
      <c r="C1011" s="251" t="str">
        <f>IFERROR(__xludf.DUMMYFUNCTION("""COMPUTED_VALUE"""),"Rock")</f>
        <v>Rock</v>
      </c>
      <c r="D1011" s="251">
        <f>IFERROR(__xludf.DUMMYFUNCTION("""COMPUTED_VALUE"""),2.0)</f>
        <v>2</v>
      </c>
      <c r="E1011" s="251">
        <f>IFERROR(__xludf.DUMMYFUNCTION("""COMPUTED_VALUE"""),1.0)</f>
        <v>1</v>
      </c>
      <c r="F1011" s="251">
        <f>IFERROR(__xludf.DUMMYFUNCTION("""COMPUTED_VALUE"""),23.0)</f>
        <v>23</v>
      </c>
      <c r="G1011" s="251">
        <f>IFERROR(__xludf.DUMMYFUNCTION("""COMPUTED_VALUE"""),1.0)</f>
        <v>1</v>
      </c>
      <c r="H1011" s="251">
        <f>IFERROR(__xludf.DUMMYFUNCTION("""COMPUTED_VALUE"""),23.0)</f>
        <v>23</v>
      </c>
      <c r="I1011" s="251">
        <f>IFERROR(__xludf.DUMMYFUNCTION("""COMPUTED_VALUE"""),1.0)</f>
        <v>1</v>
      </c>
      <c r="J1011" s="251">
        <f>IFERROR(__xludf.DUMMYFUNCTION("""COMPUTED_VALUE"""),4.0)</f>
        <v>4</v>
      </c>
      <c r="K1011" s="251" t="str">
        <f>IFERROR(__xludf.DUMMYFUNCTION("""COMPUTED_VALUE"""),"Small")</f>
        <v>Small</v>
      </c>
      <c r="L1011" s="251">
        <f>IFERROR(__xludf.DUMMYFUNCTION("""COMPUTED_VALUE"""),2.0)</f>
        <v>2</v>
      </c>
      <c r="M1011" s="251" t="str">
        <f>IFERROR(__xludf.DUMMYFUNCTION("""COMPUTED_VALUE"""),"Cave, Mountain")</f>
        <v>Cave, Mountain</v>
      </c>
      <c r="N1011" s="251" t="str">
        <f>IFERROR(__xludf.DUMMYFUNCTION("""COMPUTED_VALUE"""),"Grounded")</f>
        <v>Grounded</v>
      </c>
      <c r="O1011" s="251" t="str">
        <f>IFERROR(__xludf.DUMMYFUNCTION("""COMPUTED_VALUE"""),"Slow")</f>
        <v>Slow</v>
      </c>
      <c r="P1011" s="251" t="str">
        <f>IFERROR(__xludf.DUMMYFUNCTION("""COMPUTED_VALUE"""),"--")</f>
        <v>--</v>
      </c>
      <c r="Q1011" s="251" t="str">
        <f>IFERROR(__xludf.DUMMYFUNCTION("""COMPUTED_VALUE"""),"--")</f>
        <v>--</v>
      </c>
      <c r="R1011" s="251" t="str">
        <f>IFERROR(__xludf.DUMMYFUNCTION("""COMPUTED_VALUE"""),"--")</f>
        <v>--</v>
      </c>
      <c r="S1011" s="251" t="str">
        <f>IFERROR(__xludf.DUMMYFUNCTION("""COMPUTED_VALUE"""),"--")</f>
        <v>--</v>
      </c>
      <c r="T1011" s="251" t="str">
        <f>IFERROR(__xludf.DUMMYFUNCTION("""COMPUTED_VALUE"""),"--")</f>
        <v>--</v>
      </c>
      <c r="U1011" s="251" t="str">
        <f>IFERROR(__xludf.DUMMYFUNCTION("""COMPUTED_VALUE"""),"--")</f>
        <v>--</v>
      </c>
      <c r="V1011" s="251" t="str">
        <f>IFERROR(__xludf.DUMMYFUNCTION("""COMPUTED_VALUE"""),"--")</f>
        <v>--</v>
      </c>
      <c r="W1011" s="251" t="str">
        <f>IFERROR(__xludf.DUMMYFUNCTION("""COMPUTED_VALUE"""),"--")</f>
        <v>--</v>
      </c>
      <c r="X1011" s="251" t="str">
        <f>IFERROR(__xludf.DUMMYFUNCTION("""COMPUTED_VALUE"""),"--")</f>
        <v>--</v>
      </c>
      <c r="Y1011" s="251" t="str">
        <f>IFERROR(__xludf.DUMMYFUNCTION("""COMPUTED_VALUE"""),"--")</f>
        <v>--</v>
      </c>
      <c r="Z1011" s="251" t="str">
        <f>IFERROR(__xludf.DUMMYFUNCTION("""COMPUTED_VALUE"""),"--")</f>
        <v>--</v>
      </c>
      <c r="AA1011" s="251" t="str">
        <f>IFERROR(__xludf.DUMMYFUNCTION("""COMPUTED_VALUE"""),"--")</f>
        <v>--</v>
      </c>
      <c r="AB1011" s="251" t="str">
        <f>IFERROR(__xludf.DUMMYFUNCTION("""COMPUTED_VALUE"""),"--")</f>
        <v>--</v>
      </c>
      <c r="AC1011" s="251" t="str">
        <f>IFERROR(__xludf.DUMMYFUNCTION("""COMPUTED_VALUE"""),"--")</f>
        <v>--</v>
      </c>
      <c r="AD1011" s="251">
        <f>IFERROR(__xludf.DUMMYFUNCTION("""COMPUTED_VALUE"""),3.0)</f>
        <v>3</v>
      </c>
      <c r="AE1011" s="251" t="str">
        <f>IFERROR(__xludf.DUMMYFUNCTION("""COMPUTED_VALUE"""),"Herbivore")</f>
        <v>Herbivore</v>
      </c>
    </row>
    <row r="1012">
      <c r="A1012" s="251" t="str">
        <f>IFERROR(__xludf.DUMMYFUNCTION("""COMPUTED_VALUE"""),"Heracross")</f>
        <v>Heracross</v>
      </c>
      <c r="B1012" s="251" t="str">
        <f>IFERROR(__xludf.DUMMYFUNCTION("""COMPUTED_VALUE"""),"Bug")</f>
        <v>Bug</v>
      </c>
      <c r="C1012" s="251" t="str">
        <f>IFERROR(__xludf.DUMMYFUNCTION("""COMPUTED_VALUE"""),"Fighting")</f>
        <v>Fighting</v>
      </c>
      <c r="D1012" s="251">
        <f>IFERROR(__xludf.DUMMYFUNCTION("""COMPUTED_VALUE"""),8.0)</f>
        <v>8</v>
      </c>
      <c r="E1012" s="251">
        <f>IFERROR(__xludf.DUMMYFUNCTION("""COMPUTED_VALUE"""),13.0)</f>
        <v>13</v>
      </c>
      <c r="F1012" s="251">
        <f>IFERROR(__xludf.DUMMYFUNCTION("""COMPUTED_VALUE"""),8.0)</f>
        <v>8</v>
      </c>
      <c r="G1012" s="251">
        <f>IFERROR(__xludf.DUMMYFUNCTION("""COMPUTED_VALUE"""),4.0)</f>
        <v>4</v>
      </c>
      <c r="H1012" s="251">
        <f>IFERROR(__xludf.DUMMYFUNCTION("""COMPUTED_VALUE"""),10.0)</f>
        <v>10</v>
      </c>
      <c r="I1012" s="251">
        <f>IFERROR(__xludf.DUMMYFUNCTION("""COMPUTED_VALUE"""),9.0)</f>
        <v>9</v>
      </c>
      <c r="J1012" s="251">
        <f>IFERROR(__xludf.DUMMYFUNCTION("""COMPUTED_VALUE"""),8.0)</f>
        <v>8</v>
      </c>
      <c r="K1012" s="251" t="str">
        <f>IFERROR(__xludf.DUMMYFUNCTION("""COMPUTED_VALUE"""),"Medium")</f>
        <v>Medium</v>
      </c>
      <c r="L1012" s="251">
        <f>IFERROR(__xludf.DUMMYFUNCTION("""COMPUTED_VALUE"""),4.0)</f>
        <v>4</v>
      </c>
      <c r="M1012" s="251" t="str">
        <f>IFERROR(__xludf.DUMMYFUNCTION("""COMPUTED_VALUE"""),"Forest")</f>
        <v>Forest</v>
      </c>
      <c r="N1012" s="251" t="str">
        <f>IFERROR(__xludf.DUMMYFUNCTION("""COMPUTED_VALUE"""),"Flier")</f>
        <v>Flier</v>
      </c>
      <c r="O1012" s="251" t="str">
        <f>IFERROR(__xludf.DUMMYFUNCTION("""COMPUTED_VALUE"""),"--")</f>
        <v>--</v>
      </c>
      <c r="P1012" s="251" t="str">
        <f>IFERROR(__xludf.DUMMYFUNCTION("""COMPUTED_VALUE"""),"--")</f>
        <v>--</v>
      </c>
      <c r="Q1012" s="251" t="str">
        <f>IFERROR(__xludf.DUMMYFUNCTION("""COMPUTED_VALUE"""),"--")</f>
        <v>--</v>
      </c>
      <c r="R1012" s="251" t="str">
        <f>IFERROR(__xludf.DUMMYFUNCTION("""COMPUTED_VALUE"""),"--")</f>
        <v>--</v>
      </c>
      <c r="S1012" s="251" t="str">
        <f>IFERROR(__xludf.DUMMYFUNCTION("""COMPUTED_VALUE"""),"--")</f>
        <v>--</v>
      </c>
      <c r="T1012" s="251" t="str">
        <f>IFERROR(__xludf.DUMMYFUNCTION("""COMPUTED_VALUE"""),"--")</f>
        <v>--</v>
      </c>
      <c r="U1012" s="251" t="str">
        <f>IFERROR(__xludf.DUMMYFUNCTION("""COMPUTED_VALUE"""),"--")</f>
        <v>--</v>
      </c>
      <c r="V1012" s="251" t="str">
        <f>IFERROR(__xludf.DUMMYFUNCTION("""COMPUTED_VALUE"""),"--")</f>
        <v>--</v>
      </c>
      <c r="W1012" s="251" t="str">
        <f>IFERROR(__xludf.DUMMYFUNCTION("""COMPUTED_VALUE"""),"--")</f>
        <v>--</v>
      </c>
      <c r="X1012" s="251" t="str">
        <f>IFERROR(__xludf.DUMMYFUNCTION("""COMPUTED_VALUE"""),"--")</f>
        <v>--</v>
      </c>
      <c r="Y1012" s="251" t="str">
        <f>IFERROR(__xludf.DUMMYFUNCTION("""COMPUTED_VALUE"""),"--")</f>
        <v>--</v>
      </c>
      <c r="Z1012" s="251" t="str">
        <f>IFERROR(__xludf.DUMMYFUNCTION("""COMPUTED_VALUE"""),"--")</f>
        <v>--</v>
      </c>
      <c r="AA1012" s="251" t="str">
        <f>IFERROR(__xludf.DUMMYFUNCTION("""COMPUTED_VALUE"""),"--")</f>
        <v>--</v>
      </c>
      <c r="AB1012" s="251" t="str">
        <f>IFERROR(__xludf.DUMMYFUNCTION("""COMPUTED_VALUE"""),"--")</f>
        <v>--</v>
      </c>
      <c r="AC1012" s="251" t="str">
        <f>IFERROR(__xludf.DUMMYFUNCTION("""COMPUTED_VALUE"""),"--")</f>
        <v>--</v>
      </c>
      <c r="AD1012" s="251">
        <f>IFERROR(__xludf.DUMMYFUNCTION("""COMPUTED_VALUE"""),3.0)</f>
        <v>3</v>
      </c>
      <c r="AE1012" s="251" t="str">
        <f>IFERROR(__xludf.DUMMYFUNCTION("""COMPUTED_VALUE"""),"Herbivore")</f>
        <v>Herbivore</v>
      </c>
    </row>
    <row r="1013">
      <c r="A1013" s="251" t="str">
        <f>IFERROR(__xludf.DUMMYFUNCTION("""COMPUTED_VALUE"""),"Volbeat")</f>
        <v>Volbeat</v>
      </c>
      <c r="B1013" s="251" t="str">
        <f>IFERROR(__xludf.DUMMYFUNCTION("""COMPUTED_VALUE"""),"Bug")</f>
        <v>Bug</v>
      </c>
      <c r="C1013" s="251" t="str">
        <f>IFERROR(__xludf.DUMMYFUNCTION("""COMPUTED_VALUE"""),"None")</f>
        <v>None</v>
      </c>
      <c r="D1013" s="251">
        <f>IFERROR(__xludf.DUMMYFUNCTION("""COMPUTED_VALUE"""),8.0)</f>
        <v>8</v>
      </c>
      <c r="E1013" s="251">
        <f>IFERROR(__xludf.DUMMYFUNCTION("""COMPUTED_VALUE"""),6.0)</f>
        <v>6</v>
      </c>
      <c r="F1013" s="251">
        <f>IFERROR(__xludf.DUMMYFUNCTION("""COMPUTED_VALUE"""),8.0)</f>
        <v>8</v>
      </c>
      <c r="G1013" s="251">
        <f>IFERROR(__xludf.DUMMYFUNCTION("""COMPUTED_VALUE"""),9.0)</f>
        <v>9</v>
      </c>
      <c r="H1013" s="251">
        <f>IFERROR(__xludf.DUMMYFUNCTION("""COMPUTED_VALUE"""),10.0)</f>
        <v>10</v>
      </c>
      <c r="I1013" s="251">
        <f>IFERROR(__xludf.DUMMYFUNCTION("""COMPUTED_VALUE"""),10.0)</f>
        <v>10</v>
      </c>
      <c r="J1013" s="251">
        <f>IFERROR(__xludf.DUMMYFUNCTION("""COMPUTED_VALUE"""),3.0)</f>
        <v>3</v>
      </c>
      <c r="K1013" s="251" t="str">
        <f>IFERROR(__xludf.DUMMYFUNCTION("""COMPUTED_VALUE"""),"Small")</f>
        <v>Small</v>
      </c>
      <c r="L1013" s="251">
        <f>IFERROR(__xludf.DUMMYFUNCTION("""COMPUTED_VALUE"""),2.0)</f>
        <v>2</v>
      </c>
      <c r="M1013" s="251" t="str">
        <f>IFERROR(__xludf.DUMMYFUNCTION("""COMPUTED_VALUE"""),"Forest")</f>
        <v>Forest</v>
      </c>
      <c r="N1013" s="251" t="str">
        <f>IFERROR(__xludf.DUMMYFUNCTION("""COMPUTED_VALUE"""),"Climber")</f>
        <v>Climber</v>
      </c>
      <c r="O1013" s="251" t="str">
        <f>IFERROR(__xludf.DUMMYFUNCTION("""COMPUTED_VALUE"""),"Flier")</f>
        <v>Flier</v>
      </c>
      <c r="P1013" s="251" t="str">
        <f>IFERROR(__xludf.DUMMYFUNCTION("""COMPUTED_VALUE"""),"--")</f>
        <v>--</v>
      </c>
      <c r="Q1013" s="251" t="str">
        <f>IFERROR(__xludf.DUMMYFUNCTION("""COMPUTED_VALUE"""),"--")</f>
        <v>--</v>
      </c>
      <c r="R1013" s="251" t="str">
        <f>IFERROR(__xludf.DUMMYFUNCTION("""COMPUTED_VALUE"""),"--")</f>
        <v>--</v>
      </c>
      <c r="S1013" s="251" t="str">
        <f>IFERROR(__xludf.DUMMYFUNCTION("""COMPUTED_VALUE"""),"--")</f>
        <v>--</v>
      </c>
      <c r="T1013" s="251" t="str">
        <f>IFERROR(__xludf.DUMMYFUNCTION("""COMPUTED_VALUE"""),"--")</f>
        <v>--</v>
      </c>
      <c r="U1013" s="251" t="str">
        <f>IFERROR(__xludf.DUMMYFUNCTION("""COMPUTED_VALUE"""),"--")</f>
        <v>--</v>
      </c>
      <c r="V1013" s="251" t="str">
        <f>IFERROR(__xludf.DUMMYFUNCTION("""COMPUTED_VALUE"""),"Glow")</f>
        <v>Glow</v>
      </c>
      <c r="W1013" s="251" t="str">
        <f>IFERROR(__xludf.DUMMYFUNCTION("""COMPUTED_VALUE"""),"--")</f>
        <v>--</v>
      </c>
      <c r="X1013" s="251" t="str">
        <f>IFERROR(__xludf.DUMMYFUNCTION("""COMPUTED_VALUE"""),"--")</f>
        <v>--</v>
      </c>
      <c r="Y1013" s="251" t="str">
        <f>IFERROR(__xludf.DUMMYFUNCTION("""COMPUTED_VALUE"""),"--")</f>
        <v>--</v>
      </c>
      <c r="Z1013" s="251" t="str">
        <f>IFERROR(__xludf.DUMMYFUNCTION("""COMPUTED_VALUE"""),"--")</f>
        <v>--</v>
      </c>
      <c r="AA1013" s="251" t="str">
        <f>IFERROR(__xludf.DUMMYFUNCTION("""COMPUTED_VALUE"""),"--")</f>
        <v>--</v>
      </c>
      <c r="AB1013" s="251" t="str">
        <f>IFERROR(__xludf.DUMMYFUNCTION("""COMPUTED_VALUE"""),"--")</f>
        <v>--</v>
      </c>
      <c r="AC1013" s="251" t="str">
        <f>IFERROR(__xludf.DUMMYFUNCTION("""COMPUTED_VALUE"""),"--")</f>
        <v>--</v>
      </c>
      <c r="AD1013" s="251">
        <f>IFERROR(__xludf.DUMMYFUNCTION("""COMPUTED_VALUE"""),3.0)</f>
        <v>3</v>
      </c>
      <c r="AE1013" s="251" t="str">
        <f>IFERROR(__xludf.DUMMYFUNCTION("""COMPUTED_VALUE"""),"Herbivore")</f>
        <v>Herbivore</v>
      </c>
    </row>
    <row r="1014">
      <c r="A1014" s="251" t="str">
        <f>IFERROR(__xludf.DUMMYFUNCTION("""COMPUTED_VALUE"""),"Illumise")</f>
        <v>Illumise</v>
      </c>
      <c r="B1014" s="251" t="str">
        <f>IFERROR(__xludf.DUMMYFUNCTION("""COMPUTED_VALUE"""),"Bug")</f>
        <v>Bug</v>
      </c>
      <c r="C1014" s="251" t="str">
        <f>IFERROR(__xludf.DUMMYFUNCTION("""COMPUTED_VALUE"""),"None")</f>
        <v>None</v>
      </c>
      <c r="D1014" s="251">
        <f>IFERROR(__xludf.DUMMYFUNCTION("""COMPUTED_VALUE"""),8.0)</f>
        <v>8</v>
      </c>
      <c r="E1014" s="251">
        <f>IFERROR(__xludf.DUMMYFUNCTION("""COMPUTED_VALUE"""),5.0)</f>
        <v>5</v>
      </c>
      <c r="F1014" s="251">
        <f>IFERROR(__xludf.DUMMYFUNCTION("""COMPUTED_VALUE"""),9.0)</f>
        <v>9</v>
      </c>
      <c r="G1014" s="251">
        <f>IFERROR(__xludf.DUMMYFUNCTION("""COMPUTED_VALUE"""),7.0)</f>
        <v>7</v>
      </c>
      <c r="H1014" s="251">
        <f>IFERROR(__xludf.DUMMYFUNCTION("""COMPUTED_VALUE"""),11.0)</f>
        <v>11</v>
      </c>
      <c r="I1014" s="251">
        <f>IFERROR(__xludf.DUMMYFUNCTION("""COMPUTED_VALUE"""),11.0)</f>
        <v>11</v>
      </c>
      <c r="J1014" s="251">
        <f>IFERROR(__xludf.DUMMYFUNCTION("""COMPUTED_VALUE"""),2.0)</f>
        <v>2</v>
      </c>
      <c r="K1014" s="251" t="str">
        <f>IFERROR(__xludf.DUMMYFUNCTION("""COMPUTED_VALUE"""),"Small")</f>
        <v>Small</v>
      </c>
      <c r="L1014" s="251">
        <f>IFERROR(__xludf.DUMMYFUNCTION("""COMPUTED_VALUE"""),2.0)</f>
        <v>2</v>
      </c>
      <c r="M1014" s="251" t="str">
        <f>IFERROR(__xludf.DUMMYFUNCTION("""COMPUTED_VALUE"""),"Forest")</f>
        <v>Forest</v>
      </c>
      <c r="N1014" s="251" t="str">
        <f>IFERROR(__xludf.DUMMYFUNCTION("""COMPUTED_VALUE"""),"Climber")</f>
        <v>Climber</v>
      </c>
      <c r="O1014" s="251" t="str">
        <f>IFERROR(__xludf.DUMMYFUNCTION("""COMPUTED_VALUE"""),"Flier")</f>
        <v>Flier</v>
      </c>
      <c r="P1014" s="251" t="str">
        <f>IFERROR(__xludf.DUMMYFUNCTION("""COMPUTED_VALUE"""),"--")</f>
        <v>--</v>
      </c>
      <c r="Q1014" s="251" t="str">
        <f>IFERROR(__xludf.DUMMYFUNCTION("""COMPUTED_VALUE"""),"--")</f>
        <v>--</v>
      </c>
      <c r="R1014" s="251" t="str">
        <f>IFERROR(__xludf.DUMMYFUNCTION("""COMPUTED_VALUE"""),"--")</f>
        <v>--</v>
      </c>
      <c r="S1014" s="251" t="str">
        <f>IFERROR(__xludf.DUMMYFUNCTION("""COMPUTED_VALUE"""),"--")</f>
        <v>--</v>
      </c>
      <c r="T1014" s="251" t="str">
        <f>IFERROR(__xludf.DUMMYFUNCTION("""COMPUTED_VALUE"""),"--")</f>
        <v>--</v>
      </c>
      <c r="U1014" s="251" t="str">
        <f>IFERROR(__xludf.DUMMYFUNCTION("""COMPUTED_VALUE"""),"--")</f>
        <v>--</v>
      </c>
      <c r="V1014" s="251" t="str">
        <f>IFERROR(__xludf.DUMMYFUNCTION("""COMPUTED_VALUE"""),"Glow")</f>
        <v>Glow</v>
      </c>
      <c r="W1014" s="251" t="str">
        <f>IFERROR(__xludf.DUMMYFUNCTION("""COMPUTED_VALUE"""),"--")</f>
        <v>--</v>
      </c>
      <c r="X1014" s="251" t="str">
        <f>IFERROR(__xludf.DUMMYFUNCTION("""COMPUTED_VALUE"""),"--")</f>
        <v>--</v>
      </c>
      <c r="Y1014" s="251" t="str">
        <f>IFERROR(__xludf.DUMMYFUNCTION("""COMPUTED_VALUE"""),"--")</f>
        <v>--</v>
      </c>
      <c r="Z1014" s="251" t="str">
        <f>IFERROR(__xludf.DUMMYFUNCTION("""COMPUTED_VALUE"""),"--")</f>
        <v>--</v>
      </c>
      <c r="AA1014" s="251" t="str">
        <f>IFERROR(__xludf.DUMMYFUNCTION("""COMPUTED_VALUE"""),"--")</f>
        <v>--</v>
      </c>
      <c r="AB1014" s="251" t="str">
        <f>IFERROR(__xludf.DUMMYFUNCTION("""COMPUTED_VALUE"""),"--")</f>
        <v>--</v>
      </c>
      <c r="AC1014" s="251" t="str">
        <f>IFERROR(__xludf.DUMMYFUNCTION("""COMPUTED_VALUE"""),"--")</f>
        <v>--</v>
      </c>
      <c r="AD1014" s="251">
        <f>IFERROR(__xludf.DUMMYFUNCTION("""COMPUTED_VALUE"""),3.0)</f>
        <v>3</v>
      </c>
      <c r="AE1014" s="251" t="str">
        <f>IFERROR(__xludf.DUMMYFUNCTION("""COMPUTED_VALUE"""),"Herbivore")</f>
        <v>Herbivore</v>
      </c>
    </row>
    <row r="1015">
      <c r="A1015" s="251" t="str">
        <f>IFERROR(__xludf.DUMMYFUNCTION("""COMPUTED_VALUE"""),"Durant")</f>
        <v>Durant</v>
      </c>
      <c r="B1015" s="251" t="str">
        <f>IFERROR(__xludf.DUMMYFUNCTION("""COMPUTED_VALUE"""),"Bug")</f>
        <v>Bug</v>
      </c>
      <c r="C1015" s="251" t="str">
        <f>IFERROR(__xludf.DUMMYFUNCTION("""COMPUTED_VALUE"""),"Steel")</f>
        <v>Steel</v>
      </c>
      <c r="D1015" s="251">
        <f>IFERROR(__xludf.DUMMYFUNCTION("""COMPUTED_VALUE"""),6.0)</f>
        <v>6</v>
      </c>
      <c r="E1015" s="251">
        <f>IFERROR(__xludf.DUMMYFUNCTION("""COMPUTED_VALUE"""),11.0)</f>
        <v>11</v>
      </c>
      <c r="F1015" s="251">
        <f>IFERROR(__xludf.DUMMYFUNCTION("""COMPUTED_VALUE"""),12.0)</f>
        <v>12</v>
      </c>
      <c r="G1015" s="251">
        <f>IFERROR(__xludf.DUMMYFUNCTION("""COMPUTED_VALUE"""),5.0)</f>
        <v>5</v>
      </c>
      <c r="H1015" s="251">
        <f>IFERROR(__xludf.DUMMYFUNCTION("""COMPUTED_VALUE"""),5.0)</f>
        <v>5</v>
      </c>
      <c r="I1015" s="251">
        <f>IFERROR(__xludf.DUMMYFUNCTION("""COMPUTED_VALUE"""),12.0)</f>
        <v>12</v>
      </c>
      <c r="J1015" s="251">
        <f>IFERROR(__xludf.DUMMYFUNCTION("""COMPUTED_VALUE"""),5.0)</f>
        <v>5</v>
      </c>
      <c r="K1015" s="251" t="str">
        <f>IFERROR(__xludf.DUMMYFUNCTION("""COMPUTED_VALUE"""),"Small")</f>
        <v>Small</v>
      </c>
      <c r="L1015" s="251">
        <f>IFERROR(__xludf.DUMMYFUNCTION("""COMPUTED_VALUE"""),3.0)</f>
        <v>3</v>
      </c>
      <c r="M1015" s="251" t="str">
        <f>IFERROR(__xludf.DUMMYFUNCTION("""COMPUTED_VALUE"""),"Cave, Forest")</f>
        <v>Cave, Forest</v>
      </c>
      <c r="N1015" s="251" t="str">
        <f>IFERROR(__xludf.DUMMYFUNCTION("""COMPUTED_VALUE"""),"Burrower")</f>
        <v>Burrower</v>
      </c>
      <c r="O1015" s="251" t="str">
        <f>IFERROR(__xludf.DUMMYFUNCTION("""COMPUTED_VALUE"""),"Climber")</f>
        <v>Climber</v>
      </c>
      <c r="P1015" s="251" t="str">
        <f>IFERROR(__xludf.DUMMYFUNCTION("""COMPUTED_VALUE"""),"--")</f>
        <v>--</v>
      </c>
      <c r="Q1015" s="251" t="str">
        <f>IFERROR(__xludf.DUMMYFUNCTION("""COMPUTED_VALUE"""),"--")</f>
        <v>--</v>
      </c>
      <c r="R1015" s="251" t="str">
        <f>IFERROR(__xludf.DUMMYFUNCTION("""COMPUTED_VALUE"""),"--")</f>
        <v>--</v>
      </c>
      <c r="S1015" s="251" t="str">
        <f>IFERROR(__xludf.DUMMYFUNCTION("""COMPUTED_VALUE"""),"--")</f>
        <v>--</v>
      </c>
      <c r="T1015" s="251" t="str">
        <f>IFERROR(__xludf.DUMMYFUNCTION("""COMPUTED_VALUE"""),"--")</f>
        <v>--</v>
      </c>
      <c r="U1015" s="251" t="str">
        <f>IFERROR(__xludf.DUMMYFUNCTION("""COMPUTED_VALUE"""),"--")</f>
        <v>--</v>
      </c>
      <c r="V1015" s="251" t="str">
        <f>IFERROR(__xludf.DUMMYFUNCTION("""COMPUTED_VALUE"""),"--")</f>
        <v>--</v>
      </c>
      <c r="W1015" s="251" t="str">
        <f>IFERROR(__xludf.DUMMYFUNCTION("""COMPUTED_VALUE"""),"--")</f>
        <v>--</v>
      </c>
      <c r="X1015" s="251" t="str">
        <f>IFERROR(__xludf.DUMMYFUNCTION("""COMPUTED_VALUE"""),"--")</f>
        <v>--</v>
      </c>
      <c r="Y1015" s="251" t="str">
        <f>IFERROR(__xludf.DUMMYFUNCTION("""COMPUTED_VALUE"""),"--")</f>
        <v>--</v>
      </c>
      <c r="Z1015" s="251" t="str">
        <f>IFERROR(__xludf.DUMMYFUNCTION("""COMPUTED_VALUE"""),"--")</f>
        <v>--</v>
      </c>
      <c r="AA1015" s="251" t="str">
        <f>IFERROR(__xludf.DUMMYFUNCTION("""COMPUTED_VALUE"""),"--")</f>
        <v>--</v>
      </c>
      <c r="AB1015" s="251" t="str">
        <f>IFERROR(__xludf.DUMMYFUNCTION("""COMPUTED_VALUE"""),"--")</f>
        <v>--</v>
      </c>
      <c r="AC1015" s="251" t="str">
        <f>IFERROR(__xludf.DUMMYFUNCTION("""COMPUTED_VALUE"""),"--")</f>
        <v>--</v>
      </c>
      <c r="AD1015" s="251">
        <f>IFERROR(__xludf.DUMMYFUNCTION("""COMPUTED_VALUE"""),3.0)</f>
        <v>3</v>
      </c>
      <c r="AE1015" s="251" t="str">
        <f>IFERROR(__xludf.DUMMYFUNCTION("""COMPUTED_VALUE"""),"Carnivore")</f>
        <v>Carnivore</v>
      </c>
    </row>
    <row r="1016">
      <c r="A1016" s="251" t="str">
        <f>IFERROR(__xludf.DUMMYFUNCTION("""COMPUTED_VALUE"""),"Sableye")</f>
        <v>Sableye</v>
      </c>
      <c r="B1016" s="251" t="str">
        <f>IFERROR(__xludf.DUMMYFUNCTION("""COMPUTED_VALUE"""),"Dark")</f>
        <v>Dark</v>
      </c>
      <c r="C1016" s="251" t="str">
        <f>IFERROR(__xludf.DUMMYFUNCTION("""COMPUTED_VALUE"""),"Ghost")</f>
        <v>Ghost</v>
      </c>
      <c r="D1016" s="251">
        <f>IFERROR(__xludf.DUMMYFUNCTION("""COMPUTED_VALUE"""),5.0)</f>
        <v>5</v>
      </c>
      <c r="E1016" s="251">
        <f>IFERROR(__xludf.DUMMYFUNCTION("""COMPUTED_VALUE"""),8.0)</f>
        <v>8</v>
      </c>
      <c r="F1016" s="251">
        <f>IFERROR(__xludf.DUMMYFUNCTION("""COMPUTED_VALUE"""),8.0)</f>
        <v>8</v>
      </c>
      <c r="G1016" s="251">
        <f>IFERROR(__xludf.DUMMYFUNCTION("""COMPUTED_VALUE"""),7.0)</f>
        <v>7</v>
      </c>
      <c r="H1016" s="251">
        <f>IFERROR(__xludf.DUMMYFUNCTION("""COMPUTED_VALUE"""),7.0)</f>
        <v>7</v>
      </c>
      <c r="I1016" s="251">
        <f>IFERROR(__xludf.DUMMYFUNCTION("""COMPUTED_VALUE"""),5.0)</f>
        <v>5</v>
      </c>
      <c r="J1016" s="251">
        <f>IFERROR(__xludf.DUMMYFUNCTION("""COMPUTED_VALUE"""),1.0)</f>
        <v>1</v>
      </c>
      <c r="K1016" s="251" t="str">
        <f>IFERROR(__xludf.DUMMYFUNCTION("""COMPUTED_VALUE"""),"Small")</f>
        <v>Small</v>
      </c>
      <c r="L1016" s="251">
        <f>IFERROR(__xludf.DUMMYFUNCTION("""COMPUTED_VALUE"""),1.0)</f>
        <v>1</v>
      </c>
      <c r="M1016" s="251" t="str">
        <f>IFERROR(__xludf.DUMMYFUNCTION("""COMPUTED_VALUE"""),"Cave")</f>
        <v>Cave</v>
      </c>
      <c r="N1016" s="251" t="str">
        <f>IFERROR(__xludf.DUMMYFUNCTION("""COMPUTED_VALUE"""),"Burrower")</f>
        <v>Burrower</v>
      </c>
      <c r="O1016" s="251" t="str">
        <f>IFERROR(__xludf.DUMMYFUNCTION("""COMPUTED_VALUE"""),"--")</f>
        <v>--</v>
      </c>
      <c r="P1016" s="251" t="str">
        <f>IFERROR(__xludf.DUMMYFUNCTION("""COMPUTED_VALUE"""),"--")</f>
        <v>--</v>
      </c>
      <c r="Q1016" s="251" t="str">
        <f>IFERROR(__xludf.DUMMYFUNCTION("""COMPUTED_VALUE"""),"--")</f>
        <v>--</v>
      </c>
      <c r="R1016" s="251" t="str">
        <f>IFERROR(__xludf.DUMMYFUNCTION("""COMPUTED_VALUE"""),"Darkvision")</f>
        <v>Darkvision</v>
      </c>
      <c r="S1016" s="251" t="str">
        <f>IFERROR(__xludf.DUMMYFUNCTION("""COMPUTED_VALUE"""),"Invisibility")</f>
        <v>Invisibility</v>
      </c>
      <c r="T1016" s="251" t="str">
        <f>IFERROR(__xludf.DUMMYFUNCTION("""COMPUTED_VALUE"""),"Underdog")</f>
        <v>Underdog</v>
      </c>
      <c r="U1016" s="251" t="str">
        <f>IFERROR(__xludf.DUMMYFUNCTION("""COMPUTED_VALUE"""),"--")</f>
        <v>--</v>
      </c>
      <c r="V1016" s="251" t="str">
        <f>IFERROR(__xludf.DUMMYFUNCTION("""COMPUTED_VALUE"""),"Dead Silent")</f>
        <v>Dead Silent</v>
      </c>
      <c r="W1016" s="251" t="str">
        <f>IFERROR(__xludf.DUMMYFUNCTION("""COMPUTED_VALUE"""),"--")</f>
        <v>--</v>
      </c>
      <c r="X1016" s="251" t="str">
        <f>IFERROR(__xludf.DUMMYFUNCTION("""COMPUTED_VALUE"""),"--")</f>
        <v>--</v>
      </c>
      <c r="Y1016" s="251" t="str">
        <f>IFERROR(__xludf.DUMMYFUNCTION("""COMPUTED_VALUE"""),"--")</f>
        <v>--</v>
      </c>
      <c r="Z1016" s="251" t="str">
        <f>IFERROR(__xludf.DUMMYFUNCTION("""COMPUTED_VALUE"""),"--")</f>
        <v>--</v>
      </c>
      <c r="AA1016" s="251" t="str">
        <f>IFERROR(__xludf.DUMMYFUNCTION("""COMPUTED_VALUE"""),"--")</f>
        <v>--</v>
      </c>
      <c r="AB1016" s="251" t="str">
        <f>IFERROR(__xludf.DUMMYFUNCTION("""COMPUTED_VALUE"""),"--")</f>
        <v>--</v>
      </c>
      <c r="AC1016" s="251" t="str">
        <f>IFERROR(__xludf.DUMMYFUNCTION("""COMPUTED_VALUE"""),"--")</f>
        <v>--</v>
      </c>
      <c r="AD1016" s="251">
        <f>IFERROR(__xludf.DUMMYFUNCTION("""COMPUTED_VALUE"""),3.0)</f>
        <v>3</v>
      </c>
      <c r="AE1016" s="251" t="str">
        <f>IFERROR(__xludf.DUMMYFUNCTION("""COMPUTED_VALUE"""),"Terravore")</f>
        <v>Terravore</v>
      </c>
    </row>
    <row r="1017">
      <c r="A1017" s="251" t="str">
        <f>IFERROR(__xludf.DUMMYFUNCTION("""COMPUTED_VALUE"""),"Absol")</f>
        <v>Absol</v>
      </c>
      <c r="B1017" s="251" t="str">
        <f>IFERROR(__xludf.DUMMYFUNCTION("""COMPUTED_VALUE"""),"Dark")</f>
        <v>Dark</v>
      </c>
      <c r="C1017" s="251" t="str">
        <f>IFERROR(__xludf.DUMMYFUNCTION("""COMPUTED_VALUE"""),"None")</f>
        <v>None</v>
      </c>
      <c r="D1017" s="251">
        <f>IFERROR(__xludf.DUMMYFUNCTION("""COMPUTED_VALUE"""),8.0)</f>
        <v>8</v>
      </c>
      <c r="E1017" s="251">
        <f>IFERROR(__xludf.DUMMYFUNCTION("""COMPUTED_VALUE"""),13.0)</f>
        <v>13</v>
      </c>
      <c r="F1017" s="251">
        <f>IFERROR(__xludf.DUMMYFUNCTION("""COMPUTED_VALUE"""),6.0)</f>
        <v>6</v>
      </c>
      <c r="G1017" s="251">
        <f>IFERROR(__xludf.DUMMYFUNCTION("""COMPUTED_VALUE"""),8.0)</f>
        <v>8</v>
      </c>
      <c r="H1017" s="251">
        <f>IFERROR(__xludf.DUMMYFUNCTION("""COMPUTED_VALUE"""),6.0)</f>
        <v>6</v>
      </c>
      <c r="I1017" s="251">
        <f>IFERROR(__xludf.DUMMYFUNCTION("""COMPUTED_VALUE"""),10.0)</f>
        <v>10</v>
      </c>
      <c r="J1017" s="251">
        <f>IFERROR(__xludf.DUMMYFUNCTION("""COMPUTED_VALUE"""),3.0)</f>
        <v>3</v>
      </c>
      <c r="K1017" s="251" t="str">
        <f>IFERROR(__xludf.DUMMYFUNCTION("""COMPUTED_VALUE"""),"Medium")</f>
        <v>Medium</v>
      </c>
      <c r="L1017" s="251">
        <f>IFERROR(__xludf.DUMMYFUNCTION("""COMPUTED_VALUE"""),3.0)</f>
        <v>3</v>
      </c>
      <c r="M1017" s="251" t="str">
        <f>IFERROR(__xludf.DUMMYFUNCTION("""COMPUTED_VALUE"""),"Forest, Mountain")</f>
        <v>Forest, Mountain</v>
      </c>
      <c r="N1017" s="251" t="str">
        <f>IFERROR(__xludf.DUMMYFUNCTION("""COMPUTED_VALUE"""),"Quick")</f>
        <v>Quick</v>
      </c>
      <c r="O1017" s="251" t="str">
        <f>IFERROR(__xludf.DUMMYFUNCTION("""COMPUTED_VALUE"""),"--")</f>
        <v>--</v>
      </c>
      <c r="P1017" s="251" t="str">
        <f>IFERROR(__xludf.DUMMYFUNCTION("""COMPUTED_VALUE"""),"--")</f>
        <v>--</v>
      </c>
      <c r="Q1017" s="251" t="str">
        <f>IFERROR(__xludf.DUMMYFUNCTION("""COMPUTED_VALUE"""),"--")</f>
        <v>--</v>
      </c>
      <c r="R1017" s="251" t="str">
        <f>IFERROR(__xludf.DUMMYFUNCTION("""COMPUTED_VALUE"""),"--")</f>
        <v>--</v>
      </c>
      <c r="S1017" s="251" t="str">
        <f>IFERROR(__xludf.DUMMYFUNCTION("""COMPUTED_VALUE"""),"--")</f>
        <v>--</v>
      </c>
      <c r="T1017" s="251" t="str">
        <f>IFERROR(__xludf.DUMMYFUNCTION("""COMPUTED_VALUE"""),"--")</f>
        <v>--</v>
      </c>
      <c r="U1017" s="251" t="str">
        <f>IFERROR(__xludf.DUMMYFUNCTION("""COMPUTED_VALUE"""),"--")</f>
        <v>--</v>
      </c>
      <c r="V1017" s="251" t="str">
        <f>IFERROR(__xludf.DUMMYFUNCTION("""COMPUTED_VALUE"""),"Premonition")</f>
        <v>Premonition</v>
      </c>
      <c r="W1017" s="251" t="str">
        <f>IFERROR(__xludf.DUMMYFUNCTION("""COMPUTED_VALUE"""),"Tracker")</f>
        <v>Tracker</v>
      </c>
      <c r="X1017" s="251" t="str">
        <f>IFERROR(__xludf.DUMMYFUNCTION("""COMPUTED_VALUE"""),"--")</f>
        <v>--</v>
      </c>
      <c r="Y1017" s="251" t="str">
        <f>IFERROR(__xludf.DUMMYFUNCTION("""COMPUTED_VALUE"""),"--")</f>
        <v>--</v>
      </c>
      <c r="Z1017" s="251" t="str">
        <f>IFERROR(__xludf.DUMMYFUNCTION("""COMPUTED_VALUE"""),"--")</f>
        <v>--</v>
      </c>
      <c r="AA1017" s="251" t="str">
        <f>IFERROR(__xludf.DUMMYFUNCTION("""COMPUTED_VALUE"""),"--")</f>
        <v>--</v>
      </c>
      <c r="AB1017" s="251" t="str">
        <f>IFERROR(__xludf.DUMMYFUNCTION("""COMPUTED_VALUE"""),"--")</f>
        <v>--</v>
      </c>
      <c r="AC1017" s="251" t="str">
        <f>IFERROR(__xludf.DUMMYFUNCTION("""COMPUTED_VALUE"""),"--")</f>
        <v>--</v>
      </c>
      <c r="AD1017" s="251">
        <f>IFERROR(__xludf.DUMMYFUNCTION("""COMPUTED_VALUE"""),3.0)</f>
        <v>3</v>
      </c>
      <c r="AE1017" s="251" t="str">
        <f>IFERROR(__xludf.DUMMYFUNCTION("""COMPUTED_VALUE"""),"Omnivore")</f>
        <v>Omnivore</v>
      </c>
    </row>
    <row r="1018">
      <c r="A1018" s="251" t="str">
        <f>IFERROR(__xludf.DUMMYFUNCTION("""COMPUTED_VALUE"""),"Druddigon")</f>
        <v>Druddigon</v>
      </c>
      <c r="B1018" s="251" t="str">
        <f>IFERROR(__xludf.DUMMYFUNCTION("""COMPUTED_VALUE"""),"Dragon")</f>
        <v>Dragon</v>
      </c>
      <c r="C1018" s="251" t="str">
        <f>IFERROR(__xludf.DUMMYFUNCTION("""COMPUTED_VALUE"""),"None")</f>
        <v>None</v>
      </c>
      <c r="D1018" s="251">
        <f>IFERROR(__xludf.DUMMYFUNCTION("""COMPUTED_VALUE"""),9.0)</f>
        <v>9</v>
      </c>
      <c r="E1018" s="251">
        <f>IFERROR(__xludf.DUMMYFUNCTION("""COMPUTED_VALUE"""),13.0)</f>
        <v>13</v>
      </c>
      <c r="F1018" s="251">
        <f>IFERROR(__xludf.DUMMYFUNCTION("""COMPUTED_VALUE"""),9.0)</f>
        <v>9</v>
      </c>
      <c r="G1018" s="251">
        <f>IFERROR(__xludf.DUMMYFUNCTION("""COMPUTED_VALUE"""),6.0)</f>
        <v>6</v>
      </c>
      <c r="H1018" s="251">
        <f>IFERROR(__xludf.DUMMYFUNCTION("""COMPUTED_VALUE"""),9.0)</f>
        <v>9</v>
      </c>
      <c r="I1018" s="251">
        <f>IFERROR(__xludf.DUMMYFUNCTION("""COMPUTED_VALUE"""),5.0)</f>
        <v>5</v>
      </c>
      <c r="J1018" s="251">
        <f>IFERROR(__xludf.DUMMYFUNCTION("""COMPUTED_VALUE"""),8.0)</f>
        <v>8</v>
      </c>
      <c r="K1018" s="251" t="str">
        <f>IFERROR(__xludf.DUMMYFUNCTION("""COMPUTED_VALUE"""),"Medium")</f>
        <v>Medium</v>
      </c>
      <c r="L1018" s="251">
        <f>IFERROR(__xludf.DUMMYFUNCTION("""COMPUTED_VALUE"""),5.0)</f>
        <v>5</v>
      </c>
      <c r="M1018" s="251" t="str">
        <f>IFERROR(__xludf.DUMMYFUNCTION("""COMPUTED_VALUE"""),"Cave")</f>
        <v>Cave</v>
      </c>
      <c r="N1018" s="251" t="str">
        <f>IFERROR(__xludf.DUMMYFUNCTION("""COMPUTED_VALUE"""),"--")</f>
        <v>--</v>
      </c>
      <c r="O1018" s="251" t="str">
        <f>IFERROR(__xludf.DUMMYFUNCTION("""COMPUTED_VALUE"""),"--")</f>
        <v>--</v>
      </c>
      <c r="P1018" s="251" t="str">
        <f>IFERROR(__xludf.DUMMYFUNCTION("""COMPUTED_VALUE"""),"--")</f>
        <v>--</v>
      </c>
      <c r="Q1018" s="251" t="str">
        <f>IFERROR(__xludf.DUMMYFUNCTION("""COMPUTED_VALUE"""),"--")</f>
        <v>--</v>
      </c>
      <c r="R1018" s="251" t="str">
        <f>IFERROR(__xludf.DUMMYFUNCTION("""COMPUTED_VALUE"""),"Darkvision")</f>
        <v>Darkvision</v>
      </c>
      <c r="S1018" s="251" t="str">
        <f>IFERROR(__xludf.DUMMYFUNCTION("""COMPUTED_VALUE"""),"--")</f>
        <v>--</v>
      </c>
      <c r="T1018" s="251" t="str">
        <f>IFERROR(__xludf.DUMMYFUNCTION("""COMPUTED_VALUE"""),"--")</f>
        <v>--</v>
      </c>
      <c r="U1018" s="251" t="str">
        <f>IFERROR(__xludf.DUMMYFUNCTION("""COMPUTED_VALUE"""),"--")</f>
        <v>--</v>
      </c>
      <c r="V1018" s="251" t="str">
        <f>IFERROR(__xludf.DUMMYFUNCTION("""COMPUTED_VALUE"""),"--")</f>
        <v>--</v>
      </c>
      <c r="W1018" s="251" t="str">
        <f>IFERROR(__xludf.DUMMYFUNCTION("""COMPUTED_VALUE"""),"--")</f>
        <v>--</v>
      </c>
      <c r="X1018" s="251" t="str">
        <f>IFERROR(__xludf.DUMMYFUNCTION("""COMPUTED_VALUE"""),"--")</f>
        <v>--</v>
      </c>
      <c r="Y1018" s="251" t="str">
        <f>IFERROR(__xludf.DUMMYFUNCTION("""COMPUTED_VALUE"""),"--")</f>
        <v>--</v>
      </c>
      <c r="Z1018" s="251" t="str">
        <f>IFERROR(__xludf.DUMMYFUNCTION("""COMPUTED_VALUE"""),"--")</f>
        <v>--</v>
      </c>
      <c r="AA1018" s="251" t="str">
        <f>IFERROR(__xludf.DUMMYFUNCTION("""COMPUTED_VALUE"""),"--")</f>
        <v>--</v>
      </c>
      <c r="AB1018" s="251" t="str">
        <f>IFERROR(__xludf.DUMMYFUNCTION("""COMPUTED_VALUE"""),"--")</f>
        <v>--</v>
      </c>
      <c r="AC1018" s="251" t="str">
        <f>IFERROR(__xludf.DUMMYFUNCTION("""COMPUTED_VALUE"""),"--")</f>
        <v>--</v>
      </c>
      <c r="AD1018" s="251">
        <f>IFERROR(__xludf.DUMMYFUNCTION("""COMPUTED_VALUE"""),3.0)</f>
        <v>3</v>
      </c>
      <c r="AE1018" s="251" t="str">
        <f>IFERROR(__xludf.DUMMYFUNCTION("""COMPUTED_VALUE"""),"Carnivore, Terravore")</f>
        <v>Carnivore, Terravore</v>
      </c>
    </row>
    <row r="1019">
      <c r="A1019" s="251" t="str">
        <f>IFERROR(__xludf.DUMMYFUNCTION("""COMPUTED_VALUE"""),"Cyclizar")</f>
        <v>Cyclizar</v>
      </c>
      <c r="B1019" s="251" t="str">
        <f>IFERROR(__xludf.DUMMYFUNCTION("""COMPUTED_VALUE"""),"Dragon")</f>
        <v>Dragon</v>
      </c>
      <c r="C1019" s="251" t="str">
        <f>IFERROR(__xludf.DUMMYFUNCTION("""COMPUTED_VALUE"""),"Normal")</f>
        <v>Normal</v>
      </c>
      <c r="D1019" s="251">
        <f>IFERROR(__xludf.DUMMYFUNCTION("""COMPUTED_VALUE"""),7.0)</f>
        <v>7</v>
      </c>
      <c r="E1019" s="251">
        <f>IFERROR(__xludf.DUMMYFUNCTION("""COMPUTED_VALUE"""),10.0)</f>
        <v>10</v>
      </c>
      <c r="F1019" s="251">
        <f>IFERROR(__xludf.DUMMYFUNCTION("""COMPUTED_VALUE"""),7.0)</f>
        <v>7</v>
      </c>
      <c r="G1019" s="251">
        <f>IFERROR(__xludf.DUMMYFUNCTION("""COMPUTED_VALUE"""),9.0)</f>
        <v>9</v>
      </c>
      <c r="H1019" s="251">
        <f>IFERROR(__xludf.DUMMYFUNCTION("""COMPUTED_VALUE"""),7.0)</f>
        <v>7</v>
      </c>
      <c r="I1019" s="251">
        <f>IFERROR(__xludf.DUMMYFUNCTION("""COMPUTED_VALUE"""),12.0)</f>
        <v>12</v>
      </c>
      <c r="J1019" s="251">
        <f>IFERROR(__xludf.DUMMYFUNCTION("""COMPUTED_VALUE"""),8.0)</f>
        <v>8</v>
      </c>
      <c r="K1019" s="251" t="str">
        <f>IFERROR(__xludf.DUMMYFUNCTION("""COMPUTED_VALUE"""),"Medium")</f>
        <v>Medium</v>
      </c>
      <c r="L1019" s="251">
        <f>IFERROR(__xludf.DUMMYFUNCTION("""COMPUTED_VALUE"""),4.0)</f>
        <v>4</v>
      </c>
      <c r="M1019" s="251" t="str">
        <f>IFERROR(__xludf.DUMMYFUNCTION("""COMPUTED_VALUE"""),"Urban")</f>
        <v>Urban</v>
      </c>
      <c r="N1019" s="251" t="str">
        <f>IFERROR(__xludf.DUMMYFUNCTION("""COMPUTED_VALUE"""),"Quick")</f>
        <v>Quick</v>
      </c>
      <c r="O1019" s="251" t="str">
        <f>IFERROR(__xludf.DUMMYFUNCTION("""COMPUTED_VALUE"""),"--")</f>
        <v>--</v>
      </c>
      <c r="P1019" s="251" t="str">
        <f>IFERROR(__xludf.DUMMYFUNCTION("""COMPUTED_VALUE"""),"--")</f>
        <v>--</v>
      </c>
      <c r="Q1019" s="251" t="str">
        <f>IFERROR(__xludf.DUMMYFUNCTION("""COMPUTED_VALUE"""),"--")</f>
        <v>--</v>
      </c>
      <c r="R1019" s="251" t="str">
        <f>IFERROR(__xludf.DUMMYFUNCTION("""COMPUTED_VALUE"""),"Mountable")</f>
        <v>Mountable</v>
      </c>
      <c r="S1019" s="251" t="str">
        <f>IFERROR(__xludf.DUMMYFUNCTION("""COMPUTED_VALUE"""),"--")</f>
        <v>--</v>
      </c>
      <c r="T1019" s="251" t="str">
        <f>IFERROR(__xludf.DUMMYFUNCTION("""COMPUTED_VALUE"""),"--")</f>
        <v>--</v>
      </c>
      <c r="U1019" s="251" t="str">
        <f>IFERROR(__xludf.DUMMYFUNCTION("""COMPUTED_VALUE"""),"--")</f>
        <v>--</v>
      </c>
      <c r="V1019" s="251" t="str">
        <f>IFERROR(__xludf.DUMMYFUNCTION("""COMPUTED_VALUE"""),"--")</f>
        <v>--</v>
      </c>
      <c r="W1019" s="251" t="str">
        <f>IFERROR(__xludf.DUMMYFUNCTION("""COMPUTED_VALUE"""),"--")</f>
        <v>--</v>
      </c>
      <c r="X1019" s="251" t="str">
        <f>IFERROR(__xludf.DUMMYFUNCTION("""COMPUTED_VALUE"""),"--")</f>
        <v>--</v>
      </c>
      <c r="Y1019" s="251" t="str">
        <f>IFERROR(__xludf.DUMMYFUNCTION("""COMPUTED_VALUE"""),"--")</f>
        <v>--</v>
      </c>
      <c r="Z1019" s="251" t="str">
        <f>IFERROR(__xludf.DUMMYFUNCTION("""COMPUTED_VALUE"""),"--")</f>
        <v>--</v>
      </c>
      <c r="AA1019" s="251" t="str">
        <f>IFERROR(__xludf.DUMMYFUNCTION("""COMPUTED_VALUE"""),"--")</f>
        <v>--</v>
      </c>
      <c r="AB1019" s="251" t="str">
        <f>IFERROR(__xludf.DUMMYFUNCTION("""COMPUTED_VALUE"""),"--")</f>
        <v>--</v>
      </c>
      <c r="AC1019" s="251" t="str">
        <f>IFERROR(__xludf.DUMMYFUNCTION("""COMPUTED_VALUE"""),"--")</f>
        <v>--</v>
      </c>
      <c r="AD1019" s="251">
        <f>IFERROR(__xludf.DUMMYFUNCTION("""COMPUTED_VALUE"""),3.0)</f>
        <v>3</v>
      </c>
      <c r="AE1019" s="251" t="str">
        <f>IFERROR(__xludf.DUMMYFUNCTION("""COMPUTED_VALUE"""),"Omnivore")</f>
        <v>Omnivore</v>
      </c>
    </row>
    <row r="1020">
      <c r="A1020" s="251" t="str">
        <f>IFERROR(__xludf.DUMMYFUNCTION("""COMPUTED_VALUE"""),"Tatsugiri")</f>
        <v>Tatsugiri</v>
      </c>
      <c r="B1020" s="251" t="str">
        <f>IFERROR(__xludf.DUMMYFUNCTION("""COMPUTED_VALUE"""),"Dragon")</f>
        <v>Dragon</v>
      </c>
      <c r="C1020" s="251" t="str">
        <f>IFERROR(__xludf.DUMMYFUNCTION("""COMPUTED_VALUE"""),"Water")</f>
        <v>Water</v>
      </c>
      <c r="D1020" s="251">
        <f>IFERROR(__xludf.DUMMYFUNCTION("""COMPUTED_VALUE"""),7.0)</f>
        <v>7</v>
      </c>
      <c r="E1020" s="251">
        <f>IFERROR(__xludf.DUMMYFUNCTION("""COMPUTED_VALUE"""),5.0)</f>
        <v>5</v>
      </c>
      <c r="F1020" s="251">
        <f>IFERROR(__xludf.DUMMYFUNCTION("""COMPUTED_VALUE"""),6.0)</f>
        <v>6</v>
      </c>
      <c r="G1020" s="251">
        <f>IFERROR(__xludf.DUMMYFUNCTION("""COMPUTED_VALUE"""),13.0)</f>
        <v>13</v>
      </c>
      <c r="H1020" s="251">
        <f>IFERROR(__xludf.DUMMYFUNCTION("""COMPUTED_VALUE"""),11.0)</f>
        <v>11</v>
      </c>
      <c r="I1020" s="251">
        <f>IFERROR(__xludf.DUMMYFUNCTION("""COMPUTED_VALUE"""),9.0)</f>
        <v>9</v>
      </c>
      <c r="J1020" s="251">
        <f>IFERROR(__xludf.DUMMYFUNCTION("""COMPUTED_VALUE"""),4.0)</f>
        <v>4</v>
      </c>
      <c r="K1020" s="251" t="str">
        <f>IFERROR(__xludf.DUMMYFUNCTION("""COMPUTED_VALUE"""),"Small")</f>
        <v>Small</v>
      </c>
      <c r="L1020" s="251">
        <f>IFERROR(__xludf.DUMMYFUNCTION("""COMPUTED_VALUE"""),1.0)</f>
        <v>1</v>
      </c>
      <c r="M1020" s="251" t="str">
        <f>IFERROR(__xludf.DUMMYFUNCTION("""COMPUTED_VALUE"""),"Ocean, Wetlands")</f>
        <v>Ocean, Wetlands</v>
      </c>
      <c r="N1020" s="251" t="str">
        <f>IFERROR(__xludf.DUMMYFUNCTION("""COMPUTED_VALUE"""),"Jumper")</f>
        <v>Jumper</v>
      </c>
      <c r="O1020" s="251" t="str">
        <f>IFERROR(__xludf.DUMMYFUNCTION("""COMPUTED_VALUE"""),"Swimmer")</f>
        <v>Swimmer</v>
      </c>
      <c r="P1020" s="251" t="str">
        <f>IFERROR(__xludf.DUMMYFUNCTION("""COMPUTED_VALUE"""),"--")</f>
        <v>--</v>
      </c>
      <c r="Q1020" s="251" t="str">
        <f>IFERROR(__xludf.DUMMYFUNCTION("""COMPUTED_VALUE"""),"--")</f>
        <v>--</v>
      </c>
      <c r="R1020" s="251" t="str">
        <f>IFERROR(__xludf.DUMMYFUNCTION("""COMPUTED_VALUE"""),"--")</f>
        <v>--</v>
      </c>
      <c r="S1020" s="251" t="str">
        <f>IFERROR(__xludf.DUMMYFUNCTION("""COMPUTED_VALUE"""),"--")</f>
        <v>--</v>
      </c>
      <c r="T1020" s="251" t="str">
        <f>IFERROR(__xludf.DUMMYFUNCTION("""COMPUTED_VALUE"""),"--")</f>
        <v>--</v>
      </c>
      <c r="U1020" s="251" t="str">
        <f>IFERROR(__xludf.DUMMYFUNCTION("""COMPUTED_VALUE"""),"--")</f>
        <v>--</v>
      </c>
      <c r="V1020" s="251" t="str">
        <f>IFERROR(__xludf.DUMMYFUNCTION("""COMPUTED_VALUE"""),"Gilled")</f>
        <v>Gilled</v>
      </c>
      <c r="W1020" s="251" t="str">
        <f>IFERROR(__xludf.DUMMYFUNCTION("""COMPUTED_VALUE"""),"--")</f>
        <v>--</v>
      </c>
      <c r="X1020" s="251" t="str">
        <f>IFERROR(__xludf.DUMMYFUNCTION("""COMPUTED_VALUE"""),"--")</f>
        <v>--</v>
      </c>
      <c r="Y1020" s="251" t="str">
        <f>IFERROR(__xludf.DUMMYFUNCTION("""COMPUTED_VALUE"""),"--")</f>
        <v>--</v>
      </c>
      <c r="Z1020" s="251" t="str">
        <f>IFERROR(__xludf.DUMMYFUNCTION("""COMPUTED_VALUE"""),"--")</f>
        <v>--</v>
      </c>
      <c r="AA1020" s="251" t="str">
        <f>IFERROR(__xludf.DUMMYFUNCTION("""COMPUTED_VALUE"""),"--")</f>
        <v>--</v>
      </c>
      <c r="AB1020" s="251" t="str">
        <f>IFERROR(__xludf.DUMMYFUNCTION("""COMPUTED_VALUE"""),"--")</f>
        <v>--</v>
      </c>
      <c r="AC1020" s="251" t="str">
        <f>IFERROR(__xludf.DUMMYFUNCTION("""COMPUTED_VALUE"""),"--")</f>
        <v>--</v>
      </c>
      <c r="AD1020" s="251">
        <f>IFERROR(__xludf.DUMMYFUNCTION("""COMPUTED_VALUE"""),3.0)</f>
        <v>3</v>
      </c>
      <c r="AE1020" s="251" t="str">
        <f>IFERROR(__xludf.DUMMYFUNCTION("""COMPUTED_VALUE"""),"Herbivore")</f>
        <v>Herbivore</v>
      </c>
    </row>
    <row r="1021">
      <c r="A1021" s="251" t="str">
        <f>IFERROR(__xludf.DUMMYFUNCTION("""COMPUTED_VALUE"""),"Plusle")</f>
        <v>Plusle</v>
      </c>
      <c r="B1021" s="251" t="str">
        <f>IFERROR(__xludf.DUMMYFUNCTION("""COMPUTED_VALUE"""),"Electric")</f>
        <v>Electric</v>
      </c>
      <c r="C1021" s="251" t="str">
        <f>IFERROR(__xludf.DUMMYFUNCTION("""COMPUTED_VALUE"""),"None")</f>
        <v>None</v>
      </c>
      <c r="D1021" s="251">
        <f>IFERROR(__xludf.DUMMYFUNCTION("""COMPUTED_VALUE"""),6.0)</f>
        <v>6</v>
      </c>
      <c r="E1021" s="251">
        <f>IFERROR(__xludf.DUMMYFUNCTION("""COMPUTED_VALUE"""),5.0)</f>
        <v>5</v>
      </c>
      <c r="F1021" s="251">
        <f>IFERROR(__xludf.DUMMYFUNCTION("""COMPUTED_VALUE"""),4.0)</f>
        <v>4</v>
      </c>
      <c r="G1021" s="251">
        <f>IFERROR(__xludf.DUMMYFUNCTION("""COMPUTED_VALUE"""),9.0)</f>
        <v>9</v>
      </c>
      <c r="H1021" s="251">
        <f>IFERROR(__xludf.DUMMYFUNCTION("""COMPUTED_VALUE"""),8.0)</f>
        <v>8</v>
      </c>
      <c r="I1021" s="251">
        <f>IFERROR(__xludf.DUMMYFUNCTION("""COMPUTED_VALUE"""),10.0)</f>
        <v>10</v>
      </c>
      <c r="J1021" s="251">
        <f>IFERROR(__xludf.DUMMYFUNCTION("""COMPUTED_VALUE"""),1.0)</f>
        <v>1</v>
      </c>
      <c r="K1021" s="251" t="str">
        <f>IFERROR(__xludf.DUMMYFUNCTION("""COMPUTED_VALUE"""),"Small")</f>
        <v>Small</v>
      </c>
      <c r="L1021" s="251">
        <f>IFERROR(__xludf.DUMMYFUNCTION("""COMPUTED_VALUE"""),1.0)</f>
        <v>1</v>
      </c>
      <c r="M1021" s="251" t="str">
        <f>IFERROR(__xludf.DUMMYFUNCTION("""COMPUTED_VALUE"""),"Forest, Grasslands")</f>
        <v>Forest, Grasslands</v>
      </c>
      <c r="N1021" s="251" t="str">
        <f>IFERROR(__xludf.DUMMYFUNCTION("""COMPUTED_VALUE"""),"--")</f>
        <v>--</v>
      </c>
      <c r="O1021" s="251" t="str">
        <f>IFERROR(__xludf.DUMMYFUNCTION("""COMPUTED_VALUE"""),"--")</f>
        <v>--</v>
      </c>
      <c r="P1021" s="251" t="str">
        <f>IFERROR(__xludf.DUMMYFUNCTION("""COMPUTED_VALUE"""),"--")</f>
        <v>--</v>
      </c>
      <c r="Q1021" s="251" t="str">
        <f>IFERROR(__xludf.DUMMYFUNCTION("""COMPUTED_VALUE"""),"--")</f>
        <v>--</v>
      </c>
      <c r="R1021" s="251" t="str">
        <f>IFERROR(__xludf.DUMMYFUNCTION("""COMPUTED_VALUE"""),"Underdog")</f>
        <v>Underdog</v>
      </c>
      <c r="S1021" s="251" t="str">
        <f>IFERROR(__xludf.DUMMYFUNCTION("""COMPUTED_VALUE"""),"--")</f>
        <v>--</v>
      </c>
      <c r="T1021" s="251" t="str">
        <f>IFERROR(__xludf.DUMMYFUNCTION("""COMPUTED_VALUE"""),"--")</f>
        <v>--</v>
      </c>
      <c r="U1021" s="251" t="str">
        <f>IFERROR(__xludf.DUMMYFUNCTION("""COMPUTED_VALUE"""),"--")</f>
        <v>--</v>
      </c>
      <c r="V1021" s="251" t="str">
        <f>IFERROR(__xludf.DUMMYFUNCTION("""COMPUTED_VALUE"""),"--")</f>
        <v>--</v>
      </c>
      <c r="W1021" s="251" t="str">
        <f>IFERROR(__xludf.DUMMYFUNCTION("""COMPUTED_VALUE"""),"--")</f>
        <v>--</v>
      </c>
      <c r="X1021" s="251" t="str">
        <f>IFERROR(__xludf.DUMMYFUNCTION("""COMPUTED_VALUE"""),"--")</f>
        <v>--</v>
      </c>
      <c r="Y1021" s="251" t="str">
        <f>IFERROR(__xludf.DUMMYFUNCTION("""COMPUTED_VALUE"""),"--")</f>
        <v>--</v>
      </c>
      <c r="Z1021" s="251" t="str">
        <f>IFERROR(__xludf.DUMMYFUNCTION("""COMPUTED_VALUE"""),"--")</f>
        <v>--</v>
      </c>
      <c r="AA1021" s="251" t="str">
        <f>IFERROR(__xludf.DUMMYFUNCTION("""COMPUTED_VALUE"""),"--")</f>
        <v>--</v>
      </c>
      <c r="AB1021" s="251" t="str">
        <f>IFERROR(__xludf.DUMMYFUNCTION("""COMPUTED_VALUE"""),"--")</f>
        <v>--</v>
      </c>
      <c r="AC1021" s="251" t="str">
        <f>IFERROR(__xludf.DUMMYFUNCTION("""COMPUTED_VALUE"""),"--")</f>
        <v>--</v>
      </c>
      <c r="AD1021" s="251">
        <f>IFERROR(__xludf.DUMMYFUNCTION("""COMPUTED_VALUE"""),3.0)</f>
        <v>3</v>
      </c>
      <c r="AE1021" s="251" t="str">
        <f>IFERROR(__xludf.DUMMYFUNCTION("""COMPUTED_VALUE"""),"Herbivore")</f>
        <v>Herbivore</v>
      </c>
    </row>
    <row r="1022">
      <c r="A1022" s="251" t="str">
        <f>IFERROR(__xludf.DUMMYFUNCTION("""COMPUTED_VALUE"""),"Minun")</f>
        <v>Minun</v>
      </c>
      <c r="B1022" s="251" t="str">
        <f>IFERROR(__xludf.DUMMYFUNCTION("""COMPUTED_VALUE"""),"Electric")</f>
        <v>Electric</v>
      </c>
      <c r="C1022" s="251" t="str">
        <f>IFERROR(__xludf.DUMMYFUNCTION("""COMPUTED_VALUE"""),"None")</f>
        <v>None</v>
      </c>
      <c r="D1022" s="251">
        <f>IFERROR(__xludf.DUMMYFUNCTION("""COMPUTED_VALUE"""),6.0)</f>
        <v>6</v>
      </c>
      <c r="E1022" s="251">
        <f>IFERROR(__xludf.DUMMYFUNCTION("""COMPUTED_VALUE"""),4.0)</f>
        <v>4</v>
      </c>
      <c r="F1022" s="251">
        <f>IFERROR(__xludf.DUMMYFUNCTION("""COMPUTED_VALUE"""),5.0)</f>
        <v>5</v>
      </c>
      <c r="G1022" s="251">
        <f>IFERROR(__xludf.DUMMYFUNCTION("""COMPUTED_VALUE"""),8.0)</f>
        <v>8</v>
      </c>
      <c r="H1022" s="251">
        <f>IFERROR(__xludf.DUMMYFUNCTION("""COMPUTED_VALUE"""),9.0)</f>
        <v>9</v>
      </c>
      <c r="I1022" s="251">
        <f>IFERROR(__xludf.DUMMYFUNCTION("""COMPUTED_VALUE"""),10.0)</f>
        <v>10</v>
      </c>
      <c r="J1022" s="251">
        <f>IFERROR(__xludf.DUMMYFUNCTION("""COMPUTED_VALUE"""),1.0)</f>
        <v>1</v>
      </c>
      <c r="K1022" s="251" t="str">
        <f>IFERROR(__xludf.DUMMYFUNCTION("""COMPUTED_VALUE"""),"Small")</f>
        <v>Small</v>
      </c>
      <c r="L1022" s="251">
        <f>IFERROR(__xludf.DUMMYFUNCTION("""COMPUTED_VALUE"""),1.0)</f>
        <v>1</v>
      </c>
      <c r="M1022" s="251" t="str">
        <f>IFERROR(__xludf.DUMMYFUNCTION("""COMPUTED_VALUE"""),"Forest, Grasslands")</f>
        <v>Forest, Grasslands</v>
      </c>
      <c r="N1022" s="251" t="str">
        <f>IFERROR(__xludf.DUMMYFUNCTION("""COMPUTED_VALUE"""),"--")</f>
        <v>--</v>
      </c>
      <c r="O1022" s="251" t="str">
        <f>IFERROR(__xludf.DUMMYFUNCTION("""COMPUTED_VALUE"""),"--")</f>
        <v>--</v>
      </c>
      <c r="P1022" s="251" t="str">
        <f>IFERROR(__xludf.DUMMYFUNCTION("""COMPUTED_VALUE"""),"--")</f>
        <v>--</v>
      </c>
      <c r="Q1022" s="251" t="str">
        <f>IFERROR(__xludf.DUMMYFUNCTION("""COMPUTED_VALUE"""),"--")</f>
        <v>--</v>
      </c>
      <c r="R1022" s="251" t="str">
        <f>IFERROR(__xludf.DUMMYFUNCTION("""COMPUTED_VALUE"""),"Underdog")</f>
        <v>Underdog</v>
      </c>
      <c r="S1022" s="251" t="str">
        <f>IFERROR(__xludf.DUMMYFUNCTION("""COMPUTED_VALUE"""),"--")</f>
        <v>--</v>
      </c>
      <c r="T1022" s="251" t="str">
        <f>IFERROR(__xludf.DUMMYFUNCTION("""COMPUTED_VALUE"""),"--")</f>
        <v>--</v>
      </c>
      <c r="U1022" s="251" t="str">
        <f>IFERROR(__xludf.DUMMYFUNCTION("""COMPUTED_VALUE"""),"--")</f>
        <v>--</v>
      </c>
      <c r="V1022" s="251" t="str">
        <f>IFERROR(__xludf.DUMMYFUNCTION("""COMPUTED_VALUE"""),"--")</f>
        <v>--</v>
      </c>
      <c r="W1022" s="251" t="str">
        <f>IFERROR(__xludf.DUMMYFUNCTION("""COMPUTED_VALUE"""),"--")</f>
        <v>--</v>
      </c>
      <c r="X1022" s="251" t="str">
        <f>IFERROR(__xludf.DUMMYFUNCTION("""COMPUTED_VALUE"""),"--")</f>
        <v>--</v>
      </c>
      <c r="Y1022" s="251" t="str">
        <f>IFERROR(__xludf.DUMMYFUNCTION("""COMPUTED_VALUE"""),"--")</f>
        <v>--</v>
      </c>
      <c r="Z1022" s="251" t="str">
        <f>IFERROR(__xludf.DUMMYFUNCTION("""COMPUTED_VALUE"""),"--")</f>
        <v>--</v>
      </c>
      <c r="AA1022" s="251" t="str">
        <f>IFERROR(__xludf.DUMMYFUNCTION("""COMPUTED_VALUE"""),"--")</f>
        <v>--</v>
      </c>
      <c r="AB1022" s="251" t="str">
        <f>IFERROR(__xludf.DUMMYFUNCTION("""COMPUTED_VALUE"""),"--")</f>
        <v>--</v>
      </c>
      <c r="AC1022" s="251" t="str">
        <f>IFERROR(__xludf.DUMMYFUNCTION("""COMPUTED_VALUE"""),"--")</f>
        <v>--</v>
      </c>
      <c r="AD1022" s="251">
        <f>IFERROR(__xludf.DUMMYFUNCTION("""COMPUTED_VALUE"""),3.0)</f>
        <v>3</v>
      </c>
      <c r="AE1022" s="251" t="str">
        <f>IFERROR(__xludf.DUMMYFUNCTION("""COMPUTED_VALUE"""),"Herbivore")</f>
        <v>Herbivore</v>
      </c>
    </row>
    <row r="1023">
      <c r="A1023" s="251" t="str">
        <f>IFERROR(__xludf.DUMMYFUNCTION("""COMPUTED_VALUE"""),"Pachirisu")</f>
        <v>Pachirisu</v>
      </c>
      <c r="B1023" s="251" t="str">
        <f>IFERROR(__xludf.DUMMYFUNCTION("""COMPUTED_VALUE"""),"Electric")</f>
        <v>Electric</v>
      </c>
      <c r="C1023" s="251" t="str">
        <f>IFERROR(__xludf.DUMMYFUNCTION("""COMPUTED_VALUE"""),"None")</f>
        <v>None</v>
      </c>
      <c r="D1023" s="251">
        <f>IFERROR(__xludf.DUMMYFUNCTION("""COMPUTED_VALUE"""),6.0)</f>
        <v>6</v>
      </c>
      <c r="E1023" s="251">
        <f>IFERROR(__xludf.DUMMYFUNCTION("""COMPUTED_VALUE"""),5.0)</f>
        <v>5</v>
      </c>
      <c r="F1023" s="251">
        <f>IFERROR(__xludf.DUMMYFUNCTION("""COMPUTED_VALUE"""),7.0)</f>
        <v>7</v>
      </c>
      <c r="G1023" s="251">
        <f>IFERROR(__xludf.DUMMYFUNCTION("""COMPUTED_VALUE"""),5.0)</f>
        <v>5</v>
      </c>
      <c r="H1023" s="251">
        <f>IFERROR(__xludf.DUMMYFUNCTION("""COMPUTED_VALUE"""),9.0)</f>
        <v>9</v>
      </c>
      <c r="I1023" s="251">
        <f>IFERROR(__xludf.DUMMYFUNCTION("""COMPUTED_VALUE"""),10.0)</f>
        <v>10</v>
      </c>
      <c r="J1023" s="251">
        <f>IFERROR(__xludf.DUMMYFUNCTION("""COMPUTED_VALUE"""),1.0)</f>
        <v>1</v>
      </c>
      <c r="K1023" s="251" t="str">
        <f>IFERROR(__xludf.DUMMYFUNCTION("""COMPUTED_VALUE"""),"Small")</f>
        <v>Small</v>
      </c>
      <c r="L1023" s="251">
        <f>IFERROR(__xludf.DUMMYFUNCTION("""COMPUTED_VALUE"""),1.0)</f>
        <v>1</v>
      </c>
      <c r="M1023" s="251" t="str">
        <f>IFERROR(__xludf.DUMMYFUNCTION("""COMPUTED_VALUE"""),"Forest, Urban")</f>
        <v>Forest, Urban</v>
      </c>
      <c r="N1023" s="251" t="str">
        <f>IFERROR(__xludf.DUMMYFUNCTION("""COMPUTED_VALUE"""),"Climber")</f>
        <v>Climber</v>
      </c>
      <c r="O1023" s="251" t="str">
        <f>IFERROR(__xludf.DUMMYFUNCTION("""COMPUTED_VALUE"""),"--")</f>
        <v>--</v>
      </c>
      <c r="P1023" s="251" t="str">
        <f>IFERROR(__xludf.DUMMYFUNCTION("""COMPUTED_VALUE"""),"--")</f>
        <v>--</v>
      </c>
      <c r="Q1023" s="251" t="str">
        <f>IFERROR(__xludf.DUMMYFUNCTION("""COMPUTED_VALUE"""),"--")</f>
        <v>--</v>
      </c>
      <c r="R1023" s="251" t="str">
        <f>IFERROR(__xludf.DUMMYFUNCTION("""COMPUTED_VALUE"""),"Underdog")</f>
        <v>Underdog</v>
      </c>
      <c r="S1023" s="251" t="str">
        <f>IFERROR(__xludf.DUMMYFUNCTION("""COMPUTED_VALUE"""),"--")</f>
        <v>--</v>
      </c>
      <c r="T1023" s="251" t="str">
        <f>IFERROR(__xludf.DUMMYFUNCTION("""COMPUTED_VALUE"""),"--")</f>
        <v>--</v>
      </c>
      <c r="U1023" s="251" t="str">
        <f>IFERROR(__xludf.DUMMYFUNCTION("""COMPUTED_VALUE"""),"--")</f>
        <v>--</v>
      </c>
      <c r="V1023" s="251" t="str">
        <f>IFERROR(__xludf.DUMMYFUNCTION("""COMPUTED_VALUE"""),"--")</f>
        <v>--</v>
      </c>
      <c r="W1023" s="251" t="str">
        <f>IFERROR(__xludf.DUMMYFUNCTION("""COMPUTED_VALUE"""),"--")</f>
        <v>--</v>
      </c>
      <c r="X1023" s="251" t="str">
        <f>IFERROR(__xludf.DUMMYFUNCTION("""COMPUTED_VALUE"""),"--")</f>
        <v>--</v>
      </c>
      <c r="Y1023" s="251" t="str">
        <f>IFERROR(__xludf.DUMMYFUNCTION("""COMPUTED_VALUE"""),"--")</f>
        <v>--</v>
      </c>
      <c r="Z1023" s="251" t="str">
        <f>IFERROR(__xludf.DUMMYFUNCTION("""COMPUTED_VALUE"""),"--")</f>
        <v>--</v>
      </c>
      <c r="AA1023" s="251" t="str">
        <f>IFERROR(__xludf.DUMMYFUNCTION("""COMPUTED_VALUE"""),"--")</f>
        <v>--</v>
      </c>
      <c r="AB1023" s="251" t="str">
        <f>IFERROR(__xludf.DUMMYFUNCTION("""COMPUTED_VALUE"""),"--")</f>
        <v>--</v>
      </c>
      <c r="AC1023" s="251" t="str">
        <f>IFERROR(__xludf.DUMMYFUNCTION("""COMPUTED_VALUE"""),"--")</f>
        <v>--</v>
      </c>
      <c r="AD1023" s="251">
        <f>IFERROR(__xludf.DUMMYFUNCTION("""COMPUTED_VALUE"""),3.0)</f>
        <v>3</v>
      </c>
      <c r="AE1023" s="251" t="str">
        <f>IFERROR(__xludf.DUMMYFUNCTION("""COMPUTED_VALUE"""),"Herbivore")</f>
        <v>Herbivore</v>
      </c>
    </row>
    <row r="1024">
      <c r="A1024" s="251" t="str">
        <f>IFERROR(__xludf.DUMMYFUNCTION("""COMPUTED_VALUE"""),"Rotom")</f>
        <v>Rotom</v>
      </c>
      <c r="B1024" s="251" t="str">
        <f>IFERROR(__xludf.DUMMYFUNCTION("""COMPUTED_VALUE"""),"Electric")</f>
        <v>Electric</v>
      </c>
      <c r="C1024" s="251" t="str">
        <f>IFERROR(__xludf.DUMMYFUNCTION("""COMPUTED_VALUE"""),"Ghost")</f>
        <v>Ghost</v>
      </c>
      <c r="D1024" s="251">
        <f>IFERROR(__xludf.DUMMYFUNCTION("""COMPUTED_VALUE"""),5.0)</f>
        <v>5</v>
      </c>
      <c r="E1024" s="251">
        <f>IFERROR(__xludf.DUMMYFUNCTION("""COMPUTED_VALUE"""),5.0)</f>
        <v>5</v>
      </c>
      <c r="F1024" s="251">
        <f>IFERROR(__xludf.DUMMYFUNCTION("""COMPUTED_VALUE"""),8.0)</f>
        <v>8</v>
      </c>
      <c r="G1024" s="251">
        <f>IFERROR(__xludf.DUMMYFUNCTION("""COMPUTED_VALUE"""),10.0)</f>
        <v>10</v>
      </c>
      <c r="H1024" s="251">
        <f>IFERROR(__xludf.DUMMYFUNCTION("""COMPUTED_VALUE"""),8.0)</f>
        <v>8</v>
      </c>
      <c r="I1024" s="251">
        <f>IFERROR(__xludf.DUMMYFUNCTION("""COMPUTED_VALUE"""),9.0)</f>
        <v>9</v>
      </c>
      <c r="J1024" s="251">
        <f>IFERROR(__xludf.DUMMYFUNCTION("""COMPUTED_VALUE"""),3.0)</f>
        <v>3</v>
      </c>
      <c r="K1024" s="251" t="str">
        <f>IFERROR(__xludf.DUMMYFUNCTION("""COMPUTED_VALUE"""),"Small")</f>
        <v>Small</v>
      </c>
      <c r="L1024" s="251">
        <f>IFERROR(__xludf.DUMMYFUNCTION("""COMPUTED_VALUE"""),1.0)</f>
        <v>1</v>
      </c>
      <c r="M1024" s="251" t="str">
        <f>IFERROR(__xludf.DUMMYFUNCTION("""COMPUTED_VALUE"""),"Urban")</f>
        <v>Urban</v>
      </c>
      <c r="N1024" s="251" t="str">
        <f>IFERROR(__xludf.DUMMYFUNCTION("""COMPUTED_VALUE"""),"Flier")</f>
        <v>Flier</v>
      </c>
      <c r="O1024" s="251" t="str">
        <f>IFERROR(__xludf.DUMMYFUNCTION("""COMPUTED_VALUE"""),"Phaser")</f>
        <v>Phaser</v>
      </c>
      <c r="P1024" s="251" t="str">
        <f>IFERROR(__xludf.DUMMYFUNCTION("""COMPUTED_VALUE"""),"--")</f>
        <v>--</v>
      </c>
      <c r="Q1024" s="251" t="str">
        <f>IFERROR(__xludf.DUMMYFUNCTION("""COMPUTED_VALUE"""),"--")</f>
        <v>--</v>
      </c>
      <c r="R1024" s="251" t="str">
        <f>IFERROR(__xludf.DUMMYFUNCTION("""COMPUTED_VALUE"""),"Darkvision")</f>
        <v>Darkvision</v>
      </c>
      <c r="S1024" s="251" t="str">
        <f>IFERROR(__xludf.DUMMYFUNCTION("""COMPUTED_VALUE"""),"Form Change")</f>
        <v>Form Change</v>
      </c>
      <c r="T1024" s="251" t="str">
        <f>IFERROR(__xludf.DUMMYFUNCTION("""COMPUTED_VALUE"""),"Invisibility")</f>
        <v>Invisibility</v>
      </c>
      <c r="U1024" s="251" t="str">
        <f>IFERROR(__xludf.DUMMYFUNCTION("""COMPUTED_VALUE"""),"--")</f>
        <v>--</v>
      </c>
      <c r="V1024" s="251" t="str">
        <f>IFERROR(__xludf.DUMMYFUNCTION("""COMPUTED_VALUE"""),"Dead Silent")</f>
        <v>Dead Silent</v>
      </c>
      <c r="W1024" s="251" t="str">
        <f>IFERROR(__xludf.DUMMYFUNCTION("""COMPUTED_VALUE"""),"Glow")</f>
        <v>Glow</v>
      </c>
      <c r="X1024" s="251" t="str">
        <f>IFERROR(__xludf.DUMMYFUNCTION("""COMPUTED_VALUE"""),"Wired")</f>
        <v>Wired</v>
      </c>
      <c r="Y1024" s="251" t="str">
        <f>IFERROR(__xludf.DUMMYFUNCTION("""COMPUTED_VALUE"""),"--")</f>
        <v>--</v>
      </c>
      <c r="Z1024" s="251" t="str">
        <f>IFERROR(__xludf.DUMMYFUNCTION("""COMPUTED_VALUE"""),"--")</f>
        <v>--</v>
      </c>
      <c r="AA1024" s="251" t="str">
        <f>IFERROR(__xludf.DUMMYFUNCTION("""COMPUTED_VALUE"""),"--")</f>
        <v>--</v>
      </c>
      <c r="AB1024" s="251" t="str">
        <f>IFERROR(__xludf.DUMMYFUNCTION("""COMPUTED_VALUE"""),"--")</f>
        <v>--</v>
      </c>
      <c r="AC1024" s="251" t="str">
        <f>IFERROR(__xludf.DUMMYFUNCTION("""COMPUTED_VALUE"""),"--")</f>
        <v>--</v>
      </c>
      <c r="AD1024" s="251">
        <f>IFERROR(__xludf.DUMMYFUNCTION("""COMPUTED_VALUE"""),3.0)</f>
        <v>3</v>
      </c>
      <c r="AE1024" s="251" t="str">
        <f>IFERROR(__xludf.DUMMYFUNCTION("""COMPUTED_VALUE"""),"Nullivore")</f>
        <v>Nullivore</v>
      </c>
    </row>
    <row r="1025">
      <c r="A1025" s="251" t="str">
        <f>IFERROR(__xludf.DUMMYFUNCTION("""COMPUTED_VALUE"""),"Rotom Heat")</f>
        <v>Rotom Heat</v>
      </c>
      <c r="B1025" s="251" t="str">
        <f>IFERROR(__xludf.DUMMYFUNCTION("""COMPUTED_VALUE"""),"Electric")</f>
        <v>Electric</v>
      </c>
      <c r="C1025" s="251" t="str">
        <f>IFERROR(__xludf.DUMMYFUNCTION("""COMPUTED_VALUE"""),"Fire")</f>
        <v>Fire</v>
      </c>
      <c r="D1025" s="251">
        <f>IFERROR(__xludf.DUMMYFUNCTION("""COMPUTED_VALUE"""),5.0)</f>
        <v>5</v>
      </c>
      <c r="E1025" s="251">
        <f>IFERROR(__xludf.DUMMYFUNCTION("""COMPUTED_VALUE"""),7.0)</f>
        <v>7</v>
      </c>
      <c r="F1025" s="251">
        <f>IFERROR(__xludf.DUMMYFUNCTION("""COMPUTED_VALUE"""),11.0)</f>
        <v>11</v>
      </c>
      <c r="G1025" s="251">
        <f>IFERROR(__xludf.DUMMYFUNCTION("""COMPUTED_VALUE"""),11.0)</f>
        <v>11</v>
      </c>
      <c r="H1025" s="251">
        <f>IFERROR(__xludf.DUMMYFUNCTION("""COMPUTED_VALUE"""),11.0)</f>
        <v>11</v>
      </c>
      <c r="I1025" s="251">
        <f>IFERROR(__xludf.DUMMYFUNCTION("""COMPUTED_VALUE"""),9.0)</f>
        <v>9</v>
      </c>
      <c r="J1025" s="251">
        <f>IFERROR(__xludf.DUMMYFUNCTION("""COMPUTED_VALUE"""),3.0)</f>
        <v>3</v>
      </c>
      <c r="K1025" s="251" t="str">
        <f>IFERROR(__xludf.DUMMYFUNCTION("""COMPUTED_VALUE"""),"Small")</f>
        <v>Small</v>
      </c>
      <c r="L1025" s="251">
        <f>IFERROR(__xludf.DUMMYFUNCTION("""COMPUTED_VALUE"""),1.0)</f>
        <v>1</v>
      </c>
      <c r="M1025" s="251" t="str">
        <f>IFERROR(__xludf.DUMMYFUNCTION("""COMPUTED_VALUE"""),"Urban")</f>
        <v>Urban</v>
      </c>
      <c r="N1025" s="251" t="str">
        <f>IFERROR(__xludf.DUMMYFUNCTION("""COMPUTED_VALUE"""),"Flier")</f>
        <v>Flier</v>
      </c>
      <c r="O1025" s="251" t="str">
        <f>IFERROR(__xludf.DUMMYFUNCTION("""COMPUTED_VALUE"""),"Phaser")</f>
        <v>Phaser</v>
      </c>
      <c r="P1025" s="251" t="str">
        <f>IFERROR(__xludf.DUMMYFUNCTION("""COMPUTED_VALUE"""),"--")</f>
        <v>--</v>
      </c>
      <c r="Q1025" s="251" t="str">
        <f>IFERROR(__xludf.DUMMYFUNCTION("""COMPUTED_VALUE"""),"--")</f>
        <v>--</v>
      </c>
      <c r="R1025" s="251" t="str">
        <f>IFERROR(__xludf.DUMMYFUNCTION("""COMPUTED_VALUE"""),"Darkvision")</f>
        <v>Darkvision</v>
      </c>
      <c r="S1025" s="251" t="str">
        <f>IFERROR(__xludf.DUMMYFUNCTION("""COMPUTED_VALUE"""),"Form Change")</f>
        <v>Form Change</v>
      </c>
      <c r="T1025" s="251" t="str">
        <f>IFERROR(__xludf.DUMMYFUNCTION("""COMPUTED_VALUE"""),"Invisibility")</f>
        <v>Invisibility</v>
      </c>
      <c r="U1025" s="251" t="str">
        <f>IFERROR(__xludf.DUMMYFUNCTION("""COMPUTED_VALUE"""),"--")</f>
        <v>--</v>
      </c>
      <c r="V1025" s="251" t="str">
        <f>IFERROR(__xludf.DUMMYFUNCTION("""COMPUTED_VALUE"""),"Dead Silent")</f>
        <v>Dead Silent</v>
      </c>
      <c r="W1025" s="251" t="str">
        <f>IFERROR(__xludf.DUMMYFUNCTION("""COMPUTED_VALUE"""),"Glow")</f>
        <v>Glow</v>
      </c>
      <c r="X1025" s="251" t="str">
        <f>IFERROR(__xludf.DUMMYFUNCTION("""COMPUTED_VALUE"""),"Heater")</f>
        <v>Heater</v>
      </c>
      <c r="Y1025" s="251" t="str">
        <f>IFERROR(__xludf.DUMMYFUNCTION("""COMPUTED_VALUE"""),"Wired")</f>
        <v>Wired</v>
      </c>
      <c r="Z1025" s="251" t="str">
        <f>IFERROR(__xludf.DUMMYFUNCTION("""COMPUTED_VALUE"""),"--")</f>
        <v>--</v>
      </c>
      <c r="AA1025" s="251" t="str">
        <f>IFERROR(__xludf.DUMMYFUNCTION("""COMPUTED_VALUE"""),"--")</f>
        <v>--</v>
      </c>
      <c r="AB1025" s="251" t="str">
        <f>IFERROR(__xludf.DUMMYFUNCTION("""COMPUTED_VALUE"""),"--")</f>
        <v>--</v>
      </c>
      <c r="AC1025" s="251" t="str">
        <f>IFERROR(__xludf.DUMMYFUNCTION("""COMPUTED_VALUE"""),"--")</f>
        <v>--</v>
      </c>
      <c r="AD1025" s="251">
        <f>IFERROR(__xludf.DUMMYFUNCTION("""COMPUTED_VALUE"""),3.0)</f>
        <v>3</v>
      </c>
      <c r="AE1025" s="251" t="str">
        <f>IFERROR(__xludf.DUMMYFUNCTION("""COMPUTED_VALUE"""),"Nullivore")</f>
        <v>Nullivore</v>
      </c>
    </row>
    <row r="1026">
      <c r="A1026" s="251" t="str">
        <f>IFERROR(__xludf.DUMMYFUNCTION("""COMPUTED_VALUE"""),"Rotom Wash")</f>
        <v>Rotom Wash</v>
      </c>
      <c r="B1026" s="251" t="str">
        <f>IFERROR(__xludf.DUMMYFUNCTION("""COMPUTED_VALUE"""),"Electric")</f>
        <v>Electric</v>
      </c>
      <c r="C1026" s="251" t="str">
        <f>IFERROR(__xludf.DUMMYFUNCTION("""COMPUTED_VALUE"""),"Water")</f>
        <v>Water</v>
      </c>
      <c r="D1026" s="251">
        <f>IFERROR(__xludf.DUMMYFUNCTION("""COMPUTED_VALUE"""),5.0)</f>
        <v>5</v>
      </c>
      <c r="E1026" s="251">
        <f>IFERROR(__xludf.DUMMYFUNCTION("""COMPUTED_VALUE"""),7.0)</f>
        <v>7</v>
      </c>
      <c r="F1026" s="251">
        <f>IFERROR(__xludf.DUMMYFUNCTION("""COMPUTED_VALUE"""),11.0)</f>
        <v>11</v>
      </c>
      <c r="G1026" s="251">
        <f>IFERROR(__xludf.DUMMYFUNCTION("""COMPUTED_VALUE"""),11.0)</f>
        <v>11</v>
      </c>
      <c r="H1026" s="251">
        <f>IFERROR(__xludf.DUMMYFUNCTION("""COMPUTED_VALUE"""),11.0)</f>
        <v>11</v>
      </c>
      <c r="I1026" s="251">
        <f>IFERROR(__xludf.DUMMYFUNCTION("""COMPUTED_VALUE"""),9.0)</f>
        <v>9</v>
      </c>
      <c r="J1026" s="251">
        <f>IFERROR(__xludf.DUMMYFUNCTION("""COMPUTED_VALUE"""),3.0)</f>
        <v>3</v>
      </c>
      <c r="K1026" s="251" t="str">
        <f>IFERROR(__xludf.DUMMYFUNCTION("""COMPUTED_VALUE"""),"Small")</f>
        <v>Small</v>
      </c>
      <c r="L1026" s="251">
        <f>IFERROR(__xludf.DUMMYFUNCTION("""COMPUTED_VALUE"""),1.0)</f>
        <v>1</v>
      </c>
      <c r="M1026" s="251" t="str">
        <f>IFERROR(__xludf.DUMMYFUNCTION("""COMPUTED_VALUE"""),"Urban")</f>
        <v>Urban</v>
      </c>
      <c r="N1026" s="251" t="str">
        <f>IFERROR(__xludf.DUMMYFUNCTION("""COMPUTED_VALUE"""),"Flier")</f>
        <v>Flier</v>
      </c>
      <c r="O1026" s="251" t="str">
        <f>IFERROR(__xludf.DUMMYFUNCTION("""COMPUTED_VALUE"""),"Phaser")</f>
        <v>Phaser</v>
      </c>
      <c r="P1026" s="251" t="str">
        <f>IFERROR(__xludf.DUMMYFUNCTION("""COMPUTED_VALUE"""),"--")</f>
        <v>--</v>
      </c>
      <c r="Q1026" s="251" t="str">
        <f>IFERROR(__xludf.DUMMYFUNCTION("""COMPUTED_VALUE"""),"--")</f>
        <v>--</v>
      </c>
      <c r="R1026" s="251" t="str">
        <f>IFERROR(__xludf.DUMMYFUNCTION("""COMPUTED_VALUE"""),"Darkvision")</f>
        <v>Darkvision</v>
      </c>
      <c r="S1026" s="251" t="str">
        <f>IFERROR(__xludf.DUMMYFUNCTION("""COMPUTED_VALUE"""),"Form Change")</f>
        <v>Form Change</v>
      </c>
      <c r="T1026" s="251" t="str">
        <f>IFERROR(__xludf.DUMMYFUNCTION("""COMPUTED_VALUE"""),"Invisibility")</f>
        <v>Invisibility</v>
      </c>
      <c r="U1026" s="251" t="str">
        <f>IFERROR(__xludf.DUMMYFUNCTION("""COMPUTED_VALUE"""),"--")</f>
        <v>--</v>
      </c>
      <c r="V1026" s="251" t="str">
        <f>IFERROR(__xludf.DUMMYFUNCTION("""COMPUTED_VALUE"""),"Dead Silent")</f>
        <v>Dead Silent</v>
      </c>
      <c r="W1026" s="251" t="str">
        <f>IFERROR(__xludf.DUMMYFUNCTION("""COMPUTED_VALUE"""),"Glow")</f>
        <v>Glow</v>
      </c>
      <c r="X1026" s="251" t="str">
        <f>IFERROR(__xludf.DUMMYFUNCTION("""COMPUTED_VALUE"""),"Wired")</f>
        <v>Wired</v>
      </c>
      <c r="Y1026" s="251" t="str">
        <f>IFERROR(__xludf.DUMMYFUNCTION("""COMPUTED_VALUE"""),"--")</f>
        <v>--</v>
      </c>
      <c r="Z1026" s="251" t="str">
        <f>IFERROR(__xludf.DUMMYFUNCTION("""COMPUTED_VALUE"""),"--")</f>
        <v>--</v>
      </c>
      <c r="AA1026" s="251" t="str">
        <f>IFERROR(__xludf.DUMMYFUNCTION("""COMPUTED_VALUE"""),"--")</f>
        <v>--</v>
      </c>
      <c r="AB1026" s="251" t="str">
        <f>IFERROR(__xludf.DUMMYFUNCTION("""COMPUTED_VALUE"""),"--")</f>
        <v>--</v>
      </c>
      <c r="AC1026" s="251" t="str">
        <f>IFERROR(__xludf.DUMMYFUNCTION("""COMPUTED_VALUE"""),"--")</f>
        <v>--</v>
      </c>
      <c r="AD1026" s="251">
        <f>IFERROR(__xludf.DUMMYFUNCTION("""COMPUTED_VALUE"""),3.0)</f>
        <v>3</v>
      </c>
      <c r="AE1026" s="251" t="str">
        <f>IFERROR(__xludf.DUMMYFUNCTION("""COMPUTED_VALUE"""),"Nullivore")</f>
        <v>Nullivore</v>
      </c>
    </row>
    <row r="1027">
      <c r="A1027" s="251" t="str">
        <f>IFERROR(__xludf.DUMMYFUNCTION("""COMPUTED_VALUE"""),"Rotom Frost")</f>
        <v>Rotom Frost</v>
      </c>
      <c r="B1027" s="251" t="str">
        <f>IFERROR(__xludf.DUMMYFUNCTION("""COMPUTED_VALUE"""),"Electric")</f>
        <v>Electric</v>
      </c>
      <c r="C1027" s="251" t="str">
        <f>IFERROR(__xludf.DUMMYFUNCTION("""COMPUTED_VALUE"""),"Ice")</f>
        <v>Ice</v>
      </c>
      <c r="D1027" s="251">
        <f>IFERROR(__xludf.DUMMYFUNCTION("""COMPUTED_VALUE"""),5.0)</f>
        <v>5</v>
      </c>
      <c r="E1027" s="251">
        <f>IFERROR(__xludf.DUMMYFUNCTION("""COMPUTED_VALUE"""),7.0)</f>
        <v>7</v>
      </c>
      <c r="F1027" s="251">
        <f>IFERROR(__xludf.DUMMYFUNCTION("""COMPUTED_VALUE"""),11.0)</f>
        <v>11</v>
      </c>
      <c r="G1027" s="251">
        <f>IFERROR(__xludf.DUMMYFUNCTION("""COMPUTED_VALUE"""),11.0)</f>
        <v>11</v>
      </c>
      <c r="H1027" s="251">
        <f>IFERROR(__xludf.DUMMYFUNCTION("""COMPUTED_VALUE"""),11.0)</f>
        <v>11</v>
      </c>
      <c r="I1027" s="251">
        <f>IFERROR(__xludf.DUMMYFUNCTION("""COMPUTED_VALUE"""),9.0)</f>
        <v>9</v>
      </c>
      <c r="J1027" s="251">
        <f>IFERROR(__xludf.DUMMYFUNCTION("""COMPUTED_VALUE"""),3.0)</f>
        <v>3</v>
      </c>
      <c r="K1027" s="251" t="str">
        <f>IFERROR(__xludf.DUMMYFUNCTION("""COMPUTED_VALUE"""),"Small")</f>
        <v>Small</v>
      </c>
      <c r="L1027" s="251">
        <f>IFERROR(__xludf.DUMMYFUNCTION("""COMPUTED_VALUE"""),1.0)</f>
        <v>1</v>
      </c>
      <c r="M1027" s="251" t="str">
        <f>IFERROR(__xludf.DUMMYFUNCTION("""COMPUTED_VALUE"""),"Urban")</f>
        <v>Urban</v>
      </c>
      <c r="N1027" s="251" t="str">
        <f>IFERROR(__xludf.DUMMYFUNCTION("""COMPUTED_VALUE"""),"Flier")</f>
        <v>Flier</v>
      </c>
      <c r="O1027" s="251" t="str">
        <f>IFERROR(__xludf.DUMMYFUNCTION("""COMPUTED_VALUE"""),"Phaser")</f>
        <v>Phaser</v>
      </c>
      <c r="P1027" s="251" t="str">
        <f>IFERROR(__xludf.DUMMYFUNCTION("""COMPUTED_VALUE"""),"--")</f>
        <v>--</v>
      </c>
      <c r="Q1027" s="251" t="str">
        <f>IFERROR(__xludf.DUMMYFUNCTION("""COMPUTED_VALUE"""),"--")</f>
        <v>--</v>
      </c>
      <c r="R1027" s="251" t="str">
        <f>IFERROR(__xludf.DUMMYFUNCTION("""COMPUTED_VALUE"""),"Darkvision")</f>
        <v>Darkvision</v>
      </c>
      <c r="S1027" s="251" t="str">
        <f>IFERROR(__xludf.DUMMYFUNCTION("""COMPUTED_VALUE"""),"Form Change")</f>
        <v>Form Change</v>
      </c>
      <c r="T1027" s="251" t="str">
        <f>IFERROR(__xludf.DUMMYFUNCTION("""COMPUTED_VALUE"""),"Invisibility")</f>
        <v>Invisibility</v>
      </c>
      <c r="U1027" s="251" t="str">
        <f>IFERROR(__xludf.DUMMYFUNCTION("""COMPUTED_VALUE"""),"--")</f>
        <v>--</v>
      </c>
      <c r="V1027" s="251" t="str">
        <f>IFERROR(__xludf.DUMMYFUNCTION("""COMPUTED_VALUE"""),"Chilled")</f>
        <v>Chilled</v>
      </c>
      <c r="W1027" s="251" t="str">
        <f>IFERROR(__xludf.DUMMYFUNCTION("""COMPUTED_VALUE"""),"Dead Silent")</f>
        <v>Dead Silent</v>
      </c>
      <c r="X1027" s="251" t="str">
        <f>IFERROR(__xludf.DUMMYFUNCTION("""COMPUTED_VALUE"""),"Glow")</f>
        <v>Glow</v>
      </c>
      <c r="Y1027" s="251" t="str">
        <f>IFERROR(__xludf.DUMMYFUNCTION("""COMPUTED_VALUE"""),"Wired")</f>
        <v>Wired</v>
      </c>
      <c r="Z1027" s="251" t="str">
        <f>IFERROR(__xludf.DUMMYFUNCTION("""COMPUTED_VALUE"""),"--")</f>
        <v>--</v>
      </c>
      <c r="AA1027" s="251" t="str">
        <f>IFERROR(__xludf.DUMMYFUNCTION("""COMPUTED_VALUE"""),"--")</f>
        <v>--</v>
      </c>
      <c r="AB1027" s="251" t="str">
        <f>IFERROR(__xludf.DUMMYFUNCTION("""COMPUTED_VALUE"""),"--")</f>
        <v>--</v>
      </c>
      <c r="AC1027" s="251" t="str">
        <f>IFERROR(__xludf.DUMMYFUNCTION("""COMPUTED_VALUE"""),"--")</f>
        <v>--</v>
      </c>
      <c r="AD1027" s="251">
        <f>IFERROR(__xludf.DUMMYFUNCTION("""COMPUTED_VALUE"""),3.0)</f>
        <v>3</v>
      </c>
      <c r="AE1027" s="251" t="str">
        <f>IFERROR(__xludf.DUMMYFUNCTION("""COMPUTED_VALUE"""),"Nullivore")</f>
        <v>Nullivore</v>
      </c>
    </row>
    <row r="1028">
      <c r="A1028" s="251" t="str">
        <f>IFERROR(__xludf.DUMMYFUNCTION("""COMPUTED_VALUE"""),"Rotom Fan")</f>
        <v>Rotom Fan</v>
      </c>
      <c r="B1028" s="251" t="str">
        <f>IFERROR(__xludf.DUMMYFUNCTION("""COMPUTED_VALUE"""),"Electric")</f>
        <v>Electric</v>
      </c>
      <c r="C1028" s="251" t="str">
        <f>IFERROR(__xludf.DUMMYFUNCTION("""COMPUTED_VALUE"""),"Flying")</f>
        <v>Flying</v>
      </c>
      <c r="D1028" s="251">
        <f>IFERROR(__xludf.DUMMYFUNCTION("""COMPUTED_VALUE"""),5.0)</f>
        <v>5</v>
      </c>
      <c r="E1028" s="251">
        <f>IFERROR(__xludf.DUMMYFUNCTION("""COMPUTED_VALUE"""),7.0)</f>
        <v>7</v>
      </c>
      <c r="F1028" s="251">
        <f>IFERROR(__xludf.DUMMYFUNCTION("""COMPUTED_VALUE"""),11.0)</f>
        <v>11</v>
      </c>
      <c r="G1028" s="251">
        <f>IFERROR(__xludf.DUMMYFUNCTION("""COMPUTED_VALUE"""),11.0)</f>
        <v>11</v>
      </c>
      <c r="H1028" s="251">
        <f>IFERROR(__xludf.DUMMYFUNCTION("""COMPUTED_VALUE"""),11.0)</f>
        <v>11</v>
      </c>
      <c r="I1028" s="251">
        <f>IFERROR(__xludf.DUMMYFUNCTION("""COMPUTED_VALUE"""),9.0)</f>
        <v>9</v>
      </c>
      <c r="J1028" s="251">
        <f>IFERROR(__xludf.DUMMYFUNCTION("""COMPUTED_VALUE"""),3.0)</f>
        <v>3</v>
      </c>
      <c r="K1028" s="251" t="str">
        <f>IFERROR(__xludf.DUMMYFUNCTION("""COMPUTED_VALUE"""),"Small")</f>
        <v>Small</v>
      </c>
      <c r="L1028" s="251">
        <f>IFERROR(__xludf.DUMMYFUNCTION("""COMPUTED_VALUE"""),1.0)</f>
        <v>1</v>
      </c>
      <c r="M1028" s="251" t="str">
        <f>IFERROR(__xludf.DUMMYFUNCTION("""COMPUTED_VALUE"""),"Urban")</f>
        <v>Urban</v>
      </c>
      <c r="N1028" s="251" t="str">
        <f>IFERROR(__xludf.DUMMYFUNCTION("""COMPUTED_VALUE"""),"Flier")</f>
        <v>Flier</v>
      </c>
      <c r="O1028" s="251" t="str">
        <f>IFERROR(__xludf.DUMMYFUNCTION("""COMPUTED_VALUE"""),"Phaser")</f>
        <v>Phaser</v>
      </c>
      <c r="P1028" s="251" t="str">
        <f>IFERROR(__xludf.DUMMYFUNCTION("""COMPUTED_VALUE"""),"--")</f>
        <v>--</v>
      </c>
      <c r="Q1028" s="251" t="str">
        <f>IFERROR(__xludf.DUMMYFUNCTION("""COMPUTED_VALUE"""),"--")</f>
        <v>--</v>
      </c>
      <c r="R1028" s="251" t="str">
        <f>IFERROR(__xludf.DUMMYFUNCTION("""COMPUTED_VALUE"""),"Darkvision")</f>
        <v>Darkvision</v>
      </c>
      <c r="S1028" s="251" t="str">
        <f>IFERROR(__xludf.DUMMYFUNCTION("""COMPUTED_VALUE"""),"Form Change")</f>
        <v>Form Change</v>
      </c>
      <c r="T1028" s="251" t="str">
        <f>IFERROR(__xludf.DUMMYFUNCTION("""COMPUTED_VALUE"""),"Invisibility")</f>
        <v>Invisibility</v>
      </c>
      <c r="U1028" s="251" t="str">
        <f>IFERROR(__xludf.DUMMYFUNCTION("""COMPUTED_VALUE"""),"--")</f>
        <v>--</v>
      </c>
      <c r="V1028" s="251" t="str">
        <f>IFERROR(__xludf.DUMMYFUNCTION("""COMPUTED_VALUE"""),"Dead Silent")</f>
        <v>Dead Silent</v>
      </c>
      <c r="W1028" s="251" t="str">
        <f>IFERROR(__xludf.DUMMYFUNCTION("""COMPUTED_VALUE"""),"Glow")</f>
        <v>Glow</v>
      </c>
      <c r="X1028" s="251" t="str">
        <f>IFERROR(__xludf.DUMMYFUNCTION("""COMPUTED_VALUE"""),"Wired")</f>
        <v>Wired</v>
      </c>
      <c r="Y1028" s="251" t="str">
        <f>IFERROR(__xludf.DUMMYFUNCTION("""COMPUTED_VALUE"""),"--")</f>
        <v>--</v>
      </c>
      <c r="Z1028" s="251" t="str">
        <f>IFERROR(__xludf.DUMMYFUNCTION("""COMPUTED_VALUE"""),"--")</f>
        <v>--</v>
      </c>
      <c r="AA1028" s="251" t="str">
        <f>IFERROR(__xludf.DUMMYFUNCTION("""COMPUTED_VALUE"""),"--")</f>
        <v>--</v>
      </c>
      <c r="AB1028" s="251" t="str">
        <f>IFERROR(__xludf.DUMMYFUNCTION("""COMPUTED_VALUE"""),"--")</f>
        <v>--</v>
      </c>
      <c r="AC1028" s="251" t="str">
        <f>IFERROR(__xludf.DUMMYFUNCTION("""COMPUTED_VALUE"""),"--")</f>
        <v>--</v>
      </c>
      <c r="AD1028" s="251">
        <f>IFERROR(__xludf.DUMMYFUNCTION("""COMPUTED_VALUE"""),3.0)</f>
        <v>3</v>
      </c>
      <c r="AE1028" s="251" t="str">
        <f>IFERROR(__xludf.DUMMYFUNCTION("""COMPUTED_VALUE"""),"Nullivore")</f>
        <v>Nullivore</v>
      </c>
    </row>
    <row r="1029">
      <c r="A1029" s="251" t="str">
        <f>IFERROR(__xludf.DUMMYFUNCTION("""COMPUTED_VALUE"""),"Rotom Mow")</f>
        <v>Rotom Mow</v>
      </c>
      <c r="B1029" s="251" t="str">
        <f>IFERROR(__xludf.DUMMYFUNCTION("""COMPUTED_VALUE"""),"Electric")</f>
        <v>Electric</v>
      </c>
      <c r="C1029" s="251" t="str">
        <f>IFERROR(__xludf.DUMMYFUNCTION("""COMPUTED_VALUE"""),"Grass")</f>
        <v>Grass</v>
      </c>
      <c r="D1029" s="251">
        <f>IFERROR(__xludf.DUMMYFUNCTION("""COMPUTED_VALUE"""),5.0)</f>
        <v>5</v>
      </c>
      <c r="E1029" s="251">
        <f>IFERROR(__xludf.DUMMYFUNCTION("""COMPUTED_VALUE"""),7.0)</f>
        <v>7</v>
      </c>
      <c r="F1029" s="251">
        <f>IFERROR(__xludf.DUMMYFUNCTION("""COMPUTED_VALUE"""),11.0)</f>
        <v>11</v>
      </c>
      <c r="G1029" s="251">
        <f>IFERROR(__xludf.DUMMYFUNCTION("""COMPUTED_VALUE"""),11.0)</f>
        <v>11</v>
      </c>
      <c r="H1029" s="251">
        <f>IFERROR(__xludf.DUMMYFUNCTION("""COMPUTED_VALUE"""),11.0)</f>
        <v>11</v>
      </c>
      <c r="I1029" s="251">
        <f>IFERROR(__xludf.DUMMYFUNCTION("""COMPUTED_VALUE"""),9.0)</f>
        <v>9</v>
      </c>
      <c r="J1029" s="251">
        <f>IFERROR(__xludf.DUMMYFUNCTION("""COMPUTED_VALUE"""),3.0)</f>
        <v>3</v>
      </c>
      <c r="K1029" s="251" t="str">
        <f>IFERROR(__xludf.DUMMYFUNCTION("""COMPUTED_VALUE"""),"Small")</f>
        <v>Small</v>
      </c>
      <c r="L1029" s="251">
        <f>IFERROR(__xludf.DUMMYFUNCTION("""COMPUTED_VALUE"""),1.0)</f>
        <v>1</v>
      </c>
      <c r="M1029" s="251" t="str">
        <f>IFERROR(__xludf.DUMMYFUNCTION("""COMPUTED_VALUE"""),"Urban")</f>
        <v>Urban</v>
      </c>
      <c r="N1029" s="251" t="str">
        <f>IFERROR(__xludf.DUMMYFUNCTION("""COMPUTED_VALUE"""),"Flier")</f>
        <v>Flier</v>
      </c>
      <c r="O1029" s="251" t="str">
        <f>IFERROR(__xludf.DUMMYFUNCTION("""COMPUTED_VALUE"""),"Phaser")</f>
        <v>Phaser</v>
      </c>
      <c r="P1029" s="251" t="str">
        <f>IFERROR(__xludf.DUMMYFUNCTION("""COMPUTED_VALUE"""),"--")</f>
        <v>--</v>
      </c>
      <c r="Q1029" s="251" t="str">
        <f>IFERROR(__xludf.DUMMYFUNCTION("""COMPUTED_VALUE"""),"--")</f>
        <v>--</v>
      </c>
      <c r="R1029" s="251" t="str">
        <f>IFERROR(__xludf.DUMMYFUNCTION("""COMPUTED_VALUE"""),"Darkvision")</f>
        <v>Darkvision</v>
      </c>
      <c r="S1029" s="251" t="str">
        <f>IFERROR(__xludf.DUMMYFUNCTION("""COMPUTED_VALUE"""),"Form Change")</f>
        <v>Form Change</v>
      </c>
      <c r="T1029" s="251" t="str">
        <f>IFERROR(__xludf.DUMMYFUNCTION("""COMPUTED_VALUE"""),"Invisibility")</f>
        <v>Invisibility</v>
      </c>
      <c r="U1029" s="251" t="str">
        <f>IFERROR(__xludf.DUMMYFUNCTION("""COMPUTED_VALUE"""),"--")</f>
        <v>--</v>
      </c>
      <c r="V1029" s="251" t="str">
        <f>IFERROR(__xludf.DUMMYFUNCTION("""COMPUTED_VALUE"""),"Dead Silent")</f>
        <v>Dead Silent</v>
      </c>
      <c r="W1029" s="251" t="str">
        <f>IFERROR(__xludf.DUMMYFUNCTION("""COMPUTED_VALUE"""),"Glow")</f>
        <v>Glow</v>
      </c>
      <c r="X1029" s="251" t="str">
        <f>IFERROR(__xludf.DUMMYFUNCTION("""COMPUTED_VALUE"""),"Wired")</f>
        <v>Wired</v>
      </c>
      <c r="Y1029" s="251" t="str">
        <f>IFERROR(__xludf.DUMMYFUNCTION("""COMPUTED_VALUE"""),"--")</f>
        <v>--</v>
      </c>
      <c r="Z1029" s="251" t="str">
        <f>IFERROR(__xludf.DUMMYFUNCTION("""COMPUTED_VALUE"""),"--")</f>
        <v>--</v>
      </c>
      <c r="AA1029" s="251" t="str">
        <f>IFERROR(__xludf.DUMMYFUNCTION("""COMPUTED_VALUE"""),"--")</f>
        <v>--</v>
      </c>
      <c r="AB1029" s="251" t="str">
        <f>IFERROR(__xludf.DUMMYFUNCTION("""COMPUTED_VALUE"""),"--")</f>
        <v>--</v>
      </c>
      <c r="AC1029" s="251" t="str">
        <f>IFERROR(__xludf.DUMMYFUNCTION("""COMPUTED_VALUE"""),"--")</f>
        <v>--</v>
      </c>
      <c r="AD1029" s="251">
        <f>IFERROR(__xludf.DUMMYFUNCTION("""COMPUTED_VALUE"""),3.0)</f>
        <v>3</v>
      </c>
      <c r="AE1029" s="251" t="str">
        <f>IFERROR(__xludf.DUMMYFUNCTION("""COMPUTED_VALUE"""),"Nullivore")</f>
        <v>Nullivore</v>
      </c>
    </row>
    <row r="1030">
      <c r="A1030" s="251" t="str">
        <f>IFERROR(__xludf.DUMMYFUNCTION("""COMPUTED_VALUE"""),"Emolga")</f>
        <v>Emolga</v>
      </c>
      <c r="B1030" s="251" t="str">
        <f>IFERROR(__xludf.DUMMYFUNCTION("""COMPUTED_VALUE"""),"Electric")</f>
        <v>Electric</v>
      </c>
      <c r="C1030" s="251" t="str">
        <f>IFERROR(__xludf.DUMMYFUNCTION("""COMPUTED_VALUE"""),"Flying")</f>
        <v>Flying</v>
      </c>
      <c r="D1030" s="251">
        <f>IFERROR(__xludf.DUMMYFUNCTION("""COMPUTED_VALUE"""),6.0)</f>
        <v>6</v>
      </c>
      <c r="E1030" s="251">
        <f>IFERROR(__xludf.DUMMYFUNCTION("""COMPUTED_VALUE"""),8.0)</f>
        <v>8</v>
      </c>
      <c r="F1030" s="251">
        <f>IFERROR(__xludf.DUMMYFUNCTION("""COMPUTED_VALUE"""),6.0)</f>
        <v>6</v>
      </c>
      <c r="G1030" s="251">
        <f>IFERROR(__xludf.DUMMYFUNCTION("""COMPUTED_VALUE"""),8.0)</f>
        <v>8</v>
      </c>
      <c r="H1030" s="251">
        <f>IFERROR(__xludf.DUMMYFUNCTION("""COMPUTED_VALUE"""),6.0)</f>
        <v>6</v>
      </c>
      <c r="I1030" s="251">
        <f>IFERROR(__xludf.DUMMYFUNCTION("""COMPUTED_VALUE"""),10.0)</f>
        <v>10</v>
      </c>
      <c r="J1030" s="251">
        <f>IFERROR(__xludf.DUMMYFUNCTION("""COMPUTED_VALUE"""),1.0)</f>
        <v>1</v>
      </c>
      <c r="K1030" s="251" t="str">
        <f>IFERROR(__xludf.DUMMYFUNCTION("""COMPUTED_VALUE"""),"Small")</f>
        <v>Small</v>
      </c>
      <c r="L1030" s="251">
        <f>IFERROR(__xludf.DUMMYFUNCTION("""COMPUTED_VALUE"""),1.0)</f>
        <v>1</v>
      </c>
      <c r="M1030" s="251" t="str">
        <f>IFERROR(__xludf.DUMMYFUNCTION("""COMPUTED_VALUE"""),"Forest")</f>
        <v>Forest</v>
      </c>
      <c r="N1030" s="251" t="str">
        <f>IFERROR(__xludf.DUMMYFUNCTION("""COMPUTED_VALUE"""),"Glider")</f>
        <v>Glider</v>
      </c>
      <c r="O1030" s="251" t="str">
        <f>IFERROR(__xludf.DUMMYFUNCTION("""COMPUTED_VALUE"""),"--")</f>
        <v>--</v>
      </c>
      <c r="P1030" s="251" t="str">
        <f>IFERROR(__xludf.DUMMYFUNCTION("""COMPUTED_VALUE"""),"--")</f>
        <v>--</v>
      </c>
      <c r="Q1030" s="251" t="str">
        <f>IFERROR(__xludf.DUMMYFUNCTION("""COMPUTED_VALUE"""),"--")</f>
        <v>--</v>
      </c>
      <c r="R1030" s="251" t="str">
        <f>IFERROR(__xludf.DUMMYFUNCTION("""COMPUTED_VALUE"""),"Underdog")</f>
        <v>Underdog</v>
      </c>
      <c r="S1030" s="251" t="str">
        <f>IFERROR(__xludf.DUMMYFUNCTION("""COMPUTED_VALUE"""),"--")</f>
        <v>--</v>
      </c>
      <c r="T1030" s="251" t="str">
        <f>IFERROR(__xludf.DUMMYFUNCTION("""COMPUTED_VALUE"""),"--")</f>
        <v>--</v>
      </c>
      <c r="U1030" s="251" t="str">
        <f>IFERROR(__xludf.DUMMYFUNCTION("""COMPUTED_VALUE"""),"--")</f>
        <v>--</v>
      </c>
      <c r="V1030" s="251" t="str">
        <f>IFERROR(__xludf.DUMMYFUNCTION("""COMPUTED_VALUE"""),"--")</f>
        <v>--</v>
      </c>
      <c r="W1030" s="251" t="str">
        <f>IFERROR(__xludf.DUMMYFUNCTION("""COMPUTED_VALUE"""),"--")</f>
        <v>--</v>
      </c>
      <c r="X1030" s="251" t="str">
        <f>IFERROR(__xludf.DUMMYFUNCTION("""COMPUTED_VALUE"""),"--")</f>
        <v>--</v>
      </c>
      <c r="Y1030" s="251" t="str">
        <f>IFERROR(__xludf.DUMMYFUNCTION("""COMPUTED_VALUE"""),"--")</f>
        <v>--</v>
      </c>
      <c r="Z1030" s="251" t="str">
        <f>IFERROR(__xludf.DUMMYFUNCTION("""COMPUTED_VALUE"""),"--")</f>
        <v>--</v>
      </c>
      <c r="AA1030" s="251" t="str">
        <f>IFERROR(__xludf.DUMMYFUNCTION("""COMPUTED_VALUE"""),"--")</f>
        <v>--</v>
      </c>
      <c r="AB1030" s="251" t="str">
        <f>IFERROR(__xludf.DUMMYFUNCTION("""COMPUTED_VALUE"""),"--")</f>
        <v>--</v>
      </c>
      <c r="AC1030" s="251" t="str">
        <f>IFERROR(__xludf.DUMMYFUNCTION("""COMPUTED_VALUE"""),"--")</f>
        <v>--</v>
      </c>
      <c r="AD1030" s="251">
        <f>IFERROR(__xludf.DUMMYFUNCTION("""COMPUTED_VALUE"""),3.0)</f>
        <v>3</v>
      </c>
      <c r="AE1030" s="251" t="str">
        <f>IFERROR(__xludf.DUMMYFUNCTION("""COMPUTED_VALUE"""),"Herbivore")</f>
        <v>Herbivore</v>
      </c>
    </row>
    <row r="1031">
      <c r="A1031" s="251" t="str">
        <f>IFERROR(__xludf.DUMMYFUNCTION("""COMPUTED_VALUE"""),"Dedenne")</f>
        <v>Dedenne</v>
      </c>
      <c r="B1031" s="251" t="str">
        <f>IFERROR(__xludf.DUMMYFUNCTION("""COMPUTED_VALUE"""),"Electric")</f>
        <v>Electric</v>
      </c>
      <c r="C1031" s="251" t="str">
        <f>IFERROR(__xludf.DUMMYFUNCTION("""COMPUTED_VALUE"""),"Fairy")</f>
        <v>Fairy</v>
      </c>
      <c r="D1031" s="251">
        <f>IFERROR(__xludf.DUMMYFUNCTION("""COMPUTED_VALUE"""),7.0)</f>
        <v>7</v>
      </c>
      <c r="E1031" s="251">
        <f>IFERROR(__xludf.DUMMYFUNCTION("""COMPUTED_VALUE"""),6.0)</f>
        <v>6</v>
      </c>
      <c r="F1031" s="251">
        <f>IFERROR(__xludf.DUMMYFUNCTION("""COMPUTED_VALUE"""),6.0)</f>
        <v>6</v>
      </c>
      <c r="G1031" s="251">
        <f>IFERROR(__xludf.DUMMYFUNCTION("""COMPUTED_VALUE"""),8.0)</f>
        <v>8</v>
      </c>
      <c r="H1031" s="251">
        <f>IFERROR(__xludf.DUMMYFUNCTION("""COMPUTED_VALUE"""),7.0)</f>
        <v>7</v>
      </c>
      <c r="I1031" s="251">
        <f>IFERROR(__xludf.DUMMYFUNCTION("""COMPUTED_VALUE"""),10.0)</f>
        <v>10</v>
      </c>
      <c r="J1031" s="251">
        <f>IFERROR(__xludf.DUMMYFUNCTION("""COMPUTED_VALUE"""),1.0)</f>
        <v>1</v>
      </c>
      <c r="K1031" s="251" t="str">
        <f>IFERROR(__xludf.DUMMYFUNCTION("""COMPUTED_VALUE"""),"Small")</f>
        <v>Small</v>
      </c>
      <c r="L1031" s="251">
        <f>IFERROR(__xludf.DUMMYFUNCTION("""COMPUTED_VALUE"""),1.0)</f>
        <v>1</v>
      </c>
      <c r="M1031" s="251" t="str">
        <f>IFERROR(__xludf.DUMMYFUNCTION("""COMPUTED_VALUE"""),"Forest, Grasslands")</f>
        <v>Forest, Grasslands</v>
      </c>
      <c r="N1031" s="251" t="str">
        <f>IFERROR(__xludf.DUMMYFUNCTION("""COMPUTED_VALUE"""),"--")</f>
        <v>--</v>
      </c>
      <c r="O1031" s="251" t="str">
        <f>IFERROR(__xludf.DUMMYFUNCTION("""COMPUTED_VALUE"""),"--")</f>
        <v>--</v>
      </c>
      <c r="P1031" s="251" t="str">
        <f>IFERROR(__xludf.DUMMYFUNCTION("""COMPUTED_VALUE"""),"--")</f>
        <v>--</v>
      </c>
      <c r="Q1031" s="251" t="str">
        <f>IFERROR(__xludf.DUMMYFUNCTION("""COMPUTED_VALUE"""),"--")</f>
        <v>--</v>
      </c>
      <c r="R1031" s="251" t="str">
        <f>IFERROR(__xludf.DUMMYFUNCTION("""COMPUTED_VALUE"""),"Underdog")</f>
        <v>Underdog</v>
      </c>
      <c r="S1031" s="251" t="str">
        <f>IFERROR(__xludf.DUMMYFUNCTION("""COMPUTED_VALUE"""),"--")</f>
        <v>--</v>
      </c>
      <c r="T1031" s="251" t="str">
        <f>IFERROR(__xludf.DUMMYFUNCTION("""COMPUTED_VALUE"""),"--")</f>
        <v>--</v>
      </c>
      <c r="U1031" s="251" t="str">
        <f>IFERROR(__xludf.DUMMYFUNCTION("""COMPUTED_VALUE"""),"--")</f>
        <v>--</v>
      </c>
      <c r="V1031" s="251" t="str">
        <f>IFERROR(__xludf.DUMMYFUNCTION("""COMPUTED_VALUE"""),"--")</f>
        <v>--</v>
      </c>
      <c r="W1031" s="251" t="str">
        <f>IFERROR(__xludf.DUMMYFUNCTION("""COMPUTED_VALUE"""),"--")</f>
        <v>--</v>
      </c>
      <c r="X1031" s="251" t="str">
        <f>IFERROR(__xludf.DUMMYFUNCTION("""COMPUTED_VALUE"""),"--")</f>
        <v>--</v>
      </c>
      <c r="Y1031" s="251" t="str">
        <f>IFERROR(__xludf.DUMMYFUNCTION("""COMPUTED_VALUE"""),"--")</f>
        <v>--</v>
      </c>
      <c r="Z1031" s="251" t="str">
        <f>IFERROR(__xludf.DUMMYFUNCTION("""COMPUTED_VALUE"""),"--")</f>
        <v>--</v>
      </c>
      <c r="AA1031" s="251" t="str">
        <f>IFERROR(__xludf.DUMMYFUNCTION("""COMPUTED_VALUE"""),"--")</f>
        <v>--</v>
      </c>
      <c r="AB1031" s="251" t="str">
        <f>IFERROR(__xludf.DUMMYFUNCTION("""COMPUTED_VALUE"""),"--")</f>
        <v>--</v>
      </c>
      <c r="AC1031" s="251" t="str">
        <f>IFERROR(__xludf.DUMMYFUNCTION("""COMPUTED_VALUE"""),"--")</f>
        <v>--</v>
      </c>
      <c r="AD1031" s="251">
        <f>IFERROR(__xludf.DUMMYFUNCTION("""COMPUTED_VALUE"""),3.0)</f>
        <v>3</v>
      </c>
      <c r="AE1031" s="251" t="str">
        <f>IFERROR(__xludf.DUMMYFUNCTION("""COMPUTED_VALUE"""),"Ergovore, Herbivore")</f>
        <v>Ergovore, Herbivore</v>
      </c>
    </row>
    <row r="1032">
      <c r="A1032" s="251" t="str">
        <f>IFERROR(__xludf.DUMMYFUNCTION("""COMPUTED_VALUE"""),"Togedemaru")</f>
        <v>Togedemaru</v>
      </c>
      <c r="B1032" s="251" t="str">
        <f>IFERROR(__xludf.DUMMYFUNCTION("""COMPUTED_VALUE"""),"Electric")</f>
        <v>Electric</v>
      </c>
      <c r="C1032" s="251" t="str">
        <f>IFERROR(__xludf.DUMMYFUNCTION("""COMPUTED_VALUE"""),"Steel")</f>
        <v>Steel</v>
      </c>
      <c r="D1032" s="251">
        <f>IFERROR(__xludf.DUMMYFUNCTION("""COMPUTED_VALUE"""),7.0)</f>
        <v>7</v>
      </c>
      <c r="E1032" s="251">
        <f>IFERROR(__xludf.DUMMYFUNCTION("""COMPUTED_VALUE"""),10.0)</f>
        <v>10</v>
      </c>
      <c r="F1032" s="251">
        <f>IFERROR(__xludf.DUMMYFUNCTION("""COMPUTED_VALUE"""),6.0)</f>
        <v>6</v>
      </c>
      <c r="G1032" s="251">
        <f>IFERROR(__xludf.DUMMYFUNCTION("""COMPUTED_VALUE"""),4.0)</f>
        <v>4</v>
      </c>
      <c r="H1032" s="251">
        <f>IFERROR(__xludf.DUMMYFUNCTION("""COMPUTED_VALUE"""),7.0)</f>
        <v>7</v>
      </c>
      <c r="I1032" s="251">
        <f>IFERROR(__xludf.DUMMYFUNCTION("""COMPUTED_VALUE"""),10.0)</f>
        <v>10</v>
      </c>
      <c r="J1032" s="251">
        <f>IFERROR(__xludf.DUMMYFUNCTION("""COMPUTED_VALUE"""),3.0)</f>
        <v>3</v>
      </c>
      <c r="K1032" s="251" t="str">
        <f>IFERROR(__xludf.DUMMYFUNCTION("""COMPUTED_VALUE"""),"Small")</f>
        <v>Small</v>
      </c>
      <c r="L1032" s="251">
        <f>IFERROR(__xludf.DUMMYFUNCTION("""COMPUTED_VALUE"""),1.0)</f>
        <v>1</v>
      </c>
      <c r="M1032" s="251" t="str">
        <f>IFERROR(__xludf.DUMMYFUNCTION("""COMPUTED_VALUE"""),"Urban")</f>
        <v>Urban</v>
      </c>
      <c r="N1032" s="251" t="str">
        <f>IFERROR(__xludf.DUMMYFUNCTION("""COMPUTED_VALUE"""),"--")</f>
        <v>--</v>
      </c>
      <c r="O1032" s="251" t="str">
        <f>IFERROR(__xludf.DUMMYFUNCTION("""COMPUTED_VALUE"""),"--")</f>
        <v>--</v>
      </c>
      <c r="P1032" s="251" t="str">
        <f>IFERROR(__xludf.DUMMYFUNCTION("""COMPUTED_VALUE"""),"--")</f>
        <v>--</v>
      </c>
      <c r="Q1032" s="251" t="str">
        <f>IFERROR(__xludf.DUMMYFUNCTION("""COMPUTED_VALUE"""),"--")</f>
        <v>--</v>
      </c>
      <c r="R1032" s="251" t="str">
        <f>IFERROR(__xludf.DUMMYFUNCTION("""COMPUTED_VALUE"""),"Underdog")</f>
        <v>Underdog</v>
      </c>
      <c r="S1032" s="251" t="str">
        <f>IFERROR(__xludf.DUMMYFUNCTION("""COMPUTED_VALUE"""),"--")</f>
        <v>--</v>
      </c>
      <c r="T1032" s="251" t="str">
        <f>IFERROR(__xludf.DUMMYFUNCTION("""COMPUTED_VALUE"""),"--")</f>
        <v>--</v>
      </c>
      <c r="U1032" s="251" t="str">
        <f>IFERROR(__xludf.DUMMYFUNCTION("""COMPUTED_VALUE"""),"--")</f>
        <v>--</v>
      </c>
      <c r="V1032" s="251" t="str">
        <f>IFERROR(__xludf.DUMMYFUNCTION("""COMPUTED_VALUE"""),"Glow")</f>
        <v>Glow</v>
      </c>
      <c r="W1032" s="251" t="str">
        <f>IFERROR(__xludf.DUMMYFUNCTION("""COMPUTED_VALUE"""),"--")</f>
        <v>--</v>
      </c>
      <c r="X1032" s="251" t="str">
        <f>IFERROR(__xludf.DUMMYFUNCTION("""COMPUTED_VALUE"""),"--")</f>
        <v>--</v>
      </c>
      <c r="Y1032" s="251" t="str">
        <f>IFERROR(__xludf.DUMMYFUNCTION("""COMPUTED_VALUE"""),"--")</f>
        <v>--</v>
      </c>
      <c r="Z1032" s="251" t="str">
        <f>IFERROR(__xludf.DUMMYFUNCTION("""COMPUTED_VALUE"""),"--")</f>
        <v>--</v>
      </c>
      <c r="AA1032" s="251" t="str">
        <f>IFERROR(__xludf.DUMMYFUNCTION("""COMPUTED_VALUE"""),"--")</f>
        <v>--</v>
      </c>
      <c r="AB1032" s="251" t="str">
        <f>IFERROR(__xludf.DUMMYFUNCTION("""COMPUTED_VALUE"""),"--")</f>
        <v>--</v>
      </c>
      <c r="AC1032" s="251" t="str">
        <f>IFERROR(__xludf.DUMMYFUNCTION("""COMPUTED_VALUE"""),"--")</f>
        <v>--</v>
      </c>
      <c r="AD1032" s="251">
        <f>IFERROR(__xludf.DUMMYFUNCTION("""COMPUTED_VALUE"""),3.0)</f>
        <v>3</v>
      </c>
      <c r="AE1032" s="251" t="str">
        <f>IFERROR(__xludf.DUMMYFUNCTION("""COMPUTED_VALUE"""),"Ergovore, Herbivore")</f>
        <v>Ergovore, Herbivore</v>
      </c>
    </row>
    <row r="1033">
      <c r="A1033" s="251" t="str">
        <f>IFERROR(__xludf.DUMMYFUNCTION("""COMPUTED_VALUE"""),"Pincurchin")</f>
        <v>Pincurchin</v>
      </c>
      <c r="B1033" s="251" t="str">
        <f>IFERROR(__xludf.DUMMYFUNCTION("""COMPUTED_VALUE"""),"Electric")</f>
        <v>Electric</v>
      </c>
      <c r="C1033" s="251" t="str">
        <f>IFERROR(__xludf.DUMMYFUNCTION("""COMPUTED_VALUE"""),"None")</f>
        <v>None</v>
      </c>
      <c r="D1033" s="251">
        <f>IFERROR(__xludf.DUMMYFUNCTION("""COMPUTED_VALUE"""),5.0)</f>
        <v>5</v>
      </c>
      <c r="E1033" s="251">
        <f>IFERROR(__xludf.DUMMYFUNCTION("""COMPUTED_VALUE"""),11.0)</f>
        <v>11</v>
      </c>
      <c r="F1033" s="251">
        <f>IFERROR(__xludf.DUMMYFUNCTION("""COMPUTED_VALUE"""),11.0)</f>
        <v>11</v>
      </c>
      <c r="G1033" s="251">
        <f>IFERROR(__xludf.DUMMYFUNCTION("""COMPUTED_VALUE"""),11.0)</f>
        <v>11</v>
      </c>
      <c r="H1033" s="251">
        <f>IFERROR(__xludf.DUMMYFUNCTION("""COMPUTED_VALUE"""),11.0)</f>
        <v>11</v>
      </c>
      <c r="I1033" s="251">
        <f>IFERROR(__xludf.DUMMYFUNCTION("""COMPUTED_VALUE"""),2.0)</f>
        <v>2</v>
      </c>
      <c r="J1033" s="251">
        <f>IFERROR(__xludf.DUMMYFUNCTION("""COMPUTED_VALUE"""),1.0)</f>
        <v>1</v>
      </c>
      <c r="K1033" s="251" t="str">
        <f>IFERROR(__xludf.DUMMYFUNCTION("""COMPUTED_VALUE"""),"Small")</f>
        <v>Small</v>
      </c>
      <c r="L1033" s="251">
        <f>IFERROR(__xludf.DUMMYFUNCTION("""COMPUTED_VALUE"""),1.0)</f>
        <v>1</v>
      </c>
      <c r="M1033" s="251" t="str">
        <f>IFERROR(__xludf.DUMMYFUNCTION("""COMPUTED_VALUE"""),"Ocean")</f>
        <v>Ocean</v>
      </c>
      <c r="N1033" s="251" t="str">
        <f>IFERROR(__xludf.DUMMYFUNCTION("""COMPUTED_VALUE"""),"Grounded")</f>
        <v>Grounded</v>
      </c>
      <c r="O1033" s="251" t="str">
        <f>IFERROR(__xludf.DUMMYFUNCTION("""COMPUTED_VALUE"""),"Slow")</f>
        <v>Slow</v>
      </c>
      <c r="P1033" s="251" t="str">
        <f>IFERROR(__xludf.DUMMYFUNCTION("""COMPUTED_VALUE"""),"Swimmer")</f>
        <v>Swimmer</v>
      </c>
      <c r="Q1033" s="251" t="str">
        <f>IFERROR(__xludf.DUMMYFUNCTION("""COMPUTED_VALUE"""),"--")</f>
        <v>--</v>
      </c>
      <c r="R1033" s="251" t="str">
        <f>IFERROR(__xludf.DUMMYFUNCTION("""COMPUTED_VALUE"""),"--")</f>
        <v>--</v>
      </c>
      <c r="S1033" s="251" t="str">
        <f>IFERROR(__xludf.DUMMYFUNCTION("""COMPUTED_VALUE"""),"--")</f>
        <v>--</v>
      </c>
      <c r="T1033" s="251" t="str">
        <f>IFERROR(__xludf.DUMMYFUNCTION("""COMPUTED_VALUE"""),"--")</f>
        <v>--</v>
      </c>
      <c r="U1033" s="251" t="str">
        <f>IFERROR(__xludf.DUMMYFUNCTION("""COMPUTED_VALUE"""),"--")</f>
        <v>--</v>
      </c>
      <c r="V1033" s="251" t="str">
        <f>IFERROR(__xludf.DUMMYFUNCTION("""COMPUTED_VALUE"""),"Gilled")</f>
        <v>Gilled</v>
      </c>
      <c r="W1033" s="251" t="str">
        <f>IFERROR(__xludf.DUMMYFUNCTION("""COMPUTED_VALUE"""),"Glow")</f>
        <v>Glow</v>
      </c>
      <c r="X1033" s="251" t="str">
        <f>IFERROR(__xludf.DUMMYFUNCTION("""COMPUTED_VALUE"""),"--")</f>
        <v>--</v>
      </c>
      <c r="Y1033" s="251" t="str">
        <f>IFERROR(__xludf.DUMMYFUNCTION("""COMPUTED_VALUE"""),"--")</f>
        <v>--</v>
      </c>
      <c r="Z1033" s="251" t="str">
        <f>IFERROR(__xludf.DUMMYFUNCTION("""COMPUTED_VALUE"""),"--")</f>
        <v>--</v>
      </c>
      <c r="AA1033" s="251" t="str">
        <f>IFERROR(__xludf.DUMMYFUNCTION("""COMPUTED_VALUE"""),"--")</f>
        <v>--</v>
      </c>
      <c r="AB1033" s="251" t="str">
        <f>IFERROR(__xludf.DUMMYFUNCTION("""COMPUTED_VALUE"""),"--")</f>
        <v>--</v>
      </c>
      <c r="AC1033" s="251" t="str">
        <f>IFERROR(__xludf.DUMMYFUNCTION("""COMPUTED_VALUE"""),"--")</f>
        <v>--</v>
      </c>
      <c r="AD1033" s="251">
        <f>IFERROR(__xludf.DUMMYFUNCTION("""COMPUTED_VALUE"""),3.0)</f>
        <v>3</v>
      </c>
      <c r="AE1033" s="251" t="str">
        <f>IFERROR(__xludf.DUMMYFUNCTION("""COMPUTED_VALUE"""),"Herbivore")</f>
        <v>Herbivore</v>
      </c>
    </row>
    <row r="1034">
      <c r="A1034" s="251" t="str">
        <f>IFERROR(__xludf.DUMMYFUNCTION("""COMPUTED_VALUE"""),"Morpeko")</f>
        <v>Morpeko</v>
      </c>
      <c r="B1034" s="251" t="str">
        <f>IFERROR(__xludf.DUMMYFUNCTION("""COMPUTED_VALUE"""),"Electric")</f>
        <v>Electric</v>
      </c>
      <c r="C1034" s="251" t="str">
        <f>IFERROR(__xludf.DUMMYFUNCTION("""COMPUTED_VALUE"""),"Dark")</f>
        <v>Dark</v>
      </c>
      <c r="D1034" s="251">
        <f>IFERROR(__xludf.DUMMYFUNCTION("""COMPUTED_VALUE"""),7.0)</f>
        <v>7</v>
      </c>
      <c r="E1034" s="251">
        <f>IFERROR(__xludf.DUMMYFUNCTION("""COMPUTED_VALUE"""),11.0)</f>
        <v>11</v>
      </c>
      <c r="F1034" s="251">
        <f>IFERROR(__xludf.DUMMYFUNCTION("""COMPUTED_VALUE"""),7.0)</f>
        <v>7</v>
      </c>
      <c r="G1034" s="251">
        <f>IFERROR(__xludf.DUMMYFUNCTION("""COMPUTED_VALUE"""),8.0)</f>
        <v>8</v>
      </c>
      <c r="H1034" s="251">
        <f>IFERROR(__xludf.DUMMYFUNCTION("""COMPUTED_VALUE"""),7.0)</f>
        <v>7</v>
      </c>
      <c r="I1034" s="251">
        <f>IFERROR(__xludf.DUMMYFUNCTION("""COMPUTED_VALUE"""),11.0)</f>
        <v>11</v>
      </c>
      <c r="J1034" s="251">
        <f>IFERROR(__xludf.DUMMYFUNCTION("""COMPUTED_VALUE"""),4.0)</f>
        <v>4</v>
      </c>
      <c r="K1034" s="251" t="str">
        <f>IFERROR(__xludf.DUMMYFUNCTION("""COMPUTED_VALUE"""),"Small")</f>
        <v>Small</v>
      </c>
      <c r="L1034" s="251">
        <f>IFERROR(__xludf.DUMMYFUNCTION("""COMPUTED_VALUE"""),1.0)</f>
        <v>1</v>
      </c>
      <c r="M1034" s="251" t="str">
        <f>IFERROR(__xludf.DUMMYFUNCTION("""COMPUTED_VALUE"""),"Forest")</f>
        <v>Forest</v>
      </c>
      <c r="N1034" s="251" t="str">
        <f>IFERROR(__xludf.DUMMYFUNCTION("""COMPUTED_VALUE"""),"--")</f>
        <v>--</v>
      </c>
      <c r="O1034" s="251" t="str">
        <f>IFERROR(__xludf.DUMMYFUNCTION("""COMPUTED_VALUE"""),"--")</f>
        <v>--</v>
      </c>
      <c r="P1034" s="251" t="str">
        <f>IFERROR(__xludf.DUMMYFUNCTION("""COMPUTED_VALUE"""),"--")</f>
        <v>--</v>
      </c>
      <c r="Q1034" s="251" t="str">
        <f>IFERROR(__xludf.DUMMYFUNCTION("""COMPUTED_VALUE"""),"--")</f>
        <v>--</v>
      </c>
      <c r="R1034" s="251" t="str">
        <f>IFERROR(__xludf.DUMMYFUNCTION("""COMPUTED_VALUE"""),"Darkvision")</f>
        <v>Darkvision</v>
      </c>
      <c r="S1034" s="251" t="str">
        <f>IFERROR(__xludf.DUMMYFUNCTION("""COMPUTED_VALUE"""),"--")</f>
        <v>--</v>
      </c>
      <c r="T1034" s="251" t="str">
        <f>IFERROR(__xludf.DUMMYFUNCTION("""COMPUTED_VALUE"""),"--")</f>
        <v>--</v>
      </c>
      <c r="U1034" s="251" t="str">
        <f>IFERROR(__xludf.DUMMYFUNCTION("""COMPUTED_VALUE"""),"--")</f>
        <v>--</v>
      </c>
      <c r="V1034" s="251" t="str">
        <f>IFERROR(__xludf.DUMMYFUNCTION("""COMPUTED_VALUE"""),"--")</f>
        <v>--</v>
      </c>
      <c r="W1034" s="251" t="str">
        <f>IFERROR(__xludf.DUMMYFUNCTION("""COMPUTED_VALUE"""),"--")</f>
        <v>--</v>
      </c>
      <c r="X1034" s="251" t="str">
        <f>IFERROR(__xludf.DUMMYFUNCTION("""COMPUTED_VALUE"""),"--")</f>
        <v>--</v>
      </c>
      <c r="Y1034" s="251" t="str">
        <f>IFERROR(__xludf.DUMMYFUNCTION("""COMPUTED_VALUE"""),"--")</f>
        <v>--</v>
      </c>
      <c r="Z1034" s="251" t="str">
        <f>IFERROR(__xludf.DUMMYFUNCTION("""COMPUTED_VALUE"""),"--")</f>
        <v>--</v>
      </c>
      <c r="AA1034" s="251" t="str">
        <f>IFERROR(__xludf.DUMMYFUNCTION("""COMPUTED_VALUE"""),"--")</f>
        <v>--</v>
      </c>
      <c r="AB1034" s="251" t="str">
        <f>IFERROR(__xludf.DUMMYFUNCTION("""COMPUTED_VALUE"""),"--")</f>
        <v>--</v>
      </c>
      <c r="AC1034" s="251" t="str">
        <f>IFERROR(__xludf.DUMMYFUNCTION("""COMPUTED_VALUE"""),"--")</f>
        <v>--</v>
      </c>
      <c r="AD1034" s="251">
        <f>IFERROR(__xludf.DUMMYFUNCTION("""COMPUTED_VALUE"""),3.0)</f>
        <v>3</v>
      </c>
      <c r="AE1034" s="251" t="str">
        <f>IFERROR(__xludf.DUMMYFUNCTION("""COMPUTED_VALUE"""),"Omnivore")</f>
        <v>Omnivore</v>
      </c>
    </row>
    <row r="1035">
      <c r="A1035" s="251" t="str">
        <f>IFERROR(__xludf.DUMMYFUNCTION("""COMPUTED_VALUE"""),"Dracozolt")</f>
        <v>Dracozolt</v>
      </c>
      <c r="B1035" s="251" t="str">
        <f>IFERROR(__xludf.DUMMYFUNCTION("""COMPUTED_VALUE"""),"Electric")</f>
        <v>Electric</v>
      </c>
      <c r="C1035" s="251" t="str">
        <f>IFERROR(__xludf.DUMMYFUNCTION("""COMPUTED_VALUE"""),"Dragon")</f>
        <v>Dragon</v>
      </c>
      <c r="D1035" s="251">
        <f>IFERROR(__xludf.DUMMYFUNCTION("""COMPUTED_VALUE"""),9.0)</f>
        <v>9</v>
      </c>
      <c r="E1035" s="251">
        <f>IFERROR(__xludf.DUMMYFUNCTION("""COMPUTED_VALUE"""),10.0)</f>
        <v>10</v>
      </c>
      <c r="F1035" s="251">
        <f>IFERROR(__xludf.DUMMYFUNCTION("""COMPUTED_VALUE"""),9.0)</f>
        <v>9</v>
      </c>
      <c r="G1035" s="251">
        <f>IFERROR(__xludf.DUMMYFUNCTION("""COMPUTED_VALUE"""),8.0)</f>
        <v>8</v>
      </c>
      <c r="H1035" s="251">
        <f>IFERROR(__xludf.DUMMYFUNCTION("""COMPUTED_VALUE"""),7.0)</f>
        <v>7</v>
      </c>
      <c r="I1035" s="251">
        <f>IFERROR(__xludf.DUMMYFUNCTION("""COMPUTED_VALUE"""),8.0)</f>
        <v>8</v>
      </c>
      <c r="J1035" s="251">
        <f>IFERROR(__xludf.DUMMYFUNCTION("""COMPUTED_VALUE"""),7.0)</f>
        <v>7</v>
      </c>
      <c r="K1035" s="251" t="str">
        <f>IFERROR(__xludf.DUMMYFUNCTION("""COMPUTED_VALUE"""),"Medium")</f>
        <v>Medium</v>
      </c>
      <c r="L1035" s="251">
        <f>IFERROR(__xludf.DUMMYFUNCTION("""COMPUTED_VALUE"""),5.0)</f>
        <v>5</v>
      </c>
      <c r="M1035" s="251" t="str">
        <f>IFERROR(__xludf.DUMMYFUNCTION("""COMPUTED_VALUE"""),"Forest, Grasslands")</f>
        <v>Forest, Grasslands</v>
      </c>
      <c r="N1035" s="251" t="str">
        <f>IFERROR(__xludf.DUMMYFUNCTION("""COMPUTED_VALUE"""),"Quick")</f>
        <v>Quick</v>
      </c>
      <c r="O1035" s="251" t="str">
        <f>IFERROR(__xludf.DUMMYFUNCTION("""COMPUTED_VALUE"""),"--")</f>
        <v>--</v>
      </c>
      <c r="P1035" s="251" t="str">
        <f>IFERROR(__xludf.DUMMYFUNCTION("""COMPUTED_VALUE"""),"--")</f>
        <v>--</v>
      </c>
      <c r="Q1035" s="251" t="str">
        <f>IFERROR(__xludf.DUMMYFUNCTION("""COMPUTED_VALUE"""),"--")</f>
        <v>--</v>
      </c>
      <c r="R1035" s="251" t="str">
        <f>IFERROR(__xludf.DUMMYFUNCTION("""COMPUTED_VALUE"""),"Mountable")</f>
        <v>Mountable</v>
      </c>
      <c r="S1035" s="251" t="str">
        <f>IFERROR(__xludf.DUMMYFUNCTION("""COMPUTED_VALUE"""),"--")</f>
        <v>--</v>
      </c>
      <c r="T1035" s="251" t="str">
        <f>IFERROR(__xludf.DUMMYFUNCTION("""COMPUTED_VALUE"""),"--")</f>
        <v>--</v>
      </c>
      <c r="U1035" s="251" t="str">
        <f>IFERROR(__xludf.DUMMYFUNCTION("""COMPUTED_VALUE"""),"--")</f>
        <v>--</v>
      </c>
      <c r="V1035" s="251" t="str">
        <f>IFERROR(__xludf.DUMMYFUNCTION("""COMPUTED_VALUE"""),"--")</f>
        <v>--</v>
      </c>
      <c r="W1035" s="251" t="str">
        <f>IFERROR(__xludf.DUMMYFUNCTION("""COMPUTED_VALUE"""),"--")</f>
        <v>--</v>
      </c>
      <c r="X1035" s="251" t="str">
        <f>IFERROR(__xludf.DUMMYFUNCTION("""COMPUTED_VALUE"""),"--")</f>
        <v>--</v>
      </c>
      <c r="Y1035" s="251" t="str">
        <f>IFERROR(__xludf.DUMMYFUNCTION("""COMPUTED_VALUE"""),"--")</f>
        <v>--</v>
      </c>
      <c r="Z1035" s="251" t="str">
        <f>IFERROR(__xludf.DUMMYFUNCTION("""COMPUTED_VALUE"""),"--")</f>
        <v>--</v>
      </c>
      <c r="AA1035" s="251" t="str">
        <f>IFERROR(__xludf.DUMMYFUNCTION("""COMPUTED_VALUE"""),"--")</f>
        <v>--</v>
      </c>
      <c r="AB1035" s="251" t="str">
        <f>IFERROR(__xludf.DUMMYFUNCTION("""COMPUTED_VALUE"""),"--")</f>
        <v>--</v>
      </c>
      <c r="AC1035" s="251" t="str">
        <f>IFERROR(__xludf.DUMMYFUNCTION("""COMPUTED_VALUE"""),"--")</f>
        <v>--</v>
      </c>
      <c r="AD1035" s="251">
        <f>IFERROR(__xludf.DUMMYFUNCTION("""COMPUTED_VALUE"""),3.0)</f>
        <v>3</v>
      </c>
      <c r="AE1035" s="251" t="str">
        <f>IFERROR(__xludf.DUMMYFUNCTION("""COMPUTED_VALUE"""),"Herbivore")</f>
        <v>Herbivore</v>
      </c>
    </row>
    <row r="1036">
      <c r="A1036" s="251" t="str">
        <f>IFERROR(__xludf.DUMMYFUNCTION("""COMPUTED_VALUE"""),"Arctozolt")</f>
        <v>Arctozolt</v>
      </c>
      <c r="B1036" s="251" t="str">
        <f>IFERROR(__xludf.DUMMYFUNCTION("""COMPUTED_VALUE"""),"Electric")</f>
        <v>Electric</v>
      </c>
      <c r="C1036" s="251" t="str">
        <f>IFERROR(__xludf.DUMMYFUNCTION("""COMPUTED_VALUE"""),"Ice")</f>
        <v>Ice</v>
      </c>
      <c r="D1036" s="251">
        <f>IFERROR(__xludf.DUMMYFUNCTION("""COMPUTED_VALUE"""),9.0)</f>
        <v>9</v>
      </c>
      <c r="E1036" s="251">
        <f>IFERROR(__xludf.DUMMYFUNCTION("""COMPUTED_VALUE"""),10.0)</f>
        <v>10</v>
      </c>
      <c r="F1036" s="251">
        <f>IFERROR(__xludf.DUMMYFUNCTION("""COMPUTED_VALUE"""),9.0)</f>
        <v>9</v>
      </c>
      <c r="G1036" s="251">
        <f>IFERROR(__xludf.DUMMYFUNCTION("""COMPUTED_VALUE"""),9.0)</f>
        <v>9</v>
      </c>
      <c r="H1036" s="251">
        <f>IFERROR(__xludf.DUMMYFUNCTION("""COMPUTED_VALUE"""),8.0)</f>
        <v>8</v>
      </c>
      <c r="I1036" s="251">
        <f>IFERROR(__xludf.DUMMYFUNCTION("""COMPUTED_VALUE"""),6.0)</f>
        <v>6</v>
      </c>
      <c r="J1036" s="251">
        <f>IFERROR(__xludf.DUMMYFUNCTION("""COMPUTED_VALUE"""),6.0)</f>
        <v>6</v>
      </c>
      <c r="K1036" s="251" t="str">
        <f>IFERROR(__xludf.DUMMYFUNCTION("""COMPUTED_VALUE"""),"Large")</f>
        <v>Large</v>
      </c>
      <c r="L1036" s="251">
        <f>IFERROR(__xludf.DUMMYFUNCTION("""COMPUTED_VALUE"""),5.0)</f>
        <v>5</v>
      </c>
      <c r="M1036" s="251" t="str">
        <f>IFERROR(__xludf.DUMMYFUNCTION("""COMPUTED_VALUE"""),"Tundra")</f>
        <v>Tundra</v>
      </c>
      <c r="N1036" s="251" t="str">
        <f>IFERROR(__xludf.DUMMYFUNCTION("""COMPUTED_VALUE"""),"Quick")</f>
        <v>Quick</v>
      </c>
      <c r="O1036" s="251" t="str">
        <f>IFERROR(__xludf.DUMMYFUNCTION("""COMPUTED_VALUE"""),"--")</f>
        <v>--</v>
      </c>
      <c r="P1036" s="251" t="str">
        <f>IFERROR(__xludf.DUMMYFUNCTION("""COMPUTED_VALUE"""),"--")</f>
        <v>--</v>
      </c>
      <c r="Q1036" s="251" t="str">
        <f>IFERROR(__xludf.DUMMYFUNCTION("""COMPUTED_VALUE"""),"--")</f>
        <v>--</v>
      </c>
      <c r="R1036" s="251" t="str">
        <f>IFERROR(__xludf.DUMMYFUNCTION("""COMPUTED_VALUE"""),"Mountable")</f>
        <v>Mountable</v>
      </c>
      <c r="S1036" s="251" t="str">
        <f>IFERROR(__xludf.DUMMYFUNCTION("""COMPUTED_VALUE"""),"--")</f>
        <v>--</v>
      </c>
      <c r="T1036" s="251" t="str">
        <f>IFERROR(__xludf.DUMMYFUNCTION("""COMPUTED_VALUE"""),"--")</f>
        <v>--</v>
      </c>
      <c r="U1036" s="251" t="str">
        <f>IFERROR(__xludf.DUMMYFUNCTION("""COMPUTED_VALUE"""),"--")</f>
        <v>--</v>
      </c>
      <c r="V1036" s="251" t="str">
        <f>IFERROR(__xludf.DUMMYFUNCTION("""COMPUTED_VALUE"""),"Chilled")</f>
        <v>Chilled</v>
      </c>
      <c r="W1036" s="251" t="str">
        <f>IFERROR(__xludf.DUMMYFUNCTION("""COMPUTED_VALUE"""),"--")</f>
        <v>--</v>
      </c>
      <c r="X1036" s="251" t="str">
        <f>IFERROR(__xludf.DUMMYFUNCTION("""COMPUTED_VALUE"""),"--")</f>
        <v>--</v>
      </c>
      <c r="Y1036" s="251" t="str">
        <f>IFERROR(__xludf.DUMMYFUNCTION("""COMPUTED_VALUE"""),"--")</f>
        <v>--</v>
      </c>
      <c r="Z1036" s="251" t="str">
        <f>IFERROR(__xludf.DUMMYFUNCTION("""COMPUTED_VALUE"""),"--")</f>
        <v>--</v>
      </c>
      <c r="AA1036" s="251" t="str">
        <f>IFERROR(__xludf.DUMMYFUNCTION("""COMPUTED_VALUE"""),"--")</f>
        <v>--</v>
      </c>
      <c r="AB1036" s="251" t="str">
        <f>IFERROR(__xludf.DUMMYFUNCTION("""COMPUTED_VALUE"""),"--")</f>
        <v>--</v>
      </c>
      <c r="AC1036" s="251" t="str">
        <f>IFERROR(__xludf.DUMMYFUNCTION("""COMPUTED_VALUE"""),"--")</f>
        <v>--</v>
      </c>
      <c r="AD1036" s="251">
        <f>IFERROR(__xludf.DUMMYFUNCTION("""COMPUTED_VALUE"""),3.0)</f>
        <v>3</v>
      </c>
      <c r="AE1036" s="251" t="str">
        <f>IFERROR(__xludf.DUMMYFUNCTION("""COMPUTED_VALUE"""),"Herbivore")</f>
        <v>Herbivore</v>
      </c>
    </row>
    <row r="1037">
      <c r="A1037" s="251" t="str">
        <f>IFERROR(__xludf.DUMMYFUNCTION("""COMPUTED_VALUE"""),"Comfey")</f>
        <v>Comfey</v>
      </c>
      <c r="B1037" s="251" t="str">
        <f>IFERROR(__xludf.DUMMYFUNCTION("""COMPUTED_VALUE"""),"Fairy")</f>
        <v>Fairy</v>
      </c>
      <c r="C1037" s="251" t="str">
        <f>IFERROR(__xludf.DUMMYFUNCTION("""COMPUTED_VALUE"""),"None")</f>
        <v>None</v>
      </c>
      <c r="D1037" s="251">
        <f>IFERROR(__xludf.DUMMYFUNCTION("""COMPUTED_VALUE"""),6.0)</f>
        <v>6</v>
      </c>
      <c r="E1037" s="251">
        <f>IFERROR(__xludf.DUMMYFUNCTION("""COMPUTED_VALUE"""),5.0)</f>
        <v>5</v>
      </c>
      <c r="F1037" s="251">
        <f>IFERROR(__xludf.DUMMYFUNCTION("""COMPUTED_VALUE"""),10.0)</f>
        <v>10</v>
      </c>
      <c r="G1037" s="251">
        <f>IFERROR(__xludf.DUMMYFUNCTION("""COMPUTED_VALUE"""),8.0)</f>
        <v>8</v>
      </c>
      <c r="H1037" s="251">
        <f>IFERROR(__xludf.DUMMYFUNCTION("""COMPUTED_VALUE"""),12.0)</f>
        <v>12</v>
      </c>
      <c r="I1037" s="251">
        <f>IFERROR(__xludf.DUMMYFUNCTION("""COMPUTED_VALUE"""),10.0)</f>
        <v>10</v>
      </c>
      <c r="J1037" s="251">
        <f>IFERROR(__xludf.DUMMYFUNCTION("""COMPUTED_VALUE"""),2.0)</f>
        <v>2</v>
      </c>
      <c r="K1037" s="251" t="str">
        <f>IFERROR(__xludf.DUMMYFUNCTION("""COMPUTED_VALUE"""),"Small")</f>
        <v>Small</v>
      </c>
      <c r="L1037" s="251">
        <f>IFERROR(__xludf.DUMMYFUNCTION("""COMPUTED_VALUE"""),1.0)</f>
        <v>1</v>
      </c>
      <c r="M1037" s="251" t="str">
        <f>IFERROR(__xludf.DUMMYFUNCTION("""COMPUTED_VALUE"""),"Forest")</f>
        <v>Forest</v>
      </c>
      <c r="N1037" s="251" t="str">
        <f>IFERROR(__xludf.DUMMYFUNCTION("""COMPUTED_VALUE"""),"Flier")</f>
        <v>Flier</v>
      </c>
      <c r="O1037" s="251" t="str">
        <f>IFERROR(__xludf.DUMMYFUNCTION("""COMPUTED_VALUE"""),"--")</f>
        <v>--</v>
      </c>
      <c r="P1037" s="251" t="str">
        <f>IFERROR(__xludf.DUMMYFUNCTION("""COMPUTED_VALUE"""),"--")</f>
        <v>--</v>
      </c>
      <c r="Q1037" s="251" t="str">
        <f>IFERROR(__xludf.DUMMYFUNCTION("""COMPUTED_VALUE"""),"--")</f>
        <v>--</v>
      </c>
      <c r="R1037" s="251" t="str">
        <f>IFERROR(__xludf.DUMMYFUNCTION("""COMPUTED_VALUE"""),"Threaded")</f>
        <v>Threaded</v>
      </c>
      <c r="S1037" s="251" t="str">
        <f>IFERROR(__xludf.DUMMYFUNCTION("""COMPUTED_VALUE"""),"--")</f>
        <v>--</v>
      </c>
      <c r="T1037" s="251" t="str">
        <f>IFERROR(__xludf.DUMMYFUNCTION("""COMPUTED_VALUE"""),"--")</f>
        <v>--</v>
      </c>
      <c r="U1037" s="251" t="str">
        <f>IFERROR(__xludf.DUMMYFUNCTION("""COMPUTED_VALUE"""),"--")</f>
        <v>--</v>
      </c>
      <c r="V1037" s="251" t="str">
        <f>IFERROR(__xludf.DUMMYFUNCTION("""COMPUTED_VALUE"""),"Alluring")</f>
        <v>Alluring</v>
      </c>
      <c r="W1037" s="251" t="str">
        <f>IFERROR(__xludf.DUMMYFUNCTION("""COMPUTED_VALUE"""),"Mender")</f>
        <v>Mender</v>
      </c>
      <c r="X1037" s="251" t="str">
        <f>IFERROR(__xludf.DUMMYFUNCTION("""COMPUTED_VALUE"""),"--")</f>
        <v>--</v>
      </c>
      <c r="Y1037" s="251" t="str">
        <f>IFERROR(__xludf.DUMMYFUNCTION("""COMPUTED_VALUE"""),"--")</f>
        <v>--</v>
      </c>
      <c r="Z1037" s="251" t="str">
        <f>IFERROR(__xludf.DUMMYFUNCTION("""COMPUTED_VALUE"""),"--")</f>
        <v>--</v>
      </c>
      <c r="AA1037" s="251" t="str">
        <f>IFERROR(__xludf.DUMMYFUNCTION("""COMPUTED_VALUE"""),"--")</f>
        <v>--</v>
      </c>
      <c r="AB1037" s="251" t="str">
        <f>IFERROR(__xludf.DUMMYFUNCTION("""COMPUTED_VALUE"""),"--")</f>
        <v>--</v>
      </c>
      <c r="AC1037" s="251" t="str">
        <f>IFERROR(__xludf.DUMMYFUNCTION("""COMPUTED_VALUE"""),"--")</f>
        <v>--</v>
      </c>
      <c r="AD1037" s="251">
        <f>IFERROR(__xludf.DUMMYFUNCTION("""COMPUTED_VALUE"""),3.0)</f>
        <v>3</v>
      </c>
      <c r="AE1037" s="251" t="str">
        <f>IFERROR(__xludf.DUMMYFUNCTION("""COMPUTED_VALUE"""),"Phototroph")</f>
        <v>Phototroph</v>
      </c>
    </row>
    <row r="1038">
      <c r="A1038" s="251" t="str">
        <f>IFERROR(__xludf.DUMMYFUNCTION("""COMPUTED_VALUE"""),"Throh")</f>
        <v>Throh</v>
      </c>
      <c r="B1038" s="251" t="str">
        <f>IFERROR(__xludf.DUMMYFUNCTION("""COMPUTED_VALUE"""),"Fighting")</f>
        <v>Fighting</v>
      </c>
      <c r="C1038" s="251" t="str">
        <f>IFERROR(__xludf.DUMMYFUNCTION("""COMPUTED_VALUE"""),"None")</f>
        <v>None</v>
      </c>
      <c r="D1038" s="251">
        <f>IFERROR(__xludf.DUMMYFUNCTION("""COMPUTED_VALUE"""),12.0)</f>
        <v>12</v>
      </c>
      <c r="E1038" s="251">
        <f>IFERROR(__xludf.DUMMYFUNCTION("""COMPUTED_VALUE"""),11.0)</f>
        <v>11</v>
      </c>
      <c r="F1038" s="251">
        <f>IFERROR(__xludf.DUMMYFUNCTION("""COMPUTED_VALUE"""),11.0)</f>
        <v>11</v>
      </c>
      <c r="G1038" s="251">
        <f>IFERROR(__xludf.DUMMYFUNCTION("""COMPUTED_VALUE"""),3.0)</f>
        <v>3</v>
      </c>
      <c r="H1038" s="251">
        <f>IFERROR(__xludf.DUMMYFUNCTION("""COMPUTED_VALUE"""),9.0)</f>
        <v>9</v>
      </c>
      <c r="I1038" s="251">
        <f>IFERROR(__xludf.DUMMYFUNCTION("""COMPUTED_VALUE"""),5.0)</f>
        <v>5</v>
      </c>
      <c r="J1038" s="251">
        <f>IFERROR(__xludf.DUMMYFUNCTION("""COMPUTED_VALUE"""),7.0)</f>
        <v>7</v>
      </c>
      <c r="K1038" s="251" t="str">
        <f>IFERROR(__xludf.DUMMYFUNCTION("""COMPUTED_VALUE"""),"Medium")</f>
        <v>Medium</v>
      </c>
      <c r="L1038" s="251">
        <f>IFERROR(__xludf.DUMMYFUNCTION("""COMPUTED_VALUE"""),4.0)</f>
        <v>4</v>
      </c>
      <c r="M1038" s="251" t="str">
        <f>IFERROR(__xludf.DUMMYFUNCTION("""COMPUTED_VALUE"""),"Urban")</f>
        <v>Urban</v>
      </c>
      <c r="N1038" s="251" t="str">
        <f>IFERROR(__xludf.DUMMYFUNCTION("""COMPUTED_VALUE"""),"--")</f>
        <v>--</v>
      </c>
      <c r="O1038" s="251" t="str">
        <f>IFERROR(__xludf.DUMMYFUNCTION("""COMPUTED_VALUE"""),"--")</f>
        <v>--</v>
      </c>
      <c r="P1038" s="251" t="str">
        <f>IFERROR(__xludf.DUMMYFUNCTION("""COMPUTED_VALUE"""),"--")</f>
        <v>--</v>
      </c>
      <c r="Q1038" s="251" t="str">
        <f>IFERROR(__xludf.DUMMYFUNCTION("""COMPUTED_VALUE"""),"--")</f>
        <v>--</v>
      </c>
      <c r="R1038" s="251" t="str">
        <f>IFERROR(__xludf.DUMMYFUNCTION("""COMPUTED_VALUE"""),"--")</f>
        <v>--</v>
      </c>
      <c r="S1038" s="251" t="str">
        <f>IFERROR(__xludf.DUMMYFUNCTION("""COMPUTED_VALUE"""),"--")</f>
        <v>--</v>
      </c>
      <c r="T1038" s="251" t="str">
        <f>IFERROR(__xludf.DUMMYFUNCTION("""COMPUTED_VALUE"""),"--")</f>
        <v>--</v>
      </c>
      <c r="U1038" s="251" t="str">
        <f>IFERROR(__xludf.DUMMYFUNCTION("""COMPUTED_VALUE"""),"--")</f>
        <v>--</v>
      </c>
      <c r="V1038" s="251" t="str">
        <f>IFERROR(__xludf.DUMMYFUNCTION("""COMPUTED_VALUE"""),"--")</f>
        <v>--</v>
      </c>
      <c r="W1038" s="251" t="str">
        <f>IFERROR(__xludf.DUMMYFUNCTION("""COMPUTED_VALUE"""),"--")</f>
        <v>--</v>
      </c>
      <c r="X1038" s="251" t="str">
        <f>IFERROR(__xludf.DUMMYFUNCTION("""COMPUTED_VALUE"""),"--")</f>
        <v>--</v>
      </c>
      <c r="Y1038" s="251" t="str">
        <f>IFERROR(__xludf.DUMMYFUNCTION("""COMPUTED_VALUE"""),"--")</f>
        <v>--</v>
      </c>
      <c r="Z1038" s="251" t="str">
        <f>IFERROR(__xludf.DUMMYFUNCTION("""COMPUTED_VALUE"""),"--")</f>
        <v>--</v>
      </c>
      <c r="AA1038" s="251" t="str">
        <f>IFERROR(__xludf.DUMMYFUNCTION("""COMPUTED_VALUE"""),"--")</f>
        <v>--</v>
      </c>
      <c r="AB1038" s="251" t="str">
        <f>IFERROR(__xludf.DUMMYFUNCTION("""COMPUTED_VALUE"""),"--")</f>
        <v>--</v>
      </c>
      <c r="AC1038" s="251" t="str">
        <f>IFERROR(__xludf.DUMMYFUNCTION("""COMPUTED_VALUE"""),"--")</f>
        <v>--</v>
      </c>
      <c r="AD1038" s="251">
        <f>IFERROR(__xludf.DUMMYFUNCTION("""COMPUTED_VALUE"""),3.0)</f>
        <v>3</v>
      </c>
      <c r="AE1038" s="251" t="str">
        <f>IFERROR(__xludf.DUMMYFUNCTION("""COMPUTED_VALUE"""),"Omnivore")</f>
        <v>Omnivore</v>
      </c>
    </row>
    <row r="1039">
      <c r="A1039" s="251" t="str">
        <f>IFERROR(__xludf.DUMMYFUNCTION("""COMPUTED_VALUE"""),"Sawk")</f>
        <v>Sawk</v>
      </c>
      <c r="B1039" s="251" t="str">
        <f>IFERROR(__xludf.DUMMYFUNCTION("""COMPUTED_VALUE"""),"Fighting")</f>
        <v>Fighting</v>
      </c>
      <c r="C1039" s="251" t="str">
        <f>IFERROR(__xludf.DUMMYFUNCTION("""COMPUTED_VALUE"""),"None")</f>
        <v>None</v>
      </c>
      <c r="D1039" s="251">
        <f>IFERROR(__xludf.DUMMYFUNCTION("""COMPUTED_VALUE"""),9.0)</f>
        <v>9</v>
      </c>
      <c r="E1039" s="251">
        <f>IFERROR(__xludf.DUMMYFUNCTION("""COMPUTED_VALUE"""),13.0)</f>
        <v>13</v>
      </c>
      <c r="F1039" s="251">
        <f>IFERROR(__xludf.DUMMYFUNCTION("""COMPUTED_VALUE"""),8.0)</f>
        <v>8</v>
      </c>
      <c r="G1039" s="251">
        <f>IFERROR(__xludf.DUMMYFUNCTION("""COMPUTED_VALUE"""),3.0)</f>
        <v>3</v>
      </c>
      <c r="H1039" s="251">
        <f>IFERROR(__xludf.DUMMYFUNCTION("""COMPUTED_VALUE"""),8.0)</f>
        <v>8</v>
      </c>
      <c r="I1039" s="251">
        <f>IFERROR(__xludf.DUMMYFUNCTION("""COMPUTED_VALUE"""),10.0)</f>
        <v>10</v>
      </c>
      <c r="J1039" s="251">
        <f>IFERROR(__xludf.DUMMYFUNCTION("""COMPUTED_VALUE"""),6.0)</f>
        <v>6</v>
      </c>
      <c r="K1039" s="251" t="str">
        <f>IFERROR(__xludf.DUMMYFUNCTION("""COMPUTED_VALUE"""),"Medium")</f>
        <v>Medium</v>
      </c>
      <c r="L1039" s="251">
        <f>IFERROR(__xludf.DUMMYFUNCTION("""COMPUTED_VALUE"""),4.0)</f>
        <v>4</v>
      </c>
      <c r="M1039" s="251" t="str">
        <f>IFERROR(__xludf.DUMMYFUNCTION("""COMPUTED_VALUE"""),"Urban")</f>
        <v>Urban</v>
      </c>
      <c r="N1039" s="251" t="str">
        <f>IFERROR(__xludf.DUMMYFUNCTION("""COMPUTED_VALUE"""),"--")</f>
        <v>--</v>
      </c>
      <c r="O1039" s="251" t="str">
        <f>IFERROR(__xludf.DUMMYFUNCTION("""COMPUTED_VALUE"""),"--")</f>
        <v>--</v>
      </c>
      <c r="P1039" s="251" t="str">
        <f>IFERROR(__xludf.DUMMYFUNCTION("""COMPUTED_VALUE"""),"--")</f>
        <v>--</v>
      </c>
      <c r="Q1039" s="251" t="str">
        <f>IFERROR(__xludf.DUMMYFUNCTION("""COMPUTED_VALUE"""),"--")</f>
        <v>--</v>
      </c>
      <c r="R1039" s="251" t="str">
        <f>IFERROR(__xludf.DUMMYFUNCTION("""COMPUTED_VALUE"""),"--")</f>
        <v>--</v>
      </c>
      <c r="S1039" s="251" t="str">
        <f>IFERROR(__xludf.DUMMYFUNCTION("""COMPUTED_VALUE"""),"--")</f>
        <v>--</v>
      </c>
      <c r="T1039" s="251" t="str">
        <f>IFERROR(__xludf.DUMMYFUNCTION("""COMPUTED_VALUE"""),"--")</f>
        <v>--</v>
      </c>
      <c r="U1039" s="251" t="str">
        <f>IFERROR(__xludf.DUMMYFUNCTION("""COMPUTED_VALUE"""),"--")</f>
        <v>--</v>
      </c>
      <c r="V1039" s="251" t="str">
        <f>IFERROR(__xludf.DUMMYFUNCTION("""COMPUTED_VALUE"""),"--")</f>
        <v>--</v>
      </c>
      <c r="W1039" s="251" t="str">
        <f>IFERROR(__xludf.DUMMYFUNCTION("""COMPUTED_VALUE"""),"--")</f>
        <v>--</v>
      </c>
      <c r="X1039" s="251" t="str">
        <f>IFERROR(__xludf.DUMMYFUNCTION("""COMPUTED_VALUE"""),"--")</f>
        <v>--</v>
      </c>
      <c r="Y1039" s="251" t="str">
        <f>IFERROR(__xludf.DUMMYFUNCTION("""COMPUTED_VALUE"""),"--")</f>
        <v>--</v>
      </c>
      <c r="Z1039" s="251" t="str">
        <f>IFERROR(__xludf.DUMMYFUNCTION("""COMPUTED_VALUE"""),"--")</f>
        <v>--</v>
      </c>
      <c r="AA1039" s="251" t="str">
        <f>IFERROR(__xludf.DUMMYFUNCTION("""COMPUTED_VALUE"""),"--")</f>
        <v>--</v>
      </c>
      <c r="AB1039" s="251" t="str">
        <f>IFERROR(__xludf.DUMMYFUNCTION("""COMPUTED_VALUE"""),"--")</f>
        <v>--</v>
      </c>
      <c r="AC1039" s="251" t="str">
        <f>IFERROR(__xludf.DUMMYFUNCTION("""COMPUTED_VALUE"""),"--")</f>
        <v>--</v>
      </c>
      <c r="AD1039" s="251">
        <f>IFERROR(__xludf.DUMMYFUNCTION("""COMPUTED_VALUE"""),3.0)</f>
        <v>3</v>
      </c>
      <c r="AE1039" s="251" t="str">
        <f>IFERROR(__xludf.DUMMYFUNCTION("""COMPUTED_VALUE"""),"Omnivore")</f>
        <v>Omnivore</v>
      </c>
    </row>
    <row r="1040">
      <c r="A1040" s="251" t="str">
        <f>IFERROR(__xludf.DUMMYFUNCTION("""COMPUTED_VALUE"""),"Hawlucha")</f>
        <v>Hawlucha</v>
      </c>
      <c r="B1040" s="251" t="str">
        <f>IFERROR(__xludf.DUMMYFUNCTION("""COMPUTED_VALUE"""),"Fighting")</f>
        <v>Fighting</v>
      </c>
      <c r="C1040" s="251" t="str">
        <f>IFERROR(__xludf.DUMMYFUNCTION("""COMPUTED_VALUE"""),"Flying")</f>
        <v>Flying</v>
      </c>
      <c r="D1040" s="251">
        <f>IFERROR(__xludf.DUMMYFUNCTION("""COMPUTED_VALUE"""),8.0)</f>
        <v>8</v>
      </c>
      <c r="E1040" s="251">
        <f>IFERROR(__xludf.DUMMYFUNCTION("""COMPUTED_VALUE"""),10.0)</f>
        <v>10</v>
      </c>
      <c r="F1040" s="251">
        <f>IFERROR(__xludf.DUMMYFUNCTION("""COMPUTED_VALUE"""),8.0)</f>
        <v>8</v>
      </c>
      <c r="G1040" s="251">
        <f>IFERROR(__xludf.DUMMYFUNCTION("""COMPUTED_VALUE"""),7.0)</f>
        <v>7</v>
      </c>
      <c r="H1040" s="251">
        <f>IFERROR(__xludf.DUMMYFUNCTION("""COMPUTED_VALUE"""),6.0)</f>
        <v>6</v>
      </c>
      <c r="I1040" s="251">
        <f>IFERROR(__xludf.DUMMYFUNCTION("""COMPUTED_VALUE"""),12.0)</f>
        <v>12</v>
      </c>
      <c r="J1040" s="251">
        <f>IFERROR(__xludf.DUMMYFUNCTION("""COMPUTED_VALUE"""),4.0)</f>
        <v>4</v>
      </c>
      <c r="K1040" s="251" t="str">
        <f>IFERROR(__xludf.DUMMYFUNCTION("""COMPUTED_VALUE"""),"Small")</f>
        <v>Small</v>
      </c>
      <c r="L1040" s="251">
        <f>IFERROR(__xludf.DUMMYFUNCTION("""COMPUTED_VALUE"""),2.0)</f>
        <v>2</v>
      </c>
      <c r="M1040" s="251" t="str">
        <f>IFERROR(__xludf.DUMMYFUNCTION("""COMPUTED_VALUE"""),"Grasslands")</f>
        <v>Grasslands</v>
      </c>
      <c r="N1040" s="251" t="str">
        <f>IFERROR(__xludf.DUMMYFUNCTION("""COMPUTED_VALUE"""),"Glider")</f>
        <v>Glider</v>
      </c>
      <c r="O1040" s="251" t="str">
        <f>IFERROR(__xludf.DUMMYFUNCTION("""COMPUTED_VALUE"""),"Jumper")</f>
        <v>Jumper</v>
      </c>
      <c r="P1040" s="251" t="str">
        <f>IFERROR(__xludf.DUMMYFUNCTION("""COMPUTED_VALUE"""),"Quick")</f>
        <v>Quick</v>
      </c>
      <c r="Q1040" s="251" t="str">
        <f>IFERROR(__xludf.DUMMYFUNCTION("""COMPUTED_VALUE"""),"--")</f>
        <v>--</v>
      </c>
      <c r="R1040" s="251" t="str">
        <f>IFERROR(__xludf.DUMMYFUNCTION("""COMPUTED_VALUE"""),"--")</f>
        <v>--</v>
      </c>
      <c r="S1040" s="251" t="str">
        <f>IFERROR(__xludf.DUMMYFUNCTION("""COMPUTED_VALUE"""),"--")</f>
        <v>--</v>
      </c>
      <c r="T1040" s="251" t="str">
        <f>IFERROR(__xludf.DUMMYFUNCTION("""COMPUTED_VALUE"""),"--")</f>
        <v>--</v>
      </c>
      <c r="U1040" s="251" t="str">
        <f>IFERROR(__xludf.DUMMYFUNCTION("""COMPUTED_VALUE"""),"--")</f>
        <v>--</v>
      </c>
      <c r="V1040" s="251" t="str">
        <f>IFERROR(__xludf.DUMMYFUNCTION("""COMPUTED_VALUE"""),"--")</f>
        <v>--</v>
      </c>
      <c r="W1040" s="251" t="str">
        <f>IFERROR(__xludf.DUMMYFUNCTION("""COMPUTED_VALUE"""),"--")</f>
        <v>--</v>
      </c>
      <c r="X1040" s="251" t="str">
        <f>IFERROR(__xludf.DUMMYFUNCTION("""COMPUTED_VALUE"""),"--")</f>
        <v>--</v>
      </c>
      <c r="Y1040" s="251" t="str">
        <f>IFERROR(__xludf.DUMMYFUNCTION("""COMPUTED_VALUE"""),"--")</f>
        <v>--</v>
      </c>
      <c r="Z1040" s="251" t="str">
        <f>IFERROR(__xludf.DUMMYFUNCTION("""COMPUTED_VALUE"""),"--")</f>
        <v>--</v>
      </c>
      <c r="AA1040" s="251" t="str">
        <f>IFERROR(__xludf.DUMMYFUNCTION("""COMPUTED_VALUE"""),"--")</f>
        <v>--</v>
      </c>
      <c r="AB1040" s="251" t="str">
        <f>IFERROR(__xludf.DUMMYFUNCTION("""COMPUTED_VALUE"""),"--")</f>
        <v>--</v>
      </c>
      <c r="AC1040" s="251" t="str">
        <f>IFERROR(__xludf.DUMMYFUNCTION("""COMPUTED_VALUE"""),"--")</f>
        <v>--</v>
      </c>
      <c r="AD1040" s="251">
        <f>IFERROR(__xludf.DUMMYFUNCTION("""COMPUTED_VALUE"""),3.0)</f>
        <v>3</v>
      </c>
      <c r="AE1040" s="251" t="str">
        <f>IFERROR(__xludf.DUMMYFUNCTION("""COMPUTED_VALUE"""),"Carnivore")</f>
        <v>Carnivore</v>
      </c>
    </row>
    <row r="1041">
      <c r="A1041" s="251" t="str">
        <f>IFERROR(__xludf.DUMMYFUNCTION("""COMPUTED_VALUE"""),"Passimian")</f>
        <v>Passimian</v>
      </c>
      <c r="B1041" s="251" t="str">
        <f>IFERROR(__xludf.DUMMYFUNCTION("""COMPUTED_VALUE"""),"Fighting")</f>
        <v>Fighting</v>
      </c>
      <c r="C1041" s="251" t="str">
        <f>IFERROR(__xludf.DUMMYFUNCTION("""COMPUTED_VALUE"""),"None")</f>
        <v>None</v>
      </c>
      <c r="D1041" s="251">
        <f>IFERROR(__xludf.DUMMYFUNCTION("""COMPUTED_VALUE"""),10.0)</f>
        <v>10</v>
      </c>
      <c r="E1041" s="251">
        <f>IFERROR(__xludf.DUMMYFUNCTION("""COMPUTED_VALUE"""),12.0)</f>
        <v>12</v>
      </c>
      <c r="F1041" s="251">
        <f>IFERROR(__xludf.DUMMYFUNCTION("""COMPUTED_VALUE"""),10.0)</f>
        <v>10</v>
      </c>
      <c r="G1041" s="251">
        <f>IFERROR(__xludf.DUMMYFUNCTION("""COMPUTED_VALUE"""),3.0)</f>
        <v>3</v>
      </c>
      <c r="H1041" s="251">
        <f>IFERROR(__xludf.DUMMYFUNCTION("""COMPUTED_VALUE"""),6.0)</f>
        <v>6</v>
      </c>
      <c r="I1041" s="251">
        <f>IFERROR(__xludf.DUMMYFUNCTION("""COMPUTED_VALUE"""),10.0)</f>
        <v>10</v>
      </c>
      <c r="J1041" s="251">
        <f>IFERROR(__xludf.DUMMYFUNCTION("""COMPUTED_VALUE"""),7.0)</f>
        <v>7</v>
      </c>
      <c r="K1041" s="251" t="str">
        <f>IFERROR(__xludf.DUMMYFUNCTION("""COMPUTED_VALUE"""),"Large")</f>
        <v>Large</v>
      </c>
      <c r="L1041" s="251">
        <f>IFERROR(__xludf.DUMMYFUNCTION("""COMPUTED_VALUE"""),4.0)</f>
        <v>4</v>
      </c>
      <c r="M1041" s="251" t="str">
        <f>IFERROR(__xludf.DUMMYFUNCTION("""COMPUTED_VALUE"""),"Forest")</f>
        <v>Forest</v>
      </c>
      <c r="N1041" s="251" t="str">
        <f>IFERROR(__xludf.DUMMYFUNCTION("""COMPUTED_VALUE"""),"Climber")</f>
        <v>Climber</v>
      </c>
      <c r="O1041" s="251" t="str">
        <f>IFERROR(__xludf.DUMMYFUNCTION("""COMPUTED_VALUE"""),"Jumper")</f>
        <v>Jumper</v>
      </c>
      <c r="P1041" s="251" t="str">
        <f>IFERROR(__xludf.DUMMYFUNCTION("""COMPUTED_VALUE"""),"Quick")</f>
        <v>Quick</v>
      </c>
      <c r="Q1041" s="251" t="str">
        <f>IFERROR(__xludf.DUMMYFUNCTION("""COMPUTED_VALUE"""),"--")</f>
        <v>--</v>
      </c>
      <c r="R1041" s="251" t="str">
        <f>IFERROR(__xludf.DUMMYFUNCTION("""COMPUTED_VALUE"""),"--")</f>
        <v>--</v>
      </c>
      <c r="S1041" s="251" t="str">
        <f>IFERROR(__xludf.DUMMYFUNCTION("""COMPUTED_VALUE"""),"--")</f>
        <v>--</v>
      </c>
      <c r="T1041" s="251" t="str">
        <f>IFERROR(__xludf.DUMMYFUNCTION("""COMPUTED_VALUE"""),"--")</f>
        <v>--</v>
      </c>
      <c r="U1041" s="251" t="str">
        <f>IFERROR(__xludf.DUMMYFUNCTION("""COMPUTED_VALUE"""),"--")</f>
        <v>--</v>
      </c>
      <c r="V1041" s="251" t="str">
        <f>IFERROR(__xludf.DUMMYFUNCTION("""COMPUTED_VALUE"""),"Pack Mon")</f>
        <v>Pack Mon</v>
      </c>
      <c r="W1041" s="251" t="str">
        <f>IFERROR(__xludf.DUMMYFUNCTION("""COMPUTED_VALUE"""),"--")</f>
        <v>--</v>
      </c>
      <c r="X1041" s="251" t="str">
        <f>IFERROR(__xludf.DUMMYFUNCTION("""COMPUTED_VALUE"""),"--")</f>
        <v>--</v>
      </c>
      <c r="Y1041" s="251" t="str">
        <f>IFERROR(__xludf.DUMMYFUNCTION("""COMPUTED_VALUE"""),"--")</f>
        <v>--</v>
      </c>
      <c r="Z1041" s="251" t="str">
        <f>IFERROR(__xludf.DUMMYFUNCTION("""COMPUTED_VALUE"""),"--")</f>
        <v>--</v>
      </c>
      <c r="AA1041" s="251" t="str">
        <f>IFERROR(__xludf.DUMMYFUNCTION("""COMPUTED_VALUE"""),"--")</f>
        <v>--</v>
      </c>
      <c r="AB1041" s="251" t="str">
        <f>IFERROR(__xludf.DUMMYFUNCTION("""COMPUTED_VALUE"""),"--")</f>
        <v>--</v>
      </c>
      <c r="AC1041" s="251" t="str">
        <f>IFERROR(__xludf.DUMMYFUNCTION("""COMPUTED_VALUE"""),"--")</f>
        <v>--</v>
      </c>
      <c r="AD1041" s="251">
        <f>IFERROR(__xludf.DUMMYFUNCTION("""COMPUTED_VALUE"""),3.0)</f>
        <v>3</v>
      </c>
      <c r="AE1041" s="251" t="str">
        <f>IFERROR(__xludf.DUMMYFUNCTION("""COMPUTED_VALUE"""),"Herbivore")</f>
        <v>Herbivore</v>
      </c>
    </row>
    <row r="1042">
      <c r="A1042" s="251" t="str">
        <f>IFERROR(__xludf.DUMMYFUNCTION("""COMPUTED_VALUE"""),"Falinks")</f>
        <v>Falinks</v>
      </c>
      <c r="B1042" s="251" t="str">
        <f>IFERROR(__xludf.DUMMYFUNCTION("""COMPUTED_VALUE"""),"Fighting")</f>
        <v>Fighting</v>
      </c>
      <c r="C1042" s="251" t="str">
        <f>IFERROR(__xludf.DUMMYFUNCTION("""COMPUTED_VALUE"""),"None")</f>
        <v>None</v>
      </c>
      <c r="D1042" s="251">
        <f>IFERROR(__xludf.DUMMYFUNCTION("""COMPUTED_VALUE"""),7.0)</f>
        <v>7</v>
      </c>
      <c r="E1042" s="251">
        <f>IFERROR(__xludf.DUMMYFUNCTION("""COMPUTED_VALUE"""),11.0)</f>
        <v>11</v>
      </c>
      <c r="F1042" s="251">
        <f>IFERROR(__xludf.DUMMYFUNCTION("""COMPUTED_VALUE"""),11.0)</f>
        <v>11</v>
      </c>
      <c r="G1042" s="251">
        <f>IFERROR(__xludf.DUMMYFUNCTION("""COMPUTED_VALUE"""),7.0)</f>
        <v>7</v>
      </c>
      <c r="H1042" s="251">
        <f>IFERROR(__xludf.DUMMYFUNCTION("""COMPUTED_VALUE"""),6.0)</f>
        <v>6</v>
      </c>
      <c r="I1042" s="251">
        <f>IFERROR(__xludf.DUMMYFUNCTION("""COMPUTED_VALUE"""),9.0)</f>
        <v>9</v>
      </c>
      <c r="J1042" s="251">
        <f>IFERROR(__xludf.DUMMYFUNCTION("""COMPUTED_VALUE"""),8.0)</f>
        <v>8</v>
      </c>
      <c r="K1042" s="251" t="str">
        <f>IFERROR(__xludf.DUMMYFUNCTION("""COMPUTED_VALUE"""),"Huge")</f>
        <v>Huge</v>
      </c>
      <c r="L1042" s="251">
        <f>IFERROR(__xludf.DUMMYFUNCTION("""COMPUTED_VALUE"""),4.0)</f>
        <v>4</v>
      </c>
      <c r="M1042" s="251" t="str">
        <f>IFERROR(__xludf.DUMMYFUNCTION("""COMPUTED_VALUE"""),"Mountain")</f>
        <v>Mountain</v>
      </c>
      <c r="N1042" s="251" t="str">
        <f>IFERROR(__xludf.DUMMYFUNCTION("""COMPUTED_VALUE"""),"--")</f>
        <v>--</v>
      </c>
      <c r="O1042" s="251" t="str">
        <f>IFERROR(__xludf.DUMMYFUNCTION("""COMPUTED_VALUE"""),"--")</f>
        <v>--</v>
      </c>
      <c r="P1042" s="251" t="str">
        <f>IFERROR(__xludf.DUMMYFUNCTION("""COMPUTED_VALUE"""),"--")</f>
        <v>--</v>
      </c>
      <c r="Q1042" s="251" t="str">
        <f>IFERROR(__xludf.DUMMYFUNCTION("""COMPUTED_VALUE"""),"--")</f>
        <v>--</v>
      </c>
      <c r="R1042" s="251" t="str">
        <f>IFERROR(__xludf.DUMMYFUNCTION("""COMPUTED_VALUE"""),"--")</f>
        <v>--</v>
      </c>
      <c r="S1042" s="251" t="str">
        <f>IFERROR(__xludf.DUMMYFUNCTION("""COMPUTED_VALUE"""),"--")</f>
        <v>--</v>
      </c>
      <c r="T1042" s="251" t="str">
        <f>IFERROR(__xludf.DUMMYFUNCTION("""COMPUTED_VALUE"""),"--")</f>
        <v>--</v>
      </c>
      <c r="U1042" s="251" t="str">
        <f>IFERROR(__xludf.DUMMYFUNCTION("""COMPUTED_VALUE"""),"--")</f>
        <v>--</v>
      </c>
      <c r="V1042" s="251" t="str">
        <f>IFERROR(__xludf.DUMMYFUNCTION("""COMPUTED_VALUE"""),"Mindlock")</f>
        <v>Mindlock</v>
      </c>
      <c r="W1042" s="251" t="str">
        <f>IFERROR(__xludf.DUMMYFUNCTION("""COMPUTED_VALUE"""),"Pack Mon")</f>
        <v>Pack Mon</v>
      </c>
      <c r="X1042" s="251" t="str">
        <f>IFERROR(__xludf.DUMMYFUNCTION("""COMPUTED_VALUE"""),"--")</f>
        <v>--</v>
      </c>
      <c r="Y1042" s="251" t="str">
        <f>IFERROR(__xludf.DUMMYFUNCTION("""COMPUTED_VALUE"""),"--")</f>
        <v>--</v>
      </c>
      <c r="Z1042" s="251" t="str">
        <f>IFERROR(__xludf.DUMMYFUNCTION("""COMPUTED_VALUE"""),"--")</f>
        <v>--</v>
      </c>
      <c r="AA1042" s="251" t="str">
        <f>IFERROR(__xludf.DUMMYFUNCTION("""COMPUTED_VALUE"""),"--")</f>
        <v>--</v>
      </c>
      <c r="AB1042" s="251" t="str">
        <f>IFERROR(__xludf.DUMMYFUNCTION("""COMPUTED_VALUE"""),"--")</f>
        <v>--</v>
      </c>
      <c r="AC1042" s="251" t="str">
        <f>IFERROR(__xludf.DUMMYFUNCTION("""COMPUTED_VALUE"""),"--")</f>
        <v>--</v>
      </c>
      <c r="AD1042" s="251">
        <f>IFERROR(__xludf.DUMMYFUNCTION("""COMPUTED_VALUE"""),3.0)</f>
        <v>3</v>
      </c>
      <c r="AE1042" s="251" t="str">
        <f>IFERROR(__xludf.DUMMYFUNCTION("""COMPUTED_VALUE"""),"Omnivore")</f>
        <v>Omnivore</v>
      </c>
    </row>
    <row r="1043">
      <c r="A1043" s="251" t="str">
        <f>IFERROR(__xludf.DUMMYFUNCTION("""COMPUTED_VALUE"""),"Torkoal")</f>
        <v>Torkoal</v>
      </c>
      <c r="B1043" s="251" t="str">
        <f>IFERROR(__xludf.DUMMYFUNCTION("""COMPUTED_VALUE"""),"Fire")</f>
        <v>Fire</v>
      </c>
      <c r="C1043" s="251" t="str">
        <f>IFERROR(__xludf.DUMMYFUNCTION("""COMPUTED_VALUE"""),"None")</f>
        <v>None</v>
      </c>
      <c r="D1043" s="251">
        <f>IFERROR(__xludf.DUMMYFUNCTION("""COMPUTED_VALUE"""),9.0)</f>
        <v>9</v>
      </c>
      <c r="E1043" s="251">
        <f>IFERROR(__xludf.DUMMYFUNCTION("""COMPUTED_VALUE"""),9.0)</f>
        <v>9</v>
      </c>
      <c r="F1043" s="251">
        <f>IFERROR(__xludf.DUMMYFUNCTION("""COMPUTED_VALUE"""),14.0)</f>
        <v>14</v>
      </c>
      <c r="G1043" s="251">
        <f>IFERROR(__xludf.DUMMYFUNCTION("""COMPUTED_VALUE"""),9.0)</f>
        <v>9</v>
      </c>
      <c r="H1043" s="251">
        <f>IFERROR(__xludf.DUMMYFUNCTION("""COMPUTED_VALUE"""),8.0)</f>
        <v>8</v>
      </c>
      <c r="I1043" s="251">
        <f>IFERROR(__xludf.DUMMYFUNCTION("""COMPUTED_VALUE"""),2.0)</f>
        <v>2</v>
      </c>
      <c r="J1043" s="251">
        <f>IFERROR(__xludf.DUMMYFUNCTION("""COMPUTED_VALUE"""),6.0)</f>
        <v>6</v>
      </c>
      <c r="K1043" s="251" t="str">
        <f>IFERROR(__xludf.DUMMYFUNCTION("""COMPUTED_VALUE"""),"Small")</f>
        <v>Small</v>
      </c>
      <c r="L1043" s="251">
        <f>IFERROR(__xludf.DUMMYFUNCTION("""COMPUTED_VALUE"""),4.0)</f>
        <v>4</v>
      </c>
      <c r="M1043" s="251" t="str">
        <f>IFERROR(__xludf.DUMMYFUNCTION("""COMPUTED_VALUE"""),"Mountain")</f>
        <v>Mountain</v>
      </c>
      <c r="N1043" s="251" t="str">
        <f>IFERROR(__xludf.DUMMYFUNCTION("""COMPUTED_VALUE"""),"Slow")</f>
        <v>Slow</v>
      </c>
      <c r="O1043" s="251" t="str">
        <f>IFERROR(__xludf.DUMMYFUNCTION("""COMPUTED_VALUE"""),"--")</f>
        <v>--</v>
      </c>
      <c r="P1043" s="251" t="str">
        <f>IFERROR(__xludf.DUMMYFUNCTION("""COMPUTED_VALUE"""),"--")</f>
        <v>--</v>
      </c>
      <c r="Q1043" s="251" t="str">
        <f>IFERROR(__xludf.DUMMYFUNCTION("""COMPUTED_VALUE"""),"--")</f>
        <v>--</v>
      </c>
      <c r="R1043" s="251" t="str">
        <f>IFERROR(__xludf.DUMMYFUNCTION("""COMPUTED_VALUE"""),"--")</f>
        <v>--</v>
      </c>
      <c r="S1043" s="251" t="str">
        <f>IFERROR(__xludf.DUMMYFUNCTION("""COMPUTED_VALUE"""),"--")</f>
        <v>--</v>
      </c>
      <c r="T1043" s="251" t="str">
        <f>IFERROR(__xludf.DUMMYFUNCTION("""COMPUTED_VALUE"""),"--")</f>
        <v>--</v>
      </c>
      <c r="U1043" s="251" t="str">
        <f>IFERROR(__xludf.DUMMYFUNCTION("""COMPUTED_VALUE"""),"--")</f>
        <v>--</v>
      </c>
      <c r="V1043" s="251" t="str">
        <f>IFERROR(__xludf.DUMMYFUNCTION("""COMPUTED_VALUE"""),"Heater")</f>
        <v>Heater</v>
      </c>
      <c r="W1043" s="251" t="str">
        <f>IFERROR(__xludf.DUMMYFUNCTION("""COMPUTED_VALUE"""),"--")</f>
        <v>--</v>
      </c>
      <c r="X1043" s="251" t="str">
        <f>IFERROR(__xludf.DUMMYFUNCTION("""COMPUTED_VALUE"""),"--")</f>
        <v>--</v>
      </c>
      <c r="Y1043" s="251" t="str">
        <f>IFERROR(__xludf.DUMMYFUNCTION("""COMPUTED_VALUE"""),"--")</f>
        <v>--</v>
      </c>
      <c r="Z1043" s="251" t="str">
        <f>IFERROR(__xludf.DUMMYFUNCTION("""COMPUTED_VALUE"""),"--")</f>
        <v>--</v>
      </c>
      <c r="AA1043" s="251" t="str">
        <f>IFERROR(__xludf.DUMMYFUNCTION("""COMPUTED_VALUE"""),"--")</f>
        <v>--</v>
      </c>
      <c r="AB1043" s="251" t="str">
        <f>IFERROR(__xludf.DUMMYFUNCTION("""COMPUTED_VALUE"""),"--")</f>
        <v>--</v>
      </c>
      <c r="AC1043" s="251" t="str">
        <f>IFERROR(__xludf.DUMMYFUNCTION("""COMPUTED_VALUE"""),"--")</f>
        <v>--</v>
      </c>
      <c r="AD1043" s="251">
        <f>IFERROR(__xludf.DUMMYFUNCTION("""COMPUTED_VALUE"""),3.0)</f>
        <v>3</v>
      </c>
      <c r="AE1043" s="251" t="str">
        <f>IFERROR(__xludf.DUMMYFUNCTION("""COMPUTED_VALUE"""),"Terravore")</f>
        <v>Terravore</v>
      </c>
    </row>
    <row r="1044">
      <c r="A1044" s="251" t="str">
        <f>IFERROR(__xludf.DUMMYFUNCTION("""COMPUTED_VALUE"""),"Heatmor")</f>
        <v>Heatmor</v>
      </c>
      <c r="B1044" s="251" t="str">
        <f>IFERROR(__xludf.DUMMYFUNCTION("""COMPUTED_VALUE"""),"Fire")</f>
        <v>Fire</v>
      </c>
      <c r="C1044" s="251" t="str">
        <f>IFERROR(__xludf.DUMMYFUNCTION("""COMPUTED_VALUE"""),"None")</f>
        <v>None</v>
      </c>
      <c r="D1044" s="251">
        <f>IFERROR(__xludf.DUMMYFUNCTION("""COMPUTED_VALUE"""),9.0)</f>
        <v>9</v>
      </c>
      <c r="E1044" s="251">
        <f>IFERROR(__xludf.DUMMYFUNCTION("""COMPUTED_VALUE"""),10.0)</f>
        <v>10</v>
      </c>
      <c r="F1044" s="251">
        <f>IFERROR(__xludf.DUMMYFUNCTION("""COMPUTED_VALUE"""),7.0)</f>
        <v>7</v>
      </c>
      <c r="G1044" s="251">
        <f>IFERROR(__xludf.DUMMYFUNCTION("""COMPUTED_VALUE"""),11.0)</f>
        <v>11</v>
      </c>
      <c r="H1044" s="251">
        <f>IFERROR(__xludf.DUMMYFUNCTION("""COMPUTED_VALUE"""),7.0)</f>
        <v>7</v>
      </c>
      <c r="I1044" s="251">
        <f>IFERROR(__xludf.DUMMYFUNCTION("""COMPUTED_VALUE"""),7.0)</f>
        <v>7</v>
      </c>
      <c r="J1044" s="251">
        <f>IFERROR(__xludf.DUMMYFUNCTION("""COMPUTED_VALUE"""),4.0)</f>
        <v>4</v>
      </c>
      <c r="K1044" s="251" t="str">
        <f>IFERROR(__xludf.DUMMYFUNCTION("""COMPUTED_VALUE"""),"Medium")</f>
        <v>Medium</v>
      </c>
      <c r="L1044" s="251">
        <f>IFERROR(__xludf.DUMMYFUNCTION("""COMPUTED_VALUE"""),4.0)</f>
        <v>4</v>
      </c>
      <c r="M1044" s="251" t="str">
        <f>IFERROR(__xludf.DUMMYFUNCTION("""COMPUTED_VALUE"""),"Cave")</f>
        <v>Cave</v>
      </c>
      <c r="N1044" s="251" t="str">
        <f>IFERROR(__xludf.DUMMYFUNCTION("""COMPUTED_VALUE"""),"Burrower")</f>
        <v>Burrower</v>
      </c>
      <c r="O1044" s="251" t="str">
        <f>IFERROR(__xludf.DUMMYFUNCTION("""COMPUTED_VALUE"""),"--")</f>
        <v>--</v>
      </c>
      <c r="P1044" s="251" t="str">
        <f>IFERROR(__xludf.DUMMYFUNCTION("""COMPUTED_VALUE"""),"--")</f>
        <v>--</v>
      </c>
      <c r="Q1044" s="251" t="str">
        <f>IFERROR(__xludf.DUMMYFUNCTION("""COMPUTED_VALUE"""),"--")</f>
        <v>--</v>
      </c>
      <c r="R1044" s="251" t="str">
        <f>IFERROR(__xludf.DUMMYFUNCTION("""COMPUTED_VALUE"""),"--")</f>
        <v>--</v>
      </c>
      <c r="S1044" s="251" t="str">
        <f>IFERROR(__xludf.DUMMYFUNCTION("""COMPUTED_VALUE"""),"--")</f>
        <v>--</v>
      </c>
      <c r="T1044" s="251" t="str">
        <f>IFERROR(__xludf.DUMMYFUNCTION("""COMPUTED_VALUE"""),"--")</f>
        <v>--</v>
      </c>
      <c r="U1044" s="251" t="str">
        <f>IFERROR(__xludf.DUMMYFUNCTION("""COMPUTED_VALUE"""),"--")</f>
        <v>--</v>
      </c>
      <c r="V1044" s="251" t="str">
        <f>IFERROR(__xludf.DUMMYFUNCTION("""COMPUTED_VALUE"""),"Heater")</f>
        <v>Heater</v>
      </c>
      <c r="W1044" s="251" t="str">
        <f>IFERROR(__xludf.DUMMYFUNCTION("""COMPUTED_VALUE"""),"--")</f>
        <v>--</v>
      </c>
      <c r="X1044" s="251" t="str">
        <f>IFERROR(__xludf.DUMMYFUNCTION("""COMPUTED_VALUE"""),"--")</f>
        <v>--</v>
      </c>
      <c r="Y1044" s="251" t="str">
        <f>IFERROR(__xludf.DUMMYFUNCTION("""COMPUTED_VALUE"""),"--")</f>
        <v>--</v>
      </c>
      <c r="Z1044" s="251" t="str">
        <f>IFERROR(__xludf.DUMMYFUNCTION("""COMPUTED_VALUE"""),"--")</f>
        <v>--</v>
      </c>
      <c r="AA1044" s="251" t="str">
        <f>IFERROR(__xludf.DUMMYFUNCTION("""COMPUTED_VALUE"""),"--")</f>
        <v>--</v>
      </c>
      <c r="AB1044" s="251" t="str">
        <f>IFERROR(__xludf.DUMMYFUNCTION("""COMPUTED_VALUE"""),"--")</f>
        <v>--</v>
      </c>
      <c r="AC1044" s="251" t="str">
        <f>IFERROR(__xludf.DUMMYFUNCTION("""COMPUTED_VALUE"""),"--")</f>
        <v>--</v>
      </c>
      <c r="AD1044" s="251">
        <f>IFERROR(__xludf.DUMMYFUNCTION("""COMPUTED_VALUE"""),3.0)</f>
        <v>3</v>
      </c>
      <c r="AE1044" s="251" t="str">
        <f>IFERROR(__xludf.DUMMYFUNCTION("""COMPUTED_VALUE"""),"Carnivore")</f>
        <v>Carnivore</v>
      </c>
    </row>
    <row r="1045">
      <c r="A1045" s="251" t="str">
        <f>IFERROR(__xludf.DUMMYFUNCTION("""COMPUTED_VALUE"""),"Turtonator")</f>
        <v>Turtonator</v>
      </c>
      <c r="B1045" s="251" t="str">
        <f>IFERROR(__xludf.DUMMYFUNCTION("""COMPUTED_VALUE"""),"Fire")</f>
        <v>Fire</v>
      </c>
      <c r="C1045" s="251" t="str">
        <f>IFERROR(__xludf.DUMMYFUNCTION("""COMPUTED_VALUE"""),"Dragon")</f>
        <v>Dragon</v>
      </c>
      <c r="D1045" s="251">
        <f>IFERROR(__xludf.DUMMYFUNCTION("""COMPUTED_VALUE"""),7.0)</f>
        <v>7</v>
      </c>
      <c r="E1045" s="251">
        <f>IFERROR(__xludf.DUMMYFUNCTION("""COMPUTED_VALUE"""),8.0)</f>
        <v>8</v>
      </c>
      <c r="F1045" s="251">
        <f>IFERROR(__xludf.DUMMYFUNCTION("""COMPUTED_VALUE"""),14.0)</f>
        <v>14</v>
      </c>
      <c r="G1045" s="251">
        <f>IFERROR(__xludf.DUMMYFUNCTION("""COMPUTED_VALUE"""),9.0)</f>
        <v>9</v>
      </c>
      <c r="H1045" s="251">
        <f>IFERROR(__xludf.DUMMYFUNCTION("""COMPUTED_VALUE"""),9.0)</f>
        <v>9</v>
      </c>
      <c r="I1045" s="251">
        <f>IFERROR(__xludf.DUMMYFUNCTION("""COMPUTED_VALUE"""),4.0)</f>
        <v>4</v>
      </c>
      <c r="J1045" s="251">
        <f>IFERROR(__xludf.DUMMYFUNCTION("""COMPUTED_VALUE"""),7.0)</f>
        <v>7</v>
      </c>
      <c r="K1045" s="251" t="str">
        <f>IFERROR(__xludf.DUMMYFUNCTION("""COMPUTED_VALUE"""),"Large")</f>
        <v>Large</v>
      </c>
      <c r="L1045" s="251">
        <f>IFERROR(__xludf.DUMMYFUNCTION("""COMPUTED_VALUE"""),6.0)</f>
        <v>6</v>
      </c>
      <c r="M1045" s="251" t="str">
        <f>IFERROR(__xludf.DUMMYFUNCTION("""COMPUTED_VALUE"""),"Cave, Mountain")</f>
        <v>Cave, Mountain</v>
      </c>
      <c r="N1045" s="251" t="str">
        <f>IFERROR(__xludf.DUMMYFUNCTION("""COMPUTED_VALUE"""),"--")</f>
        <v>--</v>
      </c>
      <c r="O1045" s="251" t="str">
        <f>IFERROR(__xludf.DUMMYFUNCTION("""COMPUTED_VALUE"""),"--")</f>
        <v>--</v>
      </c>
      <c r="P1045" s="251" t="str">
        <f>IFERROR(__xludf.DUMMYFUNCTION("""COMPUTED_VALUE"""),"--")</f>
        <v>--</v>
      </c>
      <c r="Q1045" s="251" t="str">
        <f>IFERROR(__xludf.DUMMYFUNCTION("""COMPUTED_VALUE"""),"--")</f>
        <v>--</v>
      </c>
      <c r="R1045" s="251" t="str">
        <f>IFERROR(__xludf.DUMMYFUNCTION("""COMPUTED_VALUE"""),"--")</f>
        <v>--</v>
      </c>
      <c r="S1045" s="251" t="str">
        <f>IFERROR(__xludf.DUMMYFUNCTION("""COMPUTED_VALUE"""),"--")</f>
        <v>--</v>
      </c>
      <c r="T1045" s="251" t="str">
        <f>IFERROR(__xludf.DUMMYFUNCTION("""COMPUTED_VALUE"""),"--")</f>
        <v>--</v>
      </c>
      <c r="U1045" s="251" t="str">
        <f>IFERROR(__xludf.DUMMYFUNCTION("""COMPUTED_VALUE"""),"--")</f>
        <v>--</v>
      </c>
      <c r="V1045" s="251" t="str">
        <f>IFERROR(__xludf.DUMMYFUNCTION("""COMPUTED_VALUE"""),"--")</f>
        <v>--</v>
      </c>
      <c r="W1045" s="251" t="str">
        <f>IFERROR(__xludf.DUMMYFUNCTION("""COMPUTED_VALUE"""),"--")</f>
        <v>--</v>
      </c>
      <c r="X1045" s="251" t="str">
        <f>IFERROR(__xludf.DUMMYFUNCTION("""COMPUTED_VALUE"""),"--")</f>
        <v>--</v>
      </c>
      <c r="Y1045" s="251" t="str">
        <f>IFERROR(__xludf.DUMMYFUNCTION("""COMPUTED_VALUE"""),"--")</f>
        <v>--</v>
      </c>
      <c r="Z1045" s="251" t="str">
        <f>IFERROR(__xludf.DUMMYFUNCTION("""COMPUTED_VALUE"""),"--")</f>
        <v>--</v>
      </c>
      <c r="AA1045" s="251" t="str">
        <f>IFERROR(__xludf.DUMMYFUNCTION("""COMPUTED_VALUE"""),"--")</f>
        <v>--</v>
      </c>
      <c r="AB1045" s="251" t="str">
        <f>IFERROR(__xludf.DUMMYFUNCTION("""COMPUTED_VALUE"""),"--")</f>
        <v>--</v>
      </c>
      <c r="AC1045" s="251" t="str">
        <f>IFERROR(__xludf.DUMMYFUNCTION("""COMPUTED_VALUE"""),"--")</f>
        <v>--</v>
      </c>
      <c r="AD1045" s="251">
        <f>IFERROR(__xludf.DUMMYFUNCTION("""COMPUTED_VALUE"""),3.0)</f>
        <v>3</v>
      </c>
      <c r="AE1045" s="251" t="str">
        <f>IFERROR(__xludf.DUMMYFUNCTION("""COMPUTED_VALUE"""),"Herbivore")</f>
        <v>Herbivore</v>
      </c>
    </row>
    <row r="1046">
      <c r="A1046" s="251" t="str">
        <f>IFERROR(__xludf.DUMMYFUNCTION("""COMPUTED_VALUE"""),"Cramorant")</f>
        <v>Cramorant</v>
      </c>
      <c r="B1046" s="251" t="str">
        <f>IFERROR(__xludf.DUMMYFUNCTION("""COMPUTED_VALUE"""),"Flying")</f>
        <v>Flying</v>
      </c>
      <c r="C1046" s="251" t="str">
        <f>IFERROR(__xludf.DUMMYFUNCTION("""COMPUTED_VALUE"""),"Water")</f>
        <v>Water</v>
      </c>
      <c r="D1046" s="251">
        <f>IFERROR(__xludf.DUMMYFUNCTION("""COMPUTED_VALUE"""),7.0)</f>
        <v>7</v>
      </c>
      <c r="E1046" s="251">
        <f>IFERROR(__xludf.DUMMYFUNCTION("""COMPUTED_VALUE"""),9.0)</f>
        <v>9</v>
      </c>
      <c r="F1046" s="251">
        <f>IFERROR(__xludf.DUMMYFUNCTION("""COMPUTED_VALUE"""),6.0)</f>
        <v>6</v>
      </c>
      <c r="G1046" s="251">
        <f>IFERROR(__xludf.DUMMYFUNCTION("""COMPUTED_VALUE"""),9.0)</f>
        <v>9</v>
      </c>
      <c r="H1046" s="251">
        <f>IFERROR(__xludf.DUMMYFUNCTION("""COMPUTED_VALUE"""),10.0)</f>
        <v>10</v>
      </c>
      <c r="I1046" s="251">
        <f>IFERROR(__xludf.DUMMYFUNCTION("""COMPUTED_VALUE"""),10.0)</f>
        <v>10</v>
      </c>
      <c r="J1046" s="251">
        <f>IFERROR(__xludf.DUMMYFUNCTION("""COMPUTED_VALUE"""),3.0)</f>
        <v>3</v>
      </c>
      <c r="K1046" s="251" t="str">
        <f>IFERROR(__xludf.DUMMYFUNCTION("""COMPUTED_VALUE"""),"Small")</f>
        <v>Small</v>
      </c>
      <c r="L1046" s="251">
        <f>IFERROR(__xludf.DUMMYFUNCTION("""COMPUTED_VALUE"""),2.0)</f>
        <v>2</v>
      </c>
      <c r="M1046" s="251" t="str">
        <f>IFERROR(__xludf.DUMMYFUNCTION("""COMPUTED_VALUE"""),"Ocean, Wetlands")</f>
        <v>Ocean, Wetlands</v>
      </c>
      <c r="N1046" s="251" t="str">
        <f>IFERROR(__xludf.DUMMYFUNCTION("""COMPUTED_VALUE"""),"Flier")</f>
        <v>Flier</v>
      </c>
      <c r="O1046" s="251" t="str">
        <f>IFERROR(__xludf.DUMMYFUNCTION("""COMPUTED_VALUE"""),"--")</f>
        <v>--</v>
      </c>
      <c r="P1046" s="251" t="str">
        <f>IFERROR(__xludf.DUMMYFUNCTION("""COMPUTED_VALUE"""),"--")</f>
        <v>--</v>
      </c>
      <c r="Q1046" s="251" t="str">
        <f>IFERROR(__xludf.DUMMYFUNCTION("""COMPUTED_VALUE"""),"--")</f>
        <v>--</v>
      </c>
      <c r="R1046" s="251" t="str">
        <f>IFERROR(__xludf.DUMMYFUNCTION("""COMPUTED_VALUE"""),"--")</f>
        <v>--</v>
      </c>
      <c r="S1046" s="251" t="str">
        <f>IFERROR(__xludf.DUMMYFUNCTION("""COMPUTED_VALUE"""),"--")</f>
        <v>--</v>
      </c>
      <c r="T1046" s="251" t="str">
        <f>IFERROR(__xludf.DUMMYFUNCTION("""COMPUTED_VALUE"""),"--")</f>
        <v>--</v>
      </c>
      <c r="U1046" s="251" t="str">
        <f>IFERROR(__xludf.DUMMYFUNCTION("""COMPUTED_VALUE"""),"--")</f>
        <v>--</v>
      </c>
      <c r="V1046" s="251" t="str">
        <f>IFERROR(__xludf.DUMMYFUNCTION("""COMPUTED_VALUE"""),"--")</f>
        <v>--</v>
      </c>
      <c r="W1046" s="251" t="str">
        <f>IFERROR(__xludf.DUMMYFUNCTION("""COMPUTED_VALUE"""),"--")</f>
        <v>--</v>
      </c>
      <c r="X1046" s="251" t="str">
        <f>IFERROR(__xludf.DUMMYFUNCTION("""COMPUTED_VALUE"""),"--")</f>
        <v>--</v>
      </c>
      <c r="Y1046" s="251" t="str">
        <f>IFERROR(__xludf.DUMMYFUNCTION("""COMPUTED_VALUE"""),"--")</f>
        <v>--</v>
      </c>
      <c r="Z1046" s="251" t="str">
        <f>IFERROR(__xludf.DUMMYFUNCTION("""COMPUTED_VALUE"""),"--")</f>
        <v>--</v>
      </c>
      <c r="AA1046" s="251" t="str">
        <f>IFERROR(__xludf.DUMMYFUNCTION("""COMPUTED_VALUE"""),"--")</f>
        <v>--</v>
      </c>
      <c r="AB1046" s="251" t="str">
        <f>IFERROR(__xludf.DUMMYFUNCTION("""COMPUTED_VALUE"""),"--")</f>
        <v>--</v>
      </c>
      <c r="AC1046" s="251" t="str">
        <f>IFERROR(__xludf.DUMMYFUNCTION("""COMPUTED_VALUE"""),"--")</f>
        <v>--</v>
      </c>
      <c r="AD1046" s="251">
        <f>IFERROR(__xludf.DUMMYFUNCTION("""COMPUTED_VALUE"""),3.0)</f>
        <v>3</v>
      </c>
      <c r="AE1046" s="251" t="str">
        <f>IFERROR(__xludf.DUMMYFUNCTION("""COMPUTED_VALUE"""),"Carnivore")</f>
        <v>Carnivore</v>
      </c>
    </row>
    <row r="1047">
      <c r="A1047" s="251" t="str">
        <f>IFERROR(__xludf.DUMMYFUNCTION("""COMPUTED_VALUE"""),"Bombirdier")</f>
        <v>Bombirdier</v>
      </c>
      <c r="B1047" s="251" t="str">
        <f>IFERROR(__xludf.DUMMYFUNCTION("""COMPUTED_VALUE"""),"Flying")</f>
        <v>Flying</v>
      </c>
      <c r="C1047" s="251" t="str">
        <f>IFERROR(__xludf.DUMMYFUNCTION("""COMPUTED_VALUE"""),"Dark")</f>
        <v>Dark</v>
      </c>
      <c r="D1047" s="251">
        <f>IFERROR(__xludf.DUMMYFUNCTION("""COMPUTED_VALUE"""),7.0)</f>
        <v>7</v>
      </c>
      <c r="E1047" s="251">
        <f>IFERROR(__xludf.DUMMYFUNCTION("""COMPUTED_VALUE"""),11.0)</f>
        <v>11</v>
      </c>
      <c r="F1047" s="251">
        <f>IFERROR(__xludf.DUMMYFUNCTION("""COMPUTED_VALUE"""),9.0)</f>
        <v>9</v>
      </c>
      <c r="G1047" s="251">
        <f>IFERROR(__xludf.DUMMYFUNCTION("""COMPUTED_VALUE"""),6.0)</f>
        <v>6</v>
      </c>
      <c r="H1047" s="251">
        <f>IFERROR(__xludf.DUMMYFUNCTION("""COMPUTED_VALUE"""),9.0)</f>
        <v>9</v>
      </c>
      <c r="I1047" s="251">
        <f>IFERROR(__xludf.DUMMYFUNCTION("""COMPUTED_VALUE"""),9.0)</f>
        <v>9</v>
      </c>
      <c r="J1047" s="251">
        <f>IFERROR(__xludf.DUMMYFUNCTION("""COMPUTED_VALUE"""),10.0)</f>
        <v>10</v>
      </c>
      <c r="K1047" s="251" t="str">
        <f>IFERROR(__xludf.DUMMYFUNCTION("""COMPUTED_VALUE"""),"Medium")</f>
        <v>Medium</v>
      </c>
      <c r="L1047" s="251">
        <f>IFERROR(__xludf.DUMMYFUNCTION("""COMPUTED_VALUE"""),3.0)</f>
        <v>3</v>
      </c>
      <c r="M1047" s="251" t="str">
        <f>IFERROR(__xludf.DUMMYFUNCTION("""COMPUTED_VALUE"""),"Mountain")</f>
        <v>Mountain</v>
      </c>
      <c r="N1047" s="251" t="str">
        <f>IFERROR(__xludf.DUMMYFUNCTION("""COMPUTED_VALUE"""),"Flier")</f>
        <v>Flier</v>
      </c>
      <c r="O1047" s="251" t="str">
        <f>IFERROR(__xludf.DUMMYFUNCTION("""COMPUTED_VALUE"""),"--")</f>
        <v>--</v>
      </c>
      <c r="P1047" s="251" t="str">
        <f>IFERROR(__xludf.DUMMYFUNCTION("""COMPUTED_VALUE"""),"--")</f>
        <v>--</v>
      </c>
      <c r="Q1047" s="251" t="str">
        <f>IFERROR(__xludf.DUMMYFUNCTION("""COMPUTED_VALUE"""),"--")</f>
        <v>--</v>
      </c>
      <c r="R1047" s="251" t="str">
        <f>IFERROR(__xludf.DUMMYFUNCTION("""COMPUTED_VALUE"""),"--")</f>
        <v>--</v>
      </c>
      <c r="S1047" s="251" t="str">
        <f>IFERROR(__xludf.DUMMYFUNCTION("""COMPUTED_VALUE"""),"--")</f>
        <v>--</v>
      </c>
      <c r="T1047" s="251" t="str">
        <f>IFERROR(__xludf.DUMMYFUNCTION("""COMPUTED_VALUE"""),"--")</f>
        <v>--</v>
      </c>
      <c r="U1047" s="251" t="str">
        <f>IFERROR(__xludf.DUMMYFUNCTION("""COMPUTED_VALUE"""),"--")</f>
        <v>--</v>
      </c>
      <c r="V1047" s="251" t="str">
        <f>IFERROR(__xludf.DUMMYFUNCTION("""COMPUTED_VALUE"""),"--")</f>
        <v>--</v>
      </c>
      <c r="W1047" s="251" t="str">
        <f>IFERROR(__xludf.DUMMYFUNCTION("""COMPUTED_VALUE"""),"--")</f>
        <v>--</v>
      </c>
      <c r="X1047" s="251" t="str">
        <f>IFERROR(__xludf.DUMMYFUNCTION("""COMPUTED_VALUE"""),"--")</f>
        <v>--</v>
      </c>
      <c r="Y1047" s="251" t="str">
        <f>IFERROR(__xludf.DUMMYFUNCTION("""COMPUTED_VALUE"""),"--")</f>
        <v>--</v>
      </c>
      <c r="Z1047" s="251" t="str">
        <f>IFERROR(__xludf.DUMMYFUNCTION("""COMPUTED_VALUE"""),"--")</f>
        <v>--</v>
      </c>
      <c r="AA1047" s="251" t="str">
        <f>IFERROR(__xludf.DUMMYFUNCTION("""COMPUTED_VALUE"""),"--")</f>
        <v>--</v>
      </c>
      <c r="AB1047" s="251" t="str">
        <f>IFERROR(__xludf.DUMMYFUNCTION("""COMPUTED_VALUE"""),"--")</f>
        <v>--</v>
      </c>
      <c r="AC1047" s="251" t="str">
        <f>IFERROR(__xludf.DUMMYFUNCTION("""COMPUTED_VALUE"""),"--")</f>
        <v>--</v>
      </c>
      <c r="AD1047" s="251">
        <f>IFERROR(__xludf.DUMMYFUNCTION("""COMPUTED_VALUE"""),3.0)</f>
        <v>3</v>
      </c>
      <c r="AE1047" s="251" t="str">
        <f>IFERROR(__xludf.DUMMYFUNCTION("""COMPUTED_VALUE"""),"Carnivore")</f>
        <v>Carnivore</v>
      </c>
    </row>
    <row r="1048">
      <c r="A1048" s="251" t="str">
        <f>IFERROR(__xludf.DUMMYFUNCTION("""COMPUTED_VALUE"""),"Flamigo")</f>
        <v>Flamigo</v>
      </c>
      <c r="B1048" s="251" t="str">
        <f>IFERROR(__xludf.DUMMYFUNCTION("""COMPUTED_VALUE"""),"Flying")</f>
        <v>Flying</v>
      </c>
      <c r="C1048" s="251" t="str">
        <f>IFERROR(__xludf.DUMMYFUNCTION("""COMPUTED_VALUE"""),"Fighting")</f>
        <v>Fighting</v>
      </c>
      <c r="D1048" s="251">
        <f>IFERROR(__xludf.DUMMYFUNCTION("""COMPUTED_VALUE"""),8.0)</f>
        <v>8</v>
      </c>
      <c r="E1048" s="251">
        <f>IFERROR(__xludf.DUMMYFUNCTION("""COMPUTED_VALUE"""),12.0)</f>
        <v>12</v>
      </c>
      <c r="F1048" s="251">
        <f>IFERROR(__xludf.DUMMYFUNCTION("""COMPUTED_VALUE"""),7.0)</f>
        <v>7</v>
      </c>
      <c r="G1048" s="251">
        <f>IFERROR(__xludf.DUMMYFUNCTION("""COMPUTED_VALUE"""),8.0)</f>
        <v>8</v>
      </c>
      <c r="H1048" s="251">
        <f>IFERROR(__xludf.DUMMYFUNCTION("""COMPUTED_VALUE"""),7.0)</f>
        <v>7</v>
      </c>
      <c r="I1048" s="251">
        <f>IFERROR(__xludf.DUMMYFUNCTION("""COMPUTED_VALUE"""),9.0)</f>
        <v>9</v>
      </c>
      <c r="J1048" s="251">
        <f>IFERROR(__xludf.DUMMYFUNCTION("""COMPUTED_VALUE"""),8.0)</f>
        <v>8</v>
      </c>
      <c r="K1048" s="251" t="str">
        <f>IFERROR(__xludf.DUMMYFUNCTION("""COMPUTED_VALUE"""),"Medium")</f>
        <v>Medium</v>
      </c>
      <c r="L1048" s="251">
        <f>IFERROR(__xludf.DUMMYFUNCTION("""COMPUTED_VALUE"""),3.0)</f>
        <v>3</v>
      </c>
      <c r="M1048" s="251" t="str">
        <f>IFERROR(__xludf.DUMMYFUNCTION("""COMPUTED_VALUE"""),"Wetlands")</f>
        <v>Wetlands</v>
      </c>
      <c r="N1048" s="251" t="str">
        <f>IFERROR(__xludf.DUMMYFUNCTION("""COMPUTED_VALUE"""),"Flier")</f>
        <v>Flier</v>
      </c>
      <c r="O1048" s="251" t="str">
        <f>IFERROR(__xludf.DUMMYFUNCTION("""COMPUTED_VALUE"""),"--")</f>
        <v>--</v>
      </c>
      <c r="P1048" s="251" t="str">
        <f>IFERROR(__xludf.DUMMYFUNCTION("""COMPUTED_VALUE"""),"--")</f>
        <v>--</v>
      </c>
      <c r="Q1048" s="251" t="str">
        <f>IFERROR(__xludf.DUMMYFUNCTION("""COMPUTED_VALUE"""),"--")</f>
        <v>--</v>
      </c>
      <c r="R1048" s="251" t="str">
        <f>IFERROR(__xludf.DUMMYFUNCTION("""COMPUTED_VALUE"""),"Reach")</f>
        <v>Reach</v>
      </c>
      <c r="S1048" s="251" t="str">
        <f>IFERROR(__xludf.DUMMYFUNCTION("""COMPUTED_VALUE"""),"--")</f>
        <v>--</v>
      </c>
      <c r="T1048" s="251" t="str">
        <f>IFERROR(__xludf.DUMMYFUNCTION("""COMPUTED_VALUE"""),"--")</f>
        <v>--</v>
      </c>
      <c r="U1048" s="251" t="str">
        <f>IFERROR(__xludf.DUMMYFUNCTION("""COMPUTED_VALUE"""),"--")</f>
        <v>--</v>
      </c>
      <c r="V1048" s="251" t="str">
        <f>IFERROR(__xludf.DUMMYFUNCTION("""COMPUTED_VALUE"""),"--")</f>
        <v>--</v>
      </c>
      <c r="W1048" s="251" t="str">
        <f>IFERROR(__xludf.DUMMYFUNCTION("""COMPUTED_VALUE"""),"--")</f>
        <v>--</v>
      </c>
      <c r="X1048" s="251" t="str">
        <f>IFERROR(__xludf.DUMMYFUNCTION("""COMPUTED_VALUE"""),"--")</f>
        <v>--</v>
      </c>
      <c r="Y1048" s="251" t="str">
        <f>IFERROR(__xludf.DUMMYFUNCTION("""COMPUTED_VALUE"""),"--")</f>
        <v>--</v>
      </c>
      <c r="Z1048" s="251" t="str">
        <f>IFERROR(__xludf.DUMMYFUNCTION("""COMPUTED_VALUE"""),"--")</f>
        <v>--</v>
      </c>
      <c r="AA1048" s="251" t="str">
        <f>IFERROR(__xludf.DUMMYFUNCTION("""COMPUTED_VALUE"""),"--")</f>
        <v>--</v>
      </c>
      <c r="AB1048" s="251" t="str">
        <f>IFERROR(__xludf.DUMMYFUNCTION("""COMPUTED_VALUE"""),"--")</f>
        <v>--</v>
      </c>
      <c r="AC1048" s="251" t="str">
        <f>IFERROR(__xludf.DUMMYFUNCTION("""COMPUTED_VALUE"""),"--")</f>
        <v>--</v>
      </c>
      <c r="AD1048" s="251">
        <f>IFERROR(__xludf.DUMMYFUNCTION("""COMPUTED_VALUE"""),3.0)</f>
        <v>3</v>
      </c>
      <c r="AE1048" s="251" t="str">
        <f>IFERROR(__xludf.DUMMYFUNCTION("""COMPUTED_VALUE"""),"Omnivore")</f>
        <v>Omnivore</v>
      </c>
    </row>
    <row r="1049">
      <c r="A1049" s="251" t="str">
        <f>IFERROR(__xludf.DUMMYFUNCTION("""COMPUTED_VALUE"""),"Spiritomb")</f>
        <v>Spiritomb</v>
      </c>
      <c r="B1049" s="251" t="str">
        <f>IFERROR(__xludf.DUMMYFUNCTION("""COMPUTED_VALUE"""),"Ghost")</f>
        <v>Ghost</v>
      </c>
      <c r="C1049" s="251" t="str">
        <f>IFERROR(__xludf.DUMMYFUNCTION("""COMPUTED_VALUE"""),"Dark")</f>
        <v>Dark</v>
      </c>
      <c r="D1049" s="251">
        <f>IFERROR(__xludf.DUMMYFUNCTION("""COMPUTED_VALUE"""),5.0)</f>
        <v>5</v>
      </c>
      <c r="E1049" s="251">
        <f>IFERROR(__xludf.DUMMYFUNCTION("""COMPUTED_VALUE"""),9.0)</f>
        <v>9</v>
      </c>
      <c r="F1049" s="251">
        <f>IFERROR(__xludf.DUMMYFUNCTION("""COMPUTED_VALUE"""),12.0)</f>
        <v>12</v>
      </c>
      <c r="G1049" s="251">
        <f>IFERROR(__xludf.DUMMYFUNCTION("""COMPUTED_VALUE"""),9.0)</f>
        <v>9</v>
      </c>
      <c r="H1049" s="251">
        <f>IFERROR(__xludf.DUMMYFUNCTION("""COMPUTED_VALUE"""),12.0)</f>
        <v>12</v>
      </c>
      <c r="I1049" s="251">
        <f>IFERROR(__xludf.DUMMYFUNCTION("""COMPUTED_VALUE"""),4.0)</f>
        <v>4</v>
      </c>
      <c r="J1049" s="251">
        <f>IFERROR(__xludf.DUMMYFUNCTION("""COMPUTED_VALUE"""),2.0)</f>
        <v>2</v>
      </c>
      <c r="K1049" s="251" t="str">
        <f>IFERROR(__xludf.DUMMYFUNCTION("""COMPUTED_VALUE"""),"Medium")</f>
        <v>Medium</v>
      </c>
      <c r="L1049" s="251">
        <f>IFERROR(__xludf.DUMMYFUNCTION("""COMPUTED_VALUE"""),5.0)</f>
        <v>5</v>
      </c>
      <c r="M1049" s="251" t="str">
        <f>IFERROR(__xludf.DUMMYFUNCTION("""COMPUTED_VALUE"""),"Cave")</f>
        <v>Cave</v>
      </c>
      <c r="N1049" s="251" t="str">
        <f>IFERROR(__xludf.DUMMYFUNCTION("""COMPUTED_VALUE"""),"Flier")</f>
        <v>Flier</v>
      </c>
      <c r="O1049" s="251" t="str">
        <f>IFERROR(__xludf.DUMMYFUNCTION("""COMPUTED_VALUE"""),"Phaser")</f>
        <v>Phaser</v>
      </c>
      <c r="P1049" s="251" t="str">
        <f>IFERROR(__xludf.DUMMYFUNCTION("""COMPUTED_VALUE"""),"--")</f>
        <v>--</v>
      </c>
      <c r="Q1049" s="251" t="str">
        <f>IFERROR(__xludf.DUMMYFUNCTION("""COMPUTED_VALUE"""),"--")</f>
        <v>--</v>
      </c>
      <c r="R1049" s="251" t="str">
        <f>IFERROR(__xludf.DUMMYFUNCTION("""COMPUTED_VALUE"""),"Darkvision")</f>
        <v>Darkvision</v>
      </c>
      <c r="S1049" s="251" t="str">
        <f>IFERROR(__xludf.DUMMYFUNCTION("""COMPUTED_VALUE"""),"Invisibility")</f>
        <v>Invisibility</v>
      </c>
      <c r="T1049" s="251" t="str">
        <f>IFERROR(__xludf.DUMMYFUNCTION("""COMPUTED_VALUE"""),"--")</f>
        <v>--</v>
      </c>
      <c r="U1049" s="251" t="str">
        <f>IFERROR(__xludf.DUMMYFUNCTION("""COMPUTED_VALUE"""),"--")</f>
        <v>--</v>
      </c>
      <c r="V1049" s="251" t="str">
        <f>IFERROR(__xludf.DUMMYFUNCTION("""COMPUTED_VALUE"""),"Dead Silent")</f>
        <v>Dead Silent</v>
      </c>
      <c r="W1049" s="251" t="str">
        <f>IFERROR(__xludf.DUMMYFUNCTION("""COMPUTED_VALUE"""),"--")</f>
        <v>--</v>
      </c>
      <c r="X1049" s="251" t="str">
        <f>IFERROR(__xludf.DUMMYFUNCTION("""COMPUTED_VALUE"""),"--")</f>
        <v>--</v>
      </c>
      <c r="Y1049" s="251" t="str">
        <f>IFERROR(__xludf.DUMMYFUNCTION("""COMPUTED_VALUE"""),"--")</f>
        <v>--</v>
      </c>
      <c r="Z1049" s="251" t="str">
        <f>IFERROR(__xludf.DUMMYFUNCTION("""COMPUTED_VALUE"""),"--")</f>
        <v>--</v>
      </c>
      <c r="AA1049" s="251" t="str">
        <f>IFERROR(__xludf.DUMMYFUNCTION("""COMPUTED_VALUE"""),"--")</f>
        <v>--</v>
      </c>
      <c r="AB1049" s="251" t="str">
        <f>IFERROR(__xludf.DUMMYFUNCTION("""COMPUTED_VALUE"""),"--")</f>
        <v>--</v>
      </c>
      <c r="AC1049" s="251" t="str">
        <f>IFERROR(__xludf.DUMMYFUNCTION("""COMPUTED_VALUE"""),"--")</f>
        <v>--</v>
      </c>
      <c r="AD1049" s="251">
        <f>IFERROR(__xludf.DUMMYFUNCTION("""COMPUTED_VALUE"""),3.0)</f>
        <v>3</v>
      </c>
      <c r="AE1049" s="251" t="str">
        <f>IFERROR(__xludf.DUMMYFUNCTION("""COMPUTED_VALUE"""),"Nullivore")</f>
        <v>Nullivore</v>
      </c>
    </row>
    <row r="1050">
      <c r="A1050" s="251" t="str">
        <f>IFERROR(__xludf.DUMMYFUNCTION("""COMPUTED_VALUE"""),"Mimikyu")</f>
        <v>Mimikyu</v>
      </c>
      <c r="B1050" s="251" t="str">
        <f>IFERROR(__xludf.DUMMYFUNCTION("""COMPUTED_VALUE"""),"Ghost")</f>
        <v>Ghost</v>
      </c>
      <c r="C1050" s="251" t="str">
        <f>IFERROR(__xludf.DUMMYFUNCTION("""COMPUTED_VALUE"""),"Fairy")</f>
        <v>Fairy</v>
      </c>
      <c r="D1050" s="251">
        <f>IFERROR(__xludf.DUMMYFUNCTION("""COMPUTED_VALUE"""),7.0)</f>
        <v>7</v>
      </c>
      <c r="E1050" s="251">
        <f>IFERROR(__xludf.DUMMYFUNCTION("""COMPUTED_VALUE"""),10.0)</f>
        <v>10</v>
      </c>
      <c r="F1050" s="251">
        <f>IFERROR(__xludf.DUMMYFUNCTION("""COMPUTED_VALUE"""),8.0)</f>
        <v>8</v>
      </c>
      <c r="G1050" s="251">
        <f>IFERROR(__xludf.DUMMYFUNCTION("""COMPUTED_VALUE"""),5.0)</f>
        <v>5</v>
      </c>
      <c r="H1050" s="251">
        <f>IFERROR(__xludf.DUMMYFUNCTION("""COMPUTED_VALUE"""),11.0)</f>
        <v>11</v>
      </c>
      <c r="I1050" s="251">
        <f>IFERROR(__xludf.DUMMYFUNCTION("""COMPUTED_VALUE"""),10.0)</f>
        <v>10</v>
      </c>
      <c r="J1050" s="251">
        <f>IFERROR(__xludf.DUMMYFUNCTION("""COMPUTED_VALUE"""),2.0)</f>
        <v>2</v>
      </c>
      <c r="K1050" s="251" t="str">
        <f>IFERROR(__xludf.DUMMYFUNCTION("""COMPUTED_VALUE"""),"Small")</f>
        <v>Small</v>
      </c>
      <c r="L1050" s="251">
        <f>IFERROR(__xludf.DUMMYFUNCTION("""COMPUTED_VALUE"""),1.0)</f>
        <v>1</v>
      </c>
      <c r="M1050" s="251" t="str">
        <f>IFERROR(__xludf.DUMMYFUNCTION("""COMPUTED_VALUE"""),"Forest")</f>
        <v>Forest</v>
      </c>
      <c r="N1050" s="251" t="str">
        <f>IFERROR(__xludf.DUMMYFUNCTION("""COMPUTED_VALUE"""),"--")</f>
        <v>--</v>
      </c>
      <c r="O1050" s="251" t="str">
        <f>IFERROR(__xludf.DUMMYFUNCTION("""COMPUTED_VALUE"""),"--")</f>
        <v>--</v>
      </c>
      <c r="P1050" s="251" t="str">
        <f>IFERROR(__xludf.DUMMYFUNCTION("""COMPUTED_VALUE"""),"--")</f>
        <v>--</v>
      </c>
      <c r="Q1050" s="251" t="str">
        <f>IFERROR(__xludf.DUMMYFUNCTION("""COMPUTED_VALUE"""),"--")</f>
        <v>--</v>
      </c>
      <c r="R1050" s="251" t="str">
        <f>IFERROR(__xludf.DUMMYFUNCTION("""COMPUTED_VALUE"""),"Darkvision")</f>
        <v>Darkvision</v>
      </c>
      <c r="S1050" s="251" t="str">
        <f>IFERROR(__xludf.DUMMYFUNCTION("""COMPUTED_VALUE"""),"Reach")</f>
        <v>Reach</v>
      </c>
      <c r="T1050" s="251" t="str">
        <f>IFERROR(__xludf.DUMMYFUNCTION("""COMPUTED_VALUE"""),"--")</f>
        <v>--</v>
      </c>
      <c r="U1050" s="251" t="str">
        <f>IFERROR(__xludf.DUMMYFUNCTION("""COMPUTED_VALUE"""),"--")</f>
        <v>--</v>
      </c>
      <c r="V1050" s="251" t="str">
        <f>IFERROR(__xludf.DUMMYFUNCTION("""COMPUTED_VALUE"""),"Amorphous")</f>
        <v>Amorphous</v>
      </c>
      <c r="W1050" s="251" t="str">
        <f>IFERROR(__xludf.DUMMYFUNCTION("""COMPUTED_VALUE"""),"Dead Silent")</f>
        <v>Dead Silent</v>
      </c>
      <c r="X1050" s="251" t="str">
        <f>IFERROR(__xludf.DUMMYFUNCTION("""COMPUTED_VALUE"""),"--")</f>
        <v>--</v>
      </c>
      <c r="Y1050" s="251" t="str">
        <f>IFERROR(__xludf.DUMMYFUNCTION("""COMPUTED_VALUE"""),"--")</f>
        <v>--</v>
      </c>
      <c r="Z1050" s="251" t="str">
        <f>IFERROR(__xludf.DUMMYFUNCTION("""COMPUTED_VALUE"""),"--")</f>
        <v>--</v>
      </c>
      <c r="AA1050" s="251" t="str">
        <f>IFERROR(__xludf.DUMMYFUNCTION("""COMPUTED_VALUE"""),"--")</f>
        <v>--</v>
      </c>
      <c r="AB1050" s="251" t="str">
        <f>IFERROR(__xludf.DUMMYFUNCTION("""COMPUTED_VALUE"""),"--")</f>
        <v>--</v>
      </c>
      <c r="AC1050" s="251" t="str">
        <f>IFERROR(__xludf.DUMMYFUNCTION("""COMPUTED_VALUE"""),"--")</f>
        <v>--</v>
      </c>
      <c r="AD1050" s="251">
        <f>IFERROR(__xludf.DUMMYFUNCTION("""COMPUTED_VALUE"""),3.0)</f>
        <v>3</v>
      </c>
      <c r="AE1050" s="251" t="str">
        <f>IFERROR(__xludf.DUMMYFUNCTION("""COMPUTED_VALUE"""),"Nullivore")</f>
        <v>Nullivore</v>
      </c>
    </row>
    <row r="1051">
      <c r="A1051" s="251" t="str">
        <f>IFERROR(__xludf.DUMMYFUNCTION("""COMPUTED_VALUE"""),"Dhelmise")</f>
        <v>Dhelmise</v>
      </c>
      <c r="B1051" s="251" t="str">
        <f>IFERROR(__xludf.DUMMYFUNCTION("""COMPUTED_VALUE"""),"Grass")</f>
        <v>Grass</v>
      </c>
      <c r="C1051" s="251" t="str">
        <f>IFERROR(__xludf.DUMMYFUNCTION("""COMPUTED_VALUE"""),"Ghost")</f>
        <v>Ghost</v>
      </c>
      <c r="D1051" s="251">
        <f>IFERROR(__xludf.DUMMYFUNCTION("""COMPUTED_VALUE"""),7.0)</f>
        <v>7</v>
      </c>
      <c r="E1051" s="251">
        <f>IFERROR(__xludf.DUMMYFUNCTION("""COMPUTED_VALUE"""),13.0)</f>
        <v>13</v>
      </c>
      <c r="F1051" s="251">
        <f>IFERROR(__xludf.DUMMYFUNCTION("""COMPUTED_VALUE"""),10.0)</f>
        <v>10</v>
      </c>
      <c r="G1051" s="251">
        <f>IFERROR(__xludf.DUMMYFUNCTION("""COMPUTED_VALUE"""),9.0)</f>
        <v>9</v>
      </c>
      <c r="H1051" s="251">
        <f>IFERROR(__xludf.DUMMYFUNCTION("""COMPUTED_VALUE"""),9.0)</f>
        <v>9</v>
      </c>
      <c r="I1051" s="251">
        <f>IFERROR(__xludf.DUMMYFUNCTION("""COMPUTED_VALUE"""),4.0)</f>
        <v>4</v>
      </c>
      <c r="J1051" s="251">
        <f>IFERROR(__xludf.DUMMYFUNCTION("""COMPUTED_VALUE"""),7.0)</f>
        <v>7</v>
      </c>
      <c r="K1051" s="251" t="str">
        <f>IFERROR(__xludf.DUMMYFUNCTION("""COMPUTED_VALUE"""),"Huge")</f>
        <v>Huge</v>
      </c>
      <c r="L1051" s="251">
        <f>IFERROR(__xludf.DUMMYFUNCTION("""COMPUTED_VALUE"""),6.0)</f>
        <v>6</v>
      </c>
      <c r="M1051" s="251" t="str">
        <f>IFERROR(__xludf.DUMMYFUNCTION("""COMPUTED_VALUE"""),"Ocean")</f>
        <v>Ocean</v>
      </c>
      <c r="N1051" s="251" t="str">
        <f>IFERROR(__xludf.DUMMYFUNCTION("""COMPUTED_VALUE"""),"Grounded")</f>
        <v>Grounded</v>
      </c>
      <c r="O1051" s="251" t="str">
        <f>IFERROR(__xludf.DUMMYFUNCTION("""COMPUTED_VALUE"""),"Slow")</f>
        <v>Slow</v>
      </c>
      <c r="P1051" s="251" t="str">
        <f>IFERROR(__xludf.DUMMYFUNCTION("""COMPUTED_VALUE"""),"Swimmer")</f>
        <v>Swimmer</v>
      </c>
      <c r="Q1051" s="251" t="str">
        <f>IFERROR(__xludf.DUMMYFUNCTION("""COMPUTED_VALUE"""),"--")</f>
        <v>--</v>
      </c>
      <c r="R1051" s="251" t="str">
        <f>IFERROR(__xludf.DUMMYFUNCTION("""COMPUTED_VALUE"""),"Darkvision")</f>
        <v>Darkvision</v>
      </c>
      <c r="S1051" s="251" t="str">
        <f>IFERROR(__xludf.DUMMYFUNCTION("""COMPUTED_VALUE"""),"--")</f>
        <v>--</v>
      </c>
      <c r="T1051" s="251" t="str">
        <f>IFERROR(__xludf.DUMMYFUNCTION("""COMPUTED_VALUE"""),"--")</f>
        <v>--</v>
      </c>
      <c r="U1051" s="251" t="str">
        <f>IFERROR(__xludf.DUMMYFUNCTION("""COMPUTED_VALUE"""),"--")</f>
        <v>--</v>
      </c>
      <c r="V1051" s="251" t="str">
        <f>IFERROR(__xludf.DUMMYFUNCTION("""COMPUTED_VALUE"""),"Breathless")</f>
        <v>Breathless</v>
      </c>
      <c r="W1051" s="251" t="str">
        <f>IFERROR(__xludf.DUMMYFUNCTION("""COMPUTED_VALUE"""),"Dead Silent")</f>
        <v>Dead Silent</v>
      </c>
      <c r="X1051" s="251" t="str">
        <f>IFERROR(__xludf.DUMMYFUNCTION("""COMPUTED_VALUE"""),"--")</f>
        <v>--</v>
      </c>
      <c r="Y1051" s="251" t="str">
        <f>IFERROR(__xludf.DUMMYFUNCTION("""COMPUTED_VALUE"""),"--")</f>
        <v>--</v>
      </c>
      <c r="Z1051" s="251" t="str">
        <f>IFERROR(__xludf.DUMMYFUNCTION("""COMPUTED_VALUE"""),"--")</f>
        <v>--</v>
      </c>
      <c r="AA1051" s="251" t="str">
        <f>IFERROR(__xludf.DUMMYFUNCTION("""COMPUTED_VALUE"""),"--")</f>
        <v>--</v>
      </c>
      <c r="AB1051" s="251" t="str">
        <f>IFERROR(__xludf.DUMMYFUNCTION("""COMPUTED_VALUE"""),"--")</f>
        <v>--</v>
      </c>
      <c r="AC1051" s="251" t="str">
        <f>IFERROR(__xludf.DUMMYFUNCTION("""COMPUTED_VALUE"""),"--")</f>
        <v>--</v>
      </c>
      <c r="AD1051" s="251">
        <f>IFERROR(__xludf.DUMMYFUNCTION("""COMPUTED_VALUE"""),3.0)</f>
        <v>3</v>
      </c>
      <c r="AE1051" s="251" t="str">
        <f>IFERROR(__xludf.DUMMYFUNCTION("""COMPUTED_VALUE"""),"Nullivore")</f>
        <v>Nullivore</v>
      </c>
    </row>
    <row r="1052">
      <c r="A1052" s="251" t="str">
        <f>IFERROR(__xludf.DUMMYFUNCTION("""COMPUTED_VALUE"""),"Tropius")</f>
        <v>Tropius</v>
      </c>
      <c r="B1052" s="251" t="str">
        <f>IFERROR(__xludf.DUMMYFUNCTION("""COMPUTED_VALUE"""),"Grass")</f>
        <v>Grass</v>
      </c>
      <c r="C1052" s="251" t="str">
        <f>IFERROR(__xludf.DUMMYFUNCTION("""COMPUTED_VALUE"""),"Flying")</f>
        <v>Flying</v>
      </c>
      <c r="D1052" s="251">
        <f>IFERROR(__xludf.DUMMYFUNCTION("""COMPUTED_VALUE"""),11.0)</f>
        <v>11</v>
      </c>
      <c r="E1052" s="251">
        <f>IFERROR(__xludf.DUMMYFUNCTION("""COMPUTED_VALUE"""),8.0)</f>
        <v>8</v>
      </c>
      <c r="F1052" s="251">
        <f>IFERROR(__xludf.DUMMYFUNCTION("""COMPUTED_VALUE"""),9.0)</f>
        <v>9</v>
      </c>
      <c r="G1052" s="251">
        <f>IFERROR(__xludf.DUMMYFUNCTION("""COMPUTED_VALUE"""),8.0)</f>
        <v>8</v>
      </c>
      <c r="H1052" s="251">
        <f>IFERROR(__xludf.DUMMYFUNCTION("""COMPUTED_VALUE"""),10.0)</f>
        <v>10</v>
      </c>
      <c r="I1052" s="251">
        <f>IFERROR(__xludf.DUMMYFUNCTION("""COMPUTED_VALUE"""),5.0)</f>
        <v>5</v>
      </c>
      <c r="J1052" s="251">
        <f>IFERROR(__xludf.DUMMYFUNCTION("""COMPUTED_VALUE"""),8.0)</f>
        <v>8</v>
      </c>
      <c r="K1052" s="251" t="str">
        <f>IFERROR(__xludf.DUMMYFUNCTION("""COMPUTED_VALUE"""),"Large")</f>
        <v>Large</v>
      </c>
      <c r="L1052" s="251">
        <f>IFERROR(__xludf.DUMMYFUNCTION("""COMPUTED_VALUE"""),5.0)</f>
        <v>5</v>
      </c>
      <c r="M1052" s="251" t="str">
        <f>IFERROR(__xludf.DUMMYFUNCTION("""COMPUTED_VALUE"""),"Forest")</f>
        <v>Forest</v>
      </c>
      <c r="N1052" s="251" t="str">
        <f>IFERROR(__xludf.DUMMYFUNCTION("""COMPUTED_VALUE"""),"Flier")</f>
        <v>Flier</v>
      </c>
      <c r="O1052" s="251" t="str">
        <f>IFERROR(__xludf.DUMMYFUNCTION("""COMPUTED_VALUE"""),"--")</f>
        <v>--</v>
      </c>
      <c r="P1052" s="251" t="str">
        <f>IFERROR(__xludf.DUMMYFUNCTION("""COMPUTED_VALUE"""),"--")</f>
        <v>--</v>
      </c>
      <c r="Q1052" s="251" t="str">
        <f>IFERROR(__xludf.DUMMYFUNCTION("""COMPUTED_VALUE"""),"--")</f>
        <v>--</v>
      </c>
      <c r="R1052" s="251" t="str">
        <f>IFERROR(__xludf.DUMMYFUNCTION("""COMPUTED_VALUE"""),"Mountable")</f>
        <v>Mountable</v>
      </c>
      <c r="S1052" s="251" t="str">
        <f>IFERROR(__xludf.DUMMYFUNCTION("""COMPUTED_VALUE"""),"--")</f>
        <v>--</v>
      </c>
      <c r="T1052" s="251" t="str">
        <f>IFERROR(__xludf.DUMMYFUNCTION("""COMPUTED_VALUE"""),"--")</f>
        <v>--</v>
      </c>
      <c r="U1052" s="251" t="str">
        <f>IFERROR(__xludf.DUMMYFUNCTION("""COMPUTED_VALUE"""),"--")</f>
        <v>--</v>
      </c>
      <c r="V1052" s="251" t="str">
        <f>IFERROR(__xludf.DUMMYFUNCTION("""COMPUTED_VALUE"""),"--")</f>
        <v>--</v>
      </c>
      <c r="W1052" s="251" t="str">
        <f>IFERROR(__xludf.DUMMYFUNCTION("""COMPUTED_VALUE"""),"--")</f>
        <v>--</v>
      </c>
      <c r="X1052" s="251" t="str">
        <f>IFERROR(__xludf.DUMMYFUNCTION("""COMPUTED_VALUE"""),"--")</f>
        <v>--</v>
      </c>
      <c r="Y1052" s="251" t="str">
        <f>IFERROR(__xludf.DUMMYFUNCTION("""COMPUTED_VALUE"""),"--")</f>
        <v>--</v>
      </c>
      <c r="Z1052" s="251" t="str">
        <f>IFERROR(__xludf.DUMMYFUNCTION("""COMPUTED_VALUE"""),"--")</f>
        <v>--</v>
      </c>
      <c r="AA1052" s="251" t="str">
        <f>IFERROR(__xludf.DUMMYFUNCTION("""COMPUTED_VALUE"""),"--")</f>
        <v>--</v>
      </c>
      <c r="AB1052" s="251" t="str">
        <f>IFERROR(__xludf.DUMMYFUNCTION("""COMPUTED_VALUE"""),"--")</f>
        <v>--</v>
      </c>
      <c r="AC1052" s="251" t="str">
        <f>IFERROR(__xludf.DUMMYFUNCTION("""COMPUTED_VALUE"""),"--")</f>
        <v>--</v>
      </c>
      <c r="AD1052" s="251">
        <f>IFERROR(__xludf.DUMMYFUNCTION("""COMPUTED_VALUE"""),3.0)</f>
        <v>3</v>
      </c>
      <c r="AE1052" s="251" t="str">
        <f>IFERROR(__xludf.DUMMYFUNCTION("""COMPUTED_VALUE"""),"Phototroph")</f>
        <v>Phototroph</v>
      </c>
    </row>
    <row r="1053">
      <c r="A1053" s="251" t="str">
        <f>IFERROR(__xludf.DUMMYFUNCTION("""COMPUTED_VALUE"""),"Carnivine")</f>
        <v>Carnivine</v>
      </c>
      <c r="B1053" s="251" t="str">
        <f>IFERROR(__xludf.DUMMYFUNCTION("""COMPUTED_VALUE"""),"Grass")</f>
        <v>Grass</v>
      </c>
      <c r="C1053" s="251" t="str">
        <f>IFERROR(__xludf.DUMMYFUNCTION("""COMPUTED_VALUE"""),"None")</f>
        <v>None</v>
      </c>
      <c r="D1053" s="251">
        <f>IFERROR(__xludf.DUMMYFUNCTION("""COMPUTED_VALUE"""),9.0)</f>
        <v>9</v>
      </c>
      <c r="E1053" s="251">
        <f>IFERROR(__xludf.DUMMYFUNCTION("""COMPUTED_VALUE"""),12.0)</f>
        <v>12</v>
      </c>
      <c r="F1053" s="251">
        <f>IFERROR(__xludf.DUMMYFUNCTION("""COMPUTED_VALUE"""),9.0)</f>
        <v>9</v>
      </c>
      <c r="G1053" s="251">
        <f>IFERROR(__xludf.DUMMYFUNCTION("""COMPUTED_VALUE"""),10.0)</f>
        <v>10</v>
      </c>
      <c r="H1053" s="251">
        <f>IFERROR(__xludf.DUMMYFUNCTION("""COMPUTED_VALUE"""),9.0)</f>
        <v>9</v>
      </c>
      <c r="I1053" s="251">
        <f>IFERROR(__xludf.DUMMYFUNCTION("""COMPUTED_VALUE"""),5.0)</f>
        <v>5</v>
      </c>
      <c r="J1053" s="251">
        <f>IFERROR(__xludf.DUMMYFUNCTION("""COMPUTED_VALUE"""),4.0)</f>
        <v>4</v>
      </c>
      <c r="K1053" s="251" t="str">
        <f>IFERROR(__xludf.DUMMYFUNCTION("""COMPUTED_VALUE"""),"Medium")</f>
        <v>Medium</v>
      </c>
      <c r="L1053" s="251">
        <f>IFERROR(__xludf.DUMMYFUNCTION("""COMPUTED_VALUE"""),3.0)</f>
        <v>3</v>
      </c>
      <c r="M1053" s="251" t="str">
        <f>IFERROR(__xludf.DUMMYFUNCTION("""COMPUTED_VALUE"""),"Forest, Grasslands")</f>
        <v>Forest, Grasslands</v>
      </c>
      <c r="N1053" s="251" t="str">
        <f>IFERROR(__xludf.DUMMYFUNCTION("""COMPUTED_VALUE"""),"Flier")</f>
        <v>Flier</v>
      </c>
      <c r="O1053" s="251" t="str">
        <f>IFERROR(__xludf.DUMMYFUNCTION("""COMPUTED_VALUE"""),"--")</f>
        <v>--</v>
      </c>
      <c r="P1053" s="251" t="str">
        <f>IFERROR(__xludf.DUMMYFUNCTION("""COMPUTED_VALUE"""),"--")</f>
        <v>--</v>
      </c>
      <c r="Q1053" s="251" t="str">
        <f>IFERROR(__xludf.DUMMYFUNCTION("""COMPUTED_VALUE"""),"--")</f>
        <v>--</v>
      </c>
      <c r="R1053" s="251" t="str">
        <f>IFERROR(__xludf.DUMMYFUNCTION("""COMPUTED_VALUE"""),"--")</f>
        <v>--</v>
      </c>
      <c r="S1053" s="251" t="str">
        <f>IFERROR(__xludf.DUMMYFUNCTION("""COMPUTED_VALUE"""),"--")</f>
        <v>--</v>
      </c>
      <c r="T1053" s="251" t="str">
        <f>IFERROR(__xludf.DUMMYFUNCTION("""COMPUTED_VALUE"""),"--")</f>
        <v>--</v>
      </c>
      <c r="U1053" s="251" t="str">
        <f>IFERROR(__xludf.DUMMYFUNCTION("""COMPUTED_VALUE"""),"--")</f>
        <v>--</v>
      </c>
      <c r="V1053" s="251" t="str">
        <f>IFERROR(__xludf.DUMMYFUNCTION("""COMPUTED_VALUE"""),"--")</f>
        <v>--</v>
      </c>
      <c r="W1053" s="251" t="str">
        <f>IFERROR(__xludf.DUMMYFUNCTION("""COMPUTED_VALUE"""),"--")</f>
        <v>--</v>
      </c>
      <c r="X1053" s="251" t="str">
        <f>IFERROR(__xludf.DUMMYFUNCTION("""COMPUTED_VALUE"""),"--")</f>
        <v>--</v>
      </c>
      <c r="Y1053" s="251" t="str">
        <f>IFERROR(__xludf.DUMMYFUNCTION("""COMPUTED_VALUE"""),"--")</f>
        <v>--</v>
      </c>
      <c r="Z1053" s="251" t="str">
        <f>IFERROR(__xludf.DUMMYFUNCTION("""COMPUTED_VALUE"""),"--")</f>
        <v>--</v>
      </c>
      <c r="AA1053" s="251" t="str">
        <f>IFERROR(__xludf.DUMMYFUNCTION("""COMPUTED_VALUE"""),"--")</f>
        <v>--</v>
      </c>
      <c r="AB1053" s="251" t="str">
        <f>IFERROR(__xludf.DUMMYFUNCTION("""COMPUTED_VALUE"""),"--")</f>
        <v>--</v>
      </c>
      <c r="AC1053" s="251" t="str">
        <f>IFERROR(__xludf.DUMMYFUNCTION("""COMPUTED_VALUE"""),"--")</f>
        <v>--</v>
      </c>
      <c r="AD1053" s="251">
        <f>IFERROR(__xludf.DUMMYFUNCTION("""COMPUTED_VALUE"""),3.0)</f>
        <v>3</v>
      </c>
      <c r="AE1053" s="251" t="str">
        <f>IFERROR(__xludf.DUMMYFUNCTION("""COMPUTED_VALUE"""),"Carnivore, Phototroph")</f>
        <v>Carnivore, Phototroph</v>
      </c>
    </row>
    <row r="1054">
      <c r="A1054" s="251" t="str">
        <f>IFERROR(__xludf.DUMMYFUNCTION("""COMPUTED_VALUE"""),"Maractus")</f>
        <v>Maractus</v>
      </c>
      <c r="B1054" s="251" t="str">
        <f>IFERROR(__xludf.DUMMYFUNCTION("""COMPUTED_VALUE"""),"Grass")</f>
        <v>Grass</v>
      </c>
      <c r="C1054" s="251" t="str">
        <f>IFERROR(__xludf.DUMMYFUNCTION("""COMPUTED_VALUE"""),"None")</f>
        <v>None</v>
      </c>
      <c r="D1054" s="251">
        <f>IFERROR(__xludf.DUMMYFUNCTION("""COMPUTED_VALUE"""),8.0)</f>
        <v>8</v>
      </c>
      <c r="E1054" s="251">
        <f>IFERROR(__xludf.DUMMYFUNCTION("""COMPUTED_VALUE"""),9.0)</f>
        <v>9</v>
      </c>
      <c r="F1054" s="251">
        <f>IFERROR(__xludf.DUMMYFUNCTION("""COMPUTED_VALUE"""),8.0)</f>
        <v>8</v>
      </c>
      <c r="G1054" s="251">
        <f>IFERROR(__xludf.DUMMYFUNCTION("""COMPUTED_VALUE"""),12.0)</f>
        <v>12</v>
      </c>
      <c r="H1054" s="251">
        <f>IFERROR(__xludf.DUMMYFUNCTION("""COMPUTED_VALUE"""),8.0)</f>
        <v>8</v>
      </c>
      <c r="I1054" s="251">
        <f>IFERROR(__xludf.DUMMYFUNCTION("""COMPUTED_VALUE"""),6.0)</f>
        <v>6</v>
      </c>
      <c r="J1054" s="251">
        <f>IFERROR(__xludf.DUMMYFUNCTION("""COMPUTED_VALUE"""),4.0)</f>
        <v>4</v>
      </c>
      <c r="K1054" s="251" t="str">
        <f>IFERROR(__xludf.DUMMYFUNCTION("""COMPUTED_VALUE"""),"Medium")</f>
        <v>Medium</v>
      </c>
      <c r="L1054" s="251">
        <f>IFERROR(__xludf.DUMMYFUNCTION("""COMPUTED_VALUE"""),3.0)</f>
        <v>3</v>
      </c>
      <c r="M1054" s="251" t="str">
        <f>IFERROR(__xludf.DUMMYFUNCTION("""COMPUTED_VALUE"""),"Desert")</f>
        <v>Desert</v>
      </c>
      <c r="N1054" s="251" t="str">
        <f>IFERROR(__xludf.DUMMYFUNCTION("""COMPUTED_VALUE"""),"--")</f>
        <v>--</v>
      </c>
      <c r="O1054" s="251" t="str">
        <f>IFERROR(__xludf.DUMMYFUNCTION("""COMPUTED_VALUE"""),"--")</f>
        <v>--</v>
      </c>
      <c r="P1054" s="251" t="str">
        <f>IFERROR(__xludf.DUMMYFUNCTION("""COMPUTED_VALUE"""),"--")</f>
        <v>--</v>
      </c>
      <c r="Q1054" s="251" t="str">
        <f>IFERROR(__xludf.DUMMYFUNCTION("""COMPUTED_VALUE"""),"--")</f>
        <v>--</v>
      </c>
      <c r="R1054" s="251" t="str">
        <f>IFERROR(__xludf.DUMMYFUNCTION("""COMPUTED_VALUE"""),"--")</f>
        <v>--</v>
      </c>
      <c r="S1054" s="251" t="str">
        <f>IFERROR(__xludf.DUMMYFUNCTION("""COMPUTED_VALUE"""),"--")</f>
        <v>--</v>
      </c>
      <c r="T1054" s="251" t="str">
        <f>IFERROR(__xludf.DUMMYFUNCTION("""COMPUTED_VALUE"""),"--")</f>
        <v>--</v>
      </c>
      <c r="U1054" s="251" t="str">
        <f>IFERROR(__xludf.DUMMYFUNCTION("""COMPUTED_VALUE"""),"--")</f>
        <v>--</v>
      </c>
      <c r="V1054" s="251" t="str">
        <f>IFERROR(__xludf.DUMMYFUNCTION("""COMPUTED_VALUE"""),"--")</f>
        <v>--</v>
      </c>
      <c r="W1054" s="251" t="str">
        <f>IFERROR(__xludf.DUMMYFUNCTION("""COMPUTED_VALUE"""),"--")</f>
        <v>--</v>
      </c>
      <c r="X1054" s="251" t="str">
        <f>IFERROR(__xludf.DUMMYFUNCTION("""COMPUTED_VALUE"""),"--")</f>
        <v>--</v>
      </c>
      <c r="Y1054" s="251" t="str">
        <f>IFERROR(__xludf.DUMMYFUNCTION("""COMPUTED_VALUE"""),"--")</f>
        <v>--</v>
      </c>
      <c r="Z1054" s="251" t="str">
        <f>IFERROR(__xludf.DUMMYFUNCTION("""COMPUTED_VALUE"""),"--")</f>
        <v>--</v>
      </c>
      <c r="AA1054" s="251" t="str">
        <f>IFERROR(__xludf.DUMMYFUNCTION("""COMPUTED_VALUE"""),"--")</f>
        <v>--</v>
      </c>
      <c r="AB1054" s="251" t="str">
        <f>IFERROR(__xludf.DUMMYFUNCTION("""COMPUTED_VALUE"""),"--")</f>
        <v>--</v>
      </c>
      <c r="AC1054" s="251" t="str">
        <f>IFERROR(__xludf.DUMMYFUNCTION("""COMPUTED_VALUE"""),"--")</f>
        <v>--</v>
      </c>
      <c r="AD1054" s="251">
        <f>IFERROR(__xludf.DUMMYFUNCTION("""COMPUTED_VALUE"""),3.0)</f>
        <v>3</v>
      </c>
      <c r="AE1054" s="251" t="str">
        <f>IFERROR(__xludf.DUMMYFUNCTION("""COMPUTED_VALUE"""),"Phototroph")</f>
        <v>Phototroph</v>
      </c>
    </row>
    <row r="1055">
      <c r="A1055" s="251" t="str">
        <f>IFERROR(__xludf.DUMMYFUNCTION("""COMPUTED_VALUE"""),"Stunfisk")</f>
        <v>Stunfisk</v>
      </c>
      <c r="B1055" s="251" t="str">
        <f>IFERROR(__xludf.DUMMYFUNCTION("""COMPUTED_VALUE"""),"Ground")</f>
        <v>Ground</v>
      </c>
      <c r="C1055" s="251" t="str">
        <f>IFERROR(__xludf.DUMMYFUNCTION("""COMPUTED_VALUE"""),"Electric")</f>
        <v>Electric</v>
      </c>
      <c r="D1055" s="251">
        <f>IFERROR(__xludf.DUMMYFUNCTION("""COMPUTED_VALUE"""),11.0)</f>
        <v>11</v>
      </c>
      <c r="E1055" s="251">
        <f>IFERROR(__xludf.DUMMYFUNCTION("""COMPUTED_VALUE"""),7.0)</f>
        <v>7</v>
      </c>
      <c r="F1055" s="251">
        <f>IFERROR(__xludf.DUMMYFUNCTION("""COMPUTED_VALUE"""),8.0)</f>
        <v>8</v>
      </c>
      <c r="G1055" s="251">
        <f>IFERROR(__xludf.DUMMYFUNCTION("""COMPUTED_VALUE"""),11.0)</f>
        <v>11</v>
      </c>
      <c r="H1055" s="251">
        <f>IFERROR(__xludf.DUMMYFUNCTION("""COMPUTED_VALUE"""),11.0)</f>
        <v>11</v>
      </c>
      <c r="I1055" s="251">
        <f>IFERROR(__xludf.DUMMYFUNCTION("""COMPUTED_VALUE"""),3.0)</f>
        <v>3</v>
      </c>
      <c r="J1055" s="251">
        <f>IFERROR(__xludf.DUMMYFUNCTION("""COMPUTED_VALUE"""),3.0)</f>
        <v>3</v>
      </c>
      <c r="K1055" s="251" t="str">
        <f>IFERROR(__xludf.DUMMYFUNCTION("""COMPUTED_VALUE"""),"Small")</f>
        <v>Small</v>
      </c>
      <c r="L1055" s="251">
        <f>IFERROR(__xludf.DUMMYFUNCTION("""COMPUTED_VALUE"""),1.0)</f>
        <v>1</v>
      </c>
      <c r="M1055" s="251" t="str">
        <f>IFERROR(__xludf.DUMMYFUNCTION("""COMPUTED_VALUE"""),"Wetlands")</f>
        <v>Wetlands</v>
      </c>
      <c r="N1055" s="251" t="str">
        <f>IFERROR(__xludf.DUMMYFUNCTION("""COMPUTED_VALUE"""),"Burrower")</f>
        <v>Burrower</v>
      </c>
      <c r="O1055" s="251" t="str">
        <f>IFERROR(__xludf.DUMMYFUNCTION("""COMPUTED_VALUE"""),"Slow")</f>
        <v>Slow</v>
      </c>
      <c r="P1055" s="251" t="str">
        <f>IFERROR(__xludf.DUMMYFUNCTION("""COMPUTED_VALUE"""),"--")</f>
        <v>--</v>
      </c>
      <c r="Q1055" s="251" t="str">
        <f>IFERROR(__xludf.DUMMYFUNCTION("""COMPUTED_VALUE"""),"--")</f>
        <v>--</v>
      </c>
      <c r="R1055" s="251" t="str">
        <f>IFERROR(__xludf.DUMMYFUNCTION("""COMPUTED_VALUE"""),"--")</f>
        <v>--</v>
      </c>
      <c r="S1055" s="251" t="str">
        <f>IFERROR(__xludf.DUMMYFUNCTION("""COMPUTED_VALUE"""),"--")</f>
        <v>--</v>
      </c>
      <c r="T1055" s="251" t="str">
        <f>IFERROR(__xludf.DUMMYFUNCTION("""COMPUTED_VALUE"""),"--")</f>
        <v>--</v>
      </c>
      <c r="U1055" s="251" t="str">
        <f>IFERROR(__xludf.DUMMYFUNCTION("""COMPUTED_VALUE"""),"--")</f>
        <v>--</v>
      </c>
      <c r="V1055" s="251" t="str">
        <f>IFERROR(__xludf.DUMMYFUNCTION("""COMPUTED_VALUE"""),"Tremorsense")</f>
        <v>Tremorsense</v>
      </c>
      <c r="W1055" s="251" t="str">
        <f>IFERROR(__xludf.DUMMYFUNCTION("""COMPUTED_VALUE"""),"--")</f>
        <v>--</v>
      </c>
      <c r="X1055" s="251" t="str">
        <f>IFERROR(__xludf.DUMMYFUNCTION("""COMPUTED_VALUE"""),"--")</f>
        <v>--</v>
      </c>
      <c r="Y1055" s="251" t="str">
        <f>IFERROR(__xludf.DUMMYFUNCTION("""COMPUTED_VALUE"""),"--")</f>
        <v>--</v>
      </c>
      <c r="Z1055" s="251" t="str">
        <f>IFERROR(__xludf.DUMMYFUNCTION("""COMPUTED_VALUE"""),"--")</f>
        <v>--</v>
      </c>
      <c r="AA1055" s="251" t="str">
        <f>IFERROR(__xludf.DUMMYFUNCTION("""COMPUTED_VALUE"""),"--")</f>
        <v>--</v>
      </c>
      <c r="AB1055" s="251" t="str">
        <f>IFERROR(__xludf.DUMMYFUNCTION("""COMPUTED_VALUE"""),"--")</f>
        <v>--</v>
      </c>
      <c r="AC1055" s="251" t="str">
        <f>IFERROR(__xludf.DUMMYFUNCTION("""COMPUTED_VALUE"""),"--")</f>
        <v>--</v>
      </c>
      <c r="AD1055" s="251">
        <f>IFERROR(__xludf.DUMMYFUNCTION("""COMPUTED_VALUE"""),3.0)</f>
        <v>3</v>
      </c>
      <c r="AE1055" s="251" t="str">
        <f>IFERROR(__xludf.DUMMYFUNCTION("""COMPUTED_VALUE"""),"Carnivore")</f>
        <v>Carnivore</v>
      </c>
    </row>
    <row r="1056">
      <c r="A1056" s="251" t="str">
        <f>IFERROR(__xludf.DUMMYFUNCTION("""COMPUTED_VALUE"""),"Delibird")</f>
        <v>Delibird</v>
      </c>
      <c r="B1056" s="251" t="str">
        <f>IFERROR(__xludf.DUMMYFUNCTION("""COMPUTED_VALUE"""),"Ice")</f>
        <v>Ice</v>
      </c>
      <c r="C1056" s="251" t="str">
        <f>IFERROR(__xludf.DUMMYFUNCTION("""COMPUTED_VALUE"""),"Flying")</f>
        <v>Flying</v>
      </c>
      <c r="D1056" s="251">
        <f>IFERROR(__xludf.DUMMYFUNCTION("""COMPUTED_VALUE"""),5.0)</f>
        <v>5</v>
      </c>
      <c r="E1056" s="251">
        <f>IFERROR(__xludf.DUMMYFUNCTION("""COMPUTED_VALUE"""),6.0)</f>
        <v>6</v>
      </c>
      <c r="F1056" s="251">
        <f>IFERROR(__xludf.DUMMYFUNCTION("""COMPUTED_VALUE"""),5.0)</f>
        <v>5</v>
      </c>
      <c r="G1056" s="251">
        <f>IFERROR(__xludf.DUMMYFUNCTION("""COMPUTED_VALUE"""),7.0)</f>
        <v>7</v>
      </c>
      <c r="H1056" s="251">
        <f>IFERROR(__xludf.DUMMYFUNCTION("""COMPUTED_VALUE"""),5.0)</f>
        <v>5</v>
      </c>
      <c r="I1056" s="251">
        <f>IFERROR(__xludf.DUMMYFUNCTION("""COMPUTED_VALUE"""),8.0)</f>
        <v>8</v>
      </c>
      <c r="J1056" s="251">
        <f>IFERROR(__xludf.DUMMYFUNCTION("""COMPUTED_VALUE"""),4.0)</f>
        <v>4</v>
      </c>
      <c r="K1056" s="251" t="str">
        <f>IFERROR(__xludf.DUMMYFUNCTION("""COMPUTED_VALUE"""),"Small")</f>
        <v>Small</v>
      </c>
      <c r="L1056" s="251">
        <f>IFERROR(__xludf.DUMMYFUNCTION("""COMPUTED_VALUE"""),2.0)</f>
        <v>2</v>
      </c>
      <c r="M1056" s="251" t="str">
        <f>IFERROR(__xludf.DUMMYFUNCTION("""COMPUTED_VALUE"""),"Tundra")</f>
        <v>Tundra</v>
      </c>
      <c r="N1056" s="251" t="str">
        <f>IFERROR(__xludf.DUMMYFUNCTION("""COMPUTED_VALUE"""),"Flier")</f>
        <v>Flier</v>
      </c>
      <c r="O1056" s="251" t="str">
        <f>IFERROR(__xludf.DUMMYFUNCTION("""COMPUTED_VALUE"""),"Swimmer")</f>
        <v>Swimmer</v>
      </c>
      <c r="P1056" s="251" t="str">
        <f>IFERROR(__xludf.DUMMYFUNCTION("""COMPUTED_VALUE"""),"--")</f>
        <v>--</v>
      </c>
      <c r="Q1056" s="251" t="str">
        <f>IFERROR(__xludf.DUMMYFUNCTION("""COMPUTED_VALUE"""),"--")</f>
        <v>--</v>
      </c>
      <c r="R1056" s="251" t="str">
        <f>IFERROR(__xludf.DUMMYFUNCTION("""COMPUTED_VALUE"""),"Underdog")</f>
        <v>Underdog</v>
      </c>
      <c r="S1056" s="251" t="str">
        <f>IFERROR(__xludf.DUMMYFUNCTION("""COMPUTED_VALUE"""),"--")</f>
        <v>--</v>
      </c>
      <c r="T1056" s="251" t="str">
        <f>IFERROR(__xludf.DUMMYFUNCTION("""COMPUTED_VALUE"""),"--")</f>
        <v>--</v>
      </c>
      <c r="U1056" s="251" t="str">
        <f>IFERROR(__xludf.DUMMYFUNCTION("""COMPUTED_VALUE"""),"--")</f>
        <v>--</v>
      </c>
      <c r="V1056" s="251" t="str">
        <f>IFERROR(__xludf.DUMMYFUNCTION("""COMPUTED_VALUE"""),"Chilled")</f>
        <v>Chilled</v>
      </c>
      <c r="W1056" s="251" t="str">
        <f>IFERROR(__xludf.DUMMYFUNCTION("""COMPUTED_VALUE"""),"Pack Mon")</f>
        <v>Pack Mon</v>
      </c>
      <c r="X1056" s="251" t="str">
        <f>IFERROR(__xludf.DUMMYFUNCTION("""COMPUTED_VALUE"""),"--")</f>
        <v>--</v>
      </c>
      <c r="Y1056" s="251" t="str">
        <f>IFERROR(__xludf.DUMMYFUNCTION("""COMPUTED_VALUE"""),"--")</f>
        <v>--</v>
      </c>
      <c r="Z1056" s="251" t="str">
        <f>IFERROR(__xludf.DUMMYFUNCTION("""COMPUTED_VALUE"""),"--")</f>
        <v>--</v>
      </c>
      <c r="AA1056" s="251" t="str">
        <f>IFERROR(__xludf.DUMMYFUNCTION("""COMPUTED_VALUE"""),"--")</f>
        <v>--</v>
      </c>
      <c r="AB1056" s="251" t="str">
        <f>IFERROR(__xludf.DUMMYFUNCTION("""COMPUTED_VALUE"""),"--")</f>
        <v>--</v>
      </c>
      <c r="AC1056" s="251" t="str">
        <f>IFERROR(__xludf.DUMMYFUNCTION("""COMPUTED_VALUE"""),"--")</f>
        <v>--</v>
      </c>
      <c r="AD1056" s="251">
        <f>IFERROR(__xludf.DUMMYFUNCTION("""COMPUTED_VALUE"""),3.0)</f>
        <v>3</v>
      </c>
      <c r="AE1056" s="251" t="str">
        <f>IFERROR(__xludf.DUMMYFUNCTION("""COMPUTED_VALUE"""),"Omnivore")</f>
        <v>Omnivore</v>
      </c>
    </row>
    <row r="1057">
      <c r="A1057" s="251" t="str">
        <f>IFERROR(__xludf.DUMMYFUNCTION("""COMPUTED_VALUE"""),"Cryogonal")</f>
        <v>Cryogonal</v>
      </c>
      <c r="B1057" s="251" t="str">
        <f>IFERROR(__xludf.DUMMYFUNCTION("""COMPUTED_VALUE"""),"Ice")</f>
        <v>Ice</v>
      </c>
      <c r="C1057" s="251" t="str">
        <f>IFERROR(__xludf.DUMMYFUNCTION("""COMPUTED_VALUE"""),"None")</f>
        <v>None</v>
      </c>
      <c r="D1057" s="251">
        <f>IFERROR(__xludf.DUMMYFUNCTION("""COMPUTED_VALUE"""),8.0)</f>
        <v>8</v>
      </c>
      <c r="E1057" s="251">
        <f>IFERROR(__xludf.DUMMYFUNCTION("""COMPUTED_VALUE"""),5.0)</f>
        <v>5</v>
      </c>
      <c r="F1057" s="251">
        <f>IFERROR(__xludf.DUMMYFUNCTION("""COMPUTED_VALUE"""),5.0)</f>
        <v>5</v>
      </c>
      <c r="G1057" s="251">
        <f>IFERROR(__xludf.DUMMYFUNCTION("""COMPUTED_VALUE"""),10.0)</f>
        <v>10</v>
      </c>
      <c r="H1057" s="251">
        <f>IFERROR(__xludf.DUMMYFUNCTION("""COMPUTED_VALUE"""),14.0)</f>
        <v>14</v>
      </c>
      <c r="I1057" s="251">
        <f>IFERROR(__xludf.DUMMYFUNCTION("""COMPUTED_VALUE"""),11.0)</f>
        <v>11</v>
      </c>
      <c r="J1057" s="251">
        <f>IFERROR(__xludf.DUMMYFUNCTION("""COMPUTED_VALUE"""),6.0)</f>
        <v>6</v>
      </c>
      <c r="K1057" s="251" t="str">
        <f>IFERROR(__xludf.DUMMYFUNCTION("""COMPUTED_VALUE"""),"Medium")</f>
        <v>Medium</v>
      </c>
      <c r="L1057" s="251">
        <f>IFERROR(__xludf.DUMMYFUNCTION("""COMPUTED_VALUE"""),5.0)</f>
        <v>5</v>
      </c>
      <c r="M1057" s="251" t="str">
        <f>IFERROR(__xludf.DUMMYFUNCTION("""COMPUTED_VALUE"""),"Cave, Tundra")</f>
        <v>Cave, Tundra</v>
      </c>
      <c r="N1057" s="251" t="str">
        <f>IFERROR(__xludf.DUMMYFUNCTION("""COMPUTED_VALUE"""),"Flier")</f>
        <v>Flier</v>
      </c>
      <c r="O1057" s="251" t="str">
        <f>IFERROR(__xludf.DUMMYFUNCTION("""COMPUTED_VALUE"""),"--")</f>
        <v>--</v>
      </c>
      <c r="P1057" s="251" t="str">
        <f>IFERROR(__xludf.DUMMYFUNCTION("""COMPUTED_VALUE"""),"--")</f>
        <v>--</v>
      </c>
      <c r="Q1057" s="251" t="str">
        <f>IFERROR(__xludf.DUMMYFUNCTION("""COMPUTED_VALUE"""),"--")</f>
        <v>--</v>
      </c>
      <c r="R1057" s="251" t="str">
        <f>IFERROR(__xludf.DUMMYFUNCTION("""COMPUTED_VALUE"""),"--")</f>
        <v>--</v>
      </c>
      <c r="S1057" s="251" t="str">
        <f>IFERROR(__xludf.DUMMYFUNCTION("""COMPUTED_VALUE"""),"--")</f>
        <v>--</v>
      </c>
      <c r="T1057" s="251" t="str">
        <f>IFERROR(__xludf.DUMMYFUNCTION("""COMPUTED_VALUE"""),"--")</f>
        <v>--</v>
      </c>
      <c r="U1057" s="251" t="str">
        <f>IFERROR(__xludf.DUMMYFUNCTION("""COMPUTED_VALUE"""),"--")</f>
        <v>--</v>
      </c>
      <c r="V1057" s="251" t="str">
        <f>IFERROR(__xludf.DUMMYFUNCTION("""COMPUTED_VALUE"""),"Chilled")</f>
        <v>Chilled</v>
      </c>
      <c r="W1057" s="251" t="str">
        <f>IFERROR(__xludf.DUMMYFUNCTION("""COMPUTED_VALUE"""),"--")</f>
        <v>--</v>
      </c>
      <c r="X1057" s="251" t="str">
        <f>IFERROR(__xludf.DUMMYFUNCTION("""COMPUTED_VALUE"""),"--")</f>
        <v>--</v>
      </c>
      <c r="Y1057" s="251" t="str">
        <f>IFERROR(__xludf.DUMMYFUNCTION("""COMPUTED_VALUE"""),"--")</f>
        <v>--</v>
      </c>
      <c r="Z1057" s="251" t="str">
        <f>IFERROR(__xludf.DUMMYFUNCTION("""COMPUTED_VALUE"""),"--")</f>
        <v>--</v>
      </c>
      <c r="AA1057" s="251" t="str">
        <f>IFERROR(__xludf.DUMMYFUNCTION("""COMPUTED_VALUE"""),"--")</f>
        <v>--</v>
      </c>
      <c r="AB1057" s="251" t="str">
        <f>IFERROR(__xludf.DUMMYFUNCTION("""COMPUTED_VALUE"""),"--")</f>
        <v>--</v>
      </c>
      <c r="AC1057" s="251" t="str">
        <f>IFERROR(__xludf.DUMMYFUNCTION("""COMPUTED_VALUE"""),"--")</f>
        <v>--</v>
      </c>
      <c r="AD1057" s="251">
        <f>IFERROR(__xludf.DUMMYFUNCTION("""COMPUTED_VALUE"""),3.0)</f>
        <v>3</v>
      </c>
      <c r="AE1057" s="251" t="str">
        <f>IFERROR(__xludf.DUMMYFUNCTION("""COMPUTED_VALUE"""),"Carnivore, Terravore")</f>
        <v>Carnivore, Terravore</v>
      </c>
    </row>
    <row r="1058">
      <c r="A1058" s="251" t="str">
        <f>IFERROR(__xludf.DUMMYFUNCTION("""COMPUTED_VALUE"""),"Eiscue Ice Face")</f>
        <v>Eiscue Ice Face</v>
      </c>
      <c r="B1058" s="251" t="str">
        <f>IFERROR(__xludf.DUMMYFUNCTION("""COMPUTED_VALUE"""),"Ice")</f>
        <v>Ice</v>
      </c>
      <c r="C1058" s="251" t="str">
        <f>IFERROR(__xludf.DUMMYFUNCTION("""COMPUTED_VALUE"""),"None")</f>
        <v>None</v>
      </c>
      <c r="D1058" s="251">
        <f>IFERROR(__xludf.DUMMYFUNCTION("""COMPUTED_VALUE"""),9.0)</f>
        <v>9</v>
      </c>
      <c r="E1058" s="251">
        <f>IFERROR(__xludf.DUMMYFUNCTION("""COMPUTED_VALUE"""),8.0)</f>
        <v>8</v>
      </c>
      <c r="F1058" s="251">
        <f>IFERROR(__xludf.DUMMYFUNCTION("""COMPUTED_VALUE"""),12.0)</f>
        <v>12</v>
      </c>
      <c r="G1058" s="251">
        <f>IFERROR(__xludf.DUMMYFUNCTION("""COMPUTED_VALUE"""),7.0)</f>
        <v>7</v>
      </c>
      <c r="H1058" s="251">
        <f>IFERROR(__xludf.DUMMYFUNCTION("""COMPUTED_VALUE"""),10.0)</f>
        <v>10</v>
      </c>
      <c r="I1058" s="251">
        <f>IFERROR(__xludf.DUMMYFUNCTION("""COMPUTED_VALUE"""),5.0)</f>
        <v>5</v>
      </c>
      <c r="J1058" s="251">
        <f>IFERROR(__xludf.DUMMYFUNCTION("""COMPUTED_VALUE"""),4.0)</f>
        <v>4</v>
      </c>
      <c r="K1058" s="251" t="str">
        <f>IFERROR(__xludf.DUMMYFUNCTION("""COMPUTED_VALUE"""),"Medium")</f>
        <v>Medium</v>
      </c>
      <c r="L1058" s="251">
        <f>IFERROR(__xludf.DUMMYFUNCTION("""COMPUTED_VALUE"""),4.0)</f>
        <v>4</v>
      </c>
      <c r="M1058" s="251" t="str">
        <f>IFERROR(__xludf.DUMMYFUNCTION("""COMPUTED_VALUE"""),"Tundra")</f>
        <v>Tundra</v>
      </c>
      <c r="N1058" s="251" t="str">
        <f>IFERROR(__xludf.DUMMYFUNCTION("""COMPUTED_VALUE"""),"Swimmer")</f>
        <v>Swimmer</v>
      </c>
      <c r="O1058" s="251" t="str">
        <f>IFERROR(__xludf.DUMMYFUNCTION("""COMPUTED_VALUE"""),"--")</f>
        <v>--</v>
      </c>
      <c r="P1058" s="251" t="str">
        <f>IFERROR(__xludf.DUMMYFUNCTION("""COMPUTED_VALUE"""),"--")</f>
        <v>--</v>
      </c>
      <c r="Q1058" s="251" t="str">
        <f>IFERROR(__xludf.DUMMYFUNCTION("""COMPUTED_VALUE"""),"--")</f>
        <v>--</v>
      </c>
      <c r="R1058" s="251" t="str">
        <f>IFERROR(__xludf.DUMMYFUNCTION("""COMPUTED_VALUE"""),"Form Change")</f>
        <v>Form Change</v>
      </c>
      <c r="S1058" s="251" t="str">
        <f>IFERROR(__xludf.DUMMYFUNCTION("""COMPUTED_VALUE"""),"--")</f>
        <v>--</v>
      </c>
      <c r="T1058" s="251" t="str">
        <f>IFERROR(__xludf.DUMMYFUNCTION("""COMPUTED_VALUE"""),"--")</f>
        <v>--</v>
      </c>
      <c r="U1058" s="251" t="str">
        <f>IFERROR(__xludf.DUMMYFUNCTION("""COMPUTED_VALUE"""),"--")</f>
        <v>--</v>
      </c>
      <c r="V1058" s="251" t="str">
        <f>IFERROR(__xludf.DUMMYFUNCTION("""COMPUTED_VALUE"""),"Chilled")</f>
        <v>Chilled</v>
      </c>
      <c r="W1058" s="251" t="str">
        <f>IFERROR(__xludf.DUMMYFUNCTION("""COMPUTED_VALUE"""),"--")</f>
        <v>--</v>
      </c>
      <c r="X1058" s="251" t="str">
        <f>IFERROR(__xludf.DUMMYFUNCTION("""COMPUTED_VALUE"""),"--")</f>
        <v>--</v>
      </c>
      <c r="Y1058" s="251" t="str">
        <f>IFERROR(__xludf.DUMMYFUNCTION("""COMPUTED_VALUE"""),"--")</f>
        <v>--</v>
      </c>
      <c r="Z1058" s="251" t="str">
        <f>IFERROR(__xludf.DUMMYFUNCTION("""COMPUTED_VALUE"""),"--")</f>
        <v>--</v>
      </c>
      <c r="AA1058" s="251" t="str">
        <f>IFERROR(__xludf.DUMMYFUNCTION("""COMPUTED_VALUE"""),"--")</f>
        <v>--</v>
      </c>
      <c r="AB1058" s="251" t="str">
        <f>IFERROR(__xludf.DUMMYFUNCTION("""COMPUTED_VALUE"""),"--")</f>
        <v>--</v>
      </c>
      <c r="AC1058" s="251" t="str">
        <f>IFERROR(__xludf.DUMMYFUNCTION("""COMPUTED_VALUE"""),"--")</f>
        <v>--</v>
      </c>
      <c r="AD1058" s="251">
        <f>IFERROR(__xludf.DUMMYFUNCTION("""COMPUTED_VALUE"""),3.0)</f>
        <v>3</v>
      </c>
      <c r="AE1058" s="251" t="str">
        <f>IFERROR(__xludf.DUMMYFUNCTION("""COMPUTED_VALUE"""),"Carnivore")</f>
        <v>Carnivore</v>
      </c>
    </row>
    <row r="1059">
      <c r="A1059" s="251" t="str">
        <f>IFERROR(__xludf.DUMMYFUNCTION("""COMPUTED_VALUE"""),"Eiscue Noice")</f>
        <v>Eiscue Noice</v>
      </c>
      <c r="B1059" s="251" t="str">
        <f>IFERROR(__xludf.DUMMYFUNCTION("""COMPUTED_VALUE"""),"Ice")</f>
        <v>Ice</v>
      </c>
      <c r="C1059" s="251" t="str">
        <f>IFERROR(__xludf.DUMMYFUNCTION("""COMPUTED_VALUE"""),"None")</f>
        <v>None</v>
      </c>
      <c r="D1059" s="251">
        <f>IFERROR(__xludf.DUMMYFUNCTION("""COMPUTED_VALUE"""),9.0)</f>
        <v>9</v>
      </c>
      <c r="E1059" s="251">
        <f>IFERROR(__xludf.DUMMYFUNCTION("""COMPUTED_VALUE"""),8.0)</f>
        <v>8</v>
      </c>
      <c r="F1059" s="251">
        <f>IFERROR(__xludf.DUMMYFUNCTION("""COMPUTED_VALUE"""),7.0)</f>
        <v>7</v>
      </c>
      <c r="G1059" s="251">
        <f>IFERROR(__xludf.DUMMYFUNCTION("""COMPUTED_VALUE"""),7.0)</f>
        <v>7</v>
      </c>
      <c r="H1059" s="251">
        <f>IFERROR(__xludf.DUMMYFUNCTION("""COMPUTED_VALUE"""),5.0)</f>
        <v>5</v>
      </c>
      <c r="I1059" s="251">
        <f>IFERROR(__xludf.DUMMYFUNCTION("""COMPUTED_VALUE"""),15.0)</f>
        <v>15</v>
      </c>
      <c r="J1059" s="251">
        <f>IFERROR(__xludf.DUMMYFUNCTION("""COMPUTED_VALUE"""),4.0)</f>
        <v>4</v>
      </c>
      <c r="K1059" s="251" t="str">
        <f>IFERROR(__xludf.DUMMYFUNCTION("""COMPUTED_VALUE"""),"Medium")</f>
        <v>Medium</v>
      </c>
      <c r="L1059" s="251">
        <f>IFERROR(__xludf.DUMMYFUNCTION("""COMPUTED_VALUE"""),4.0)</f>
        <v>4</v>
      </c>
      <c r="M1059" s="251" t="str">
        <f>IFERROR(__xludf.DUMMYFUNCTION("""COMPUTED_VALUE"""),"Tundra")</f>
        <v>Tundra</v>
      </c>
      <c r="N1059" s="251" t="str">
        <f>IFERROR(__xludf.DUMMYFUNCTION("""COMPUTED_VALUE"""),"Quick")</f>
        <v>Quick</v>
      </c>
      <c r="O1059" s="251" t="str">
        <f>IFERROR(__xludf.DUMMYFUNCTION("""COMPUTED_VALUE"""),"Swimmer")</f>
        <v>Swimmer</v>
      </c>
      <c r="P1059" s="251" t="str">
        <f>IFERROR(__xludf.DUMMYFUNCTION("""COMPUTED_VALUE"""),"--")</f>
        <v>--</v>
      </c>
      <c r="Q1059" s="251" t="str">
        <f>IFERROR(__xludf.DUMMYFUNCTION("""COMPUTED_VALUE"""),"--")</f>
        <v>--</v>
      </c>
      <c r="R1059" s="251" t="str">
        <f>IFERROR(__xludf.DUMMYFUNCTION("""COMPUTED_VALUE"""),"Form Change")</f>
        <v>Form Change</v>
      </c>
      <c r="S1059" s="251" t="str">
        <f>IFERROR(__xludf.DUMMYFUNCTION("""COMPUTED_VALUE"""),"--")</f>
        <v>--</v>
      </c>
      <c r="T1059" s="251" t="str">
        <f>IFERROR(__xludf.DUMMYFUNCTION("""COMPUTED_VALUE"""),"--")</f>
        <v>--</v>
      </c>
      <c r="U1059" s="251" t="str">
        <f>IFERROR(__xludf.DUMMYFUNCTION("""COMPUTED_VALUE"""),"--")</f>
        <v>--</v>
      </c>
      <c r="V1059" s="251" t="str">
        <f>IFERROR(__xludf.DUMMYFUNCTION("""COMPUTED_VALUE"""),"Chilled")</f>
        <v>Chilled</v>
      </c>
      <c r="W1059" s="251" t="str">
        <f>IFERROR(__xludf.DUMMYFUNCTION("""COMPUTED_VALUE"""),"--")</f>
        <v>--</v>
      </c>
      <c r="X1059" s="251" t="str">
        <f>IFERROR(__xludf.DUMMYFUNCTION("""COMPUTED_VALUE"""),"--")</f>
        <v>--</v>
      </c>
      <c r="Y1059" s="251" t="str">
        <f>IFERROR(__xludf.DUMMYFUNCTION("""COMPUTED_VALUE"""),"--")</f>
        <v>--</v>
      </c>
      <c r="Z1059" s="251" t="str">
        <f>IFERROR(__xludf.DUMMYFUNCTION("""COMPUTED_VALUE"""),"--")</f>
        <v>--</v>
      </c>
      <c r="AA1059" s="251" t="str">
        <f>IFERROR(__xludf.DUMMYFUNCTION("""COMPUTED_VALUE"""),"--")</f>
        <v>--</v>
      </c>
      <c r="AB1059" s="251" t="str">
        <f>IFERROR(__xludf.DUMMYFUNCTION("""COMPUTED_VALUE"""),"--")</f>
        <v>--</v>
      </c>
      <c r="AC1059" s="251" t="str">
        <f>IFERROR(__xludf.DUMMYFUNCTION("""COMPUTED_VALUE"""),"--")</f>
        <v>--</v>
      </c>
      <c r="AD1059" s="251">
        <f>IFERROR(__xludf.DUMMYFUNCTION("""COMPUTED_VALUE"""),3.0)</f>
        <v>3</v>
      </c>
      <c r="AE1059" s="251" t="str">
        <f>IFERROR(__xludf.DUMMYFUNCTION("""COMPUTED_VALUE"""),"Carnivore")</f>
        <v>Carnivore</v>
      </c>
    </row>
    <row r="1060">
      <c r="A1060" s="251" t="str">
        <f>IFERROR(__xludf.DUMMYFUNCTION("""COMPUTED_VALUE"""),"Farfetch'd")</f>
        <v>Farfetch'd</v>
      </c>
      <c r="B1060" s="251" t="str">
        <f>IFERROR(__xludf.DUMMYFUNCTION("""COMPUTED_VALUE"""),"Normal")</f>
        <v>Normal</v>
      </c>
      <c r="C1060" s="251" t="str">
        <f>IFERROR(__xludf.DUMMYFUNCTION("""COMPUTED_VALUE"""),"Flying")</f>
        <v>Flying</v>
      </c>
      <c r="D1060" s="251">
        <f>IFERROR(__xludf.DUMMYFUNCTION("""COMPUTED_VALUE"""),5.0)</f>
        <v>5</v>
      </c>
      <c r="E1060" s="251">
        <f>IFERROR(__xludf.DUMMYFUNCTION("""COMPUTED_VALUE"""),9.0)</f>
        <v>9</v>
      </c>
      <c r="F1060" s="251">
        <f>IFERROR(__xludf.DUMMYFUNCTION("""COMPUTED_VALUE"""),6.0)</f>
        <v>6</v>
      </c>
      <c r="G1060" s="251">
        <f>IFERROR(__xludf.DUMMYFUNCTION("""COMPUTED_VALUE"""),6.0)</f>
        <v>6</v>
      </c>
      <c r="H1060" s="251">
        <f>IFERROR(__xludf.DUMMYFUNCTION("""COMPUTED_VALUE"""),6.0)</f>
        <v>6</v>
      </c>
      <c r="I1060" s="251">
        <f>IFERROR(__xludf.DUMMYFUNCTION("""COMPUTED_VALUE"""),6.0)</f>
        <v>6</v>
      </c>
      <c r="J1060" s="251">
        <f>IFERROR(__xludf.DUMMYFUNCTION("""COMPUTED_VALUE"""),3.0)</f>
        <v>3</v>
      </c>
      <c r="K1060" s="251" t="str">
        <f>IFERROR(__xludf.DUMMYFUNCTION("""COMPUTED_VALUE"""),"Small")</f>
        <v>Small</v>
      </c>
      <c r="L1060" s="251">
        <f>IFERROR(__xludf.DUMMYFUNCTION("""COMPUTED_VALUE"""),2.0)</f>
        <v>2</v>
      </c>
      <c r="M1060" s="251" t="str">
        <f>IFERROR(__xludf.DUMMYFUNCTION("""COMPUTED_VALUE"""),"Grasslands")</f>
        <v>Grasslands</v>
      </c>
      <c r="N1060" s="251" t="str">
        <f>IFERROR(__xludf.DUMMYFUNCTION("""COMPUTED_VALUE"""),"--")</f>
        <v>--</v>
      </c>
      <c r="O1060" s="251" t="str">
        <f>IFERROR(__xludf.DUMMYFUNCTION("""COMPUTED_VALUE"""),"--")</f>
        <v>--</v>
      </c>
      <c r="P1060" s="251" t="str">
        <f>IFERROR(__xludf.DUMMYFUNCTION("""COMPUTED_VALUE"""),"--")</f>
        <v>--</v>
      </c>
      <c r="Q1060" s="251" t="str">
        <f>IFERROR(__xludf.DUMMYFUNCTION("""COMPUTED_VALUE"""),"--")</f>
        <v>--</v>
      </c>
      <c r="R1060" s="251" t="str">
        <f>IFERROR(__xludf.DUMMYFUNCTION("""COMPUTED_VALUE"""),"Underdog")</f>
        <v>Underdog</v>
      </c>
      <c r="S1060" s="251" t="str">
        <f>IFERROR(__xludf.DUMMYFUNCTION("""COMPUTED_VALUE"""),"Wielder (Melee, Small)")</f>
        <v>Wielder (Melee, Small)</v>
      </c>
      <c r="T1060" s="251" t="str">
        <f>IFERROR(__xludf.DUMMYFUNCTION("""COMPUTED_VALUE"""),"--")</f>
        <v>--</v>
      </c>
      <c r="U1060" s="251" t="str">
        <f>IFERROR(__xludf.DUMMYFUNCTION("""COMPUTED_VALUE"""),"--")</f>
        <v>--</v>
      </c>
      <c r="V1060" s="251" t="str">
        <f>IFERROR(__xludf.DUMMYFUNCTION("""COMPUTED_VALUE"""),"--")</f>
        <v>--</v>
      </c>
      <c r="W1060" s="251" t="str">
        <f>IFERROR(__xludf.DUMMYFUNCTION("""COMPUTED_VALUE"""),"--")</f>
        <v>--</v>
      </c>
      <c r="X1060" s="251" t="str">
        <f>IFERROR(__xludf.DUMMYFUNCTION("""COMPUTED_VALUE"""),"--")</f>
        <v>--</v>
      </c>
      <c r="Y1060" s="251" t="str">
        <f>IFERROR(__xludf.DUMMYFUNCTION("""COMPUTED_VALUE"""),"--")</f>
        <v>--</v>
      </c>
      <c r="Z1060" s="251" t="str">
        <f>IFERROR(__xludf.DUMMYFUNCTION("""COMPUTED_VALUE"""),"--")</f>
        <v>--</v>
      </c>
      <c r="AA1060" s="251" t="str">
        <f>IFERROR(__xludf.DUMMYFUNCTION("""COMPUTED_VALUE"""),"--")</f>
        <v>--</v>
      </c>
      <c r="AB1060" s="251" t="str">
        <f>IFERROR(__xludf.DUMMYFUNCTION("""COMPUTED_VALUE"""),"--")</f>
        <v>--</v>
      </c>
      <c r="AC1060" s="251" t="str">
        <f>IFERROR(__xludf.DUMMYFUNCTION("""COMPUTED_VALUE"""),"--")</f>
        <v>--</v>
      </c>
      <c r="AD1060" s="251">
        <f>IFERROR(__xludf.DUMMYFUNCTION("""COMPUTED_VALUE"""),3.0)</f>
        <v>3</v>
      </c>
      <c r="AE1060" s="251" t="str">
        <f>IFERROR(__xludf.DUMMYFUNCTION("""COMPUTED_VALUE"""),"Herbivore")</f>
        <v>Herbivore</v>
      </c>
    </row>
    <row r="1061">
      <c r="A1061" s="251" t="str">
        <f>IFERROR(__xludf.DUMMYFUNCTION("""COMPUTED_VALUE"""),"Kangaskhan")</f>
        <v>Kangaskhan</v>
      </c>
      <c r="B1061" s="251" t="str">
        <f>IFERROR(__xludf.DUMMYFUNCTION("""COMPUTED_VALUE"""),"Normal")</f>
        <v>Normal</v>
      </c>
      <c r="C1061" s="251" t="str">
        <f>IFERROR(__xludf.DUMMYFUNCTION("""COMPUTED_VALUE"""),"None")</f>
        <v>None</v>
      </c>
      <c r="D1061" s="251">
        <f>IFERROR(__xludf.DUMMYFUNCTION("""COMPUTED_VALUE"""),11.0)</f>
        <v>11</v>
      </c>
      <c r="E1061" s="251">
        <f>IFERROR(__xludf.DUMMYFUNCTION("""COMPUTED_VALUE"""),11.0)</f>
        <v>11</v>
      </c>
      <c r="F1061" s="251">
        <f>IFERROR(__xludf.DUMMYFUNCTION("""COMPUTED_VALUE"""),8.0)</f>
        <v>8</v>
      </c>
      <c r="G1061" s="251">
        <f>IFERROR(__xludf.DUMMYFUNCTION("""COMPUTED_VALUE"""),4.0)</f>
        <v>4</v>
      </c>
      <c r="H1061" s="251">
        <f>IFERROR(__xludf.DUMMYFUNCTION("""COMPUTED_VALUE"""),8.0)</f>
        <v>8</v>
      </c>
      <c r="I1061" s="251">
        <f>IFERROR(__xludf.DUMMYFUNCTION("""COMPUTED_VALUE"""),9.0)</f>
        <v>9</v>
      </c>
      <c r="J1061" s="251">
        <f>IFERROR(__xludf.DUMMYFUNCTION("""COMPUTED_VALUE"""),7.0)</f>
        <v>7</v>
      </c>
      <c r="K1061" s="251" t="str">
        <f>IFERROR(__xludf.DUMMYFUNCTION("""COMPUTED_VALUE"""),"Large")</f>
        <v>Large</v>
      </c>
      <c r="L1061" s="251">
        <f>IFERROR(__xludf.DUMMYFUNCTION("""COMPUTED_VALUE"""),4.0)</f>
        <v>4</v>
      </c>
      <c r="M1061" s="251" t="str">
        <f>IFERROR(__xludf.DUMMYFUNCTION("""COMPUTED_VALUE"""),"Grasslands")</f>
        <v>Grasslands</v>
      </c>
      <c r="N1061" s="251" t="str">
        <f>IFERROR(__xludf.DUMMYFUNCTION("""COMPUTED_VALUE"""),"--")</f>
        <v>--</v>
      </c>
      <c r="O1061" s="251" t="str">
        <f>IFERROR(__xludf.DUMMYFUNCTION("""COMPUTED_VALUE"""),"--")</f>
        <v>--</v>
      </c>
      <c r="P1061" s="251" t="str">
        <f>IFERROR(__xludf.DUMMYFUNCTION("""COMPUTED_VALUE"""),"--")</f>
        <v>--</v>
      </c>
      <c r="Q1061" s="251" t="str">
        <f>IFERROR(__xludf.DUMMYFUNCTION("""COMPUTED_VALUE"""),"--")</f>
        <v>--</v>
      </c>
      <c r="R1061" s="251" t="str">
        <f>IFERROR(__xludf.DUMMYFUNCTION("""COMPUTED_VALUE"""),"--")</f>
        <v>--</v>
      </c>
      <c r="S1061" s="251" t="str">
        <f>IFERROR(__xludf.DUMMYFUNCTION("""COMPUTED_VALUE"""),"--")</f>
        <v>--</v>
      </c>
      <c r="T1061" s="251" t="str">
        <f>IFERROR(__xludf.DUMMYFUNCTION("""COMPUTED_VALUE"""),"--")</f>
        <v>--</v>
      </c>
      <c r="U1061" s="251" t="str">
        <f>IFERROR(__xludf.DUMMYFUNCTION("""COMPUTED_VALUE"""),"--")</f>
        <v>--</v>
      </c>
      <c r="V1061" s="251" t="str">
        <f>IFERROR(__xludf.DUMMYFUNCTION("""COMPUTED_VALUE"""),"--")</f>
        <v>--</v>
      </c>
      <c r="W1061" s="251" t="str">
        <f>IFERROR(__xludf.DUMMYFUNCTION("""COMPUTED_VALUE"""),"--")</f>
        <v>--</v>
      </c>
      <c r="X1061" s="251" t="str">
        <f>IFERROR(__xludf.DUMMYFUNCTION("""COMPUTED_VALUE"""),"--")</f>
        <v>--</v>
      </c>
      <c r="Y1061" s="251" t="str">
        <f>IFERROR(__xludf.DUMMYFUNCTION("""COMPUTED_VALUE"""),"--")</f>
        <v>--</v>
      </c>
      <c r="Z1061" s="251" t="str">
        <f>IFERROR(__xludf.DUMMYFUNCTION("""COMPUTED_VALUE"""),"--")</f>
        <v>--</v>
      </c>
      <c r="AA1061" s="251" t="str">
        <f>IFERROR(__xludf.DUMMYFUNCTION("""COMPUTED_VALUE"""),"--")</f>
        <v>--</v>
      </c>
      <c r="AB1061" s="251" t="str">
        <f>IFERROR(__xludf.DUMMYFUNCTION("""COMPUTED_VALUE"""),"--")</f>
        <v>--</v>
      </c>
      <c r="AC1061" s="251" t="str">
        <f>IFERROR(__xludf.DUMMYFUNCTION("""COMPUTED_VALUE"""),"--")</f>
        <v>--</v>
      </c>
      <c r="AD1061" s="251">
        <f>IFERROR(__xludf.DUMMYFUNCTION("""COMPUTED_VALUE"""),3.0)</f>
        <v>3</v>
      </c>
      <c r="AE1061" s="251" t="str">
        <f>IFERROR(__xludf.DUMMYFUNCTION("""COMPUTED_VALUE"""),"Herbivore")</f>
        <v>Herbivore</v>
      </c>
    </row>
    <row r="1062">
      <c r="A1062" s="251" t="str">
        <f>IFERROR(__xludf.DUMMYFUNCTION("""COMPUTED_VALUE"""),"Tauros")</f>
        <v>Tauros</v>
      </c>
      <c r="B1062" s="251" t="str">
        <f>IFERROR(__xludf.DUMMYFUNCTION("""COMPUTED_VALUE"""),"Normal")</f>
        <v>Normal</v>
      </c>
      <c r="C1062" s="251" t="str">
        <f>IFERROR(__xludf.DUMMYFUNCTION("""COMPUTED_VALUE"""),"None")</f>
        <v>None</v>
      </c>
      <c r="D1062" s="251">
        <f>IFERROR(__xludf.DUMMYFUNCTION("""COMPUTED_VALUE"""),8.0)</f>
        <v>8</v>
      </c>
      <c r="E1062" s="251">
        <f>IFERROR(__xludf.DUMMYFUNCTION("""COMPUTED_VALUE"""),11.0)</f>
        <v>11</v>
      </c>
      <c r="F1062" s="251">
        <f>IFERROR(__xludf.DUMMYFUNCTION("""COMPUTED_VALUE"""),10.0)</f>
        <v>10</v>
      </c>
      <c r="G1062" s="251">
        <f>IFERROR(__xludf.DUMMYFUNCTION("""COMPUTED_VALUE"""),4.0)</f>
        <v>4</v>
      </c>
      <c r="H1062" s="251">
        <f>IFERROR(__xludf.DUMMYFUNCTION("""COMPUTED_VALUE"""),7.0)</f>
        <v>7</v>
      </c>
      <c r="I1062" s="251">
        <f>IFERROR(__xludf.DUMMYFUNCTION("""COMPUTED_VALUE"""),11.0)</f>
        <v>11</v>
      </c>
      <c r="J1062" s="251">
        <f>IFERROR(__xludf.DUMMYFUNCTION("""COMPUTED_VALUE"""),8.0)</f>
        <v>8</v>
      </c>
      <c r="K1062" s="251" t="str">
        <f>IFERROR(__xludf.DUMMYFUNCTION("""COMPUTED_VALUE"""),"Medium")</f>
        <v>Medium</v>
      </c>
      <c r="L1062" s="251">
        <f>IFERROR(__xludf.DUMMYFUNCTION("""COMPUTED_VALUE"""),4.0)</f>
        <v>4</v>
      </c>
      <c r="M1062" s="251" t="str">
        <f>IFERROR(__xludf.DUMMYFUNCTION("""COMPUTED_VALUE"""),"Grasslands")</f>
        <v>Grasslands</v>
      </c>
      <c r="N1062" s="251" t="str">
        <f>IFERROR(__xludf.DUMMYFUNCTION("""COMPUTED_VALUE"""),"Quick")</f>
        <v>Quick</v>
      </c>
      <c r="O1062" s="251" t="str">
        <f>IFERROR(__xludf.DUMMYFUNCTION("""COMPUTED_VALUE"""),"--")</f>
        <v>--</v>
      </c>
      <c r="P1062" s="251" t="str">
        <f>IFERROR(__xludf.DUMMYFUNCTION("""COMPUTED_VALUE"""),"--")</f>
        <v>--</v>
      </c>
      <c r="Q1062" s="251" t="str">
        <f>IFERROR(__xludf.DUMMYFUNCTION("""COMPUTED_VALUE"""),"--")</f>
        <v>--</v>
      </c>
      <c r="R1062" s="251" t="str">
        <f>IFERROR(__xludf.DUMMYFUNCTION("""COMPUTED_VALUE"""),"Mountable")</f>
        <v>Mountable</v>
      </c>
      <c r="S1062" s="251" t="str">
        <f>IFERROR(__xludf.DUMMYFUNCTION("""COMPUTED_VALUE"""),"--")</f>
        <v>--</v>
      </c>
      <c r="T1062" s="251" t="str">
        <f>IFERROR(__xludf.DUMMYFUNCTION("""COMPUTED_VALUE"""),"--")</f>
        <v>--</v>
      </c>
      <c r="U1062" s="251" t="str">
        <f>IFERROR(__xludf.DUMMYFUNCTION("""COMPUTED_VALUE"""),"--")</f>
        <v>--</v>
      </c>
      <c r="V1062" s="251" t="str">
        <f>IFERROR(__xludf.DUMMYFUNCTION("""COMPUTED_VALUE"""),"Pack Mon")</f>
        <v>Pack Mon</v>
      </c>
      <c r="W1062" s="251" t="str">
        <f>IFERROR(__xludf.DUMMYFUNCTION("""COMPUTED_VALUE"""),"--")</f>
        <v>--</v>
      </c>
      <c r="X1062" s="251" t="str">
        <f>IFERROR(__xludf.DUMMYFUNCTION("""COMPUTED_VALUE"""),"--")</f>
        <v>--</v>
      </c>
      <c r="Y1062" s="251" t="str">
        <f>IFERROR(__xludf.DUMMYFUNCTION("""COMPUTED_VALUE"""),"--")</f>
        <v>--</v>
      </c>
      <c r="Z1062" s="251" t="str">
        <f>IFERROR(__xludf.DUMMYFUNCTION("""COMPUTED_VALUE"""),"--")</f>
        <v>--</v>
      </c>
      <c r="AA1062" s="251" t="str">
        <f>IFERROR(__xludf.DUMMYFUNCTION("""COMPUTED_VALUE"""),"--")</f>
        <v>--</v>
      </c>
      <c r="AB1062" s="251" t="str">
        <f>IFERROR(__xludf.DUMMYFUNCTION("""COMPUTED_VALUE"""),"--")</f>
        <v>--</v>
      </c>
      <c r="AC1062" s="251" t="str">
        <f>IFERROR(__xludf.DUMMYFUNCTION("""COMPUTED_VALUE"""),"--")</f>
        <v>--</v>
      </c>
      <c r="AD1062" s="251">
        <f>IFERROR(__xludf.DUMMYFUNCTION("""COMPUTED_VALUE"""),3.0)</f>
        <v>3</v>
      </c>
      <c r="AE1062" s="251" t="str">
        <f>IFERROR(__xludf.DUMMYFUNCTION("""COMPUTED_VALUE"""),"Herbivore")</f>
        <v>Herbivore</v>
      </c>
    </row>
    <row r="1063">
      <c r="A1063" s="251" t="str">
        <f>IFERROR(__xludf.DUMMYFUNCTION("""COMPUTED_VALUE"""),"Smeargle")</f>
        <v>Smeargle</v>
      </c>
      <c r="B1063" s="251" t="str">
        <f>IFERROR(__xludf.DUMMYFUNCTION("""COMPUTED_VALUE"""),"Normal")</f>
        <v>Normal</v>
      </c>
      <c r="C1063" s="251" t="str">
        <f>IFERROR(__xludf.DUMMYFUNCTION("""COMPUTED_VALUE"""),"None")</f>
        <v>None</v>
      </c>
      <c r="D1063" s="251">
        <f>IFERROR(__xludf.DUMMYFUNCTION("""COMPUTED_VALUE"""),6.0)</f>
        <v>6</v>
      </c>
      <c r="E1063" s="251">
        <f>IFERROR(__xludf.DUMMYFUNCTION("""COMPUTED_VALUE"""),2.0)</f>
        <v>2</v>
      </c>
      <c r="F1063" s="251">
        <f>IFERROR(__xludf.DUMMYFUNCTION("""COMPUTED_VALUE"""),4.0)</f>
        <v>4</v>
      </c>
      <c r="G1063" s="251">
        <f>IFERROR(__xludf.DUMMYFUNCTION("""COMPUTED_VALUE"""),2.0)</f>
        <v>2</v>
      </c>
      <c r="H1063" s="251">
        <f>IFERROR(__xludf.DUMMYFUNCTION("""COMPUTED_VALUE"""),5.0)</f>
        <v>5</v>
      </c>
      <c r="I1063" s="251">
        <f>IFERROR(__xludf.DUMMYFUNCTION("""COMPUTED_VALUE"""),8.0)</f>
        <v>8</v>
      </c>
      <c r="J1063" s="251">
        <f>IFERROR(__xludf.DUMMYFUNCTION("""COMPUTED_VALUE"""),3.0)</f>
        <v>3</v>
      </c>
      <c r="K1063" s="251" t="str">
        <f>IFERROR(__xludf.DUMMYFUNCTION("""COMPUTED_VALUE"""),"Medium")</f>
        <v>Medium</v>
      </c>
      <c r="L1063" s="251">
        <f>IFERROR(__xludf.DUMMYFUNCTION("""COMPUTED_VALUE"""),4.0)</f>
        <v>4</v>
      </c>
      <c r="M1063" s="251" t="str">
        <f>IFERROR(__xludf.DUMMYFUNCTION("""COMPUTED_VALUE"""),"Forest, Urban")</f>
        <v>Forest, Urban</v>
      </c>
      <c r="N1063" s="251" t="str">
        <f>IFERROR(__xludf.DUMMYFUNCTION("""COMPUTED_VALUE"""),"--")</f>
        <v>--</v>
      </c>
      <c r="O1063" s="251" t="str">
        <f>IFERROR(__xludf.DUMMYFUNCTION("""COMPUTED_VALUE"""),"--")</f>
        <v>--</v>
      </c>
      <c r="P1063" s="251" t="str">
        <f>IFERROR(__xludf.DUMMYFUNCTION("""COMPUTED_VALUE"""),"--")</f>
        <v>--</v>
      </c>
      <c r="Q1063" s="251" t="str">
        <f>IFERROR(__xludf.DUMMYFUNCTION("""COMPUTED_VALUE"""),"--")</f>
        <v>--</v>
      </c>
      <c r="R1063" s="251" t="str">
        <f>IFERROR(__xludf.DUMMYFUNCTION("""COMPUTED_VALUE"""),"Underdog")</f>
        <v>Underdog</v>
      </c>
      <c r="S1063" s="251" t="str">
        <f>IFERROR(__xludf.DUMMYFUNCTION("""COMPUTED_VALUE"""),"--")</f>
        <v>--</v>
      </c>
      <c r="T1063" s="251" t="str">
        <f>IFERROR(__xludf.DUMMYFUNCTION("""COMPUTED_VALUE"""),"--")</f>
        <v>--</v>
      </c>
      <c r="U1063" s="251" t="str">
        <f>IFERROR(__xludf.DUMMYFUNCTION("""COMPUTED_VALUE"""),"--")</f>
        <v>--</v>
      </c>
      <c r="V1063" s="251" t="str">
        <f>IFERROR(__xludf.DUMMYFUNCTION("""COMPUTED_VALUE"""),"Tracker")</f>
        <v>Tracker</v>
      </c>
      <c r="W1063" s="251" t="str">
        <f>IFERROR(__xludf.DUMMYFUNCTION("""COMPUTED_VALUE"""),"--")</f>
        <v>--</v>
      </c>
      <c r="X1063" s="251" t="str">
        <f>IFERROR(__xludf.DUMMYFUNCTION("""COMPUTED_VALUE"""),"--")</f>
        <v>--</v>
      </c>
      <c r="Y1063" s="251" t="str">
        <f>IFERROR(__xludf.DUMMYFUNCTION("""COMPUTED_VALUE"""),"--")</f>
        <v>--</v>
      </c>
      <c r="Z1063" s="251" t="str">
        <f>IFERROR(__xludf.DUMMYFUNCTION("""COMPUTED_VALUE"""),"--")</f>
        <v>--</v>
      </c>
      <c r="AA1063" s="251" t="str">
        <f>IFERROR(__xludf.DUMMYFUNCTION("""COMPUTED_VALUE"""),"--")</f>
        <v>--</v>
      </c>
      <c r="AB1063" s="251" t="str">
        <f>IFERROR(__xludf.DUMMYFUNCTION("""COMPUTED_VALUE"""),"--")</f>
        <v>--</v>
      </c>
      <c r="AC1063" s="251" t="str">
        <f>IFERROR(__xludf.DUMMYFUNCTION("""COMPUTED_VALUE"""),"--")</f>
        <v>--</v>
      </c>
      <c r="AD1063" s="251">
        <f>IFERROR(__xludf.DUMMYFUNCTION("""COMPUTED_VALUE"""),3.0)</f>
        <v>3</v>
      </c>
      <c r="AE1063" s="251" t="str">
        <f>IFERROR(__xludf.DUMMYFUNCTION("""COMPUTED_VALUE"""),"Omnivore")</f>
        <v>Omnivore</v>
      </c>
    </row>
    <row r="1064">
      <c r="A1064" s="251" t="str">
        <f>IFERROR(__xludf.DUMMYFUNCTION("""COMPUTED_VALUE"""),"Miltank")</f>
        <v>Miltank</v>
      </c>
      <c r="B1064" s="251" t="str">
        <f>IFERROR(__xludf.DUMMYFUNCTION("""COMPUTED_VALUE"""),"Normal")</f>
        <v>Normal</v>
      </c>
      <c r="C1064" s="251" t="str">
        <f>IFERROR(__xludf.DUMMYFUNCTION("""COMPUTED_VALUE"""),"None")</f>
        <v>None</v>
      </c>
      <c r="D1064" s="251">
        <f>IFERROR(__xludf.DUMMYFUNCTION("""COMPUTED_VALUE"""),11.0)</f>
        <v>11</v>
      </c>
      <c r="E1064" s="251">
        <f>IFERROR(__xludf.DUMMYFUNCTION("""COMPUTED_VALUE"""),8.0)</f>
        <v>8</v>
      </c>
      <c r="F1064" s="251">
        <f>IFERROR(__xludf.DUMMYFUNCTION("""COMPUTED_VALUE"""),11.0)</f>
        <v>11</v>
      </c>
      <c r="G1064" s="251">
        <f>IFERROR(__xludf.DUMMYFUNCTION("""COMPUTED_VALUE"""),4.0)</f>
        <v>4</v>
      </c>
      <c r="H1064" s="251">
        <f>IFERROR(__xludf.DUMMYFUNCTION("""COMPUTED_VALUE"""),7.0)</f>
        <v>7</v>
      </c>
      <c r="I1064" s="251">
        <f>IFERROR(__xludf.DUMMYFUNCTION("""COMPUTED_VALUE"""),10.0)</f>
        <v>10</v>
      </c>
      <c r="J1064" s="251">
        <f>IFERROR(__xludf.DUMMYFUNCTION("""COMPUTED_VALUE"""),5.0)</f>
        <v>5</v>
      </c>
      <c r="K1064" s="251" t="str">
        <f>IFERROR(__xludf.DUMMYFUNCTION("""COMPUTED_VALUE"""),"Medium")</f>
        <v>Medium</v>
      </c>
      <c r="L1064" s="251">
        <f>IFERROR(__xludf.DUMMYFUNCTION("""COMPUTED_VALUE"""),4.0)</f>
        <v>4</v>
      </c>
      <c r="M1064" s="251" t="str">
        <f>IFERROR(__xludf.DUMMYFUNCTION("""COMPUTED_VALUE"""),"Grasslands")</f>
        <v>Grasslands</v>
      </c>
      <c r="N1064" s="251" t="str">
        <f>IFERROR(__xludf.DUMMYFUNCTION("""COMPUTED_VALUE"""),"--")</f>
        <v>--</v>
      </c>
      <c r="O1064" s="251" t="str">
        <f>IFERROR(__xludf.DUMMYFUNCTION("""COMPUTED_VALUE"""),"--")</f>
        <v>--</v>
      </c>
      <c r="P1064" s="251" t="str">
        <f>IFERROR(__xludf.DUMMYFUNCTION("""COMPUTED_VALUE"""),"--")</f>
        <v>--</v>
      </c>
      <c r="Q1064" s="251" t="str">
        <f>IFERROR(__xludf.DUMMYFUNCTION("""COMPUTED_VALUE"""),"--")</f>
        <v>--</v>
      </c>
      <c r="R1064" s="251" t="str">
        <f>IFERROR(__xludf.DUMMYFUNCTION("""COMPUTED_VALUE"""),"--")</f>
        <v>--</v>
      </c>
      <c r="S1064" s="251" t="str">
        <f>IFERROR(__xludf.DUMMYFUNCTION("""COMPUTED_VALUE"""),"--")</f>
        <v>--</v>
      </c>
      <c r="T1064" s="251" t="str">
        <f>IFERROR(__xludf.DUMMYFUNCTION("""COMPUTED_VALUE"""),"--")</f>
        <v>--</v>
      </c>
      <c r="U1064" s="251" t="str">
        <f>IFERROR(__xludf.DUMMYFUNCTION("""COMPUTED_VALUE"""),"--")</f>
        <v>--</v>
      </c>
      <c r="V1064" s="251" t="str">
        <f>IFERROR(__xludf.DUMMYFUNCTION("""COMPUTED_VALUE"""),"--")</f>
        <v>--</v>
      </c>
      <c r="W1064" s="251" t="str">
        <f>IFERROR(__xludf.DUMMYFUNCTION("""COMPUTED_VALUE"""),"--")</f>
        <v>--</v>
      </c>
      <c r="X1064" s="251" t="str">
        <f>IFERROR(__xludf.DUMMYFUNCTION("""COMPUTED_VALUE"""),"--")</f>
        <v>--</v>
      </c>
      <c r="Y1064" s="251" t="str">
        <f>IFERROR(__xludf.DUMMYFUNCTION("""COMPUTED_VALUE"""),"--")</f>
        <v>--</v>
      </c>
      <c r="Z1064" s="251" t="str">
        <f>IFERROR(__xludf.DUMMYFUNCTION("""COMPUTED_VALUE"""),"--")</f>
        <v>--</v>
      </c>
      <c r="AA1064" s="251" t="str">
        <f>IFERROR(__xludf.DUMMYFUNCTION("""COMPUTED_VALUE"""),"--")</f>
        <v>--</v>
      </c>
      <c r="AB1064" s="251" t="str">
        <f>IFERROR(__xludf.DUMMYFUNCTION("""COMPUTED_VALUE"""),"--")</f>
        <v>--</v>
      </c>
      <c r="AC1064" s="251" t="str">
        <f>IFERROR(__xludf.DUMMYFUNCTION("""COMPUTED_VALUE"""),"--")</f>
        <v>--</v>
      </c>
      <c r="AD1064" s="251">
        <f>IFERROR(__xludf.DUMMYFUNCTION("""COMPUTED_VALUE"""),3.0)</f>
        <v>3</v>
      </c>
      <c r="AE1064" s="251" t="str">
        <f>IFERROR(__xludf.DUMMYFUNCTION("""COMPUTED_VALUE"""),"Herbivore")</f>
        <v>Herbivore</v>
      </c>
    </row>
    <row r="1065">
      <c r="A1065" s="251" t="str">
        <f>IFERROR(__xludf.DUMMYFUNCTION("""COMPUTED_VALUE"""),"Spinda")</f>
        <v>Spinda</v>
      </c>
      <c r="B1065" s="251" t="str">
        <f>IFERROR(__xludf.DUMMYFUNCTION("""COMPUTED_VALUE"""),"Normal")</f>
        <v>Normal</v>
      </c>
      <c r="C1065" s="251" t="str">
        <f>IFERROR(__xludf.DUMMYFUNCTION("""COMPUTED_VALUE"""),"None")</f>
        <v>None</v>
      </c>
      <c r="D1065" s="251">
        <f>IFERROR(__xludf.DUMMYFUNCTION("""COMPUTED_VALUE"""),6.0)</f>
        <v>6</v>
      </c>
      <c r="E1065" s="251">
        <f>IFERROR(__xludf.DUMMYFUNCTION("""COMPUTED_VALUE"""),9.0)</f>
        <v>9</v>
      </c>
      <c r="F1065" s="251">
        <f>IFERROR(__xludf.DUMMYFUNCTION("""COMPUTED_VALUE"""),9.0)</f>
        <v>9</v>
      </c>
      <c r="G1065" s="251">
        <f>IFERROR(__xludf.DUMMYFUNCTION("""COMPUTED_VALUE"""),9.0)</f>
        <v>9</v>
      </c>
      <c r="H1065" s="251">
        <f>IFERROR(__xludf.DUMMYFUNCTION("""COMPUTED_VALUE"""),9.0)</f>
        <v>9</v>
      </c>
      <c r="I1065" s="251">
        <f>IFERROR(__xludf.DUMMYFUNCTION("""COMPUTED_VALUE"""),9.0)</f>
        <v>9</v>
      </c>
      <c r="J1065" s="251">
        <f>IFERROR(__xludf.DUMMYFUNCTION("""COMPUTED_VALUE"""),1.0)</f>
        <v>1</v>
      </c>
      <c r="K1065" s="251" t="str">
        <f>IFERROR(__xludf.DUMMYFUNCTION("""COMPUTED_VALUE"""),"Medium")</f>
        <v>Medium</v>
      </c>
      <c r="L1065" s="251">
        <f>IFERROR(__xludf.DUMMYFUNCTION("""COMPUTED_VALUE"""),1.0)</f>
        <v>1</v>
      </c>
      <c r="M1065" s="251" t="str">
        <f>IFERROR(__xludf.DUMMYFUNCTION("""COMPUTED_VALUE"""),"Grasslands")</f>
        <v>Grasslands</v>
      </c>
      <c r="N1065" s="251" t="str">
        <f>IFERROR(__xludf.DUMMYFUNCTION("""COMPUTED_VALUE"""),"--")</f>
        <v>--</v>
      </c>
      <c r="O1065" s="251" t="str">
        <f>IFERROR(__xludf.DUMMYFUNCTION("""COMPUTED_VALUE"""),"--")</f>
        <v>--</v>
      </c>
      <c r="P1065" s="251" t="str">
        <f>IFERROR(__xludf.DUMMYFUNCTION("""COMPUTED_VALUE"""),"--")</f>
        <v>--</v>
      </c>
      <c r="Q1065" s="251" t="str">
        <f>IFERROR(__xludf.DUMMYFUNCTION("""COMPUTED_VALUE"""),"--")</f>
        <v>--</v>
      </c>
      <c r="R1065" s="251" t="str">
        <f>IFERROR(__xludf.DUMMYFUNCTION("""COMPUTED_VALUE"""),"--")</f>
        <v>--</v>
      </c>
      <c r="S1065" s="251" t="str">
        <f>IFERROR(__xludf.DUMMYFUNCTION("""COMPUTED_VALUE"""),"--")</f>
        <v>--</v>
      </c>
      <c r="T1065" s="251" t="str">
        <f>IFERROR(__xludf.DUMMYFUNCTION("""COMPUTED_VALUE"""),"--")</f>
        <v>--</v>
      </c>
      <c r="U1065" s="251" t="str">
        <f>IFERROR(__xludf.DUMMYFUNCTION("""COMPUTED_VALUE"""),"--")</f>
        <v>--</v>
      </c>
      <c r="V1065" s="251" t="str">
        <f>IFERROR(__xludf.DUMMYFUNCTION("""COMPUTED_VALUE"""),"--")</f>
        <v>--</v>
      </c>
      <c r="W1065" s="251" t="str">
        <f>IFERROR(__xludf.DUMMYFUNCTION("""COMPUTED_VALUE"""),"--")</f>
        <v>--</v>
      </c>
      <c r="X1065" s="251" t="str">
        <f>IFERROR(__xludf.DUMMYFUNCTION("""COMPUTED_VALUE"""),"--")</f>
        <v>--</v>
      </c>
      <c r="Y1065" s="251" t="str">
        <f>IFERROR(__xludf.DUMMYFUNCTION("""COMPUTED_VALUE"""),"--")</f>
        <v>--</v>
      </c>
      <c r="Z1065" s="251" t="str">
        <f>IFERROR(__xludf.DUMMYFUNCTION("""COMPUTED_VALUE"""),"--")</f>
        <v>--</v>
      </c>
      <c r="AA1065" s="251" t="str">
        <f>IFERROR(__xludf.DUMMYFUNCTION("""COMPUTED_VALUE"""),"--")</f>
        <v>--</v>
      </c>
      <c r="AB1065" s="251" t="str">
        <f>IFERROR(__xludf.DUMMYFUNCTION("""COMPUTED_VALUE"""),"--")</f>
        <v>--</v>
      </c>
      <c r="AC1065" s="251" t="str">
        <f>IFERROR(__xludf.DUMMYFUNCTION("""COMPUTED_VALUE"""),"--")</f>
        <v>--</v>
      </c>
      <c r="AD1065" s="251">
        <f>IFERROR(__xludf.DUMMYFUNCTION("""COMPUTED_VALUE"""),3.0)</f>
        <v>3</v>
      </c>
      <c r="AE1065" s="251" t="str">
        <f>IFERROR(__xludf.DUMMYFUNCTION("""COMPUTED_VALUE"""),"Herbivore")</f>
        <v>Herbivore</v>
      </c>
    </row>
    <row r="1066">
      <c r="A1066" s="251" t="str">
        <f>IFERROR(__xludf.DUMMYFUNCTION("""COMPUTED_VALUE"""),"Zangoose")</f>
        <v>Zangoose</v>
      </c>
      <c r="B1066" s="251" t="str">
        <f>IFERROR(__xludf.DUMMYFUNCTION("""COMPUTED_VALUE"""),"Normal")</f>
        <v>Normal</v>
      </c>
      <c r="C1066" s="251" t="str">
        <f>IFERROR(__xludf.DUMMYFUNCTION("""COMPUTED_VALUE"""),"None")</f>
        <v>None</v>
      </c>
      <c r="D1066" s="251">
        <f>IFERROR(__xludf.DUMMYFUNCTION("""COMPUTED_VALUE"""),8.0)</f>
        <v>8</v>
      </c>
      <c r="E1066" s="251">
        <f>IFERROR(__xludf.DUMMYFUNCTION("""COMPUTED_VALUE"""),13.0)</f>
        <v>13</v>
      </c>
      <c r="F1066" s="251">
        <f>IFERROR(__xludf.DUMMYFUNCTION("""COMPUTED_VALUE"""),7.0)</f>
        <v>7</v>
      </c>
      <c r="G1066" s="251">
        <f>IFERROR(__xludf.DUMMYFUNCTION("""COMPUTED_VALUE"""),6.0)</f>
        <v>6</v>
      </c>
      <c r="H1066" s="251">
        <f>IFERROR(__xludf.DUMMYFUNCTION("""COMPUTED_VALUE"""),7.0)</f>
        <v>7</v>
      </c>
      <c r="I1066" s="251">
        <f>IFERROR(__xludf.DUMMYFUNCTION("""COMPUTED_VALUE"""),10.0)</f>
        <v>10</v>
      </c>
      <c r="J1066" s="251">
        <f>IFERROR(__xludf.DUMMYFUNCTION("""COMPUTED_VALUE"""),5.0)</f>
        <v>5</v>
      </c>
      <c r="K1066" s="251" t="str">
        <f>IFERROR(__xludf.DUMMYFUNCTION("""COMPUTED_VALUE"""),"Medium")</f>
        <v>Medium</v>
      </c>
      <c r="L1066" s="251">
        <f>IFERROR(__xludf.DUMMYFUNCTION("""COMPUTED_VALUE"""),3.0)</f>
        <v>3</v>
      </c>
      <c r="M1066" s="251" t="str">
        <f>IFERROR(__xludf.DUMMYFUNCTION("""COMPUTED_VALUE"""),"Grasslands")</f>
        <v>Grasslands</v>
      </c>
      <c r="N1066" s="251" t="str">
        <f>IFERROR(__xludf.DUMMYFUNCTION("""COMPUTED_VALUE"""),"Quick")</f>
        <v>Quick</v>
      </c>
      <c r="O1066" s="251" t="str">
        <f>IFERROR(__xludf.DUMMYFUNCTION("""COMPUTED_VALUE"""),"--")</f>
        <v>--</v>
      </c>
      <c r="P1066" s="251" t="str">
        <f>IFERROR(__xludf.DUMMYFUNCTION("""COMPUTED_VALUE"""),"--")</f>
        <v>--</v>
      </c>
      <c r="Q1066" s="251" t="str">
        <f>IFERROR(__xludf.DUMMYFUNCTION("""COMPUTED_VALUE"""),"--")</f>
        <v>--</v>
      </c>
      <c r="R1066" s="251" t="str">
        <f>IFERROR(__xludf.DUMMYFUNCTION("""COMPUTED_VALUE"""),"--")</f>
        <v>--</v>
      </c>
      <c r="S1066" s="251" t="str">
        <f>IFERROR(__xludf.DUMMYFUNCTION("""COMPUTED_VALUE"""),"--")</f>
        <v>--</v>
      </c>
      <c r="T1066" s="251" t="str">
        <f>IFERROR(__xludf.DUMMYFUNCTION("""COMPUTED_VALUE"""),"--")</f>
        <v>--</v>
      </c>
      <c r="U1066" s="251" t="str">
        <f>IFERROR(__xludf.DUMMYFUNCTION("""COMPUTED_VALUE"""),"--")</f>
        <v>--</v>
      </c>
      <c r="V1066" s="251" t="str">
        <f>IFERROR(__xludf.DUMMYFUNCTION("""COMPUTED_VALUE"""),"--")</f>
        <v>--</v>
      </c>
      <c r="W1066" s="251" t="str">
        <f>IFERROR(__xludf.DUMMYFUNCTION("""COMPUTED_VALUE"""),"--")</f>
        <v>--</v>
      </c>
      <c r="X1066" s="251" t="str">
        <f>IFERROR(__xludf.DUMMYFUNCTION("""COMPUTED_VALUE"""),"--")</f>
        <v>--</v>
      </c>
      <c r="Y1066" s="251" t="str">
        <f>IFERROR(__xludf.DUMMYFUNCTION("""COMPUTED_VALUE"""),"--")</f>
        <v>--</v>
      </c>
      <c r="Z1066" s="251" t="str">
        <f>IFERROR(__xludf.DUMMYFUNCTION("""COMPUTED_VALUE"""),"--")</f>
        <v>--</v>
      </c>
      <c r="AA1066" s="251" t="str">
        <f>IFERROR(__xludf.DUMMYFUNCTION("""COMPUTED_VALUE"""),"--")</f>
        <v>--</v>
      </c>
      <c r="AB1066" s="251" t="str">
        <f>IFERROR(__xludf.DUMMYFUNCTION("""COMPUTED_VALUE"""),"--")</f>
        <v>--</v>
      </c>
      <c r="AC1066" s="251" t="str">
        <f>IFERROR(__xludf.DUMMYFUNCTION("""COMPUTED_VALUE"""),"--")</f>
        <v>--</v>
      </c>
      <c r="AD1066" s="251">
        <f>IFERROR(__xludf.DUMMYFUNCTION("""COMPUTED_VALUE"""),3.0)</f>
        <v>3</v>
      </c>
      <c r="AE1066" s="251" t="str">
        <f>IFERROR(__xludf.DUMMYFUNCTION("""COMPUTED_VALUE"""),"Carnivore")</f>
        <v>Carnivore</v>
      </c>
    </row>
    <row r="1067">
      <c r="A1067" s="251" t="str">
        <f>IFERROR(__xludf.DUMMYFUNCTION("""COMPUTED_VALUE"""),"Castform")</f>
        <v>Castform</v>
      </c>
      <c r="B1067" s="251" t="str">
        <f>IFERROR(__xludf.DUMMYFUNCTION("""COMPUTED_VALUE"""),"Normal")</f>
        <v>Normal</v>
      </c>
      <c r="C1067" s="251" t="str">
        <f>IFERROR(__xludf.DUMMYFUNCTION("""COMPUTED_VALUE"""),"None")</f>
        <v>None</v>
      </c>
      <c r="D1067" s="251">
        <f>IFERROR(__xludf.DUMMYFUNCTION("""COMPUTED_VALUE"""),7.0)</f>
        <v>7</v>
      </c>
      <c r="E1067" s="251">
        <f>IFERROR(__xludf.DUMMYFUNCTION("""COMPUTED_VALUE"""),7.0)</f>
        <v>7</v>
      </c>
      <c r="F1067" s="251">
        <f>IFERROR(__xludf.DUMMYFUNCTION("""COMPUTED_VALUE"""),7.0)</f>
        <v>7</v>
      </c>
      <c r="G1067" s="251">
        <f>IFERROR(__xludf.DUMMYFUNCTION("""COMPUTED_VALUE"""),7.0)</f>
        <v>7</v>
      </c>
      <c r="H1067" s="251">
        <f>IFERROR(__xludf.DUMMYFUNCTION("""COMPUTED_VALUE"""),7.0)</f>
        <v>7</v>
      </c>
      <c r="I1067" s="251">
        <f>IFERROR(__xludf.DUMMYFUNCTION("""COMPUTED_VALUE"""),7.0)</f>
        <v>7</v>
      </c>
      <c r="J1067" s="251">
        <f>IFERROR(__xludf.DUMMYFUNCTION("""COMPUTED_VALUE"""),1.0)</f>
        <v>1</v>
      </c>
      <c r="K1067" s="251" t="str">
        <f>IFERROR(__xludf.DUMMYFUNCTION("""COMPUTED_VALUE"""),"Small")</f>
        <v>Small</v>
      </c>
      <c r="L1067" s="251">
        <f>IFERROR(__xludf.DUMMYFUNCTION("""COMPUTED_VALUE"""),1.0)</f>
        <v>1</v>
      </c>
      <c r="M1067" s="251" t="str">
        <f>IFERROR(__xludf.DUMMYFUNCTION("""COMPUTED_VALUE"""),"Urban")</f>
        <v>Urban</v>
      </c>
      <c r="N1067" s="251" t="str">
        <f>IFERROR(__xludf.DUMMYFUNCTION("""COMPUTED_VALUE"""),"Flier")</f>
        <v>Flier</v>
      </c>
      <c r="O1067" s="251" t="str">
        <f>IFERROR(__xludf.DUMMYFUNCTION("""COMPUTED_VALUE"""),"--")</f>
        <v>--</v>
      </c>
      <c r="P1067" s="251" t="str">
        <f>IFERROR(__xludf.DUMMYFUNCTION("""COMPUTED_VALUE"""),"--")</f>
        <v>--</v>
      </c>
      <c r="Q1067" s="251" t="str">
        <f>IFERROR(__xludf.DUMMYFUNCTION("""COMPUTED_VALUE"""),"--")</f>
        <v>--</v>
      </c>
      <c r="R1067" s="251" t="str">
        <f>IFERROR(__xludf.DUMMYFUNCTION("""COMPUTED_VALUE"""),"Underdog")</f>
        <v>Underdog</v>
      </c>
      <c r="S1067" s="251" t="str">
        <f>IFERROR(__xludf.DUMMYFUNCTION("""COMPUTED_VALUE"""),"--")</f>
        <v>--</v>
      </c>
      <c r="T1067" s="251" t="str">
        <f>IFERROR(__xludf.DUMMYFUNCTION("""COMPUTED_VALUE"""),"--")</f>
        <v>--</v>
      </c>
      <c r="U1067" s="251" t="str">
        <f>IFERROR(__xludf.DUMMYFUNCTION("""COMPUTED_VALUE"""),"--")</f>
        <v>--</v>
      </c>
      <c r="V1067" s="251" t="str">
        <f>IFERROR(__xludf.DUMMYFUNCTION("""COMPUTED_VALUE"""),"--")</f>
        <v>--</v>
      </c>
      <c r="W1067" s="251" t="str">
        <f>IFERROR(__xludf.DUMMYFUNCTION("""COMPUTED_VALUE"""),"--")</f>
        <v>--</v>
      </c>
      <c r="X1067" s="251" t="str">
        <f>IFERROR(__xludf.DUMMYFUNCTION("""COMPUTED_VALUE"""),"--")</f>
        <v>--</v>
      </c>
      <c r="Y1067" s="251" t="str">
        <f>IFERROR(__xludf.DUMMYFUNCTION("""COMPUTED_VALUE"""),"--")</f>
        <v>--</v>
      </c>
      <c r="Z1067" s="251" t="str">
        <f>IFERROR(__xludf.DUMMYFUNCTION("""COMPUTED_VALUE"""),"--")</f>
        <v>--</v>
      </c>
      <c r="AA1067" s="251" t="str">
        <f>IFERROR(__xludf.DUMMYFUNCTION("""COMPUTED_VALUE"""),"--")</f>
        <v>--</v>
      </c>
      <c r="AB1067" s="251" t="str">
        <f>IFERROR(__xludf.DUMMYFUNCTION("""COMPUTED_VALUE"""),"--")</f>
        <v>--</v>
      </c>
      <c r="AC1067" s="251" t="str">
        <f>IFERROR(__xludf.DUMMYFUNCTION("""COMPUTED_VALUE"""),"--")</f>
        <v>--</v>
      </c>
      <c r="AD1067" s="251">
        <f>IFERROR(__xludf.DUMMYFUNCTION("""COMPUTED_VALUE"""),3.0)</f>
        <v>3</v>
      </c>
      <c r="AE1067" s="251" t="str">
        <f>IFERROR(__xludf.DUMMYFUNCTION("""COMPUTED_VALUE"""),"Phototroph")</f>
        <v>Phototroph</v>
      </c>
    </row>
    <row r="1068">
      <c r="A1068" s="251" t="str">
        <f>IFERROR(__xludf.DUMMYFUNCTION("""COMPUTED_VALUE"""),"Kecleon")</f>
        <v>Kecleon</v>
      </c>
      <c r="B1068" s="251" t="str">
        <f>IFERROR(__xludf.DUMMYFUNCTION("""COMPUTED_VALUE"""),"Normal")</f>
        <v>Normal</v>
      </c>
      <c r="C1068" s="251" t="str">
        <f>IFERROR(__xludf.DUMMYFUNCTION("""COMPUTED_VALUE"""),"None")</f>
        <v>None</v>
      </c>
      <c r="D1068" s="251">
        <f>IFERROR(__xludf.DUMMYFUNCTION("""COMPUTED_VALUE"""),6.0)</f>
        <v>6</v>
      </c>
      <c r="E1068" s="251">
        <f>IFERROR(__xludf.DUMMYFUNCTION("""COMPUTED_VALUE"""),9.0)</f>
        <v>9</v>
      </c>
      <c r="F1068" s="251">
        <f>IFERROR(__xludf.DUMMYFUNCTION("""COMPUTED_VALUE"""),7.0)</f>
        <v>7</v>
      </c>
      <c r="G1068" s="251">
        <f>IFERROR(__xludf.DUMMYFUNCTION("""COMPUTED_VALUE"""),6.0)</f>
        <v>6</v>
      </c>
      <c r="H1068" s="251">
        <f>IFERROR(__xludf.DUMMYFUNCTION("""COMPUTED_VALUE"""),12.0)</f>
        <v>12</v>
      </c>
      <c r="I1068" s="251">
        <f>IFERROR(__xludf.DUMMYFUNCTION("""COMPUTED_VALUE"""),4.0)</f>
        <v>4</v>
      </c>
      <c r="J1068" s="251">
        <f>IFERROR(__xludf.DUMMYFUNCTION("""COMPUTED_VALUE"""),5.0)</f>
        <v>5</v>
      </c>
      <c r="K1068" s="251" t="str">
        <f>IFERROR(__xludf.DUMMYFUNCTION("""COMPUTED_VALUE"""),"Medium")</f>
        <v>Medium</v>
      </c>
      <c r="L1068" s="251">
        <f>IFERROR(__xludf.DUMMYFUNCTION("""COMPUTED_VALUE"""),2.0)</f>
        <v>2</v>
      </c>
      <c r="M1068" s="251" t="str">
        <f>IFERROR(__xludf.DUMMYFUNCTION("""COMPUTED_VALUE"""),"Grasslands")</f>
        <v>Grasslands</v>
      </c>
      <c r="N1068" s="251" t="str">
        <f>IFERROR(__xludf.DUMMYFUNCTION("""COMPUTED_VALUE"""),"--")</f>
        <v>--</v>
      </c>
      <c r="O1068" s="251" t="str">
        <f>IFERROR(__xludf.DUMMYFUNCTION("""COMPUTED_VALUE"""),"--")</f>
        <v>--</v>
      </c>
      <c r="P1068" s="251" t="str">
        <f>IFERROR(__xludf.DUMMYFUNCTION("""COMPUTED_VALUE"""),"--")</f>
        <v>--</v>
      </c>
      <c r="Q1068" s="251" t="str">
        <f>IFERROR(__xludf.DUMMYFUNCTION("""COMPUTED_VALUE"""),"--")</f>
        <v>--</v>
      </c>
      <c r="R1068" s="251" t="str">
        <f>IFERROR(__xludf.DUMMYFUNCTION("""COMPUTED_VALUE"""),"Blender")</f>
        <v>Blender</v>
      </c>
      <c r="S1068" s="251" t="str">
        <f>IFERROR(__xludf.DUMMYFUNCTION("""COMPUTED_VALUE"""),"Underdog")</f>
        <v>Underdog</v>
      </c>
      <c r="T1068" s="251" t="str">
        <f>IFERROR(__xludf.DUMMYFUNCTION("""COMPUTED_VALUE"""),"--")</f>
        <v>--</v>
      </c>
      <c r="U1068" s="251" t="str">
        <f>IFERROR(__xludf.DUMMYFUNCTION("""COMPUTED_VALUE"""),"--")</f>
        <v>--</v>
      </c>
      <c r="V1068" s="251" t="str">
        <f>IFERROR(__xludf.DUMMYFUNCTION("""COMPUTED_VALUE"""),"--")</f>
        <v>--</v>
      </c>
      <c r="W1068" s="251" t="str">
        <f>IFERROR(__xludf.DUMMYFUNCTION("""COMPUTED_VALUE"""),"--")</f>
        <v>--</v>
      </c>
      <c r="X1068" s="251" t="str">
        <f>IFERROR(__xludf.DUMMYFUNCTION("""COMPUTED_VALUE"""),"--")</f>
        <v>--</v>
      </c>
      <c r="Y1068" s="251" t="str">
        <f>IFERROR(__xludf.DUMMYFUNCTION("""COMPUTED_VALUE"""),"--")</f>
        <v>--</v>
      </c>
      <c r="Z1068" s="251" t="str">
        <f>IFERROR(__xludf.DUMMYFUNCTION("""COMPUTED_VALUE"""),"--")</f>
        <v>--</v>
      </c>
      <c r="AA1068" s="251" t="str">
        <f>IFERROR(__xludf.DUMMYFUNCTION("""COMPUTED_VALUE"""),"--")</f>
        <v>--</v>
      </c>
      <c r="AB1068" s="251" t="str">
        <f>IFERROR(__xludf.DUMMYFUNCTION("""COMPUTED_VALUE"""),"--")</f>
        <v>--</v>
      </c>
      <c r="AC1068" s="251" t="str">
        <f>IFERROR(__xludf.DUMMYFUNCTION("""COMPUTED_VALUE"""),"--")</f>
        <v>--</v>
      </c>
      <c r="AD1068" s="251">
        <f>IFERROR(__xludf.DUMMYFUNCTION("""COMPUTED_VALUE"""),3.0)</f>
        <v>3</v>
      </c>
      <c r="AE1068" s="251" t="str">
        <f>IFERROR(__xludf.DUMMYFUNCTION("""COMPUTED_VALUE"""),"Carnivore")</f>
        <v>Carnivore</v>
      </c>
    </row>
    <row r="1069">
      <c r="A1069" s="251" t="str">
        <f>IFERROR(__xludf.DUMMYFUNCTION("""COMPUTED_VALUE"""),"Chatot")</f>
        <v>Chatot</v>
      </c>
      <c r="B1069" s="251" t="str">
        <f>IFERROR(__xludf.DUMMYFUNCTION("""COMPUTED_VALUE"""),"Normal")</f>
        <v>Normal</v>
      </c>
      <c r="C1069" s="251" t="str">
        <f>IFERROR(__xludf.DUMMYFUNCTION("""COMPUTED_VALUE"""),"Flying")</f>
        <v>Flying</v>
      </c>
      <c r="D1069" s="251">
        <f>IFERROR(__xludf.DUMMYFUNCTION("""COMPUTED_VALUE"""),8.0)</f>
        <v>8</v>
      </c>
      <c r="E1069" s="251">
        <f>IFERROR(__xludf.DUMMYFUNCTION("""COMPUTED_VALUE"""),7.0)</f>
        <v>7</v>
      </c>
      <c r="F1069" s="251">
        <f>IFERROR(__xludf.DUMMYFUNCTION("""COMPUTED_VALUE"""),5.0)</f>
        <v>5</v>
      </c>
      <c r="G1069" s="251">
        <f>IFERROR(__xludf.DUMMYFUNCTION("""COMPUTED_VALUE"""),9.0)</f>
        <v>9</v>
      </c>
      <c r="H1069" s="251">
        <f>IFERROR(__xludf.DUMMYFUNCTION("""COMPUTED_VALUE"""),4.0)</f>
        <v>4</v>
      </c>
      <c r="I1069" s="251">
        <f>IFERROR(__xludf.DUMMYFUNCTION("""COMPUTED_VALUE"""),9.0)</f>
        <v>9</v>
      </c>
      <c r="J1069" s="251">
        <f>IFERROR(__xludf.DUMMYFUNCTION("""COMPUTED_VALUE"""),2.0)</f>
        <v>2</v>
      </c>
      <c r="K1069" s="251" t="str">
        <f>IFERROR(__xludf.DUMMYFUNCTION("""COMPUTED_VALUE"""),"Small")</f>
        <v>Small</v>
      </c>
      <c r="L1069" s="251">
        <f>IFERROR(__xludf.DUMMYFUNCTION("""COMPUTED_VALUE"""),1.0)</f>
        <v>1</v>
      </c>
      <c r="M1069" s="251" t="str">
        <f>IFERROR(__xludf.DUMMYFUNCTION("""COMPUTED_VALUE"""),"Forest")</f>
        <v>Forest</v>
      </c>
      <c r="N1069" s="251" t="str">
        <f>IFERROR(__xludf.DUMMYFUNCTION("""COMPUTED_VALUE"""),"Flier")</f>
        <v>Flier</v>
      </c>
      <c r="O1069" s="251" t="str">
        <f>IFERROR(__xludf.DUMMYFUNCTION("""COMPUTED_VALUE"""),"--")</f>
        <v>--</v>
      </c>
      <c r="P1069" s="251" t="str">
        <f>IFERROR(__xludf.DUMMYFUNCTION("""COMPUTED_VALUE"""),"--")</f>
        <v>--</v>
      </c>
      <c r="Q1069" s="251" t="str">
        <f>IFERROR(__xludf.DUMMYFUNCTION("""COMPUTED_VALUE"""),"--")</f>
        <v>--</v>
      </c>
      <c r="R1069" s="251" t="str">
        <f>IFERROR(__xludf.DUMMYFUNCTION("""COMPUTED_VALUE"""),"Underdog")</f>
        <v>Underdog</v>
      </c>
      <c r="S1069" s="251" t="str">
        <f>IFERROR(__xludf.DUMMYFUNCTION("""COMPUTED_VALUE"""),"--")</f>
        <v>--</v>
      </c>
      <c r="T1069" s="251" t="str">
        <f>IFERROR(__xludf.DUMMYFUNCTION("""COMPUTED_VALUE"""),"--")</f>
        <v>--</v>
      </c>
      <c r="U1069" s="251" t="str">
        <f>IFERROR(__xludf.DUMMYFUNCTION("""COMPUTED_VALUE"""),"--")</f>
        <v>--</v>
      </c>
      <c r="V1069" s="251" t="str">
        <f>IFERROR(__xludf.DUMMYFUNCTION("""COMPUTED_VALUE"""),"--")</f>
        <v>--</v>
      </c>
      <c r="W1069" s="251" t="str">
        <f>IFERROR(__xludf.DUMMYFUNCTION("""COMPUTED_VALUE"""),"--")</f>
        <v>--</v>
      </c>
      <c r="X1069" s="251" t="str">
        <f>IFERROR(__xludf.DUMMYFUNCTION("""COMPUTED_VALUE"""),"--")</f>
        <v>--</v>
      </c>
      <c r="Y1069" s="251" t="str">
        <f>IFERROR(__xludf.DUMMYFUNCTION("""COMPUTED_VALUE"""),"--")</f>
        <v>--</v>
      </c>
      <c r="Z1069" s="251" t="str">
        <f>IFERROR(__xludf.DUMMYFUNCTION("""COMPUTED_VALUE"""),"--")</f>
        <v>--</v>
      </c>
      <c r="AA1069" s="251" t="str">
        <f>IFERROR(__xludf.DUMMYFUNCTION("""COMPUTED_VALUE"""),"--")</f>
        <v>--</v>
      </c>
      <c r="AB1069" s="251" t="str">
        <f>IFERROR(__xludf.DUMMYFUNCTION("""COMPUTED_VALUE"""),"--")</f>
        <v>--</v>
      </c>
      <c r="AC1069" s="251" t="str">
        <f>IFERROR(__xludf.DUMMYFUNCTION("""COMPUTED_VALUE"""),"--")</f>
        <v>--</v>
      </c>
      <c r="AD1069" s="251">
        <f>IFERROR(__xludf.DUMMYFUNCTION("""COMPUTED_VALUE"""),3.0)</f>
        <v>3</v>
      </c>
      <c r="AE1069" s="251" t="str">
        <f>IFERROR(__xludf.DUMMYFUNCTION("""COMPUTED_VALUE"""),"Omnivore")</f>
        <v>Omnivore</v>
      </c>
    </row>
    <row r="1070">
      <c r="A1070" s="251" t="str">
        <f>IFERROR(__xludf.DUMMYFUNCTION("""COMPUTED_VALUE"""),"Audino")</f>
        <v>Audino</v>
      </c>
      <c r="B1070" s="251" t="str">
        <f>IFERROR(__xludf.DUMMYFUNCTION("""COMPUTED_VALUE"""),"Normal")</f>
        <v>Normal</v>
      </c>
      <c r="C1070" s="251" t="str">
        <f>IFERROR(__xludf.DUMMYFUNCTION("""COMPUTED_VALUE"""),"None")</f>
        <v>None</v>
      </c>
      <c r="D1070" s="251">
        <f>IFERROR(__xludf.DUMMYFUNCTION("""COMPUTED_VALUE"""),10.0)</f>
        <v>10</v>
      </c>
      <c r="E1070" s="251">
        <f>IFERROR(__xludf.DUMMYFUNCTION("""COMPUTED_VALUE"""),7.0)</f>
        <v>7</v>
      </c>
      <c r="F1070" s="251">
        <f>IFERROR(__xludf.DUMMYFUNCTION("""COMPUTED_VALUE"""),11.0)</f>
        <v>11</v>
      </c>
      <c r="G1070" s="251">
        <f>IFERROR(__xludf.DUMMYFUNCTION("""COMPUTED_VALUE"""),7.0)</f>
        <v>7</v>
      </c>
      <c r="H1070" s="251">
        <f>IFERROR(__xludf.DUMMYFUNCTION("""COMPUTED_VALUE"""),11.0)</f>
        <v>11</v>
      </c>
      <c r="I1070" s="251">
        <f>IFERROR(__xludf.DUMMYFUNCTION("""COMPUTED_VALUE"""),5.0)</f>
        <v>5</v>
      </c>
      <c r="J1070" s="251">
        <f>IFERROR(__xludf.DUMMYFUNCTION("""COMPUTED_VALUE"""),2.0)</f>
        <v>2</v>
      </c>
      <c r="K1070" s="251" t="str">
        <f>IFERROR(__xludf.DUMMYFUNCTION("""COMPUTED_VALUE"""),"Medium")</f>
        <v>Medium</v>
      </c>
      <c r="L1070" s="251">
        <f>IFERROR(__xludf.DUMMYFUNCTION("""COMPUTED_VALUE"""),3.0)</f>
        <v>3</v>
      </c>
      <c r="M1070" s="251" t="str">
        <f>IFERROR(__xludf.DUMMYFUNCTION("""COMPUTED_VALUE"""),"Urban")</f>
        <v>Urban</v>
      </c>
      <c r="N1070" s="251" t="str">
        <f>IFERROR(__xludf.DUMMYFUNCTION("""COMPUTED_VALUE"""),"--")</f>
        <v>--</v>
      </c>
      <c r="O1070" s="251" t="str">
        <f>IFERROR(__xludf.DUMMYFUNCTION("""COMPUTED_VALUE"""),"--")</f>
        <v>--</v>
      </c>
      <c r="P1070" s="251" t="str">
        <f>IFERROR(__xludf.DUMMYFUNCTION("""COMPUTED_VALUE"""),"--")</f>
        <v>--</v>
      </c>
      <c r="Q1070" s="251" t="str">
        <f>IFERROR(__xludf.DUMMYFUNCTION("""COMPUTED_VALUE"""),"--")</f>
        <v>--</v>
      </c>
      <c r="R1070" s="251" t="str">
        <f>IFERROR(__xludf.DUMMYFUNCTION("""COMPUTED_VALUE"""),"Blindsense")</f>
        <v>Blindsense</v>
      </c>
      <c r="S1070" s="251" t="str">
        <f>IFERROR(__xludf.DUMMYFUNCTION("""COMPUTED_VALUE"""),"--")</f>
        <v>--</v>
      </c>
      <c r="T1070" s="251" t="str">
        <f>IFERROR(__xludf.DUMMYFUNCTION("""COMPUTED_VALUE"""),"--")</f>
        <v>--</v>
      </c>
      <c r="U1070" s="251" t="str">
        <f>IFERROR(__xludf.DUMMYFUNCTION("""COMPUTED_VALUE"""),"--")</f>
        <v>--</v>
      </c>
      <c r="V1070" s="251" t="str">
        <f>IFERROR(__xludf.DUMMYFUNCTION("""COMPUTED_VALUE"""),"Empath")</f>
        <v>Empath</v>
      </c>
      <c r="W1070" s="251" t="str">
        <f>IFERROR(__xludf.DUMMYFUNCTION("""COMPUTED_VALUE"""),"--")</f>
        <v>--</v>
      </c>
      <c r="X1070" s="251" t="str">
        <f>IFERROR(__xludf.DUMMYFUNCTION("""COMPUTED_VALUE"""),"--")</f>
        <v>--</v>
      </c>
      <c r="Y1070" s="251" t="str">
        <f>IFERROR(__xludf.DUMMYFUNCTION("""COMPUTED_VALUE"""),"--")</f>
        <v>--</v>
      </c>
      <c r="Z1070" s="251" t="str">
        <f>IFERROR(__xludf.DUMMYFUNCTION("""COMPUTED_VALUE"""),"--")</f>
        <v>--</v>
      </c>
      <c r="AA1070" s="251" t="str">
        <f>IFERROR(__xludf.DUMMYFUNCTION("""COMPUTED_VALUE"""),"--")</f>
        <v>--</v>
      </c>
      <c r="AB1070" s="251" t="str">
        <f>IFERROR(__xludf.DUMMYFUNCTION("""COMPUTED_VALUE"""),"--")</f>
        <v>--</v>
      </c>
      <c r="AC1070" s="251" t="str">
        <f>IFERROR(__xludf.DUMMYFUNCTION("""COMPUTED_VALUE"""),"--")</f>
        <v>--</v>
      </c>
      <c r="AD1070" s="251">
        <f>IFERROR(__xludf.DUMMYFUNCTION("""COMPUTED_VALUE"""),3.0)</f>
        <v>3</v>
      </c>
      <c r="AE1070" s="251" t="str">
        <f>IFERROR(__xludf.DUMMYFUNCTION("""COMPUTED_VALUE"""),"Herbivore")</f>
        <v>Herbivore</v>
      </c>
    </row>
    <row r="1071">
      <c r="A1071" s="251" t="str">
        <f>IFERROR(__xludf.DUMMYFUNCTION("""COMPUTED_VALUE"""),"Bouffalant")</f>
        <v>Bouffalant</v>
      </c>
      <c r="B1071" s="251" t="str">
        <f>IFERROR(__xludf.DUMMYFUNCTION("""COMPUTED_VALUE"""),"Normal")</f>
        <v>Normal</v>
      </c>
      <c r="C1071" s="251" t="str">
        <f>IFERROR(__xludf.DUMMYFUNCTION("""COMPUTED_VALUE"""),"None")</f>
        <v>None</v>
      </c>
      <c r="D1071" s="251">
        <f>IFERROR(__xludf.DUMMYFUNCTION("""COMPUTED_VALUE"""),10.0)</f>
        <v>10</v>
      </c>
      <c r="E1071" s="251">
        <f>IFERROR(__xludf.DUMMYFUNCTION("""COMPUTED_VALUE"""),11.0)</f>
        <v>11</v>
      </c>
      <c r="F1071" s="251">
        <f>IFERROR(__xludf.DUMMYFUNCTION("""COMPUTED_VALUE"""),10.0)</f>
        <v>10</v>
      </c>
      <c r="G1071" s="251">
        <f>IFERROR(__xludf.DUMMYFUNCTION("""COMPUTED_VALUE"""),4.0)</f>
        <v>4</v>
      </c>
      <c r="H1071" s="251">
        <f>IFERROR(__xludf.DUMMYFUNCTION("""COMPUTED_VALUE"""),10.0)</f>
        <v>10</v>
      </c>
      <c r="I1071" s="251">
        <f>IFERROR(__xludf.DUMMYFUNCTION("""COMPUTED_VALUE"""),6.0)</f>
        <v>6</v>
      </c>
      <c r="J1071" s="251">
        <f>IFERROR(__xludf.DUMMYFUNCTION("""COMPUTED_VALUE"""),7.0)</f>
        <v>7</v>
      </c>
      <c r="K1071" s="251" t="str">
        <f>IFERROR(__xludf.DUMMYFUNCTION("""COMPUTED_VALUE"""),"Medium")</f>
        <v>Medium</v>
      </c>
      <c r="L1071" s="251">
        <f>IFERROR(__xludf.DUMMYFUNCTION("""COMPUTED_VALUE"""),4.0)</f>
        <v>4</v>
      </c>
      <c r="M1071" s="251" t="str">
        <f>IFERROR(__xludf.DUMMYFUNCTION("""COMPUTED_VALUE"""),"Grasslands")</f>
        <v>Grasslands</v>
      </c>
      <c r="N1071" s="251" t="str">
        <f>IFERROR(__xludf.DUMMYFUNCTION("""COMPUTED_VALUE"""),"Quick")</f>
        <v>Quick</v>
      </c>
      <c r="O1071" s="251" t="str">
        <f>IFERROR(__xludf.DUMMYFUNCTION("""COMPUTED_VALUE"""),"--")</f>
        <v>--</v>
      </c>
      <c r="P1071" s="251" t="str">
        <f>IFERROR(__xludf.DUMMYFUNCTION("""COMPUTED_VALUE"""),"--")</f>
        <v>--</v>
      </c>
      <c r="Q1071" s="251" t="str">
        <f>IFERROR(__xludf.DUMMYFUNCTION("""COMPUTED_VALUE"""),"--")</f>
        <v>--</v>
      </c>
      <c r="R1071" s="251" t="str">
        <f>IFERROR(__xludf.DUMMYFUNCTION("""COMPUTED_VALUE"""),"Mountable")</f>
        <v>Mountable</v>
      </c>
      <c r="S1071" s="251" t="str">
        <f>IFERROR(__xludf.DUMMYFUNCTION("""COMPUTED_VALUE"""),"--")</f>
        <v>--</v>
      </c>
      <c r="T1071" s="251" t="str">
        <f>IFERROR(__xludf.DUMMYFUNCTION("""COMPUTED_VALUE"""),"--")</f>
        <v>--</v>
      </c>
      <c r="U1071" s="251" t="str">
        <f>IFERROR(__xludf.DUMMYFUNCTION("""COMPUTED_VALUE"""),"--")</f>
        <v>--</v>
      </c>
      <c r="V1071" s="251" t="str">
        <f>IFERROR(__xludf.DUMMYFUNCTION("""COMPUTED_VALUE"""),"Pack Mon")</f>
        <v>Pack Mon</v>
      </c>
      <c r="W1071" s="251" t="str">
        <f>IFERROR(__xludf.DUMMYFUNCTION("""COMPUTED_VALUE"""),"--")</f>
        <v>--</v>
      </c>
      <c r="X1071" s="251" t="str">
        <f>IFERROR(__xludf.DUMMYFUNCTION("""COMPUTED_VALUE"""),"--")</f>
        <v>--</v>
      </c>
      <c r="Y1071" s="251" t="str">
        <f>IFERROR(__xludf.DUMMYFUNCTION("""COMPUTED_VALUE"""),"--")</f>
        <v>--</v>
      </c>
      <c r="Z1071" s="251" t="str">
        <f>IFERROR(__xludf.DUMMYFUNCTION("""COMPUTED_VALUE"""),"--")</f>
        <v>--</v>
      </c>
      <c r="AA1071" s="251" t="str">
        <f>IFERROR(__xludf.DUMMYFUNCTION("""COMPUTED_VALUE"""),"--")</f>
        <v>--</v>
      </c>
      <c r="AB1071" s="251" t="str">
        <f>IFERROR(__xludf.DUMMYFUNCTION("""COMPUTED_VALUE"""),"--")</f>
        <v>--</v>
      </c>
      <c r="AC1071" s="251" t="str">
        <f>IFERROR(__xludf.DUMMYFUNCTION("""COMPUTED_VALUE"""),"--")</f>
        <v>--</v>
      </c>
      <c r="AD1071" s="251">
        <f>IFERROR(__xludf.DUMMYFUNCTION("""COMPUTED_VALUE"""),3.0)</f>
        <v>3</v>
      </c>
      <c r="AE1071" s="251" t="str">
        <f>IFERROR(__xludf.DUMMYFUNCTION("""COMPUTED_VALUE"""),"Herbivore")</f>
        <v>Herbivore</v>
      </c>
    </row>
    <row r="1072">
      <c r="A1072" s="251" t="str">
        <f>IFERROR(__xludf.DUMMYFUNCTION("""COMPUTED_VALUE"""),"Furfrou")</f>
        <v>Furfrou</v>
      </c>
      <c r="B1072" s="251" t="str">
        <f>IFERROR(__xludf.DUMMYFUNCTION("""COMPUTED_VALUE"""),"Normal")</f>
        <v>Normal</v>
      </c>
      <c r="C1072" s="251" t="str">
        <f>IFERROR(__xludf.DUMMYFUNCTION("""COMPUTED_VALUE"""),"None")</f>
        <v>None</v>
      </c>
      <c r="D1072" s="251">
        <f>IFERROR(__xludf.DUMMYFUNCTION("""COMPUTED_VALUE"""),9.0)</f>
        <v>9</v>
      </c>
      <c r="E1072" s="251">
        <f>IFERROR(__xludf.DUMMYFUNCTION("""COMPUTED_VALUE"""),8.0)</f>
        <v>8</v>
      </c>
      <c r="F1072" s="251">
        <f>IFERROR(__xludf.DUMMYFUNCTION("""COMPUTED_VALUE"""),7.0)</f>
        <v>7</v>
      </c>
      <c r="G1072" s="251">
        <f>IFERROR(__xludf.DUMMYFUNCTION("""COMPUTED_VALUE"""),7.0)</f>
        <v>7</v>
      </c>
      <c r="H1072" s="251">
        <f>IFERROR(__xludf.DUMMYFUNCTION("""COMPUTED_VALUE"""),10.0)</f>
        <v>10</v>
      </c>
      <c r="I1072" s="251">
        <f>IFERROR(__xludf.DUMMYFUNCTION("""COMPUTED_VALUE"""),10.0)</f>
        <v>10</v>
      </c>
      <c r="J1072" s="251">
        <f>IFERROR(__xludf.DUMMYFUNCTION("""COMPUTED_VALUE"""),4.0)</f>
        <v>4</v>
      </c>
      <c r="K1072" s="251" t="str">
        <f>IFERROR(__xludf.DUMMYFUNCTION("""COMPUTED_VALUE"""),"Medium")</f>
        <v>Medium</v>
      </c>
      <c r="L1072" s="251">
        <f>IFERROR(__xludf.DUMMYFUNCTION("""COMPUTED_VALUE"""),3.0)</f>
        <v>3</v>
      </c>
      <c r="M1072" s="251" t="str">
        <f>IFERROR(__xludf.DUMMYFUNCTION("""COMPUTED_VALUE"""),"Urban")</f>
        <v>Urban</v>
      </c>
      <c r="N1072" s="251" t="str">
        <f>IFERROR(__xludf.DUMMYFUNCTION("""COMPUTED_VALUE"""),"--")</f>
        <v>--</v>
      </c>
      <c r="O1072" s="251" t="str">
        <f>IFERROR(__xludf.DUMMYFUNCTION("""COMPUTED_VALUE"""),"--")</f>
        <v>--</v>
      </c>
      <c r="P1072" s="251" t="str">
        <f>IFERROR(__xludf.DUMMYFUNCTION("""COMPUTED_VALUE"""),"--")</f>
        <v>--</v>
      </c>
      <c r="Q1072" s="251" t="str">
        <f>IFERROR(__xludf.DUMMYFUNCTION("""COMPUTED_VALUE"""),"--")</f>
        <v>--</v>
      </c>
      <c r="R1072" s="251" t="str">
        <f>IFERROR(__xludf.DUMMYFUNCTION("""COMPUTED_VALUE"""),"--")</f>
        <v>--</v>
      </c>
      <c r="S1072" s="251" t="str">
        <f>IFERROR(__xludf.DUMMYFUNCTION("""COMPUTED_VALUE"""),"--")</f>
        <v>--</v>
      </c>
      <c r="T1072" s="251" t="str">
        <f>IFERROR(__xludf.DUMMYFUNCTION("""COMPUTED_VALUE"""),"--")</f>
        <v>--</v>
      </c>
      <c r="U1072" s="251" t="str">
        <f>IFERROR(__xludf.DUMMYFUNCTION("""COMPUTED_VALUE"""),"--")</f>
        <v>--</v>
      </c>
      <c r="V1072" s="251" t="str">
        <f>IFERROR(__xludf.DUMMYFUNCTION("""COMPUTED_VALUE"""),"Tracker")</f>
        <v>Tracker</v>
      </c>
      <c r="W1072" s="251" t="str">
        <f>IFERROR(__xludf.DUMMYFUNCTION("""COMPUTED_VALUE"""),"--")</f>
        <v>--</v>
      </c>
      <c r="X1072" s="251" t="str">
        <f>IFERROR(__xludf.DUMMYFUNCTION("""COMPUTED_VALUE"""),"--")</f>
        <v>--</v>
      </c>
      <c r="Y1072" s="251" t="str">
        <f>IFERROR(__xludf.DUMMYFUNCTION("""COMPUTED_VALUE"""),"--")</f>
        <v>--</v>
      </c>
      <c r="Z1072" s="251" t="str">
        <f>IFERROR(__xludf.DUMMYFUNCTION("""COMPUTED_VALUE"""),"--")</f>
        <v>--</v>
      </c>
      <c r="AA1072" s="251" t="str">
        <f>IFERROR(__xludf.DUMMYFUNCTION("""COMPUTED_VALUE"""),"--")</f>
        <v>--</v>
      </c>
      <c r="AB1072" s="251" t="str">
        <f>IFERROR(__xludf.DUMMYFUNCTION("""COMPUTED_VALUE"""),"--")</f>
        <v>--</v>
      </c>
      <c r="AC1072" s="251" t="str">
        <f>IFERROR(__xludf.DUMMYFUNCTION("""COMPUTED_VALUE"""),"--")</f>
        <v>--</v>
      </c>
      <c r="AD1072" s="251">
        <f>IFERROR(__xludf.DUMMYFUNCTION("""COMPUTED_VALUE"""),3.0)</f>
        <v>3</v>
      </c>
      <c r="AE1072" s="251" t="str">
        <f>IFERROR(__xludf.DUMMYFUNCTION("""COMPUTED_VALUE"""),"Omnivore")</f>
        <v>Omnivore</v>
      </c>
    </row>
    <row r="1073">
      <c r="A1073" s="251" t="str">
        <f>IFERROR(__xludf.DUMMYFUNCTION("""COMPUTED_VALUE"""),"Oranguru")</f>
        <v>Oranguru</v>
      </c>
      <c r="B1073" s="251" t="str">
        <f>IFERROR(__xludf.DUMMYFUNCTION("""COMPUTED_VALUE"""),"Normal")</f>
        <v>Normal</v>
      </c>
      <c r="C1073" s="251" t="str">
        <f>IFERROR(__xludf.DUMMYFUNCTION("""COMPUTED_VALUE"""),"Psychic")</f>
        <v>Psychic</v>
      </c>
      <c r="D1073" s="251">
        <f>IFERROR(__xludf.DUMMYFUNCTION("""COMPUTED_VALUE"""),9.0)</f>
        <v>9</v>
      </c>
      <c r="E1073" s="251">
        <f>IFERROR(__xludf.DUMMYFUNCTION("""COMPUTED_VALUE"""),6.0)</f>
        <v>6</v>
      </c>
      <c r="F1073" s="251">
        <f>IFERROR(__xludf.DUMMYFUNCTION("""COMPUTED_VALUE"""),8.0)</f>
        <v>8</v>
      </c>
      <c r="G1073" s="251">
        <f>IFERROR(__xludf.DUMMYFUNCTION("""COMPUTED_VALUE"""),11.0)</f>
        <v>11</v>
      </c>
      <c r="H1073" s="251">
        <f>IFERROR(__xludf.DUMMYFUNCTION("""COMPUTED_VALUE"""),11.0)</f>
        <v>11</v>
      </c>
      <c r="I1073" s="251">
        <f>IFERROR(__xludf.DUMMYFUNCTION("""COMPUTED_VALUE"""),6.0)</f>
        <v>6</v>
      </c>
      <c r="J1073" s="251">
        <f>IFERROR(__xludf.DUMMYFUNCTION("""COMPUTED_VALUE"""),4.0)</f>
        <v>4</v>
      </c>
      <c r="K1073" s="251" t="str">
        <f>IFERROR(__xludf.DUMMYFUNCTION("""COMPUTED_VALUE"""),"Medium")</f>
        <v>Medium</v>
      </c>
      <c r="L1073" s="251">
        <f>IFERROR(__xludf.DUMMYFUNCTION("""COMPUTED_VALUE"""),4.0)</f>
        <v>4</v>
      </c>
      <c r="M1073" s="251" t="str">
        <f>IFERROR(__xludf.DUMMYFUNCTION("""COMPUTED_VALUE"""),"Forest")</f>
        <v>Forest</v>
      </c>
      <c r="N1073" s="251" t="str">
        <f>IFERROR(__xludf.DUMMYFUNCTION("""COMPUTED_VALUE"""),"Climber")</f>
        <v>Climber</v>
      </c>
      <c r="O1073" s="251" t="str">
        <f>IFERROR(__xludf.DUMMYFUNCTION("""COMPUTED_VALUE"""),"--")</f>
        <v>--</v>
      </c>
      <c r="P1073" s="251" t="str">
        <f>IFERROR(__xludf.DUMMYFUNCTION("""COMPUTED_VALUE"""),"--")</f>
        <v>--</v>
      </c>
      <c r="Q1073" s="251" t="str">
        <f>IFERROR(__xludf.DUMMYFUNCTION("""COMPUTED_VALUE"""),"--")</f>
        <v>--</v>
      </c>
      <c r="R1073" s="251" t="str">
        <f>IFERROR(__xludf.DUMMYFUNCTION("""COMPUTED_VALUE"""),"--")</f>
        <v>--</v>
      </c>
      <c r="S1073" s="251" t="str">
        <f>IFERROR(__xludf.DUMMYFUNCTION("""COMPUTED_VALUE"""),"--")</f>
        <v>--</v>
      </c>
      <c r="T1073" s="251" t="str">
        <f>IFERROR(__xludf.DUMMYFUNCTION("""COMPUTED_VALUE"""),"--")</f>
        <v>--</v>
      </c>
      <c r="U1073" s="251" t="str">
        <f>IFERROR(__xludf.DUMMYFUNCTION("""COMPUTED_VALUE"""),"--")</f>
        <v>--</v>
      </c>
      <c r="V1073" s="251" t="str">
        <f>IFERROR(__xludf.DUMMYFUNCTION("""COMPUTED_VALUE"""),"Telepath")</f>
        <v>Telepath</v>
      </c>
      <c r="W1073" s="251" t="str">
        <f>IFERROR(__xludf.DUMMYFUNCTION("""COMPUTED_VALUE"""),"--")</f>
        <v>--</v>
      </c>
      <c r="X1073" s="251" t="str">
        <f>IFERROR(__xludf.DUMMYFUNCTION("""COMPUTED_VALUE"""),"--")</f>
        <v>--</v>
      </c>
      <c r="Y1073" s="251" t="str">
        <f>IFERROR(__xludf.DUMMYFUNCTION("""COMPUTED_VALUE"""),"--")</f>
        <v>--</v>
      </c>
      <c r="Z1073" s="251" t="str">
        <f>IFERROR(__xludf.DUMMYFUNCTION("""COMPUTED_VALUE"""),"--")</f>
        <v>--</v>
      </c>
      <c r="AA1073" s="251" t="str">
        <f>IFERROR(__xludf.DUMMYFUNCTION("""COMPUTED_VALUE"""),"--")</f>
        <v>--</v>
      </c>
      <c r="AB1073" s="251" t="str">
        <f>IFERROR(__xludf.DUMMYFUNCTION("""COMPUTED_VALUE"""),"--")</f>
        <v>--</v>
      </c>
      <c r="AC1073" s="251" t="str">
        <f>IFERROR(__xludf.DUMMYFUNCTION("""COMPUTED_VALUE"""),"--")</f>
        <v>--</v>
      </c>
      <c r="AD1073" s="251">
        <f>IFERROR(__xludf.DUMMYFUNCTION("""COMPUTED_VALUE"""),3.0)</f>
        <v>3</v>
      </c>
      <c r="AE1073" s="251" t="str">
        <f>IFERROR(__xludf.DUMMYFUNCTION("""COMPUTED_VALUE"""),"Herbivore")</f>
        <v>Herbivore</v>
      </c>
    </row>
    <row r="1074">
      <c r="A1074" s="251" t="str">
        <f>IFERROR(__xludf.DUMMYFUNCTION("""COMPUTED_VALUE"""),"Komala")</f>
        <v>Komala</v>
      </c>
      <c r="B1074" s="251" t="str">
        <f>IFERROR(__xludf.DUMMYFUNCTION("""COMPUTED_VALUE"""),"Normal")</f>
        <v>Normal</v>
      </c>
      <c r="C1074" s="251" t="str">
        <f>IFERROR(__xludf.DUMMYFUNCTION("""COMPUTED_VALUE"""),"None")</f>
        <v>None</v>
      </c>
      <c r="D1074" s="251">
        <f>IFERROR(__xludf.DUMMYFUNCTION("""COMPUTED_VALUE"""),7.0)</f>
        <v>7</v>
      </c>
      <c r="E1074" s="251">
        <f>IFERROR(__xludf.DUMMYFUNCTION("""COMPUTED_VALUE"""),12.0)</f>
        <v>12</v>
      </c>
      <c r="F1074" s="251">
        <f>IFERROR(__xludf.DUMMYFUNCTION("""COMPUTED_VALUE"""),7.0)</f>
        <v>7</v>
      </c>
      <c r="G1074" s="251">
        <f>IFERROR(__xludf.DUMMYFUNCTION("""COMPUTED_VALUE"""),8.0)</f>
        <v>8</v>
      </c>
      <c r="H1074" s="251">
        <f>IFERROR(__xludf.DUMMYFUNCTION("""COMPUTED_VALUE"""),10.0)</f>
        <v>10</v>
      </c>
      <c r="I1074" s="251">
        <f>IFERROR(__xludf.DUMMYFUNCTION("""COMPUTED_VALUE"""),7.0)</f>
        <v>7</v>
      </c>
      <c r="J1074" s="251">
        <f>IFERROR(__xludf.DUMMYFUNCTION("""COMPUTED_VALUE"""),4.0)</f>
        <v>4</v>
      </c>
      <c r="K1074" s="251" t="str">
        <f>IFERROR(__xludf.DUMMYFUNCTION("""COMPUTED_VALUE"""),"Small")</f>
        <v>Small</v>
      </c>
      <c r="L1074" s="251">
        <f>IFERROR(__xludf.DUMMYFUNCTION("""COMPUTED_VALUE"""),2.0)</f>
        <v>2</v>
      </c>
      <c r="M1074" s="251" t="str">
        <f>IFERROR(__xludf.DUMMYFUNCTION("""COMPUTED_VALUE"""),"Forest")</f>
        <v>Forest</v>
      </c>
      <c r="N1074" s="251" t="str">
        <f>IFERROR(__xludf.DUMMYFUNCTION("""COMPUTED_VALUE"""),"Climber")</f>
        <v>Climber</v>
      </c>
      <c r="O1074" s="251" t="str">
        <f>IFERROR(__xludf.DUMMYFUNCTION("""COMPUTED_VALUE"""),"Slow")</f>
        <v>Slow</v>
      </c>
      <c r="P1074" s="251" t="str">
        <f>IFERROR(__xludf.DUMMYFUNCTION("""COMPUTED_VALUE"""),"--")</f>
        <v>--</v>
      </c>
      <c r="Q1074" s="251" t="str">
        <f>IFERROR(__xludf.DUMMYFUNCTION("""COMPUTED_VALUE"""),"--")</f>
        <v>--</v>
      </c>
      <c r="R1074" s="251" t="str">
        <f>IFERROR(__xludf.DUMMYFUNCTION("""COMPUTED_VALUE"""),"--")</f>
        <v>--</v>
      </c>
      <c r="S1074" s="251" t="str">
        <f>IFERROR(__xludf.DUMMYFUNCTION("""COMPUTED_VALUE"""),"--")</f>
        <v>--</v>
      </c>
      <c r="T1074" s="251" t="str">
        <f>IFERROR(__xludf.DUMMYFUNCTION("""COMPUTED_VALUE"""),"--")</f>
        <v>--</v>
      </c>
      <c r="U1074" s="251" t="str">
        <f>IFERROR(__xludf.DUMMYFUNCTION("""COMPUTED_VALUE"""),"--")</f>
        <v>--</v>
      </c>
      <c r="V1074" s="251" t="str">
        <f>IFERROR(__xludf.DUMMYFUNCTION("""COMPUTED_VALUE"""),"--")</f>
        <v>--</v>
      </c>
      <c r="W1074" s="251" t="str">
        <f>IFERROR(__xludf.DUMMYFUNCTION("""COMPUTED_VALUE"""),"--")</f>
        <v>--</v>
      </c>
      <c r="X1074" s="251" t="str">
        <f>IFERROR(__xludf.DUMMYFUNCTION("""COMPUTED_VALUE"""),"--")</f>
        <v>--</v>
      </c>
      <c r="Y1074" s="251" t="str">
        <f>IFERROR(__xludf.DUMMYFUNCTION("""COMPUTED_VALUE"""),"--")</f>
        <v>--</v>
      </c>
      <c r="Z1074" s="251" t="str">
        <f>IFERROR(__xludf.DUMMYFUNCTION("""COMPUTED_VALUE"""),"--")</f>
        <v>--</v>
      </c>
      <c r="AA1074" s="251" t="str">
        <f>IFERROR(__xludf.DUMMYFUNCTION("""COMPUTED_VALUE"""),"--")</f>
        <v>--</v>
      </c>
      <c r="AB1074" s="251" t="str">
        <f>IFERROR(__xludf.DUMMYFUNCTION("""COMPUTED_VALUE"""),"--")</f>
        <v>--</v>
      </c>
      <c r="AC1074" s="251" t="str">
        <f>IFERROR(__xludf.DUMMYFUNCTION("""COMPUTED_VALUE"""),"--")</f>
        <v>--</v>
      </c>
      <c r="AD1074" s="251">
        <f>IFERROR(__xludf.DUMMYFUNCTION("""COMPUTED_VALUE"""),3.0)</f>
        <v>3</v>
      </c>
      <c r="AE1074" s="251" t="str">
        <f>IFERROR(__xludf.DUMMYFUNCTION("""COMPUTED_VALUE"""),"Herbivore")</f>
        <v>Herbivore</v>
      </c>
    </row>
    <row r="1075">
      <c r="A1075" s="251" t="str">
        <f>IFERROR(__xludf.DUMMYFUNCTION("""COMPUTED_VALUE"""),"Drampa")</f>
        <v>Drampa</v>
      </c>
      <c r="B1075" s="251" t="str">
        <f>IFERROR(__xludf.DUMMYFUNCTION("""COMPUTED_VALUE"""),"Normal")</f>
        <v>Normal</v>
      </c>
      <c r="C1075" s="251" t="str">
        <f>IFERROR(__xludf.DUMMYFUNCTION("""COMPUTED_VALUE"""),"Dragon")</f>
        <v>Dragon</v>
      </c>
      <c r="D1075" s="251">
        <f>IFERROR(__xludf.DUMMYFUNCTION("""COMPUTED_VALUE"""),9.0)</f>
        <v>9</v>
      </c>
      <c r="E1075" s="251">
        <f>IFERROR(__xludf.DUMMYFUNCTION("""COMPUTED_VALUE"""),6.0)</f>
        <v>6</v>
      </c>
      <c r="F1075" s="251">
        <f>IFERROR(__xludf.DUMMYFUNCTION("""COMPUTED_VALUE"""),9.0)</f>
        <v>9</v>
      </c>
      <c r="G1075" s="251">
        <f>IFERROR(__xludf.DUMMYFUNCTION("""COMPUTED_VALUE"""),14.0)</f>
        <v>14</v>
      </c>
      <c r="H1075" s="251">
        <f>IFERROR(__xludf.DUMMYFUNCTION("""COMPUTED_VALUE"""),9.0)</f>
        <v>9</v>
      </c>
      <c r="I1075" s="251">
        <f>IFERROR(__xludf.DUMMYFUNCTION("""COMPUTED_VALUE"""),4.0)</f>
        <v>4</v>
      </c>
      <c r="J1075" s="251">
        <f>IFERROR(__xludf.DUMMYFUNCTION("""COMPUTED_VALUE"""),6.0)</f>
        <v>6</v>
      </c>
      <c r="K1075" s="251" t="str">
        <f>IFERROR(__xludf.DUMMYFUNCTION("""COMPUTED_VALUE"""),"Huge")</f>
        <v>Huge</v>
      </c>
      <c r="L1075" s="251">
        <f>IFERROR(__xludf.DUMMYFUNCTION("""COMPUTED_VALUE"""),5.0)</f>
        <v>5</v>
      </c>
      <c r="M1075" s="251" t="str">
        <f>IFERROR(__xludf.DUMMYFUNCTION("""COMPUTED_VALUE"""),"Mountain")</f>
        <v>Mountain</v>
      </c>
      <c r="N1075" s="251" t="str">
        <f>IFERROR(__xludf.DUMMYFUNCTION("""COMPUTED_VALUE"""),"Flier")</f>
        <v>Flier</v>
      </c>
      <c r="O1075" s="251" t="str">
        <f>IFERROR(__xludf.DUMMYFUNCTION("""COMPUTED_VALUE"""),"--")</f>
        <v>--</v>
      </c>
      <c r="P1075" s="251" t="str">
        <f>IFERROR(__xludf.DUMMYFUNCTION("""COMPUTED_VALUE"""),"--")</f>
        <v>--</v>
      </c>
      <c r="Q1075" s="251" t="str">
        <f>IFERROR(__xludf.DUMMYFUNCTION("""COMPUTED_VALUE"""),"--")</f>
        <v>--</v>
      </c>
      <c r="R1075" s="251" t="str">
        <f>IFERROR(__xludf.DUMMYFUNCTION("""COMPUTED_VALUE"""),"Mountable")</f>
        <v>Mountable</v>
      </c>
      <c r="S1075" s="251" t="str">
        <f>IFERROR(__xludf.DUMMYFUNCTION("""COMPUTED_VALUE"""),"Reach")</f>
        <v>Reach</v>
      </c>
      <c r="T1075" s="251" t="str">
        <f>IFERROR(__xludf.DUMMYFUNCTION("""COMPUTED_VALUE"""),"--")</f>
        <v>--</v>
      </c>
      <c r="U1075" s="251" t="str">
        <f>IFERROR(__xludf.DUMMYFUNCTION("""COMPUTED_VALUE"""),"--")</f>
        <v>--</v>
      </c>
      <c r="V1075" s="251" t="str">
        <f>IFERROR(__xludf.DUMMYFUNCTION("""COMPUTED_VALUE"""),"--")</f>
        <v>--</v>
      </c>
      <c r="W1075" s="251" t="str">
        <f>IFERROR(__xludf.DUMMYFUNCTION("""COMPUTED_VALUE"""),"--")</f>
        <v>--</v>
      </c>
      <c r="X1075" s="251" t="str">
        <f>IFERROR(__xludf.DUMMYFUNCTION("""COMPUTED_VALUE"""),"--")</f>
        <v>--</v>
      </c>
      <c r="Y1075" s="251" t="str">
        <f>IFERROR(__xludf.DUMMYFUNCTION("""COMPUTED_VALUE"""),"--")</f>
        <v>--</v>
      </c>
      <c r="Z1075" s="251" t="str">
        <f>IFERROR(__xludf.DUMMYFUNCTION("""COMPUTED_VALUE"""),"--")</f>
        <v>--</v>
      </c>
      <c r="AA1075" s="251" t="str">
        <f>IFERROR(__xludf.DUMMYFUNCTION("""COMPUTED_VALUE"""),"--")</f>
        <v>--</v>
      </c>
      <c r="AB1075" s="251" t="str">
        <f>IFERROR(__xludf.DUMMYFUNCTION("""COMPUTED_VALUE"""),"--")</f>
        <v>--</v>
      </c>
      <c r="AC1075" s="251" t="str">
        <f>IFERROR(__xludf.DUMMYFUNCTION("""COMPUTED_VALUE"""),"--")</f>
        <v>--</v>
      </c>
      <c r="AD1075" s="251">
        <f>IFERROR(__xludf.DUMMYFUNCTION("""COMPUTED_VALUE"""),3.0)</f>
        <v>3</v>
      </c>
      <c r="AE1075" s="251" t="str">
        <f>IFERROR(__xludf.DUMMYFUNCTION("""COMPUTED_VALUE"""),"Herbivore")</f>
        <v>Herbivore</v>
      </c>
    </row>
    <row r="1076">
      <c r="A1076" s="251" t="str">
        <f>IFERROR(__xludf.DUMMYFUNCTION("""COMPUTED_VALUE"""),"Squawkabilly")</f>
        <v>Squawkabilly</v>
      </c>
      <c r="B1076" s="251" t="str">
        <f>IFERROR(__xludf.DUMMYFUNCTION("""COMPUTED_VALUE"""),"Normal")</f>
        <v>Normal</v>
      </c>
      <c r="C1076" s="251" t="str">
        <f>IFERROR(__xludf.DUMMYFUNCTION("""COMPUTED_VALUE"""),"Flying")</f>
        <v>Flying</v>
      </c>
      <c r="D1076" s="251">
        <f>IFERROR(__xludf.DUMMYFUNCTION("""COMPUTED_VALUE"""),8.0)</f>
        <v>8</v>
      </c>
      <c r="E1076" s="251">
        <f>IFERROR(__xludf.DUMMYFUNCTION("""COMPUTED_VALUE"""),10.0)</f>
        <v>10</v>
      </c>
      <c r="F1076" s="251">
        <f>IFERROR(__xludf.DUMMYFUNCTION("""COMPUTED_VALUE"""),5.0)</f>
        <v>5</v>
      </c>
      <c r="G1076" s="251">
        <f>IFERROR(__xludf.DUMMYFUNCTION("""COMPUTED_VALUE"""),5.0)</f>
        <v>5</v>
      </c>
      <c r="H1076" s="251">
        <f>IFERROR(__xludf.DUMMYFUNCTION("""COMPUTED_VALUE"""),5.0)</f>
        <v>5</v>
      </c>
      <c r="I1076" s="251">
        <f>IFERROR(__xludf.DUMMYFUNCTION("""COMPUTED_VALUE"""),9.0)</f>
        <v>9</v>
      </c>
      <c r="J1076" s="251">
        <f>IFERROR(__xludf.DUMMYFUNCTION("""COMPUTED_VALUE"""),2.0)</f>
        <v>2</v>
      </c>
      <c r="K1076" s="251" t="str">
        <f>IFERROR(__xludf.DUMMYFUNCTION("""COMPUTED_VALUE"""),"Small")</f>
        <v>Small</v>
      </c>
      <c r="L1076" s="251">
        <f>IFERROR(__xludf.DUMMYFUNCTION("""COMPUTED_VALUE"""),1.0)</f>
        <v>1</v>
      </c>
      <c r="M1076" s="251" t="str">
        <f>IFERROR(__xludf.DUMMYFUNCTION("""COMPUTED_VALUE"""),"Urban")</f>
        <v>Urban</v>
      </c>
      <c r="N1076" s="251" t="str">
        <f>IFERROR(__xludf.DUMMYFUNCTION("""COMPUTED_VALUE"""),"Flier")</f>
        <v>Flier</v>
      </c>
      <c r="O1076" s="251" t="str">
        <f>IFERROR(__xludf.DUMMYFUNCTION("""COMPUTED_VALUE"""),"--")</f>
        <v>--</v>
      </c>
      <c r="P1076" s="251" t="str">
        <f>IFERROR(__xludf.DUMMYFUNCTION("""COMPUTED_VALUE"""),"--")</f>
        <v>--</v>
      </c>
      <c r="Q1076" s="251" t="str">
        <f>IFERROR(__xludf.DUMMYFUNCTION("""COMPUTED_VALUE"""),"--")</f>
        <v>--</v>
      </c>
      <c r="R1076" s="251" t="str">
        <f>IFERROR(__xludf.DUMMYFUNCTION("""COMPUTED_VALUE"""),"Underdog")</f>
        <v>Underdog</v>
      </c>
      <c r="S1076" s="251" t="str">
        <f>IFERROR(__xludf.DUMMYFUNCTION("""COMPUTED_VALUE"""),"--")</f>
        <v>--</v>
      </c>
      <c r="T1076" s="251" t="str">
        <f>IFERROR(__xludf.DUMMYFUNCTION("""COMPUTED_VALUE"""),"--")</f>
        <v>--</v>
      </c>
      <c r="U1076" s="251" t="str">
        <f>IFERROR(__xludf.DUMMYFUNCTION("""COMPUTED_VALUE"""),"--")</f>
        <v>--</v>
      </c>
      <c r="V1076" s="251" t="str">
        <f>IFERROR(__xludf.DUMMYFUNCTION("""COMPUTED_VALUE"""),"Pack Mon")</f>
        <v>Pack Mon</v>
      </c>
      <c r="W1076" s="251" t="str">
        <f>IFERROR(__xludf.DUMMYFUNCTION("""COMPUTED_VALUE"""),"--")</f>
        <v>--</v>
      </c>
      <c r="X1076" s="251" t="str">
        <f>IFERROR(__xludf.DUMMYFUNCTION("""COMPUTED_VALUE"""),"--")</f>
        <v>--</v>
      </c>
      <c r="Y1076" s="251" t="str">
        <f>IFERROR(__xludf.DUMMYFUNCTION("""COMPUTED_VALUE"""),"--")</f>
        <v>--</v>
      </c>
      <c r="Z1076" s="251" t="str">
        <f>IFERROR(__xludf.DUMMYFUNCTION("""COMPUTED_VALUE"""),"--")</f>
        <v>--</v>
      </c>
      <c r="AA1076" s="251" t="str">
        <f>IFERROR(__xludf.DUMMYFUNCTION("""COMPUTED_VALUE"""),"--")</f>
        <v>--</v>
      </c>
      <c r="AB1076" s="251" t="str">
        <f>IFERROR(__xludf.DUMMYFUNCTION("""COMPUTED_VALUE"""),"--")</f>
        <v>--</v>
      </c>
      <c r="AC1076" s="251" t="str">
        <f>IFERROR(__xludf.DUMMYFUNCTION("""COMPUTED_VALUE"""),"--")</f>
        <v>--</v>
      </c>
      <c r="AD1076" s="251">
        <f>IFERROR(__xludf.DUMMYFUNCTION("""COMPUTED_VALUE"""),3.0)</f>
        <v>3</v>
      </c>
      <c r="AE1076" s="251" t="str">
        <f>IFERROR(__xludf.DUMMYFUNCTION("""COMPUTED_VALUE"""),"Omnivore")</f>
        <v>Omnivore</v>
      </c>
    </row>
    <row r="1077">
      <c r="A1077" s="251" t="str">
        <f>IFERROR(__xludf.DUMMYFUNCTION("""COMPUTED_VALUE"""),"Seviper")</f>
        <v>Seviper</v>
      </c>
      <c r="B1077" s="251" t="str">
        <f>IFERROR(__xludf.DUMMYFUNCTION("""COMPUTED_VALUE"""),"Poison")</f>
        <v>Poison</v>
      </c>
      <c r="C1077" s="251" t="str">
        <f>IFERROR(__xludf.DUMMYFUNCTION("""COMPUTED_VALUE"""),"None")</f>
        <v>None</v>
      </c>
      <c r="D1077" s="251">
        <f>IFERROR(__xludf.DUMMYFUNCTION("""COMPUTED_VALUE"""),7.0)</f>
        <v>7</v>
      </c>
      <c r="E1077" s="251">
        <f>IFERROR(__xludf.DUMMYFUNCTION("""COMPUTED_VALUE"""),12.0)</f>
        <v>12</v>
      </c>
      <c r="F1077" s="251">
        <f>IFERROR(__xludf.DUMMYFUNCTION("""COMPUTED_VALUE"""),7.0)</f>
        <v>7</v>
      </c>
      <c r="G1077" s="251">
        <f>IFERROR(__xludf.DUMMYFUNCTION("""COMPUTED_VALUE"""),11.0)</f>
        <v>11</v>
      </c>
      <c r="H1077" s="251">
        <f>IFERROR(__xludf.DUMMYFUNCTION("""COMPUTED_VALUE"""),7.0)</f>
        <v>7</v>
      </c>
      <c r="I1077" s="251">
        <f>IFERROR(__xludf.DUMMYFUNCTION("""COMPUTED_VALUE"""),7.0)</f>
        <v>7</v>
      </c>
      <c r="J1077" s="251">
        <f>IFERROR(__xludf.DUMMYFUNCTION("""COMPUTED_VALUE"""),4.0)</f>
        <v>4</v>
      </c>
      <c r="K1077" s="251" t="str">
        <f>IFERROR(__xludf.DUMMYFUNCTION("""COMPUTED_VALUE"""),"Large")</f>
        <v>Large</v>
      </c>
      <c r="L1077" s="251">
        <f>IFERROR(__xludf.DUMMYFUNCTION("""COMPUTED_VALUE"""),4.0)</f>
        <v>4</v>
      </c>
      <c r="M1077" s="251" t="str">
        <f>IFERROR(__xludf.DUMMYFUNCTION("""COMPUTED_VALUE"""),"Desert, Forest")</f>
        <v>Desert, Forest</v>
      </c>
      <c r="N1077" s="251" t="str">
        <f>IFERROR(__xludf.DUMMYFUNCTION("""COMPUTED_VALUE"""),"--")</f>
        <v>--</v>
      </c>
      <c r="O1077" s="251" t="str">
        <f>IFERROR(__xludf.DUMMYFUNCTION("""COMPUTED_VALUE"""),"--")</f>
        <v>--</v>
      </c>
      <c r="P1077" s="251" t="str">
        <f>IFERROR(__xludf.DUMMYFUNCTION("""COMPUTED_VALUE"""),"--")</f>
        <v>--</v>
      </c>
      <c r="Q1077" s="251" t="str">
        <f>IFERROR(__xludf.DUMMYFUNCTION("""COMPUTED_VALUE"""),"--")</f>
        <v>--</v>
      </c>
      <c r="R1077" s="251" t="str">
        <f>IFERROR(__xludf.DUMMYFUNCTION("""COMPUTED_VALUE"""),"Darkvision")</f>
        <v>Darkvision</v>
      </c>
      <c r="S1077" s="251" t="str">
        <f>IFERROR(__xludf.DUMMYFUNCTION("""COMPUTED_VALUE"""),"--")</f>
        <v>--</v>
      </c>
      <c r="T1077" s="251" t="str">
        <f>IFERROR(__xludf.DUMMYFUNCTION("""COMPUTED_VALUE"""),"--")</f>
        <v>--</v>
      </c>
      <c r="U1077" s="251" t="str">
        <f>IFERROR(__xludf.DUMMYFUNCTION("""COMPUTED_VALUE"""),"--")</f>
        <v>--</v>
      </c>
      <c r="V1077" s="251" t="str">
        <f>IFERROR(__xludf.DUMMYFUNCTION("""COMPUTED_VALUE"""),"--")</f>
        <v>--</v>
      </c>
      <c r="W1077" s="251" t="str">
        <f>IFERROR(__xludf.DUMMYFUNCTION("""COMPUTED_VALUE"""),"--")</f>
        <v>--</v>
      </c>
      <c r="X1077" s="251" t="str">
        <f>IFERROR(__xludf.DUMMYFUNCTION("""COMPUTED_VALUE"""),"--")</f>
        <v>--</v>
      </c>
      <c r="Y1077" s="251" t="str">
        <f>IFERROR(__xludf.DUMMYFUNCTION("""COMPUTED_VALUE"""),"--")</f>
        <v>--</v>
      </c>
      <c r="Z1077" s="251" t="str">
        <f>IFERROR(__xludf.DUMMYFUNCTION("""COMPUTED_VALUE"""),"--")</f>
        <v>--</v>
      </c>
      <c r="AA1077" s="251" t="str">
        <f>IFERROR(__xludf.DUMMYFUNCTION("""COMPUTED_VALUE"""),"--")</f>
        <v>--</v>
      </c>
      <c r="AB1077" s="251" t="str">
        <f>IFERROR(__xludf.DUMMYFUNCTION("""COMPUTED_VALUE"""),"--")</f>
        <v>--</v>
      </c>
      <c r="AC1077" s="251" t="str">
        <f>IFERROR(__xludf.DUMMYFUNCTION("""COMPUTED_VALUE"""),"--")</f>
        <v>--</v>
      </c>
      <c r="AD1077" s="251">
        <f>IFERROR(__xludf.DUMMYFUNCTION("""COMPUTED_VALUE"""),3.0)</f>
        <v>3</v>
      </c>
      <c r="AE1077" s="251" t="str">
        <f>IFERROR(__xludf.DUMMYFUNCTION("""COMPUTED_VALUE"""),"Carnivore")</f>
        <v>Carnivore</v>
      </c>
    </row>
    <row r="1078">
      <c r="A1078" s="251" t="str">
        <f>IFERROR(__xludf.DUMMYFUNCTION("""COMPUTED_VALUE"""),"Unown")</f>
        <v>Unown</v>
      </c>
      <c r="B1078" s="251" t="str">
        <f>IFERROR(__xludf.DUMMYFUNCTION("""COMPUTED_VALUE"""),"Psychic")</f>
        <v>Psychic</v>
      </c>
      <c r="C1078" s="251" t="str">
        <f>IFERROR(__xludf.DUMMYFUNCTION("""COMPUTED_VALUE"""),"None")</f>
        <v>None</v>
      </c>
      <c r="D1078" s="251">
        <f>IFERROR(__xludf.DUMMYFUNCTION("""COMPUTED_VALUE"""),5.0)</f>
        <v>5</v>
      </c>
      <c r="E1078" s="251">
        <f>IFERROR(__xludf.DUMMYFUNCTION("""COMPUTED_VALUE"""),7.0)</f>
        <v>7</v>
      </c>
      <c r="F1078" s="251">
        <f>IFERROR(__xludf.DUMMYFUNCTION("""COMPUTED_VALUE"""),5.0)</f>
        <v>5</v>
      </c>
      <c r="G1078" s="251">
        <f>IFERROR(__xludf.DUMMYFUNCTION("""COMPUTED_VALUE"""),7.0)</f>
        <v>7</v>
      </c>
      <c r="H1078" s="251">
        <f>IFERROR(__xludf.DUMMYFUNCTION("""COMPUTED_VALUE"""),5.0)</f>
        <v>5</v>
      </c>
      <c r="I1078" s="251">
        <f>IFERROR(__xludf.DUMMYFUNCTION("""COMPUTED_VALUE"""),5.0)</f>
        <v>5</v>
      </c>
      <c r="J1078" s="251">
        <f>IFERROR(__xludf.DUMMYFUNCTION("""COMPUTED_VALUE"""),1.0)</f>
        <v>1</v>
      </c>
      <c r="K1078" s="251" t="str">
        <f>IFERROR(__xludf.DUMMYFUNCTION("""COMPUTED_VALUE"""),"Small")</f>
        <v>Small</v>
      </c>
      <c r="L1078" s="251">
        <f>IFERROR(__xludf.DUMMYFUNCTION("""COMPUTED_VALUE"""),1.0)</f>
        <v>1</v>
      </c>
      <c r="M1078" s="251" t="str">
        <f>IFERROR(__xludf.DUMMYFUNCTION("""COMPUTED_VALUE"""),"Cave, Space")</f>
        <v>Cave, Space</v>
      </c>
      <c r="N1078" s="251" t="str">
        <f>IFERROR(__xludf.DUMMYFUNCTION("""COMPUTED_VALUE"""),"Flier")</f>
        <v>Flier</v>
      </c>
      <c r="O1078" s="251" t="str">
        <f>IFERROR(__xludf.DUMMYFUNCTION("""COMPUTED_VALUE"""),"--")</f>
        <v>--</v>
      </c>
      <c r="P1078" s="251" t="str">
        <f>IFERROR(__xludf.DUMMYFUNCTION("""COMPUTED_VALUE"""),"--")</f>
        <v>--</v>
      </c>
      <c r="Q1078" s="251" t="str">
        <f>IFERROR(__xludf.DUMMYFUNCTION("""COMPUTED_VALUE"""),"--")</f>
        <v>--</v>
      </c>
      <c r="R1078" s="251" t="str">
        <f>IFERROR(__xludf.DUMMYFUNCTION("""COMPUTED_VALUE"""),"Invisibility")</f>
        <v>Invisibility</v>
      </c>
      <c r="S1078" s="251" t="str">
        <f>IFERROR(__xludf.DUMMYFUNCTION("""COMPUTED_VALUE"""),"Underdog")</f>
        <v>Underdog</v>
      </c>
      <c r="T1078" s="251" t="str">
        <f>IFERROR(__xludf.DUMMYFUNCTION("""COMPUTED_VALUE"""),"--")</f>
        <v>--</v>
      </c>
      <c r="U1078" s="251" t="str">
        <f>IFERROR(__xludf.DUMMYFUNCTION("""COMPUTED_VALUE"""),"--")</f>
        <v>--</v>
      </c>
      <c r="V1078" s="251" t="str">
        <f>IFERROR(__xludf.DUMMYFUNCTION("""COMPUTED_VALUE"""),"Magnetic")</f>
        <v>Magnetic</v>
      </c>
      <c r="W1078" s="251" t="str">
        <f>IFERROR(__xludf.DUMMYFUNCTION("""COMPUTED_VALUE"""),"Telepath")</f>
        <v>Telepath</v>
      </c>
      <c r="X1078" s="251" t="str">
        <f>IFERROR(__xludf.DUMMYFUNCTION("""COMPUTED_VALUE"""),"--")</f>
        <v>--</v>
      </c>
      <c r="Y1078" s="251" t="str">
        <f>IFERROR(__xludf.DUMMYFUNCTION("""COMPUTED_VALUE"""),"--")</f>
        <v>--</v>
      </c>
      <c r="Z1078" s="251" t="str">
        <f>IFERROR(__xludf.DUMMYFUNCTION("""COMPUTED_VALUE"""),"--")</f>
        <v>--</v>
      </c>
      <c r="AA1078" s="251" t="str">
        <f>IFERROR(__xludf.DUMMYFUNCTION("""COMPUTED_VALUE"""),"--")</f>
        <v>--</v>
      </c>
      <c r="AB1078" s="251" t="str">
        <f>IFERROR(__xludf.DUMMYFUNCTION("""COMPUTED_VALUE"""),"--")</f>
        <v>--</v>
      </c>
      <c r="AC1078" s="251" t="str">
        <f>IFERROR(__xludf.DUMMYFUNCTION("""COMPUTED_VALUE"""),"--")</f>
        <v>--</v>
      </c>
      <c r="AD1078" s="251">
        <f>IFERROR(__xludf.DUMMYFUNCTION("""COMPUTED_VALUE"""),3.0)</f>
        <v>3</v>
      </c>
      <c r="AE1078" s="251" t="str">
        <f>IFERROR(__xludf.DUMMYFUNCTION("""COMPUTED_VALUE"""),"Nullivore")</f>
        <v>Nullivore</v>
      </c>
    </row>
    <row r="1079">
      <c r="A1079" s="251" t="str">
        <f>IFERROR(__xludf.DUMMYFUNCTION("""COMPUTED_VALUE"""),"Sigilyph")</f>
        <v>Sigilyph</v>
      </c>
      <c r="B1079" s="251" t="str">
        <f>IFERROR(__xludf.DUMMYFUNCTION("""COMPUTED_VALUE"""),"Psychic")</f>
        <v>Psychic</v>
      </c>
      <c r="C1079" s="251" t="str">
        <f>IFERROR(__xludf.DUMMYFUNCTION("""COMPUTED_VALUE"""),"Flying")</f>
        <v>Flying</v>
      </c>
      <c r="D1079" s="251">
        <f>IFERROR(__xludf.DUMMYFUNCTION("""COMPUTED_VALUE"""),7.0)</f>
        <v>7</v>
      </c>
      <c r="E1079" s="251">
        <f>IFERROR(__xludf.DUMMYFUNCTION("""COMPUTED_VALUE"""),6.0)</f>
        <v>6</v>
      </c>
      <c r="F1079" s="251">
        <f>IFERROR(__xludf.DUMMYFUNCTION("""COMPUTED_VALUE"""),8.0)</f>
        <v>8</v>
      </c>
      <c r="G1079" s="251">
        <f>IFERROR(__xludf.DUMMYFUNCTION("""COMPUTED_VALUE"""),10.0)</f>
        <v>10</v>
      </c>
      <c r="H1079" s="251">
        <f>IFERROR(__xludf.DUMMYFUNCTION("""COMPUTED_VALUE"""),10.0)</f>
        <v>10</v>
      </c>
      <c r="I1079" s="251">
        <f>IFERROR(__xludf.DUMMYFUNCTION("""COMPUTED_VALUE"""),10.0)</f>
        <v>10</v>
      </c>
      <c r="J1079" s="251">
        <f>IFERROR(__xludf.DUMMYFUNCTION("""COMPUTED_VALUE"""),3.0)</f>
        <v>3</v>
      </c>
      <c r="K1079" s="251" t="str">
        <f>IFERROR(__xludf.DUMMYFUNCTION("""COMPUTED_VALUE"""),"Medium")</f>
        <v>Medium</v>
      </c>
      <c r="L1079" s="251">
        <f>IFERROR(__xludf.DUMMYFUNCTION("""COMPUTED_VALUE"""),2.0)</f>
        <v>2</v>
      </c>
      <c r="M1079" s="251" t="str">
        <f>IFERROR(__xludf.DUMMYFUNCTION("""COMPUTED_VALUE"""),"Desert, Space")</f>
        <v>Desert, Space</v>
      </c>
      <c r="N1079" s="251" t="str">
        <f>IFERROR(__xludf.DUMMYFUNCTION("""COMPUTED_VALUE"""),"Flier")</f>
        <v>Flier</v>
      </c>
      <c r="O1079" s="251" t="str">
        <f>IFERROR(__xludf.DUMMYFUNCTION("""COMPUTED_VALUE"""),"--")</f>
        <v>--</v>
      </c>
      <c r="P1079" s="251" t="str">
        <f>IFERROR(__xludf.DUMMYFUNCTION("""COMPUTED_VALUE"""),"--")</f>
        <v>--</v>
      </c>
      <c r="Q1079" s="251" t="str">
        <f>IFERROR(__xludf.DUMMYFUNCTION("""COMPUTED_VALUE"""),"--")</f>
        <v>--</v>
      </c>
      <c r="R1079" s="251" t="str">
        <f>IFERROR(__xludf.DUMMYFUNCTION("""COMPUTED_VALUE"""),"Invisibility")</f>
        <v>Invisibility</v>
      </c>
      <c r="S1079" s="251" t="str">
        <f>IFERROR(__xludf.DUMMYFUNCTION("""COMPUTED_VALUE"""),"Telekinetic")</f>
        <v>Telekinetic</v>
      </c>
      <c r="T1079" s="251" t="str">
        <f>IFERROR(__xludf.DUMMYFUNCTION("""COMPUTED_VALUE"""),"--")</f>
        <v>--</v>
      </c>
      <c r="U1079" s="251" t="str">
        <f>IFERROR(__xludf.DUMMYFUNCTION("""COMPUTED_VALUE"""),"--")</f>
        <v>--</v>
      </c>
      <c r="V1079" s="251" t="str">
        <f>IFERROR(__xludf.DUMMYFUNCTION("""COMPUTED_VALUE"""),"--")</f>
        <v>--</v>
      </c>
      <c r="W1079" s="251" t="str">
        <f>IFERROR(__xludf.DUMMYFUNCTION("""COMPUTED_VALUE"""),"--")</f>
        <v>--</v>
      </c>
      <c r="X1079" s="251" t="str">
        <f>IFERROR(__xludf.DUMMYFUNCTION("""COMPUTED_VALUE"""),"--")</f>
        <v>--</v>
      </c>
      <c r="Y1079" s="251" t="str">
        <f>IFERROR(__xludf.DUMMYFUNCTION("""COMPUTED_VALUE"""),"--")</f>
        <v>--</v>
      </c>
      <c r="Z1079" s="251" t="str">
        <f>IFERROR(__xludf.DUMMYFUNCTION("""COMPUTED_VALUE"""),"--")</f>
        <v>--</v>
      </c>
      <c r="AA1079" s="251" t="str">
        <f>IFERROR(__xludf.DUMMYFUNCTION("""COMPUTED_VALUE"""),"--")</f>
        <v>--</v>
      </c>
      <c r="AB1079" s="251" t="str">
        <f>IFERROR(__xludf.DUMMYFUNCTION("""COMPUTED_VALUE"""),"--")</f>
        <v>--</v>
      </c>
      <c r="AC1079" s="251" t="str">
        <f>IFERROR(__xludf.DUMMYFUNCTION("""COMPUTED_VALUE"""),"--")</f>
        <v>--</v>
      </c>
      <c r="AD1079" s="251">
        <f>IFERROR(__xludf.DUMMYFUNCTION("""COMPUTED_VALUE"""),3.0)</f>
        <v>3</v>
      </c>
      <c r="AE1079" s="251" t="str">
        <f>IFERROR(__xludf.DUMMYFUNCTION("""COMPUTED_VALUE"""),"Herbivore")</f>
        <v>Herbivore</v>
      </c>
    </row>
    <row r="1080">
      <c r="A1080" s="251" t="str">
        <f>IFERROR(__xludf.DUMMYFUNCTION("""COMPUTED_VALUE"""),"Indeedee M")</f>
        <v>Indeedee M</v>
      </c>
      <c r="B1080" s="251" t="str">
        <f>IFERROR(__xludf.DUMMYFUNCTION("""COMPUTED_VALUE"""),"Psychic")</f>
        <v>Psychic</v>
      </c>
      <c r="C1080" s="251" t="str">
        <f>IFERROR(__xludf.DUMMYFUNCTION("""COMPUTED_VALUE"""),"Normal")</f>
        <v>Normal</v>
      </c>
      <c r="D1080" s="251">
        <f>IFERROR(__xludf.DUMMYFUNCTION("""COMPUTED_VALUE"""),7.0)</f>
        <v>7</v>
      </c>
      <c r="E1080" s="251">
        <f>IFERROR(__xludf.DUMMYFUNCTION("""COMPUTED_VALUE"""),7.0)</f>
        <v>7</v>
      </c>
      <c r="F1080" s="251">
        <f>IFERROR(__xludf.DUMMYFUNCTION("""COMPUTED_VALUE"""),6.0)</f>
        <v>6</v>
      </c>
      <c r="G1080" s="251">
        <f>IFERROR(__xludf.DUMMYFUNCTION("""COMPUTED_VALUE"""),11.0)</f>
        <v>11</v>
      </c>
      <c r="H1080" s="251">
        <f>IFERROR(__xludf.DUMMYFUNCTION("""COMPUTED_VALUE"""),10.0)</f>
        <v>10</v>
      </c>
      <c r="I1080" s="251">
        <f>IFERROR(__xludf.DUMMYFUNCTION("""COMPUTED_VALUE"""),10.0)</f>
        <v>10</v>
      </c>
      <c r="J1080" s="251">
        <f>IFERROR(__xludf.DUMMYFUNCTION("""COMPUTED_VALUE"""),3.0)</f>
        <v>3</v>
      </c>
      <c r="K1080" s="251" t="str">
        <f>IFERROR(__xludf.DUMMYFUNCTION("""COMPUTED_VALUE"""),"Small")</f>
        <v>Small</v>
      </c>
      <c r="L1080" s="251">
        <f>IFERROR(__xludf.DUMMYFUNCTION("""COMPUTED_VALUE"""),3.0)</f>
        <v>3</v>
      </c>
      <c r="M1080" s="251" t="str">
        <f>IFERROR(__xludf.DUMMYFUNCTION("""COMPUTED_VALUE"""),"Forest")</f>
        <v>Forest</v>
      </c>
      <c r="N1080" s="251" t="str">
        <f>IFERROR(__xludf.DUMMYFUNCTION("""COMPUTED_VALUE"""),"--")</f>
        <v>--</v>
      </c>
      <c r="O1080" s="251" t="str">
        <f>IFERROR(__xludf.DUMMYFUNCTION("""COMPUTED_VALUE"""),"--")</f>
        <v>--</v>
      </c>
      <c r="P1080" s="251" t="str">
        <f>IFERROR(__xludf.DUMMYFUNCTION("""COMPUTED_VALUE"""),"--")</f>
        <v>--</v>
      </c>
      <c r="Q1080" s="251" t="str">
        <f>IFERROR(__xludf.DUMMYFUNCTION("""COMPUTED_VALUE"""),"--")</f>
        <v>--</v>
      </c>
      <c r="R1080" s="251" t="str">
        <f>IFERROR(__xludf.DUMMYFUNCTION("""COMPUTED_VALUE"""),"Telekinetic")</f>
        <v>Telekinetic</v>
      </c>
      <c r="S1080" s="251" t="str">
        <f>IFERROR(__xludf.DUMMYFUNCTION("""COMPUTED_VALUE"""),"--")</f>
        <v>--</v>
      </c>
      <c r="T1080" s="251" t="str">
        <f>IFERROR(__xludf.DUMMYFUNCTION("""COMPUTED_VALUE"""),"--")</f>
        <v>--</v>
      </c>
      <c r="U1080" s="251" t="str">
        <f>IFERROR(__xludf.DUMMYFUNCTION("""COMPUTED_VALUE"""),"--")</f>
        <v>--</v>
      </c>
      <c r="V1080" s="251" t="str">
        <f>IFERROR(__xludf.DUMMYFUNCTION("""COMPUTED_VALUE"""),"Empath")</f>
        <v>Empath</v>
      </c>
      <c r="W1080" s="251" t="str">
        <f>IFERROR(__xludf.DUMMYFUNCTION("""COMPUTED_VALUE"""),"Telepath")</f>
        <v>Telepath</v>
      </c>
      <c r="X1080" s="251" t="str">
        <f>IFERROR(__xludf.DUMMYFUNCTION("""COMPUTED_VALUE"""),"--")</f>
        <v>--</v>
      </c>
      <c r="Y1080" s="251" t="str">
        <f>IFERROR(__xludf.DUMMYFUNCTION("""COMPUTED_VALUE"""),"--")</f>
        <v>--</v>
      </c>
      <c r="Z1080" s="251" t="str">
        <f>IFERROR(__xludf.DUMMYFUNCTION("""COMPUTED_VALUE"""),"--")</f>
        <v>--</v>
      </c>
      <c r="AA1080" s="251" t="str">
        <f>IFERROR(__xludf.DUMMYFUNCTION("""COMPUTED_VALUE"""),"--")</f>
        <v>--</v>
      </c>
      <c r="AB1080" s="251" t="str">
        <f>IFERROR(__xludf.DUMMYFUNCTION("""COMPUTED_VALUE"""),"--")</f>
        <v>--</v>
      </c>
      <c r="AC1080" s="251" t="str">
        <f>IFERROR(__xludf.DUMMYFUNCTION("""COMPUTED_VALUE"""),"--")</f>
        <v>--</v>
      </c>
      <c r="AD1080" s="251">
        <f>IFERROR(__xludf.DUMMYFUNCTION("""COMPUTED_VALUE"""),3.0)</f>
        <v>3</v>
      </c>
      <c r="AE1080" s="251" t="str">
        <f>IFERROR(__xludf.DUMMYFUNCTION("""COMPUTED_VALUE"""),"Herbivore")</f>
        <v>Herbivore</v>
      </c>
    </row>
    <row r="1081">
      <c r="A1081" s="251" t="str">
        <f>IFERROR(__xludf.DUMMYFUNCTION("""COMPUTED_VALUE"""),"Indeedee F")</f>
        <v>Indeedee F</v>
      </c>
      <c r="B1081" s="251" t="str">
        <f>IFERROR(__xludf.DUMMYFUNCTION("""COMPUTED_VALUE"""),"Psychic")</f>
        <v>Psychic</v>
      </c>
      <c r="C1081" s="251" t="str">
        <f>IFERROR(__xludf.DUMMYFUNCTION("""COMPUTED_VALUE"""),"Normal")</f>
        <v>Normal</v>
      </c>
      <c r="D1081" s="251">
        <f>IFERROR(__xludf.DUMMYFUNCTION("""COMPUTED_VALUE"""),8.0)</f>
        <v>8</v>
      </c>
      <c r="E1081" s="251">
        <f>IFERROR(__xludf.DUMMYFUNCTION("""COMPUTED_VALUE"""),6.0)</f>
        <v>6</v>
      </c>
      <c r="F1081" s="251">
        <f>IFERROR(__xludf.DUMMYFUNCTION("""COMPUTED_VALUE"""),7.0)</f>
        <v>7</v>
      </c>
      <c r="G1081" s="251">
        <f>IFERROR(__xludf.DUMMYFUNCTION("""COMPUTED_VALUE"""),10.0)</f>
        <v>10</v>
      </c>
      <c r="H1081" s="251">
        <f>IFERROR(__xludf.DUMMYFUNCTION("""COMPUTED_VALUE"""),11.0)</f>
        <v>11</v>
      </c>
      <c r="I1081" s="251">
        <f>IFERROR(__xludf.DUMMYFUNCTION("""COMPUTED_VALUE"""),9.0)</f>
        <v>9</v>
      </c>
      <c r="J1081" s="251">
        <f>IFERROR(__xludf.DUMMYFUNCTION("""COMPUTED_VALUE"""),3.0)</f>
        <v>3</v>
      </c>
      <c r="K1081" s="251" t="str">
        <f>IFERROR(__xludf.DUMMYFUNCTION("""COMPUTED_VALUE"""),"Small")</f>
        <v>Small</v>
      </c>
      <c r="L1081" s="251">
        <f>IFERROR(__xludf.DUMMYFUNCTION("""COMPUTED_VALUE"""),3.0)</f>
        <v>3</v>
      </c>
      <c r="M1081" s="251" t="str">
        <f>IFERROR(__xludf.DUMMYFUNCTION("""COMPUTED_VALUE"""),"Forest")</f>
        <v>Forest</v>
      </c>
      <c r="N1081" s="251" t="str">
        <f>IFERROR(__xludf.DUMMYFUNCTION("""COMPUTED_VALUE"""),"--")</f>
        <v>--</v>
      </c>
      <c r="O1081" s="251" t="str">
        <f>IFERROR(__xludf.DUMMYFUNCTION("""COMPUTED_VALUE"""),"--")</f>
        <v>--</v>
      </c>
      <c r="P1081" s="251" t="str">
        <f>IFERROR(__xludf.DUMMYFUNCTION("""COMPUTED_VALUE"""),"--")</f>
        <v>--</v>
      </c>
      <c r="Q1081" s="251" t="str">
        <f>IFERROR(__xludf.DUMMYFUNCTION("""COMPUTED_VALUE"""),"--")</f>
        <v>--</v>
      </c>
      <c r="R1081" s="251" t="str">
        <f>IFERROR(__xludf.DUMMYFUNCTION("""COMPUTED_VALUE"""),"Telekinetic")</f>
        <v>Telekinetic</v>
      </c>
      <c r="S1081" s="251" t="str">
        <f>IFERROR(__xludf.DUMMYFUNCTION("""COMPUTED_VALUE"""),"--")</f>
        <v>--</v>
      </c>
      <c r="T1081" s="251" t="str">
        <f>IFERROR(__xludf.DUMMYFUNCTION("""COMPUTED_VALUE"""),"--")</f>
        <v>--</v>
      </c>
      <c r="U1081" s="251" t="str">
        <f>IFERROR(__xludf.DUMMYFUNCTION("""COMPUTED_VALUE"""),"--")</f>
        <v>--</v>
      </c>
      <c r="V1081" s="251" t="str">
        <f>IFERROR(__xludf.DUMMYFUNCTION("""COMPUTED_VALUE"""),"Empath")</f>
        <v>Empath</v>
      </c>
      <c r="W1081" s="251" t="str">
        <f>IFERROR(__xludf.DUMMYFUNCTION("""COMPUTED_VALUE"""),"Telepath")</f>
        <v>Telepath</v>
      </c>
      <c r="X1081" s="251" t="str">
        <f>IFERROR(__xludf.DUMMYFUNCTION("""COMPUTED_VALUE"""),"--")</f>
        <v>--</v>
      </c>
      <c r="Y1081" s="251" t="str">
        <f>IFERROR(__xludf.DUMMYFUNCTION("""COMPUTED_VALUE"""),"--")</f>
        <v>--</v>
      </c>
      <c r="Z1081" s="251" t="str">
        <f>IFERROR(__xludf.DUMMYFUNCTION("""COMPUTED_VALUE"""),"--")</f>
        <v>--</v>
      </c>
      <c r="AA1081" s="251" t="str">
        <f>IFERROR(__xludf.DUMMYFUNCTION("""COMPUTED_VALUE"""),"--")</f>
        <v>--</v>
      </c>
      <c r="AB1081" s="251" t="str">
        <f>IFERROR(__xludf.DUMMYFUNCTION("""COMPUTED_VALUE"""),"--")</f>
        <v>--</v>
      </c>
      <c r="AC1081" s="251" t="str">
        <f>IFERROR(__xludf.DUMMYFUNCTION("""COMPUTED_VALUE"""),"--")</f>
        <v>--</v>
      </c>
      <c r="AD1081" s="251">
        <f>IFERROR(__xludf.DUMMYFUNCTION("""COMPUTED_VALUE"""),3.0)</f>
        <v>3</v>
      </c>
      <c r="AE1081" s="251" t="str">
        <f>IFERROR(__xludf.DUMMYFUNCTION("""COMPUTED_VALUE"""),"Herbivore")</f>
        <v>Herbivore</v>
      </c>
    </row>
    <row r="1082">
      <c r="A1082" s="251" t="str">
        <f>IFERROR(__xludf.DUMMYFUNCTION("""COMPUTED_VALUE"""),"Aerodactyl")</f>
        <v>Aerodactyl</v>
      </c>
      <c r="B1082" s="251" t="str">
        <f>IFERROR(__xludf.DUMMYFUNCTION("""COMPUTED_VALUE"""),"Rock")</f>
        <v>Rock</v>
      </c>
      <c r="C1082" s="251" t="str">
        <f>IFERROR(__xludf.DUMMYFUNCTION("""COMPUTED_VALUE"""),"Flying")</f>
        <v>Flying</v>
      </c>
      <c r="D1082" s="251">
        <f>IFERROR(__xludf.DUMMYFUNCTION("""COMPUTED_VALUE"""),8.0)</f>
        <v>8</v>
      </c>
      <c r="E1082" s="251">
        <f>IFERROR(__xludf.DUMMYFUNCTION("""COMPUTED_VALUE"""),11.0)</f>
        <v>11</v>
      </c>
      <c r="F1082" s="251">
        <f>IFERROR(__xludf.DUMMYFUNCTION("""COMPUTED_VALUE"""),7.0)</f>
        <v>7</v>
      </c>
      <c r="G1082" s="251">
        <f>IFERROR(__xludf.DUMMYFUNCTION("""COMPUTED_VALUE"""),6.0)</f>
        <v>6</v>
      </c>
      <c r="H1082" s="251">
        <f>IFERROR(__xludf.DUMMYFUNCTION("""COMPUTED_VALUE"""),8.0)</f>
        <v>8</v>
      </c>
      <c r="I1082" s="251">
        <f>IFERROR(__xludf.DUMMYFUNCTION("""COMPUTED_VALUE"""),13.0)</f>
        <v>13</v>
      </c>
      <c r="J1082" s="251">
        <f>IFERROR(__xludf.DUMMYFUNCTION("""COMPUTED_VALUE"""),8.0)</f>
        <v>8</v>
      </c>
      <c r="K1082" s="251" t="str">
        <f>IFERROR(__xludf.DUMMYFUNCTION("""COMPUTED_VALUE"""),"Medium")</f>
        <v>Medium</v>
      </c>
      <c r="L1082" s="251">
        <f>IFERROR(__xludf.DUMMYFUNCTION("""COMPUTED_VALUE"""),4.0)</f>
        <v>4</v>
      </c>
      <c r="M1082" s="251" t="str">
        <f>IFERROR(__xludf.DUMMYFUNCTION("""COMPUTED_VALUE"""),"Mountain")</f>
        <v>Mountain</v>
      </c>
      <c r="N1082" s="251" t="str">
        <f>IFERROR(__xludf.DUMMYFUNCTION("""COMPUTED_VALUE"""),"Flier")</f>
        <v>Flier</v>
      </c>
      <c r="O1082" s="251" t="str">
        <f>IFERROR(__xludf.DUMMYFUNCTION("""COMPUTED_VALUE"""),"Quick")</f>
        <v>Quick</v>
      </c>
      <c r="P1082" s="251" t="str">
        <f>IFERROR(__xludf.DUMMYFUNCTION("""COMPUTED_VALUE"""),"--")</f>
        <v>--</v>
      </c>
      <c r="Q1082" s="251" t="str">
        <f>IFERROR(__xludf.DUMMYFUNCTION("""COMPUTED_VALUE"""),"--")</f>
        <v>--</v>
      </c>
      <c r="R1082" s="251" t="str">
        <f>IFERROR(__xludf.DUMMYFUNCTION("""COMPUTED_VALUE"""),"Mountable")</f>
        <v>Mountable</v>
      </c>
      <c r="S1082" s="251" t="str">
        <f>IFERROR(__xludf.DUMMYFUNCTION("""COMPUTED_VALUE"""),"--")</f>
        <v>--</v>
      </c>
      <c r="T1082" s="251" t="str">
        <f>IFERROR(__xludf.DUMMYFUNCTION("""COMPUTED_VALUE"""),"--")</f>
        <v>--</v>
      </c>
      <c r="U1082" s="251" t="str">
        <f>IFERROR(__xludf.DUMMYFUNCTION("""COMPUTED_VALUE"""),"--")</f>
        <v>--</v>
      </c>
      <c r="V1082" s="251" t="str">
        <f>IFERROR(__xludf.DUMMYFUNCTION("""COMPUTED_VALUE"""),"--")</f>
        <v>--</v>
      </c>
      <c r="W1082" s="251" t="str">
        <f>IFERROR(__xludf.DUMMYFUNCTION("""COMPUTED_VALUE"""),"--")</f>
        <v>--</v>
      </c>
      <c r="X1082" s="251" t="str">
        <f>IFERROR(__xludf.DUMMYFUNCTION("""COMPUTED_VALUE"""),"--")</f>
        <v>--</v>
      </c>
      <c r="Y1082" s="251" t="str">
        <f>IFERROR(__xludf.DUMMYFUNCTION("""COMPUTED_VALUE"""),"--")</f>
        <v>--</v>
      </c>
      <c r="Z1082" s="251" t="str">
        <f>IFERROR(__xludf.DUMMYFUNCTION("""COMPUTED_VALUE"""),"--")</f>
        <v>--</v>
      </c>
      <c r="AA1082" s="251" t="str">
        <f>IFERROR(__xludf.DUMMYFUNCTION("""COMPUTED_VALUE"""),"--")</f>
        <v>--</v>
      </c>
      <c r="AB1082" s="251" t="str">
        <f>IFERROR(__xludf.DUMMYFUNCTION("""COMPUTED_VALUE"""),"--")</f>
        <v>--</v>
      </c>
      <c r="AC1082" s="251" t="str">
        <f>IFERROR(__xludf.DUMMYFUNCTION("""COMPUTED_VALUE"""),"--")</f>
        <v>--</v>
      </c>
      <c r="AD1082" s="251">
        <f>IFERROR(__xludf.DUMMYFUNCTION("""COMPUTED_VALUE"""),3.0)</f>
        <v>3</v>
      </c>
      <c r="AE1082" s="251" t="str">
        <f>IFERROR(__xludf.DUMMYFUNCTION("""COMPUTED_VALUE"""),"Carnivore")</f>
        <v>Carnivore</v>
      </c>
    </row>
    <row r="1083">
      <c r="A1083" s="251" t="str">
        <f>IFERROR(__xludf.DUMMYFUNCTION("""COMPUTED_VALUE"""),"Lunatone")</f>
        <v>Lunatone</v>
      </c>
      <c r="B1083" s="251" t="str">
        <f>IFERROR(__xludf.DUMMYFUNCTION("""COMPUTED_VALUE"""),"Rock")</f>
        <v>Rock</v>
      </c>
      <c r="C1083" s="251" t="str">
        <f>IFERROR(__xludf.DUMMYFUNCTION("""COMPUTED_VALUE"""),"Psychic")</f>
        <v>Psychic</v>
      </c>
      <c r="D1083" s="251">
        <f>IFERROR(__xludf.DUMMYFUNCTION("""COMPUTED_VALUE"""),9.0)</f>
        <v>9</v>
      </c>
      <c r="E1083" s="251">
        <f>IFERROR(__xludf.DUMMYFUNCTION("""COMPUTED_VALUE"""),6.0)</f>
        <v>6</v>
      </c>
      <c r="F1083" s="251">
        <f>IFERROR(__xludf.DUMMYFUNCTION("""COMPUTED_VALUE"""),8.0)</f>
        <v>8</v>
      </c>
      <c r="G1083" s="251">
        <f>IFERROR(__xludf.DUMMYFUNCTION("""COMPUTED_VALUE"""),11.0)</f>
        <v>11</v>
      </c>
      <c r="H1083" s="251">
        <f>IFERROR(__xludf.DUMMYFUNCTION("""COMPUTED_VALUE"""),10.0)</f>
        <v>10</v>
      </c>
      <c r="I1083" s="251">
        <f>IFERROR(__xludf.DUMMYFUNCTION("""COMPUTED_VALUE"""),7.0)</f>
        <v>7</v>
      </c>
      <c r="J1083" s="251">
        <f>IFERROR(__xludf.DUMMYFUNCTION("""COMPUTED_VALUE"""),1.0)</f>
        <v>1</v>
      </c>
      <c r="K1083" s="251" t="str">
        <f>IFERROR(__xludf.DUMMYFUNCTION("""COMPUTED_VALUE"""),"Medium")</f>
        <v>Medium</v>
      </c>
      <c r="L1083" s="251">
        <f>IFERROR(__xludf.DUMMYFUNCTION("""COMPUTED_VALUE"""),5.0)</f>
        <v>5</v>
      </c>
      <c r="M1083" s="251" t="str">
        <f>IFERROR(__xludf.DUMMYFUNCTION("""COMPUTED_VALUE"""),"Cave, Space")</f>
        <v>Cave, Space</v>
      </c>
      <c r="N1083" s="251" t="str">
        <f>IFERROR(__xludf.DUMMYFUNCTION("""COMPUTED_VALUE"""),"Flier")</f>
        <v>Flier</v>
      </c>
      <c r="O1083" s="251" t="str">
        <f>IFERROR(__xludf.DUMMYFUNCTION("""COMPUTED_VALUE"""),"--")</f>
        <v>--</v>
      </c>
      <c r="P1083" s="251" t="str">
        <f>IFERROR(__xludf.DUMMYFUNCTION("""COMPUTED_VALUE"""),"--")</f>
        <v>--</v>
      </c>
      <c r="Q1083" s="251" t="str">
        <f>IFERROR(__xludf.DUMMYFUNCTION("""COMPUTED_VALUE"""),"--")</f>
        <v>--</v>
      </c>
      <c r="R1083" s="251" t="str">
        <f>IFERROR(__xludf.DUMMYFUNCTION("""COMPUTED_VALUE"""),"Telekinetic")</f>
        <v>Telekinetic</v>
      </c>
      <c r="S1083" s="251" t="str">
        <f>IFERROR(__xludf.DUMMYFUNCTION("""COMPUTED_VALUE"""),"--")</f>
        <v>--</v>
      </c>
      <c r="T1083" s="251" t="str">
        <f>IFERROR(__xludf.DUMMYFUNCTION("""COMPUTED_VALUE"""),"--")</f>
        <v>--</v>
      </c>
      <c r="U1083" s="251" t="str">
        <f>IFERROR(__xludf.DUMMYFUNCTION("""COMPUTED_VALUE"""),"--")</f>
        <v>--</v>
      </c>
      <c r="V1083" s="251" t="str">
        <f>IFERROR(__xludf.DUMMYFUNCTION("""COMPUTED_VALUE"""),"Breathless")</f>
        <v>Breathless</v>
      </c>
      <c r="W1083" s="251" t="str">
        <f>IFERROR(__xludf.DUMMYFUNCTION("""COMPUTED_VALUE"""),"Dead Silent")</f>
        <v>Dead Silent</v>
      </c>
      <c r="X1083" s="251" t="str">
        <f>IFERROR(__xludf.DUMMYFUNCTION("""COMPUTED_VALUE"""),"--")</f>
        <v>--</v>
      </c>
      <c r="Y1083" s="251" t="str">
        <f>IFERROR(__xludf.DUMMYFUNCTION("""COMPUTED_VALUE"""),"--")</f>
        <v>--</v>
      </c>
      <c r="Z1083" s="251" t="str">
        <f>IFERROR(__xludf.DUMMYFUNCTION("""COMPUTED_VALUE"""),"--")</f>
        <v>--</v>
      </c>
      <c r="AA1083" s="251" t="str">
        <f>IFERROR(__xludf.DUMMYFUNCTION("""COMPUTED_VALUE"""),"--")</f>
        <v>--</v>
      </c>
      <c r="AB1083" s="251" t="str">
        <f>IFERROR(__xludf.DUMMYFUNCTION("""COMPUTED_VALUE"""),"--")</f>
        <v>--</v>
      </c>
      <c r="AC1083" s="251" t="str">
        <f>IFERROR(__xludf.DUMMYFUNCTION("""COMPUTED_VALUE"""),"--")</f>
        <v>--</v>
      </c>
      <c r="AD1083" s="251">
        <f>IFERROR(__xludf.DUMMYFUNCTION("""COMPUTED_VALUE"""),3.0)</f>
        <v>3</v>
      </c>
      <c r="AE1083" s="251" t="str">
        <f>IFERROR(__xludf.DUMMYFUNCTION("""COMPUTED_VALUE"""),"Phototroph")</f>
        <v>Phototroph</v>
      </c>
    </row>
    <row r="1084">
      <c r="A1084" s="251" t="str">
        <f>IFERROR(__xludf.DUMMYFUNCTION("""COMPUTED_VALUE"""),"Solrock")</f>
        <v>Solrock</v>
      </c>
      <c r="B1084" s="251" t="str">
        <f>IFERROR(__xludf.DUMMYFUNCTION("""COMPUTED_VALUE"""),"Rock")</f>
        <v>Rock</v>
      </c>
      <c r="C1084" s="251" t="str">
        <f>IFERROR(__xludf.DUMMYFUNCTION("""COMPUTED_VALUE"""),"Psychic")</f>
        <v>Psychic</v>
      </c>
      <c r="D1084" s="251">
        <f>IFERROR(__xludf.DUMMYFUNCTION("""COMPUTED_VALUE"""),10.0)</f>
        <v>10</v>
      </c>
      <c r="E1084" s="251">
        <f>IFERROR(__xludf.DUMMYFUNCTION("""COMPUTED_VALUE"""),11.0)</f>
        <v>11</v>
      </c>
      <c r="F1084" s="251">
        <f>IFERROR(__xludf.DUMMYFUNCTION("""COMPUTED_VALUE"""),10.0)</f>
        <v>10</v>
      </c>
      <c r="G1084" s="251">
        <f>IFERROR(__xludf.DUMMYFUNCTION("""COMPUTED_VALUE"""),6.0)</f>
        <v>6</v>
      </c>
      <c r="H1084" s="251">
        <f>IFERROR(__xludf.DUMMYFUNCTION("""COMPUTED_VALUE"""),7.0)</f>
        <v>7</v>
      </c>
      <c r="I1084" s="251">
        <f>IFERROR(__xludf.DUMMYFUNCTION("""COMPUTED_VALUE"""),7.0)</f>
        <v>7</v>
      </c>
      <c r="J1084" s="251">
        <f>IFERROR(__xludf.DUMMYFUNCTION("""COMPUTED_VALUE"""),1.0)</f>
        <v>1</v>
      </c>
      <c r="K1084" s="251" t="str">
        <f>IFERROR(__xludf.DUMMYFUNCTION("""COMPUTED_VALUE"""),"Medium")</f>
        <v>Medium</v>
      </c>
      <c r="L1084" s="251">
        <f>IFERROR(__xludf.DUMMYFUNCTION("""COMPUTED_VALUE"""),5.0)</f>
        <v>5</v>
      </c>
      <c r="M1084" s="251" t="str">
        <f>IFERROR(__xludf.DUMMYFUNCTION("""COMPUTED_VALUE"""),"Cave, Space")</f>
        <v>Cave, Space</v>
      </c>
      <c r="N1084" s="251" t="str">
        <f>IFERROR(__xludf.DUMMYFUNCTION("""COMPUTED_VALUE"""),"Flier")</f>
        <v>Flier</v>
      </c>
      <c r="O1084" s="251" t="str">
        <f>IFERROR(__xludf.DUMMYFUNCTION("""COMPUTED_VALUE"""),"--")</f>
        <v>--</v>
      </c>
      <c r="P1084" s="251" t="str">
        <f>IFERROR(__xludf.DUMMYFUNCTION("""COMPUTED_VALUE"""),"--")</f>
        <v>--</v>
      </c>
      <c r="Q1084" s="251" t="str">
        <f>IFERROR(__xludf.DUMMYFUNCTION("""COMPUTED_VALUE"""),"--")</f>
        <v>--</v>
      </c>
      <c r="R1084" s="251" t="str">
        <f>IFERROR(__xludf.DUMMYFUNCTION("""COMPUTED_VALUE"""),"Telekinetic")</f>
        <v>Telekinetic</v>
      </c>
      <c r="S1084" s="251" t="str">
        <f>IFERROR(__xludf.DUMMYFUNCTION("""COMPUTED_VALUE"""),"--")</f>
        <v>--</v>
      </c>
      <c r="T1084" s="251" t="str">
        <f>IFERROR(__xludf.DUMMYFUNCTION("""COMPUTED_VALUE"""),"--")</f>
        <v>--</v>
      </c>
      <c r="U1084" s="251" t="str">
        <f>IFERROR(__xludf.DUMMYFUNCTION("""COMPUTED_VALUE"""),"--")</f>
        <v>--</v>
      </c>
      <c r="V1084" s="251" t="str">
        <f>IFERROR(__xludf.DUMMYFUNCTION("""COMPUTED_VALUE"""),"Breathless")</f>
        <v>Breathless</v>
      </c>
      <c r="W1084" s="251" t="str">
        <f>IFERROR(__xludf.DUMMYFUNCTION("""COMPUTED_VALUE"""),"Dead Silent")</f>
        <v>Dead Silent</v>
      </c>
      <c r="X1084" s="251" t="str">
        <f>IFERROR(__xludf.DUMMYFUNCTION("""COMPUTED_VALUE"""),"--")</f>
        <v>--</v>
      </c>
      <c r="Y1084" s="251" t="str">
        <f>IFERROR(__xludf.DUMMYFUNCTION("""COMPUTED_VALUE"""),"--")</f>
        <v>--</v>
      </c>
      <c r="Z1084" s="251" t="str">
        <f>IFERROR(__xludf.DUMMYFUNCTION("""COMPUTED_VALUE"""),"--")</f>
        <v>--</v>
      </c>
      <c r="AA1084" s="251" t="str">
        <f>IFERROR(__xludf.DUMMYFUNCTION("""COMPUTED_VALUE"""),"--")</f>
        <v>--</v>
      </c>
      <c r="AB1084" s="251" t="str">
        <f>IFERROR(__xludf.DUMMYFUNCTION("""COMPUTED_VALUE"""),"--")</f>
        <v>--</v>
      </c>
      <c r="AC1084" s="251" t="str">
        <f>IFERROR(__xludf.DUMMYFUNCTION("""COMPUTED_VALUE"""),"--")</f>
        <v>--</v>
      </c>
      <c r="AD1084" s="251">
        <f>IFERROR(__xludf.DUMMYFUNCTION("""COMPUTED_VALUE"""),3.0)</f>
        <v>3</v>
      </c>
      <c r="AE1084" s="251" t="str">
        <f>IFERROR(__xludf.DUMMYFUNCTION("""COMPUTED_VALUE"""),"Phototroph")</f>
        <v>Phototroph</v>
      </c>
    </row>
    <row r="1085">
      <c r="A1085" s="251" t="str">
        <f>IFERROR(__xludf.DUMMYFUNCTION("""COMPUTED_VALUE"""),"Carbink")</f>
        <v>Carbink</v>
      </c>
      <c r="B1085" s="251" t="str">
        <f>IFERROR(__xludf.DUMMYFUNCTION("""COMPUTED_VALUE"""),"Rock")</f>
        <v>Rock</v>
      </c>
      <c r="C1085" s="251" t="str">
        <f>IFERROR(__xludf.DUMMYFUNCTION("""COMPUTED_VALUE"""),"Fairy")</f>
        <v>Fairy</v>
      </c>
      <c r="D1085" s="251">
        <f>IFERROR(__xludf.DUMMYFUNCTION("""COMPUTED_VALUE"""),6.0)</f>
        <v>6</v>
      </c>
      <c r="E1085" s="251">
        <f>IFERROR(__xludf.DUMMYFUNCTION("""COMPUTED_VALUE"""),5.0)</f>
        <v>5</v>
      </c>
      <c r="F1085" s="251">
        <f>IFERROR(__xludf.DUMMYFUNCTION("""COMPUTED_VALUE"""),15.0)</f>
        <v>15</v>
      </c>
      <c r="G1085" s="251">
        <f>IFERROR(__xludf.DUMMYFUNCTION("""COMPUTED_VALUE"""),5.0)</f>
        <v>5</v>
      </c>
      <c r="H1085" s="251">
        <f>IFERROR(__xludf.DUMMYFUNCTION("""COMPUTED_VALUE"""),15.0)</f>
        <v>15</v>
      </c>
      <c r="I1085" s="251">
        <f>IFERROR(__xludf.DUMMYFUNCTION("""COMPUTED_VALUE"""),5.0)</f>
        <v>5</v>
      </c>
      <c r="J1085" s="251">
        <f>IFERROR(__xludf.DUMMYFUNCTION("""COMPUTED_VALUE"""),1.0)</f>
        <v>1</v>
      </c>
      <c r="K1085" s="251" t="str">
        <f>IFERROR(__xludf.DUMMYFUNCTION("""COMPUTED_VALUE"""),"Small")</f>
        <v>Small</v>
      </c>
      <c r="L1085" s="251">
        <f>IFERROR(__xludf.DUMMYFUNCTION("""COMPUTED_VALUE"""),1.0)</f>
        <v>1</v>
      </c>
      <c r="M1085" s="251" t="str">
        <f>IFERROR(__xludf.DUMMYFUNCTION("""COMPUTED_VALUE"""),"Cave")</f>
        <v>Cave</v>
      </c>
      <c r="N1085" s="251" t="str">
        <f>IFERROR(__xludf.DUMMYFUNCTION("""COMPUTED_VALUE"""),"Burrower")</f>
        <v>Burrower</v>
      </c>
      <c r="O1085" s="251" t="str">
        <f>IFERROR(__xludf.DUMMYFUNCTION("""COMPUTED_VALUE"""),"Flier")</f>
        <v>Flier</v>
      </c>
      <c r="P1085" s="251" t="str">
        <f>IFERROR(__xludf.DUMMYFUNCTION("""COMPUTED_VALUE"""),"--")</f>
        <v>--</v>
      </c>
      <c r="Q1085" s="251" t="str">
        <f>IFERROR(__xludf.DUMMYFUNCTION("""COMPUTED_VALUE"""),"--")</f>
        <v>--</v>
      </c>
      <c r="R1085" s="251" t="str">
        <f>IFERROR(__xludf.DUMMYFUNCTION("""COMPUTED_VALUE"""),"--")</f>
        <v>--</v>
      </c>
      <c r="S1085" s="251" t="str">
        <f>IFERROR(__xludf.DUMMYFUNCTION("""COMPUTED_VALUE"""),"--")</f>
        <v>--</v>
      </c>
      <c r="T1085" s="251" t="str">
        <f>IFERROR(__xludf.DUMMYFUNCTION("""COMPUTED_VALUE"""),"--")</f>
        <v>--</v>
      </c>
      <c r="U1085" s="251" t="str">
        <f>IFERROR(__xludf.DUMMYFUNCTION("""COMPUTED_VALUE"""),"--")</f>
        <v>--</v>
      </c>
      <c r="V1085" s="251" t="str">
        <f>IFERROR(__xludf.DUMMYFUNCTION("""COMPUTED_VALUE"""),"--")</f>
        <v>--</v>
      </c>
      <c r="W1085" s="251" t="str">
        <f>IFERROR(__xludf.DUMMYFUNCTION("""COMPUTED_VALUE"""),"--")</f>
        <v>--</v>
      </c>
      <c r="X1085" s="251" t="str">
        <f>IFERROR(__xludf.DUMMYFUNCTION("""COMPUTED_VALUE"""),"--")</f>
        <v>--</v>
      </c>
      <c r="Y1085" s="251" t="str">
        <f>IFERROR(__xludf.DUMMYFUNCTION("""COMPUTED_VALUE"""),"--")</f>
        <v>--</v>
      </c>
      <c r="Z1085" s="251" t="str">
        <f>IFERROR(__xludf.DUMMYFUNCTION("""COMPUTED_VALUE"""),"--")</f>
        <v>--</v>
      </c>
      <c r="AA1085" s="251" t="str">
        <f>IFERROR(__xludf.DUMMYFUNCTION("""COMPUTED_VALUE"""),"--")</f>
        <v>--</v>
      </c>
      <c r="AB1085" s="251" t="str">
        <f>IFERROR(__xludf.DUMMYFUNCTION("""COMPUTED_VALUE"""),"--")</f>
        <v>--</v>
      </c>
      <c r="AC1085" s="251" t="str">
        <f>IFERROR(__xludf.DUMMYFUNCTION("""COMPUTED_VALUE"""),"--")</f>
        <v>--</v>
      </c>
      <c r="AD1085" s="251">
        <f>IFERROR(__xludf.DUMMYFUNCTION("""COMPUTED_VALUE"""),3.0)</f>
        <v>3</v>
      </c>
      <c r="AE1085" s="251" t="str">
        <f>IFERROR(__xludf.DUMMYFUNCTION("""COMPUTED_VALUE"""),"Nullivore")</f>
        <v>Nullivore</v>
      </c>
    </row>
    <row r="1086">
      <c r="A1086" s="251" t="str">
        <f>IFERROR(__xludf.DUMMYFUNCTION("""COMPUTED_VALUE"""),"Minior Meteor")</f>
        <v>Minior Meteor</v>
      </c>
      <c r="B1086" s="251" t="str">
        <f>IFERROR(__xludf.DUMMYFUNCTION("""COMPUTED_VALUE"""),"Rock")</f>
        <v>Rock</v>
      </c>
      <c r="C1086" s="251" t="str">
        <f>IFERROR(__xludf.DUMMYFUNCTION("""COMPUTED_VALUE"""),"Flying")</f>
        <v>Flying</v>
      </c>
      <c r="D1086" s="251">
        <f>IFERROR(__xludf.DUMMYFUNCTION("""COMPUTED_VALUE"""),7.0)</f>
        <v>7</v>
      </c>
      <c r="E1086" s="251">
        <f>IFERROR(__xludf.DUMMYFUNCTION("""COMPUTED_VALUE"""),6.0)</f>
        <v>6</v>
      </c>
      <c r="F1086" s="251">
        <f>IFERROR(__xludf.DUMMYFUNCTION("""COMPUTED_VALUE"""),13.0)</f>
        <v>13</v>
      </c>
      <c r="G1086" s="251">
        <f>IFERROR(__xludf.DUMMYFUNCTION("""COMPUTED_VALUE"""),6.0)</f>
        <v>6</v>
      </c>
      <c r="H1086" s="251">
        <f>IFERROR(__xludf.DUMMYFUNCTION("""COMPUTED_VALUE"""),13.0)</f>
        <v>13</v>
      </c>
      <c r="I1086" s="251">
        <f>IFERROR(__xludf.DUMMYFUNCTION("""COMPUTED_VALUE"""),6.0)</f>
        <v>6</v>
      </c>
      <c r="J1086" s="251">
        <f>IFERROR(__xludf.DUMMYFUNCTION("""COMPUTED_VALUE"""),3.0)</f>
        <v>3</v>
      </c>
      <c r="K1086" s="251" t="str">
        <f>IFERROR(__xludf.DUMMYFUNCTION("""COMPUTED_VALUE"""),"Small")</f>
        <v>Small</v>
      </c>
      <c r="L1086" s="251">
        <f>IFERROR(__xludf.DUMMYFUNCTION("""COMPUTED_VALUE"""),3.0)</f>
        <v>3</v>
      </c>
      <c r="M1086" s="251" t="str">
        <f>IFERROR(__xludf.DUMMYFUNCTION("""COMPUTED_VALUE"""),"Mountain, Space")</f>
        <v>Mountain, Space</v>
      </c>
      <c r="N1086" s="251" t="str">
        <f>IFERROR(__xludf.DUMMYFUNCTION("""COMPUTED_VALUE"""),"Flier")</f>
        <v>Flier</v>
      </c>
      <c r="O1086" s="251" t="str">
        <f>IFERROR(__xludf.DUMMYFUNCTION("""COMPUTED_VALUE"""),"--")</f>
        <v>--</v>
      </c>
      <c r="P1086" s="251" t="str">
        <f>IFERROR(__xludf.DUMMYFUNCTION("""COMPUTED_VALUE"""),"--")</f>
        <v>--</v>
      </c>
      <c r="Q1086" s="251" t="str">
        <f>IFERROR(__xludf.DUMMYFUNCTION("""COMPUTED_VALUE"""),"--")</f>
        <v>--</v>
      </c>
      <c r="R1086" s="251" t="str">
        <f>IFERROR(__xludf.DUMMYFUNCTION("""COMPUTED_VALUE"""),"Form Change")</f>
        <v>Form Change</v>
      </c>
      <c r="S1086" s="251" t="str">
        <f>IFERROR(__xludf.DUMMYFUNCTION("""COMPUTED_VALUE"""),"--")</f>
        <v>--</v>
      </c>
      <c r="T1086" s="251" t="str">
        <f>IFERROR(__xludf.DUMMYFUNCTION("""COMPUTED_VALUE"""),"--")</f>
        <v>--</v>
      </c>
      <c r="U1086" s="251" t="str">
        <f>IFERROR(__xludf.DUMMYFUNCTION("""COMPUTED_VALUE"""),"--")</f>
        <v>--</v>
      </c>
      <c r="V1086" s="251" t="str">
        <f>IFERROR(__xludf.DUMMYFUNCTION("""COMPUTED_VALUE"""),"Breathless")</f>
        <v>Breathless</v>
      </c>
      <c r="W1086" s="251" t="str">
        <f>IFERROR(__xludf.DUMMYFUNCTION("""COMPUTED_VALUE"""),"Glow")</f>
        <v>Glow</v>
      </c>
      <c r="X1086" s="251" t="str">
        <f>IFERROR(__xludf.DUMMYFUNCTION("""COMPUTED_VALUE"""),"--")</f>
        <v>--</v>
      </c>
      <c r="Y1086" s="251" t="str">
        <f>IFERROR(__xludf.DUMMYFUNCTION("""COMPUTED_VALUE"""),"--")</f>
        <v>--</v>
      </c>
      <c r="Z1086" s="251" t="str">
        <f>IFERROR(__xludf.DUMMYFUNCTION("""COMPUTED_VALUE"""),"--")</f>
        <v>--</v>
      </c>
      <c r="AA1086" s="251" t="str">
        <f>IFERROR(__xludf.DUMMYFUNCTION("""COMPUTED_VALUE"""),"--")</f>
        <v>--</v>
      </c>
      <c r="AB1086" s="251" t="str">
        <f>IFERROR(__xludf.DUMMYFUNCTION("""COMPUTED_VALUE"""),"--")</f>
        <v>--</v>
      </c>
      <c r="AC1086" s="251" t="str">
        <f>IFERROR(__xludf.DUMMYFUNCTION("""COMPUTED_VALUE"""),"--")</f>
        <v>--</v>
      </c>
      <c r="AD1086" s="251">
        <f>IFERROR(__xludf.DUMMYFUNCTION("""COMPUTED_VALUE"""),3.0)</f>
        <v>3</v>
      </c>
      <c r="AE1086" s="251" t="str">
        <f>IFERROR(__xludf.DUMMYFUNCTION("""COMPUTED_VALUE"""),"Nullivore")</f>
        <v>Nullivore</v>
      </c>
    </row>
    <row r="1087">
      <c r="A1087" s="251" t="str">
        <f>IFERROR(__xludf.DUMMYFUNCTION("""COMPUTED_VALUE"""),"Minior Core")</f>
        <v>Minior Core</v>
      </c>
      <c r="B1087" s="251" t="str">
        <f>IFERROR(__xludf.DUMMYFUNCTION("""COMPUTED_VALUE"""),"Rock")</f>
        <v>Rock</v>
      </c>
      <c r="C1087" s="251" t="str">
        <f>IFERROR(__xludf.DUMMYFUNCTION("""COMPUTED_VALUE"""),"Flying")</f>
        <v>Flying</v>
      </c>
      <c r="D1087" s="251">
        <f>IFERROR(__xludf.DUMMYFUNCTION("""COMPUTED_VALUE"""),7.0)</f>
        <v>7</v>
      </c>
      <c r="E1087" s="251">
        <f>IFERROR(__xludf.DUMMYFUNCTION("""COMPUTED_VALUE"""),10.0)</f>
        <v>10</v>
      </c>
      <c r="F1087" s="251">
        <f>IFERROR(__xludf.DUMMYFUNCTION("""COMPUTED_VALUE"""),6.0)</f>
        <v>6</v>
      </c>
      <c r="G1087" s="251">
        <f>IFERROR(__xludf.DUMMYFUNCTION("""COMPUTED_VALUE"""),10.0)</f>
        <v>10</v>
      </c>
      <c r="H1087" s="251">
        <f>IFERROR(__xludf.DUMMYFUNCTION("""COMPUTED_VALUE"""),6.0)</f>
        <v>6</v>
      </c>
      <c r="I1087" s="251">
        <f>IFERROR(__xludf.DUMMYFUNCTION("""COMPUTED_VALUE"""),12.0)</f>
        <v>12</v>
      </c>
      <c r="J1087" s="251">
        <f>IFERROR(__xludf.DUMMYFUNCTION("""COMPUTED_VALUE"""),3.0)</f>
        <v>3</v>
      </c>
      <c r="K1087" s="251" t="str">
        <f>IFERROR(__xludf.DUMMYFUNCTION("""COMPUTED_VALUE"""),"Small")</f>
        <v>Small</v>
      </c>
      <c r="L1087" s="251">
        <f>IFERROR(__xludf.DUMMYFUNCTION("""COMPUTED_VALUE"""),1.0)</f>
        <v>1</v>
      </c>
      <c r="M1087" s="251" t="str">
        <f>IFERROR(__xludf.DUMMYFUNCTION("""COMPUTED_VALUE"""),"Mountain, Space")</f>
        <v>Mountain, Space</v>
      </c>
      <c r="N1087" s="251" t="str">
        <f>IFERROR(__xludf.DUMMYFUNCTION("""COMPUTED_VALUE"""),"Flier")</f>
        <v>Flier</v>
      </c>
      <c r="O1087" s="251" t="str">
        <f>IFERROR(__xludf.DUMMYFUNCTION("""COMPUTED_VALUE"""),"--")</f>
        <v>--</v>
      </c>
      <c r="P1087" s="251" t="str">
        <f>IFERROR(__xludf.DUMMYFUNCTION("""COMPUTED_VALUE"""),"--")</f>
        <v>--</v>
      </c>
      <c r="Q1087" s="251" t="str">
        <f>IFERROR(__xludf.DUMMYFUNCTION("""COMPUTED_VALUE"""),"--")</f>
        <v>--</v>
      </c>
      <c r="R1087" s="251" t="str">
        <f>IFERROR(__xludf.DUMMYFUNCTION("""COMPUTED_VALUE"""),"Form Change")</f>
        <v>Form Change</v>
      </c>
      <c r="S1087" s="251" t="str">
        <f>IFERROR(__xludf.DUMMYFUNCTION("""COMPUTED_VALUE"""),"--")</f>
        <v>--</v>
      </c>
      <c r="T1087" s="251" t="str">
        <f>IFERROR(__xludf.DUMMYFUNCTION("""COMPUTED_VALUE"""),"--")</f>
        <v>--</v>
      </c>
      <c r="U1087" s="251" t="str">
        <f>IFERROR(__xludf.DUMMYFUNCTION("""COMPUTED_VALUE"""),"--")</f>
        <v>--</v>
      </c>
      <c r="V1087" s="251" t="str">
        <f>IFERROR(__xludf.DUMMYFUNCTION("""COMPUTED_VALUE"""),"Breathless")</f>
        <v>Breathless</v>
      </c>
      <c r="W1087" s="251" t="str">
        <f>IFERROR(__xludf.DUMMYFUNCTION("""COMPUTED_VALUE"""),"Glow")</f>
        <v>Glow</v>
      </c>
      <c r="X1087" s="251" t="str">
        <f>IFERROR(__xludf.DUMMYFUNCTION("""COMPUTED_VALUE"""),"--")</f>
        <v>--</v>
      </c>
      <c r="Y1087" s="251" t="str">
        <f>IFERROR(__xludf.DUMMYFUNCTION("""COMPUTED_VALUE"""),"--")</f>
        <v>--</v>
      </c>
      <c r="Z1087" s="251" t="str">
        <f>IFERROR(__xludf.DUMMYFUNCTION("""COMPUTED_VALUE"""),"--")</f>
        <v>--</v>
      </c>
      <c r="AA1087" s="251" t="str">
        <f>IFERROR(__xludf.DUMMYFUNCTION("""COMPUTED_VALUE"""),"--")</f>
        <v>--</v>
      </c>
      <c r="AB1087" s="251" t="str">
        <f>IFERROR(__xludf.DUMMYFUNCTION("""COMPUTED_VALUE"""),"--")</f>
        <v>--</v>
      </c>
      <c r="AC1087" s="251" t="str">
        <f>IFERROR(__xludf.DUMMYFUNCTION("""COMPUTED_VALUE"""),"--")</f>
        <v>--</v>
      </c>
      <c r="AD1087" s="251">
        <f>IFERROR(__xludf.DUMMYFUNCTION("""COMPUTED_VALUE"""),3.0)</f>
        <v>3</v>
      </c>
      <c r="AE1087" s="251" t="str">
        <f>IFERROR(__xludf.DUMMYFUNCTION("""COMPUTED_VALUE"""),"Nullivore")</f>
        <v>Nullivore</v>
      </c>
    </row>
    <row r="1088">
      <c r="A1088" s="251" t="str">
        <f>IFERROR(__xludf.DUMMYFUNCTION("""COMPUTED_VALUE"""),"Stonjourner")</f>
        <v>Stonjourner</v>
      </c>
      <c r="B1088" s="251" t="str">
        <f>IFERROR(__xludf.DUMMYFUNCTION("""COMPUTED_VALUE"""),"Rock")</f>
        <v>Rock</v>
      </c>
      <c r="C1088" s="251" t="str">
        <f>IFERROR(__xludf.DUMMYFUNCTION("""COMPUTED_VALUE"""),"None")</f>
        <v>None</v>
      </c>
      <c r="D1088" s="251">
        <f>IFERROR(__xludf.DUMMYFUNCTION("""COMPUTED_VALUE"""),13.0)</f>
        <v>13</v>
      </c>
      <c r="E1088" s="251">
        <f>IFERROR(__xludf.DUMMYFUNCTION("""COMPUTED_VALUE"""),13.0)</f>
        <v>13</v>
      </c>
      <c r="F1088" s="251">
        <f>IFERROR(__xludf.DUMMYFUNCTION("""COMPUTED_VALUE"""),14.0)</f>
        <v>14</v>
      </c>
      <c r="G1088" s="251">
        <f>IFERROR(__xludf.DUMMYFUNCTION("""COMPUTED_VALUE"""),2.0)</f>
        <v>2</v>
      </c>
      <c r="H1088" s="251">
        <f>IFERROR(__xludf.DUMMYFUNCTION("""COMPUTED_VALUE"""),2.0)</f>
        <v>2</v>
      </c>
      <c r="I1088" s="251">
        <f>IFERROR(__xludf.DUMMYFUNCTION("""COMPUTED_VALUE"""),7.0)</f>
        <v>7</v>
      </c>
      <c r="J1088" s="251">
        <f>IFERROR(__xludf.DUMMYFUNCTION("""COMPUTED_VALUE"""),9.0)</f>
        <v>9</v>
      </c>
      <c r="K1088" s="251" t="str">
        <f>IFERROR(__xludf.DUMMYFUNCTION("""COMPUTED_VALUE"""),"Large")</f>
        <v>Large</v>
      </c>
      <c r="L1088" s="251">
        <f>IFERROR(__xludf.DUMMYFUNCTION("""COMPUTED_VALUE"""),5.0)</f>
        <v>5</v>
      </c>
      <c r="M1088" s="251" t="str">
        <f>IFERROR(__xludf.DUMMYFUNCTION("""COMPUTED_VALUE"""),"Mountain")</f>
        <v>Mountain</v>
      </c>
      <c r="N1088" s="251" t="str">
        <f>IFERROR(__xludf.DUMMYFUNCTION("""COMPUTED_VALUE"""),"--")</f>
        <v>--</v>
      </c>
      <c r="O1088" s="251" t="str">
        <f>IFERROR(__xludf.DUMMYFUNCTION("""COMPUTED_VALUE"""),"--")</f>
        <v>--</v>
      </c>
      <c r="P1088" s="251" t="str">
        <f>IFERROR(__xludf.DUMMYFUNCTION("""COMPUTED_VALUE"""),"--")</f>
        <v>--</v>
      </c>
      <c r="Q1088" s="251" t="str">
        <f>IFERROR(__xludf.DUMMYFUNCTION("""COMPUTED_VALUE"""),"--")</f>
        <v>--</v>
      </c>
      <c r="R1088" s="251" t="str">
        <f>IFERROR(__xludf.DUMMYFUNCTION("""COMPUTED_VALUE"""),"Groundshaper")</f>
        <v>Groundshaper</v>
      </c>
      <c r="S1088" s="251" t="str">
        <f>IFERROR(__xludf.DUMMYFUNCTION("""COMPUTED_VALUE"""),"Telekinetic")</f>
        <v>Telekinetic</v>
      </c>
      <c r="T1088" s="251" t="str">
        <f>IFERROR(__xludf.DUMMYFUNCTION("""COMPUTED_VALUE"""),"--")</f>
        <v>--</v>
      </c>
      <c r="U1088" s="251" t="str">
        <f>IFERROR(__xludf.DUMMYFUNCTION("""COMPUTED_VALUE"""),"--")</f>
        <v>--</v>
      </c>
      <c r="V1088" s="251" t="str">
        <f>IFERROR(__xludf.DUMMYFUNCTION("""COMPUTED_VALUE"""),"--")</f>
        <v>--</v>
      </c>
      <c r="W1088" s="251" t="str">
        <f>IFERROR(__xludf.DUMMYFUNCTION("""COMPUTED_VALUE"""),"--")</f>
        <v>--</v>
      </c>
      <c r="X1088" s="251" t="str">
        <f>IFERROR(__xludf.DUMMYFUNCTION("""COMPUTED_VALUE"""),"--")</f>
        <v>--</v>
      </c>
      <c r="Y1088" s="251" t="str">
        <f>IFERROR(__xludf.DUMMYFUNCTION("""COMPUTED_VALUE"""),"--")</f>
        <v>--</v>
      </c>
      <c r="Z1088" s="251" t="str">
        <f>IFERROR(__xludf.DUMMYFUNCTION("""COMPUTED_VALUE"""),"--")</f>
        <v>--</v>
      </c>
      <c r="AA1088" s="251" t="str">
        <f>IFERROR(__xludf.DUMMYFUNCTION("""COMPUTED_VALUE"""),"--")</f>
        <v>--</v>
      </c>
      <c r="AB1088" s="251" t="str">
        <f>IFERROR(__xludf.DUMMYFUNCTION("""COMPUTED_VALUE"""),"--")</f>
        <v>--</v>
      </c>
      <c r="AC1088" s="251" t="str">
        <f>IFERROR(__xludf.DUMMYFUNCTION("""COMPUTED_VALUE"""),"--")</f>
        <v>--</v>
      </c>
      <c r="AD1088" s="251">
        <f>IFERROR(__xludf.DUMMYFUNCTION("""COMPUTED_VALUE"""),3.0)</f>
        <v>3</v>
      </c>
      <c r="AE1088" s="251" t="str">
        <f>IFERROR(__xludf.DUMMYFUNCTION("""COMPUTED_VALUE"""),"Terravore")</f>
        <v>Terravore</v>
      </c>
    </row>
    <row r="1089">
      <c r="A1089" s="251" t="str">
        <f>IFERROR(__xludf.DUMMYFUNCTION("""COMPUTED_VALUE"""),"Klawf")</f>
        <v>Klawf</v>
      </c>
      <c r="B1089" s="251" t="str">
        <f>IFERROR(__xludf.DUMMYFUNCTION("""COMPUTED_VALUE"""),"Rock")</f>
        <v>Rock</v>
      </c>
      <c r="C1089" s="251" t="str">
        <f>IFERROR(__xludf.DUMMYFUNCTION("""COMPUTED_VALUE"""),"None")</f>
        <v>None</v>
      </c>
      <c r="D1089" s="251">
        <f>IFERROR(__xludf.DUMMYFUNCTION("""COMPUTED_VALUE"""),8.0)</f>
        <v>8</v>
      </c>
      <c r="E1089" s="251">
        <f>IFERROR(__xludf.DUMMYFUNCTION("""COMPUTED_VALUE"""),10.0)</f>
        <v>10</v>
      </c>
      <c r="F1089" s="251">
        <f>IFERROR(__xludf.DUMMYFUNCTION("""COMPUTED_VALUE"""),13.0)</f>
        <v>13</v>
      </c>
      <c r="G1089" s="251">
        <f>IFERROR(__xludf.DUMMYFUNCTION("""COMPUTED_VALUE"""),4.0)</f>
        <v>4</v>
      </c>
      <c r="H1089" s="251">
        <f>IFERROR(__xludf.DUMMYFUNCTION("""COMPUTED_VALUE"""),7.0)</f>
        <v>7</v>
      </c>
      <c r="I1089" s="251">
        <f>IFERROR(__xludf.DUMMYFUNCTION("""COMPUTED_VALUE"""),9.0)</f>
        <v>9</v>
      </c>
      <c r="J1089" s="251">
        <f>IFERROR(__xludf.DUMMYFUNCTION("""COMPUTED_VALUE"""),9.0)</f>
        <v>9</v>
      </c>
      <c r="K1089" s="251" t="str">
        <f>IFERROR(__xludf.DUMMYFUNCTION("""COMPUTED_VALUE"""),"Medium")</f>
        <v>Medium</v>
      </c>
      <c r="L1089" s="251">
        <f>IFERROR(__xludf.DUMMYFUNCTION("""COMPUTED_VALUE"""),4.0)</f>
        <v>4</v>
      </c>
      <c r="M1089" s="251" t="str">
        <f>IFERROR(__xludf.DUMMYFUNCTION("""COMPUTED_VALUE"""),"Desert")</f>
        <v>Desert</v>
      </c>
      <c r="N1089" s="251" t="str">
        <f>IFERROR(__xludf.DUMMYFUNCTION("""COMPUTED_VALUE"""),"Burrower")</f>
        <v>Burrower</v>
      </c>
      <c r="O1089" s="251" t="str">
        <f>IFERROR(__xludf.DUMMYFUNCTION("""COMPUTED_VALUE"""),"Climber")</f>
        <v>Climber</v>
      </c>
      <c r="P1089" s="251" t="str">
        <f>IFERROR(__xludf.DUMMYFUNCTION("""COMPUTED_VALUE"""),"Jumper")</f>
        <v>Jumper</v>
      </c>
      <c r="Q1089" s="251" t="str">
        <f>IFERROR(__xludf.DUMMYFUNCTION("""COMPUTED_VALUE"""),"Swimmer")</f>
        <v>Swimmer</v>
      </c>
      <c r="R1089" s="251" t="str">
        <f>IFERROR(__xludf.DUMMYFUNCTION("""COMPUTED_VALUE"""),"--")</f>
        <v>--</v>
      </c>
      <c r="S1089" s="251" t="str">
        <f>IFERROR(__xludf.DUMMYFUNCTION("""COMPUTED_VALUE"""),"--")</f>
        <v>--</v>
      </c>
      <c r="T1089" s="251" t="str">
        <f>IFERROR(__xludf.DUMMYFUNCTION("""COMPUTED_VALUE"""),"--")</f>
        <v>--</v>
      </c>
      <c r="U1089" s="251" t="str">
        <f>IFERROR(__xludf.DUMMYFUNCTION("""COMPUTED_VALUE"""),"--")</f>
        <v>--</v>
      </c>
      <c r="V1089" s="251" t="str">
        <f>IFERROR(__xludf.DUMMYFUNCTION("""COMPUTED_VALUE"""),"--")</f>
        <v>--</v>
      </c>
      <c r="W1089" s="251" t="str">
        <f>IFERROR(__xludf.DUMMYFUNCTION("""COMPUTED_VALUE"""),"--")</f>
        <v>--</v>
      </c>
      <c r="X1089" s="251" t="str">
        <f>IFERROR(__xludf.DUMMYFUNCTION("""COMPUTED_VALUE"""),"--")</f>
        <v>--</v>
      </c>
      <c r="Y1089" s="251" t="str">
        <f>IFERROR(__xludf.DUMMYFUNCTION("""COMPUTED_VALUE"""),"--")</f>
        <v>--</v>
      </c>
      <c r="Z1089" s="251" t="str">
        <f>IFERROR(__xludf.DUMMYFUNCTION("""COMPUTED_VALUE"""),"--")</f>
        <v>--</v>
      </c>
      <c r="AA1089" s="251" t="str">
        <f>IFERROR(__xludf.DUMMYFUNCTION("""COMPUTED_VALUE"""),"--")</f>
        <v>--</v>
      </c>
      <c r="AB1089" s="251" t="str">
        <f>IFERROR(__xludf.DUMMYFUNCTION("""COMPUTED_VALUE"""),"--")</f>
        <v>--</v>
      </c>
      <c r="AC1089" s="251" t="str">
        <f>IFERROR(__xludf.DUMMYFUNCTION("""COMPUTED_VALUE"""),"--")</f>
        <v>--</v>
      </c>
      <c r="AD1089" s="251">
        <f>IFERROR(__xludf.DUMMYFUNCTION("""COMPUTED_VALUE"""),3.0)</f>
        <v>3</v>
      </c>
      <c r="AE1089" s="251" t="str">
        <f>IFERROR(__xludf.DUMMYFUNCTION("""COMPUTED_VALUE"""),"Omnivore")</f>
        <v>Omnivore</v>
      </c>
    </row>
    <row r="1090">
      <c r="A1090" s="251" t="str">
        <f>IFERROR(__xludf.DUMMYFUNCTION("""COMPUTED_VALUE"""),"Skarmory")</f>
        <v>Skarmory</v>
      </c>
      <c r="B1090" s="251" t="str">
        <f>IFERROR(__xludf.DUMMYFUNCTION("""COMPUTED_VALUE"""),"Steel")</f>
        <v>Steel</v>
      </c>
      <c r="C1090" s="251" t="str">
        <f>IFERROR(__xludf.DUMMYFUNCTION("""COMPUTED_VALUE"""),"Flying")</f>
        <v>Flying</v>
      </c>
      <c r="D1090" s="251">
        <f>IFERROR(__xludf.DUMMYFUNCTION("""COMPUTED_VALUE"""),8.0)</f>
        <v>8</v>
      </c>
      <c r="E1090" s="251">
        <f>IFERROR(__xludf.DUMMYFUNCTION("""COMPUTED_VALUE"""),9.0)</f>
        <v>9</v>
      </c>
      <c r="F1090" s="251">
        <f>IFERROR(__xludf.DUMMYFUNCTION("""COMPUTED_VALUE"""),14.0)</f>
        <v>14</v>
      </c>
      <c r="G1090" s="251">
        <f>IFERROR(__xludf.DUMMYFUNCTION("""COMPUTED_VALUE"""),4.0)</f>
        <v>4</v>
      </c>
      <c r="H1090" s="251">
        <f>IFERROR(__xludf.DUMMYFUNCTION("""COMPUTED_VALUE"""),8.0)</f>
        <v>8</v>
      </c>
      <c r="I1090" s="251">
        <f>IFERROR(__xludf.DUMMYFUNCTION("""COMPUTED_VALUE"""),9.0)</f>
        <v>9</v>
      </c>
      <c r="J1090" s="251">
        <f>IFERROR(__xludf.DUMMYFUNCTION("""COMPUTED_VALUE"""),5.0)</f>
        <v>5</v>
      </c>
      <c r="K1090" s="251" t="str">
        <f>IFERROR(__xludf.DUMMYFUNCTION("""COMPUTED_VALUE"""),"Medium")</f>
        <v>Medium</v>
      </c>
      <c r="L1090" s="251">
        <f>IFERROR(__xludf.DUMMYFUNCTION("""COMPUTED_VALUE"""),4.0)</f>
        <v>4</v>
      </c>
      <c r="M1090" s="251" t="str">
        <f>IFERROR(__xludf.DUMMYFUNCTION("""COMPUTED_VALUE"""),"Mountain")</f>
        <v>Mountain</v>
      </c>
      <c r="N1090" s="251" t="str">
        <f>IFERROR(__xludf.DUMMYFUNCTION("""COMPUTED_VALUE"""),"Flier")</f>
        <v>Flier</v>
      </c>
      <c r="O1090" s="251" t="str">
        <f>IFERROR(__xludf.DUMMYFUNCTION("""COMPUTED_VALUE"""),"Quick")</f>
        <v>Quick</v>
      </c>
      <c r="P1090" s="251" t="str">
        <f>IFERROR(__xludf.DUMMYFUNCTION("""COMPUTED_VALUE"""),"--")</f>
        <v>--</v>
      </c>
      <c r="Q1090" s="251" t="str">
        <f>IFERROR(__xludf.DUMMYFUNCTION("""COMPUTED_VALUE"""),"--")</f>
        <v>--</v>
      </c>
      <c r="R1090" s="251" t="str">
        <f>IFERROR(__xludf.DUMMYFUNCTION("""COMPUTED_VALUE"""),"Mountable")</f>
        <v>Mountable</v>
      </c>
      <c r="S1090" s="251" t="str">
        <f>IFERROR(__xludf.DUMMYFUNCTION("""COMPUTED_VALUE"""),"--")</f>
        <v>--</v>
      </c>
      <c r="T1090" s="251" t="str">
        <f>IFERROR(__xludf.DUMMYFUNCTION("""COMPUTED_VALUE"""),"--")</f>
        <v>--</v>
      </c>
      <c r="U1090" s="251" t="str">
        <f>IFERROR(__xludf.DUMMYFUNCTION("""COMPUTED_VALUE"""),"--")</f>
        <v>--</v>
      </c>
      <c r="V1090" s="251" t="str">
        <f>IFERROR(__xludf.DUMMYFUNCTION("""COMPUTED_VALUE"""),"--")</f>
        <v>--</v>
      </c>
      <c r="W1090" s="251" t="str">
        <f>IFERROR(__xludf.DUMMYFUNCTION("""COMPUTED_VALUE"""),"--")</f>
        <v>--</v>
      </c>
      <c r="X1090" s="251" t="str">
        <f>IFERROR(__xludf.DUMMYFUNCTION("""COMPUTED_VALUE"""),"--")</f>
        <v>--</v>
      </c>
      <c r="Y1090" s="251" t="str">
        <f>IFERROR(__xludf.DUMMYFUNCTION("""COMPUTED_VALUE"""),"--")</f>
        <v>--</v>
      </c>
      <c r="Z1090" s="251" t="str">
        <f>IFERROR(__xludf.DUMMYFUNCTION("""COMPUTED_VALUE"""),"--")</f>
        <v>--</v>
      </c>
      <c r="AA1090" s="251" t="str">
        <f>IFERROR(__xludf.DUMMYFUNCTION("""COMPUTED_VALUE"""),"--")</f>
        <v>--</v>
      </c>
      <c r="AB1090" s="251" t="str">
        <f>IFERROR(__xludf.DUMMYFUNCTION("""COMPUTED_VALUE"""),"--")</f>
        <v>--</v>
      </c>
      <c r="AC1090" s="251" t="str">
        <f>IFERROR(__xludf.DUMMYFUNCTION("""COMPUTED_VALUE"""),"--")</f>
        <v>--</v>
      </c>
      <c r="AD1090" s="251">
        <f>IFERROR(__xludf.DUMMYFUNCTION("""COMPUTED_VALUE"""),3.0)</f>
        <v>3</v>
      </c>
      <c r="AE1090" s="251" t="str">
        <f>IFERROR(__xludf.DUMMYFUNCTION("""COMPUTED_VALUE"""),"Carnivore")</f>
        <v>Carnivore</v>
      </c>
    </row>
    <row r="1091">
      <c r="A1091" s="251" t="str">
        <f>IFERROR(__xludf.DUMMYFUNCTION("""COMPUTED_VALUE"""),"Mawile")</f>
        <v>Mawile</v>
      </c>
      <c r="B1091" s="251" t="str">
        <f>IFERROR(__xludf.DUMMYFUNCTION("""COMPUTED_VALUE"""),"Steel")</f>
        <v>Steel</v>
      </c>
      <c r="C1091" s="251" t="str">
        <f>IFERROR(__xludf.DUMMYFUNCTION("""COMPUTED_VALUE"""),"Fairy")</f>
        <v>Fairy</v>
      </c>
      <c r="D1091" s="251">
        <f>IFERROR(__xludf.DUMMYFUNCTION("""COMPUTED_VALUE"""),5.0)</f>
        <v>5</v>
      </c>
      <c r="E1091" s="251">
        <f>IFERROR(__xludf.DUMMYFUNCTION("""COMPUTED_VALUE"""),9.0)</f>
        <v>9</v>
      </c>
      <c r="F1091" s="251">
        <f>IFERROR(__xludf.DUMMYFUNCTION("""COMPUTED_VALUE"""),9.0)</f>
        <v>9</v>
      </c>
      <c r="G1091" s="251">
        <f>IFERROR(__xludf.DUMMYFUNCTION("""COMPUTED_VALUE"""),6.0)</f>
        <v>6</v>
      </c>
      <c r="H1091" s="251">
        <f>IFERROR(__xludf.DUMMYFUNCTION("""COMPUTED_VALUE"""),6.0)</f>
        <v>6</v>
      </c>
      <c r="I1091" s="251">
        <f>IFERROR(__xludf.DUMMYFUNCTION("""COMPUTED_VALUE"""),5.0)</f>
        <v>5</v>
      </c>
      <c r="J1091" s="251">
        <f>IFERROR(__xludf.DUMMYFUNCTION("""COMPUTED_VALUE"""),1.0)</f>
        <v>1</v>
      </c>
      <c r="K1091" s="251" t="str">
        <f>IFERROR(__xludf.DUMMYFUNCTION("""COMPUTED_VALUE"""),"Small")</f>
        <v>Small</v>
      </c>
      <c r="L1091" s="251">
        <f>IFERROR(__xludf.DUMMYFUNCTION("""COMPUTED_VALUE"""),2.0)</f>
        <v>2</v>
      </c>
      <c r="M1091" s="251" t="str">
        <f>IFERROR(__xludf.DUMMYFUNCTION("""COMPUTED_VALUE"""),"Cave")</f>
        <v>Cave</v>
      </c>
      <c r="N1091" s="251" t="str">
        <f>IFERROR(__xludf.DUMMYFUNCTION("""COMPUTED_VALUE"""),"--")</f>
        <v>--</v>
      </c>
      <c r="O1091" s="251" t="str">
        <f>IFERROR(__xludf.DUMMYFUNCTION("""COMPUTED_VALUE"""),"--")</f>
        <v>--</v>
      </c>
      <c r="P1091" s="251" t="str">
        <f>IFERROR(__xludf.DUMMYFUNCTION("""COMPUTED_VALUE"""),"--")</f>
        <v>--</v>
      </c>
      <c r="Q1091" s="251" t="str">
        <f>IFERROR(__xludf.DUMMYFUNCTION("""COMPUTED_VALUE"""),"--")</f>
        <v>--</v>
      </c>
      <c r="R1091" s="251" t="str">
        <f>IFERROR(__xludf.DUMMYFUNCTION("""COMPUTED_VALUE"""),"Underdog")</f>
        <v>Underdog</v>
      </c>
      <c r="S1091" s="251" t="str">
        <f>IFERROR(__xludf.DUMMYFUNCTION("""COMPUTED_VALUE"""),"--")</f>
        <v>--</v>
      </c>
      <c r="T1091" s="251" t="str">
        <f>IFERROR(__xludf.DUMMYFUNCTION("""COMPUTED_VALUE"""),"--")</f>
        <v>--</v>
      </c>
      <c r="U1091" s="251" t="str">
        <f>IFERROR(__xludf.DUMMYFUNCTION("""COMPUTED_VALUE"""),"--")</f>
        <v>--</v>
      </c>
      <c r="V1091" s="251" t="str">
        <f>IFERROR(__xludf.DUMMYFUNCTION("""COMPUTED_VALUE"""),"--")</f>
        <v>--</v>
      </c>
      <c r="W1091" s="251" t="str">
        <f>IFERROR(__xludf.DUMMYFUNCTION("""COMPUTED_VALUE"""),"--")</f>
        <v>--</v>
      </c>
      <c r="X1091" s="251" t="str">
        <f>IFERROR(__xludf.DUMMYFUNCTION("""COMPUTED_VALUE"""),"--")</f>
        <v>--</v>
      </c>
      <c r="Y1091" s="251" t="str">
        <f>IFERROR(__xludf.DUMMYFUNCTION("""COMPUTED_VALUE"""),"--")</f>
        <v>--</v>
      </c>
      <c r="Z1091" s="251" t="str">
        <f>IFERROR(__xludf.DUMMYFUNCTION("""COMPUTED_VALUE"""),"--")</f>
        <v>--</v>
      </c>
      <c r="AA1091" s="251" t="str">
        <f>IFERROR(__xludf.DUMMYFUNCTION("""COMPUTED_VALUE"""),"--")</f>
        <v>--</v>
      </c>
      <c r="AB1091" s="251" t="str">
        <f>IFERROR(__xludf.DUMMYFUNCTION("""COMPUTED_VALUE"""),"--")</f>
        <v>--</v>
      </c>
      <c r="AC1091" s="251" t="str">
        <f>IFERROR(__xludf.DUMMYFUNCTION("""COMPUTED_VALUE"""),"--")</f>
        <v>--</v>
      </c>
      <c r="AD1091" s="251">
        <f>IFERROR(__xludf.DUMMYFUNCTION("""COMPUTED_VALUE"""),3.0)</f>
        <v>3</v>
      </c>
      <c r="AE1091" s="251" t="str">
        <f>IFERROR(__xludf.DUMMYFUNCTION("""COMPUTED_VALUE"""),"Omnivore")</f>
        <v>Omnivore</v>
      </c>
    </row>
    <row r="1092">
      <c r="A1092" s="251" t="str">
        <f>IFERROR(__xludf.DUMMYFUNCTION("""COMPUTED_VALUE"""),"Klefki")</f>
        <v>Klefki</v>
      </c>
      <c r="B1092" s="251" t="str">
        <f>IFERROR(__xludf.DUMMYFUNCTION("""COMPUTED_VALUE"""),"Steel")</f>
        <v>Steel</v>
      </c>
      <c r="C1092" s="251" t="str">
        <f>IFERROR(__xludf.DUMMYFUNCTION("""COMPUTED_VALUE"""),"Fairy")</f>
        <v>Fairy</v>
      </c>
      <c r="D1092" s="251">
        <f>IFERROR(__xludf.DUMMYFUNCTION("""COMPUTED_VALUE"""),7.0)</f>
        <v>7</v>
      </c>
      <c r="E1092" s="251">
        <f>IFERROR(__xludf.DUMMYFUNCTION("""COMPUTED_VALUE"""),8.0)</f>
        <v>8</v>
      </c>
      <c r="F1092" s="251">
        <f>IFERROR(__xludf.DUMMYFUNCTION("""COMPUTED_VALUE"""),10.0)</f>
        <v>10</v>
      </c>
      <c r="G1092" s="251">
        <f>IFERROR(__xludf.DUMMYFUNCTION("""COMPUTED_VALUE"""),8.0)</f>
        <v>8</v>
      </c>
      <c r="H1092" s="251">
        <f>IFERROR(__xludf.DUMMYFUNCTION("""COMPUTED_VALUE"""),10.0)</f>
        <v>10</v>
      </c>
      <c r="I1092" s="251">
        <f>IFERROR(__xludf.DUMMYFUNCTION("""COMPUTED_VALUE"""),8.0)</f>
        <v>8</v>
      </c>
      <c r="J1092" s="251">
        <f>IFERROR(__xludf.DUMMYFUNCTION("""COMPUTED_VALUE"""),1.0)</f>
        <v>1</v>
      </c>
      <c r="K1092" s="251" t="str">
        <f>IFERROR(__xludf.DUMMYFUNCTION("""COMPUTED_VALUE"""),"Small")</f>
        <v>Small</v>
      </c>
      <c r="L1092" s="251">
        <f>IFERROR(__xludf.DUMMYFUNCTION("""COMPUTED_VALUE"""),1.0)</f>
        <v>1</v>
      </c>
      <c r="M1092" s="251" t="str">
        <f>IFERROR(__xludf.DUMMYFUNCTION("""COMPUTED_VALUE"""),"Urban")</f>
        <v>Urban</v>
      </c>
      <c r="N1092" s="251" t="str">
        <f>IFERROR(__xludf.DUMMYFUNCTION("""COMPUTED_VALUE"""),"Flier")</f>
        <v>Flier</v>
      </c>
      <c r="O1092" s="251" t="str">
        <f>IFERROR(__xludf.DUMMYFUNCTION("""COMPUTED_VALUE"""),"--")</f>
        <v>--</v>
      </c>
      <c r="P1092" s="251" t="str">
        <f>IFERROR(__xludf.DUMMYFUNCTION("""COMPUTED_VALUE"""),"--")</f>
        <v>--</v>
      </c>
      <c r="Q1092" s="251" t="str">
        <f>IFERROR(__xludf.DUMMYFUNCTION("""COMPUTED_VALUE"""),"--")</f>
        <v>--</v>
      </c>
      <c r="R1092" s="251" t="str">
        <f>IFERROR(__xludf.DUMMYFUNCTION("""COMPUTED_VALUE"""),"--")</f>
        <v>--</v>
      </c>
      <c r="S1092" s="251" t="str">
        <f>IFERROR(__xludf.DUMMYFUNCTION("""COMPUTED_VALUE"""),"--")</f>
        <v>--</v>
      </c>
      <c r="T1092" s="251" t="str">
        <f>IFERROR(__xludf.DUMMYFUNCTION("""COMPUTED_VALUE"""),"--")</f>
        <v>--</v>
      </c>
      <c r="U1092" s="251" t="str">
        <f>IFERROR(__xludf.DUMMYFUNCTION("""COMPUTED_VALUE"""),"--")</f>
        <v>--</v>
      </c>
      <c r="V1092" s="251" t="str">
        <f>IFERROR(__xludf.DUMMYFUNCTION("""COMPUTED_VALUE"""),"--")</f>
        <v>--</v>
      </c>
      <c r="W1092" s="251" t="str">
        <f>IFERROR(__xludf.DUMMYFUNCTION("""COMPUTED_VALUE"""),"--")</f>
        <v>--</v>
      </c>
      <c r="X1092" s="251" t="str">
        <f>IFERROR(__xludf.DUMMYFUNCTION("""COMPUTED_VALUE"""),"--")</f>
        <v>--</v>
      </c>
      <c r="Y1092" s="251" t="str">
        <f>IFERROR(__xludf.DUMMYFUNCTION("""COMPUTED_VALUE"""),"--")</f>
        <v>--</v>
      </c>
      <c r="Z1092" s="251" t="str">
        <f>IFERROR(__xludf.DUMMYFUNCTION("""COMPUTED_VALUE"""),"--")</f>
        <v>--</v>
      </c>
      <c r="AA1092" s="251" t="str">
        <f>IFERROR(__xludf.DUMMYFUNCTION("""COMPUTED_VALUE"""),"--")</f>
        <v>--</v>
      </c>
      <c r="AB1092" s="251" t="str">
        <f>IFERROR(__xludf.DUMMYFUNCTION("""COMPUTED_VALUE"""),"--")</f>
        <v>--</v>
      </c>
      <c r="AC1092" s="251" t="str">
        <f>IFERROR(__xludf.DUMMYFUNCTION("""COMPUTED_VALUE"""),"--")</f>
        <v>--</v>
      </c>
      <c r="AD1092" s="251">
        <f>IFERROR(__xludf.DUMMYFUNCTION("""COMPUTED_VALUE"""),3.0)</f>
        <v>3</v>
      </c>
      <c r="AE1092" s="251" t="str">
        <f>IFERROR(__xludf.DUMMYFUNCTION("""COMPUTED_VALUE"""),"Terravore")</f>
        <v>Terravore</v>
      </c>
    </row>
    <row r="1093">
      <c r="A1093" s="251" t="str">
        <f>IFERROR(__xludf.DUMMYFUNCTION("""COMPUTED_VALUE"""),"Orthworm")</f>
        <v>Orthworm</v>
      </c>
      <c r="B1093" s="251" t="str">
        <f>IFERROR(__xludf.DUMMYFUNCTION("""COMPUTED_VALUE"""),"Steel")</f>
        <v>Steel</v>
      </c>
      <c r="C1093" s="251" t="str">
        <f>IFERROR(__xludf.DUMMYFUNCTION("""COMPUTED_VALUE"""),"None")</f>
        <v>None</v>
      </c>
      <c r="D1093" s="251">
        <f>IFERROR(__xludf.DUMMYFUNCTION("""COMPUTED_VALUE"""),7.0)</f>
        <v>7</v>
      </c>
      <c r="E1093" s="251">
        <f>IFERROR(__xludf.DUMMYFUNCTION("""COMPUTED_VALUE"""),9.0)</f>
        <v>9</v>
      </c>
      <c r="F1093" s="251">
        <f>IFERROR(__xludf.DUMMYFUNCTION("""COMPUTED_VALUE"""),16.0)</f>
        <v>16</v>
      </c>
      <c r="G1093" s="251">
        <f>IFERROR(__xludf.DUMMYFUNCTION("""COMPUTED_VALUE"""),6.0)</f>
        <v>6</v>
      </c>
      <c r="H1093" s="251">
        <f>IFERROR(__xludf.DUMMYFUNCTION("""COMPUTED_VALUE"""),6.0)</f>
        <v>6</v>
      </c>
      <c r="I1093" s="251">
        <f>IFERROR(__xludf.DUMMYFUNCTION("""COMPUTED_VALUE"""),7.0)</f>
        <v>7</v>
      </c>
      <c r="J1093" s="251">
        <f>IFERROR(__xludf.DUMMYFUNCTION("""COMPUTED_VALUE"""),9.0)</f>
        <v>9</v>
      </c>
      <c r="K1093" s="251" t="str">
        <f>IFERROR(__xludf.DUMMYFUNCTION("""COMPUTED_VALUE"""),"Large")</f>
        <v>Large</v>
      </c>
      <c r="L1093" s="251">
        <f>IFERROR(__xludf.DUMMYFUNCTION("""COMPUTED_VALUE"""),6.0)</f>
        <v>6</v>
      </c>
      <c r="M1093" s="251" t="str">
        <f>IFERROR(__xludf.DUMMYFUNCTION("""COMPUTED_VALUE"""),"Cave, Desert")</f>
        <v>Cave, Desert</v>
      </c>
      <c r="N1093" s="251" t="str">
        <f>IFERROR(__xludf.DUMMYFUNCTION("""COMPUTED_VALUE"""),"Burrower")</f>
        <v>Burrower</v>
      </c>
      <c r="O1093" s="251" t="str">
        <f>IFERROR(__xludf.DUMMYFUNCTION("""COMPUTED_VALUE"""),"--")</f>
        <v>--</v>
      </c>
      <c r="P1093" s="251" t="str">
        <f>IFERROR(__xludf.DUMMYFUNCTION("""COMPUTED_VALUE"""),"--")</f>
        <v>--</v>
      </c>
      <c r="Q1093" s="251" t="str">
        <f>IFERROR(__xludf.DUMMYFUNCTION("""COMPUTED_VALUE"""),"--")</f>
        <v>--</v>
      </c>
      <c r="R1093" s="251" t="str">
        <f>IFERROR(__xludf.DUMMYFUNCTION("""COMPUTED_VALUE"""),"Groundshaper")</f>
        <v>Groundshaper</v>
      </c>
      <c r="S1093" s="251" t="str">
        <f>IFERROR(__xludf.DUMMYFUNCTION("""COMPUTED_VALUE"""),"Mountable")</f>
        <v>Mountable</v>
      </c>
      <c r="T1093" s="251" t="str">
        <f>IFERROR(__xludf.DUMMYFUNCTION("""COMPUTED_VALUE"""),"Reach")</f>
        <v>Reach</v>
      </c>
      <c r="U1093" s="251" t="str">
        <f>IFERROR(__xludf.DUMMYFUNCTION("""COMPUTED_VALUE"""),"--")</f>
        <v>--</v>
      </c>
      <c r="V1093" s="251" t="str">
        <f>IFERROR(__xludf.DUMMYFUNCTION("""COMPUTED_VALUE"""),"Tremorsense")</f>
        <v>Tremorsense</v>
      </c>
      <c r="W1093" s="251" t="str">
        <f>IFERROR(__xludf.DUMMYFUNCTION("""COMPUTED_VALUE"""),"--")</f>
        <v>--</v>
      </c>
      <c r="X1093" s="251" t="str">
        <f>IFERROR(__xludf.DUMMYFUNCTION("""COMPUTED_VALUE"""),"--")</f>
        <v>--</v>
      </c>
      <c r="Y1093" s="251" t="str">
        <f>IFERROR(__xludf.DUMMYFUNCTION("""COMPUTED_VALUE"""),"--")</f>
        <v>--</v>
      </c>
      <c r="Z1093" s="251" t="str">
        <f>IFERROR(__xludf.DUMMYFUNCTION("""COMPUTED_VALUE"""),"--")</f>
        <v>--</v>
      </c>
      <c r="AA1093" s="251" t="str">
        <f>IFERROR(__xludf.DUMMYFUNCTION("""COMPUTED_VALUE"""),"--")</f>
        <v>--</v>
      </c>
      <c r="AB1093" s="251" t="str">
        <f>IFERROR(__xludf.DUMMYFUNCTION("""COMPUTED_VALUE"""),"--")</f>
        <v>--</v>
      </c>
      <c r="AC1093" s="251" t="str">
        <f>IFERROR(__xludf.DUMMYFUNCTION("""COMPUTED_VALUE"""),"--")</f>
        <v>--</v>
      </c>
      <c r="AD1093" s="251">
        <f>IFERROR(__xludf.DUMMYFUNCTION("""COMPUTED_VALUE"""),3.0)</f>
        <v>3</v>
      </c>
      <c r="AE1093" s="251" t="str">
        <f>IFERROR(__xludf.DUMMYFUNCTION("""COMPUTED_VALUE"""),"Detritivore")</f>
        <v>Detritivore</v>
      </c>
    </row>
    <row r="1094">
      <c r="A1094" s="251" t="str">
        <f>IFERROR(__xludf.DUMMYFUNCTION("""COMPUTED_VALUE"""),"Lapras")</f>
        <v>Lapras</v>
      </c>
      <c r="B1094" s="251" t="str">
        <f>IFERROR(__xludf.DUMMYFUNCTION("""COMPUTED_VALUE"""),"Water")</f>
        <v>Water</v>
      </c>
      <c r="C1094" s="251" t="str">
        <f>IFERROR(__xludf.DUMMYFUNCTION("""COMPUTED_VALUE"""),"Ice")</f>
        <v>Ice</v>
      </c>
      <c r="D1094" s="251">
        <f>IFERROR(__xludf.DUMMYFUNCTION("""COMPUTED_VALUE"""),13.0)</f>
        <v>13</v>
      </c>
      <c r="E1094" s="251">
        <f>IFERROR(__xludf.DUMMYFUNCTION("""COMPUTED_VALUE"""),9.0)</f>
        <v>9</v>
      </c>
      <c r="F1094" s="251">
        <f>IFERROR(__xludf.DUMMYFUNCTION("""COMPUTED_VALUE"""),8.0)</f>
        <v>8</v>
      </c>
      <c r="G1094" s="251">
        <f>IFERROR(__xludf.DUMMYFUNCTION("""COMPUTED_VALUE"""),9.0)</f>
        <v>9</v>
      </c>
      <c r="H1094" s="251">
        <f>IFERROR(__xludf.DUMMYFUNCTION("""COMPUTED_VALUE"""),10.0)</f>
        <v>10</v>
      </c>
      <c r="I1094" s="251">
        <f>IFERROR(__xludf.DUMMYFUNCTION("""COMPUTED_VALUE"""),6.0)</f>
        <v>6</v>
      </c>
      <c r="J1094" s="251">
        <f>IFERROR(__xludf.DUMMYFUNCTION("""COMPUTED_VALUE"""),8.0)</f>
        <v>8</v>
      </c>
      <c r="K1094" s="251" t="str">
        <f>IFERROR(__xludf.DUMMYFUNCTION("""COMPUTED_VALUE"""),"Large")</f>
        <v>Large</v>
      </c>
      <c r="L1094" s="251">
        <f>IFERROR(__xludf.DUMMYFUNCTION("""COMPUTED_VALUE"""),6.0)</f>
        <v>6</v>
      </c>
      <c r="M1094" s="251" t="str">
        <f>IFERROR(__xludf.DUMMYFUNCTION("""COMPUTED_VALUE"""),"Ocean, Tundra")</f>
        <v>Ocean, Tundra</v>
      </c>
      <c r="N1094" s="251" t="str">
        <f>IFERROR(__xludf.DUMMYFUNCTION("""COMPUTED_VALUE"""),"Grounded")</f>
        <v>Grounded</v>
      </c>
      <c r="O1094" s="251" t="str">
        <f>IFERROR(__xludf.DUMMYFUNCTION("""COMPUTED_VALUE"""),"Swimmer")</f>
        <v>Swimmer</v>
      </c>
      <c r="P1094" s="251" t="str">
        <f>IFERROR(__xludf.DUMMYFUNCTION("""COMPUTED_VALUE"""),"--")</f>
        <v>--</v>
      </c>
      <c r="Q1094" s="251" t="str">
        <f>IFERROR(__xludf.DUMMYFUNCTION("""COMPUTED_VALUE"""),"--")</f>
        <v>--</v>
      </c>
      <c r="R1094" s="251" t="str">
        <f>IFERROR(__xludf.DUMMYFUNCTION("""COMPUTED_VALUE"""),"Mountable")</f>
        <v>Mountable</v>
      </c>
      <c r="S1094" s="251" t="str">
        <f>IFERROR(__xludf.DUMMYFUNCTION("""COMPUTED_VALUE"""),"--")</f>
        <v>--</v>
      </c>
      <c r="T1094" s="251" t="str">
        <f>IFERROR(__xludf.DUMMYFUNCTION("""COMPUTED_VALUE"""),"--")</f>
        <v>--</v>
      </c>
      <c r="U1094" s="251" t="str">
        <f>IFERROR(__xludf.DUMMYFUNCTION("""COMPUTED_VALUE"""),"--")</f>
        <v>--</v>
      </c>
      <c r="V1094" s="251" t="str">
        <f>IFERROR(__xludf.DUMMYFUNCTION("""COMPUTED_VALUE"""),"Gilled")</f>
        <v>Gilled</v>
      </c>
      <c r="W1094" s="251" t="str">
        <f>IFERROR(__xludf.DUMMYFUNCTION("""COMPUTED_VALUE"""),"--")</f>
        <v>--</v>
      </c>
      <c r="X1094" s="251" t="str">
        <f>IFERROR(__xludf.DUMMYFUNCTION("""COMPUTED_VALUE"""),"--")</f>
        <v>--</v>
      </c>
      <c r="Y1094" s="251" t="str">
        <f>IFERROR(__xludf.DUMMYFUNCTION("""COMPUTED_VALUE"""),"--")</f>
        <v>--</v>
      </c>
      <c r="Z1094" s="251" t="str">
        <f>IFERROR(__xludf.DUMMYFUNCTION("""COMPUTED_VALUE"""),"--")</f>
        <v>--</v>
      </c>
      <c r="AA1094" s="251" t="str">
        <f>IFERROR(__xludf.DUMMYFUNCTION("""COMPUTED_VALUE"""),"--")</f>
        <v>--</v>
      </c>
      <c r="AB1094" s="251" t="str">
        <f>IFERROR(__xludf.DUMMYFUNCTION("""COMPUTED_VALUE"""),"--")</f>
        <v>--</v>
      </c>
      <c r="AC1094" s="251" t="str">
        <f>IFERROR(__xludf.DUMMYFUNCTION("""COMPUTED_VALUE"""),"--")</f>
        <v>--</v>
      </c>
      <c r="AD1094" s="251">
        <f>IFERROR(__xludf.DUMMYFUNCTION("""COMPUTED_VALUE"""),3.0)</f>
        <v>3</v>
      </c>
      <c r="AE1094" s="251" t="str">
        <f>IFERROR(__xludf.DUMMYFUNCTION("""COMPUTED_VALUE"""),"Omnivore")</f>
        <v>Omnivore</v>
      </c>
    </row>
    <row r="1095">
      <c r="A1095" s="251" t="str">
        <f>IFERROR(__xludf.DUMMYFUNCTION("""COMPUTED_VALUE"""),"Qwilfish")</f>
        <v>Qwilfish</v>
      </c>
      <c r="B1095" s="251" t="str">
        <f>IFERROR(__xludf.DUMMYFUNCTION("""COMPUTED_VALUE"""),"Water")</f>
        <v>Water</v>
      </c>
      <c r="C1095" s="251" t="str">
        <f>IFERROR(__xludf.DUMMYFUNCTION("""COMPUTED_VALUE"""),"Poison")</f>
        <v>Poison</v>
      </c>
      <c r="D1095" s="251">
        <f>IFERROR(__xludf.DUMMYFUNCTION("""COMPUTED_VALUE"""),9.0)</f>
        <v>9</v>
      </c>
      <c r="E1095" s="251">
        <f>IFERROR(__xludf.DUMMYFUNCTION("""COMPUTED_VALUE"""),10.0)</f>
        <v>10</v>
      </c>
      <c r="F1095" s="251">
        <f>IFERROR(__xludf.DUMMYFUNCTION("""COMPUTED_VALUE"""),9.0)</f>
        <v>9</v>
      </c>
      <c r="G1095" s="251">
        <f>IFERROR(__xludf.DUMMYFUNCTION("""COMPUTED_VALUE"""),6.0)</f>
        <v>6</v>
      </c>
      <c r="H1095" s="251">
        <f>IFERROR(__xludf.DUMMYFUNCTION("""COMPUTED_VALUE"""),8.0)</f>
        <v>8</v>
      </c>
      <c r="I1095" s="251">
        <f>IFERROR(__xludf.DUMMYFUNCTION("""COMPUTED_VALUE"""),9.0)</f>
        <v>9</v>
      </c>
      <c r="J1095" s="251">
        <f>IFERROR(__xludf.DUMMYFUNCTION("""COMPUTED_VALUE"""),2.0)</f>
        <v>2</v>
      </c>
      <c r="K1095" s="251" t="str">
        <f>IFERROR(__xludf.DUMMYFUNCTION("""COMPUTED_VALUE"""),"Small")</f>
        <v>Small</v>
      </c>
      <c r="L1095" s="251">
        <f>IFERROR(__xludf.DUMMYFUNCTION("""COMPUTED_VALUE"""),1.0)</f>
        <v>1</v>
      </c>
      <c r="M1095" s="251" t="str">
        <f>IFERROR(__xludf.DUMMYFUNCTION("""COMPUTED_VALUE"""),"Ocean")</f>
        <v>Ocean</v>
      </c>
      <c r="N1095" s="251" t="str">
        <f>IFERROR(__xludf.DUMMYFUNCTION("""COMPUTED_VALUE"""),"Swimmer")</f>
        <v>Swimmer</v>
      </c>
      <c r="O1095" s="251" t="str">
        <f>IFERROR(__xludf.DUMMYFUNCTION("""COMPUTED_VALUE"""),"--")</f>
        <v>--</v>
      </c>
      <c r="P1095" s="251" t="str">
        <f>IFERROR(__xludf.DUMMYFUNCTION("""COMPUTED_VALUE"""),"--")</f>
        <v>--</v>
      </c>
      <c r="Q1095" s="251" t="str">
        <f>IFERROR(__xludf.DUMMYFUNCTION("""COMPUTED_VALUE"""),"--")</f>
        <v>--</v>
      </c>
      <c r="R1095" s="251" t="str">
        <f>IFERROR(__xludf.DUMMYFUNCTION("""COMPUTED_VALUE"""),"--")</f>
        <v>--</v>
      </c>
      <c r="S1095" s="251" t="str">
        <f>IFERROR(__xludf.DUMMYFUNCTION("""COMPUTED_VALUE"""),"--")</f>
        <v>--</v>
      </c>
      <c r="T1095" s="251" t="str">
        <f>IFERROR(__xludf.DUMMYFUNCTION("""COMPUTED_VALUE"""),"--")</f>
        <v>--</v>
      </c>
      <c r="U1095" s="251" t="str">
        <f>IFERROR(__xludf.DUMMYFUNCTION("""COMPUTED_VALUE"""),"--")</f>
        <v>--</v>
      </c>
      <c r="V1095" s="251" t="str">
        <f>IFERROR(__xludf.DUMMYFUNCTION("""COMPUTED_VALUE"""),"Gilled")</f>
        <v>Gilled</v>
      </c>
      <c r="W1095" s="251" t="str">
        <f>IFERROR(__xludf.DUMMYFUNCTION("""COMPUTED_VALUE"""),"--")</f>
        <v>--</v>
      </c>
      <c r="X1095" s="251" t="str">
        <f>IFERROR(__xludf.DUMMYFUNCTION("""COMPUTED_VALUE"""),"--")</f>
        <v>--</v>
      </c>
      <c r="Y1095" s="251" t="str">
        <f>IFERROR(__xludf.DUMMYFUNCTION("""COMPUTED_VALUE"""),"--")</f>
        <v>--</v>
      </c>
      <c r="Z1095" s="251" t="str">
        <f>IFERROR(__xludf.DUMMYFUNCTION("""COMPUTED_VALUE"""),"--")</f>
        <v>--</v>
      </c>
      <c r="AA1095" s="251" t="str">
        <f>IFERROR(__xludf.DUMMYFUNCTION("""COMPUTED_VALUE"""),"--")</f>
        <v>--</v>
      </c>
      <c r="AB1095" s="251" t="str">
        <f>IFERROR(__xludf.DUMMYFUNCTION("""COMPUTED_VALUE"""),"--")</f>
        <v>--</v>
      </c>
      <c r="AC1095" s="251" t="str">
        <f>IFERROR(__xludf.DUMMYFUNCTION("""COMPUTED_VALUE"""),"--")</f>
        <v>--</v>
      </c>
      <c r="AD1095" s="251">
        <f>IFERROR(__xludf.DUMMYFUNCTION("""COMPUTED_VALUE"""),3.0)</f>
        <v>3</v>
      </c>
      <c r="AE1095" s="251" t="str">
        <f>IFERROR(__xludf.DUMMYFUNCTION("""COMPUTED_VALUE"""),"Herbivore")</f>
        <v>Herbivore</v>
      </c>
    </row>
    <row r="1096">
      <c r="A1096" s="251" t="str">
        <f>IFERROR(__xludf.DUMMYFUNCTION("""COMPUTED_VALUE"""),"Corsola")</f>
        <v>Corsola</v>
      </c>
      <c r="B1096" s="251" t="str">
        <f>IFERROR(__xludf.DUMMYFUNCTION("""COMPUTED_VALUE"""),"Water")</f>
        <v>Water</v>
      </c>
      <c r="C1096" s="251" t="str">
        <f>IFERROR(__xludf.DUMMYFUNCTION("""COMPUTED_VALUE"""),"Rock")</f>
        <v>Rock</v>
      </c>
      <c r="D1096" s="251">
        <f>IFERROR(__xludf.DUMMYFUNCTION("""COMPUTED_VALUE"""),7.0)</f>
        <v>7</v>
      </c>
      <c r="E1096" s="251">
        <f>IFERROR(__xludf.DUMMYFUNCTION("""COMPUTED_VALUE"""),6.0)</f>
        <v>6</v>
      </c>
      <c r="F1096" s="251">
        <f>IFERROR(__xludf.DUMMYFUNCTION("""COMPUTED_VALUE"""),10.0)</f>
        <v>10</v>
      </c>
      <c r="G1096" s="251">
        <f>IFERROR(__xludf.DUMMYFUNCTION("""COMPUTED_VALUE"""),7.0)</f>
        <v>7</v>
      </c>
      <c r="H1096" s="251">
        <f>IFERROR(__xludf.DUMMYFUNCTION("""COMPUTED_VALUE"""),10.0)</f>
        <v>10</v>
      </c>
      <c r="I1096" s="251">
        <f>IFERROR(__xludf.DUMMYFUNCTION("""COMPUTED_VALUE"""),4.0)</f>
        <v>4</v>
      </c>
      <c r="J1096" s="251">
        <f>IFERROR(__xludf.DUMMYFUNCTION("""COMPUTED_VALUE"""),3.0)</f>
        <v>3</v>
      </c>
      <c r="K1096" s="251" t="str">
        <f>IFERROR(__xludf.DUMMYFUNCTION("""COMPUTED_VALUE"""),"Small")</f>
        <v>Small</v>
      </c>
      <c r="L1096" s="251">
        <f>IFERROR(__xludf.DUMMYFUNCTION("""COMPUTED_VALUE"""),1.0)</f>
        <v>1</v>
      </c>
      <c r="M1096" s="251" t="str">
        <f>IFERROR(__xludf.DUMMYFUNCTION("""COMPUTED_VALUE"""),"Ocean")</f>
        <v>Ocean</v>
      </c>
      <c r="N1096" s="251" t="str">
        <f>IFERROR(__xludf.DUMMYFUNCTION("""COMPUTED_VALUE"""),"Swimmer")</f>
        <v>Swimmer</v>
      </c>
      <c r="O1096" s="251" t="str">
        <f>IFERROR(__xludf.DUMMYFUNCTION("""COMPUTED_VALUE"""),"--")</f>
        <v>--</v>
      </c>
      <c r="P1096" s="251" t="str">
        <f>IFERROR(__xludf.DUMMYFUNCTION("""COMPUTED_VALUE"""),"--")</f>
        <v>--</v>
      </c>
      <c r="Q1096" s="251" t="str">
        <f>IFERROR(__xludf.DUMMYFUNCTION("""COMPUTED_VALUE"""),"--")</f>
        <v>--</v>
      </c>
      <c r="R1096" s="251" t="str">
        <f>IFERROR(__xludf.DUMMYFUNCTION("""COMPUTED_VALUE"""),"Underdog")</f>
        <v>Underdog</v>
      </c>
      <c r="S1096" s="251" t="str">
        <f>IFERROR(__xludf.DUMMYFUNCTION("""COMPUTED_VALUE"""),"--")</f>
        <v>--</v>
      </c>
      <c r="T1096" s="251" t="str">
        <f>IFERROR(__xludf.DUMMYFUNCTION("""COMPUTED_VALUE"""),"--")</f>
        <v>--</v>
      </c>
      <c r="U1096" s="251" t="str">
        <f>IFERROR(__xludf.DUMMYFUNCTION("""COMPUTED_VALUE"""),"--")</f>
        <v>--</v>
      </c>
      <c r="V1096" s="251" t="str">
        <f>IFERROR(__xludf.DUMMYFUNCTION("""COMPUTED_VALUE"""),"Gilled")</f>
        <v>Gilled</v>
      </c>
      <c r="W1096" s="251" t="str">
        <f>IFERROR(__xludf.DUMMYFUNCTION("""COMPUTED_VALUE"""),"--")</f>
        <v>--</v>
      </c>
      <c r="X1096" s="251" t="str">
        <f>IFERROR(__xludf.DUMMYFUNCTION("""COMPUTED_VALUE"""),"--")</f>
        <v>--</v>
      </c>
      <c r="Y1096" s="251" t="str">
        <f>IFERROR(__xludf.DUMMYFUNCTION("""COMPUTED_VALUE"""),"--")</f>
        <v>--</v>
      </c>
      <c r="Z1096" s="251" t="str">
        <f>IFERROR(__xludf.DUMMYFUNCTION("""COMPUTED_VALUE"""),"--")</f>
        <v>--</v>
      </c>
      <c r="AA1096" s="251" t="str">
        <f>IFERROR(__xludf.DUMMYFUNCTION("""COMPUTED_VALUE"""),"--")</f>
        <v>--</v>
      </c>
      <c r="AB1096" s="251" t="str">
        <f>IFERROR(__xludf.DUMMYFUNCTION("""COMPUTED_VALUE"""),"--")</f>
        <v>--</v>
      </c>
      <c r="AC1096" s="251" t="str">
        <f>IFERROR(__xludf.DUMMYFUNCTION("""COMPUTED_VALUE"""),"--")</f>
        <v>--</v>
      </c>
      <c r="AD1096" s="251">
        <f>IFERROR(__xludf.DUMMYFUNCTION("""COMPUTED_VALUE"""),3.0)</f>
        <v>3</v>
      </c>
      <c r="AE1096" s="251" t="str">
        <f>IFERROR(__xludf.DUMMYFUNCTION("""COMPUTED_VALUE"""),"Phototroph")</f>
        <v>Phototroph</v>
      </c>
    </row>
    <row r="1097">
      <c r="A1097" s="251" t="str">
        <f>IFERROR(__xludf.DUMMYFUNCTION("""COMPUTED_VALUE"""),"Relicanth")</f>
        <v>Relicanth</v>
      </c>
      <c r="B1097" s="251" t="str">
        <f>IFERROR(__xludf.DUMMYFUNCTION("""COMPUTED_VALUE"""),"Water")</f>
        <v>Water</v>
      </c>
      <c r="C1097" s="251" t="str">
        <f>IFERROR(__xludf.DUMMYFUNCTION("""COMPUTED_VALUE"""),"Rock")</f>
        <v>Rock</v>
      </c>
      <c r="D1097" s="251">
        <f>IFERROR(__xludf.DUMMYFUNCTION("""COMPUTED_VALUE"""),10.0)</f>
        <v>10</v>
      </c>
      <c r="E1097" s="251">
        <f>IFERROR(__xludf.DUMMYFUNCTION("""COMPUTED_VALUE"""),10.0)</f>
        <v>10</v>
      </c>
      <c r="F1097" s="251">
        <f>IFERROR(__xludf.DUMMYFUNCTION("""COMPUTED_VALUE"""),13.0)</f>
        <v>13</v>
      </c>
      <c r="G1097" s="251">
        <f>IFERROR(__xludf.DUMMYFUNCTION("""COMPUTED_VALUE"""),5.0)</f>
        <v>5</v>
      </c>
      <c r="H1097" s="251">
        <f>IFERROR(__xludf.DUMMYFUNCTION("""COMPUTED_VALUE"""),7.0)</f>
        <v>7</v>
      </c>
      <c r="I1097" s="251">
        <f>IFERROR(__xludf.DUMMYFUNCTION("""COMPUTED_VALUE"""),6.0)</f>
        <v>6</v>
      </c>
      <c r="J1097" s="251">
        <f>IFERROR(__xludf.DUMMYFUNCTION("""COMPUTED_VALUE"""),2.0)</f>
        <v>2</v>
      </c>
      <c r="K1097" s="251" t="str">
        <f>IFERROR(__xludf.DUMMYFUNCTION("""COMPUTED_VALUE"""),"Medium")</f>
        <v>Medium</v>
      </c>
      <c r="L1097" s="251">
        <f>IFERROR(__xludf.DUMMYFUNCTION("""COMPUTED_VALUE"""),2.0)</f>
        <v>2</v>
      </c>
      <c r="M1097" s="251" t="str">
        <f>IFERROR(__xludf.DUMMYFUNCTION("""COMPUTED_VALUE"""),"Cave, Ocean")</f>
        <v>Cave, Ocean</v>
      </c>
      <c r="N1097" s="251" t="str">
        <f>IFERROR(__xludf.DUMMYFUNCTION("""COMPUTED_VALUE"""),"Swimmer")</f>
        <v>Swimmer</v>
      </c>
      <c r="O1097" s="251" t="str">
        <f>IFERROR(__xludf.DUMMYFUNCTION("""COMPUTED_VALUE"""),"--")</f>
        <v>--</v>
      </c>
      <c r="P1097" s="251" t="str">
        <f>IFERROR(__xludf.DUMMYFUNCTION("""COMPUTED_VALUE"""),"--")</f>
        <v>--</v>
      </c>
      <c r="Q1097" s="251" t="str">
        <f>IFERROR(__xludf.DUMMYFUNCTION("""COMPUTED_VALUE"""),"--")</f>
        <v>--</v>
      </c>
      <c r="R1097" s="251" t="str">
        <f>IFERROR(__xludf.DUMMYFUNCTION("""COMPUTED_VALUE"""),"Darkvision")</f>
        <v>Darkvision</v>
      </c>
      <c r="S1097" s="251" t="str">
        <f>IFERROR(__xludf.DUMMYFUNCTION("""COMPUTED_VALUE"""),"--")</f>
        <v>--</v>
      </c>
      <c r="T1097" s="251" t="str">
        <f>IFERROR(__xludf.DUMMYFUNCTION("""COMPUTED_VALUE"""),"--")</f>
        <v>--</v>
      </c>
      <c r="U1097" s="251" t="str">
        <f>IFERROR(__xludf.DUMMYFUNCTION("""COMPUTED_VALUE"""),"--")</f>
        <v>--</v>
      </c>
      <c r="V1097" s="251" t="str">
        <f>IFERROR(__xludf.DUMMYFUNCTION("""COMPUTED_VALUE"""),"Gilled")</f>
        <v>Gilled</v>
      </c>
      <c r="W1097" s="251" t="str">
        <f>IFERROR(__xludf.DUMMYFUNCTION("""COMPUTED_VALUE"""),"--")</f>
        <v>--</v>
      </c>
      <c r="X1097" s="251" t="str">
        <f>IFERROR(__xludf.DUMMYFUNCTION("""COMPUTED_VALUE"""),"--")</f>
        <v>--</v>
      </c>
      <c r="Y1097" s="251" t="str">
        <f>IFERROR(__xludf.DUMMYFUNCTION("""COMPUTED_VALUE"""),"--")</f>
        <v>--</v>
      </c>
      <c r="Z1097" s="251" t="str">
        <f>IFERROR(__xludf.DUMMYFUNCTION("""COMPUTED_VALUE"""),"--")</f>
        <v>--</v>
      </c>
      <c r="AA1097" s="251" t="str">
        <f>IFERROR(__xludf.DUMMYFUNCTION("""COMPUTED_VALUE"""),"--")</f>
        <v>--</v>
      </c>
      <c r="AB1097" s="251" t="str">
        <f>IFERROR(__xludf.DUMMYFUNCTION("""COMPUTED_VALUE"""),"--")</f>
        <v>--</v>
      </c>
      <c r="AC1097" s="251" t="str">
        <f>IFERROR(__xludf.DUMMYFUNCTION("""COMPUTED_VALUE"""),"--")</f>
        <v>--</v>
      </c>
      <c r="AD1097" s="251">
        <f>IFERROR(__xludf.DUMMYFUNCTION("""COMPUTED_VALUE"""),3.0)</f>
        <v>3</v>
      </c>
      <c r="AE1097" s="251" t="str">
        <f>IFERROR(__xludf.DUMMYFUNCTION("""COMPUTED_VALUE"""),"Herbivore")</f>
        <v>Herbivore</v>
      </c>
    </row>
    <row r="1098">
      <c r="A1098" s="251" t="str">
        <f>IFERROR(__xludf.DUMMYFUNCTION("""COMPUTED_VALUE"""),"Luvdisc")</f>
        <v>Luvdisc</v>
      </c>
      <c r="B1098" s="251" t="str">
        <f>IFERROR(__xludf.DUMMYFUNCTION("""COMPUTED_VALUE"""),"Water")</f>
        <v>Water</v>
      </c>
      <c r="C1098" s="251" t="str">
        <f>IFERROR(__xludf.DUMMYFUNCTION("""COMPUTED_VALUE"""),"None")</f>
        <v>None</v>
      </c>
      <c r="D1098" s="251">
        <f>IFERROR(__xludf.DUMMYFUNCTION("""COMPUTED_VALUE"""),7.0)</f>
        <v>7</v>
      </c>
      <c r="E1098" s="251">
        <f>IFERROR(__xludf.DUMMYFUNCTION("""COMPUTED_VALUE"""),3.0)</f>
        <v>3</v>
      </c>
      <c r="F1098" s="251">
        <f>IFERROR(__xludf.DUMMYFUNCTION("""COMPUTED_VALUE"""),6.0)</f>
        <v>6</v>
      </c>
      <c r="G1098" s="251">
        <f>IFERROR(__xludf.DUMMYFUNCTION("""COMPUTED_VALUE"""),7.0)</f>
        <v>7</v>
      </c>
      <c r="H1098" s="251">
        <f>IFERROR(__xludf.DUMMYFUNCTION("""COMPUTED_VALUE"""),7.0)</f>
        <v>7</v>
      </c>
      <c r="I1098" s="251">
        <f>IFERROR(__xludf.DUMMYFUNCTION("""COMPUTED_VALUE"""),10.0)</f>
        <v>10</v>
      </c>
      <c r="J1098" s="251">
        <f>IFERROR(__xludf.DUMMYFUNCTION("""COMPUTED_VALUE"""),3.0)</f>
        <v>3</v>
      </c>
      <c r="K1098" s="251" t="str">
        <f>IFERROR(__xludf.DUMMYFUNCTION("""COMPUTED_VALUE"""),"Small")</f>
        <v>Small</v>
      </c>
      <c r="L1098" s="251">
        <f>IFERROR(__xludf.DUMMYFUNCTION("""COMPUTED_VALUE"""),1.0)</f>
        <v>1</v>
      </c>
      <c r="M1098" s="251" t="str">
        <f>IFERROR(__xludf.DUMMYFUNCTION("""COMPUTED_VALUE"""),"Ocean")</f>
        <v>Ocean</v>
      </c>
      <c r="N1098" s="251" t="str">
        <f>IFERROR(__xludf.DUMMYFUNCTION("""COMPUTED_VALUE"""),"Swimmer")</f>
        <v>Swimmer</v>
      </c>
      <c r="O1098" s="251" t="str">
        <f>IFERROR(__xludf.DUMMYFUNCTION("""COMPUTED_VALUE"""),"--")</f>
        <v>--</v>
      </c>
      <c r="P1098" s="251" t="str">
        <f>IFERROR(__xludf.DUMMYFUNCTION("""COMPUTED_VALUE"""),"--")</f>
        <v>--</v>
      </c>
      <c r="Q1098" s="251" t="str">
        <f>IFERROR(__xludf.DUMMYFUNCTION("""COMPUTED_VALUE"""),"--")</f>
        <v>--</v>
      </c>
      <c r="R1098" s="251" t="str">
        <f>IFERROR(__xludf.DUMMYFUNCTION("""COMPUTED_VALUE"""),"Underdog")</f>
        <v>Underdog</v>
      </c>
      <c r="S1098" s="251" t="str">
        <f>IFERROR(__xludf.DUMMYFUNCTION("""COMPUTED_VALUE"""),"--")</f>
        <v>--</v>
      </c>
      <c r="T1098" s="251" t="str">
        <f>IFERROR(__xludf.DUMMYFUNCTION("""COMPUTED_VALUE"""),"--")</f>
        <v>--</v>
      </c>
      <c r="U1098" s="251" t="str">
        <f>IFERROR(__xludf.DUMMYFUNCTION("""COMPUTED_VALUE"""),"--")</f>
        <v>--</v>
      </c>
      <c r="V1098" s="251" t="str">
        <f>IFERROR(__xludf.DUMMYFUNCTION("""COMPUTED_VALUE"""),"Gilled")</f>
        <v>Gilled</v>
      </c>
      <c r="W1098" s="251" t="str">
        <f>IFERROR(__xludf.DUMMYFUNCTION("""COMPUTED_VALUE"""),"--")</f>
        <v>--</v>
      </c>
      <c r="X1098" s="251" t="str">
        <f>IFERROR(__xludf.DUMMYFUNCTION("""COMPUTED_VALUE"""),"--")</f>
        <v>--</v>
      </c>
      <c r="Y1098" s="251" t="str">
        <f>IFERROR(__xludf.DUMMYFUNCTION("""COMPUTED_VALUE"""),"--")</f>
        <v>--</v>
      </c>
      <c r="Z1098" s="251" t="str">
        <f>IFERROR(__xludf.DUMMYFUNCTION("""COMPUTED_VALUE"""),"--")</f>
        <v>--</v>
      </c>
      <c r="AA1098" s="251" t="str">
        <f>IFERROR(__xludf.DUMMYFUNCTION("""COMPUTED_VALUE"""),"--")</f>
        <v>--</v>
      </c>
      <c r="AB1098" s="251" t="str">
        <f>IFERROR(__xludf.DUMMYFUNCTION("""COMPUTED_VALUE"""),"--")</f>
        <v>--</v>
      </c>
      <c r="AC1098" s="251" t="str">
        <f>IFERROR(__xludf.DUMMYFUNCTION("""COMPUTED_VALUE"""),"--")</f>
        <v>--</v>
      </c>
      <c r="AD1098" s="251">
        <f>IFERROR(__xludf.DUMMYFUNCTION("""COMPUTED_VALUE"""),3.0)</f>
        <v>3</v>
      </c>
      <c r="AE1098" s="251" t="str">
        <f>IFERROR(__xludf.DUMMYFUNCTION("""COMPUTED_VALUE"""),"Herbivore")</f>
        <v>Herbivore</v>
      </c>
    </row>
    <row r="1099">
      <c r="A1099" s="251" t="str">
        <f>IFERROR(__xludf.DUMMYFUNCTION("""COMPUTED_VALUE"""),"Alomomola")</f>
        <v>Alomomola</v>
      </c>
      <c r="B1099" s="251" t="str">
        <f>IFERROR(__xludf.DUMMYFUNCTION("""COMPUTED_VALUE"""),"Water")</f>
        <v>Water</v>
      </c>
      <c r="C1099" s="251" t="str">
        <f>IFERROR(__xludf.DUMMYFUNCTION("""COMPUTED_VALUE"""),"None")</f>
        <v>None</v>
      </c>
      <c r="D1099" s="251">
        <f>IFERROR(__xludf.DUMMYFUNCTION("""COMPUTED_VALUE"""),17.0)</f>
        <v>17</v>
      </c>
      <c r="E1099" s="251">
        <f>IFERROR(__xludf.DUMMYFUNCTION("""COMPUTED_VALUE"""),8.0)</f>
        <v>8</v>
      </c>
      <c r="F1099" s="251">
        <f>IFERROR(__xludf.DUMMYFUNCTION("""COMPUTED_VALUE"""),9.0)</f>
        <v>9</v>
      </c>
      <c r="G1099" s="251">
        <f>IFERROR(__xludf.DUMMYFUNCTION("""COMPUTED_VALUE"""),4.0)</f>
        <v>4</v>
      </c>
      <c r="H1099" s="251">
        <f>IFERROR(__xludf.DUMMYFUNCTION("""COMPUTED_VALUE"""),9.0)</f>
        <v>9</v>
      </c>
      <c r="I1099" s="251">
        <f>IFERROR(__xludf.DUMMYFUNCTION("""COMPUTED_VALUE"""),4.0)</f>
        <v>4</v>
      </c>
      <c r="J1099" s="251">
        <f>IFERROR(__xludf.DUMMYFUNCTION("""COMPUTED_VALUE"""),5.0)</f>
        <v>5</v>
      </c>
      <c r="K1099" s="251" t="str">
        <f>IFERROR(__xludf.DUMMYFUNCTION("""COMPUTED_VALUE"""),"Medium")</f>
        <v>Medium</v>
      </c>
      <c r="L1099" s="251">
        <f>IFERROR(__xludf.DUMMYFUNCTION("""COMPUTED_VALUE"""),3.0)</f>
        <v>3</v>
      </c>
      <c r="M1099" s="251" t="str">
        <f>IFERROR(__xludf.DUMMYFUNCTION("""COMPUTED_VALUE"""),"Ocean")</f>
        <v>Ocean</v>
      </c>
      <c r="N1099" s="251" t="str">
        <f>IFERROR(__xludf.DUMMYFUNCTION("""COMPUTED_VALUE"""),"Swimmer")</f>
        <v>Swimmer</v>
      </c>
      <c r="O1099" s="251" t="str">
        <f>IFERROR(__xludf.DUMMYFUNCTION("""COMPUTED_VALUE"""),"--")</f>
        <v>--</v>
      </c>
      <c r="P1099" s="251" t="str">
        <f>IFERROR(__xludf.DUMMYFUNCTION("""COMPUTED_VALUE"""),"--")</f>
        <v>--</v>
      </c>
      <c r="Q1099" s="251" t="str">
        <f>IFERROR(__xludf.DUMMYFUNCTION("""COMPUTED_VALUE"""),"--")</f>
        <v>--</v>
      </c>
      <c r="R1099" s="251" t="str">
        <f>IFERROR(__xludf.DUMMYFUNCTION("""COMPUTED_VALUE"""),"--")</f>
        <v>--</v>
      </c>
      <c r="S1099" s="251" t="str">
        <f>IFERROR(__xludf.DUMMYFUNCTION("""COMPUTED_VALUE"""),"--")</f>
        <v>--</v>
      </c>
      <c r="T1099" s="251" t="str">
        <f>IFERROR(__xludf.DUMMYFUNCTION("""COMPUTED_VALUE"""),"--")</f>
        <v>--</v>
      </c>
      <c r="U1099" s="251" t="str">
        <f>IFERROR(__xludf.DUMMYFUNCTION("""COMPUTED_VALUE"""),"--")</f>
        <v>--</v>
      </c>
      <c r="V1099" s="251" t="str">
        <f>IFERROR(__xludf.DUMMYFUNCTION("""COMPUTED_VALUE"""),"Gilled")</f>
        <v>Gilled</v>
      </c>
      <c r="W1099" s="251" t="str">
        <f>IFERROR(__xludf.DUMMYFUNCTION("""COMPUTED_VALUE"""),"--")</f>
        <v>--</v>
      </c>
      <c r="X1099" s="251" t="str">
        <f>IFERROR(__xludf.DUMMYFUNCTION("""COMPUTED_VALUE"""),"--")</f>
        <v>--</v>
      </c>
      <c r="Y1099" s="251" t="str">
        <f>IFERROR(__xludf.DUMMYFUNCTION("""COMPUTED_VALUE"""),"--")</f>
        <v>--</v>
      </c>
      <c r="Z1099" s="251" t="str">
        <f>IFERROR(__xludf.DUMMYFUNCTION("""COMPUTED_VALUE"""),"--")</f>
        <v>--</v>
      </c>
      <c r="AA1099" s="251" t="str">
        <f>IFERROR(__xludf.DUMMYFUNCTION("""COMPUTED_VALUE"""),"--")</f>
        <v>--</v>
      </c>
      <c r="AB1099" s="251" t="str">
        <f>IFERROR(__xludf.DUMMYFUNCTION("""COMPUTED_VALUE"""),"--")</f>
        <v>--</v>
      </c>
      <c r="AC1099" s="251" t="str">
        <f>IFERROR(__xludf.DUMMYFUNCTION("""COMPUTED_VALUE"""),"--")</f>
        <v>--</v>
      </c>
      <c r="AD1099" s="251">
        <f>IFERROR(__xludf.DUMMYFUNCTION("""COMPUTED_VALUE"""),3.0)</f>
        <v>3</v>
      </c>
      <c r="AE1099" s="251" t="str">
        <f>IFERROR(__xludf.DUMMYFUNCTION("""COMPUTED_VALUE"""),"Herbivore")</f>
        <v>Herbivore</v>
      </c>
    </row>
    <row r="1100">
      <c r="A1100" s="251" t="str">
        <f>IFERROR(__xludf.DUMMYFUNCTION("""COMPUTED_VALUE"""),"Wishiwashi")</f>
        <v>Wishiwashi</v>
      </c>
      <c r="B1100" s="251" t="str">
        <f>IFERROR(__xludf.DUMMYFUNCTION("""COMPUTED_VALUE"""),"Water")</f>
        <v>Water</v>
      </c>
      <c r="C1100" s="251" t="str">
        <f>IFERROR(__xludf.DUMMYFUNCTION("""COMPUTED_VALUE"""),"None")</f>
        <v>None</v>
      </c>
      <c r="D1100" s="251">
        <f>IFERROR(__xludf.DUMMYFUNCTION("""COMPUTED_VALUE"""),5.0)</f>
        <v>5</v>
      </c>
      <c r="E1100" s="251">
        <f>IFERROR(__xludf.DUMMYFUNCTION("""COMPUTED_VALUE"""),2.0)</f>
        <v>2</v>
      </c>
      <c r="F1100" s="251">
        <f>IFERROR(__xludf.DUMMYFUNCTION("""COMPUTED_VALUE"""),2.0)</f>
        <v>2</v>
      </c>
      <c r="G1100" s="251">
        <f>IFERROR(__xludf.DUMMYFUNCTION("""COMPUTED_VALUE"""),3.0)</f>
        <v>3</v>
      </c>
      <c r="H1100" s="251">
        <f>IFERROR(__xludf.DUMMYFUNCTION("""COMPUTED_VALUE"""),4.0)</f>
        <v>4</v>
      </c>
      <c r="I1100" s="251">
        <f>IFERROR(__xludf.DUMMYFUNCTION("""COMPUTED_VALUE"""),4.0)</f>
        <v>4</v>
      </c>
      <c r="J1100" s="251">
        <f>IFERROR(__xludf.DUMMYFUNCTION("""COMPUTED_VALUE"""),1.0)</f>
        <v>1</v>
      </c>
      <c r="K1100" s="251" t="str">
        <f>IFERROR(__xludf.DUMMYFUNCTION("""COMPUTED_VALUE"""),"Small")</f>
        <v>Small</v>
      </c>
      <c r="L1100" s="251">
        <f>IFERROR(__xludf.DUMMYFUNCTION("""COMPUTED_VALUE"""),1.0)</f>
        <v>1</v>
      </c>
      <c r="M1100" s="251" t="str">
        <f>IFERROR(__xludf.DUMMYFUNCTION("""COMPUTED_VALUE"""),"Ocean")</f>
        <v>Ocean</v>
      </c>
      <c r="N1100" s="251" t="str">
        <f>IFERROR(__xludf.DUMMYFUNCTION("""COMPUTED_VALUE"""),"Swimmer")</f>
        <v>Swimmer</v>
      </c>
      <c r="O1100" s="251" t="str">
        <f>IFERROR(__xludf.DUMMYFUNCTION("""COMPUTED_VALUE"""),"--")</f>
        <v>--</v>
      </c>
      <c r="P1100" s="251" t="str">
        <f>IFERROR(__xludf.DUMMYFUNCTION("""COMPUTED_VALUE"""),"--")</f>
        <v>--</v>
      </c>
      <c r="Q1100" s="251" t="str">
        <f>IFERROR(__xludf.DUMMYFUNCTION("""COMPUTED_VALUE"""),"--")</f>
        <v>--</v>
      </c>
      <c r="R1100" s="251" t="str">
        <f>IFERROR(__xludf.DUMMYFUNCTION("""COMPUTED_VALUE"""),"Form Change")</f>
        <v>Form Change</v>
      </c>
      <c r="S1100" s="251" t="str">
        <f>IFERROR(__xludf.DUMMYFUNCTION("""COMPUTED_VALUE"""),"--")</f>
        <v>--</v>
      </c>
      <c r="T1100" s="251" t="str">
        <f>IFERROR(__xludf.DUMMYFUNCTION("""COMPUTED_VALUE"""),"--")</f>
        <v>--</v>
      </c>
      <c r="U1100" s="251" t="str">
        <f>IFERROR(__xludf.DUMMYFUNCTION("""COMPUTED_VALUE"""),"--")</f>
        <v>--</v>
      </c>
      <c r="V1100" s="251" t="str">
        <f>IFERROR(__xludf.DUMMYFUNCTION("""COMPUTED_VALUE"""),"Gilled")</f>
        <v>Gilled</v>
      </c>
      <c r="W1100" s="251" t="str">
        <f>IFERROR(__xludf.DUMMYFUNCTION("""COMPUTED_VALUE"""),"Glow")</f>
        <v>Glow</v>
      </c>
      <c r="X1100" s="251" t="str">
        <f>IFERROR(__xludf.DUMMYFUNCTION("""COMPUTED_VALUE"""),"--")</f>
        <v>--</v>
      </c>
      <c r="Y1100" s="251" t="str">
        <f>IFERROR(__xludf.DUMMYFUNCTION("""COMPUTED_VALUE"""),"--")</f>
        <v>--</v>
      </c>
      <c r="Z1100" s="251" t="str">
        <f>IFERROR(__xludf.DUMMYFUNCTION("""COMPUTED_VALUE"""),"--")</f>
        <v>--</v>
      </c>
      <c r="AA1100" s="251" t="str">
        <f>IFERROR(__xludf.DUMMYFUNCTION("""COMPUTED_VALUE"""),"--")</f>
        <v>--</v>
      </c>
      <c r="AB1100" s="251" t="str">
        <f>IFERROR(__xludf.DUMMYFUNCTION("""COMPUTED_VALUE"""),"--")</f>
        <v>--</v>
      </c>
      <c r="AC1100" s="251" t="str">
        <f>IFERROR(__xludf.DUMMYFUNCTION("""COMPUTED_VALUE"""),"--")</f>
        <v>--</v>
      </c>
      <c r="AD1100" s="251">
        <f>IFERROR(__xludf.DUMMYFUNCTION("""COMPUTED_VALUE"""),3.0)</f>
        <v>3</v>
      </c>
      <c r="AE1100" s="251" t="str">
        <f>IFERROR(__xludf.DUMMYFUNCTION("""COMPUTED_VALUE"""),"Herbivore")</f>
        <v>Herbivore</v>
      </c>
    </row>
    <row r="1101">
      <c r="A1101" s="251" t="str">
        <f>IFERROR(__xludf.DUMMYFUNCTION("""COMPUTED_VALUE"""),"Wishiwashi Schooling")</f>
        <v>Wishiwashi Schooling</v>
      </c>
      <c r="B1101" s="251" t="str">
        <f>IFERROR(__xludf.DUMMYFUNCTION("""COMPUTED_VALUE"""),"Water")</f>
        <v>Water</v>
      </c>
      <c r="C1101" s="251" t="str">
        <f>IFERROR(__xludf.DUMMYFUNCTION("""COMPUTED_VALUE"""),"None")</f>
        <v>None</v>
      </c>
      <c r="D1101" s="251">
        <f>IFERROR(__xludf.DUMMYFUNCTION("""COMPUTED_VALUE"""),5.0)</f>
        <v>5</v>
      </c>
      <c r="E1101" s="251">
        <f>IFERROR(__xludf.DUMMYFUNCTION("""COMPUTED_VALUE"""),14.0)</f>
        <v>14</v>
      </c>
      <c r="F1101" s="251">
        <f>IFERROR(__xludf.DUMMYFUNCTION("""COMPUTED_VALUE"""),13.0)</f>
        <v>13</v>
      </c>
      <c r="G1101" s="251">
        <f>IFERROR(__xludf.DUMMYFUNCTION("""COMPUTED_VALUE"""),14.0)</f>
        <v>14</v>
      </c>
      <c r="H1101" s="251">
        <f>IFERROR(__xludf.DUMMYFUNCTION("""COMPUTED_VALUE"""),14.0)</f>
        <v>14</v>
      </c>
      <c r="I1101" s="251">
        <f>IFERROR(__xludf.DUMMYFUNCTION("""COMPUTED_VALUE"""),3.0)</f>
        <v>3</v>
      </c>
      <c r="J1101" s="251">
        <f>IFERROR(__xludf.DUMMYFUNCTION("""COMPUTED_VALUE"""),8.0)</f>
        <v>8</v>
      </c>
      <c r="K1101" s="251" t="str">
        <f>IFERROR(__xludf.DUMMYFUNCTION("""COMPUTED_VALUE"""),"Huge")</f>
        <v>Huge</v>
      </c>
      <c r="L1101" s="251">
        <f>IFERROR(__xludf.DUMMYFUNCTION("""COMPUTED_VALUE"""),3.0)</f>
        <v>3</v>
      </c>
      <c r="M1101" s="251" t="str">
        <f>IFERROR(__xludf.DUMMYFUNCTION("""COMPUTED_VALUE"""),"Ocean")</f>
        <v>Ocean</v>
      </c>
      <c r="N1101" s="251" t="str">
        <f>IFERROR(__xludf.DUMMYFUNCTION("""COMPUTED_VALUE"""),"Swimmer")</f>
        <v>Swimmer</v>
      </c>
      <c r="O1101" s="251" t="str">
        <f>IFERROR(__xludf.DUMMYFUNCTION("""COMPUTED_VALUE"""),"--")</f>
        <v>--</v>
      </c>
      <c r="P1101" s="251" t="str">
        <f>IFERROR(__xludf.DUMMYFUNCTION("""COMPUTED_VALUE"""),"--")</f>
        <v>--</v>
      </c>
      <c r="Q1101" s="251" t="str">
        <f>IFERROR(__xludf.DUMMYFUNCTION("""COMPUTED_VALUE"""),"--")</f>
        <v>--</v>
      </c>
      <c r="R1101" s="251" t="str">
        <f>IFERROR(__xludf.DUMMYFUNCTION("""COMPUTED_VALUE"""),"Form Change")</f>
        <v>Form Change</v>
      </c>
      <c r="S1101" s="251" t="str">
        <f>IFERROR(__xludf.DUMMYFUNCTION("""COMPUTED_VALUE"""),"--")</f>
        <v>--</v>
      </c>
      <c r="T1101" s="251" t="str">
        <f>IFERROR(__xludf.DUMMYFUNCTION("""COMPUTED_VALUE"""),"--")</f>
        <v>--</v>
      </c>
      <c r="U1101" s="251" t="str">
        <f>IFERROR(__xludf.DUMMYFUNCTION("""COMPUTED_VALUE"""),"--")</f>
        <v>--</v>
      </c>
      <c r="V1101" s="251" t="str">
        <f>IFERROR(__xludf.DUMMYFUNCTION("""COMPUTED_VALUE"""),"Gilled")</f>
        <v>Gilled</v>
      </c>
      <c r="W1101" s="251" t="str">
        <f>IFERROR(__xludf.DUMMYFUNCTION("""COMPUTED_VALUE"""),"Glow")</f>
        <v>Glow</v>
      </c>
      <c r="X1101" s="251" t="str">
        <f>IFERROR(__xludf.DUMMYFUNCTION("""COMPUTED_VALUE"""),"Mindlock")</f>
        <v>Mindlock</v>
      </c>
      <c r="Y1101" s="251" t="str">
        <f>IFERROR(__xludf.DUMMYFUNCTION("""COMPUTED_VALUE"""),"--")</f>
        <v>--</v>
      </c>
      <c r="Z1101" s="251" t="str">
        <f>IFERROR(__xludf.DUMMYFUNCTION("""COMPUTED_VALUE"""),"--")</f>
        <v>--</v>
      </c>
      <c r="AA1101" s="251" t="str">
        <f>IFERROR(__xludf.DUMMYFUNCTION("""COMPUTED_VALUE"""),"--")</f>
        <v>--</v>
      </c>
      <c r="AB1101" s="251" t="str">
        <f>IFERROR(__xludf.DUMMYFUNCTION("""COMPUTED_VALUE"""),"--")</f>
        <v>--</v>
      </c>
      <c r="AC1101" s="251" t="str">
        <f>IFERROR(__xludf.DUMMYFUNCTION("""COMPUTED_VALUE"""),"--")</f>
        <v>--</v>
      </c>
      <c r="AD1101" s="251">
        <f>IFERROR(__xludf.DUMMYFUNCTION("""COMPUTED_VALUE"""),3.0)</f>
        <v>3</v>
      </c>
      <c r="AE1101" s="251" t="str">
        <f>IFERROR(__xludf.DUMMYFUNCTION("""COMPUTED_VALUE"""),"Herbivore")</f>
        <v>Herbivore</v>
      </c>
    </row>
    <row r="1102">
      <c r="A1102" s="251" t="str">
        <f>IFERROR(__xludf.DUMMYFUNCTION("""COMPUTED_VALUE"""),"Pyukumuku")</f>
        <v>Pyukumuku</v>
      </c>
      <c r="B1102" s="251" t="str">
        <f>IFERROR(__xludf.DUMMYFUNCTION("""COMPUTED_VALUE"""),"Water")</f>
        <v>Water</v>
      </c>
      <c r="C1102" s="251" t="str">
        <f>IFERROR(__xludf.DUMMYFUNCTION("""COMPUTED_VALUE"""),"None")</f>
        <v>None</v>
      </c>
      <c r="D1102" s="251">
        <f>IFERROR(__xludf.DUMMYFUNCTION("""COMPUTED_VALUE"""),6.0)</f>
        <v>6</v>
      </c>
      <c r="E1102" s="251">
        <f>IFERROR(__xludf.DUMMYFUNCTION("""COMPUTED_VALUE"""),6.0)</f>
        <v>6</v>
      </c>
      <c r="F1102" s="251">
        <f>IFERROR(__xludf.DUMMYFUNCTION("""COMPUTED_VALUE"""),13.0)</f>
        <v>13</v>
      </c>
      <c r="G1102" s="251">
        <f>IFERROR(__xludf.DUMMYFUNCTION("""COMPUTED_VALUE"""),3.0)</f>
        <v>3</v>
      </c>
      <c r="H1102" s="251">
        <f>IFERROR(__xludf.DUMMYFUNCTION("""COMPUTED_VALUE"""),13.0)</f>
        <v>13</v>
      </c>
      <c r="I1102" s="251">
        <f>IFERROR(__xludf.DUMMYFUNCTION("""COMPUTED_VALUE"""),1.0)</f>
        <v>1</v>
      </c>
      <c r="J1102" s="251">
        <f>IFERROR(__xludf.DUMMYFUNCTION("""COMPUTED_VALUE"""),2.0)</f>
        <v>2</v>
      </c>
      <c r="K1102" s="251" t="str">
        <f>IFERROR(__xludf.DUMMYFUNCTION("""COMPUTED_VALUE"""),"Small")</f>
        <v>Small</v>
      </c>
      <c r="L1102" s="251">
        <f>IFERROR(__xludf.DUMMYFUNCTION("""COMPUTED_VALUE"""),1.0)</f>
        <v>1</v>
      </c>
      <c r="M1102" s="251" t="str">
        <f>IFERROR(__xludf.DUMMYFUNCTION("""COMPUTED_VALUE"""),"Ocean")</f>
        <v>Ocean</v>
      </c>
      <c r="N1102" s="251" t="str">
        <f>IFERROR(__xludf.DUMMYFUNCTION("""COMPUTED_VALUE"""),"Slow")</f>
        <v>Slow</v>
      </c>
      <c r="O1102" s="251" t="str">
        <f>IFERROR(__xludf.DUMMYFUNCTION("""COMPUTED_VALUE"""),"Swimmer")</f>
        <v>Swimmer</v>
      </c>
      <c r="P1102" s="251" t="str">
        <f>IFERROR(__xludf.DUMMYFUNCTION("""COMPUTED_VALUE"""),"--")</f>
        <v>--</v>
      </c>
      <c r="Q1102" s="251" t="str">
        <f>IFERROR(__xludf.DUMMYFUNCTION("""COMPUTED_VALUE"""),"--")</f>
        <v>--</v>
      </c>
      <c r="R1102" s="251" t="str">
        <f>IFERROR(__xludf.DUMMYFUNCTION("""COMPUTED_VALUE"""),"Reach")</f>
        <v>Reach</v>
      </c>
      <c r="S1102" s="251" t="str">
        <f>IFERROR(__xludf.DUMMYFUNCTION("""COMPUTED_VALUE"""),"Underdog")</f>
        <v>Underdog</v>
      </c>
      <c r="T1102" s="251" t="str">
        <f>IFERROR(__xludf.DUMMYFUNCTION("""COMPUTED_VALUE"""),"--")</f>
        <v>--</v>
      </c>
      <c r="U1102" s="251" t="str">
        <f>IFERROR(__xludf.DUMMYFUNCTION("""COMPUTED_VALUE"""),"--")</f>
        <v>--</v>
      </c>
      <c r="V1102" s="251" t="str">
        <f>IFERROR(__xludf.DUMMYFUNCTION("""COMPUTED_VALUE"""),"Amorphous")</f>
        <v>Amorphous</v>
      </c>
      <c r="W1102" s="251" t="str">
        <f>IFERROR(__xludf.DUMMYFUNCTION("""COMPUTED_VALUE"""),"Gilled")</f>
        <v>Gilled</v>
      </c>
      <c r="X1102" s="251" t="str">
        <f>IFERROR(__xludf.DUMMYFUNCTION("""COMPUTED_VALUE"""),"--")</f>
        <v>--</v>
      </c>
      <c r="Y1102" s="251" t="str">
        <f>IFERROR(__xludf.DUMMYFUNCTION("""COMPUTED_VALUE"""),"--")</f>
        <v>--</v>
      </c>
      <c r="Z1102" s="251" t="str">
        <f>IFERROR(__xludf.DUMMYFUNCTION("""COMPUTED_VALUE"""),"--")</f>
        <v>--</v>
      </c>
      <c r="AA1102" s="251" t="str">
        <f>IFERROR(__xludf.DUMMYFUNCTION("""COMPUTED_VALUE"""),"--")</f>
        <v>--</v>
      </c>
      <c r="AB1102" s="251" t="str">
        <f>IFERROR(__xludf.DUMMYFUNCTION("""COMPUTED_VALUE"""),"--")</f>
        <v>--</v>
      </c>
      <c r="AC1102" s="251" t="str">
        <f>IFERROR(__xludf.DUMMYFUNCTION("""COMPUTED_VALUE"""),"--")</f>
        <v>--</v>
      </c>
      <c r="AD1102" s="251">
        <f>IFERROR(__xludf.DUMMYFUNCTION("""COMPUTED_VALUE"""),3.0)</f>
        <v>3</v>
      </c>
      <c r="AE1102" s="251" t="str">
        <f>IFERROR(__xludf.DUMMYFUNCTION("""COMPUTED_VALUE"""),"Omnivore")</f>
        <v>Omnivore</v>
      </c>
    </row>
    <row r="1103">
      <c r="A1103" s="251" t="str">
        <f>IFERROR(__xludf.DUMMYFUNCTION("""COMPUTED_VALUE"""),"Bruxish")</f>
        <v>Bruxish</v>
      </c>
      <c r="B1103" s="251" t="str">
        <f>IFERROR(__xludf.DUMMYFUNCTION("""COMPUTED_VALUE"""),"Water")</f>
        <v>Water</v>
      </c>
      <c r="C1103" s="251" t="str">
        <f>IFERROR(__xludf.DUMMYFUNCTION("""COMPUTED_VALUE"""),"Psychic")</f>
        <v>Psychic</v>
      </c>
      <c r="D1103" s="251">
        <f>IFERROR(__xludf.DUMMYFUNCTION("""COMPUTED_VALUE"""),8.0)</f>
        <v>8</v>
      </c>
      <c r="E1103" s="251">
        <f>IFERROR(__xludf.DUMMYFUNCTION("""COMPUTED_VALUE"""),11.0)</f>
        <v>11</v>
      </c>
      <c r="F1103" s="251">
        <f>IFERROR(__xludf.DUMMYFUNCTION("""COMPUTED_VALUE"""),7.0)</f>
        <v>7</v>
      </c>
      <c r="G1103" s="251">
        <f>IFERROR(__xludf.DUMMYFUNCTION("""COMPUTED_VALUE"""),7.0)</f>
        <v>7</v>
      </c>
      <c r="H1103" s="251">
        <f>IFERROR(__xludf.DUMMYFUNCTION("""COMPUTED_VALUE"""),7.0)</f>
        <v>7</v>
      </c>
      <c r="I1103" s="251">
        <f>IFERROR(__xludf.DUMMYFUNCTION("""COMPUTED_VALUE"""),11.0)</f>
        <v>11</v>
      </c>
      <c r="J1103" s="251">
        <f>IFERROR(__xludf.DUMMYFUNCTION("""COMPUTED_VALUE"""),5.0)</f>
        <v>5</v>
      </c>
      <c r="K1103" s="251" t="str">
        <f>IFERROR(__xludf.DUMMYFUNCTION("""COMPUTED_VALUE"""),"Small")</f>
        <v>Small</v>
      </c>
      <c r="L1103" s="251">
        <f>IFERROR(__xludf.DUMMYFUNCTION("""COMPUTED_VALUE"""),2.0)</f>
        <v>2</v>
      </c>
      <c r="M1103" s="251" t="str">
        <f>IFERROR(__xludf.DUMMYFUNCTION("""COMPUTED_VALUE"""),"Ocean")</f>
        <v>Ocean</v>
      </c>
      <c r="N1103" s="251" t="str">
        <f>IFERROR(__xludf.DUMMYFUNCTION("""COMPUTED_VALUE"""),"Swimmer")</f>
        <v>Swimmer</v>
      </c>
      <c r="O1103" s="251" t="str">
        <f>IFERROR(__xludf.DUMMYFUNCTION("""COMPUTED_VALUE"""),"--")</f>
        <v>--</v>
      </c>
      <c r="P1103" s="251" t="str">
        <f>IFERROR(__xludf.DUMMYFUNCTION("""COMPUTED_VALUE"""),"--")</f>
        <v>--</v>
      </c>
      <c r="Q1103" s="251" t="str">
        <f>IFERROR(__xludf.DUMMYFUNCTION("""COMPUTED_VALUE"""),"--")</f>
        <v>--</v>
      </c>
      <c r="R1103" s="251" t="str">
        <f>IFERROR(__xludf.DUMMYFUNCTION("""COMPUTED_VALUE"""),"Telekinetic")</f>
        <v>Telekinetic</v>
      </c>
      <c r="S1103" s="251" t="str">
        <f>IFERROR(__xludf.DUMMYFUNCTION("""COMPUTED_VALUE"""),"--")</f>
        <v>--</v>
      </c>
      <c r="T1103" s="251" t="str">
        <f>IFERROR(__xludf.DUMMYFUNCTION("""COMPUTED_VALUE"""),"--")</f>
        <v>--</v>
      </c>
      <c r="U1103" s="251" t="str">
        <f>IFERROR(__xludf.DUMMYFUNCTION("""COMPUTED_VALUE"""),"--")</f>
        <v>--</v>
      </c>
      <c r="V1103" s="251" t="str">
        <f>IFERROR(__xludf.DUMMYFUNCTION("""COMPUTED_VALUE"""),"Gilled")</f>
        <v>Gilled</v>
      </c>
      <c r="W1103" s="251" t="str">
        <f>IFERROR(__xludf.DUMMYFUNCTION("""COMPUTED_VALUE"""),"--")</f>
        <v>--</v>
      </c>
      <c r="X1103" s="251" t="str">
        <f>IFERROR(__xludf.DUMMYFUNCTION("""COMPUTED_VALUE"""),"--")</f>
        <v>--</v>
      </c>
      <c r="Y1103" s="251" t="str">
        <f>IFERROR(__xludf.DUMMYFUNCTION("""COMPUTED_VALUE"""),"--")</f>
        <v>--</v>
      </c>
      <c r="Z1103" s="251" t="str">
        <f>IFERROR(__xludf.DUMMYFUNCTION("""COMPUTED_VALUE"""),"--")</f>
        <v>--</v>
      </c>
      <c r="AA1103" s="251" t="str">
        <f>IFERROR(__xludf.DUMMYFUNCTION("""COMPUTED_VALUE"""),"--")</f>
        <v>--</v>
      </c>
      <c r="AB1103" s="251" t="str">
        <f>IFERROR(__xludf.DUMMYFUNCTION("""COMPUTED_VALUE"""),"--")</f>
        <v>--</v>
      </c>
      <c r="AC1103" s="251" t="str">
        <f>IFERROR(__xludf.DUMMYFUNCTION("""COMPUTED_VALUE"""),"--")</f>
        <v>--</v>
      </c>
      <c r="AD1103" s="251">
        <f>IFERROR(__xludf.DUMMYFUNCTION("""COMPUTED_VALUE"""),3.0)</f>
        <v>3</v>
      </c>
      <c r="AE1103" s="251" t="str">
        <f>IFERROR(__xludf.DUMMYFUNCTION("""COMPUTED_VALUE"""),"Carnivore")</f>
        <v>Carnivore</v>
      </c>
    </row>
    <row r="1104">
      <c r="A1104" s="251" t="str">
        <f>IFERROR(__xludf.DUMMYFUNCTION("""COMPUTED_VALUE"""),"Dracovish")</f>
        <v>Dracovish</v>
      </c>
      <c r="B1104" s="251" t="str">
        <f>IFERROR(__xludf.DUMMYFUNCTION("""COMPUTED_VALUE"""),"Water")</f>
        <v>Water</v>
      </c>
      <c r="C1104" s="251" t="str">
        <f>IFERROR(__xludf.DUMMYFUNCTION("""COMPUTED_VALUE"""),"Dragon")</f>
        <v>Dragon</v>
      </c>
      <c r="D1104" s="251">
        <f>IFERROR(__xludf.DUMMYFUNCTION("""COMPUTED_VALUE"""),9.0)</f>
        <v>9</v>
      </c>
      <c r="E1104" s="251">
        <f>IFERROR(__xludf.DUMMYFUNCTION("""COMPUTED_VALUE"""),9.0)</f>
        <v>9</v>
      </c>
      <c r="F1104" s="251">
        <f>IFERROR(__xludf.DUMMYFUNCTION("""COMPUTED_VALUE"""),10.0)</f>
        <v>10</v>
      </c>
      <c r="G1104" s="251">
        <f>IFERROR(__xludf.DUMMYFUNCTION("""COMPUTED_VALUE"""),7.0)</f>
        <v>7</v>
      </c>
      <c r="H1104" s="251">
        <f>IFERROR(__xludf.DUMMYFUNCTION("""COMPUTED_VALUE"""),8.0)</f>
        <v>8</v>
      </c>
      <c r="I1104" s="251">
        <f>IFERROR(__xludf.DUMMYFUNCTION("""COMPUTED_VALUE"""),8.0)</f>
        <v>8</v>
      </c>
      <c r="J1104" s="251">
        <f>IFERROR(__xludf.DUMMYFUNCTION("""COMPUTED_VALUE"""),6.0)</f>
        <v>6</v>
      </c>
      <c r="K1104" s="251" t="str">
        <f>IFERROR(__xludf.DUMMYFUNCTION("""COMPUTED_VALUE"""),"Large")</f>
        <v>Large</v>
      </c>
      <c r="L1104" s="251">
        <f>IFERROR(__xludf.DUMMYFUNCTION("""COMPUTED_VALUE"""),5.0)</f>
        <v>5</v>
      </c>
      <c r="M1104" s="251" t="str">
        <f>IFERROR(__xludf.DUMMYFUNCTION("""COMPUTED_VALUE"""),"Cave, Ocean")</f>
        <v>Cave, Ocean</v>
      </c>
      <c r="N1104" s="251" t="str">
        <f>IFERROR(__xludf.DUMMYFUNCTION("""COMPUTED_VALUE"""),"Quick")</f>
        <v>Quick</v>
      </c>
      <c r="O1104" s="251" t="str">
        <f>IFERROR(__xludf.DUMMYFUNCTION("""COMPUTED_VALUE"""),"--")</f>
        <v>--</v>
      </c>
      <c r="P1104" s="251" t="str">
        <f>IFERROR(__xludf.DUMMYFUNCTION("""COMPUTED_VALUE"""),"--")</f>
        <v>--</v>
      </c>
      <c r="Q1104" s="251" t="str">
        <f>IFERROR(__xludf.DUMMYFUNCTION("""COMPUTED_VALUE"""),"--")</f>
        <v>--</v>
      </c>
      <c r="R1104" s="251" t="str">
        <f>IFERROR(__xludf.DUMMYFUNCTION("""COMPUTED_VALUE"""),"Mountable")</f>
        <v>Mountable</v>
      </c>
      <c r="S1104" s="251" t="str">
        <f>IFERROR(__xludf.DUMMYFUNCTION("""COMPUTED_VALUE"""),"--")</f>
        <v>--</v>
      </c>
      <c r="T1104" s="251" t="str">
        <f>IFERROR(__xludf.DUMMYFUNCTION("""COMPUTED_VALUE"""),"--")</f>
        <v>--</v>
      </c>
      <c r="U1104" s="251" t="str">
        <f>IFERROR(__xludf.DUMMYFUNCTION("""COMPUTED_VALUE"""),"--")</f>
        <v>--</v>
      </c>
      <c r="V1104" s="251" t="str">
        <f>IFERROR(__xludf.DUMMYFUNCTION("""COMPUTED_VALUE"""),"Gilled")</f>
        <v>Gilled</v>
      </c>
      <c r="W1104" s="251" t="str">
        <f>IFERROR(__xludf.DUMMYFUNCTION("""COMPUTED_VALUE"""),"--")</f>
        <v>--</v>
      </c>
      <c r="X1104" s="251" t="str">
        <f>IFERROR(__xludf.DUMMYFUNCTION("""COMPUTED_VALUE"""),"--")</f>
        <v>--</v>
      </c>
      <c r="Y1104" s="251" t="str">
        <f>IFERROR(__xludf.DUMMYFUNCTION("""COMPUTED_VALUE"""),"--")</f>
        <v>--</v>
      </c>
      <c r="Z1104" s="251" t="str">
        <f>IFERROR(__xludf.DUMMYFUNCTION("""COMPUTED_VALUE"""),"--")</f>
        <v>--</v>
      </c>
      <c r="AA1104" s="251" t="str">
        <f>IFERROR(__xludf.DUMMYFUNCTION("""COMPUTED_VALUE"""),"--")</f>
        <v>--</v>
      </c>
      <c r="AB1104" s="251" t="str">
        <f>IFERROR(__xludf.DUMMYFUNCTION("""COMPUTED_VALUE"""),"--")</f>
        <v>--</v>
      </c>
      <c r="AC1104" s="251" t="str">
        <f>IFERROR(__xludf.DUMMYFUNCTION("""COMPUTED_VALUE"""),"--")</f>
        <v>--</v>
      </c>
      <c r="AD1104" s="251">
        <f>IFERROR(__xludf.DUMMYFUNCTION("""COMPUTED_VALUE"""),3.0)</f>
        <v>3</v>
      </c>
      <c r="AE1104" s="251" t="str">
        <f>IFERROR(__xludf.DUMMYFUNCTION("""COMPUTED_VALUE"""),"Herbivore")</f>
        <v>Herbivore</v>
      </c>
    </row>
    <row r="1105">
      <c r="A1105" s="251" t="str">
        <f>IFERROR(__xludf.DUMMYFUNCTION("""COMPUTED_VALUE"""),"Arctovish")</f>
        <v>Arctovish</v>
      </c>
      <c r="B1105" s="251" t="str">
        <f>IFERROR(__xludf.DUMMYFUNCTION("""COMPUTED_VALUE"""),"Water")</f>
        <v>Water</v>
      </c>
      <c r="C1105" s="251" t="str">
        <f>IFERROR(__xludf.DUMMYFUNCTION("""COMPUTED_VALUE"""),"Ice")</f>
        <v>Ice</v>
      </c>
      <c r="D1105" s="251">
        <f>IFERROR(__xludf.DUMMYFUNCTION("""COMPUTED_VALUE"""),9.0)</f>
        <v>9</v>
      </c>
      <c r="E1105" s="251">
        <f>IFERROR(__xludf.DUMMYFUNCTION("""COMPUTED_VALUE"""),9.0)</f>
        <v>9</v>
      </c>
      <c r="F1105" s="251">
        <f>IFERROR(__xludf.DUMMYFUNCTION("""COMPUTED_VALUE"""),10.0)</f>
        <v>10</v>
      </c>
      <c r="G1105" s="251">
        <f>IFERROR(__xludf.DUMMYFUNCTION("""COMPUTED_VALUE"""),8.0)</f>
        <v>8</v>
      </c>
      <c r="H1105" s="251">
        <f>IFERROR(__xludf.DUMMYFUNCTION("""COMPUTED_VALUE"""),9.0)</f>
        <v>9</v>
      </c>
      <c r="I1105" s="251">
        <f>IFERROR(__xludf.DUMMYFUNCTION("""COMPUTED_VALUE"""),6.0)</f>
        <v>6</v>
      </c>
      <c r="J1105" s="251">
        <f>IFERROR(__xludf.DUMMYFUNCTION("""COMPUTED_VALUE"""),7.0)</f>
        <v>7</v>
      </c>
      <c r="K1105" s="251" t="str">
        <f>IFERROR(__xludf.DUMMYFUNCTION("""COMPUTED_VALUE"""),"Large")</f>
        <v>Large</v>
      </c>
      <c r="L1105" s="251">
        <f>IFERROR(__xludf.DUMMYFUNCTION("""COMPUTED_VALUE"""),5.0)</f>
        <v>5</v>
      </c>
      <c r="M1105" s="251" t="str">
        <f>IFERROR(__xludf.DUMMYFUNCTION("""COMPUTED_VALUE"""),"Ocean, Tundra")</f>
        <v>Ocean, Tundra</v>
      </c>
      <c r="N1105" s="251" t="str">
        <f>IFERROR(__xludf.DUMMYFUNCTION("""COMPUTED_VALUE"""),"Quick")</f>
        <v>Quick</v>
      </c>
      <c r="O1105" s="251" t="str">
        <f>IFERROR(__xludf.DUMMYFUNCTION("""COMPUTED_VALUE"""),"Swimmer")</f>
        <v>Swimmer</v>
      </c>
      <c r="P1105" s="251" t="str">
        <f>IFERROR(__xludf.DUMMYFUNCTION("""COMPUTED_VALUE"""),"--")</f>
        <v>--</v>
      </c>
      <c r="Q1105" s="251" t="str">
        <f>IFERROR(__xludf.DUMMYFUNCTION("""COMPUTED_VALUE"""),"--")</f>
        <v>--</v>
      </c>
      <c r="R1105" s="251" t="str">
        <f>IFERROR(__xludf.DUMMYFUNCTION("""COMPUTED_VALUE"""),"Mountable")</f>
        <v>Mountable</v>
      </c>
      <c r="S1105" s="251" t="str">
        <f>IFERROR(__xludf.DUMMYFUNCTION("""COMPUTED_VALUE"""),"--")</f>
        <v>--</v>
      </c>
      <c r="T1105" s="251" t="str">
        <f>IFERROR(__xludf.DUMMYFUNCTION("""COMPUTED_VALUE"""),"--")</f>
        <v>--</v>
      </c>
      <c r="U1105" s="251" t="str">
        <f>IFERROR(__xludf.DUMMYFUNCTION("""COMPUTED_VALUE"""),"--")</f>
        <v>--</v>
      </c>
      <c r="V1105" s="251" t="str">
        <f>IFERROR(__xludf.DUMMYFUNCTION("""COMPUTED_VALUE"""),"Chilled")</f>
        <v>Chilled</v>
      </c>
      <c r="W1105" s="251" t="str">
        <f>IFERROR(__xludf.DUMMYFUNCTION("""COMPUTED_VALUE"""),"Gilled")</f>
        <v>Gilled</v>
      </c>
      <c r="X1105" s="251" t="str">
        <f>IFERROR(__xludf.DUMMYFUNCTION("""COMPUTED_VALUE"""),"--")</f>
        <v>--</v>
      </c>
      <c r="Y1105" s="251" t="str">
        <f>IFERROR(__xludf.DUMMYFUNCTION("""COMPUTED_VALUE"""),"--")</f>
        <v>--</v>
      </c>
      <c r="Z1105" s="251" t="str">
        <f>IFERROR(__xludf.DUMMYFUNCTION("""COMPUTED_VALUE"""),"--")</f>
        <v>--</v>
      </c>
      <c r="AA1105" s="251" t="str">
        <f>IFERROR(__xludf.DUMMYFUNCTION("""COMPUTED_VALUE"""),"--")</f>
        <v>--</v>
      </c>
      <c r="AB1105" s="251" t="str">
        <f>IFERROR(__xludf.DUMMYFUNCTION("""COMPUTED_VALUE"""),"--")</f>
        <v>--</v>
      </c>
      <c r="AC1105" s="251" t="str">
        <f>IFERROR(__xludf.DUMMYFUNCTION("""COMPUTED_VALUE"""),"--")</f>
        <v>--</v>
      </c>
      <c r="AD1105" s="251">
        <f>IFERROR(__xludf.DUMMYFUNCTION("""COMPUTED_VALUE"""),3.0)</f>
        <v>3</v>
      </c>
      <c r="AE1105" s="251" t="str">
        <f>IFERROR(__xludf.DUMMYFUNCTION("""COMPUTED_VALUE"""),"Herbivore")</f>
        <v>Herbivore</v>
      </c>
    </row>
    <row r="1106">
      <c r="A1106" s="251" t="str">
        <f>IFERROR(__xludf.DUMMYFUNCTION("""COMPUTED_VALUE"""),"Finizen")</f>
        <v>Finizen</v>
      </c>
      <c r="B1106" s="251" t="str">
        <f>IFERROR(__xludf.DUMMYFUNCTION("""COMPUTED_VALUE"""),"Water")</f>
        <v>Water</v>
      </c>
      <c r="C1106" s="251" t="str">
        <f>IFERROR(__xludf.DUMMYFUNCTION("""COMPUTED_VALUE"""),"None")</f>
        <v>None</v>
      </c>
      <c r="D1106" s="251">
        <f>IFERROR(__xludf.DUMMYFUNCTION("""COMPUTED_VALUE"""),10.0)</f>
        <v>10</v>
      </c>
      <c r="E1106" s="251">
        <f>IFERROR(__xludf.DUMMYFUNCTION("""COMPUTED_VALUE"""),9.0)</f>
        <v>9</v>
      </c>
      <c r="F1106" s="251">
        <f>IFERROR(__xludf.DUMMYFUNCTION("""COMPUTED_VALUE"""),8.0)</f>
        <v>8</v>
      </c>
      <c r="G1106" s="251">
        <f>IFERROR(__xludf.DUMMYFUNCTION("""COMPUTED_VALUE"""),7.0)</f>
        <v>7</v>
      </c>
      <c r="H1106" s="251">
        <f>IFERROR(__xludf.DUMMYFUNCTION("""COMPUTED_VALUE"""),7.0)</f>
        <v>7</v>
      </c>
      <c r="I1106" s="251">
        <f>IFERROR(__xludf.DUMMYFUNCTION("""COMPUTED_VALUE"""),10.0)</f>
        <v>10</v>
      </c>
      <c r="J1106" s="251">
        <f>IFERROR(__xludf.DUMMYFUNCTION("""COMPUTED_VALUE"""),1.0)</f>
        <v>1</v>
      </c>
      <c r="K1106" s="251" t="str">
        <f>IFERROR(__xludf.DUMMYFUNCTION("""COMPUTED_VALUE"""),"Medium")</f>
        <v>Medium</v>
      </c>
      <c r="L1106" s="251">
        <f>IFERROR(__xludf.DUMMYFUNCTION("""COMPUTED_VALUE"""),4.0)</f>
        <v>4</v>
      </c>
      <c r="M1106" s="251" t="str">
        <f>IFERROR(__xludf.DUMMYFUNCTION("""COMPUTED_VALUE"""),"Ocean")</f>
        <v>Ocean</v>
      </c>
      <c r="N1106" s="251" t="str">
        <f>IFERROR(__xludf.DUMMYFUNCTION("""COMPUTED_VALUE"""),"Jumper")</f>
        <v>Jumper</v>
      </c>
      <c r="O1106" s="251" t="str">
        <f>IFERROR(__xludf.DUMMYFUNCTION("""COMPUTED_VALUE"""),"Swimmer")</f>
        <v>Swimmer</v>
      </c>
      <c r="P1106" s="251" t="str">
        <f>IFERROR(__xludf.DUMMYFUNCTION("""COMPUTED_VALUE"""),"--")</f>
        <v>--</v>
      </c>
      <c r="Q1106" s="251" t="str">
        <f>IFERROR(__xludf.DUMMYFUNCTION("""COMPUTED_VALUE"""),"--")</f>
        <v>--</v>
      </c>
      <c r="R1106" s="251" t="str">
        <f>IFERROR(__xludf.DUMMYFUNCTION("""COMPUTED_VALUE"""),"Form Change")</f>
        <v>Form Change</v>
      </c>
      <c r="S1106" s="251" t="str">
        <f>IFERROR(__xludf.DUMMYFUNCTION("""COMPUTED_VALUE"""),"--")</f>
        <v>--</v>
      </c>
      <c r="T1106" s="251" t="str">
        <f>IFERROR(__xludf.DUMMYFUNCTION("""COMPUTED_VALUE"""),"--")</f>
        <v>--</v>
      </c>
      <c r="U1106" s="251" t="str">
        <f>IFERROR(__xludf.DUMMYFUNCTION("""COMPUTED_VALUE"""),"--")</f>
        <v>--</v>
      </c>
      <c r="V1106" s="251" t="str">
        <f>IFERROR(__xludf.DUMMYFUNCTION("""COMPUTED_VALUE"""),"--")</f>
        <v>--</v>
      </c>
      <c r="W1106" s="251" t="str">
        <f>IFERROR(__xludf.DUMMYFUNCTION("""COMPUTED_VALUE"""),"--")</f>
        <v>--</v>
      </c>
      <c r="X1106" s="251" t="str">
        <f>IFERROR(__xludf.DUMMYFUNCTION("""COMPUTED_VALUE"""),"--")</f>
        <v>--</v>
      </c>
      <c r="Y1106" s="251" t="str">
        <f>IFERROR(__xludf.DUMMYFUNCTION("""COMPUTED_VALUE"""),"--")</f>
        <v>--</v>
      </c>
      <c r="Z1106" s="251" t="str">
        <f>IFERROR(__xludf.DUMMYFUNCTION("""COMPUTED_VALUE"""),"--")</f>
        <v>--</v>
      </c>
      <c r="AA1106" s="251" t="str">
        <f>IFERROR(__xludf.DUMMYFUNCTION("""COMPUTED_VALUE"""),"--")</f>
        <v>--</v>
      </c>
      <c r="AB1106" s="251" t="str">
        <f>IFERROR(__xludf.DUMMYFUNCTION("""COMPUTED_VALUE"""),"--")</f>
        <v>--</v>
      </c>
      <c r="AC1106" s="251" t="str">
        <f>IFERROR(__xludf.DUMMYFUNCTION("""COMPUTED_VALUE"""),"--")</f>
        <v>--</v>
      </c>
      <c r="AD1106" s="251">
        <f>IFERROR(__xludf.DUMMYFUNCTION("""COMPUTED_VALUE"""),3.0)</f>
        <v>3</v>
      </c>
      <c r="AE1106" s="251" t="str">
        <f>IFERROR(__xludf.DUMMYFUNCTION("""COMPUTED_VALUE"""),"Carnivore")</f>
        <v>Carnivore</v>
      </c>
    </row>
    <row r="1107">
      <c r="A1107" s="251" t="str">
        <f>IFERROR(__xludf.DUMMYFUNCTION("""COMPUTED_VALUE"""),"Palafin")</f>
        <v>Palafin</v>
      </c>
      <c r="B1107" s="251" t="str">
        <f>IFERROR(__xludf.DUMMYFUNCTION("""COMPUTED_VALUE"""),"Water")</f>
        <v>Water</v>
      </c>
      <c r="C1107" s="251" t="str">
        <f>IFERROR(__xludf.DUMMYFUNCTION("""COMPUTED_VALUE"""),"None")</f>
        <v>None</v>
      </c>
      <c r="D1107" s="251">
        <f>IFERROR(__xludf.DUMMYFUNCTION("""COMPUTED_VALUE"""),10.0)</f>
        <v>10</v>
      </c>
      <c r="E1107" s="251">
        <f>IFERROR(__xludf.DUMMYFUNCTION("""COMPUTED_VALUE"""),16.0)</f>
        <v>16</v>
      </c>
      <c r="F1107" s="251">
        <f>IFERROR(__xludf.DUMMYFUNCTION("""COMPUTED_VALUE"""),10.0)</f>
        <v>10</v>
      </c>
      <c r="G1107" s="251">
        <f>IFERROR(__xludf.DUMMYFUNCTION("""COMPUTED_VALUE"""),11.0)</f>
        <v>11</v>
      </c>
      <c r="H1107" s="251">
        <f>IFERROR(__xludf.DUMMYFUNCTION("""COMPUTED_VALUE"""),9.0)</f>
        <v>9</v>
      </c>
      <c r="I1107" s="251">
        <f>IFERROR(__xludf.DUMMYFUNCTION("""COMPUTED_VALUE"""),10.0)</f>
        <v>10</v>
      </c>
      <c r="J1107" s="251">
        <f>IFERROR(__xludf.DUMMYFUNCTION("""COMPUTED_VALUE"""),11.0)</f>
        <v>11</v>
      </c>
      <c r="K1107" s="251" t="str">
        <f>IFERROR(__xludf.DUMMYFUNCTION("""COMPUTED_VALUE"""),"Medium")</f>
        <v>Medium</v>
      </c>
      <c r="L1107" s="251">
        <f>IFERROR(__xludf.DUMMYFUNCTION("""COMPUTED_VALUE"""),4.0)</f>
        <v>4</v>
      </c>
      <c r="M1107" s="251" t="str">
        <f>IFERROR(__xludf.DUMMYFUNCTION("""COMPUTED_VALUE"""),"Ocean")</f>
        <v>Ocean</v>
      </c>
      <c r="N1107" s="251" t="str">
        <f>IFERROR(__xludf.DUMMYFUNCTION("""COMPUTED_VALUE"""),"Jumper")</f>
        <v>Jumper</v>
      </c>
      <c r="O1107" s="251" t="str">
        <f>IFERROR(__xludf.DUMMYFUNCTION("""COMPUTED_VALUE"""),"Quick")</f>
        <v>Quick</v>
      </c>
      <c r="P1107" s="251" t="str">
        <f>IFERROR(__xludf.DUMMYFUNCTION("""COMPUTED_VALUE"""),"Swimmer")</f>
        <v>Swimmer</v>
      </c>
      <c r="Q1107" s="251" t="str">
        <f>IFERROR(__xludf.DUMMYFUNCTION("""COMPUTED_VALUE"""),"--")</f>
        <v>--</v>
      </c>
      <c r="R1107" s="251" t="str">
        <f>IFERROR(__xludf.DUMMYFUNCTION("""COMPUTED_VALUE"""),"Form Change")</f>
        <v>Form Change</v>
      </c>
      <c r="S1107" s="251" t="str">
        <f>IFERROR(__xludf.DUMMYFUNCTION("""COMPUTED_VALUE"""),"--")</f>
        <v>--</v>
      </c>
      <c r="T1107" s="251" t="str">
        <f>IFERROR(__xludf.DUMMYFUNCTION("""COMPUTED_VALUE"""),"--")</f>
        <v>--</v>
      </c>
      <c r="U1107" s="251" t="str">
        <f>IFERROR(__xludf.DUMMYFUNCTION("""COMPUTED_VALUE"""),"--")</f>
        <v>--</v>
      </c>
      <c r="V1107" s="251" t="str">
        <f>IFERROR(__xludf.DUMMYFUNCTION("""COMPUTED_VALUE"""),"--")</f>
        <v>--</v>
      </c>
      <c r="W1107" s="251" t="str">
        <f>IFERROR(__xludf.DUMMYFUNCTION("""COMPUTED_VALUE"""),"--")</f>
        <v>--</v>
      </c>
      <c r="X1107" s="251" t="str">
        <f>IFERROR(__xludf.DUMMYFUNCTION("""COMPUTED_VALUE"""),"--")</f>
        <v>--</v>
      </c>
      <c r="Y1107" s="251" t="str">
        <f>IFERROR(__xludf.DUMMYFUNCTION("""COMPUTED_VALUE"""),"--")</f>
        <v>--</v>
      </c>
      <c r="Z1107" s="251" t="str">
        <f>IFERROR(__xludf.DUMMYFUNCTION("""COMPUTED_VALUE"""),"--")</f>
        <v>--</v>
      </c>
      <c r="AA1107" s="251" t="str">
        <f>IFERROR(__xludf.DUMMYFUNCTION("""COMPUTED_VALUE"""),"--")</f>
        <v>--</v>
      </c>
      <c r="AB1107" s="251" t="str">
        <f>IFERROR(__xludf.DUMMYFUNCTION("""COMPUTED_VALUE"""),"--")</f>
        <v>--</v>
      </c>
      <c r="AC1107" s="251" t="str">
        <f>IFERROR(__xludf.DUMMYFUNCTION("""COMPUTED_VALUE"""),"--")</f>
        <v>--</v>
      </c>
      <c r="AD1107" s="251">
        <f>IFERROR(__xludf.DUMMYFUNCTION("""COMPUTED_VALUE"""),3.0)</f>
        <v>3</v>
      </c>
      <c r="AE1107" s="251" t="str">
        <f>IFERROR(__xludf.DUMMYFUNCTION("""COMPUTED_VALUE"""),"Carnivore")</f>
        <v>Carnivore</v>
      </c>
    </row>
    <row r="1108">
      <c r="A1108" s="251" t="str">
        <f>IFERROR(__xludf.DUMMYFUNCTION("""COMPUTED_VALUE"""),"Dondozo")</f>
        <v>Dondozo</v>
      </c>
      <c r="B1108" s="251" t="str">
        <f>IFERROR(__xludf.DUMMYFUNCTION("""COMPUTED_VALUE"""),"Water")</f>
        <v>Water</v>
      </c>
      <c r="C1108" s="251" t="str">
        <f>IFERROR(__xludf.DUMMYFUNCTION("""COMPUTED_VALUE"""),"None")</f>
        <v>None</v>
      </c>
      <c r="D1108" s="251">
        <f>IFERROR(__xludf.DUMMYFUNCTION("""COMPUTED_VALUE"""),15.0)</f>
        <v>15</v>
      </c>
      <c r="E1108" s="251">
        <f>IFERROR(__xludf.DUMMYFUNCTION("""COMPUTED_VALUE"""),10.0)</f>
        <v>10</v>
      </c>
      <c r="F1108" s="251">
        <f>IFERROR(__xludf.DUMMYFUNCTION("""COMPUTED_VALUE"""),12.0)</f>
        <v>12</v>
      </c>
      <c r="G1108" s="251">
        <f>IFERROR(__xludf.DUMMYFUNCTION("""COMPUTED_VALUE"""),7.0)</f>
        <v>7</v>
      </c>
      <c r="H1108" s="251">
        <f>IFERROR(__xludf.DUMMYFUNCTION("""COMPUTED_VALUE"""),7.0)</f>
        <v>7</v>
      </c>
      <c r="I1108" s="251">
        <f>IFERROR(__xludf.DUMMYFUNCTION("""COMPUTED_VALUE"""),4.0)</f>
        <v>4</v>
      </c>
      <c r="J1108" s="251">
        <f>IFERROR(__xludf.DUMMYFUNCTION("""COMPUTED_VALUE"""),12.0)</f>
        <v>12</v>
      </c>
      <c r="K1108" s="251" t="str">
        <f>IFERROR(__xludf.DUMMYFUNCTION("""COMPUTED_VALUE"""),"Huge")</f>
        <v>Huge</v>
      </c>
      <c r="L1108" s="251">
        <f>IFERROR(__xludf.DUMMYFUNCTION("""COMPUTED_VALUE"""),6.0)</f>
        <v>6</v>
      </c>
      <c r="M1108" s="251" t="str">
        <f>IFERROR(__xludf.DUMMYFUNCTION("""COMPUTED_VALUE"""),"Ocean, Wetlands")</f>
        <v>Ocean, Wetlands</v>
      </c>
      <c r="N1108" s="251" t="str">
        <f>IFERROR(__xludf.DUMMYFUNCTION("""COMPUTED_VALUE"""),"Swimmer")</f>
        <v>Swimmer</v>
      </c>
      <c r="O1108" s="251" t="str">
        <f>IFERROR(__xludf.DUMMYFUNCTION("""COMPUTED_VALUE"""),"--")</f>
        <v>--</v>
      </c>
      <c r="P1108" s="251" t="str">
        <f>IFERROR(__xludf.DUMMYFUNCTION("""COMPUTED_VALUE"""),"--")</f>
        <v>--</v>
      </c>
      <c r="Q1108" s="251" t="str">
        <f>IFERROR(__xludf.DUMMYFUNCTION("""COMPUTED_VALUE"""),"--")</f>
        <v>--</v>
      </c>
      <c r="R1108" s="251" t="str">
        <f>IFERROR(__xludf.DUMMYFUNCTION("""COMPUTED_VALUE"""),"Mountable")</f>
        <v>Mountable</v>
      </c>
      <c r="S1108" s="251" t="str">
        <f>IFERROR(__xludf.DUMMYFUNCTION("""COMPUTED_VALUE"""),"--")</f>
        <v>--</v>
      </c>
      <c r="T1108" s="251" t="str">
        <f>IFERROR(__xludf.DUMMYFUNCTION("""COMPUTED_VALUE"""),"--")</f>
        <v>--</v>
      </c>
      <c r="U1108" s="251" t="str">
        <f>IFERROR(__xludf.DUMMYFUNCTION("""COMPUTED_VALUE"""),"--")</f>
        <v>--</v>
      </c>
      <c r="V1108" s="251" t="str">
        <f>IFERROR(__xludf.DUMMYFUNCTION("""COMPUTED_VALUE"""),"Gilled")</f>
        <v>Gilled</v>
      </c>
      <c r="W1108" s="251" t="str">
        <f>IFERROR(__xludf.DUMMYFUNCTION("""COMPUTED_VALUE"""),"--")</f>
        <v>--</v>
      </c>
      <c r="X1108" s="251" t="str">
        <f>IFERROR(__xludf.DUMMYFUNCTION("""COMPUTED_VALUE"""),"--")</f>
        <v>--</v>
      </c>
      <c r="Y1108" s="251" t="str">
        <f>IFERROR(__xludf.DUMMYFUNCTION("""COMPUTED_VALUE"""),"--")</f>
        <v>--</v>
      </c>
      <c r="Z1108" s="251" t="str">
        <f>IFERROR(__xludf.DUMMYFUNCTION("""COMPUTED_VALUE"""),"--")</f>
        <v>--</v>
      </c>
      <c r="AA1108" s="251" t="str">
        <f>IFERROR(__xludf.DUMMYFUNCTION("""COMPUTED_VALUE"""),"--")</f>
        <v>--</v>
      </c>
      <c r="AB1108" s="251" t="str">
        <f>IFERROR(__xludf.DUMMYFUNCTION("""COMPUTED_VALUE"""),"--")</f>
        <v>--</v>
      </c>
      <c r="AC1108" s="251" t="str">
        <f>IFERROR(__xludf.DUMMYFUNCTION("""COMPUTED_VALUE"""),"--")</f>
        <v>--</v>
      </c>
      <c r="AD1108" s="251">
        <f>IFERROR(__xludf.DUMMYFUNCTION("""COMPUTED_VALUE"""),3.0)</f>
        <v>3</v>
      </c>
      <c r="AE1108" s="251" t="str">
        <f>IFERROR(__xludf.DUMMYFUNCTION("""COMPUTED_VALUE"""),"Carnivore")</f>
        <v>Carnivore</v>
      </c>
    </row>
    <row r="1109">
      <c r="A1109" s="251" t="str">
        <f>IFERROR(__xludf.DUMMYFUNCTION("""COMPUTED_VALUE"""),"Veluza")</f>
        <v>Veluza</v>
      </c>
      <c r="B1109" s="251" t="str">
        <f>IFERROR(__xludf.DUMMYFUNCTION("""COMPUTED_VALUE"""),"Water")</f>
        <v>Water</v>
      </c>
      <c r="C1109" s="251" t="str">
        <f>IFERROR(__xludf.DUMMYFUNCTION("""COMPUTED_VALUE"""),"Psychic")</f>
        <v>Psychic</v>
      </c>
      <c r="D1109" s="251">
        <f>IFERROR(__xludf.DUMMYFUNCTION("""COMPUTED_VALUE"""),9.0)</f>
        <v>9</v>
      </c>
      <c r="E1109" s="251">
        <f>IFERROR(__xludf.DUMMYFUNCTION("""COMPUTED_VALUE"""),11.0)</f>
        <v>11</v>
      </c>
      <c r="F1109" s="251">
        <f>IFERROR(__xludf.DUMMYFUNCTION("""COMPUTED_VALUE"""),7.0)</f>
        <v>7</v>
      </c>
      <c r="G1109" s="251">
        <f>IFERROR(__xludf.DUMMYFUNCTION("""COMPUTED_VALUE"""),9.0)</f>
        <v>9</v>
      </c>
      <c r="H1109" s="251">
        <f>IFERROR(__xludf.DUMMYFUNCTION("""COMPUTED_VALUE"""),7.0)</f>
        <v>7</v>
      </c>
      <c r="I1109" s="251">
        <f>IFERROR(__xludf.DUMMYFUNCTION("""COMPUTED_VALUE"""),8.0)</f>
        <v>8</v>
      </c>
      <c r="J1109" s="251">
        <f>IFERROR(__xludf.DUMMYFUNCTION("""COMPUTED_VALUE"""),7.0)</f>
        <v>7</v>
      </c>
      <c r="K1109" s="251" t="str">
        <f>IFERROR(__xludf.DUMMYFUNCTION("""COMPUTED_VALUE"""),"Large")</f>
        <v>Large</v>
      </c>
      <c r="L1109" s="251">
        <f>IFERROR(__xludf.DUMMYFUNCTION("""COMPUTED_VALUE"""),4.0)</f>
        <v>4</v>
      </c>
      <c r="M1109" s="251" t="str">
        <f>IFERROR(__xludf.DUMMYFUNCTION("""COMPUTED_VALUE"""),"Ocean")</f>
        <v>Ocean</v>
      </c>
      <c r="N1109" s="251" t="str">
        <f>IFERROR(__xludf.DUMMYFUNCTION("""COMPUTED_VALUE"""),"Quick")</f>
        <v>Quick</v>
      </c>
      <c r="O1109" s="251" t="str">
        <f>IFERROR(__xludf.DUMMYFUNCTION("""COMPUTED_VALUE"""),"Swimmer")</f>
        <v>Swimmer</v>
      </c>
      <c r="P1109" s="251" t="str">
        <f>IFERROR(__xludf.DUMMYFUNCTION("""COMPUTED_VALUE"""),"--")</f>
        <v>--</v>
      </c>
      <c r="Q1109" s="251" t="str">
        <f>IFERROR(__xludf.DUMMYFUNCTION("""COMPUTED_VALUE"""),"--")</f>
        <v>--</v>
      </c>
      <c r="R1109" s="251" t="str">
        <f>IFERROR(__xludf.DUMMYFUNCTION("""COMPUTED_VALUE"""),"Telekinetic")</f>
        <v>Telekinetic</v>
      </c>
      <c r="S1109" s="251" t="str">
        <f>IFERROR(__xludf.DUMMYFUNCTION("""COMPUTED_VALUE"""),"--")</f>
        <v>--</v>
      </c>
      <c r="T1109" s="251" t="str">
        <f>IFERROR(__xludf.DUMMYFUNCTION("""COMPUTED_VALUE"""),"--")</f>
        <v>--</v>
      </c>
      <c r="U1109" s="251" t="str">
        <f>IFERROR(__xludf.DUMMYFUNCTION("""COMPUTED_VALUE"""),"--")</f>
        <v>--</v>
      </c>
      <c r="V1109" s="251" t="str">
        <f>IFERROR(__xludf.DUMMYFUNCTION("""COMPUTED_VALUE"""),"Gilled")</f>
        <v>Gilled</v>
      </c>
      <c r="W1109" s="251" t="str">
        <f>IFERROR(__xludf.DUMMYFUNCTION("""COMPUTED_VALUE"""),"--")</f>
        <v>--</v>
      </c>
      <c r="X1109" s="251" t="str">
        <f>IFERROR(__xludf.DUMMYFUNCTION("""COMPUTED_VALUE"""),"--")</f>
        <v>--</v>
      </c>
      <c r="Y1109" s="251" t="str">
        <f>IFERROR(__xludf.DUMMYFUNCTION("""COMPUTED_VALUE"""),"--")</f>
        <v>--</v>
      </c>
      <c r="Z1109" s="251" t="str">
        <f>IFERROR(__xludf.DUMMYFUNCTION("""COMPUTED_VALUE"""),"--")</f>
        <v>--</v>
      </c>
      <c r="AA1109" s="251" t="str">
        <f>IFERROR(__xludf.DUMMYFUNCTION("""COMPUTED_VALUE"""),"--")</f>
        <v>--</v>
      </c>
      <c r="AB1109" s="251" t="str">
        <f>IFERROR(__xludf.DUMMYFUNCTION("""COMPUTED_VALUE"""),"--")</f>
        <v>--</v>
      </c>
      <c r="AC1109" s="251" t="str">
        <f>IFERROR(__xludf.DUMMYFUNCTION("""COMPUTED_VALUE"""),"--")</f>
        <v>--</v>
      </c>
      <c r="AD1109" s="251">
        <f>IFERROR(__xludf.DUMMYFUNCTION("""COMPUTED_VALUE"""),3.0)</f>
        <v>3</v>
      </c>
      <c r="AE1109" s="251" t="str">
        <f>IFERROR(__xludf.DUMMYFUNCTION("""COMPUTED_VALUE"""),"Carnivore")</f>
        <v>Carnivore</v>
      </c>
    </row>
    <row r="1110">
      <c r="A1110" s="251" t="str">
        <f>IFERROR(__xludf.DUMMYFUNCTION("""COMPUTED_VALUE"""),"Ditto")</f>
        <v>Ditto</v>
      </c>
      <c r="B1110" s="251" t="str">
        <f>IFERROR(__xludf.DUMMYFUNCTION("""COMPUTED_VALUE"""),"Normal")</f>
        <v>Normal</v>
      </c>
      <c r="C1110" s="251" t="str">
        <f>IFERROR(__xludf.DUMMYFUNCTION("""COMPUTED_VALUE"""),"None")</f>
        <v>None</v>
      </c>
      <c r="D1110" s="251">
        <f>IFERROR(__xludf.DUMMYFUNCTION("""COMPUTED_VALUE"""),5.0)</f>
        <v>5</v>
      </c>
      <c r="E1110" s="251">
        <f>IFERROR(__xludf.DUMMYFUNCTION("""COMPUTED_VALUE"""),5.0)</f>
        <v>5</v>
      </c>
      <c r="F1110" s="251">
        <f>IFERROR(__xludf.DUMMYFUNCTION("""COMPUTED_VALUE"""),5.0)</f>
        <v>5</v>
      </c>
      <c r="G1110" s="251">
        <f>IFERROR(__xludf.DUMMYFUNCTION("""COMPUTED_VALUE"""),5.0)</f>
        <v>5</v>
      </c>
      <c r="H1110" s="251">
        <f>IFERROR(__xludf.DUMMYFUNCTION("""COMPUTED_VALUE"""),5.0)</f>
        <v>5</v>
      </c>
      <c r="I1110" s="251">
        <f>IFERROR(__xludf.DUMMYFUNCTION("""COMPUTED_VALUE"""),5.0)</f>
        <v>5</v>
      </c>
      <c r="J1110" s="251">
        <f>IFERROR(__xludf.DUMMYFUNCTION("""COMPUTED_VALUE"""),1.0)</f>
        <v>1</v>
      </c>
      <c r="K1110" s="251" t="str">
        <f>IFERROR(__xludf.DUMMYFUNCTION("""COMPUTED_VALUE"""),"Small")</f>
        <v>Small</v>
      </c>
      <c r="L1110" s="251">
        <f>IFERROR(__xludf.DUMMYFUNCTION("""COMPUTED_VALUE"""),1.0)</f>
        <v>1</v>
      </c>
      <c r="M1110" s="251" t="str">
        <f>IFERROR(__xludf.DUMMYFUNCTION("""COMPUTED_VALUE"""),"Urban")</f>
        <v>Urban</v>
      </c>
      <c r="N1110" s="251" t="str">
        <f>IFERROR(__xludf.DUMMYFUNCTION("""COMPUTED_VALUE"""),"--")</f>
        <v>--</v>
      </c>
      <c r="O1110" s="251" t="str">
        <f>IFERROR(__xludf.DUMMYFUNCTION("""COMPUTED_VALUE"""),"--")</f>
        <v>--</v>
      </c>
      <c r="P1110" s="251" t="str">
        <f>IFERROR(__xludf.DUMMYFUNCTION("""COMPUTED_VALUE"""),"--")</f>
        <v>--</v>
      </c>
      <c r="Q1110" s="251" t="str">
        <f>IFERROR(__xludf.DUMMYFUNCTION("""COMPUTED_VALUE"""),"--")</f>
        <v>--</v>
      </c>
      <c r="R1110" s="251" t="str">
        <f>IFERROR(__xludf.DUMMYFUNCTION("""COMPUTED_VALUE"""),"Underdog")</f>
        <v>Underdog</v>
      </c>
      <c r="S1110" s="251" t="str">
        <f>IFERROR(__xludf.DUMMYFUNCTION("""COMPUTED_VALUE"""),"--")</f>
        <v>--</v>
      </c>
      <c r="T1110" s="251" t="str">
        <f>IFERROR(__xludf.DUMMYFUNCTION("""COMPUTED_VALUE"""),"--")</f>
        <v>--</v>
      </c>
      <c r="U1110" s="251" t="str">
        <f>IFERROR(__xludf.DUMMYFUNCTION("""COMPUTED_VALUE"""),"--")</f>
        <v>--</v>
      </c>
      <c r="V1110" s="251" t="str">
        <f>IFERROR(__xludf.DUMMYFUNCTION("""COMPUTED_VALUE"""),"Amorphous")</f>
        <v>Amorphous</v>
      </c>
      <c r="W1110" s="251" t="str">
        <f>IFERROR(__xludf.DUMMYFUNCTION("""COMPUTED_VALUE"""),"Shapeshifter")</f>
        <v>Shapeshifter</v>
      </c>
      <c r="X1110" s="251" t="str">
        <f>IFERROR(__xludf.DUMMYFUNCTION("""COMPUTED_VALUE"""),"--")</f>
        <v>--</v>
      </c>
      <c r="Y1110" s="251" t="str">
        <f>IFERROR(__xludf.DUMMYFUNCTION("""COMPUTED_VALUE"""),"--")</f>
        <v>--</v>
      </c>
      <c r="Z1110" s="251" t="str">
        <f>IFERROR(__xludf.DUMMYFUNCTION("""COMPUTED_VALUE"""),"--")</f>
        <v>--</v>
      </c>
      <c r="AA1110" s="251" t="str">
        <f>IFERROR(__xludf.DUMMYFUNCTION("""COMPUTED_VALUE"""),"--")</f>
        <v>--</v>
      </c>
      <c r="AB1110" s="251" t="str">
        <f>IFERROR(__xludf.DUMMYFUNCTION("""COMPUTED_VALUE"""),"--")</f>
        <v>--</v>
      </c>
      <c r="AC1110" s="251" t="str">
        <f>IFERROR(__xludf.DUMMYFUNCTION("""COMPUTED_VALUE"""),"--")</f>
        <v>--</v>
      </c>
      <c r="AD1110" s="251">
        <f>IFERROR(__xludf.DUMMYFUNCTION("""COMPUTED_VALUE"""),3.0)</f>
        <v>3</v>
      </c>
      <c r="AE1110" s="251" t="str">
        <f>IFERROR(__xludf.DUMMYFUNCTION("""COMPUTED_VALUE"""),"Herbivore")</f>
        <v>Herbivore</v>
      </c>
    </row>
    <row r="1111">
      <c r="A1111" s="251" t="str">
        <f>IFERROR(__xludf.DUMMYFUNCTION("""COMPUTED_VALUE"""),"Oricorio Baile")</f>
        <v>Oricorio Baile</v>
      </c>
      <c r="B1111" s="251" t="str">
        <f>IFERROR(__xludf.DUMMYFUNCTION("""COMPUTED_VALUE"""),"Fire")</f>
        <v>Fire</v>
      </c>
      <c r="C1111" s="251" t="str">
        <f>IFERROR(__xludf.DUMMYFUNCTION("""COMPUTED_VALUE"""),"Flying")</f>
        <v>Flying</v>
      </c>
      <c r="D1111" s="251">
        <f>IFERROR(__xludf.DUMMYFUNCTION("""COMPUTED_VALUE"""),10.0)</f>
        <v>10</v>
      </c>
      <c r="E1111" s="251">
        <f>IFERROR(__xludf.DUMMYFUNCTION("""COMPUTED_VALUE"""),7.0)</f>
        <v>7</v>
      </c>
      <c r="F1111" s="251">
        <f>IFERROR(__xludf.DUMMYFUNCTION("""COMPUTED_VALUE"""),7.0)</f>
        <v>7</v>
      </c>
      <c r="G1111" s="251">
        <f>IFERROR(__xludf.DUMMYFUNCTION("""COMPUTED_VALUE"""),10.0)</f>
        <v>10</v>
      </c>
      <c r="H1111" s="251">
        <f>IFERROR(__xludf.DUMMYFUNCTION("""COMPUTED_VALUE"""),7.0)</f>
        <v>7</v>
      </c>
      <c r="I1111" s="251">
        <f>IFERROR(__xludf.DUMMYFUNCTION("""COMPUTED_VALUE"""),10.0)</f>
        <v>10</v>
      </c>
      <c r="J1111" s="251">
        <f>IFERROR(__xludf.DUMMYFUNCTION("""COMPUTED_VALUE"""),2.0)</f>
        <v>2</v>
      </c>
      <c r="K1111" s="251" t="str">
        <f>IFERROR(__xludf.DUMMYFUNCTION("""COMPUTED_VALUE"""),"Small")</f>
        <v>Small</v>
      </c>
      <c r="L1111" s="251">
        <f>IFERROR(__xludf.DUMMYFUNCTION("""COMPUTED_VALUE"""),1.0)</f>
        <v>1</v>
      </c>
      <c r="M1111" s="251" t="str">
        <f>IFERROR(__xludf.DUMMYFUNCTION("""COMPUTED_VALUE"""),"Grasslands")</f>
        <v>Grasslands</v>
      </c>
      <c r="N1111" s="251" t="str">
        <f>IFERROR(__xludf.DUMMYFUNCTION("""COMPUTED_VALUE"""),"Flier")</f>
        <v>Flier</v>
      </c>
      <c r="O1111" s="251" t="str">
        <f>IFERROR(__xludf.DUMMYFUNCTION("""COMPUTED_VALUE"""),"--")</f>
        <v>--</v>
      </c>
      <c r="P1111" s="251" t="str">
        <f>IFERROR(__xludf.DUMMYFUNCTION("""COMPUTED_VALUE"""),"--")</f>
        <v>--</v>
      </c>
      <c r="Q1111" s="251" t="str">
        <f>IFERROR(__xludf.DUMMYFUNCTION("""COMPUTED_VALUE"""),"--")</f>
        <v>--</v>
      </c>
      <c r="R1111" s="251" t="str">
        <f>IFERROR(__xludf.DUMMYFUNCTION("""COMPUTED_VALUE"""),"--")</f>
        <v>--</v>
      </c>
      <c r="S1111" s="251" t="str">
        <f>IFERROR(__xludf.DUMMYFUNCTION("""COMPUTED_VALUE"""),"--")</f>
        <v>--</v>
      </c>
      <c r="T1111" s="251" t="str">
        <f>IFERROR(__xludf.DUMMYFUNCTION("""COMPUTED_VALUE"""),"--")</f>
        <v>--</v>
      </c>
      <c r="U1111" s="251" t="str">
        <f>IFERROR(__xludf.DUMMYFUNCTION("""COMPUTED_VALUE"""),"--")</f>
        <v>--</v>
      </c>
      <c r="V1111" s="251" t="str">
        <f>IFERROR(__xludf.DUMMYFUNCTION("""COMPUTED_VALUE"""),"--")</f>
        <v>--</v>
      </c>
      <c r="W1111" s="251" t="str">
        <f>IFERROR(__xludf.DUMMYFUNCTION("""COMPUTED_VALUE"""),"--")</f>
        <v>--</v>
      </c>
      <c r="X1111" s="251" t="str">
        <f>IFERROR(__xludf.DUMMYFUNCTION("""COMPUTED_VALUE"""),"--")</f>
        <v>--</v>
      </c>
      <c r="Y1111" s="251" t="str">
        <f>IFERROR(__xludf.DUMMYFUNCTION("""COMPUTED_VALUE"""),"--")</f>
        <v>--</v>
      </c>
      <c r="Z1111" s="251" t="str">
        <f>IFERROR(__xludf.DUMMYFUNCTION("""COMPUTED_VALUE"""),"--")</f>
        <v>--</v>
      </c>
      <c r="AA1111" s="251" t="str">
        <f>IFERROR(__xludf.DUMMYFUNCTION("""COMPUTED_VALUE"""),"--")</f>
        <v>--</v>
      </c>
      <c r="AB1111" s="251" t="str">
        <f>IFERROR(__xludf.DUMMYFUNCTION("""COMPUTED_VALUE"""),"--")</f>
        <v>--</v>
      </c>
      <c r="AC1111" s="251" t="str">
        <f>IFERROR(__xludf.DUMMYFUNCTION("""COMPUTED_VALUE"""),"--")</f>
        <v>--</v>
      </c>
      <c r="AD1111" s="251">
        <f>IFERROR(__xludf.DUMMYFUNCTION("""COMPUTED_VALUE"""),3.0)</f>
        <v>3</v>
      </c>
      <c r="AE1111" s="251" t="str">
        <f>IFERROR(__xludf.DUMMYFUNCTION("""COMPUTED_VALUE"""),"Herbivore")</f>
        <v>Herbivore</v>
      </c>
    </row>
    <row r="1112">
      <c r="A1112" s="251" t="str">
        <f>IFERROR(__xludf.DUMMYFUNCTION("""COMPUTED_VALUE"""),"Oricorio Pom-Pom")</f>
        <v>Oricorio Pom-Pom</v>
      </c>
      <c r="B1112" s="251" t="str">
        <f>IFERROR(__xludf.DUMMYFUNCTION("""COMPUTED_VALUE"""),"Electric")</f>
        <v>Electric</v>
      </c>
      <c r="C1112" s="251" t="str">
        <f>IFERROR(__xludf.DUMMYFUNCTION("""COMPUTED_VALUE"""),"Flying")</f>
        <v>Flying</v>
      </c>
      <c r="D1112" s="251">
        <f>IFERROR(__xludf.DUMMYFUNCTION("""COMPUTED_VALUE"""),10.0)</f>
        <v>10</v>
      </c>
      <c r="E1112" s="251">
        <f>IFERROR(__xludf.DUMMYFUNCTION("""COMPUTED_VALUE"""),7.0)</f>
        <v>7</v>
      </c>
      <c r="F1112" s="251">
        <f>IFERROR(__xludf.DUMMYFUNCTION("""COMPUTED_VALUE"""),7.0)</f>
        <v>7</v>
      </c>
      <c r="G1112" s="251">
        <f>IFERROR(__xludf.DUMMYFUNCTION("""COMPUTED_VALUE"""),10.0)</f>
        <v>10</v>
      </c>
      <c r="H1112" s="251">
        <f>IFERROR(__xludf.DUMMYFUNCTION("""COMPUTED_VALUE"""),7.0)</f>
        <v>7</v>
      </c>
      <c r="I1112" s="251">
        <f>IFERROR(__xludf.DUMMYFUNCTION("""COMPUTED_VALUE"""),10.0)</f>
        <v>10</v>
      </c>
      <c r="J1112" s="251">
        <f>IFERROR(__xludf.DUMMYFUNCTION("""COMPUTED_VALUE"""),2.0)</f>
        <v>2</v>
      </c>
      <c r="K1112" s="251" t="str">
        <f>IFERROR(__xludf.DUMMYFUNCTION("""COMPUTED_VALUE"""),"Small")</f>
        <v>Small</v>
      </c>
      <c r="L1112" s="251">
        <f>IFERROR(__xludf.DUMMYFUNCTION("""COMPUTED_VALUE"""),1.0)</f>
        <v>1</v>
      </c>
      <c r="M1112" s="251" t="str">
        <f>IFERROR(__xludf.DUMMYFUNCTION("""COMPUTED_VALUE"""),"Grasslands")</f>
        <v>Grasslands</v>
      </c>
      <c r="N1112" s="251" t="str">
        <f>IFERROR(__xludf.DUMMYFUNCTION("""COMPUTED_VALUE"""),"Flier")</f>
        <v>Flier</v>
      </c>
      <c r="O1112" s="251" t="str">
        <f>IFERROR(__xludf.DUMMYFUNCTION("""COMPUTED_VALUE"""),"--")</f>
        <v>--</v>
      </c>
      <c r="P1112" s="251" t="str">
        <f>IFERROR(__xludf.DUMMYFUNCTION("""COMPUTED_VALUE"""),"--")</f>
        <v>--</v>
      </c>
      <c r="Q1112" s="251" t="str">
        <f>IFERROR(__xludf.DUMMYFUNCTION("""COMPUTED_VALUE"""),"--")</f>
        <v>--</v>
      </c>
      <c r="R1112" s="251" t="str">
        <f>IFERROR(__xludf.DUMMYFUNCTION("""COMPUTED_VALUE"""),"--")</f>
        <v>--</v>
      </c>
      <c r="S1112" s="251" t="str">
        <f>IFERROR(__xludf.DUMMYFUNCTION("""COMPUTED_VALUE"""),"--")</f>
        <v>--</v>
      </c>
      <c r="T1112" s="251" t="str">
        <f>IFERROR(__xludf.DUMMYFUNCTION("""COMPUTED_VALUE"""),"--")</f>
        <v>--</v>
      </c>
      <c r="U1112" s="251" t="str">
        <f>IFERROR(__xludf.DUMMYFUNCTION("""COMPUTED_VALUE"""),"--")</f>
        <v>--</v>
      </c>
      <c r="V1112" s="251" t="str">
        <f>IFERROR(__xludf.DUMMYFUNCTION("""COMPUTED_VALUE"""),"--")</f>
        <v>--</v>
      </c>
      <c r="W1112" s="251" t="str">
        <f>IFERROR(__xludf.DUMMYFUNCTION("""COMPUTED_VALUE"""),"--")</f>
        <v>--</v>
      </c>
      <c r="X1112" s="251" t="str">
        <f>IFERROR(__xludf.DUMMYFUNCTION("""COMPUTED_VALUE"""),"--")</f>
        <v>--</v>
      </c>
      <c r="Y1112" s="251" t="str">
        <f>IFERROR(__xludf.DUMMYFUNCTION("""COMPUTED_VALUE"""),"--")</f>
        <v>--</v>
      </c>
      <c r="Z1112" s="251" t="str">
        <f>IFERROR(__xludf.DUMMYFUNCTION("""COMPUTED_VALUE"""),"--")</f>
        <v>--</v>
      </c>
      <c r="AA1112" s="251" t="str">
        <f>IFERROR(__xludf.DUMMYFUNCTION("""COMPUTED_VALUE"""),"--")</f>
        <v>--</v>
      </c>
      <c r="AB1112" s="251" t="str">
        <f>IFERROR(__xludf.DUMMYFUNCTION("""COMPUTED_VALUE"""),"--")</f>
        <v>--</v>
      </c>
      <c r="AC1112" s="251" t="str">
        <f>IFERROR(__xludf.DUMMYFUNCTION("""COMPUTED_VALUE"""),"--")</f>
        <v>--</v>
      </c>
      <c r="AD1112" s="251">
        <f>IFERROR(__xludf.DUMMYFUNCTION("""COMPUTED_VALUE"""),3.0)</f>
        <v>3</v>
      </c>
      <c r="AE1112" s="251" t="str">
        <f>IFERROR(__xludf.DUMMYFUNCTION("""COMPUTED_VALUE"""),"Herbivore")</f>
        <v>Herbivore</v>
      </c>
    </row>
    <row r="1113">
      <c r="A1113" s="251" t="str">
        <f>IFERROR(__xludf.DUMMYFUNCTION("""COMPUTED_VALUE"""),"Oricorio Pa'u")</f>
        <v>Oricorio Pa'u</v>
      </c>
      <c r="B1113" s="251" t="str">
        <f>IFERROR(__xludf.DUMMYFUNCTION("""COMPUTED_VALUE"""),"Psychic")</f>
        <v>Psychic</v>
      </c>
      <c r="C1113" s="251" t="str">
        <f>IFERROR(__xludf.DUMMYFUNCTION("""COMPUTED_VALUE"""),"Flying")</f>
        <v>Flying</v>
      </c>
      <c r="D1113" s="251">
        <f>IFERROR(__xludf.DUMMYFUNCTION("""COMPUTED_VALUE"""),10.0)</f>
        <v>10</v>
      </c>
      <c r="E1113" s="251">
        <f>IFERROR(__xludf.DUMMYFUNCTION("""COMPUTED_VALUE"""),7.0)</f>
        <v>7</v>
      </c>
      <c r="F1113" s="251">
        <f>IFERROR(__xludf.DUMMYFUNCTION("""COMPUTED_VALUE"""),7.0)</f>
        <v>7</v>
      </c>
      <c r="G1113" s="251">
        <f>IFERROR(__xludf.DUMMYFUNCTION("""COMPUTED_VALUE"""),10.0)</f>
        <v>10</v>
      </c>
      <c r="H1113" s="251">
        <f>IFERROR(__xludf.DUMMYFUNCTION("""COMPUTED_VALUE"""),7.0)</f>
        <v>7</v>
      </c>
      <c r="I1113" s="251">
        <f>IFERROR(__xludf.DUMMYFUNCTION("""COMPUTED_VALUE"""),10.0)</f>
        <v>10</v>
      </c>
      <c r="J1113" s="251">
        <f>IFERROR(__xludf.DUMMYFUNCTION("""COMPUTED_VALUE"""),2.0)</f>
        <v>2</v>
      </c>
      <c r="K1113" s="251" t="str">
        <f>IFERROR(__xludf.DUMMYFUNCTION("""COMPUTED_VALUE"""),"Small")</f>
        <v>Small</v>
      </c>
      <c r="L1113" s="251">
        <f>IFERROR(__xludf.DUMMYFUNCTION("""COMPUTED_VALUE"""),1.0)</f>
        <v>1</v>
      </c>
      <c r="M1113" s="251" t="str">
        <f>IFERROR(__xludf.DUMMYFUNCTION("""COMPUTED_VALUE"""),"Grasslands")</f>
        <v>Grasslands</v>
      </c>
      <c r="N1113" s="251" t="str">
        <f>IFERROR(__xludf.DUMMYFUNCTION("""COMPUTED_VALUE"""),"Flier")</f>
        <v>Flier</v>
      </c>
      <c r="O1113" s="251" t="str">
        <f>IFERROR(__xludf.DUMMYFUNCTION("""COMPUTED_VALUE"""),"--")</f>
        <v>--</v>
      </c>
      <c r="P1113" s="251" t="str">
        <f>IFERROR(__xludf.DUMMYFUNCTION("""COMPUTED_VALUE"""),"--")</f>
        <v>--</v>
      </c>
      <c r="Q1113" s="251" t="str">
        <f>IFERROR(__xludf.DUMMYFUNCTION("""COMPUTED_VALUE"""),"--")</f>
        <v>--</v>
      </c>
      <c r="R1113" s="251" t="str">
        <f>IFERROR(__xludf.DUMMYFUNCTION("""COMPUTED_VALUE"""),"--")</f>
        <v>--</v>
      </c>
      <c r="S1113" s="251" t="str">
        <f>IFERROR(__xludf.DUMMYFUNCTION("""COMPUTED_VALUE"""),"--")</f>
        <v>--</v>
      </c>
      <c r="T1113" s="251" t="str">
        <f>IFERROR(__xludf.DUMMYFUNCTION("""COMPUTED_VALUE"""),"--")</f>
        <v>--</v>
      </c>
      <c r="U1113" s="251" t="str">
        <f>IFERROR(__xludf.DUMMYFUNCTION("""COMPUTED_VALUE"""),"--")</f>
        <v>--</v>
      </c>
      <c r="V1113" s="251" t="str">
        <f>IFERROR(__xludf.DUMMYFUNCTION("""COMPUTED_VALUE"""),"--")</f>
        <v>--</v>
      </c>
      <c r="W1113" s="251" t="str">
        <f>IFERROR(__xludf.DUMMYFUNCTION("""COMPUTED_VALUE"""),"--")</f>
        <v>--</v>
      </c>
      <c r="X1113" s="251" t="str">
        <f>IFERROR(__xludf.DUMMYFUNCTION("""COMPUTED_VALUE"""),"--")</f>
        <v>--</v>
      </c>
      <c r="Y1113" s="251" t="str">
        <f>IFERROR(__xludf.DUMMYFUNCTION("""COMPUTED_VALUE"""),"--")</f>
        <v>--</v>
      </c>
      <c r="Z1113" s="251" t="str">
        <f>IFERROR(__xludf.DUMMYFUNCTION("""COMPUTED_VALUE"""),"--")</f>
        <v>--</v>
      </c>
      <c r="AA1113" s="251" t="str">
        <f>IFERROR(__xludf.DUMMYFUNCTION("""COMPUTED_VALUE"""),"--")</f>
        <v>--</v>
      </c>
      <c r="AB1113" s="251" t="str">
        <f>IFERROR(__xludf.DUMMYFUNCTION("""COMPUTED_VALUE"""),"--")</f>
        <v>--</v>
      </c>
      <c r="AC1113" s="251" t="str">
        <f>IFERROR(__xludf.DUMMYFUNCTION("""COMPUTED_VALUE"""),"--")</f>
        <v>--</v>
      </c>
      <c r="AD1113" s="251">
        <f>IFERROR(__xludf.DUMMYFUNCTION("""COMPUTED_VALUE"""),3.0)</f>
        <v>3</v>
      </c>
      <c r="AE1113" s="251" t="str">
        <f>IFERROR(__xludf.DUMMYFUNCTION("""COMPUTED_VALUE"""),"Herbivore")</f>
        <v>Herbivore</v>
      </c>
    </row>
    <row r="1114">
      <c r="A1114" s="251" t="str">
        <f>IFERROR(__xludf.DUMMYFUNCTION("""COMPUTED_VALUE"""),"Oricorio Sensu")</f>
        <v>Oricorio Sensu</v>
      </c>
      <c r="B1114" s="251" t="str">
        <f>IFERROR(__xludf.DUMMYFUNCTION("""COMPUTED_VALUE"""),"Ghost")</f>
        <v>Ghost</v>
      </c>
      <c r="C1114" s="251" t="str">
        <f>IFERROR(__xludf.DUMMYFUNCTION("""COMPUTED_VALUE"""),"Flying")</f>
        <v>Flying</v>
      </c>
      <c r="D1114" s="251">
        <f>IFERROR(__xludf.DUMMYFUNCTION("""COMPUTED_VALUE"""),10.0)</f>
        <v>10</v>
      </c>
      <c r="E1114" s="251">
        <f>IFERROR(__xludf.DUMMYFUNCTION("""COMPUTED_VALUE"""),7.0)</f>
        <v>7</v>
      </c>
      <c r="F1114" s="251">
        <f>IFERROR(__xludf.DUMMYFUNCTION("""COMPUTED_VALUE"""),7.0)</f>
        <v>7</v>
      </c>
      <c r="G1114" s="251">
        <f>IFERROR(__xludf.DUMMYFUNCTION("""COMPUTED_VALUE"""),10.0)</f>
        <v>10</v>
      </c>
      <c r="H1114" s="251">
        <f>IFERROR(__xludf.DUMMYFUNCTION("""COMPUTED_VALUE"""),7.0)</f>
        <v>7</v>
      </c>
      <c r="I1114" s="251">
        <f>IFERROR(__xludf.DUMMYFUNCTION("""COMPUTED_VALUE"""),10.0)</f>
        <v>10</v>
      </c>
      <c r="J1114" s="251">
        <f>IFERROR(__xludf.DUMMYFUNCTION("""COMPUTED_VALUE"""),2.0)</f>
        <v>2</v>
      </c>
      <c r="K1114" s="251" t="str">
        <f>IFERROR(__xludf.DUMMYFUNCTION("""COMPUTED_VALUE"""),"Small")</f>
        <v>Small</v>
      </c>
      <c r="L1114" s="251">
        <f>IFERROR(__xludf.DUMMYFUNCTION("""COMPUTED_VALUE"""),1.0)</f>
        <v>1</v>
      </c>
      <c r="M1114" s="251" t="str">
        <f>IFERROR(__xludf.DUMMYFUNCTION("""COMPUTED_VALUE"""),"Grasslands")</f>
        <v>Grasslands</v>
      </c>
      <c r="N1114" s="251" t="str">
        <f>IFERROR(__xludf.DUMMYFUNCTION("""COMPUTED_VALUE"""),"Flier")</f>
        <v>Flier</v>
      </c>
      <c r="O1114" s="251" t="str">
        <f>IFERROR(__xludf.DUMMYFUNCTION("""COMPUTED_VALUE"""),"--")</f>
        <v>--</v>
      </c>
      <c r="P1114" s="251" t="str">
        <f>IFERROR(__xludf.DUMMYFUNCTION("""COMPUTED_VALUE"""),"--")</f>
        <v>--</v>
      </c>
      <c r="Q1114" s="251" t="str">
        <f>IFERROR(__xludf.DUMMYFUNCTION("""COMPUTED_VALUE"""),"--")</f>
        <v>--</v>
      </c>
      <c r="R1114" s="251" t="str">
        <f>IFERROR(__xludf.DUMMYFUNCTION("""COMPUTED_VALUE"""),"--")</f>
        <v>--</v>
      </c>
      <c r="S1114" s="251" t="str">
        <f>IFERROR(__xludf.DUMMYFUNCTION("""COMPUTED_VALUE"""),"--")</f>
        <v>--</v>
      </c>
      <c r="T1114" s="251" t="str">
        <f>IFERROR(__xludf.DUMMYFUNCTION("""COMPUTED_VALUE"""),"--")</f>
        <v>--</v>
      </c>
      <c r="U1114" s="251" t="str">
        <f>IFERROR(__xludf.DUMMYFUNCTION("""COMPUTED_VALUE"""),"--")</f>
        <v>--</v>
      </c>
      <c r="V1114" s="251" t="str">
        <f>IFERROR(__xludf.DUMMYFUNCTION("""COMPUTED_VALUE"""),"--")</f>
        <v>--</v>
      </c>
      <c r="W1114" s="251" t="str">
        <f>IFERROR(__xludf.DUMMYFUNCTION("""COMPUTED_VALUE"""),"--")</f>
        <v>--</v>
      </c>
      <c r="X1114" s="251" t="str">
        <f>IFERROR(__xludf.DUMMYFUNCTION("""COMPUTED_VALUE"""),"--")</f>
        <v>--</v>
      </c>
      <c r="Y1114" s="251" t="str">
        <f>IFERROR(__xludf.DUMMYFUNCTION("""COMPUTED_VALUE"""),"--")</f>
        <v>--</v>
      </c>
      <c r="Z1114" s="251" t="str">
        <f>IFERROR(__xludf.DUMMYFUNCTION("""COMPUTED_VALUE"""),"--")</f>
        <v>--</v>
      </c>
      <c r="AA1114" s="251" t="str">
        <f>IFERROR(__xludf.DUMMYFUNCTION("""COMPUTED_VALUE"""),"--")</f>
        <v>--</v>
      </c>
      <c r="AB1114" s="251" t="str">
        <f>IFERROR(__xludf.DUMMYFUNCTION("""COMPUTED_VALUE"""),"--")</f>
        <v>--</v>
      </c>
      <c r="AC1114" s="251" t="str">
        <f>IFERROR(__xludf.DUMMYFUNCTION("""COMPUTED_VALUE"""),"--")</f>
        <v>--</v>
      </c>
      <c r="AD1114" s="251">
        <f>IFERROR(__xludf.DUMMYFUNCTION("""COMPUTED_VALUE"""),3.0)</f>
        <v>3</v>
      </c>
      <c r="AE1114" s="251" t="str">
        <f>IFERROR(__xludf.DUMMYFUNCTION("""COMPUTED_VALUE"""),"Herbivore")</f>
        <v>Herbivore</v>
      </c>
    </row>
    <row r="1115">
      <c r="A1115" s="251" t="str">
        <f>IFERROR(__xludf.DUMMYFUNCTION("""COMPUTED_VALUE"""),"Eevee")</f>
        <v>Eevee</v>
      </c>
      <c r="B1115" s="251" t="str">
        <f>IFERROR(__xludf.DUMMYFUNCTION("""COMPUTED_VALUE"""),"Normal")</f>
        <v>Normal</v>
      </c>
      <c r="C1115" s="251" t="str">
        <f>IFERROR(__xludf.DUMMYFUNCTION("""COMPUTED_VALUE"""),"None")</f>
        <v>None</v>
      </c>
      <c r="D1115" s="251">
        <f>IFERROR(__xludf.DUMMYFUNCTION("""COMPUTED_VALUE"""),6.0)</f>
        <v>6</v>
      </c>
      <c r="E1115" s="251">
        <f>IFERROR(__xludf.DUMMYFUNCTION("""COMPUTED_VALUE"""),6.0)</f>
        <v>6</v>
      </c>
      <c r="F1115" s="251">
        <f>IFERROR(__xludf.DUMMYFUNCTION("""COMPUTED_VALUE"""),5.0)</f>
        <v>5</v>
      </c>
      <c r="G1115" s="251">
        <f>IFERROR(__xludf.DUMMYFUNCTION("""COMPUTED_VALUE"""),5.0)</f>
        <v>5</v>
      </c>
      <c r="H1115" s="251">
        <f>IFERROR(__xludf.DUMMYFUNCTION("""COMPUTED_VALUE"""),7.0)</f>
        <v>7</v>
      </c>
      <c r="I1115" s="251">
        <f>IFERROR(__xludf.DUMMYFUNCTION("""COMPUTED_VALUE"""),6.0)</f>
        <v>6</v>
      </c>
      <c r="J1115" s="251">
        <f>IFERROR(__xludf.DUMMYFUNCTION("""COMPUTED_VALUE"""),2.0)</f>
        <v>2</v>
      </c>
      <c r="K1115" s="251" t="str">
        <f>IFERROR(__xludf.DUMMYFUNCTION("""COMPUTED_VALUE"""),"Small")</f>
        <v>Small</v>
      </c>
      <c r="L1115" s="251">
        <f>IFERROR(__xludf.DUMMYFUNCTION("""COMPUTED_VALUE"""),1.0)</f>
        <v>1</v>
      </c>
      <c r="M1115" s="251" t="str">
        <f>IFERROR(__xludf.DUMMYFUNCTION("""COMPUTED_VALUE"""),"Grasslands")</f>
        <v>Grasslands</v>
      </c>
      <c r="N1115" s="251" t="str">
        <f>IFERROR(__xludf.DUMMYFUNCTION("""COMPUTED_VALUE"""),"Jumper")</f>
        <v>Jumper</v>
      </c>
      <c r="O1115" s="251" t="str">
        <f>IFERROR(__xludf.DUMMYFUNCTION("""COMPUTED_VALUE"""),"--")</f>
        <v>--</v>
      </c>
      <c r="P1115" s="251" t="str">
        <f>IFERROR(__xludf.DUMMYFUNCTION("""COMPUTED_VALUE"""),"--")</f>
        <v>--</v>
      </c>
      <c r="Q1115" s="251" t="str">
        <f>IFERROR(__xludf.DUMMYFUNCTION("""COMPUTED_VALUE"""),"--")</f>
        <v>--</v>
      </c>
      <c r="R1115" s="251" t="str">
        <f>IFERROR(__xludf.DUMMYFUNCTION("""COMPUTED_VALUE"""),"Underdog")</f>
        <v>Underdog</v>
      </c>
      <c r="S1115" s="251" t="str">
        <f>IFERROR(__xludf.DUMMYFUNCTION("""COMPUTED_VALUE"""),"--")</f>
        <v>--</v>
      </c>
      <c r="T1115" s="251" t="str">
        <f>IFERROR(__xludf.DUMMYFUNCTION("""COMPUTED_VALUE"""),"--")</f>
        <v>--</v>
      </c>
      <c r="U1115" s="251" t="str">
        <f>IFERROR(__xludf.DUMMYFUNCTION("""COMPUTED_VALUE"""),"--")</f>
        <v>--</v>
      </c>
      <c r="V1115" s="251" t="str">
        <f>IFERROR(__xludf.DUMMYFUNCTION("""COMPUTED_VALUE"""),"Tracker")</f>
        <v>Tracker</v>
      </c>
      <c r="W1115" s="251" t="str">
        <f>IFERROR(__xludf.DUMMYFUNCTION("""COMPUTED_VALUE"""),"--")</f>
        <v>--</v>
      </c>
      <c r="X1115" s="251" t="str">
        <f>IFERROR(__xludf.DUMMYFUNCTION("""COMPUTED_VALUE"""),"--")</f>
        <v>--</v>
      </c>
      <c r="Y1115" s="251" t="str">
        <f>IFERROR(__xludf.DUMMYFUNCTION("""COMPUTED_VALUE"""),"--")</f>
        <v>--</v>
      </c>
      <c r="Z1115" s="251" t="str">
        <f>IFERROR(__xludf.DUMMYFUNCTION("""COMPUTED_VALUE"""),"--")</f>
        <v>--</v>
      </c>
      <c r="AA1115" s="251" t="str">
        <f>IFERROR(__xludf.DUMMYFUNCTION("""COMPUTED_VALUE"""),"--")</f>
        <v>--</v>
      </c>
      <c r="AB1115" s="251" t="str">
        <f>IFERROR(__xludf.DUMMYFUNCTION("""COMPUTED_VALUE"""),"--")</f>
        <v>--</v>
      </c>
      <c r="AC1115" s="251" t="str">
        <f>IFERROR(__xludf.DUMMYFUNCTION("""COMPUTED_VALUE"""),"--")</f>
        <v>--</v>
      </c>
      <c r="AD1115" s="251">
        <f>IFERROR(__xludf.DUMMYFUNCTION("""COMPUTED_VALUE"""),2.0)</f>
        <v>2</v>
      </c>
      <c r="AE1115" s="251" t="str">
        <f>IFERROR(__xludf.DUMMYFUNCTION("""COMPUTED_VALUE"""),"Herbivore")</f>
        <v>Herbivore</v>
      </c>
    </row>
    <row r="1116">
      <c r="A1116" s="251" t="str">
        <f>IFERROR(__xludf.DUMMYFUNCTION("""COMPUTED_VALUE"""),"Umbreon")</f>
        <v>Umbreon</v>
      </c>
      <c r="B1116" s="251" t="str">
        <f>IFERROR(__xludf.DUMMYFUNCTION("""COMPUTED_VALUE"""),"Dark")</f>
        <v>Dark</v>
      </c>
      <c r="C1116" s="251" t="str">
        <f>IFERROR(__xludf.DUMMYFUNCTION("""COMPUTED_VALUE"""),"None")</f>
        <v>None</v>
      </c>
      <c r="D1116" s="251">
        <f>IFERROR(__xludf.DUMMYFUNCTION("""COMPUTED_VALUE"""),10.0)</f>
        <v>10</v>
      </c>
      <c r="E1116" s="251">
        <f>IFERROR(__xludf.DUMMYFUNCTION("""COMPUTED_VALUE"""),7.0)</f>
        <v>7</v>
      </c>
      <c r="F1116" s="251">
        <f>IFERROR(__xludf.DUMMYFUNCTION("""COMPUTED_VALUE"""),11.0)</f>
        <v>11</v>
      </c>
      <c r="G1116" s="251">
        <f>IFERROR(__xludf.DUMMYFUNCTION("""COMPUTED_VALUE"""),6.0)</f>
        <v>6</v>
      </c>
      <c r="H1116" s="251">
        <f>IFERROR(__xludf.DUMMYFUNCTION("""COMPUTED_VALUE"""),13.0)</f>
        <v>13</v>
      </c>
      <c r="I1116" s="251">
        <f>IFERROR(__xludf.DUMMYFUNCTION("""COMPUTED_VALUE"""),7.0)</f>
        <v>7</v>
      </c>
      <c r="J1116" s="251">
        <f>IFERROR(__xludf.DUMMYFUNCTION("""COMPUTED_VALUE"""),3.0)</f>
        <v>3</v>
      </c>
      <c r="K1116" s="251" t="str">
        <f>IFERROR(__xludf.DUMMYFUNCTION("""COMPUTED_VALUE"""),"Medium")</f>
        <v>Medium</v>
      </c>
      <c r="L1116" s="251">
        <f>IFERROR(__xludf.DUMMYFUNCTION("""COMPUTED_VALUE"""),3.0)</f>
        <v>3</v>
      </c>
      <c r="M1116" s="251" t="str">
        <f>IFERROR(__xludf.DUMMYFUNCTION("""COMPUTED_VALUE"""),"Grasslands, Urban")</f>
        <v>Grasslands, Urban</v>
      </c>
      <c r="N1116" s="251" t="str">
        <f>IFERROR(__xludf.DUMMYFUNCTION("""COMPUTED_VALUE"""),"Jumper")</f>
        <v>Jumper</v>
      </c>
      <c r="O1116" s="251" t="str">
        <f>IFERROR(__xludf.DUMMYFUNCTION("""COMPUTED_VALUE"""),"--")</f>
        <v>--</v>
      </c>
      <c r="P1116" s="251" t="str">
        <f>IFERROR(__xludf.DUMMYFUNCTION("""COMPUTED_VALUE"""),"--")</f>
        <v>--</v>
      </c>
      <c r="Q1116" s="251" t="str">
        <f>IFERROR(__xludf.DUMMYFUNCTION("""COMPUTED_VALUE"""),"--")</f>
        <v>--</v>
      </c>
      <c r="R1116" s="251" t="str">
        <f>IFERROR(__xludf.DUMMYFUNCTION("""COMPUTED_VALUE"""),"Darkvision")</f>
        <v>Darkvision</v>
      </c>
      <c r="S1116" s="251" t="str">
        <f>IFERROR(__xludf.DUMMYFUNCTION("""COMPUTED_VALUE"""),"--")</f>
        <v>--</v>
      </c>
      <c r="T1116" s="251" t="str">
        <f>IFERROR(__xludf.DUMMYFUNCTION("""COMPUTED_VALUE"""),"--")</f>
        <v>--</v>
      </c>
      <c r="U1116" s="251" t="str">
        <f>IFERROR(__xludf.DUMMYFUNCTION("""COMPUTED_VALUE"""),"--")</f>
        <v>--</v>
      </c>
      <c r="V1116" s="251" t="str">
        <f>IFERROR(__xludf.DUMMYFUNCTION("""COMPUTED_VALUE"""),"Tracker")</f>
        <v>Tracker</v>
      </c>
      <c r="W1116" s="251" t="str">
        <f>IFERROR(__xludf.DUMMYFUNCTION("""COMPUTED_VALUE"""),"--")</f>
        <v>--</v>
      </c>
      <c r="X1116" s="251" t="str">
        <f>IFERROR(__xludf.DUMMYFUNCTION("""COMPUTED_VALUE"""),"--")</f>
        <v>--</v>
      </c>
      <c r="Y1116" s="251" t="str">
        <f>IFERROR(__xludf.DUMMYFUNCTION("""COMPUTED_VALUE"""),"--")</f>
        <v>--</v>
      </c>
      <c r="Z1116" s="251" t="str">
        <f>IFERROR(__xludf.DUMMYFUNCTION("""COMPUTED_VALUE"""),"--")</f>
        <v>--</v>
      </c>
      <c r="AA1116" s="251" t="str">
        <f>IFERROR(__xludf.DUMMYFUNCTION("""COMPUTED_VALUE"""),"--")</f>
        <v>--</v>
      </c>
      <c r="AB1116" s="251" t="str">
        <f>IFERROR(__xludf.DUMMYFUNCTION("""COMPUTED_VALUE"""),"--")</f>
        <v>--</v>
      </c>
      <c r="AC1116" s="251" t="str">
        <f>IFERROR(__xludf.DUMMYFUNCTION("""COMPUTED_VALUE"""),"--")</f>
        <v>--</v>
      </c>
      <c r="AD1116" s="251">
        <f>IFERROR(__xludf.DUMMYFUNCTION("""COMPUTED_VALUE"""),3.0)</f>
        <v>3</v>
      </c>
      <c r="AE1116" s="251" t="str">
        <f>IFERROR(__xludf.DUMMYFUNCTION("""COMPUTED_VALUE"""),"Omnivore")</f>
        <v>Omnivore</v>
      </c>
    </row>
    <row r="1117">
      <c r="A1117" s="251" t="str">
        <f>IFERROR(__xludf.DUMMYFUNCTION("""COMPUTED_VALUE"""),"Jolteon")</f>
        <v>Jolteon</v>
      </c>
      <c r="B1117" s="251" t="str">
        <f>IFERROR(__xludf.DUMMYFUNCTION("""COMPUTED_VALUE"""),"Electric")</f>
        <v>Electric</v>
      </c>
      <c r="C1117" s="251" t="str">
        <f>IFERROR(__xludf.DUMMYFUNCTION("""COMPUTED_VALUE"""),"None")</f>
        <v>None</v>
      </c>
      <c r="D1117" s="251">
        <f>IFERROR(__xludf.DUMMYFUNCTION("""COMPUTED_VALUE"""),7.0)</f>
        <v>7</v>
      </c>
      <c r="E1117" s="251">
        <f>IFERROR(__xludf.DUMMYFUNCTION("""COMPUTED_VALUE"""),7.0)</f>
        <v>7</v>
      </c>
      <c r="F1117" s="251">
        <f>IFERROR(__xludf.DUMMYFUNCTION("""COMPUTED_VALUE"""),6.0)</f>
        <v>6</v>
      </c>
      <c r="G1117" s="251">
        <f>IFERROR(__xludf.DUMMYFUNCTION("""COMPUTED_VALUE"""),11.0)</f>
        <v>11</v>
      </c>
      <c r="H1117" s="251">
        <f>IFERROR(__xludf.DUMMYFUNCTION("""COMPUTED_VALUE"""),10.0)</f>
        <v>10</v>
      </c>
      <c r="I1117" s="251">
        <f>IFERROR(__xludf.DUMMYFUNCTION("""COMPUTED_VALUE"""),13.0)</f>
        <v>13</v>
      </c>
      <c r="J1117" s="251">
        <f>IFERROR(__xludf.DUMMYFUNCTION("""COMPUTED_VALUE"""),3.0)</f>
        <v>3</v>
      </c>
      <c r="K1117" s="251" t="str">
        <f>IFERROR(__xludf.DUMMYFUNCTION("""COMPUTED_VALUE"""),"Medium")</f>
        <v>Medium</v>
      </c>
      <c r="L1117" s="251">
        <f>IFERROR(__xludf.DUMMYFUNCTION("""COMPUTED_VALUE"""),3.0)</f>
        <v>3</v>
      </c>
      <c r="M1117" s="251" t="str">
        <f>IFERROR(__xludf.DUMMYFUNCTION("""COMPUTED_VALUE"""),"Grasslands, Urban")</f>
        <v>Grasslands, Urban</v>
      </c>
      <c r="N1117" s="251" t="str">
        <f>IFERROR(__xludf.DUMMYFUNCTION("""COMPUTED_VALUE"""),"Jumper")</f>
        <v>Jumper</v>
      </c>
      <c r="O1117" s="251" t="str">
        <f>IFERROR(__xludf.DUMMYFUNCTION("""COMPUTED_VALUE"""),"Quick")</f>
        <v>Quick</v>
      </c>
      <c r="P1117" s="251" t="str">
        <f>IFERROR(__xludf.DUMMYFUNCTION("""COMPUTED_VALUE"""),"--")</f>
        <v>--</v>
      </c>
      <c r="Q1117" s="251" t="str">
        <f>IFERROR(__xludf.DUMMYFUNCTION("""COMPUTED_VALUE"""),"--")</f>
        <v>--</v>
      </c>
      <c r="R1117" s="251" t="str">
        <f>IFERROR(__xludf.DUMMYFUNCTION("""COMPUTED_VALUE"""),"--")</f>
        <v>--</v>
      </c>
      <c r="S1117" s="251" t="str">
        <f>IFERROR(__xludf.DUMMYFUNCTION("""COMPUTED_VALUE"""),"--")</f>
        <v>--</v>
      </c>
      <c r="T1117" s="251" t="str">
        <f>IFERROR(__xludf.DUMMYFUNCTION("""COMPUTED_VALUE"""),"--")</f>
        <v>--</v>
      </c>
      <c r="U1117" s="251" t="str">
        <f>IFERROR(__xludf.DUMMYFUNCTION("""COMPUTED_VALUE"""),"--")</f>
        <v>--</v>
      </c>
      <c r="V1117" s="251" t="str">
        <f>IFERROR(__xludf.DUMMYFUNCTION("""COMPUTED_VALUE"""),"Tracker")</f>
        <v>Tracker</v>
      </c>
      <c r="W1117" s="251" t="str">
        <f>IFERROR(__xludf.DUMMYFUNCTION("""COMPUTED_VALUE"""),"--")</f>
        <v>--</v>
      </c>
      <c r="X1117" s="251" t="str">
        <f>IFERROR(__xludf.DUMMYFUNCTION("""COMPUTED_VALUE"""),"--")</f>
        <v>--</v>
      </c>
      <c r="Y1117" s="251" t="str">
        <f>IFERROR(__xludf.DUMMYFUNCTION("""COMPUTED_VALUE"""),"--")</f>
        <v>--</v>
      </c>
      <c r="Z1117" s="251" t="str">
        <f>IFERROR(__xludf.DUMMYFUNCTION("""COMPUTED_VALUE"""),"--")</f>
        <v>--</v>
      </c>
      <c r="AA1117" s="251" t="str">
        <f>IFERROR(__xludf.DUMMYFUNCTION("""COMPUTED_VALUE"""),"--")</f>
        <v>--</v>
      </c>
      <c r="AB1117" s="251" t="str">
        <f>IFERROR(__xludf.DUMMYFUNCTION("""COMPUTED_VALUE"""),"--")</f>
        <v>--</v>
      </c>
      <c r="AC1117" s="251" t="str">
        <f>IFERROR(__xludf.DUMMYFUNCTION("""COMPUTED_VALUE"""),"--")</f>
        <v>--</v>
      </c>
      <c r="AD1117" s="251">
        <f>IFERROR(__xludf.DUMMYFUNCTION("""COMPUTED_VALUE"""),3.0)</f>
        <v>3</v>
      </c>
      <c r="AE1117" s="251" t="str">
        <f>IFERROR(__xludf.DUMMYFUNCTION("""COMPUTED_VALUE"""),"Omnivore")</f>
        <v>Omnivore</v>
      </c>
    </row>
    <row r="1118">
      <c r="A1118" s="251" t="str">
        <f>IFERROR(__xludf.DUMMYFUNCTION("""COMPUTED_VALUE"""),"Sylveon")</f>
        <v>Sylveon</v>
      </c>
      <c r="B1118" s="251" t="str">
        <f>IFERROR(__xludf.DUMMYFUNCTION("""COMPUTED_VALUE"""),"Fairy")</f>
        <v>Fairy</v>
      </c>
      <c r="C1118" s="251" t="str">
        <f>IFERROR(__xludf.DUMMYFUNCTION("""COMPUTED_VALUE"""),"None")</f>
        <v>None</v>
      </c>
      <c r="D1118" s="251">
        <f>IFERROR(__xludf.DUMMYFUNCTION("""COMPUTED_VALUE"""),10.0)</f>
        <v>10</v>
      </c>
      <c r="E1118" s="251">
        <f>IFERROR(__xludf.DUMMYFUNCTION("""COMPUTED_VALUE"""),7.0)</f>
        <v>7</v>
      </c>
      <c r="F1118" s="251">
        <f>IFERROR(__xludf.DUMMYFUNCTION("""COMPUTED_VALUE"""),7.0)</f>
        <v>7</v>
      </c>
      <c r="G1118" s="251">
        <f>IFERROR(__xludf.DUMMYFUNCTION("""COMPUTED_VALUE"""),11.0)</f>
        <v>11</v>
      </c>
      <c r="H1118" s="251">
        <f>IFERROR(__xludf.DUMMYFUNCTION("""COMPUTED_VALUE"""),13.0)</f>
        <v>13</v>
      </c>
      <c r="I1118" s="251">
        <f>IFERROR(__xludf.DUMMYFUNCTION("""COMPUTED_VALUE"""),6.0)</f>
        <v>6</v>
      </c>
      <c r="J1118" s="251">
        <f>IFERROR(__xludf.DUMMYFUNCTION("""COMPUTED_VALUE"""),3.0)</f>
        <v>3</v>
      </c>
      <c r="K1118" s="251" t="str">
        <f>IFERROR(__xludf.DUMMYFUNCTION("""COMPUTED_VALUE"""),"Medium")</f>
        <v>Medium</v>
      </c>
      <c r="L1118" s="251">
        <f>IFERROR(__xludf.DUMMYFUNCTION("""COMPUTED_VALUE"""),2.0)</f>
        <v>2</v>
      </c>
      <c r="M1118" s="251" t="str">
        <f>IFERROR(__xludf.DUMMYFUNCTION("""COMPUTED_VALUE"""),"Grasslands, Urban")</f>
        <v>Grasslands, Urban</v>
      </c>
      <c r="N1118" s="251" t="str">
        <f>IFERROR(__xludf.DUMMYFUNCTION("""COMPUTED_VALUE"""),"Jumper")</f>
        <v>Jumper</v>
      </c>
      <c r="O1118" s="251" t="str">
        <f>IFERROR(__xludf.DUMMYFUNCTION("""COMPUTED_VALUE"""),"--")</f>
        <v>--</v>
      </c>
      <c r="P1118" s="251" t="str">
        <f>IFERROR(__xludf.DUMMYFUNCTION("""COMPUTED_VALUE"""),"--")</f>
        <v>--</v>
      </c>
      <c r="Q1118" s="251" t="str">
        <f>IFERROR(__xludf.DUMMYFUNCTION("""COMPUTED_VALUE"""),"--")</f>
        <v>--</v>
      </c>
      <c r="R1118" s="251" t="str">
        <f>IFERROR(__xludf.DUMMYFUNCTION("""COMPUTED_VALUE"""),"--")</f>
        <v>--</v>
      </c>
      <c r="S1118" s="251" t="str">
        <f>IFERROR(__xludf.DUMMYFUNCTION("""COMPUTED_VALUE"""),"--")</f>
        <v>--</v>
      </c>
      <c r="T1118" s="251" t="str">
        <f>IFERROR(__xludf.DUMMYFUNCTION("""COMPUTED_VALUE"""),"--")</f>
        <v>--</v>
      </c>
      <c r="U1118" s="251" t="str">
        <f>IFERROR(__xludf.DUMMYFUNCTION("""COMPUTED_VALUE"""),"--")</f>
        <v>--</v>
      </c>
      <c r="V1118" s="251" t="str">
        <f>IFERROR(__xludf.DUMMYFUNCTION("""COMPUTED_VALUE"""),"Empath")</f>
        <v>Empath</v>
      </c>
      <c r="W1118" s="251" t="str">
        <f>IFERROR(__xludf.DUMMYFUNCTION("""COMPUTED_VALUE"""),"Tracker")</f>
        <v>Tracker</v>
      </c>
      <c r="X1118" s="251" t="str">
        <f>IFERROR(__xludf.DUMMYFUNCTION("""COMPUTED_VALUE"""),"--")</f>
        <v>--</v>
      </c>
      <c r="Y1118" s="251" t="str">
        <f>IFERROR(__xludf.DUMMYFUNCTION("""COMPUTED_VALUE"""),"--")</f>
        <v>--</v>
      </c>
      <c r="Z1118" s="251" t="str">
        <f>IFERROR(__xludf.DUMMYFUNCTION("""COMPUTED_VALUE"""),"--")</f>
        <v>--</v>
      </c>
      <c r="AA1118" s="251" t="str">
        <f>IFERROR(__xludf.DUMMYFUNCTION("""COMPUTED_VALUE"""),"--")</f>
        <v>--</v>
      </c>
      <c r="AB1118" s="251" t="str">
        <f>IFERROR(__xludf.DUMMYFUNCTION("""COMPUTED_VALUE"""),"--")</f>
        <v>--</v>
      </c>
      <c r="AC1118" s="251" t="str">
        <f>IFERROR(__xludf.DUMMYFUNCTION("""COMPUTED_VALUE"""),"--")</f>
        <v>--</v>
      </c>
      <c r="AD1118" s="251">
        <f>IFERROR(__xludf.DUMMYFUNCTION("""COMPUTED_VALUE"""),3.0)</f>
        <v>3</v>
      </c>
      <c r="AE1118" s="251" t="str">
        <f>IFERROR(__xludf.DUMMYFUNCTION("""COMPUTED_VALUE"""),"Omnivore")</f>
        <v>Omnivore</v>
      </c>
    </row>
    <row r="1119">
      <c r="A1119" s="251" t="str">
        <f>IFERROR(__xludf.DUMMYFUNCTION("""COMPUTED_VALUE"""),"Flareon")</f>
        <v>Flareon</v>
      </c>
      <c r="B1119" s="251" t="str">
        <f>IFERROR(__xludf.DUMMYFUNCTION("""COMPUTED_VALUE"""),"Fire")</f>
        <v>Fire</v>
      </c>
      <c r="C1119" s="251" t="str">
        <f>IFERROR(__xludf.DUMMYFUNCTION("""COMPUTED_VALUE"""),"None")</f>
        <v>None</v>
      </c>
      <c r="D1119" s="251">
        <f>IFERROR(__xludf.DUMMYFUNCTION("""COMPUTED_VALUE"""),7.0)</f>
        <v>7</v>
      </c>
      <c r="E1119" s="251">
        <f>IFERROR(__xludf.DUMMYFUNCTION("""COMPUTED_VALUE"""),13.0)</f>
        <v>13</v>
      </c>
      <c r="F1119" s="251">
        <f>IFERROR(__xludf.DUMMYFUNCTION("""COMPUTED_VALUE"""),6.0)</f>
        <v>6</v>
      </c>
      <c r="G1119" s="251">
        <f>IFERROR(__xludf.DUMMYFUNCTION("""COMPUTED_VALUE"""),10.0)</f>
        <v>10</v>
      </c>
      <c r="H1119" s="251">
        <f>IFERROR(__xludf.DUMMYFUNCTION("""COMPUTED_VALUE"""),11.0)</f>
        <v>11</v>
      </c>
      <c r="I1119" s="251">
        <f>IFERROR(__xludf.DUMMYFUNCTION("""COMPUTED_VALUE"""),7.0)</f>
        <v>7</v>
      </c>
      <c r="J1119" s="251">
        <f>IFERROR(__xludf.DUMMYFUNCTION("""COMPUTED_VALUE"""),3.0)</f>
        <v>3</v>
      </c>
      <c r="K1119" s="251" t="str">
        <f>IFERROR(__xludf.DUMMYFUNCTION("""COMPUTED_VALUE"""),"Small")</f>
        <v>Small</v>
      </c>
      <c r="L1119" s="251">
        <f>IFERROR(__xludf.DUMMYFUNCTION("""COMPUTED_VALUE"""),3.0)</f>
        <v>3</v>
      </c>
      <c r="M1119" s="251" t="str">
        <f>IFERROR(__xludf.DUMMYFUNCTION("""COMPUTED_VALUE"""),"Grasslands, Mountain")</f>
        <v>Grasslands, Mountain</v>
      </c>
      <c r="N1119" s="251" t="str">
        <f>IFERROR(__xludf.DUMMYFUNCTION("""COMPUTED_VALUE"""),"Jumper")</f>
        <v>Jumper</v>
      </c>
      <c r="O1119" s="251" t="str">
        <f>IFERROR(__xludf.DUMMYFUNCTION("""COMPUTED_VALUE"""),"--")</f>
        <v>--</v>
      </c>
      <c r="P1119" s="251" t="str">
        <f>IFERROR(__xludf.DUMMYFUNCTION("""COMPUTED_VALUE"""),"--")</f>
        <v>--</v>
      </c>
      <c r="Q1119" s="251" t="str">
        <f>IFERROR(__xludf.DUMMYFUNCTION("""COMPUTED_VALUE"""),"--")</f>
        <v>--</v>
      </c>
      <c r="R1119" s="251" t="str">
        <f>IFERROR(__xludf.DUMMYFUNCTION("""COMPUTED_VALUE"""),"--")</f>
        <v>--</v>
      </c>
      <c r="S1119" s="251" t="str">
        <f>IFERROR(__xludf.DUMMYFUNCTION("""COMPUTED_VALUE"""),"--")</f>
        <v>--</v>
      </c>
      <c r="T1119" s="251" t="str">
        <f>IFERROR(__xludf.DUMMYFUNCTION("""COMPUTED_VALUE"""),"--")</f>
        <v>--</v>
      </c>
      <c r="U1119" s="251" t="str">
        <f>IFERROR(__xludf.DUMMYFUNCTION("""COMPUTED_VALUE"""),"--")</f>
        <v>--</v>
      </c>
      <c r="V1119" s="251" t="str">
        <f>IFERROR(__xludf.DUMMYFUNCTION("""COMPUTED_VALUE"""),"Heater")</f>
        <v>Heater</v>
      </c>
      <c r="W1119" s="251" t="str">
        <f>IFERROR(__xludf.DUMMYFUNCTION("""COMPUTED_VALUE"""),"Tracker")</f>
        <v>Tracker</v>
      </c>
      <c r="X1119" s="251" t="str">
        <f>IFERROR(__xludf.DUMMYFUNCTION("""COMPUTED_VALUE"""),"--")</f>
        <v>--</v>
      </c>
      <c r="Y1119" s="251" t="str">
        <f>IFERROR(__xludf.DUMMYFUNCTION("""COMPUTED_VALUE"""),"--")</f>
        <v>--</v>
      </c>
      <c r="Z1119" s="251" t="str">
        <f>IFERROR(__xludf.DUMMYFUNCTION("""COMPUTED_VALUE"""),"--")</f>
        <v>--</v>
      </c>
      <c r="AA1119" s="251" t="str">
        <f>IFERROR(__xludf.DUMMYFUNCTION("""COMPUTED_VALUE"""),"--")</f>
        <v>--</v>
      </c>
      <c r="AB1119" s="251" t="str">
        <f>IFERROR(__xludf.DUMMYFUNCTION("""COMPUTED_VALUE"""),"--")</f>
        <v>--</v>
      </c>
      <c r="AC1119" s="251" t="str">
        <f>IFERROR(__xludf.DUMMYFUNCTION("""COMPUTED_VALUE"""),"--")</f>
        <v>--</v>
      </c>
      <c r="AD1119" s="251">
        <f>IFERROR(__xludf.DUMMYFUNCTION("""COMPUTED_VALUE"""),3.0)</f>
        <v>3</v>
      </c>
      <c r="AE1119" s="251" t="str">
        <f>IFERROR(__xludf.DUMMYFUNCTION("""COMPUTED_VALUE"""),"Omnivore")</f>
        <v>Omnivore</v>
      </c>
    </row>
    <row r="1120">
      <c r="A1120" s="251" t="str">
        <f>IFERROR(__xludf.DUMMYFUNCTION("""COMPUTED_VALUE"""),"Leafeon")</f>
        <v>Leafeon</v>
      </c>
      <c r="B1120" s="251" t="str">
        <f>IFERROR(__xludf.DUMMYFUNCTION("""COMPUTED_VALUE"""),"Grass")</f>
        <v>Grass</v>
      </c>
      <c r="C1120" s="251" t="str">
        <f>IFERROR(__xludf.DUMMYFUNCTION("""COMPUTED_VALUE"""),"None")</f>
        <v>None</v>
      </c>
      <c r="D1120" s="251">
        <f>IFERROR(__xludf.DUMMYFUNCTION("""COMPUTED_VALUE"""),7.0)</f>
        <v>7</v>
      </c>
      <c r="E1120" s="251">
        <f>IFERROR(__xludf.DUMMYFUNCTION("""COMPUTED_VALUE"""),11.0)</f>
        <v>11</v>
      </c>
      <c r="F1120" s="251">
        <f>IFERROR(__xludf.DUMMYFUNCTION("""COMPUTED_VALUE"""),13.0)</f>
        <v>13</v>
      </c>
      <c r="G1120" s="251">
        <f>IFERROR(__xludf.DUMMYFUNCTION("""COMPUTED_VALUE"""),6.0)</f>
        <v>6</v>
      </c>
      <c r="H1120" s="251">
        <f>IFERROR(__xludf.DUMMYFUNCTION("""COMPUTED_VALUE"""),7.0)</f>
        <v>7</v>
      </c>
      <c r="I1120" s="251">
        <f>IFERROR(__xludf.DUMMYFUNCTION("""COMPUTED_VALUE"""),10.0)</f>
        <v>10</v>
      </c>
      <c r="J1120" s="251">
        <f>IFERROR(__xludf.DUMMYFUNCTION("""COMPUTED_VALUE"""),3.0)</f>
        <v>3</v>
      </c>
      <c r="K1120" s="251" t="str">
        <f>IFERROR(__xludf.DUMMYFUNCTION("""COMPUTED_VALUE"""),"Medium")</f>
        <v>Medium</v>
      </c>
      <c r="L1120" s="251">
        <f>IFERROR(__xludf.DUMMYFUNCTION("""COMPUTED_VALUE"""),3.0)</f>
        <v>3</v>
      </c>
      <c r="M1120" s="251" t="str">
        <f>IFERROR(__xludf.DUMMYFUNCTION("""COMPUTED_VALUE"""),"Forest, Grasslands")</f>
        <v>Forest, Grasslands</v>
      </c>
      <c r="N1120" s="251" t="str">
        <f>IFERROR(__xludf.DUMMYFUNCTION("""COMPUTED_VALUE"""),"Jumper")</f>
        <v>Jumper</v>
      </c>
      <c r="O1120" s="251" t="str">
        <f>IFERROR(__xludf.DUMMYFUNCTION("""COMPUTED_VALUE"""),"--")</f>
        <v>--</v>
      </c>
      <c r="P1120" s="251" t="str">
        <f>IFERROR(__xludf.DUMMYFUNCTION("""COMPUTED_VALUE"""),"--")</f>
        <v>--</v>
      </c>
      <c r="Q1120" s="251" t="str">
        <f>IFERROR(__xludf.DUMMYFUNCTION("""COMPUTED_VALUE"""),"--")</f>
        <v>--</v>
      </c>
      <c r="R1120" s="251" t="str">
        <f>IFERROR(__xludf.DUMMYFUNCTION("""COMPUTED_VALUE"""),"--")</f>
        <v>--</v>
      </c>
      <c r="S1120" s="251" t="str">
        <f>IFERROR(__xludf.DUMMYFUNCTION("""COMPUTED_VALUE"""),"--")</f>
        <v>--</v>
      </c>
      <c r="T1120" s="251" t="str">
        <f>IFERROR(__xludf.DUMMYFUNCTION("""COMPUTED_VALUE"""),"--")</f>
        <v>--</v>
      </c>
      <c r="U1120" s="251" t="str">
        <f>IFERROR(__xludf.DUMMYFUNCTION("""COMPUTED_VALUE"""),"--")</f>
        <v>--</v>
      </c>
      <c r="V1120" s="251" t="str">
        <f>IFERROR(__xludf.DUMMYFUNCTION("""COMPUTED_VALUE"""),"Tracker")</f>
        <v>Tracker</v>
      </c>
      <c r="W1120" s="251" t="str">
        <f>IFERROR(__xludf.DUMMYFUNCTION("""COMPUTED_VALUE"""),"--")</f>
        <v>--</v>
      </c>
      <c r="X1120" s="251" t="str">
        <f>IFERROR(__xludf.DUMMYFUNCTION("""COMPUTED_VALUE"""),"--")</f>
        <v>--</v>
      </c>
      <c r="Y1120" s="251" t="str">
        <f>IFERROR(__xludf.DUMMYFUNCTION("""COMPUTED_VALUE"""),"--")</f>
        <v>--</v>
      </c>
      <c r="Z1120" s="251" t="str">
        <f>IFERROR(__xludf.DUMMYFUNCTION("""COMPUTED_VALUE"""),"--")</f>
        <v>--</v>
      </c>
      <c r="AA1120" s="251" t="str">
        <f>IFERROR(__xludf.DUMMYFUNCTION("""COMPUTED_VALUE"""),"--")</f>
        <v>--</v>
      </c>
      <c r="AB1120" s="251" t="str">
        <f>IFERROR(__xludf.DUMMYFUNCTION("""COMPUTED_VALUE"""),"--")</f>
        <v>--</v>
      </c>
      <c r="AC1120" s="251" t="str">
        <f>IFERROR(__xludf.DUMMYFUNCTION("""COMPUTED_VALUE"""),"--")</f>
        <v>--</v>
      </c>
      <c r="AD1120" s="251">
        <f>IFERROR(__xludf.DUMMYFUNCTION("""COMPUTED_VALUE"""),3.0)</f>
        <v>3</v>
      </c>
      <c r="AE1120" s="251" t="str">
        <f>IFERROR(__xludf.DUMMYFUNCTION("""COMPUTED_VALUE"""),"Phototroph")</f>
        <v>Phototroph</v>
      </c>
    </row>
    <row r="1121">
      <c r="A1121" s="251" t="str">
        <f>IFERROR(__xludf.DUMMYFUNCTION("""COMPUTED_VALUE"""),"Glaceon")</f>
        <v>Glaceon</v>
      </c>
      <c r="B1121" s="251" t="str">
        <f>IFERROR(__xludf.DUMMYFUNCTION("""COMPUTED_VALUE"""),"Ice")</f>
        <v>Ice</v>
      </c>
      <c r="C1121" s="251" t="str">
        <f>IFERROR(__xludf.DUMMYFUNCTION("""COMPUTED_VALUE"""),"None")</f>
        <v>None</v>
      </c>
      <c r="D1121" s="251">
        <f>IFERROR(__xludf.DUMMYFUNCTION("""COMPUTED_VALUE"""),7.0)</f>
        <v>7</v>
      </c>
      <c r="E1121" s="251">
        <f>IFERROR(__xludf.DUMMYFUNCTION("""COMPUTED_VALUE"""),6.0)</f>
        <v>6</v>
      </c>
      <c r="F1121" s="251">
        <f>IFERROR(__xludf.DUMMYFUNCTION("""COMPUTED_VALUE"""),11.0)</f>
        <v>11</v>
      </c>
      <c r="G1121" s="251">
        <f>IFERROR(__xludf.DUMMYFUNCTION("""COMPUTED_VALUE"""),13.0)</f>
        <v>13</v>
      </c>
      <c r="H1121" s="251">
        <f>IFERROR(__xludf.DUMMYFUNCTION("""COMPUTED_VALUE"""),10.0)</f>
        <v>10</v>
      </c>
      <c r="I1121" s="251">
        <f>IFERROR(__xludf.DUMMYFUNCTION("""COMPUTED_VALUE"""),7.0)</f>
        <v>7</v>
      </c>
      <c r="J1121" s="251">
        <f>IFERROR(__xludf.DUMMYFUNCTION("""COMPUTED_VALUE"""),3.0)</f>
        <v>3</v>
      </c>
      <c r="K1121" s="251" t="str">
        <f>IFERROR(__xludf.DUMMYFUNCTION("""COMPUTED_VALUE"""),"Small")</f>
        <v>Small</v>
      </c>
      <c r="L1121" s="251">
        <f>IFERROR(__xludf.DUMMYFUNCTION("""COMPUTED_VALUE"""),3.0)</f>
        <v>3</v>
      </c>
      <c r="M1121" s="251" t="str">
        <f>IFERROR(__xludf.DUMMYFUNCTION("""COMPUTED_VALUE"""),"Grasslands, Tundra")</f>
        <v>Grasslands, Tundra</v>
      </c>
      <c r="N1121" s="251" t="str">
        <f>IFERROR(__xludf.DUMMYFUNCTION("""COMPUTED_VALUE"""),"Jumper")</f>
        <v>Jumper</v>
      </c>
      <c r="O1121" s="251" t="str">
        <f>IFERROR(__xludf.DUMMYFUNCTION("""COMPUTED_VALUE"""),"--")</f>
        <v>--</v>
      </c>
      <c r="P1121" s="251" t="str">
        <f>IFERROR(__xludf.DUMMYFUNCTION("""COMPUTED_VALUE"""),"--")</f>
        <v>--</v>
      </c>
      <c r="Q1121" s="251" t="str">
        <f>IFERROR(__xludf.DUMMYFUNCTION("""COMPUTED_VALUE"""),"--")</f>
        <v>--</v>
      </c>
      <c r="R1121" s="251" t="str">
        <f>IFERROR(__xludf.DUMMYFUNCTION("""COMPUTED_VALUE"""),"--")</f>
        <v>--</v>
      </c>
      <c r="S1121" s="251" t="str">
        <f>IFERROR(__xludf.DUMMYFUNCTION("""COMPUTED_VALUE"""),"--")</f>
        <v>--</v>
      </c>
      <c r="T1121" s="251" t="str">
        <f>IFERROR(__xludf.DUMMYFUNCTION("""COMPUTED_VALUE"""),"--")</f>
        <v>--</v>
      </c>
      <c r="U1121" s="251" t="str">
        <f>IFERROR(__xludf.DUMMYFUNCTION("""COMPUTED_VALUE"""),"--")</f>
        <v>--</v>
      </c>
      <c r="V1121" s="251" t="str">
        <f>IFERROR(__xludf.DUMMYFUNCTION("""COMPUTED_VALUE"""),"Chilled")</f>
        <v>Chilled</v>
      </c>
      <c r="W1121" s="251" t="str">
        <f>IFERROR(__xludf.DUMMYFUNCTION("""COMPUTED_VALUE"""),"Tracker")</f>
        <v>Tracker</v>
      </c>
      <c r="X1121" s="251" t="str">
        <f>IFERROR(__xludf.DUMMYFUNCTION("""COMPUTED_VALUE"""),"--")</f>
        <v>--</v>
      </c>
      <c r="Y1121" s="251" t="str">
        <f>IFERROR(__xludf.DUMMYFUNCTION("""COMPUTED_VALUE"""),"--")</f>
        <v>--</v>
      </c>
      <c r="Z1121" s="251" t="str">
        <f>IFERROR(__xludf.DUMMYFUNCTION("""COMPUTED_VALUE"""),"--")</f>
        <v>--</v>
      </c>
      <c r="AA1121" s="251" t="str">
        <f>IFERROR(__xludf.DUMMYFUNCTION("""COMPUTED_VALUE"""),"--")</f>
        <v>--</v>
      </c>
      <c r="AB1121" s="251" t="str">
        <f>IFERROR(__xludf.DUMMYFUNCTION("""COMPUTED_VALUE"""),"--")</f>
        <v>--</v>
      </c>
      <c r="AC1121" s="251" t="str">
        <f>IFERROR(__xludf.DUMMYFUNCTION("""COMPUTED_VALUE"""),"--")</f>
        <v>--</v>
      </c>
      <c r="AD1121" s="251">
        <f>IFERROR(__xludf.DUMMYFUNCTION("""COMPUTED_VALUE"""),3.0)</f>
        <v>3</v>
      </c>
      <c r="AE1121" s="251" t="str">
        <f>IFERROR(__xludf.DUMMYFUNCTION("""COMPUTED_VALUE"""),"Omnivore")</f>
        <v>Omnivore</v>
      </c>
    </row>
    <row r="1122">
      <c r="A1122" s="251" t="str">
        <f>IFERROR(__xludf.DUMMYFUNCTION("""COMPUTED_VALUE"""),"Espeon")</f>
        <v>Espeon</v>
      </c>
      <c r="B1122" s="251" t="str">
        <f>IFERROR(__xludf.DUMMYFUNCTION("""COMPUTED_VALUE"""),"Psychic")</f>
        <v>Psychic</v>
      </c>
      <c r="C1122" s="251" t="str">
        <f>IFERROR(__xludf.DUMMYFUNCTION("""COMPUTED_VALUE"""),"None")</f>
        <v>None</v>
      </c>
      <c r="D1122" s="251">
        <f>IFERROR(__xludf.DUMMYFUNCTION("""COMPUTED_VALUE"""),7.0)</f>
        <v>7</v>
      </c>
      <c r="E1122" s="251">
        <f>IFERROR(__xludf.DUMMYFUNCTION("""COMPUTED_VALUE"""),7.0)</f>
        <v>7</v>
      </c>
      <c r="F1122" s="251">
        <f>IFERROR(__xludf.DUMMYFUNCTION("""COMPUTED_VALUE"""),6.0)</f>
        <v>6</v>
      </c>
      <c r="G1122" s="251">
        <f>IFERROR(__xludf.DUMMYFUNCTION("""COMPUTED_VALUE"""),13.0)</f>
        <v>13</v>
      </c>
      <c r="H1122" s="251">
        <f>IFERROR(__xludf.DUMMYFUNCTION("""COMPUTED_VALUE"""),10.0)</f>
        <v>10</v>
      </c>
      <c r="I1122" s="251">
        <f>IFERROR(__xludf.DUMMYFUNCTION("""COMPUTED_VALUE"""),11.0)</f>
        <v>11</v>
      </c>
      <c r="J1122" s="251">
        <f>IFERROR(__xludf.DUMMYFUNCTION("""COMPUTED_VALUE"""),3.0)</f>
        <v>3</v>
      </c>
      <c r="K1122" s="251" t="str">
        <f>IFERROR(__xludf.DUMMYFUNCTION("""COMPUTED_VALUE"""),"Small")</f>
        <v>Small</v>
      </c>
      <c r="L1122" s="251">
        <f>IFERROR(__xludf.DUMMYFUNCTION("""COMPUTED_VALUE"""),3.0)</f>
        <v>3</v>
      </c>
      <c r="M1122" s="251" t="str">
        <f>IFERROR(__xludf.DUMMYFUNCTION("""COMPUTED_VALUE"""),"Grasslands, Urban")</f>
        <v>Grasslands, Urban</v>
      </c>
      <c r="N1122" s="251" t="str">
        <f>IFERROR(__xludf.DUMMYFUNCTION("""COMPUTED_VALUE"""),"Jumper")</f>
        <v>Jumper</v>
      </c>
      <c r="O1122" s="251" t="str">
        <f>IFERROR(__xludf.DUMMYFUNCTION("""COMPUTED_VALUE"""),"--")</f>
        <v>--</v>
      </c>
      <c r="P1122" s="251" t="str">
        <f>IFERROR(__xludf.DUMMYFUNCTION("""COMPUTED_VALUE"""),"--")</f>
        <v>--</v>
      </c>
      <c r="Q1122" s="251" t="str">
        <f>IFERROR(__xludf.DUMMYFUNCTION("""COMPUTED_VALUE"""),"--")</f>
        <v>--</v>
      </c>
      <c r="R1122" s="251" t="str">
        <f>IFERROR(__xludf.DUMMYFUNCTION("""COMPUTED_VALUE"""),"Telekinetic")</f>
        <v>Telekinetic</v>
      </c>
      <c r="S1122" s="251" t="str">
        <f>IFERROR(__xludf.DUMMYFUNCTION("""COMPUTED_VALUE"""),"--")</f>
        <v>--</v>
      </c>
      <c r="T1122" s="251" t="str">
        <f>IFERROR(__xludf.DUMMYFUNCTION("""COMPUTED_VALUE"""),"--")</f>
        <v>--</v>
      </c>
      <c r="U1122" s="251" t="str">
        <f>IFERROR(__xludf.DUMMYFUNCTION("""COMPUTED_VALUE"""),"--")</f>
        <v>--</v>
      </c>
      <c r="V1122" s="251" t="str">
        <f>IFERROR(__xludf.DUMMYFUNCTION("""COMPUTED_VALUE"""),"Telepath")</f>
        <v>Telepath</v>
      </c>
      <c r="W1122" s="251" t="str">
        <f>IFERROR(__xludf.DUMMYFUNCTION("""COMPUTED_VALUE"""),"Tracker")</f>
        <v>Tracker</v>
      </c>
      <c r="X1122" s="251" t="str">
        <f>IFERROR(__xludf.DUMMYFUNCTION("""COMPUTED_VALUE"""),"--")</f>
        <v>--</v>
      </c>
      <c r="Y1122" s="251" t="str">
        <f>IFERROR(__xludf.DUMMYFUNCTION("""COMPUTED_VALUE"""),"--")</f>
        <v>--</v>
      </c>
      <c r="Z1122" s="251" t="str">
        <f>IFERROR(__xludf.DUMMYFUNCTION("""COMPUTED_VALUE"""),"--")</f>
        <v>--</v>
      </c>
      <c r="AA1122" s="251" t="str">
        <f>IFERROR(__xludf.DUMMYFUNCTION("""COMPUTED_VALUE"""),"--")</f>
        <v>--</v>
      </c>
      <c r="AB1122" s="251" t="str">
        <f>IFERROR(__xludf.DUMMYFUNCTION("""COMPUTED_VALUE"""),"--")</f>
        <v>--</v>
      </c>
      <c r="AC1122" s="251" t="str">
        <f>IFERROR(__xludf.DUMMYFUNCTION("""COMPUTED_VALUE"""),"--")</f>
        <v>--</v>
      </c>
      <c r="AD1122" s="251">
        <f>IFERROR(__xludf.DUMMYFUNCTION("""COMPUTED_VALUE"""),3.0)</f>
        <v>3</v>
      </c>
      <c r="AE1122" s="251" t="str">
        <f>IFERROR(__xludf.DUMMYFUNCTION("""COMPUTED_VALUE"""),"Omnivore")</f>
        <v>Omnivore</v>
      </c>
    </row>
    <row r="1123">
      <c r="A1123" s="251" t="str">
        <f>IFERROR(__xludf.DUMMYFUNCTION("""COMPUTED_VALUE"""),"Vaporeon")</f>
        <v>Vaporeon</v>
      </c>
      <c r="B1123" s="251" t="str">
        <f>IFERROR(__xludf.DUMMYFUNCTION("""COMPUTED_VALUE"""),"Water")</f>
        <v>Water</v>
      </c>
      <c r="C1123" s="251" t="str">
        <f>IFERROR(__xludf.DUMMYFUNCTION("""COMPUTED_VALUE"""),"None")</f>
        <v>None</v>
      </c>
      <c r="D1123" s="251">
        <f>IFERROR(__xludf.DUMMYFUNCTION("""COMPUTED_VALUE"""),13.0)</f>
        <v>13</v>
      </c>
      <c r="E1123" s="251">
        <f>IFERROR(__xludf.DUMMYFUNCTION("""COMPUTED_VALUE"""),7.0)</f>
        <v>7</v>
      </c>
      <c r="F1123" s="251">
        <f>IFERROR(__xludf.DUMMYFUNCTION("""COMPUTED_VALUE"""),6.0)</f>
        <v>6</v>
      </c>
      <c r="G1123" s="251">
        <f>IFERROR(__xludf.DUMMYFUNCTION("""COMPUTED_VALUE"""),11.0)</f>
        <v>11</v>
      </c>
      <c r="H1123" s="251">
        <f>IFERROR(__xludf.DUMMYFUNCTION("""COMPUTED_VALUE"""),10.0)</f>
        <v>10</v>
      </c>
      <c r="I1123" s="251">
        <f>IFERROR(__xludf.DUMMYFUNCTION("""COMPUTED_VALUE"""),7.0)</f>
        <v>7</v>
      </c>
      <c r="J1123" s="251">
        <f>IFERROR(__xludf.DUMMYFUNCTION("""COMPUTED_VALUE"""),3.0)</f>
        <v>3</v>
      </c>
      <c r="K1123" s="251" t="str">
        <f>IFERROR(__xludf.DUMMYFUNCTION("""COMPUTED_VALUE"""),"Medium")</f>
        <v>Medium</v>
      </c>
      <c r="L1123" s="251">
        <f>IFERROR(__xludf.DUMMYFUNCTION("""COMPUTED_VALUE"""),3.0)</f>
        <v>3</v>
      </c>
      <c r="M1123" s="251" t="str">
        <f>IFERROR(__xludf.DUMMYFUNCTION("""COMPUTED_VALUE"""),"Grasslands, Ocean")</f>
        <v>Grasslands, Ocean</v>
      </c>
      <c r="N1123" s="251" t="str">
        <f>IFERROR(__xludf.DUMMYFUNCTION("""COMPUTED_VALUE"""),"Jumper")</f>
        <v>Jumper</v>
      </c>
      <c r="O1123" s="251" t="str">
        <f>IFERROR(__xludf.DUMMYFUNCTION("""COMPUTED_VALUE"""),"Swimmer")</f>
        <v>Swimmer</v>
      </c>
      <c r="P1123" s="251" t="str">
        <f>IFERROR(__xludf.DUMMYFUNCTION("""COMPUTED_VALUE"""),"--")</f>
        <v>--</v>
      </c>
      <c r="Q1123" s="251" t="str">
        <f>IFERROR(__xludf.DUMMYFUNCTION("""COMPUTED_VALUE"""),"--")</f>
        <v>--</v>
      </c>
      <c r="R1123" s="251" t="str">
        <f>IFERROR(__xludf.DUMMYFUNCTION("""COMPUTED_VALUE"""),"--")</f>
        <v>--</v>
      </c>
      <c r="S1123" s="251" t="str">
        <f>IFERROR(__xludf.DUMMYFUNCTION("""COMPUTED_VALUE"""),"--")</f>
        <v>--</v>
      </c>
      <c r="T1123" s="251" t="str">
        <f>IFERROR(__xludf.DUMMYFUNCTION("""COMPUTED_VALUE"""),"--")</f>
        <v>--</v>
      </c>
      <c r="U1123" s="251" t="str">
        <f>IFERROR(__xludf.DUMMYFUNCTION("""COMPUTED_VALUE"""),"--")</f>
        <v>--</v>
      </c>
      <c r="V1123" s="251" t="str">
        <f>IFERROR(__xludf.DUMMYFUNCTION("""COMPUTED_VALUE"""),"Amorphous")</f>
        <v>Amorphous</v>
      </c>
      <c r="W1123" s="251" t="str">
        <f>IFERROR(__xludf.DUMMYFUNCTION("""COMPUTED_VALUE"""),"Gilled")</f>
        <v>Gilled</v>
      </c>
      <c r="X1123" s="251" t="str">
        <f>IFERROR(__xludf.DUMMYFUNCTION("""COMPUTED_VALUE"""),"Tracker")</f>
        <v>Tracker</v>
      </c>
      <c r="Y1123" s="251" t="str">
        <f>IFERROR(__xludf.DUMMYFUNCTION("""COMPUTED_VALUE"""),"--")</f>
        <v>--</v>
      </c>
      <c r="Z1123" s="251" t="str">
        <f>IFERROR(__xludf.DUMMYFUNCTION("""COMPUTED_VALUE"""),"--")</f>
        <v>--</v>
      </c>
      <c r="AA1123" s="251" t="str">
        <f>IFERROR(__xludf.DUMMYFUNCTION("""COMPUTED_VALUE"""),"--")</f>
        <v>--</v>
      </c>
      <c r="AB1123" s="251" t="str">
        <f>IFERROR(__xludf.DUMMYFUNCTION("""COMPUTED_VALUE"""),"--")</f>
        <v>--</v>
      </c>
      <c r="AC1123" s="251" t="str">
        <f>IFERROR(__xludf.DUMMYFUNCTION("""COMPUTED_VALUE"""),"--")</f>
        <v>--</v>
      </c>
      <c r="AD1123" s="251">
        <f>IFERROR(__xludf.DUMMYFUNCTION("""COMPUTED_VALUE"""),3.0)</f>
        <v>3</v>
      </c>
      <c r="AE1123" s="251" t="str">
        <f>IFERROR(__xludf.DUMMYFUNCTION("""COMPUTED_VALUE"""),"Omnivore")</f>
        <v>Omnivore</v>
      </c>
    </row>
    <row r="1124">
      <c r="A1124" s="251" t="str">
        <f>IFERROR(__xludf.DUMMYFUNCTION("""COMPUTED_VALUE"""),"Alolan Rattata")</f>
        <v>Alolan Rattata</v>
      </c>
      <c r="B1124" s="251" t="str">
        <f>IFERROR(__xludf.DUMMYFUNCTION("""COMPUTED_VALUE"""),"Dark")</f>
        <v>Dark</v>
      </c>
      <c r="C1124" s="251" t="str">
        <f>IFERROR(__xludf.DUMMYFUNCTION("""COMPUTED_VALUE"""),"Normal")</f>
        <v>Normal</v>
      </c>
      <c r="D1124" s="251">
        <f>IFERROR(__xludf.DUMMYFUNCTION("""COMPUTED_VALUE"""),4.0)</f>
        <v>4</v>
      </c>
      <c r="E1124" s="251">
        <f>IFERROR(__xludf.DUMMYFUNCTION("""COMPUTED_VALUE"""),7.0)</f>
        <v>7</v>
      </c>
      <c r="F1124" s="251">
        <f>IFERROR(__xludf.DUMMYFUNCTION("""COMPUTED_VALUE"""),4.0)</f>
        <v>4</v>
      </c>
      <c r="G1124" s="251">
        <f>IFERROR(__xludf.DUMMYFUNCTION("""COMPUTED_VALUE"""),4.0)</f>
        <v>4</v>
      </c>
      <c r="H1124" s="251">
        <f>IFERROR(__xludf.DUMMYFUNCTION("""COMPUTED_VALUE"""),4.0)</f>
        <v>4</v>
      </c>
      <c r="I1124" s="251">
        <f>IFERROR(__xludf.DUMMYFUNCTION("""COMPUTED_VALUE"""),7.0)</f>
        <v>7</v>
      </c>
      <c r="J1124" s="251">
        <f>IFERROR(__xludf.DUMMYFUNCTION("""COMPUTED_VALUE"""),1.0)</f>
        <v>1</v>
      </c>
      <c r="K1124" s="251" t="str">
        <f>IFERROR(__xludf.DUMMYFUNCTION("""COMPUTED_VALUE"""),"Small")</f>
        <v>Small</v>
      </c>
      <c r="L1124" s="251">
        <f>IFERROR(__xludf.DUMMYFUNCTION("""COMPUTED_VALUE"""),1.0)</f>
        <v>1</v>
      </c>
      <c r="M1124" s="251" t="str">
        <f>IFERROR(__xludf.DUMMYFUNCTION("""COMPUTED_VALUE"""),"Urban")</f>
        <v>Urban</v>
      </c>
      <c r="N1124" s="251" t="str">
        <f>IFERROR(__xludf.DUMMYFUNCTION("""COMPUTED_VALUE"""),"Jumper")</f>
        <v>Jumper</v>
      </c>
      <c r="O1124" s="251" t="str">
        <f>IFERROR(__xludf.DUMMYFUNCTION("""COMPUTED_VALUE"""),"Quick")</f>
        <v>Quick</v>
      </c>
      <c r="P1124" s="251" t="str">
        <f>IFERROR(__xludf.DUMMYFUNCTION("""COMPUTED_VALUE"""),"--")</f>
        <v>--</v>
      </c>
      <c r="Q1124" s="251" t="str">
        <f>IFERROR(__xludf.DUMMYFUNCTION("""COMPUTED_VALUE"""),"--")</f>
        <v>--</v>
      </c>
      <c r="R1124" s="251" t="str">
        <f>IFERROR(__xludf.DUMMYFUNCTION("""COMPUTED_VALUE"""),"Darkvision")</f>
        <v>Darkvision</v>
      </c>
      <c r="S1124" s="251" t="str">
        <f>IFERROR(__xludf.DUMMYFUNCTION("""COMPUTED_VALUE"""),"Underdog")</f>
        <v>Underdog</v>
      </c>
      <c r="T1124" s="251" t="str">
        <f>IFERROR(__xludf.DUMMYFUNCTION("""COMPUTED_VALUE"""),"--")</f>
        <v>--</v>
      </c>
      <c r="U1124" s="251" t="str">
        <f>IFERROR(__xludf.DUMMYFUNCTION("""COMPUTED_VALUE"""),"--")</f>
        <v>--</v>
      </c>
      <c r="V1124" s="251" t="str">
        <f>IFERROR(__xludf.DUMMYFUNCTION("""COMPUTED_VALUE"""),"--")</f>
        <v>--</v>
      </c>
      <c r="W1124" s="251" t="str">
        <f>IFERROR(__xludf.DUMMYFUNCTION("""COMPUTED_VALUE"""),"--")</f>
        <v>--</v>
      </c>
      <c r="X1124" s="251" t="str">
        <f>IFERROR(__xludf.DUMMYFUNCTION("""COMPUTED_VALUE"""),"--")</f>
        <v>--</v>
      </c>
      <c r="Y1124" s="251" t="str">
        <f>IFERROR(__xludf.DUMMYFUNCTION("""COMPUTED_VALUE"""),"--")</f>
        <v>--</v>
      </c>
      <c r="Z1124" s="251" t="str">
        <f>IFERROR(__xludf.DUMMYFUNCTION("""COMPUTED_VALUE"""),"--")</f>
        <v>--</v>
      </c>
      <c r="AA1124" s="251" t="str">
        <f>IFERROR(__xludf.DUMMYFUNCTION("""COMPUTED_VALUE"""),"--")</f>
        <v>--</v>
      </c>
      <c r="AB1124" s="251" t="str">
        <f>IFERROR(__xludf.DUMMYFUNCTION("""COMPUTED_VALUE"""),"--")</f>
        <v>--</v>
      </c>
      <c r="AC1124" s="251" t="str">
        <f>IFERROR(__xludf.DUMMYFUNCTION("""COMPUTED_VALUE"""),"--")</f>
        <v>--</v>
      </c>
      <c r="AD1124" s="251">
        <f>IFERROR(__xludf.DUMMYFUNCTION("""COMPUTED_VALUE"""),2.0)</f>
        <v>2</v>
      </c>
      <c r="AE1124" s="251" t="str">
        <f>IFERROR(__xludf.DUMMYFUNCTION("""COMPUTED_VALUE"""),"Omnivore")</f>
        <v>Omnivore</v>
      </c>
    </row>
    <row r="1125">
      <c r="A1125" s="251" t="str">
        <f>IFERROR(__xludf.DUMMYFUNCTION("""COMPUTED_VALUE"""),"Alolan Raticate")</f>
        <v>Alolan Raticate</v>
      </c>
      <c r="B1125" s="251" t="str">
        <f>IFERROR(__xludf.DUMMYFUNCTION("""COMPUTED_VALUE"""),"Dark")</f>
        <v>Dark</v>
      </c>
      <c r="C1125" s="251" t="str">
        <f>IFERROR(__xludf.DUMMYFUNCTION("""COMPUTED_VALUE"""),"Normal")</f>
        <v>Normal</v>
      </c>
      <c r="D1125" s="251">
        <f>IFERROR(__xludf.DUMMYFUNCTION("""COMPUTED_VALUE"""),6.0)</f>
        <v>6</v>
      </c>
      <c r="E1125" s="251">
        <f>IFERROR(__xludf.DUMMYFUNCTION("""COMPUTED_VALUE"""),8.0)</f>
        <v>8</v>
      </c>
      <c r="F1125" s="251">
        <f>IFERROR(__xludf.DUMMYFUNCTION("""COMPUTED_VALUE"""),6.0)</f>
        <v>6</v>
      </c>
      <c r="G1125" s="251">
        <f>IFERROR(__xludf.DUMMYFUNCTION("""COMPUTED_VALUE"""),5.0)</f>
        <v>5</v>
      </c>
      <c r="H1125" s="251">
        <f>IFERROR(__xludf.DUMMYFUNCTION("""COMPUTED_VALUE"""),7.0)</f>
        <v>7</v>
      </c>
      <c r="I1125" s="251">
        <f>IFERROR(__xludf.DUMMYFUNCTION("""COMPUTED_VALUE"""),10.0)</f>
        <v>10</v>
      </c>
      <c r="J1125" s="251">
        <f>IFERROR(__xludf.DUMMYFUNCTION("""COMPUTED_VALUE"""),3.0)</f>
        <v>3</v>
      </c>
      <c r="K1125" s="251" t="str">
        <f>IFERROR(__xludf.DUMMYFUNCTION("""COMPUTED_VALUE"""),"Small")</f>
        <v>Small</v>
      </c>
      <c r="L1125" s="251">
        <f>IFERROR(__xludf.DUMMYFUNCTION("""COMPUTED_VALUE"""),3.0)</f>
        <v>3</v>
      </c>
      <c r="M1125" s="251" t="str">
        <f>IFERROR(__xludf.DUMMYFUNCTION("""COMPUTED_VALUE"""),"Urban")</f>
        <v>Urban</v>
      </c>
      <c r="N1125" s="251" t="str">
        <f>IFERROR(__xludf.DUMMYFUNCTION("""COMPUTED_VALUE"""),"Jumper")</f>
        <v>Jumper</v>
      </c>
      <c r="O1125" s="251" t="str">
        <f>IFERROR(__xludf.DUMMYFUNCTION("""COMPUTED_VALUE"""),"Quick")</f>
        <v>Quick</v>
      </c>
      <c r="P1125" s="251" t="str">
        <f>IFERROR(__xludf.DUMMYFUNCTION("""COMPUTED_VALUE"""),"--")</f>
        <v>--</v>
      </c>
      <c r="Q1125" s="251" t="str">
        <f>IFERROR(__xludf.DUMMYFUNCTION("""COMPUTED_VALUE"""),"--")</f>
        <v>--</v>
      </c>
      <c r="R1125" s="251" t="str">
        <f>IFERROR(__xludf.DUMMYFUNCTION("""COMPUTED_VALUE"""),"Darkvision")</f>
        <v>Darkvision</v>
      </c>
      <c r="S1125" s="251" t="str">
        <f>IFERROR(__xludf.DUMMYFUNCTION("""COMPUTED_VALUE"""),"Underdog")</f>
        <v>Underdog</v>
      </c>
      <c r="T1125" s="251" t="str">
        <f>IFERROR(__xludf.DUMMYFUNCTION("""COMPUTED_VALUE"""),"--")</f>
        <v>--</v>
      </c>
      <c r="U1125" s="251" t="str">
        <f>IFERROR(__xludf.DUMMYFUNCTION("""COMPUTED_VALUE"""),"--")</f>
        <v>--</v>
      </c>
      <c r="V1125" s="251" t="str">
        <f>IFERROR(__xludf.DUMMYFUNCTION("""COMPUTED_VALUE"""),"--")</f>
        <v>--</v>
      </c>
      <c r="W1125" s="251" t="str">
        <f>IFERROR(__xludf.DUMMYFUNCTION("""COMPUTED_VALUE"""),"--")</f>
        <v>--</v>
      </c>
      <c r="X1125" s="251" t="str">
        <f>IFERROR(__xludf.DUMMYFUNCTION("""COMPUTED_VALUE"""),"--")</f>
        <v>--</v>
      </c>
      <c r="Y1125" s="251" t="str">
        <f>IFERROR(__xludf.DUMMYFUNCTION("""COMPUTED_VALUE"""),"--")</f>
        <v>--</v>
      </c>
      <c r="Z1125" s="251" t="str">
        <f>IFERROR(__xludf.DUMMYFUNCTION("""COMPUTED_VALUE"""),"--")</f>
        <v>--</v>
      </c>
      <c r="AA1125" s="251" t="str">
        <f>IFERROR(__xludf.DUMMYFUNCTION("""COMPUTED_VALUE"""),"--")</f>
        <v>--</v>
      </c>
      <c r="AB1125" s="251" t="str">
        <f>IFERROR(__xludf.DUMMYFUNCTION("""COMPUTED_VALUE"""),"--")</f>
        <v>--</v>
      </c>
      <c r="AC1125" s="251" t="str">
        <f>IFERROR(__xludf.DUMMYFUNCTION("""COMPUTED_VALUE"""),"--")</f>
        <v>--</v>
      </c>
      <c r="AD1125" s="251">
        <f>IFERROR(__xludf.DUMMYFUNCTION("""COMPUTED_VALUE"""),3.0)</f>
        <v>3</v>
      </c>
      <c r="AE1125" s="251" t="str">
        <f>IFERROR(__xludf.DUMMYFUNCTION("""COMPUTED_VALUE"""),"Omnivore")</f>
        <v>Omnivore</v>
      </c>
    </row>
    <row r="1126">
      <c r="A1126" s="251" t="str">
        <f>IFERROR(__xludf.DUMMYFUNCTION("""COMPUTED_VALUE"""),"Alolan Meowth")</f>
        <v>Alolan Meowth</v>
      </c>
      <c r="B1126" s="251" t="str">
        <f>IFERROR(__xludf.DUMMYFUNCTION("""COMPUTED_VALUE"""),"Dark")</f>
        <v>Dark</v>
      </c>
      <c r="C1126" s="251" t="str">
        <f>IFERROR(__xludf.DUMMYFUNCTION("""COMPUTED_VALUE"""),"None")</f>
        <v>None</v>
      </c>
      <c r="D1126" s="251">
        <f>IFERROR(__xludf.DUMMYFUNCTION("""COMPUTED_VALUE"""),4.0)</f>
        <v>4</v>
      </c>
      <c r="E1126" s="251">
        <f>IFERROR(__xludf.DUMMYFUNCTION("""COMPUTED_VALUE"""),4.0)</f>
        <v>4</v>
      </c>
      <c r="F1126" s="251">
        <f>IFERROR(__xludf.DUMMYFUNCTION("""COMPUTED_VALUE"""),4.0)</f>
        <v>4</v>
      </c>
      <c r="G1126" s="251">
        <f>IFERROR(__xludf.DUMMYFUNCTION("""COMPUTED_VALUE"""),5.0)</f>
        <v>5</v>
      </c>
      <c r="H1126" s="251">
        <f>IFERROR(__xludf.DUMMYFUNCTION("""COMPUTED_VALUE"""),4.0)</f>
        <v>4</v>
      </c>
      <c r="I1126" s="251">
        <f>IFERROR(__xludf.DUMMYFUNCTION("""COMPUTED_VALUE"""),9.0)</f>
        <v>9</v>
      </c>
      <c r="J1126" s="251">
        <f>IFERROR(__xludf.DUMMYFUNCTION("""COMPUTED_VALUE"""),2.0)</f>
        <v>2</v>
      </c>
      <c r="K1126" s="251" t="str">
        <f>IFERROR(__xludf.DUMMYFUNCTION("""COMPUTED_VALUE"""),"Small")</f>
        <v>Small</v>
      </c>
      <c r="L1126" s="251">
        <f>IFERROR(__xludf.DUMMYFUNCTION("""COMPUTED_VALUE"""),1.0)</f>
        <v>1</v>
      </c>
      <c r="M1126" s="251" t="str">
        <f>IFERROR(__xludf.DUMMYFUNCTION("""COMPUTED_VALUE"""),"Urban")</f>
        <v>Urban</v>
      </c>
      <c r="N1126" s="251" t="str">
        <f>IFERROR(__xludf.DUMMYFUNCTION("""COMPUTED_VALUE"""),"--")</f>
        <v>--</v>
      </c>
      <c r="O1126" s="251" t="str">
        <f>IFERROR(__xludf.DUMMYFUNCTION("""COMPUTED_VALUE"""),"--")</f>
        <v>--</v>
      </c>
      <c r="P1126" s="251" t="str">
        <f>IFERROR(__xludf.DUMMYFUNCTION("""COMPUTED_VALUE"""),"--")</f>
        <v>--</v>
      </c>
      <c r="Q1126" s="251" t="str">
        <f>IFERROR(__xludf.DUMMYFUNCTION("""COMPUTED_VALUE"""),"--")</f>
        <v>--</v>
      </c>
      <c r="R1126" s="251" t="str">
        <f>IFERROR(__xludf.DUMMYFUNCTION("""COMPUTED_VALUE"""),"Darkvision")</f>
        <v>Darkvision</v>
      </c>
      <c r="S1126" s="251" t="str">
        <f>IFERROR(__xludf.DUMMYFUNCTION("""COMPUTED_VALUE"""),"Underdog")</f>
        <v>Underdog</v>
      </c>
      <c r="T1126" s="251" t="str">
        <f>IFERROR(__xludf.DUMMYFUNCTION("""COMPUTED_VALUE"""),"--")</f>
        <v>--</v>
      </c>
      <c r="U1126" s="251" t="str">
        <f>IFERROR(__xludf.DUMMYFUNCTION("""COMPUTED_VALUE"""),"--")</f>
        <v>--</v>
      </c>
      <c r="V1126" s="251" t="str">
        <f>IFERROR(__xludf.DUMMYFUNCTION("""COMPUTED_VALUE"""),"Pack Mon")</f>
        <v>Pack Mon</v>
      </c>
      <c r="W1126" s="251" t="str">
        <f>IFERROR(__xludf.DUMMYFUNCTION("""COMPUTED_VALUE"""),"Tracker")</f>
        <v>Tracker</v>
      </c>
      <c r="X1126" s="251" t="str">
        <f>IFERROR(__xludf.DUMMYFUNCTION("""COMPUTED_VALUE"""),"--")</f>
        <v>--</v>
      </c>
      <c r="Y1126" s="251" t="str">
        <f>IFERROR(__xludf.DUMMYFUNCTION("""COMPUTED_VALUE"""),"--")</f>
        <v>--</v>
      </c>
      <c r="Z1126" s="251" t="str">
        <f>IFERROR(__xludf.DUMMYFUNCTION("""COMPUTED_VALUE"""),"--")</f>
        <v>--</v>
      </c>
      <c r="AA1126" s="251" t="str">
        <f>IFERROR(__xludf.DUMMYFUNCTION("""COMPUTED_VALUE"""),"--")</f>
        <v>--</v>
      </c>
      <c r="AB1126" s="251" t="str">
        <f>IFERROR(__xludf.DUMMYFUNCTION("""COMPUTED_VALUE"""),"--")</f>
        <v>--</v>
      </c>
      <c r="AC1126" s="251" t="str">
        <f>IFERROR(__xludf.DUMMYFUNCTION("""COMPUTED_VALUE"""),"--")</f>
        <v>--</v>
      </c>
      <c r="AD1126" s="251">
        <f>IFERROR(__xludf.DUMMYFUNCTION("""COMPUTED_VALUE"""),2.0)</f>
        <v>2</v>
      </c>
      <c r="AE1126" s="251" t="str">
        <f>IFERROR(__xludf.DUMMYFUNCTION("""COMPUTED_VALUE"""),"Carnivore")</f>
        <v>Carnivore</v>
      </c>
    </row>
    <row r="1127">
      <c r="A1127" s="251" t="str">
        <f>IFERROR(__xludf.DUMMYFUNCTION("""COMPUTED_VALUE"""),"Alolan Persian")</f>
        <v>Alolan Persian</v>
      </c>
      <c r="B1127" s="251" t="str">
        <f>IFERROR(__xludf.DUMMYFUNCTION("""COMPUTED_VALUE"""),"Dark")</f>
        <v>Dark</v>
      </c>
      <c r="C1127" s="251" t="str">
        <f>IFERROR(__xludf.DUMMYFUNCTION("""COMPUTED_VALUE"""),"None")</f>
        <v>None</v>
      </c>
      <c r="D1127" s="251">
        <f>IFERROR(__xludf.DUMMYFUNCTION("""COMPUTED_VALUE"""),7.0)</f>
        <v>7</v>
      </c>
      <c r="E1127" s="251">
        <f>IFERROR(__xludf.DUMMYFUNCTION("""COMPUTED_VALUE"""),6.0)</f>
        <v>6</v>
      </c>
      <c r="F1127" s="251">
        <f>IFERROR(__xludf.DUMMYFUNCTION("""COMPUTED_VALUE"""),6.0)</f>
        <v>6</v>
      </c>
      <c r="G1127" s="251">
        <f>IFERROR(__xludf.DUMMYFUNCTION("""COMPUTED_VALUE"""),8.0)</f>
        <v>8</v>
      </c>
      <c r="H1127" s="251">
        <f>IFERROR(__xludf.DUMMYFUNCTION("""COMPUTED_VALUE"""),7.0)</f>
        <v>7</v>
      </c>
      <c r="I1127" s="251">
        <f>IFERROR(__xludf.DUMMYFUNCTION("""COMPUTED_VALUE"""),12.0)</f>
        <v>12</v>
      </c>
      <c r="J1127" s="251">
        <f>IFERROR(__xludf.DUMMYFUNCTION("""COMPUTED_VALUE"""),3.0)</f>
        <v>3</v>
      </c>
      <c r="K1127" s="251" t="str">
        <f>IFERROR(__xludf.DUMMYFUNCTION("""COMPUTED_VALUE"""),"Medium")</f>
        <v>Medium</v>
      </c>
      <c r="L1127" s="251">
        <f>IFERROR(__xludf.DUMMYFUNCTION("""COMPUTED_VALUE"""),3.0)</f>
        <v>3</v>
      </c>
      <c r="M1127" s="251" t="str">
        <f>IFERROR(__xludf.DUMMYFUNCTION("""COMPUTED_VALUE"""),"Urban")</f>
        <v>Urban</v>
      </c>
      <c r="N1127" s="251" t="str">
        <f>IFERROR(__xludf.DUMMYFUNCTION("""COMPUTED_VALUE"""),"--")</f>
        <v>--</v>
      </c>
      <c r="O1127" s="251" t="str">
        <f>IFERROR(__xludf.DUMMYFUNCTION("""COMPUTED_VALUE"""),"--")</f>
        <v>--</v>
      </c>
      <c r="P1127" s="251" t="str">
        <f>IFERROR(__xludf.DUMMYFUNCTION("""COMPUTED_VALUE"""),"--")</f>
        <v>--</v>
      </c>
      <c r="Q1127" s="251" t="str">
        <f>IFERROR(__xludf.DUMMYFUNCTION("""COMPUTED_VALUE"""),"--")</f>
        <v>--</v>
      </c>
      <c r="R1127" s="251" t="str">
        <f>IFERROR(__xludf.DUMMYFUNCTION("""COMPUTED_VALUE"""),"Darkvision")</f>
        <v>Darkvision</v>
      </c>
      <c r="S1127" s="251" t="str">
        <f>IFERROR(__xludf.DUMMYFUNCTION("""COMPUTED_VALUE"""),"--")</f>
        <v>--</v>
      </c>
      <c r="T1127" s="251" t="str">
        <f>IFERROR(__xludf.DUMMYFUNCTION("""COMPUTED_VALUE"""),"--")</f>
        <v>--</v>
      </c>
      <c r="U1127" s="251" t="str">
        <f>IFERROR(__xludf.DUMMYFUNCTION("""COMPUTED_VALUE"""),"--")</f>
        <v>--</v>
      </c>
      <c r="V1127" s="251" t="str">
        <f>IFERROR(__xludf.DUMMYFUNCTION("""COMPUTED_VALUE"""),"Pack Mon")</f>
        <v>Pack Mon</v>
      </c>
      <c r="W1127" s="251" t="str">
        <f>IFERROR(__xludf.DUMMYFUNCTION("""COMPUTED_VALUE"""),"Tracker")</f>
        <v>Tracker</v>
      </c>
      <c r="X1127" s="251" t="str">
        <f>IFERROR(__xludf.DUMMYFUNCTION("""COMPUTED_VALUE"""),"--")</f>
        <v>--</v>
      </c>
      <c r="Y1127" s="251" t="str">
        <f>IFERROR(__xludf.DUMMYFUNCTION("""COMPUTED_VALUE"""),"--")</f>
        <v>--</v>
      </c>
      <c r="Z1127" s="251" t="str">
        <f>IFERROR(__xludf.DUMMYFUNCTION("""COMPUTED_VALUE"""),"--")</f>
        <v>--</v>
      </c>
      <c r="AA1127" s="251" t="str">
        <f>IFERROR(__xludf.DUMMYFUNCTION("""COMPUTED_VALUE"""),"--")</f>
        <v>--</v>
      </c>
      <c r="AB1127" s="251" t="str">
        <f>IFERROR(__xludf.DUMMYFUNCTION("""COMPUTED_VALUE"""),"--")</f>
        <v>--</v>
      </c>
      <c r="AC1127" s="251" t="str">
        <f>IFERROR(__xludf.DUMMYFUNCTION("""COMPUTED_VALUE"""),"--")</f>
        <v>--</v>
      </c>
      <c r="AD1127" s="251">
        <f>IFERROR(__xludf.DUMMYFUNCTION("""COMPUTED_VALUE"""),3.0)</f>
        <v>3</v>
      </c>
      <c r="AE1127" s="251" t="str">
        <f>IFERROR(__xludf.DUMMYFUNCTION("""COMPUTED_VALUE"""),"Carnivore")</f>
        <v>Carnivore</v>
      </c>
    </row>
    <row r="1128">
      <c r="A1128" s="251" t="str">
        <f>IFERROR(__xludf.DUMMYFUNCTION("""COMPUTED_VALUE"""),"Alolan Diglett")</f>
        <v>Alolan Diglett</v>
      </c>
      <c r="B1128" s="251" t="str">
        <f>IFERROR(__xludf.DUMMYFUNCTION("""COMPUTED_VALUE"""),"Ground")</f>
        <v>Ground</v>
      </c>
      <c r="C1128" s="251" t="str">
        <f>IFERROR(__xludf.DUMMYFUNCTION("""COMPUTED_VALUE"""),"Steel")</f>
        <v>Steel</v>
      </c>
      <c r="D1128" s="251">
        <f>IFERROR(__xludf.DUMMYFUNCTION("""COMPUTED_VALUE"""),2.0)</f>
        <v>2</v>
      </c>
      <c r="E1128" s="251">
        <f>IFERROR(__xludf.DUMMYFUNCTION("""COMPUTED_VALUE"""),6.0)</f>
        <v>6</v>
      </c>
      <c r="F1128" s="251">
        <f>IFERROR(__xludf.DUMMYFUNCTION("""COMPUTED_VALUE"""),4.0)</f>
        <v>4</v>
      </c>
      <c r="G1128" s="251">
        <f>IFERROR(__xludf.DUMMYFUNCTION("""COMPUTED_VALUE"""),4.0)</f>
        <v>4</v>
      </c>
      <c r="H1128" s="251">
        <f>IFERROR(__xludf.DUMMYFUNCTION("""COMPUTED_VALUE"""),5.0)</f>
        <v>5</v>
      </c>
      <c r="I1128" s="251">
        <f>IFERROR(__xludf.DUMMYFUNCTION("""COMPUTED_VALUE"""),9.0)</f>
        <v>9</v>
      </c>
      <c r="J1128" s="251">
        <f>IFERROR(__xludf.DUMMYFUNCTION("""COMPUTED_VALUE"""),3.0)</f>
        <v>3</v>
      </c>
      <c r="K1128" s="251" t="str">
        <f>IFERROR(__xludf.DUMMYFUNCTION("""COMPUTED_VALUE"""),"Small")</f>
        <v>Small</v>
      </c>
      <c r="L1128" s="251">
        <f>IFERROR(__xludf.DUMMYFUNCTION("""COMPUTED_VALUE"""),1.0)</f>
        <v>1</v>
      </c>
      <c r="M1128" s="251" t="str">
        <f>IFERROR(__xludf.DUMMYFUNCTION("""COMPUTED_VALUE"""),"Cave")</f>
        <v>Cave</v>
      </c>
      <c r="N1128" s="251" t="str">
        <f>IFERROR(__xludf.DUMMYFUNCTION("""COMPUTED_VALUE"""),"Burrower")</f>
        <v>Burrower</v>
      </c>
      <c r="O1128" s="251" t="str">
        <f>IFERROR(__xludf.DUMMYFUNCTION("""COMPUTED_VALUE"""),"Grounded")</f>
        <v>Grounded</v>
      </c>
      <c r="P1128" s="251" t="str">
        <f>IFERROR(__xludf.DUMMYFUNCTION("""COMPUTED_VALUE"""),"--")</f>
        <v>--</v>
      </c>
      <c r="Q1128" s="251" t="str">
        <f>IFERROR(__xludf.DUMMYFUNCTION("""COMPUTED_VALUE"""),"--")</f>
        <v>--</v>
      </c>
      <c r="R1128" s="251" t="str">
        <f>IFERROR(__xludf.DUMMYFUNCTION("""COMPUTED_VALUE"""),"Underdog")</f>
        <v>Underdog</v>
      </c>
      <c r="S1128" s="251" t="str">
        <f>IFERROR(__xludf.DUMMYFUNCTION("""COMPUTED_VALUE"""),"--")</f>
        <v>--</v>
      </c>
      <c r="T1128" s="251" t="str">
        <f>IFERROR(__xludf.DUMMYFUNCTION("""COMPUTED_VALUE"""),"--")</f>
        <v>--</v>
      </c>
      <c r="U1128" s="251" t="str">
        <f>IFERROR(__xludf.DUMMYFUNCTION("""COMPUTED_VALUE"""),"--")</f>
        <v>--</v>
      </c>
      <c r="V1128" s="251" t="str">
        <f>IFERROR(__xludf.DUMMYFUNCTION("""COMPUTED_VALUE"""),"Tremorsense")</f>
        <v>Tremorsense</v>
      </c>
      <c r="W1128" s="251" t="str">
        <f>IFERROR(__xludf.DUMMYFUNCTION("""COMPUTED_VALUE"""),"--")</f>
        <v>--</v>
      </c>
      <c r="X1128" s="251" t="str">
        <f>IFERROR(__xludf.DUMMYFUNCTION("""COMPUTED_VALUE"""),"--")</f>
        <v>--</v>
      </c>
      <c r="Y1128" s="251" t="str">
        <f>IFERROR(__xludf.DUMMYFUNCTION("""COMPUTED_VALUE"""),"--")</f>
        <v>--</v>
      </c>
      <c r="Z1128" s="251" t="str">
        <f>IFERROR(__xludf.DUMMYFUNCTION("""COMPUTED_VALUE"""),"--")</f>
        <v>--</v>
      </c>
      <c r="AA1128" s="251" t="str">
        <f>IFERROR(__xludf.DUMMYFUNCTION("""COMPUTED_VALUE"""),"--")</f>
        <v>--</v>
      </c>
      <c r="AB1128" s="251" t="str">
        <f>IFERROR(__xludf.DUMMYFUNCTION("""COMPUTED_VALUE"""),"--")</f>
        <v>--</v>
      </c>
      <c r="AC1128" s="251" t="str">
        <f>IFERROR(__xludf.DUMMYFUNCTION("""COMPUTED_VALUE"""),"--")</f>
        <v>--</v>
      </c>
      <c r="AD1128" s="251">
        <f>IFERROR(__xludf.DUMMYFUNCTION("""COMPUTED_VALUE"""),2.0)</f>
        <v>2</v>
      </c>
      <c r="AE1128" s="251" t="str">
        <f>IFERROR(__xludf.DUMMYFUNCTION("""COMPUTED_VALUE"""),"Herbivore")</f>
        <v>Herbivore</v>
      </c>
    </row>
    <row r="1129">
      <c r="A1129" s="251" t="str">
        <f>IFERROR(__xludf.DUMMYFUNCTION("""COMPUTED_VALUE"""),"Alolan Dugtrio")</f>
        <v>Alolan Dugtrio</v>
      </c>
      <c r="B1129" s="251" t="str">
        <f>IFERROR(__xludf.DUMMYFUNCTION("""COMPUTED_VALUE"""),"Ground")</f>
        <v>Ground</v>
      </c>
      <c r="C1129" s="251" t="str">
        <f>IFERROR(__xludf.DUMMYFUNCTION("""COMPUTED_VALUE"""),"Steel")</f>
        <v>Steel</v>
      </c>
      <c r="D1129" s="251">
        <f>IFERROR(__xludf.DUMMYFUNCTION("""COMPUTED_VALUE"""),4.0)</f>
        <v>4</v>
      </c>
      <c r="E1129" s="251">
        <f>IFERROR(__xludf.DUMMYFUNCTION("""COMPUTED_VALUE"""),10.0)</f>
        <v>10</v>
      </c>
      <c r="F1129" s="251">
        <f>IFERROR(__xludf.DUMMYFUNCTION("""COMPUTED_VALUE"""),6.0)</f>
        <v>6</v>
      </c>
      <c r="G1129" s="251">
        <f>IFERROR(__xludf.DUMMYFUNCTION("""COMPUTED_VALUE"""),5.0)</f>
        <v>5</v>
      </c>
      <c r="H1129" s="251">
        <f>IFERROR(__xludf.DUMMYFUNCTION("""COMPUTED_VALUE"""),7.0)</f>
        <v>7</v>
      </c>
      <c r="I1129" s="251">
        <f>IFERROR(__xludf.DUMMYFUNCTION("""COMPUTED_VALUE"""),11.0)</f>
        <v>11</v>
      </c>
      <c r="J1129" s="251">
        <f>IFERROR(__xludf.DUMMYFUNCTION("""COMPUTED_VALUE"""),6.0)</f>
        <v>6</v>
      </c>
      <c r="K1129" s="251" t="str">
        <f>IFERROR(__xludf.DUMMYFUNCTION("""COMPUTED_VALUE"""),"Small")</f>
        <v>Small</v>
      </c>
      <c r="L1129" s="251">
        <f>IFERROR(__xludf.DUMMYFUNCTION("""COMPUTED_VALUE"""),4.0)</f>
        <v>4</v>
      </c>
      <c r="M1129" s="251" t="str">
        <f>IFERROR(__xludf.DUMMYFUNCTION("""COMPUTED_VALUE"""),"Cave")</f>
        <v>Cave</v>
      </c>
      <c r="N1129" s="251" t="str">
        <f>IFERROR(__xludf.DUMMYFUNCTION("""COMPUTED_VALUE"""),"Burrower")</f>
        <v>Burrower</v>
      </c>
      <c r="O1129" s="251" t="str">
        <f>IFERROR(__xludf.DUMMYFUNCTION("""COMPUTED_VALUE"""),"Grounded")</f>
        <v>Grounded</v>
      </c>
      <c r="P1129" s="251" t="str">
        <f>IFERROR(__xludf.DUMMYFUNCTION("""COMPUTED_VALUE"""),"--")</f>
        <v>--</v>
      </c>
      <c r="Q1129" s="251" t="str">
        <f>IFERROR(__xludf.DUMMYFUNCTION("""COMPUTED_VALUE"""),"--")</f>
        <v>--</v>
      </c>
      <c r="R1129" s="251" t="str">
        <f>IFERROR(__xludf.DUMMYFUNCTION("""COMPUTED_VALUE"""),"Groundshaper")</f>
        <v>Groundshaper</v>
      </c>
      <c r="S1129" s="251" t="str">
        <f>IFERROR(__xludf.DUMMYFUNCTION("""COMPUTED_VALUE"""),"Underdog")</f>
        <v>Underdog</v>
      </c>
      <c r="T1129" s="251" t="str">
        <f>IFERROR(__xludf.DUMMYFUNCTION("""COMPUTED_VALUE"""),"--")</f>
        <v>--</v>
      </c>
      <c r="U1129" s="251" t="str">
        <f>IFERROR(__xludf.DUMMYFUNCTION("""COMPUTED_VALUE"""),"--")</f>
        <v>--</v>
      </c>
      <c r="V1129" s="251" t="str">
        <f>IFERROR(__xludf.DUMMYFUNCTION("""COMPUTED_VALUE"""),"Tremorsense")</f>
        <v>Tremorsense</v>
      </c>
      <c r="W1129" s="251" t="str">
        <f>IFERROR(__xludf.DUMMYFUNCTION("""COMPUTED_VALUE"""),"--")</f>
        <v>--</v>
      </c>
      <c r="X1129" s="251" t="str">
        <f>IFERROR(__xludf.DUMMYFUNCTION("""COMPUTED_VALUE"""),"--")</f>
        <v>--</v>
      </c>
      <c r="Y1129" s="251" t="str">
        <f>IFERROR(__xludf.DUMMYFUNCTION("""COMPUTED_VALUE"""),"--")</f>
        <v>--</v>
      </c>
      <c r="Z1129" s="251" t="str">
        <f>IFERROR(__xludf.DUMMYFUNCTION("""COMPUTED_VALUE"""),"--")</f>
        <v>--</v>
      </c>
      <c r="AA1129" s="251" t="str">
        <f>IFERROR(__xludf.DUMMYFUNCTION("""COMPUTED_VALUE"""),"--")</f>
        <v>--</v>
      </c>
      <c r="AB1129" s="251" t="str">
        <f>IFERROR(__xludf.DUMMYFUNCTION("""COMPUTED_VALUE"""),"--")</f>
        <v>--</v>
      </c>
      <c r="AC1129" s="251" t="str">
        <f>IFERROR(__xludf.DUMMYFUNCTION("""COMPUTED_VALUE"""),"--")</f>
        <v>--</v>
      </c>
      <c r="AD1129" s="251">
        <f>IFERROR(__xludf.DUMMYFUNCTION("""COMPUTED_VALUE"""),3.0)</f>
        <v>3</v>
      </c>
      <c r="AE1129" s="251" t="str">
        <f>IFERROR(__xludf.DUMMYFUNCTION("""COMPUTED_VALUE"""),"Herbivore")</f>
        <v>Herbivore</v>
      </c>
    </row>
    <row r="1130">
      <c r="A1130" s="251" t="str">
        <f>IFERROR(__xludf.DUMMYFUNCTION("""COMPUTED_VALUE"""),"Alolan Vulpix")</f>
        <v>Alolan Vulpix</v>
      </c>
      <c r="B1130" s="251" t="str">
        <f>IFERROR(__xludf.DUMMYFUNCTION("""COMPUTED_VALUE"""),"Ice")</f>
        <v>Ice</v>
      </c>
      <c r="C1130" s="251" t="str">
        <f>IFERROR(__xludf.DUMMYFUNCTION("""COMPUTED_VALUE"""),"None")</f>
        <v>None</v>
      </c>
      <c r="D1130" s="251">
        <f>IFERROR(__xludf.DUMMYFUNCTION("""COMPUTED_VALUE"""),4.0)</f>
        <v>4</v>
      </c>
      <c r="E1130" s="251">
        <f>IFERROR(__xludf.DUMMYFUNCTION("""COMPUTED_VALUE"""),4.0)</f>
        <v>4</v>
      </c>
      <c r="F1130" s="251">
        <f>IFERROR(__xludf.DUMMYFUNCTION("""COMPUTED_VALUE"""),4.0)</f>
        <v>4</v>
      </c>
      <c r="G1130" s="251">
        <f>IFERROR(__xludf.DUMMYFUNCTION("""COMPUTED_VALUE"""),5.0)</f>
        <v>5</v>
      </c>
      <c r="H1130" s="251">
        <f>IFERROR(__xludf.DUMMYFUNCTION("""COMPUTED_VALUE"""),7.0)</f>
        <v>7</v>
      </c>
      <c r="I1130" s="251">
        <f>IFERROR(__xludf.DUMMYFUNCTION("""COMPUTED_VALUE"""),7.0)</f>
        <v>7</v>
      </c>
      <c r="J1130" s="251">
        <f>IFERROR(__xludf.DUMMYFUNCTION("""COMPUTED_VALUE"""),2.0)</f>
        <v>2</v>
      </c>
      <c r="K1130" s="251" t="str">
        <f>IFERROR(__xludf.DUMMYFUNCTION("""COMPUTED_VALUE"""),"Small")</f>
        <v>Small</v>
      </c>
      <c r="L1130" s="251">
        <f>IFERROR(__xludf.DUMMYFUNCTION("""COMPUTED_VALUE"""),1.0)</f>
        <v>1</v>
      </c>
      <c r="M1130" s="251" t="str">
        <f>IFERROR(__xludf.DUMMYFUNCTION("""COMPUTED_VALUE"""),"Mountain, Tundra")</f>
        <v>Mountain, Tundra</v>
      </c>
      <c r="N1130" s="251" t="str">
        <f>IFERROR(__xludf.DUMMYFUNCTION("""COMPUTED_VALUE"""),"--")</f>
        <v>--</v>
      </c>
      <c r="O1130" s="251" t="str">
        <f>IFERROR(__xludf.DUMMYFUNCTION("""COMPUTED_VALUE"""),"--")</f>
        <v>--</v>
      </c>
      <c r="P1130" s="251" t="str">
        <f>IFERROR(__xludf.DUMMYFUNCTION("""COMPUTED_VALUE"""),"--")</f>
        <v>--</v>
      </c>
      <c r="Q1130" s="251" t="str">
        <f>IFERROR(__xludf.DUMMYFUNCTION("""COMPUTED_VALUE"""),"--")</f>
        <v>--</v>
      </c>
      <c r="R1130" s="251" t="str">
        <f>IFERROR(__xludf.DUMMYFUNCTION("""COMPUTED_VALUE"""),"Underdog")</f>
        <v>Underdog</v>
      </c>
      <c r="S1130" s="251" t="str">
        <f>IFERROR(__xludf.DUMMYFUNCTION("""COMPUTED_VALUE"""),"--")</f>
        <v>--</v>
      </c>
      <c r="T1130" s="251" t="str">
        <f>IFERROR(__xludf.DUMMYFUNCTION("""COMPUTED_VALUE"""),"--")</f>
        <v>--</v>
      </c>
      <c r="U1130" s="251" t="str">
        <f>IFERROR(__xludf.DUMMYFUNCTION("""COMPUTED_VALUE"""),"--")</f>
        <v>--</v>
      </c>
      <c r="V1130" s="251" t="str">
        <f>IFERROR(__xludf.DUMMYFUNCTION("""COMPUTED_VALUE"""),"Chilled")</f>
        <v>Chilled</v>
      </c>
      <c r="W1130" s="251" t="str">
        <f>IFERROR(__xludf.DUMMYFUNCTION("""COMPUTED_VALUE"""),"Tracker")</f>
        <v>Tracker</v>
      </c>
      <c r="X1130" s="251" t="str">
        <f>IFERROR(__xludf.DUMMYFUNCTION("""COMPUTED_VALUE"""),"--")</f>
        <v>--</v>
      </c>
      <c r="Y1130" s="251" t="str">
        <f>IFERROR(__xludf.DUMMYFUNCTION("""COMPUTED_VALUE"""),"--")</f>
        <v>--</v>
      </c>
      <c r="Z1130" s="251" t="str">
        <f>IFERROR(__xludf.DUMMYFUNCTION("""COMPUTED_VALUE"""),"--")</f>
        <v>--</v>
      </c>
      <c r="AA1130" s="251" t="str">
        <f>IFERROR(__xludf.DUMMYFUNCTION("""COMPUTED_VALUE"""),"--")</f>
        <v>--</v>
      </c>
      <c r="AB1130" s="251" t="str">
        <f>IFERROR(__xludf.DUMMYFUNCTION("""COMPUTED_VALUE"""),"--")</f>
        <v>--</v>
      </c>
      <c r="AC1130" s="251" t="str">
        <f>IFERROR(__xludf.DUMMYFUNCTION("""COMPUTED_VALUE"""),"--")</f>
        <v>--</v>
      </c>
      <c r="AD1130" s="251">
        <f>IFERROR(__xludf.DUMMYFUNCTION("""COMPUTED_VALUE"""),2.0)</f>
        <v>2</v>
      </c>
      <c r="AE1130" s="251" t="str">
        <f>IFERROR(__xludf.DUMMYFUNCTION("""COMPUTED_VALUE"""),"Herbivore")</f>
        <v>Herbivore</v>
      </c>
    </row>
    <row r="1131">
      <c r="A1131" s="251" t="str">
        <f>IFERROR(__xludf.DUMMYFUNCTION("""COMPUTED_VALUE"""),"Alolan Ninetales")</f>
        <v>Alolan Ninetales</v>
      </c>
      <c r="B1131" s="251" t="str">
        <f>IFERROR(__xludf.DUMMYFUNCTION("""COMPUTED_VALUE"""),"Ice")</f>
        <v>Ice</v>
      </c>
      <c r="C1131" s="251" t="str">
        <f>IFERROR(__xludf.DUMMYFUNCTION("""COMPUTED_VALUE"""),"Fairy")</f>
        <v>Fairy</v>
      </c>
      <c r="D1131" s="251">
        <f>IFERROR(__xludf.DUMMYFUNCTION("""COMPUTED_VALUE"""),7.0)</f>
        <v>7</v>
      </c>
      <c r="E1131" s="251">
        <f>IFERROR(__xludf.DUMMYFUNCTION("""COMPUTED_VALUE"""),7.0)</f>
        <v>7</v>
      </c>
      <c r="F1131" s="251">
        <f>IFERROR(__xludf.DUMMYFUNCTION("""COMPUTED_VALUE"""),8.0)</f>
        <v>8</v>
      </c>
      <c r="G1131" s="251">
        <f>IFERROR(__xludf.DUMMYFUNCTION("""COMPUTED_VALUE"""),8.0)</f>
        <v>8</v>
      </c>
      <c r="H1131" s="251">
        <f>IFERROR(__xludf.DUMMYFUNCTION("""COMPUTED_VALUE"""),10.0)</f>
        <v>10</v>
      </c>
      <c r="I1131" s="251">
        <f>IFERROR(__xludf.DUMMYFUNCTION("""COMPUTED_VALUE"""),11.0)</f>
        <v>11</v>
      </c>
      <c r="J1131" s="251">
        <f>IFERROR(__xludf.DUMMYFUNCTION("""COMPUTED_VALUE"""),4.0)</f>
        <v>4</v>
      </c>
      <c r="K1131" s="251" t="str">
        <f>IFERROR(__xludf.DUMMYFUNCTION("""COMPUTED_VALUE"""),"Medium")</f>
        <v>Medium</v>
      </c>
      <c r="L1131" s="251">
        <f>IFERROR(__xludf.DUMMYFUNCTION("""COMPUTED_VALUE"""),2.0)</f>
        <v>2</v>
      </c>
      <c r="M1131" s="251" t="str">
        <f>IFERROR(__xludf.DUMMYFUNCTION("""COMPUTED_VALUE"""),"Mountain, Tundra")</f>
        <v>Mountain, Tundra</v>
      </c>
      <c r="N1131" s="251" t="str">
        <f>IFERROR(__xludf.DUMMYFUNCTION("""COMPUTED_VALUE"""),"--")</f>
        <v>--</v>
      </c>
      <c r="O1131" s="251" t="str">
        <f>IFERROR(__xludf.DUMMYFUNCTION("""COMPUTED_VALUE"""),"--")</f>
        <v>--</v>
      </c>
      <c r="P1131" s="251" t="str">
        <f>IFERROR(__xludf.DUMMYFUNCTION("""COMPUTED_VALUE"""),"--")</f>
        <v>--</v>
      </c>
      <c r="Q1131" s="251" t="str">
        <f>IFERROR(__xludf.DUMMYFUNCTION("""COMPUTED_VALUE"""),"--")</f>
        <v>--</v>
      </c>
      <c r="R1131" s="251" t="str">
        <f>IFERROR(__xludf.DUMMYFUNCTION("""COMPUTED_VALUE"""),"--")</f>
        <v>--</v>
      </c>
      <c r="S1131" s="251" t="str">
        <f>IFERROR(__xludf.DUMMYFUNCTION("""COMPUTED_VALUE"""),"--")</f>
        <v>--</v>
      </c>
      <c r="T1131" s="251" t="str">
        <f>IFERROR(__xludf.DUMMYFUNCTION("""COMPUTED_VALUE"""),"--")</f>
        <v>--</v>
      </c>
      <c r="U1131" s="251" t="str">
        <f>IFERROR(__xludf.DUMMYFUNCTION("""COMPUTED_VALUE"""),"--")</f>
        <v>--</v>
      </c>
      <c r="V1131" s="251" t="str">
        <f>IFERROR(__xludf.DUMMYFUNCTION("""COMPUTED_VALUE"""),"Chilled")</f>
        <v>Chilled</v>
      </c>
      <c r="W1131" s="251" t="str">
        <f>IFERROR(__xludf.DUMMYFUNCTION("""COMPUTED_VALUE"""),"Tracker")</f>
        <v>Tracker</v>
      </c>
      <c r="X1131" s="251" t="str">
        <f>IFERROR(__xludf.DUMMYFUNCTION("""COMPUTED_VALUE"""),"--")</f>
        <v>--</v>
      </c>
      <c r="Y1131" s="251" t="str">
        <f>IFERROR(__xludf.DUMMYFUNCTION("""COMPUTED_VALUE"""),"--")</f>
        <v>--</v>
      </c>
      <c r="Z1131" s="251" t="str">
        <f>IFERROR(__xludf.DUMMYFUNCTION("""COMPUTED_VALUE"""),"--")</f>
        <v>--</v>
      </c>
      <c r="AA1131" s="251" t="str">
        <f>IFERROR(__xludf.DUMMYFUNCTION("""COMPUTED_VALUE"""),"--")</f>
        <v>--</v>
      </c>
      <c r="AB1131" s="251" t="str">
        <f>IFERROR(__xludf.DUMMYFUNCTION("""COMPUTED_VALUE"""),"--")</f>
        <v>--</v>
      </c>
      <c r="AC1131" s="251" t="str">
        <f>IFERROR(__xludf.DUMMYFUNCTION("""COMPUTED_VALUE"""),"--")</f>
        <v>--</v>
      </c>
      <c r="AD1131" s="251">
        <f>IFERROR(__xludf.DUMMYFUNCTION("""COMPUTED_VALUE"""),3.0)</f>
        <v>3</v>
      </c>
      <c r="AE1131" s="251" t="str">
        <f>IFERROR(__xludf.DUMMYFUNCTION("""COMPUTED_VALUE"""),"Herbivore")</f>
        <v>Herbivore</v>
      </c>
    </row>
    <row r="1132">
      <c r="A1132" s="251" t="str">
        <f>IFERROR(__xludf.DUMMYFUNCTION("""COMPUTED_VALUE"""),"Alolan Sandshrew")</f>
        <v>Alolan Sandshrew</v>
      </c>
      <c r="B1132" s="251" t="str">
        <f>IFERROR(__xludf.DUMMYFUNCTION("""COMPUTED_VALUE"""),"Ice")</f>
        <v>Ice</v>
      </c>
      <c r="C1132" s="251" t="str">
        <f>IFERROR(__xludf.DUMMYFUNCTION("""COMPUTED_VALUE"""),"Steel")</f>
        <v>Steel</v>
      </c>
      <c r="D1132" s="251">
        <f>IFERROR(__xludf.DUMMYFUNCTION("""COMPUTED_VALUE"""),5.0)</f>
        <v>5</v>
      </c>
      <c r="E1132" s="251">
        <f>IFERROR(__xludf.DUMMYFUNCTION("""COMPUTED_VALUE"""),8.0)</f>
        <v>8</v>
      </c>
      <c r="F1132" s="251">
        <f>IFERROR(__xludf.DUMMYFUNCTION("""COMPUTED_VALUE"""),9.0)</f>
        <v>9</v>
      </c>
      <c r="G1132" s="251">
        <f>IFERROR(__xludf.DUMMYFUNCTION("""COMPUTED_VALUE"""),1.0)</f>
        <v>1</v>
      </c>
      <c r="H1132" s="251">
        <f>IFERROR(__xludf.DUMMYFUNCTION("""COMPUTED_VALUE"""),4.0)</f>
        <v>4</v>
      </c>
      <c r="I1132" s="251">
        <f>IFERROR(__xludf.DUMMYFUNCTION("""COMPUTED_VALUE"""),4.0)</f>
        <v>4</v>
      </c>
      <c r="J1132" s="251">
        <f>IFERROR(__xludf.DUMMYFUNCTION("""COMPUTED_VALUE"""),3.0)</f>
        <v>3</v>
      </c>
      <c r="K1132" s="251" t="str">
        <f>IFERROR(__xludf.DUMMYFUNCTION("""COMPUTED_VALUE"""),"Small")</f>
        <v>Small</v>
      </c>
      <c r="L1132" s="251">
        <f>IFERROR(__xludf.DUMMYFUNCTION("""COMPUTED_VALUE"""),3.0)</f>
        <v>3</v>
      </c>
      <c r="M1132" s="251" t="str">
        <f>IFERROR(__xludf.DUMMYFUNCTION("""COMPUTED_VALUE"""),"Cave, Tundra")</f>
        <v>Cave, Tundra</v>
      </c>
      <c r="N1132" s="251" t="str">
        <f>IFERROR(__xludf.DUMMYFUNCTION("""COMPUTED_VALUE"""),"Burrower")</f>
        <v>Burrower</v>
      </c>
      <c r="O1132" s="251" t="str">
        <f>IFERROR(__xludf.DUMMYFUNCTION("""COMPUTED_VALUE"""),"--")</f>
        <v>--</v>
      </c>
      <c r="P1132" s="251" t="str">
        <f>IFERROR(__xludf.DUMMYFUNCTION("""COMPUTED_VALUE"""),"--")</f>
        <v>--</v>
      </c>
      <c r="Q1132" s="251" t="str">
        <f>IFERROR(__xludf.DUMMYFUNCTION("""COMPUTED_VALUE"""),"--")</f>
        <v>--</v>
      </c>
      <c r="R1132" s="251" t="str">
        <f>IFERROR(__xludf.DUMMYFUNCTION("""COMPUTED_VALUE"""),"Underdog")</f>
        <v>Underdog</v>
      </c>
      <c r="S1132" s="251" t="str">
        <f>IFERROR(__xludf.DUMMYFUNCTION("""COMPUTED_VALUE"""),"--")</f>
        <v>--</v>
      </c>
      <c r="T1132" s="251" t="str">
        <f>IFERROR(__xludf.DUMMYFUNCTION("""COMPUTED_VALUE"""),"--")</f>
        <v>--</v>
      </c>
      <c r="U1132" s="251" t="str">
        <f>IFERROR(__xludf.DUMMYFUNCTION("""COMPUTED_VALUE"""),"--")</f>
        <v>--</v>
      </c>
      <c r="V1132" s="251" t="str">
        <f>IFERROR(__xludf.DUMMYFUNCTION("""COMPUTED_VALUE"""),"Chilled")</f>
        <v>Chilled</v>
      </c>
      <c r="W1132" s="251" t="str">
        <f>IFERROR(__xludf.DUMMYFUNCTION("""COMPUTED_VALUE"""),"Tremorsense")</f>
        <v>Tremorsense</v>
      </c>
      <c r="X1132" s="251" t="str">
        <f>IFERROR(__xludf.DUMMYFUNCTION("""COMPUTED_VALUE"""),"--")</f>
        <v>--</v>
      </c>
      <c r="Y1132" s="251" t="str">
        <f>IFERROR(__xludf.DUMMYFUNCTION("""COMPUTED_VALUE"""),"--")</f>
        <v>--</v>
      </c>
      <c r="Z1132" s="251" t="str">
        <f>IFERROR(__xludf.DUMMYFUNCTION("""COMPUTED_VALUE"""),"--")</f>
        <v>--</v>
      </c>
      <c r="AA1132" s="251" t="str">
        <f>IFERROR(__xludf.DUMMYFUNCTION("""COMPUTED_VALUE"""),"--")</f>
        <v>--</v>
      </c>
      <c r="AB1132" s="251" t="str">
        <f>IFERROR(__xludf.DUMMYFUNCTION("""COMPUTED_VALUE"""),"--")</f>
        <v>--</v>
      </c>
      <c r="AC1132" s="251" t="str">
        <f>IFERROR(__xludf.DUMMYFUNCTION("""COMPUTED_VALUE"""),"--")</f>
        <v>--</v>
      </c>
      <c r="AD1132" s="251">
        <f>IFERROR(__xludf.DUMMYFUNCTION("""COMPUTED_VALUE"""),2.0)</f>
        <v>2</v>
      </c>
      <c r="AE1132" s="251" t="str">
        <f>IFERROR(__xludf.DUMMYFUNCTION("""COMPUTED_VALUE"""),"Herbivore")</f>
        <v>Herbivore</v>
      </c>
    </row>
    <row r="1133">
      <c r="A1133" s="251" t="str">
        <f>IFERROR(__xludf.DUMMYFUNCTION("""COMPUTED_VALUE"""),"Alolan Sandslash")</f>
        <v>Alolan Sandslash</v>
      </c>
      <c r="B1133" s="251" t="str">
        <f>IFERROR(__xludf.DUMMYFUNCTION("""COMPUTED_VALUE"""),"Ice")</f>
        <v>Ice</v>
      </c>
      <c r="C1133" s="251" t="str">
        <f>IFERROR(__xludf.DUMMYFUNCTION("""COMPUTED_VALUE"""),"Steel")</f>
        <v>Steel</v>
      </c>
      <c r="D1133" s="251">
        <f>IFERROR(__xludf.DUMMYFUNCTION("""COMPUTED_VALUE"""),9.0)</f>
        <v>9</v>
      </c>
      <c r="E1133" s="251">
        <f>IFERROR(__xludf.DUMMYFUNCTION("""COMPUTED_VALUE"""),10.0)</f>
        <v>10</v>
      </c>
      <c r="F1133" s="251">
        <f>IFERROR(__xludf.DUMMYFUNCTION("""COMPUTED_VALUE"""),13.0)</f>
        <v>13</v>
      </c>
      <c r="G1133" s="251">
        <f>IFERROR(__xludf.DUMMYFUNCTION("""COMPUTED_VALUE"""),3.0)</f>
        <v>3</v>
      </c>
      <c r="H1133" s="251">
        <f>IFERROR(__xludf.DUMMYFUNCTION("""COMPUTED_VALUE"""),9.0)</f>
        <v>9</v>
      </c>
      <c r="I1133" s="251">
        <f>IFERROR(__xludf.DUMMYFUNCTION("""COMPUTED_VALUE"""),7.0)</f>
        <v>7</v>
      </c>
      <c r="J1133" s="251">
        <f>IFERROR(__xludf.DUMMYFUNCTION("""COMPUTED_VALUE"""),4.0)</f>
        <v>4</v>
      </c>
      <c r="K1133" s="251" t="str">
        <f>IFERROR(__xludf.DUMMYFUNCTION("""COMPUTED_VALUE"""),"Medium")</f>
        <v>Medium</v>
      </c>
      <c r="L1133" s="251">
        <f>IFERROR(__xludf.DUMMYFUNCTION("""COMPUTED_VALUE"""),4.0)</f>
        <v>4</v>
      </c>
      <c r="M1133" s="251" t="str">
        <f>IFERROR(__xludf.DUMMYFUNCTION("""COMPUTED_VALUE"""),"Cave, Tundra")</f>
        <v>Cave, Tundra</v>
      </c>
      <c r="N1133" s="251" t="str">
        <f>IFERROR(__xludf.DUMMYFUNCTION("""COMPUTED_VALUE"""),"Burrower")</f>
        <v>Burrower</v>
      </c>
      <c r="O1133" s="251" t="str">
        <f>IFERROR(__xludf.DUMMYFUNCTION("""COMPUTED_VALUE"""),"--")</f>
        <v>--</v>
      </c>
      <c r="P1133" s="251" t="str">
        <f>IFERROR(__xludf.DUMMYFUNCTION("""COMPUTED_VALUE"""),"--")</f>
        <v>--</v>
      </c>
      <c r="Q1133" s="251" t="str">
        <f>IFERROR(__xludf.DUMMYFUNCTION("""COMPUTED_VALUE"""),"--")</f>
        <v>--</v>
      </c>
      <c r="R1133" s="251" t="str">
        <f>IFERROR(__xludf.DUMMYFUNCTION("""COMPUTED_VALUE"""),"--")</f>
        <v>--</v>
      </c>
      <c r="S1133" s="251" t="str">
        <f>IFERROR(__xludf.DUMMYFUNCTION("""COMPUTED_VALUE"""),"--")</f>
        <v>--</v>
      </c>
      <c r="T1133" s="251" t="str">
        <f>IFERROR(__xludf.DUMMYFUNCTION("""COMPUTED_VALUE"""),"--")</f>
        <v>--</v>
      </c>
      <c r="U1133" s="251" t="str">
        <f>IFERROR(__xludf.DUMMYFUNCTION("""COMPUTED_VALUE"""),"--")</f>
        <v>--</v>
      </c>
      <c r="V1133" s="251" t="str">
        <f>IFERROR(__xludf.DUMMYFUNCTION("""COMPUTED_VALUE"""),"Chilled")</f>
        <v>Chilled</v>
      </c>
      <c r="W1133" s="251" t="str">
        <f>IFERROR(__xludf.DUMMYFUNCTION("""COMPUTED_VALUE"""),"Tremorsense")</f>
        <v>Tremorsense</v>
      </c>
      <c r="X1133" s="251" t="str">
        <f>IFERROR(__xludf.DUMMYFUNCTION("""COMPUTED_VALUE"""),"--")</f>
        <v>--</v>
      </c>
      <c r="Y1133" s="251" t="str">
        <f>IFERROR(__xludf.DUMMYFUNCTION("""COMPUTED_VALUE"""),"--")</f>
        <v>--</v>
      </c>
      <c r="Z1133" s="251" t="str">
        <f>IFERROR(__xludf.DUMMYFUNCTION("""COMPUTED_VALUE"""),"--")</f>
        <v>--</v>
      </c>
      <c r="AA1133" s="251" t="str">
        <f>IFERROR(__xludf.DUMMYFUNCTION("""COMPUTED_VALUE"""),"--")</f>
        <v>--</v>
      </c>
      <c r="AB1133" s="251" t="str">
        <f>IFERROR(__xludf.DUMMYFUNCTION("""COMPUTED_VALUE"""),"--")</f>
        <v>--</v>
      </c>
      <c r="AC1133" s="251" t="str">
        <f>IFERROR(__xludf.DUMMYFUNCTION("""COMPUTED_VALUE"""),"--")</f>
        <v>--</v>
      </c>
      <c r="AD1133" s="251">
        <f>IFERROR(__xludf.DUMMYFUNCTION("""COMPUTED_VALUE"""),3.0)</f>
        <v>3</v>
      </c>
      <c r="AE1133" s="251" t="str">
        <f>IFERROR(__xludf.DUMMYFUNCTION("""COMPUTED_VALUE"""),"Herbivore")</f>
        <v>Herbivore</v>
      </c>
    </row>
    <row r="1134">
      <c r="A1134" s="251" t="str">
        <f>IFERROR(__xludf.DUMMYFUNCTION("""COMPUTED_VALUE"""),"Alolan Grimer")</f>
        <v>Alolan Grimer</v>
      </c>
      <c r="B1134" s="251" t="str">
        <f>IFERROR(__xludf.DUMMYFUNCTION("""COMPUTED_VALUE"""),"Poison")</f>
        <v>Poison</v>
      </c>
      <c r="C1134" s="251" t="str">
        <f>IFERROR(__xludf.DUMMYFUNCTION("""COMPUTED_VALUE"""),"Dark")</f>
        <v>Dark</v>
      </c>
      <c r="D1134" s="251">
        <f>IFERROR(__xludf.DUMMYFUNCTION("""COMPUTED_VALUE"""),8.0)</f>
        <v>8</v>
      </c>
      <c r="E1134" s="251">
        <f>IFERROR(__xludf.DUMMYFUNCTION("""COMPUTED_VALUE"""),8.0)</f>
        <v>8</v>
      </c>
      <c r="F1134" s="251">
        <f>IFERROR(__xludf.DUMMYFUNCTION("""COMPUTED_VALUE"""),5.0)</f>
        <v>5</v>
      </c>
      <c r="G1134" s="251">
        <f>IFERROR(__xludf.DUMMYFUNCTION("""COMPUTED_VALUE"""),4.0)</f>
        <v>4</v>
      </c>
      <c r="H1134" s="251">
        <f>IFERROR(__xludf.DUMMYFUNCTION("""COMPUTED_VALUE"""),3.0)</f>
        <v>3</v>
      </c>
      <c r="I1134" s="251">
        <f>IFERROR(__xludf.DUMMYFUNCTION("""COMPUTED_VALUE"""),5.0)</f>
        <v>5</v>
      </c>
      <c r="J1134" s="251">
        <f>IFERROR(__xludf.DUMMYFUNCTION("""COMPUTED_VALUE"""),3.0)</f>
        <v>3</v>
      </c>
      <c r="K1134" s="251" t="str">
        <f>IFERROR(__xludf.DUMMYFUNCTION("""COMPUTED_VALUE"""),"Small")</f>
        <v>Small</v>
      </c>
      <c r="L1134" s="251">
        <f>IFERROR(__xludf.DUMMYFUNCTION("""COMPUTED_VALUE"""),3.0)</f>
        <v>3</v>
      </c>
      <c r="M1134" s="251" t="str">
        <f>IFERROR(__xludf.DUMMYFUNCTION("""COMPUTED_VALUE"""),"Urban")</f>
        <v>Urban</v>
      </c>
      <c r="N1134" s="251" t="str">
        <f>IFERROR(__xludf.DUMMYFUNCTION("""COMPUTED_VALUE"""),"Grounded")</f>
        <v>Grounded</v>
      </c>
      <c r="O1134" s="251" t="str">
        <f>IFERROR(__xludf.DUMMYFUNCTION("""COMPUTED_VALUE"""),"Slow")</f>
        <v>Slow</v>
      </c>
      <c r="P1134" s="251" t="str">
        <f>IFERROR(__xludf.DUMMYFUNCTION("""COMPUTED_VALUE"""),"--")</f>
        <v>--</v>
      </c>
      <c r="Q1134" s="251" t="str">
        <f>IFERROR(__xludf.DUMMYFUNCTION("""COMPUTED_VALUE"""),"--")</f>
        <v>--</v>
      </c>
      <c r="R1134" s="251" t="str">
        <f>IFERROR(__xludf.DUMMYFUNCTION("""COMPUTED_VALUE"""),"Darkvision")</f>
        <v>Darkvision</v>
      </c>
      <c r="S1134" s="251" t="str">
        <f>IFERROR(__xludf.DUMMYFUNCTION("""COMPUTED_VALUE"""),"Underdog")</f>
        <v>Underdog</v>
      </c>
      <c r="T1134" s="251" t="str">
        <f>IFERROR(__xludf.DUMMYFUNCTION("""COMPUTED_VALUE"""),"--")</f>
        <v>--</v>
      </c>
      <c r="U1134" s="251" t="str">
        <f>IFERROR(__xludf.DUMMYFUNCTION("""COMPUTED_VALUE"""),"--")</f>
        <v>--</v>
      </c>
      <c r="V1134" s="251" t="str">
        <f>IFERROR(__xludf.DUMMYFUNCTION("""COMPUTED_VALUE"""),"Amorphous")</f>
        <v>Amorphous</v>
      </c>
      <c r="W1134" s="251" t="str">
        <f>IFERROR(__xludf.DUMMYFUNCTION("""COMPUTED_VALUE"""),"Dead Silent")</f>
        <v>Dead Silent</v>
      </c>
      <c r="X1134" s="251" t="str">
        <f>IFERROR(__xludf.DUMMYFUNCTION("""COMPUTED_VALUE"""),"Repulsive")</f>
        <v>Repulsive</v>
      </c>
      <c r="Y1134" s="251" t="str">
        <f>IFERROR(__xludf.DUMMYFUNCTION("""COMPUTED_VALUE"""),"--")</f>
        <v>--</v>
      </c>
      <c r="Z1134" s="251" t="str">
        <f>IFERROR(__xludf.DUMMYFUNCTION("""COMPUTED_VALUE"""),"--")</f>
        <v>--</v>
      </c>
      <c r="AA1134" s="251" t="str">
        <f>IFERROR(__xludf.DUMMYFUNCTION("""COMPUTED_VALUE"""),"--")</f>
        <v>--</v>
      </c>
      <c r="AB1134" s="251" t="str">
        <f>IFERROR(__xludf.DUMMYFUNCTION("""COMPUTED_VALUE"""),"--")</f>
        <v>--</v>
      </c>
      <c r="AC1134" s="251" t="str">
        <f>IFERROR(__xludf.DUMMYFUNCTION("""COMPUTED_VALUE"""),"--")</f>
        <v>--</v>
      </c>
      <c r="AD1134" s="251">
        <f>IFERROR(__xludf.DUMMYFUNCTION("""COMPUTED_VALUE"""),2.0)</f>
        <v>2</v>
      </c>
      <c r="AE1134" s="251" t="str">
        <f>IFERROR(__xludf.DUMMYFUNCTION("""COMPUTED_VALUE"""),"Omnivore, Terravore")</f>
        <v>Omnivore, Terravore</v>
      </c>
    </row>
    <row r="1135">
      <c r="A1135" s="251" t="str">
        <f>IFERROR(__xludf.DUMMYFUNCTION("""COMPUTED_VALUE"""),"Alolan Muk")</f>
        <v>Alolan Muk</v>
      </c>
      <c r="B1135" s="251" t="str">
        <f>IFERROR(__xludf.DUMMYFUNCTION("""COMPUTED_VALUE"""),"Poison")</f>
        <v>Poison</v>
      </c>
      <c r="C1135" s="251" t="str">
        <f>IFERROR(__xludf.DUMMYFUNCTION("""COMPUTED_VALUE"""),"Dark")</f>
        <v>Dark</v>
      </c>
      <c r="D1135" s="251">
        <f>IFERROR(__xludf.DUMMYFUNCTION("""COMPUTED_VALUE"""),11.0)</f>
        <v>11</v>
      </c>
      <c r="E1135" s="251">
        <f>IFERROR(__xludf.DUMMYFUNCTION("""COMPUTED_VALUE"""),11.0)</f>
        <v>11</v>
      </c>
      <c r="F1135" s="251">
        <f>IFERROR(__xludf.DUMMYFUNCTION("""COMPUTED_VALUE"""),8.0)</f>
        <v>8</v>
      </c>
      <c r="G1135" s="251">
        <f>IFERROR(__xludf.DUMMYFUNCTION("""COMPUTED_VALUE"""),7.0)</f>
        <v>7</v>
      </c>
      <c r="H1135" s="251">
        <f>IFERROR(__xludf.DUMMYFUNCTION("""COMPUTED_VALUE"""),10.0)</f>
        <v>10</v>
      </c>
      <c r="I1135" s="251">
        <f>IFERROR(__xludf.DUMMYFUNCTION("""COMPUTED_VALUE"""),5.0)</f>
        <v>5</v>
      </c>
      <c r="J1135" s="251">
        <f>IFERROR(__xludf.DUMMYFUNCTION("""COMPUTED_VALUE"""),6.0)</f>
        <v>6</v>
      </c>
      <c r="K1135" s="251" t="str">
        <f>IFERROR(__xludf.DUMMYFUNCTION("""COMPUTED_VALUE"""),"Medium")</f>
        <v>Medium</v>
      </c>
      <c r="L1135" s="251">
        <f>IFERROR(__xludf.DUMMYFUNCTION("""COMPUTED_VALUE"""),4.0)</f>
        <v>4</v>
      </c>
      <c r="M1135" s="251" t="str">
        <f>IFERROR(__xludf.DUMMYFUNCTION("""COMPUTED_VALUE"""),"Urban")</f>
        <v>Urban</v>
      </c>
      <c r="N1135" s="251" t="str">
        <f>IFERROR(__xludf.DUMMYFUNCTION("""COMPUTED_VALUE"""),"Grounded")</f>
        <v>Grounded</v>
      </c>
      <c r="O1135" s="251" t="str">
        <f>IFERROR(__xludf.DUMMYFUNCTION("""COMPUTED_VALUE"""),"--")</f>
        <v>--</v>
      </c>
      <c r="P1135" s="251" t="str">
        <f>IFERROR(__xludf.DUMMYFUNCTION("""COMPUTED_VALUE"""),"--")</f>
        <v>--</v>
      </c>
      <c r="Q1135" s="251" t="str">
        <f>IFERROR(__xludf.DUMMYFUNCTION("""COMPUTED_VALUE"""),"--")</f>
        <v>--</v>
      </c>
      <c r="R1135" s="251" t="str">
        <f>IFERROR(__xludf.DUMMYFUNCTION("""COMPUTED_VALUE"""),"Darkvision")</f>
        <v>Darkvision</v>
      </c>
      <c r="S1135" s="251" t="str">
        <f>IFERROR(__xludf.DUMMYFUNCTION("""COMPUTED_VALUE"""),"--")</f>
        <v>--</v>
      </c>
      <c r="T1135" s="251" t="str">
        <f>IFERROR(__xludf.DUMMYFUNCTION("""COMPUTED_VALUE"""),"--")</f>
        <v>--</v>
      </c>
      <c r="U1135" s="251" t="str">
        <f>IFERROR(__xludf.DUMMYFUNCTION("""COMPUTED_VALUE"""),"--")</f>
        <v>--</v>
      </c>
      <c r="V1135" s="251" t="str">
        <f>IFERROR(__xludf.DUMMYFUNCTION("""COMPUTED_VALUE"""),"Amorphous")</f>
        <v>Amorphous</v>
      </c>
      <c r="W1135" s="251" t="str">
        <f>IFERROR(__xludf.DUMMYFUNCTION("""COMPUTED_VALUE"""),"Dead Silent")</f>
        <v>Dead Silent</v>
      </c>
      <c r="X1135" s="251" t="str">
        <f>IFERROR(__xludf.DUMMYFUNCTION("""COMPUTED_VALUE"""),"Repulsive")</f>
        <v>Repulsive</v>
      </c>
      <c r="Y1135" s="251" t="str">
        <f>IFERROR(__xludf.DUMMYFUNCTION("""COMPUTED_VALUE"""),"--")</f>
        <v>--</v>
      </c>
      <c r="Z1135" s="251" t="str">
        <f>IFERROR(__xludf.DUMMYFUNCTION("""COMPUTED_VALUE"""),"--")</f>
        <v>--</v>
      </c>
      <c r="AA1135" s="251" t="str">
        <f>IFERROR(__xludf.DUMMYFUNCTION("""COMPUTED_VALUE"""),"--")</f>
        <v>--</v>
      </c>
      <c r="AB1135" s="251" t="str">
        <f>IFERROR(__xludf.DUMMYFUNCTION("""COMPUTED_VALUE"""),"--")</f>
        <v>--</v>
      </c>
      <c r="AC1135" s="251" t="str">
        <f>IFERROR(__xludf.DUMMYFUNCTION("""COMPUTED_VALUE"""),"--")</f>
        <v>--</v>
      </c>
      <c r="AD1135" s="251">
        <f>IFERROR(__xludf.DUMMYFUNCTION("""COMPUTED_VALUE"""),3.0)</f>
        <v>3</v>
      </c>
      <c r="AE1135" s="251" t="str">
        <f>IFERROR(__xludf.DUMMYFUNCTION("""COMPUTED_VALUE"""),"Omnivore, Terravore")</f>
        <v>Omnivore, Terravore</v>
      </c>
    </row>
    <row r="1136">
      <c r="A1136" s="251" t="str">
        <f>IFERROR(__xludf.DUMMYFUNCTION("""COMPUTED_VALUE"""),"Alolan Geodude")</f>
        <v>Alolan Geodude</v>
      </c>
      <c r="B1136" s="251" t="str">
        <f>IFERROR(__xludf.DUMMYFUNCTION("""COMPUTED_VALUE"""),"Rock")</f>
        <v>Rock</v>
      </c>
      <c r="C1136" s="251" t="str">
        <f>IFERROR(__xludf.DUMMYFUNCTION("""COMPUTED_VALUE"""),"Electric")</f>
        <v>Electric</v>
      </c>
      <c r="D1136" s="251">
        <f>IFERROR(__xludf.DUMMYFUNCTION("""COMPUTED_VALUE"""),4.0)</f>
        <v>4</v>
      </c>
      <c r="E1136" s="251">
        <f>IFERROR(__xludf.DUMMYFUNCTION("""COMPUTED_VALUE"""),8.0)</f>
        <v>8</v>
      </c>
      <c r="F1136" s="251">
        <f>IFERROR(__xludf.DUMMYFUNCTION("""COMPUTED_VALUE"""),10.0)</f>
        <v>10</v>
      </c>
      <c r="G1136" s="251">
        <f>IFERROR(__xludf.DUMMYFUNCTION("""COMPUTED_VALUE"""),3.0)</f>
        <v>3</v>
      </c>
      <c r="H1136" s="251">
        <f>IFERROR(__xludf.DUMMYFUNCTION("""COMPUTED_VALUE"""),3.0)</f>
        <v>3</v>
      </c>
      <c r="I1136" s="251">
        <f>IFERROR(__xludf.DUMMYFUNCTION("""COMPUTED_VALUE"""),2.0)</f>
        <v>2</v>
      </c>
      <c r="J1136" s="251">
        <f>IFERROR(__xludf.DUMMYFUNCTION("""COMPUTED_VALUE"""),3.0)</f>
        <v>3</v>
      </c>
      <c r="K1136" s="251" t="str">
        <f>IFERROR(__xludf.DUMMYFUNCTION("""COMPUTED_VALUE"""),"Small")</f>
        <v>Small</v>
      </c>
      <c r="L1136" s="251">
        <f>IFERROR(__xludf.DUMMYFUNCTION("""COMPUTED_VALUE"""),2.0)</f>
        <v>2</v>
      </c>
      <c r="M1136" s="251" t="str">
        <f>IFERROR(__xludf.DUMMYFUNCTION("""COMPUTED_VALUE"""),"Cave, Mountain")</f>
        <v>Cave, Mountain</v>
      </c>
      <c r="N1136" s="251" t="str">
        <f>IFERROR(__xludf.DUMMYFUNCTION("""COMPUTED_VALUE"""),"Flier")</f>
        <v>Flier</v>
      </c>
      <c r="O1136" s="251" t="str">
        <f>IFERROR(__xludf.DUMMYFUNCTION("""COMPUTED_VALUE"""),"--")</f>
        <v>--</v>
      </c>
      <c r="P1136" s="251" t="str">
        <f>IFERROR(__xludf.DUMMYFUNCTION("""COMPUTED_VALUE"""),"--")</f>
        <v>--</v>
      </c>
      <c r="Q1136" s="251" t="str">
        <f>IFERROR(__xludf.DUMMYFUNCTION("""COMPUTED_VALUE"""),"--")</f>
        <v>--</v>
      </c>
      <c r="R1136" s="251" t="str">
        <f>IFERROR(__xludf.DUMMYFUNCTION("""COMPUTED_VALUE"""),"Underdog")</f>
        <v>Underdog</v>
      </c>
      <c r="S1136" s="251" t="str">
        <f>IFERROR(__xludf.DUMMYFUNCTION("""COMPUTED_VALUE"""),"--")</f>
        <v>--</v>
      </c>
      <c r="T1136" s="251" t="str">
        <f>IFERROR(__xludf.DUMMYFUNCTION("""COMPUTED_VALUE"""),"--")</f>
        <v>--</v>
      </c>
      <c r="U1136" s="251" t="str">
        <f>IFERROR(__xludf.DUMMYFUNCTION("""COMPUTED_VALUE"""),"--")</f>
        <v>--</v>
      </c>
      <c r="V1136" s="251" t="str">
        <f>IFERROR(__xludf.DUMMYFUNCTION("""COMPUTED_VALUE"""),"Magnetic")</f>
        <v>Magnetic</v>
      </c>
      <c r="W1136" s="251" t="str">
        <f>IFERROR(__xludf.DUMMYFUNCTION("""COMPUTED_VALUE"""),"--")</f>
        <v>--</v>
      </c>
      <c r="X1136" s="251" t="str">
        <f>IFERROR(__xludf.DUMMYFUNCTION("""COMPUTED_VALUE"""),"--")</f>
        <v>--</v>
      </c>
      <c r="Y1136" s="251" t="str">
        <f>IFERROR(__xludf.DUMMYFUNCTION("""COMPUTED_VALUE"""),"--")</f>
        <v>--</v>
      </c>
      <c r="Z1136" s="251" t="str">
        <f>IFERROR(__xludf.DUMMYFUNCTION("""COMPUTED_VALUE"""),"--")</f>
        <v>--</v>
      </c>
      <c r="AA1136" s="251" t="str">
        <f>IFERROR(__xludf.DUMMYFUNCTION("""COMPUTED_VALUE"""),"--")</f>
        <v>--</v>
      </c>
      <c r="AB1136" s="251" t="str">
        <f>IFERROR(__xludf.DUMMYFUNCTION("""COMPUTED_VALUE"""),"--")</f>
        <v>--</v>
      </c>
      <c r="AC1136" s="251" t="str">
        <f>IFERROR(__xludf.DUMMYFUNCTION("""COMPUTED_VALUE"""),"--")</f>
        <v>--</v>
      </c>
      <c r="AD1136" s="251">
        <f>IFERROR(__xludf.DUMMYFUNCTION("""COMPUTED_VALUE"""),1.0)</f>
        <v>1</v>
      </c>
      <c r="AE1136" s="251" t="str">
        <f>IFERROR(__xludf.DUMMYFUNCTION("""COMPUTED_VALUE"""),"Terravore")</f>
        <v>Terravore</v>
      </c>
    </row>
    <row r="1137">
      <c r="A1137" s="251" t="str">
        <f>IFERROR(__xludf.DUMMYFUNCTION("""COMPUTED_VALUE"""),"Alolan Graveler")</f>
        <v>Alolan Graveler</v>
      </c>
      <c r="B1137" s="251" t="str">
        <f>IFERROR(__xludf.DUMMYFUNCTION("""COMPUTED_VALUE"""),"Rock")</f>
        <v>Rock</v>
      </c>
      <c r="C1137" s="251" t="str">
        <f>IFERROR(__xludf.DUMMYFUNCTION("""COMPUTED_VALUE"""),"Electric")</f>
        <v>Electric</v>
      </c>
      <c r="D1137" s="251">
        <f>IFERROR(__xludf.DUMMYFUNCTION("""COMPUTED_VALUE"""),6.0)</f>
        <v>6</v>
      </c>
      <c r="E1137" s="251">
        <f>IFERROR(__xludf.DUMMYFUNCTION("""COMPUTED_VALUE"""),10.0)</f>
        <v>10</v>
      </c>
      <c r="F1137" s="251">
        <f>IFERROR(__xludf.DUMMYFUNCTION("""COMPUTED_VALUE"""),12.0)</f>
        <v>12</v>
      </c>
      <c r="G1137" s="251">
        <f>IFERROR(__xludf.DUMMYFUNCTION("""COMPUTED_VALUE"""),5.0)</f>
        <v>5</v>
      </c>
      <c r="H1137" s="251">
        <f>IFERROR(__xludf.DUMMYFUNCTION("""COMPUTED_VALUE"""),5.0)</f>
        <v>5</v>
      </c>
      <c r="I1137" s="251">
        <f>IFERROR(__xludf.DUMMYFUNCTION("""COMPUTED_VALUE"""),4.0)</f>
        <v>4</v>
      </c>
      <c r="J1137" s="251">
        <f>IFERROR(__xludf.DUMMYFUNCTION("""COMPUTED_VALUE"""),8.0)</f>
        <v>8</v>
      </c>
      <c r="K1137" s="251" t="str">
        <f>IFERROR(__xludf.DUMMYFUNCTION("""COMPUTED_VALUE"""),"Medium")</f>
        <v>Medium</v>
      </c>
      <c r="L1137" s="251">
        <f>IFERROR(__xludf.DUMMYFUNCTION("""COMPUTED_VALUE"""),5.0)</f>
        <v>5</v>
      </c>
      <c r="M1137" s="251" t="str">
        <f>IFERROR(__xludf.DUMMYFUNCTION("""COMPUTED_VALUE"""),"Cave, Mountain")</f>
        <v>Cave, Mountain</v>
      </c>
      <c r="N1137" s="251" t="str">
        <f>IFERROR(__xludf.DUMMYFUNCTION("""COMPUTED_VALUE"""),"Burrower")</f>
        <v>Burrower</v>
      </c>
      <c r="O1137" s="251" t="str">
        <f>IFERROR(__xludf.DUMMYFUNCTION("""COMPUTED_VALUE"""),"--")</f>
        <v>--</v>
      </c>
      <c r="P1137" s="251" t="str">
        <f>IFERROR(__xludf.DUMMYFUNCTION("""COMPUTED_VALUE"""),"--")</f>
        <v>--</v>
      </c>
      <c r="Q1137" s="251" t="str">
        <f>IFERROR(__xludf.DUMMYFUNCTION("""COMPUTED_VALUE"""),"--")</f>
        <v>--</v>
      </c>
      <c r="R1137" s="251" t="str">
        <f>IFERROR(__xludf.DUMMYFUNCTION("""COMPUTED_VALUE"""),"Underdog")</f>
        <v>Underdog</v>
      </c>
      <c r="S1137" s="251" t="str">
        <f>IFERROR(__xludf.DUMMYFUNCTION("""COMPUTED_VALUE"""),"--")</f>
        <v>--</v>
      </c>
      <c r="T1137" s="251" t="str">
        <f>IFERROR(__xludf.DUMMYFUNCTION("""COMPUTED_VALUE"""),"--")</f>
        <v>--</v>
      </c>
      <c r="U1137" s="251" t="str">
        <f>IFERROR(__xludf.DUMMYFUNCTION("""COMPUTED_VALUE"""),"--")</f>
        <v>--</v>
      </c>
      <c r="V1137" s="251" t="str">
        <f>IFERROR(__xludf.DUMMYFUNCTION("""COMPUTED_VALUE"""),"Magnetic")</f>
        <v>Magnetic</v>
      </c>
      <c r="W1137" s="251" t="str">
        <f>IFERROR(__xludf.DUMMYFUNCTION("""COMPUTED_VALUE"""),"--")</f>
        <v>--</v>
      </c>
      <c r="X1137" s="251" t="str">
        <f>IFERROR(__xludf.DUMMYFUNCTION("""COMPUTED_VALUE"""),"--")</f>
        <v>--</v>
      </c>
      <c r="Y1137" s="251" t="str">
        <f>IFERROR(__xludf.DUMMYFUNCTION("""COMPUTED_VALUE"""),"--")</f>
        <v>--</v>
      </c>
      <c r="Z1137" s="251" t="str">
        <f>IFERROR(__xludf.DUMMYFUNCTION("""COMPUTED_VALUE"""),"--")</f>
        <v>--</v>
      </c>
      <c r="AA1137" s="251" t="str">
        <f>IFERROR(__xludf.DUMMYFUNCTION("""COMPUTED_VALUE"""),"--")</f>
        <v>--</v>
      </c>
      <c r="AB1137" s="251" t="str">
        <f>IFERROR(__xludf.DUMMYFUNCTION("""COMPUTED_VALUE"""),"--")</f>
        <v>--</v>
      </c>
      <c r="AC1137" s="251" t="str">
        <f>IFERROR(__xludf.DUMMYFUNCTION("""COMPUTED_VALUE"""),"--")</f>
        <v>--</v>
      </c>
      <c r="AD1137" s="251">
        <f>IFERROR(__xludf.DUMMYFUNCTION("""COMPUTED_VALUE"""),2.0)</f>
        <v>2</v>
      </c>
      <c r="AE1137" s="251" t="str">
        <f>IFERROR(__xludf.DUMMYFUNCTION("""COMPUTED_VALUE"""),"Terravore")</f>
        <v>Terravore</v>
      </c>
    </row>
    <row r="1138">
      <c r="A1138" s="251" t="str">
        <f>IFERROR(__xludf.DUMMYFUNCTION("""COMPUTED_VALUE"""),"Alolan Golem")</f>
        <v>Alolan Golem</v>
      </c>
      <c r="B1138" s="251" t="str">
        <f>IFERROR(__xludf.DUMMYFUNCTION("""COMPUTED_VALUE"""),"Rock")</f>
        <v>Rock</v>
      </c>
      <c r="C1138" s="251" t="str">
        <f>IFERROR(__xludf.DUMMYFUNCTION("""COMPUTED_VALUE"""),"Electric")</f>
        <v>Electric</v>
      </c>
      <c r="D1138" s="251">
        <f>IFERROR(__xludf.DUMMYFUNCTION("""COMPUTED_VALUE"""),8.0)</f>
        <v>8</v>
      </c>
      <c r="E1138" s="251">
        <f>IFERROR(__xludf.DUMMYFUNCTION("""COMPUTED_VALUE"""),12.0)</f>
        <v>12</v>
      </c>
      <c r="F1138" s="251">
        <f>IFERROR(__xludf.DUMMYFUNCTION("""COMPUTED_VALUE"""),13.0)</f>
        <v>13</v>
      </c>
      <c r="G1138" s="251">
        <f>IFERROR(__xludf.DUMMYFUNCTION("""COMPUTED_VALUE"""),6.0)</f>
        <v>6</v>
      </c>
      <c r="H1138" s="251">
        <f>IFERROR(__xludf.DUMMYFUNCTION("""COMPUTED_VALUE"""),7.0)</f>
        <v>7</v>
      </c>
      <c r="I1138" s="251">
        <f>IFERROR(__xludf.DUMMYFUNCTION("""COMPUTED_VALUE"""),5.0)</f>
        <v>5</v>
      </c>
      <c r="J1138" s="251">
        <f>IFERROR(__xludf.DUMMYFUNCTION("""COMPUTED_VALUE"""),10.0)</f>
        <v>10</v>
      </c>
      <c r="K1138" s="251" t="str">
        <f>IFERROR(__xludf.DUMMYFUNCTION("""COMPUTED_VALUE"""),"Medium")</f>
        <v>Medium</v>
      </c>
      <c r="L1138" s="251">
        <f>IFERROR(__xludf.DUMMYFUNCTION("""COMPUTED_VALUE"""),6.0)</f>
        <v>6</v>
      </c>
      <c r="M1138" s="251" t="str">
        <f>IFERROR(__xludf.DUMMYFUNCTION("""COMPUTED_VALUE"""),"Cave, Mountain")</f>
        <v>Cave, Mountain</v>
      </c>
      <c r="N1138" s="251" t="str">
        <f>IFERROR(__xludf.DUMMYFUNCTION("""COMPUTED_VALUE"""),"Burrower")</f>
        <v>Burrower</v>
      </c>
      <c r="O1138" s="251" t="str">
        <f>IFERROR(__xludf.DUMMYFUNCTION("""COMPUTED_VALUE"""),"--")</f>
        <v>--</v>
      </c>
      <c r="P1138" s="251" t="str">
        <f>IFERROR(__xludf.DUMMYFUNCTION("""COMPUTED_VALUE"""),"--")</f>
        <v>--</v>
      </c>
      <c r="Q1138" s="251" t="str">
        <f>IFERROR(__xludf.DUMMYFUNCTION("""COMPUTED_VALUE"""),"--")</f>
        <v>--</v>
      </c>
      <c r="R1138" s="251" t="str">
        <f>IFERROR(__xludf.DUMMYFUNCTION("""COMPUTED_VALUE"""),"Groundshaper")</f>
        <v>Groundshaper</v>
      </c>
      <c r="S1138" s="251" t="str">
        <f>IFERROR(__xludf.DUMMYFUNCTION("""COMPUTED_VALUE"""),"--")</f>
        <v>--</v>
      </c>
      <c r="T1138" s="251" t="str">
        <f>IFERROR(__xludf.DUMMYFUNCTION("""COMPUTED_VALUE"""),"--")</f>
        <v>--</v>
      </c>
      <c r="U1138" s="251" t="str">
        <f>IFERROR(__xludf.DUMMYFUNCTION("""COMPUTED_VALUE"""),"--")</f>
        <v>--</v>
      </c>
      <c r="V1138" s="251" t="str">
        <f>IFERROR(__xludf.DUMMYFUNCTION("""COMPUTED_VALUE"""),"Magnetic")</f>
        <v>Magnetic</v>
      </c>
      <c r="W1138" s="251" t="str">
        <f>IFERROR(__xludf.DUMMYFUNCTION("""COMPUTED_VALUE"""),"--")</f>
        <v>--</v>
      </c>
      <c r="X1138" s="251" t="str">
        <f>IFERROR(__xludf.DUMMYFUNCTION("""COMPUTED_VALUE"""),"--")</f>
        <v>--</v>
      </c>
      <c r="Y1138" s="251" t="str">
        <f>IFERROR(__xludf.DUMMYFUNCTION("""COMPUTED_VALUE"""),"--")</f>
        <v>--</v>
      </c>
      <c r="Z1138" s="251" t="str">
        <f>IFERROR(__xludf.DUMMYFUNCTION("""COMPUTED_VALUE"""),"--")</f>
        <v>--</v>
      </c>
      <c r="AA1138" s="251" t="str">
        <f>IFERROR(__xludf.DUMMYFUNCTION("""COMPUTED_VALUE"""),"--")</f>
        <v>--</v>
      </c>
      <c r="AB1138" s="251" t="str">
        <f>IFERROR(__xludf.DUMMYFUNCTION("""COMPUTED_VALUE"""),"--")</f>
        <v>--</v>
      </c>
      <c r="AC1138" s="251" t="str">
        <f>IFERROR(__xludf.DUMMYFUNCTION("""COMPUTED_VALUE"""),"--")</f>
        <v>--</v>
      </c>
      <c r="AD1138" s="251">
        <f>IFERROR(__xludf.DUMMYFUNCTION("""COMPUTED_VALUE"""),3.0)</f>
        <v>3</v>
      </c>
      <c r="AE1138" s="251" t="str">
        <f>IFERROR(__xludf.DUMMYFUNCTION("""COMPUTED_VALUE"""),"Terravore")</f>
        <v>Terravore</v>
      </c>
    </row>
    <row r="1139">
      <c r="A1139" s="251" t="str">
        <f>IFERROR(__xludf.DUMMYFUNCTION("""COMPUTED_VALUE"""),"Galarian Zigzagoon")</f>
        <v>Galarian Zigzagoon</v>
      </c>
      <c r="B1139" s="251" t="str">
        <f>IFERROR(__xludf.DUMMYFUNCTION("""COMPUTED_VALUE"""),"Dark")</f>
        <v>Dark</v>
      </c>
      <c r="C1139" s="251" t="str">
        <f>IFERROR(__xludf.DUMMYFUNCTION("""COMPUTED_VALUE"""),"Normal")</f>
        <v>Normal</v>
      </c>
      <c r="D1139" s="251">
        <f>IFERROR(__xludf.DUMMYFUNCTION("""COMPUTED_VALUE"""),5.0)</f>
        <v>5</v>
      </c>
      <c r="E1139" s="251">
        <f>IFERROR(__xludf.DUMMYFUNCTION("""COMPUTED_VALUE"""),4.0)</f>
        <v>4</v>
      </c>
      <c r="F1139" s="251">
        <f>IFERROR(__xludf.DUMMYFUNCTION("""COMPUTED_VALUE"""),5.0)</f>
        <v>5</v>
      </c>
      <c r="G1139" s="251">
        <f>IFERROR(__xludf.DUMMYFUNCTION("""COMPUTED_VALUE"""),4.0)</f>
        <v>4</v>
      </c>
      <c r="H1139" s="251">
        <f>IFERROR(__xludf.DUMMYFUNCTION("""COMPUTED_VALUE"""),5.0)</f>
        <v>5</v>
      </c>
      <c r="I1139" s="251">
        <f>IFERROR(__xludf.DUMMYFUNCTION("""COMPUTED_VALUE"""),7.0)</f>
        <v>7</v>
      </c>
      <c r="J1139" s="251">
        <f>IFERROR(__xludf.DUMMYFUNCTION("""COMPUTED_VALUE"""),1.0)</f>
        <v>1</v>
      </c>
      <c r="K1139" s="251" t="str">
        <f>IFERROR(__xludf.DUMMYFUNCTION("""COMPUTED_VALUE"""),"Small")</f>
        <v>Small</v>
      </c>
      <c r="L1139" s="251">
        <f>IFERROR(__xludf.DUMMYFUNCTION("""COMPUTED_VALUE"""),2.0)</f>
        <v>2</v>
      </c>
      <c r="M1139" s="251" t="str">
        <f>IFERROR(__xludf.DUMMYFUNCTION("""COMPUTED_VALUE"""),"Forest, Grasslands")</f>
        <v>Forest, Grasslands</v>
      </c>
      <c r="N1139" s="251" t="str">
        <f>IFERROR(__xludf.DUMMYFUNCTION("""COMPUTED_VALUE"""),"--")</f>
        <v>--</v>
      </c>
      <c r="O1139" s="251" t="str">
        <f>IFERROR(__xludf.DUMMYFUNCTION("""COMPUTED_VALUE"""),"--")</f>
        <v>--</v>
      </c>
      <c r="P1139" s="251" t="str">
        <f>IFERROR(__xludf.DUMMYFUNCTION("""COMPUTED_VALUE"""),"--")</f>
        <v>--</v>
      </c>
      <c r="Q1139" s="251" t="str">
        <f>IFERROR(__xludf.DUMMYFUNCTION("""COMPUTED_VALUE"""),"--")</f>
        <v>--</v>
      </c>
      <c r="R1139" s="251" t="str">
        <f>IFERROR(__xludf.DUMMYFUNCTION("""COMPUTED_VALUE"""),"Underdog")</f>
        <v>Underdog</v>
      </c>
      <c r="S1139" s="251" t="str">
        <f>IFERROR(__xludf.DUMMYFUNCTION("""COMPUTED_VALUE"""),"--")</f>
        <v>--</v>
      </c>
      <c r="T1139" s="251" t="str">
        <f>IFERROR(__xludf.DUMMYFUNCTION("""COMPUTED_VALUE"""),"--")</f>
        <v>--</v>
      </c>
      <c r="U1139" s="251" t="str">
        <f>IFERROR(__xludf.DUMMYFUNCTION("""COMPUTED_VALUE"""),"--")</f>
        <v>--</v>
      </c>
      <c r="V1139" s="251" t="str">
        <f>IFERROR(__xludf.DUMMYFUNCTION("""COMPUTED_VALUE"""),"Tracker")</f>
        <v>Tracker</v>
      </c>
      <c r="W1139" s="251" t="str">
        <f>IFERROR(__xludf.DUMMYFUNCTION("""COMPUTED_VALUE"""),"--")</f>
        <v>--</v>
      </c>
      <c r="X1139" s="251" t="str">
        <f>IFERROR(__xludf.DUMMYFUNCTION("""COMPUTED_VALUE"""),"--")</f>
        <v>--</v>
      </c>
      <c r="Y1139" s="251" t="str">
        <f>IFERROR(__xludf.DUMMYFUNCTION("""COMPUTED_VALUE"""),"--")</f>
        <v>--</v>
      </c>
      <c r="Z1139" s="251" t="str">
        <f>IFERROR(__xludf.DUMMYFUNCTION("""COMPUTED_VALUE"""),"--")</f>
        <v>--</v>
      </c>
      <c r="AA1139" s="251" t="str">
        <f>IFERROR(__xludf.DUMMYFUNCTION("""COMPUTED_VALUE"""),"--")</f>
        <v>--</v>
      </c>
      <c r="AB1139" s="251" t="str">
        <f>IFERROR(__xludf.DUMMYFUNCTION("""COMPUTED_VALUE"""),"--")</f>
        <v>--</v>
      </c>
      <c r="AC1139" s="251" t="str">
        <f>IFERROR(__xludf.DUMMYFUNCTION("""COMPUTED_VALUE"""),"--")</f>
        <v>--</v>
      </c>
      <c r="AD1139" s="251">
        <f>IFERROR(__xludf.DUMMYFUNCTION("""COMPUTED_VALUE"""),1.0)</f>
        <v>1</v>
      </c>
      <c r="AE1139" s="251" t="str">
        <f>IFERROR(__xludf.DUMMYFUNCTION("""COMPUTED_VALUE"""),"Herbivore")</f>
        <v>Herbivore</v>
      </c>
    </row>
    <row r="1140">
      <c r="A1140" s="251" t="str">
        <f>IFERROR(__xludf.DUMMYFUNCTION("""COMPUTED_VALUE"""),"Galarian Linoone")</f>
        <v>Galarian Linoone</v>
      </c>
      <c r="B1140" s="251" t="str">
        <f>IFERROR(__xludf.DUMMYFUNCTION("""COMPUTED_VALUE"""),"Dark")</f>
        <v>Dark</v>
      </c>
      <c r="C1140" s="251" t="str">
        <f>IFERROR(__xludf.DUMMYFUNCTION("""COMPUTED_VALUE"""),"Normal")</f>
        <v>Normal</v>
      </c>
      <c r="D1140" s="251">
        <f>IFERROR(__xludf.DUMMYFUNCTION("""COMPUTED_VALUE"""),8.0)</f>
        <v>8</v>
      </c>
      <c r="E1140" s="251">
        <f>IFERROR(__xludf.DUMMYFUNCTION("""COMPUTED_VALUE"""),7.0)</f>
        <v>7</v>
      </c>
      <c r="F1140" s="251">
        <f>IFERROR(__xludf.DUMMYFUNCTION("""COMPUTED_VALUE"""),6.0)</f>
        <v>6</v>
      </c>
      <c r="G1140" s="251">
        <f>IFERROR(__xludf.DUMMYFUNCTION("""COMPUTED_VALUE"""),5.0)</f>
        <v>5</v>
      </c>
      <c r="H1140" s="251">
        <f>IFERROR(__xludf.DUMMYFUNCTION("""COMPUTED_VALUE"""),6.0)</f>
        <v>6</v>
      </c>
      <c r="I1140" s="251">
        <f>IFERROR(__xludf.DUMMYFUNCTION("""COMPUTED_VALUE"""),10.0)</f>
        <v>10</v>
      </c>
      <c r="J1140" s="251">
        <f>IFERROR(__xludf.DUMMYFUNCTION("""COMPUTED_VALUE"""),3.0)</f>
        <v>3</v>
      </c>
      <c r="K1140" s="251" t="str">
        <f>IFERROR(__xludf.DUMMYFUNCTION("""COMPUTED_VALUE"""),"Small")</f>
        <v>Small</v>
      </c>
      <c r="L1140" s="251">
        <f>IFERROR(__xludf.DUMMYFUNCTION("""COMPUTED_VALUE"""),3.0)</f>
        <v>3</v>
      </c>
      <c r="M1140" s="251" t="str">
        <f>IFERROR(__xludf.DUMMYFUNCTION("""COMPUTED_VALUE"""),"Forest, Grasslands")</f>
        <v>Forest, Grasslands</v>
      </c>
      <c r="N1140" s="251" t="str">
        <f>IFERROR(__xludf.DUMMYFUNCTION("""COMPUTED_VALUE"""),"Quick")</f>
        <v>Quick</v>
      </c>
      <c r="O1140" s="251" t="str">
        <f>IFERROR(__xludf.DUMMYFUNCTION("""COMPUTED_VALUE"""),"--")</f>
        <v>--</v>
      </c>
      <c r="P1140" s="251" t="str">
        <f>IFERROR(__xludf.DUMMYFUNCTION("""COMPUTED_VALUE"""),"--")</f>
        <v>--</v>
      </c>
      <c r="Q1140" s="251" t="str">
        <f>IFERROR(__xludf.DUMMYFUNCTION("""COMPUTED_VALUE"""),"--")</f>
        <v>--</v>
      </c>
      <c r="R1140" s="251" t="str">
        <f>IFERROR(__xludf.DUMMYFUNCTION("""COMPUTED_VALUE"""),"Darkvision")</f>
        <v>Darkvision</v>
      </c>
      <c r="S1140" s="251" t="str">
        <f>IFERROR(__xludf.DUMMYFUNCTION("""COMPUTED_VALUE"""),"Underdog")</f>
        <v>Underdog</v>
      </c>
      <c r="T1140" s="251" t="str">
        <f>IFERROR(__xludf.DUMMYFUNCTION("""COMPUTED_VALUE"""),"--")</f>
        <v>--</v>
      </c>
      <c r="U1140" s="251" t="str">
        <f>IFERROR(__xludf.DUMMYFUNCTION("""COMPUTED_VALUE"""),"--")</f>
        <v>--</v>
      </c>
      <c r="V1140" s="251" t="str">
        <f>IFERROR(__xludf.DUMMYFUNCTION("""COMPUTED_VALUE"""),"Tracker")</f>
        <v>Tracker</v>
      </c>
      <c r="W1140" s="251" t="str">
        <f>IFERROR(__xludf.DUMMYFUNCTION("""COMPUTED_VALUE"""),"--")</f>
        <v>--</v>
      </c>
      <c r="X1140" s="251" t="str">
        <f>IFERROR(__xludf.DUMMYFUNCTION("""COMPUTED_VALUE"""),"--")</f>
        <v>--</v>
      </c>
      <c r="Y1140" s="251" t="str">
        <f>IFERROR(__xludf.DUMMYFUNCTION("""COMPUTED_VALUE"""),"--")</f>
        <v>--</v>
      </c>
      <c r="Z1140" s="251" t="str">
        <f>IFERROR(__xludf.DUMMYFUNCTION("""COMPUTED_VALUE"""),"--")</f>
        <v>--</v>
      </c>
      <c r="AA1140" s="251" t="str">
        <f>IFERROR(__xludf.DUMMYFUNCTION("""COMPUTED_VALUE"""),"--")</f>
        <v>--</v>
      </c>
      <c r="AB1140" s="251" t="str">
        <f>IFERROR(__xludf.DUMMYFUNCTION("""COMPUTED_VALUE"""),"--")</f>
        <v>--</v>
      </c>
      <c r="AC1140" s="251" t="str">
        <f>IFERROR(__xludf.DUMMYFUNCTION("""COMPUTED_VALUE"""),"--")</f>
        <v>--</v>
      </c>
      <c r="AD1140" s="251">
        <f>IFERROR(__xludf.DUMMYFUNCTION("""COMPUTED_VALUE"""),2.0)</f>
        <v>2</v>
      </c>
      <c r="AE1140" s="251" t="str">
        <f>IFERROR(__xludf.DUMMYFUNCTION("""COMPUTED_VALUE"""),"Herbivore")</f>
        <v>Herbivore</v>
      </c>
    </row>
    <row r="1141">
      <c r="A1141" s="251" t="str">
        <f>IFERROR(__xludf.DUMMYFUNCTION("""COMPUTED_VALUE"""),"Obstagoon")</f>
        <v>Obstagoon</v>
      </c>
      <c r="B1141" s="251" t="str">
        <f>IFERROR(__xludf.DUMMYFUNCTION("""COMPUTED_VALUE"""),"Dark")</f>
        <v>Dark</v>
      </c>
      <c r="C1141" s="251" t="str">
        <f>IFERROR(__xludf.DUMMYFUNCTION("""COMPUTED_VALUE"""),"Normal")</f>
        <v>Normal</v>
      </c>
      <c r="D1141" s="251">
        <f>IFERROR(__xludf.DUMMYFUNCTION("""COMPUTED_VALUE"""),9.0)</f>
        <v>9</v>
      </c>
      <c r="E1141" s="251">
        <f>IFERROR(__xludf.DUMMYFUNCTION("""COMPUTED_VALUE"""),9.0)</f>
        <v>9</v>
      </c>
      <c r="F1141" s="251">
        <f>IFERROR(__xludf.DUMMYFUNCTION("""COMPUTED_VALUE"""),10.0)</f>
        <v>10</v>
      </c>
      <c r="G1141" s="251">
        <f>IFERROR(__xludf.DUMMYFUNCTION("""COMPUTED_VALUE"""),6.0)</f>
        <v>6</v>
      </c>
      <c r="H1141" s="251">
        <f>IFERROR(__xludf.DUMMYFUNCTION("""COMPUTED_VALUE"""),8.0)</f>
        <v>8</v>
      </c>
      <c r="I1141" s="251">
        <f>IFERROR(__xludf.DUMMYFUNCTION("""COMPUTED_VALUE"""),10.0)</f>
        <v>10</v>
      </c>
      <c r="J1141" s="251">
        <f>IFERROR(__xludf.DUMMYFUNCTION("""COMPUTED_VALUE"""),6.0)</f>
        <v>6</v>
      </c>
      <c r="K1141" s="251" t="str">
        <f>IFERROR(__xludf.DUMMYFUNCTION("""COMPUTED_VALUE"""),"Medium")</f>
        <v>Medium</v>
      </c>
      <c r="L1141" s="251">
        <f>IFERROR(__xludf.DUMMYFUNCTION("""COMPUTED_VALUE"""),3.0)</f>
        <v>3</v>
      </c>
      <c r="M1141" s="251" t="str">
        <f>IFERROR(__xludf.DUMMYFUNCTION("""COMPUTED_VALUE"""),"Forest, Grasslands")</f>
        <v>Forest, Grasslands</v>
      </c>
      <c r="N1141" s="251" t="str">
        <f>IFERROR(__xludf.DUMMYFUNCTION("""COMPUTED_VALUE"""),"Quick")</f>
        <v>Quick</v>
      </c>
      <c r="O1141" s="251" t="str">
        <f>IFERROR(__xludf.DUMMYFUNCTION("""COMPUTED_VALUE"""),"--")</f>
        <v>--</v>
      </c>
      <c r="P1141" s="251" t="str">
        <f>IFERROR(__xludf.DUMMYFUNCTION("""COMPUTED_VALUE"""),"--")</f>
        <v>--</v>
      </c>
      <c r="Q1141" s="251" t="str">
        <f>IFERROR(__xludf.DUMMYFUNCTION("""COMPUTED_VALUE"""),"--")</f>
        <v>--</v>
      </c>
      <c r="R1141" s="251" t="str">
        <f>IFERROR(__xludf.DUMMYFUNCTION("""COMPUTED_VALUE"""),"Darkvision")</f>
        <v>Darkvision</v>
      </c>
      <c r="S1141" s="251" t="str">
        <f>IFERROR(__xludf.DUMMYFUNCTION("""COMPUTED_VALUE"""),"--")</f>
        <v>--</v>
      </c>
      <c r="T1141" s="251" t="str">
        <f>IFERROR(__xludf.DUMMYFUNCTION("""COMPUTED_VALUE"""),"--")</f>
        <v>--</v>
      </c>
      <c r="U1141" s="251" t="str">
        <f>IFERROR(__xludf.DUMMYFUNCTION("""COMPUTED_VALUE"""),"--")</f>
        <v>--</v>
      </c>
      <c r="V1141" s="251" t="str">
        <f>IFERROR(__xludf.DUMMYFUNCTION("""COMPUTED_VALUE"""),"Tracker")</f>
        <v>Tracker</v>
      </c>
      <c r="W1141" s="251" t="str">
        <f>IFERROR(__xludf.DUMMYFUNCTION("""COMPUTED_VALUE"""),"--")</f>
        <v>--</v>
      </c>
      <c r="X1141" s="251" t="str">
        <f>IFERROR(__xludf.DUMMYFUNCTION("""COMPUTED_VALUE"""),"--")</f>
        <v>--</v>
      </c>
      <c r="Y1141" s="251" t="str">
        <f>IFERROR(__xludf.DUMMYFUNCTION("""COMPUTED_VALUE"""),"--")</f>
        <v>--</v>
      </c>
      <c r="Z1141" s="251" t="str">
        <f>IFERROR(__xludf.DUMMYFUNCTION("""COMPUTED_VALUE"""),"--")</f>
        <v>--</v>
      </c>
      <c r="AA1141" s="251" t="str">
        <f>IFERROR(__xludf.DUMMYFUNCTION("""COMPUTED_VALUE"""),"--")</f>
        <v>--</v>
      </c>
      <c r="AB1141" s="251" t="str">
        <f>IFERROR(__xludf.DUMMYFUNCTION("""COMPUTED_VALUE"""),"--")</f>
        <v>--</v>
      </c>
      <c r="AC1141" s="251" t="str">
        <f>IFERROR(__xludf.DUMMYFUNCTION("""COMPUTED_VALUE"""),"--")</f>
        <v>--</v>
      </c>
      <c r="AD1141" s="251">
        <f>IFERROR(__xludf.DUMMYFUNCTION("""COMPUTED_VALUE"""),3.0)</f>
        <v>3</v>
      </c>
      <c r="AE1141" s="251" t="str">
        <f>IFERROR(__xludf.DUMMYFUNCTION("""COMPUTED_VALUE"""),"Herbivore")</f>
        <v>Herbivore</v>
      </c>
    </row>
    <row r="1142">
      <c r="A1142" s="251" t="str">
        <f>IFERROR(__xludf.DUMMYFUNCTION("""COMPUTED_VALUE"""),"Galarian Farfetch'd")</f>
        <v>Galarian Farfetch'd</v>
      </c>
      <c r="B1142" s="251" t="str">
        <f>IFERROR(__xludf.DUMMYFUNCTION("""COMPUTED_VALUE"""),"Fighting")</f>
        <v>Fighting</v>
      </c>
      <c r="C1142" s="251" t="str">
        <f>IFERROR(__xludf.DUMMYFUNCTION("""COMPUTED_VALUE"""),"None")</f>
        <v>None</v>
      </c>
      <c r="D1142" s="251">
        <f>IFERROR(__xludf.DUMMYFUNCTION("""COMPUTED_VALUE"""),5.0)</f>
        <v>5</v>
      </c>
      <c r="E1142" s="251">
        <f>IFERROR(__xludf.DUMMYFUNCTION("""COMPUTED_VALUE"""),10.0)</f>
        <v>10</v>
      </c>
      <c r="F1142" s="251">
        <f>IFERROR(__xludf.DUMMYFUNCTION("""COMPUTED_VALUE"""),6.0)</f>
        <v>6</v>
      </c>
      <c r="G1142" s="251">
        <f>IFERROR(__xludf.DUMMYFUNCTION("""COMPUTED_VALUE"""),6.0)</f>
        <v>6</v>
      </c>
      <c r="H1142" s="251">
        <f>IFERROR(__xludf.DUMMYFUNCTION("""COMPUTED_VALUE"""),6.0)</f>
        <v>6</v>
      </c>
      <c r="I1142" s="251">
        <f>IFERROR(__xludf.DUMMYFUNCTION("""COMPUTED_VALUE"""),6.0)</f>
        <v>6</v>
      </c>
      <c r="J1142" s="251">
        <f>IFERROR(__xludf.DUMMYFUNCTION("""COMPUTED_VALUE"""),5.0)</f>
        <v>5</v>
      </c>
      <c r="K1142" s="251" t="str">
        <f>IFERROR(__xludf.DUMMYFUNCTION("""COMPUTED_VALUE"""),"Small")</f>
        <v>Small</v>
      </c>
      <c r="L1142" s="251">
        <f>IFERROR(__xludf.DUMMYFUNCTION("""COMPUTED_VALUE"""),3.0)</f>
        <v>3</v>
      </c>
      <c r="M1142" s="251" t="str">
        <f>IFERROR(__xludf.DUMMYFUNCTION("""COMPUTED_VALUE"""),"Grasslands")</f>
        <v>Grasslands</v>
      </c>
      <c r="N1142" s="251" t="str">
        <f>IFERROR(__xludf.DUMMYFUNCTION("""COMPUTED_VALUE"""),"--")</f>
        <v>--</v>
      </c>
      <c r="O1142" s="251" t="str">
        <f>IFERROR(__xludf.DUMMYFUNCTION("""COMPUTED_VALUE"""),"--")</f>
        <v>--</v>
      </c>
      <c r="P1142" s="251" t="str">
        <f>IFERROR(__xludf.DUMMYFUNCTION("""COMPUTED_VALUE"""),"--")</f>
        <v>--</v>
      </c>
      <c r="Q1142" s="251" t="str">
        <f>IFERROR(__xludf.DUMMYFUNCTION("""COMPUTED_VALUE"""),"--")</f>
        <v>--</v>
      </c>
      <c r="R1142" s="251" t="str">
        <f>IFERROR(__xludf.DUMMYFUNCTION("""COMPUTED_VALUE"""),"Underdog")</f>
        <v>Underdog</v>
      </c>
      <c r="S1142" s="251" t="str">
        <f>IFERROR(__xludf.DUMMYFUNCTION("""COMPUTED_VALUE"""),"Wielder (Melee, Small)")</f>
        <v>Wielder (Melee, Small)</v>
      </c>
      <c r="T1142" s="251" t="str">
        <f>IFERROR(__xludf.DUMMYFUNCTION("""COMPUTED_VALUE"""),"--")</f>
        <v>--</v>
      </c>
      <c r="U1142" s="251" t="str">
        <f>IFERROR(__xludf.DUMMYFUNCTION("""COMPUTED_VALUE"""),"--")</f>
        <v>--</v>
      </c>
      <c r="V1142" s="251" t="str">
        <f>IFERROR(__xludf.DUMMYFUNCTION("""COMPUTED_VALUE"""),"--")</f>
        <v>--</v>
      </c>
      <c r="W1142" s="251" t="str">
        <f>IFERROR(__xludf.DUMMYFUNCTION("""COMPUTED_VALUE"""),"--")</f>
        <v>--</v>
      </c>
      <c r="X1142" s="251" t="str">
        <f>IFERROR(__xludf.DUMMYFUNCTION("""COMPUTED_VALUE"""),"--")</f>
        <v>--</v>
      </c>
      <c r="Y1142" s="251" t="str">
        <f>IFERROR(__xludf.DUMMYFUNCTION("""COMPUTED_VALUE"""),"--")</f>
        <v>--</v>
      </c>
      <c r="Z1142" s="251" t="str">
        <f>IFERROR(__xludf.DUMMYFUNCTION("""COMPUTED_VALUE"""),"--")</f>
        <v>--</v>
      </c>
      <c r="AA1142" s="251" t="str">
        <f>IFERROR(__xludf.DUMMYFUNCTION("""COMPUTED_VALUE"""),"--")</f>
        <v>--</v>
      </c>
      <c r="AB1142" s="251" t="str">
        <f>IFERROR(__xludf.DUMMYFUNCTION("""COMPUTED_VALUE"""),"--")</f>
        <v>--</v>
      </c>
      <c r="AC1142" s="251" t="str">
        <f>IFERROR(__xludf.DUMMYFUNCTION("""COMPUTED_VALUE"""),"--")</f>
        <v>--</v>
      </c>
      <c r="AD1142" s="251">
        <f>IFERROR(__xludf.DUMMYFUNCTION("""COMPUTED_VALUE"""),2.0)</f>
        <v>2</v>
      </c>
      <c r="AE1142" s="251" t="str">
        <f>IFERROR(__xludf.DUMMYFUNCTION("""COMPUTED_VALUE"""),"Herbivore")</f>
        <v>Herbivore</v>
      </c>
    </row>
    <row r="1143">
      <c r="A1143" s="251" t="str">
        <f>IFERROR(__xludf.DUMMYFUNCTION("""COMPUTED_VALUE"""),"Sirfetch'd")</f>
        <v>Sirfetch'd</v>
      </c>
      <c r="B1143" s="251" t="str">
        <f>IFERROR(__xludf.DUMMYFUNCTION("""COMPUTED_VALUE"""),"Fighting")</f>
        <v>Fighting</v>
      </c>
      <c r="C1143" s="251" t="str">
        <f>IFERROR(__xludf.DUMMYFUNCTION("""COMPUTED_VALUE"""),"None")</f>
        <v>None</v>
      </c>
      <c r="D1143" s="251">
        <f>IFERROR(__xludf.DUMMYFUNCTION("""COMPUTED_VALUE"""),6.0)</f>
        <v>6</v>
      </c>
      <c r="E1143" s="251">
        <f>IFERROR(__xludf.DUMMYFUNCTION("""COMPUTED_VALUE"""),14.0)</f>
        <v>14</v>
      </c>
      <c r="F1143" s="251">
        <f>IFERROR(__xludf.DUMMYFUNCTION("""COMPUTED_VALUE"""),10.0)</f>
        <v>10</v>
      </c>
      <c r="G1143" s="251">
        <f>IFERROR(__xludf.DUMMYFUNCTION("""COMPUTED_VALUE"""),7.0)</f>
        <v>7</v>
      </c>
      <c r="H1143" s="251">
        <f>IFERROR(__xludf.DUMMYFUNCTION("""COMPUTED_VALUE"""),8.0)</f>
        <v>8</v>
      </c>
      <c r="I1143" s="251">
        <f>IFERROR(__xludf.DUMMYFUNCTION("""COMPUTED_VALUE"""),7.0)</f>
        <v>7</v>
      </c>
      <c r="J1143" s="251">
        <f>IFERROR(__xludf.DUMMYFUNCTION("""COMPUTED_VALUE"""),7.0)</f>
        <v>7</v>
      </c>
      <c r="K1143" s="251" t="str">
        <f>IFERROR(__xludf.DUMMYFUNCTION("""COMPUTED_VALUE"""),"Small")</f>
        <v>Small</v>
      </c>
      <c r="L1143" s="251">
        <f>IFERROR(__xludf.DUMMYFUNCTION("""COMPUTED_VALUE"""),5.0)</f>
        <v>5</v>
      </c>
      <c r="M1143" s="251" t="str">
        <f>IFERROR(__xludf.DUMMYFUNCTION("""COMPUTED_VALUE"""),"Grasslands")</f>
        <v>Grasslands</v>
      </c>
      <c r="N1143" s="251" t="str">
        <f>IFERROR(__xludf.DUMMYFUNCTION("""COMPUTED_VALUE"""),"--")</f>
        <v>--</v>
      </c>
      <c r="O1143" s="251" t="str">
        <f>IFERROR(__xludf.DUMMYFUNCTION("""COMPUTED_VALUE"""),"--")</f>
        <v>--</v>
      </c>
      <c r="P1143" s="251" t="str">
        <f>IFERROR(__xludf.DUMMYFUNCTION("""COMPUTED_VALUE"""),"--")</f>
        <v>--</v>
      </c>
      <c r="Q1143" s="251" t="str">
        <f>IFERROR(__xludf.DUMMYFUNCTION("""COMPUTED_VALUE"""),"--")</f>
        <v>--</v>
      </c>
      <c r="R1143" s="251" t="str">
        <f>IFERROR(__xludf.DUMMYFUNCTION("""COMPUTED_VALUE"""),"Wielder (Melee)")</f>
        <v>Wielder (Melee)</v>
      </c>
      <c r="S1143" s="251" t="str">
        <f>IFERROR(__xludf.DUMMYFUNCTION("""COMPUTED_VALUE"""),"--")</f>
        <v>--</v>
      </c>
      <c r="T1143" s="251" t="str">
        <f>IFERROR(__xludf.DUMMYFUNCTION("""COMPUTED_VALUE"""),"--")</f>
        <v>--</v>
      </c>
      <c r="U1143" s="251" t="str">
        <f>IFERROR(__xludf.DUMMYFUNCTION("""COMPUTED_VALUE"""),"--")</f>
        <v>--</v>
      </c>
      <c r="V1143" s="251" t="str">
        <f>IFERROR(__xludf.DUMMYFUNCTION("""COMPUTED_VALUE"""),"--")</f>
        <v>--</v>
      </c>
      <c r="W1143" s="251" t="str">
        <f>IFERROR(__xludf.DUMMYFUNCTION("""COMPUTED_VALUE"""),"--")</f>
        <v>--</v>
      </c>
      <c r="X1143" s="251" t="str">
        <f>IFERROR(__xludf.DUMMYFUNCTION("""COMPUTED_VALUE"""),"--")</f>
        <v>--</v>
      </c>
      <c r="Y1143" s="251" t="str">
        <f>IFERROR(__xludf.DUMMYFUNCTION("""COMPUTED_VALUE"""),"--")</f>
        <v>--</v>
      </c>
      <c r="Z1143" s="251" t="str">
        <f>IFERROR(__xludf.DUMMYFUNCTION("""COMPUTED_VALUE"""),"--")</f>
        <v>--</v>
      </c>
      <c r="AA1143" s="251" t="str">
        <f>IFERROR(__xludf.DUMMYFUNCTION("""COMPUTED_VALUE"""),"--")</f>
        <v>--</v>
      </c>
      <c r="AB1143" s="251" t="str">
        <f>IFERROR(__xludf.DUMMYFUNCTION("""COMPUTED_VALUE"""),"--")</f>
        <v>--</v>
      </c>
      <c r="AC1143" s="251" t="str">
        <f>IFERROR(__xludf.DUMMYFUNCTION("""COMPUTED_VALUE"""),"--")</f>
        <v>--</v>
      </c>
      <c r="AD1143" s="251">
        <f>IFERROR(__xludf.DUMMYFUNCTION("""COMPUTED_VALUE"""),3.0)</f>
        <v>3</v>
      </c>
      <c r="AE1143" s="251" t="str">
        <f>IFERROR(__xludf.DUMMYFUNCTION("""COMPUTED_VALUE"""),"Herbivore")</f>
        <v>Herbivore</v>
      </c>
    </row>
    <row r="1144">
      <c r="A1144" s="251" t="str">
        <f>IFERROR(__xludf.DUMMYFUNCTION("""COMPUTED_VALUE"""),"Galarian Corsola")</f>
        <v>Galarian Corsola</v>
      </c>
      <c r="B1144" s="251" t="str">
        <f>IFERROR(__xludf.DUMMYFUNCTION("""COMPUTED_VALUE"""),"Ghost")</f>
        <v>Ghost</v>
      </c>
      <c r="C1144" s="251" t="str">
        <f>IFERROR(__xludf.DUMMYFUNCTION("""COMPUTED_VALUE"""),"None")</f>
        <v>None</v>
      </c>
      <c r="D1144" s="251">
        <f>IFERROR(__xludf.DUMMYFUNCTION("""COMPUTED_VALUE"""),6.0)</f>
        <v>6</v>
      </c>
      <c r="E1144" s="251">
        <f>IFERROR(__xludf.DUMMYFUNCTION("""COMPUTED_VALUE"""),6.0)</f>
        <v>6</v>
      </c>
      <c r="F1144" s="251">
        <f>IFERROR(__xludf.DUMMYFUNCTION("""COMPUTED_VALUE"""),10.0)</f>
        <v>10</v>
      </c>
      <c r="G1144" s="251">
        <f>IFERROR(__xludf.DUMMYFUNCTION("""COMPUTED_VALUE"""),7.0)</f>
        <v>7</v>
      </c>
      <c r="H1144" s="251">
        <f>IFERROR(__xludf.DUMMYFUNCTION("""COMPUTED_VALUE"""),10.0)</f>
        <v>10</v>
      </c>
      <c r="I1144" s="251">
        <f>IFERROR(__xludf.DUMMYFUNCTION("""COMPUTED_VALUE"""),3.0)</f>
        <v>3</v>
      </c>
      <c r="J1144" s="251">
        <f>IFERROR(__xludf.DUMMYFUNCTION("""COMPUTED_VALUE"""),1.0)</f>
        <v>1</v>
      </c>
      <c r="K1144" s="251" t="str">
        <f>IFERROR(__xludf.DUMMYFUNCTION("""COMPUTED_VALUE"""),"Small")</f>
        <v>Small</v>
      </c>
      <c r="L1144" s="251">
        <f>IFERROR(__xludf.DUMMYFUNCTION("""COMPUTED_VALUE"""),1.0)</f>
        <v>1</v>
      </c>
      <c r="M1144" s="251" t="str">
        <f>IFERROR(__xludf.DUMMYFUNCTION("""COMPUTED_VALUE"""),"Ocean")</f>
        <v>Ocean</v>
      </c>
      <c r="N1144" s="251" t="str">
        <f>IFERROR(__xludf.DUMMYFUNCTION("""COMPUTED_VALUE"""),"Flier")</f>
        <v>Flier</v>
      </c>
      <c r="O1144" s="251" t="str">
        <f>IFERROR(__xludf.DUMMYFUNCTION("""COMPUTED_VALUE"""),"Phaser")</f>
        <v>Phaser</v>
      </c>
      <c r="P1144" s="251" t="str">
        <f>IFERROR(__xludf.DUMMYFUNCTION("""COMPUTED_VALUE"""),"Swimmer")</f>
        <v>Swimmer</v>
      </c>
      <c r="Q1144" s="251" t="str">
        <f>IFERROR(__xludf.DUMMYFUNCTION("""COMPUTED_VALUE"""),"--")</f>
        <v>--</v>
      </c>
      <c r="R1144" s="251" t="str">
        <f>IFERROR(__xludf.DUMMYFUNCTION("""COMPUTED_VALUE"""),"Darkvision")</f>
        <v>Darkvision</v>
      </c>
      <c r="S1144" s="251" t="str">
        <f>IFERROR(__xludf.DUMMYFUNCTION("""COMPUTED_VALUE"""),"Invisibility")</f>
        <v>Invisibility</v>
      </c>
      <c r="T1144" s="251" t="str">
        <f>IFERROR(__xludf.DUMMYFUNCTION("""COMPUTED_VALUE"""),"Underdog")</f>
        <v>Underdog</v>
      </c>
      <c r="U1144" s="251" t="str">
        <f>IFERROR(__xludf.DUMMYFUNCTION("""COMPUTED_VALUE"""),"--")</f>
        <v>--</v>
      </c>
      <c r="V1144" s="251" t="str">
        <f>IFERROR(__xludf.DUMMYFUNCTION("""COMPUTED_VALUE"""),"Dead Silent")</f>
        <v>Dead Silent</v>
      </c>
      <c r="W1144" s="251" t="str">
        <f>IFERROR(__xludf.DUMMYFUNCTION("""COMPUTED_VALUE"""),"Gilled")</f>
        <v>Gilled</v>
      </c>
      <c r="X1144" s="251" t="str">
        <f>IFERROR(__xludf.DUMMYFUNCTION("""COMPUTED_VALUE"""),"--")</f>
        <v>--</v>
      </c>
      <c r="Y1144" s="251" t="str">
        <f>IFERROR(__xludf.DUMMYFUNCTION("""COMPUTED_VALUE"""),"--")</f>
        <v>--</v>
      </c>
      <c r="Z1144" s="251" t="str">
        <f>IFERROR(__xludf.DUMMYFUNCTION("""COMPUTED_VALUE"""),"--")</f>
        <v>--</v>
      </c>
      <c r="AA1144" s="251" t="str">
        <f>IFERROR(__xludf.DUMMYFUNCTION("""COMPUTED_VALUE"""),"--")</f>
        <v>--</v>
      </c>
      <c r="AB1144" s="251" t="str">
        <f>IFERROR(__xludf.DUMMYFUNCTION("""COMPUTED_VALUE"""),"--")</f>
        <v>--</v>
      </c>
      <c r="AC1144" s="251" t="str">
        <f>IFERROR(__xludf.DUMMYFUNCTION("""COMPUTED_VALUE"""),"--")</f>
        <v>--</v>
      </c>
      <c r="AD1144" s="251">
        <f>IFERROR(__xludf.DUMMYFUNCTION("""COMPUTED_VALUE"""),2.0)</f>
        <v>2</v>
      </c>
      <c r="AE1144" s="251" t="str">
        <f>IFERROR(__xludf.DUMMYFUNCTION("""COMPUTED_VALUE"""),"Nullivore")</f>
        <v>Nullivore</v>
      </c>
    </row>
    <row r="1145">
      <c r="A1145" s="251" t="str">
        <f>IFERROR(__xludf.DUMMYFUNCTION("""COMPUTED_VALUE"""),"Cursola")</f>
        <v>Cursola</v>
      </c>
      <c r="B1145" s="251" t="str">
        <f>IFERROR(__xludf.DUMMYFUNCTION("""COMPUTED_VALUE"""),"Ghost")</f>
        <v>Ghost</v>
      </c>
      <c r="C1145" s="251" t="str">
        <f>IFERROR(__xludf.DUMMYFUNCTION("""COMPUTED_VALUE"""),"None")</f>
        <v>None</v>
      </c>
      <c r="D1145" s="251">
        <f>IFERROR(__xludf.DUMMYFUNCTION("""COMPUTED_VALUE"""),6.0)</f>
        <v>6</v>
      </c>
      <c r="E1145" s="251">
        <f>IFERROR(__xludf.DUMMYFUNCTION("""COMPUTED_VALUE"""),10.0)</f>
        <v>10</v>
      </c>
      <c r="F1145" s="251">
        <f>IFERROR(__xludf.DUMMYFUNCTION("""COMPUTED_VALUE"""),5.0)</f>
        <v>5</v>
      </c>
      <c r="G1145" s="251">
        <f>IFERROR(__xludf.DUMMYFUNCTION("""COMPUTED_VALUE"""),14.0)</f>
        <v>14</v>
      </c>
      <c r="H1145" s="251">
        <f>IFERROR(__xludf.DUMMYFUNCTION("""COMPUTED_VALUE"""),13.0)</f>
        <v>13</v>
      </c>
      <c r="I1145" s="251">
        <f>IFERROR(__xludf.DUMMYFUNCTION("""COMPUTED_VALUE"""),3.0)</f>
        <v>3</v>
      </c>
      <c r="J1145" s="251">
        <f>IFERROR(__xludf.DUMMYFUNCTION("""COMPUTED_VALUE"""),1.0)</f>
        <v>1</v>
      </c>
      <c r="K1145" s="251" t="str">
        <f>IFERROR(__xludf.DUMMYFUNCTION("""COMPUTED_VALUE"""),"Medium")</f>
        <v>Medium</v>
      </c>
      <c r="L1145" s="251">
        <f>IFERROR(__xludf.DUMMYFUNCTION("""COMPUTED_VALUE"""),1.0)</f>
        <v>1</v>
      </c>
      <c r="M1145" s="251" t="str">
        <f>IFERROR(__xludf.DUMMYFUNCTION("""COMPUTED_VALUE"""),"Ocean")</f>
        <v>Ocean</v>
      </c>
      <c r="N1145" s="251" t="str">
        <f>IFERROR(__xludf.DUMMYFUNCTION("""COMPUTED_VALUE"""),"Flier")</f>
        <v>Flier</v>
      </c>
      <c r="O1145" s="251" t="str">
        <f>IFERROR(__xludf.DUMMYFUNCTION("""COMPUTED_VALUE"""),"Phaser")</f>
        <v>Phaser</v>
      </c>
      <c r="P1145" s="251" t="str">
        <f>IFERROR(__xludf.DUMMYFUNCTION("""COMPUTED_VALUE"""),"Swimmer")</f>
        <v>Swimmer</v>
      </c>
      <c r="Q1145" s="251" t="str">
        <f>IFERROR(__xludf.DUMMYFUNCTION("""COMPUTED_VALUE"""),"--")</f>
        <v>--</v>
      </c>
      <c r="R1145" s="251" t="str">
        <f>IFERROR(__xludf.DUMMYFUNCTION("""COMPUTED_VALUE"""),"Darkvision")</f>
        <v>Darkvision</v>
      </c>
      <c r="S1145" s="251" t="str">
        <f>IFERROR(__xludf.DUMMYFUNCTION("""COMPUTED_VALUE"""),"Invisibility")</f>
        <v>Invisibility</v>
      </c>
      <c r="T1145" s="251" t="str">
        <f>IFERROR(__xludf.DUMMYFUNCTION("""COMPUTED_VALUE"""),"--")</f>
        <v>--</v>
      </c>
      <c r="U1145" s="251" t="str">
        <f>IFERROR(__xludf.DUMMYFUNCTION("""COMPUTED_VALUE"""),"--")</f>
        <v>--</v>
      </c>
      <c r="V1145" s="251" t="str">
        <f>IFERROR(__xludf.DUMMYFUNCTION("""COMPUTED_VALUE"""),"Dead Silent")</f>
        <v>Dead Silent</v>
      </c>
      <c r="W1145" s="251" t="str">
        <f>IFERROR(__xludf.DUMMYFUNCTION("""COMPUTED_VALUE"""),"Gilled")</f>
        <v>Gilled</v>
      </c>
      <c r="X1145" s="251" t="str">
        <f>IFERROR(__xludf.DUMMYFUNCTION("""COMPUTED_VALUE"""),"--")</f>
        <v>--</v>
      </c>
      <c r="Y1145" s="251" t="str">
        <f>IFERROR(__xludf.DUMMYFUNCTION("""COMPUTED_VALUE"""),"--")</f>
        <v>--</v>
      </c>
      <c r="Z1145" s="251" t="str">
        <f>IFERROR(__xludf.DUMMYFUNCTION("""COMPUTED_VALUE"""),"--")</f>
        <v>--</v>
      </c>
      <c r="AA1145" s="251" t="str">
        <f>IFERROR(__xludf.DUMMYFUNCTION("""COMPUTED_VALUE"""),"--")</f>
        <v>--</v>
      </c>
      <c r="AB1145" s="251" t="str">
        <f>IFERROR(__xludf.DUMMYFUNCTION("""COMPUTED_VALUE"""),"--")</f>
        <v>--</v>
      </c>
      <c r="AC1145" s="251" t="str">
        <f>IFERROR(__xludf.DUMMYFUNCTION("""COMPUTED_VALUE"""),"--")</f>
        <v>--</v>
      </c>
      <c r="AD1145" s="251">
        <f>IFERROR(__xludf.DUMMYFUNCTION("""COMPUTED_VALUE"""),3.0)</f>
        <v>3</v>
      </c>
      <c r="AE1145" s="251" t="str">
        <f>IFERROR(__xludf.DUMMYFUNCTION("""COMPUTED_VALUE"""),"Nullivore")</f>
        <v>Nullivore</v>
      </c>
    </row>
    <row r="1146">
      <c r="A1146" s="251" t="str">
        <f>IFERROR(__xludf.DUMMYFUNCTION("""COMPUTED_VALUE"""),"Galarian Yamask")</f>
        <v>Galarian Yamask</v>
      </c>
      <c r="B1146" s="251" t="str">
        <f>IFERROR(__xludf.DUMMYFUNCTION("""COMPUTED_VALUE"""),"Ground")</f>
        <v>Ground</v>
      </c>
      <c r="C1146" s="251" t="str">
        <f>IFERROR(__xludf.DUMMYFUNCTION("""COMPUTED_VALUE"""),"Ghost")</f>
        <v>Ghost</v>
      </c>
      <c r="D1146" s="251">
        <f>IFERROR(__xludf.DUMMYFUNCTION("""COMPUTED_VALUE"""),4.0)</f>
        <v>4</v>
      </c>
      <c r="E1146" s="251">
        <f>IFERROR(__xludf.DUMMYFUNCTION("""COMPUTED_VALUE"""),6.0)</f>
        <v>6</v>
      </c>
      <c r="F1146" s="251">
        <f>IFERROR(__xludf.DUMMYFUNCTION("""COMPUTED_VALUE"""),9.0)</f>
        <v>9</v>
      </c>
      <c r="G1146" s="251">
        <f>IFERROR(__xludf.DUMMYFUNCTION("""COMPUTED_VALUE"""),3.0)</f>
        <v>3</v>
      </c>
      <c r="H1146" s="251">
        <f>IFERROR(__xludf.DUMMYFUNCTION("""COMPUTED_VALUE"""),7.0)</f>
        <v>7</v>
      </c>
      <c r="I1146" s="251">
        <f>IFERROR(__xludf.DUMMYFUNCTION("""COMPUTED_VALUE"""),3.0)</f>
        <v>3</v>
      </c>
      <c r="J1146" s="251">
        <f>IFERROR(__xludf.DUMMYFUNCTION("""COMPUTED_VALUE"""),2.0)</f>
        <v>2</v>
      </c>
      <c r="K1146" s="251" t="str">
        <f>IFERROR(__xludf.DUMMYFUNCTION("""COMPUTED_VALUE"""),"Small")</f>
        <v>Small</v>
      </c>
      <c r="L1146" s="251">
        <f>IFERROR(__xludf.DUMMYFUNCTION("""COMPUTED_VALUE"""),1.0)</f>
        <v>1</v>
      </c>
      <c r="M1146" s="251" t="str">
        <f>IFERROR(__xludf.DUMMYFUNCTION("""COMPUTED_VALUE"""),"Desert")</f>
        <v>Desert</v>
      </c>
      <c r="N1146" s="251" t="str">
        <f>IFERROR(__xludf.DUMMYFUNCTION("""COMPUTED_VALUE"""),"Flier")</f>
        <v>Flier</v>
      </c>
      <c r="O1146" s="251" t="str">
        <f>IFERROR(__xludf.DUMMYFUNCTION("""COMPUTED_VALUE"""),"Phaser")</f>
        <v>Phaser</v>
      </c>
      <c r="P1146" s="251" t="str">
        <f>IFERROR(__xludf.DUMMYFUNCTION("""COMPUTED_VALUE"""),"--")</f>
        <v>--</v>
      </c>
      <c r="Q1146" s="251" t="str">
        <f>IFERROR(__xludf.DUMMYFUNCTION("""COMPUTED_VALUE"""),"--")</f>
        <v>--</v>
      </c>
      <c r="R1146" s="251" t="str">
        <f>IFERROR(__xludf.DUMMYFUNCTION("""COMPUTED_VALUE"""),"Darkvision")</f>
        <v>Darkvision</v>
      </c>
      <c r="S1146" s="251" t="str">
        <f>IFERROR(__xludf.DUMMYFUNCTION("""COMPUTED_VALUE"""),"Invisibility")</f>
        <v>Invisibility</v>
      </c>
      <c r="T1146" s="251" t="str">
        <f>IFERROR(__xludf.DUMMYFUNCTION("""COMPUTED_VALUE"""),"Underdog")</f>
        <v>Underdog</v>
      </c>
      <c r="U1146" s="251" t="str">
        <f>IFERROR(__xludf.DUMMYFUNCTION("""COMPUTED_VALUE"""),"--")</f>
        <v>--</v>
      </c>
      <c r="V1146" s="251" t="str">
        <f>IFERROR(__xludf.DUMMYFUNCTION("""COMPUTED_VALUE"""),"Dead Silent")</f>
        <v>Dead Silent</v>
      </c>
      <c r="W1146" s="251" t="str">
        <f>IFERROR(__xludf.DUMMYFUNCTION("""COMPUTED_VALUE"""),"--")</f>
        <v>--</v>
      </c>
      <c r="X1146" s="251" t="str">
        <f>IFERROR(__xludf.DUMMYFUNCTION("""COMPUTED_VALUE"""),"--")</f>
        <v>--</v>
      </c>
      <c r="Y1146" s="251" t="str">
        <f>IFERROR(__xludf.DUMMYFUNCTION("""COMPUTED_VALUE"""),"--")</f>
        <v>--</v>
      </c>
      <c r="Z1146" s="251" t="str">
        <f>IFERROR(__xludf.DUMMYFUNCTION("""COMPUTED_VALUE"""),"--")</f>
        <v>--</v>
      </c>
      <c r="AA1146" s="251" t="str">
        <f>IFERROR(__xludf.DUMMYFUNCTION("""COMPUTED_VALUE"""),"--")</f>
        <v>--</v>
      </c>
      <c r="AB1146" s="251" t="str">
        <f>IFERROR(__xludf.DUMMYFUNCTION("""COMPUTED_VALUE"""),"--")</f>
        <v>--</v>
      </c>
      <c r="AC1146" s="251" t="str">
        <f>IFERROR(__xludf.DUMMYFUNCTION("""COMPUTED_VALUE"""),"--")</f>
        <v>--</v>
      </c>
      <c r="AD1146" s="251">
        <f>IFERROR(__xludf.DUMMYFUNCTION("""COMPUTED_VALUE"""),2.0)</f>
        <v>2</v>
      </c>
      <c r="AE1146" s="251" t="str">
        <f>IFERROR(__xludf.DUMMYFUNCTION("""COMPUTED_VALUE"""),"Terravore")</f>
        <v>Terravore</v>
      </c>
    </row>
    <row r="1147">
      <c r="A1147" s="251" t="str">
        <f>IFERROR(__xludf.DUMMYFUNCTION("""COMPUTED_VALUE"""),"Runerigus")</f>
        <v>Runerigus</v>
      </c>
      <c r="B1147" s="251" t="str">
        <f>IFERROR(__xludf.DUMMYFUNCTION("""COMPUTED_VALUE"""),"Ground")</f>
        <v>Ground</v>
      </c>
      <c r="C1147" s="251" t="str">
        <f>IFERROR(__xludf.DUMMYFUNCTION("""COMPUTED_VALUE"""),"Ghost")</f>
        <v>Ghost</v>
      </c>
      <c r="D1147" s="251">
        <f>IFERROR(__xludf.DUMMYFUNCTION("""COMPUTED_VALUE"""),7.0)</f>
        <v>7</v>
      </c>
      <c r="E1147" s="251">
        <f>IFERROR(__xludf.DUMMYFUNCTION("""COMPUTED_VALUE"""),10.0)</f>
        <v>10</v>
      </c>
      <c r="F1147" s="251">
        <f>IFERROR(__xludf.DUMMYFUNCTION("""COMPUTED_VALUE"""),15.0)</f>
        <v>15</v>
      </c>
      <c r="G1147" s="251">
        <f>IFERROR(__xludf.DUMMYFUNCTION("""COMPUTED_VALUE"""),5.0)</f>
        <v>5</v>
      </c>
      <c r="H1147" s="251">
        <f>IFERROR(__xludf.DUMMYFUNCTION("""COMPUTED_VALUE"""),11.0)</f>
        <v>11</v>
      </c>
      <c r="I1147" s="251">
        <f>IFERROR(__xludf.DUMMYFUNCTION("""COMPUTED_VALUE"""),3.0)</f>
        <v>3</v>
      </c>
      <c r="J1147" s="251">
        <f>IFERROR(__xludf.DUMMYFUNCTION("""COMPUTED_VALUE"""),7.0)</f>
        <v>7</v>
      </c>
      <c r="K1147" s="251" t="str">
        <f>IFERROR(__xludf.DUMMYFUNCTION("""COMPUTED_VALUE"""),"Medium")</f>
        <v>Medium</v>
      </c>
      <c r="L1147" s="251">
        <f>IFERROR(__xludf.DUMMYFUNCTION("""COMPUTED_VALUE"""),4.0)</f>
        <v>4</v>
      </c>
      <c r="M1147" s="251" t="str">
        <f>IFERROR(__xludf.DUMMYFUNCTION("""COMPUTED_VALUE"""),"Desert")</f>
        <v>Desert</v>
      </c>
      <c r="N1147" s="251" t="str">
        <f>IFERROR(__xludf.DUMMYFUNCTION("""COMPUTED_VALUE"""),"Flier")</f>
        <v>Flier</v>
      </c>
      <c r="O1147" s="251" t="str">
        <f>IFERROR(__xludf.DUMMYFUNCTION("""COMPUTED_VALUE"""),"Phaser")</f>
        <v>Phaser</v>
      </c>
      <c r="P1147" s="251" t="str">
        <f>IFERROR(__xludf.DUMMYFUNCTION("""COMPUTED_VALUE"""),"--")</f>
        <v>--</v>
      </c>
      <c r="Q1147" s="251" t="str">
        <f>IFERROR(__xludf.DUMMYFUNCTION("""COMPUTED_VALUE"""),"--")</f>
        <v>--</v>
      </c>
      <c r="R1147" s="251" t="str">
        <f>IFERROR(__xludf.DUMMYFUNCTION("""COMPUTED_VALUE"""),"Darkvision")</f>
        <v>Darkvision</v>
      </c>
      <c r="S1147" s="251" t="str">
        <f>IFERROR(__xludf.DUMMYFUNCTION("""COMPUTED_VALUE"""),"Invisibility")</f>
        <v>Invisibility</v>
      </c>
      <c r="T1147" s="251" t="str">
        <f>IFERROR(__xludf.DUMMYFUNCTION("""COMPUTED_VALUE"""),"--")</f>
        <v>--</v>
      </c>
      <c r="U1147" s="251" t="str">
        <f>IFERROR(__xludf.DUMMYFUNCTION("""COMPUTED_VALUE"""),"--")</f>
        <v>--</v>
      </c>
      <c r="V1147" s="251" t="str">
        <f>IFERROR(__xludf.DUMMYFUNCTION("""COMPUTED_VALUE"""),"Dead Silent")</f>
        <v>Dead Silent</v>
      </c>
      <c r="W1147" s="251" t="str">
        <f>IFERROR(__xludf.DUMMYFUNCTION("""COMPUTED_VALUE"""),"--")</f>
        <v>--</v>
      </c>
      <c r="X1147" s="251" t="str">
        <f>IFERROR(__xludf.DUMMYFUNCTION("""COMPUTED_VALUE"""),"--")</f>
        <v>--</v>
      </c>
      <c r="Y1147" s="251" t="str">
        <f>IFERROR(__xludf.DUMMYFUNCTION("""COMPUTED_VALUE"""),"--")</f>
        <v>--</v>
      </c>
      <c r="Z1147" s="251" t="str">
        <f>IFERROR(__xludf.DUMMYFUNCTION("""COMPUTED_VALUE"""),"--")</f>
        <v>--</v>
      </c>
      <c r="AA1147" s="251" t="str">
        <f>IFERROR(__xludf.DUMMYFUNCTION("""COMPUTED_VALUE"""),"--")</f>
        <v>--</v>
      </c>
      <c r="AB1147" s="251" t="str">
        <f>IFERROR(__xludf.DUMMYFUNCTION("""COMPUTED_VALUE"""),"--")</f>
        <v>--</v>
      </c>
      <c r="AC1147" s="251" t="str">
        <f>IFERROR(__xludf.DUMMYFUNCTION("""COMPUTED_VALUE"""),"--")</f>
        <v>--</v>
      </c>
      <c r="AD1147" s="251">
        <f>IFERROR(__xludf.DUMMYFUNCTION("""COMPUTED_VALUE"""),3.0)</f>
        <v>3</v>
      </c>
      <c r="AE1147" s="251" t="str">
        <f>IFERROR(__xludf.DUMMYFUNCTION("""COMPUTED_VALUE"""),"Terravore")</f>
        <v>Terravore</v>
      </c>
    </row>
    <row r="1148">
      <c r="A1148" s="251" t="str">
        <f>IFERROR(__xludf.DUMMYFUNCTION("""COMPUTED_VALUE"""),"Galarian Stunfisk")</f>
        <v>Galarian Stunfisk</v>
      </c>
      <c r="B1148" s="251" t="str">
        <f>IFERROR(__xludf.DUMMYFUNCTION("""COMPUTED_VALUE"""),"Ground")</f>
        <v>Ground</v>
      </c>
      <c r="C1148" s="251" t="str">
        <f>IFERROR(__xludf.DUMMYFUNCTION("""COMPUTED_VALUE"""),"Steel")</f>
        <v>Steel</v>
      </c>
      <c r="D1148" s="251">
        <f>IFERROR(__xludf.DUMMYFUNCTION("""COMPUTED_VALUE"""),11.0)</f>
        <v>11</v>
      </c>
      <c r="E1148" s="251">
        <f>IFERROR(__xludf.DUMMYFUNCTION("""COMPUTED_VALUE"""),11.0)</f>
        <v>11</v>
      </c>
      <c r="F1148" s="251">
        <f>IFERROR(__xludf.DUMMYFUNCTION("""COMPUTED_VALUE"""),11.0)</f>
        <v>11</v>
      </c>
      <c r="G1148" s="251">
        <f>IFERROR(__xludf.DUMMYFUNCTION("""COMPUTED_VALUE"""),7.0)</f>
        <v>7</v>
      </c>
      <c r="H1148" s="251">
        <f>IFERROR(__xludf.DUMMYFUNCTION("""COMPUTED_VALUE"""),8.0)</f>
        <v>8</v>
      </c>
      <c r="I1148" s="251">
        <f>IFERROR(__xludf.DUMMYFUNCTION("""COMPUTED_VALUE"""),3.0)</f>
        <v>3</v>
      </c>
      <c r="J1148" s="251">
        <f>IFERROR(__xludf.DUMMYFUNCTION("""COMPUTED_VALUE"""),5.0)</f>
        <v>5</v>
      </c>
      <c r="K1148" s="251" t="str">
        <f>IFERROR(__xludf.DUMMYFUNCTION("""COMPUTED_VALUE"""),"Small")</f>
        <v>Small</v>
      </c>
      <c r="L1148" s="251">
        <f>IFERROR(__xludf.DUMMYFUNCTION("""COMPUTED_VALUE"""),2.0)</f>
        <v>2</v>
      </c>
      <c r="M1148" s="251" t="str">
        <f>IFERROR(__xludf.DUMMYFUNCTION("""COMPUTED_VALUE"""),"Cave")</f>
        <v>Cave</v>
      </c>
      <c r="N1148" s="251" t="str">
        <f>IFERROR(__xludf.DUMMYFUNCTION("""COMPUTED_VALUE"""),"Burrower")</f>
        <v>Burrower</v>
      </c>
      <c r="O1148" s="251" t="str">
        <f>IFERROR(__xludf.DUMMYFUNCTION("""COMPUTED_VALUE"""),"Slow")</f>
        <v>Slow</v>
      </c>
      <c r="P1148" s="251" t="str">
        <f>IFERROR(__xludf.DUMMYFUNCTION("""COMPUTED_VALUE"""),"--")</f>
        <v>--</v>
      </c>
      <c r="Q1148" s="251" t="str">
        <f>IFERROR(__xludf.DUMMYFUNCTION("""COMPUTED_VALUE"""),"--")</f>
        <v>--</v>
      </c>
      <c r="R1148" s="251" t="str">
        <f>IFERROR(__xludf.DUMMYFUNCTION("""COMPUTED_VALUE"""),"Blender")</f>
        <v>Blender</v>
      </c>
      <c r="S1148" s="251" t="str">
        <f>IFERROR(__xludf.DUMMYFUNCTION("""COMPUTED_VALUE"""),"--")</f>
        <v>--</v>
      </c>
      <c r="T1148" s="251" t="str">
        <f>IFERROR(__xludf.DUMMYFUNCTION("""COMPUTED_VALUE"""),"--")</f>
        <v>--</v>
      </c>
      <c r="U1148" s="251" t="str">
        <f>IFERROR(__xludf.DUMMYFUNCTION("""COMPUTED_VALUE"""),"--")</f>
        <v>--</v>
      </c>
      <c r="V1148" s="251" t="str">
        <f>IFERROR(__xludf.DUMMYFUNCTION("""COMPUTED_VALUE"""),"Tremorsense")</f>
        <v>Tremorsense</v>
      </c>
      <c r="W1148" s="251" t="str">
        <f>IFERROR(__xludf.DUMMYFUNCTION("""COMPUTED_VALUE"""),"--")</f>
        <v>--</v>
      </c>
      <c r="X1148" s="251" t="str">
        <f>IFERROR(__xludf.DUMMYFUNCTION("""COMPUTED_VALUE"""),"--")</f>
        <v>--</v>
      </c>
      <c r="Y1148" s="251" t="str">
        <f>IFERROR(__xludf.DUMMYFUNCTION("""COMPUTED_VALUE"""),"--")</f>
        <v>--</v>
      </c>
      <c r="Z1148" s="251" t="str">
        <f>IFERROR(__xludf.DUMMYFUNCTION("""COMPUTED_VALUE"""),"--")</f>
        <v>--</v>
      </c>
      <c r="AA1148" s="251" t="str">
        <f>IFERROR(__xludf.DUMMYFUNCTION("""COMPUTED_VALUE"""),"--")</f>
        <v>--</v>
      </c>
      <c r="AB1148" s="251" t="str">
        <f>IFERROR(__xludf.DUMMYFUNCTION("""COMPUTED_VALUE"""),"--")</f>
        <v>--</v>
      </c>
      <c r="AC1148" s="251" t="str">
        <f>IFERROR(__xludf.DUMMYFUNCTION("""COMPUTED_VALUE"""),"--")</f>
        <v>--</v>
      </c>
      <c r="AD1148" s="251">
        <f>IFERROR(__xludf.DUMMYFUNCTION("""COMPUTED_VALUE"""),3.0)</f>
        <v>3</v>
      </c>
      <c r="AE1148" s="251" t="str">
        <f>IFERROR(__xludf.DUMMYFUNCTION("""COMPUTED_VALUE"""),"Carnivore")</f>
        <v>Carnivore</v>
      </c>
    </row>
    <row r="1149">
      <c r="A1149" s="251" t="str">
        <f>IFERROR(__xludf.DUMMYFUNCTION("""COMPUTED_VALUE"""),"Galarian Darumaka")</f>
        <v>Galarian Darumaka</v>
      </c>
      <c r="B1149" s="251" t="str">
        <f>IFERROR(__xludf.DUMMYFUNCTION("""COMPUTED_VALUE"""),"Ice")</f>
        <v>Ice</v>
      </c>
      <c r="C1149" s="251" t="str">
        <f>IFERROR(__xludf.DUMMYFUNCTION("""COMPUTED_VALUE"""),"None")</f>
        <v>None</v>
      </c>
      <c r="D1149" s="251">
        <f>IFERROR(__xludf.DUMMYFUNCTION("""COMPUTED_VALUE"""),7.0)</f>
        <v>7</v>
      </c>
      <c r="E1149" s="251">
        <f>IFERROR(__xludf.DUMMYFUNCTION("""COMPUTED_VALUE"""),9.0)</f>
        <v>9</v>
      </c>
      <c r="F1149" s="251">
        <f>IFERROR(__xludf.DUMMYFUNCTION("""COMPUTED_VALUE"""),5.0)</f>
        <v>5</v>
      </c>
      <c r="G1149" s="251">
        <f>IFERROR(__xludf.DUMMYFUNCTION("""COMPUTED_VALUE"""),2.0)</f>
        <v>2</v>
      </c>
      <c r="H1149" s="251">
        <f>IFERROR(__xludf.DUMMYFUNCTION("""COMPUTED_VALUE"""),5.0)</f>
        <v>5</v>
      </c>
      <c r="I1149" s="251">
        <f>IFERROR(__xludf.DUMMYFUNCTION("""COMPUTED_VALUE"""),5.0)</f>
        <v>5</v>
      </c>
      <c r="J1149" s="251">
        <f>IFERROR(__xludf.DUMMYFUNCTION("""COMPUTED_VALUE"""),4.0)</f>
        <v>4</v>
      </c>
      <c r="K1149" s="251" t="str">
        <f>IFERROR(__xludf.DUMMYFUNCTION("""COMPUTED_VALUE"""),"Small")</f>
        <v>Small</v>
      </c>
      <c r="L1149" s="251">
        <f>IFERROR(__xludf.DUMMYFUNCTION("""COMPUTED_VALUE"""),3.0)</f>
        <v>3</v>
      </c>
      <c r="M1149" s="251" t="str">
        <f>IFERROR(__xludf.DUMMYFUNCTION("""COMPUTED_VALUE"""),"Tundra")</f>
        <v>Tundra</v>
      </c>
      <c r="N1149" s="251" t="str">
        <f>IFERROR(__xludf.DUMMYFUNCTION("""COMPUTED_VALUE"""),"--")</f>
        <v>--</v>
      </c>
      <c r="O1149" s="251" t="str">
        <f>IFERROR(__xludf.DUMMYFUNCTION("""COMPUTED_VALUE"""),"--")</f>
        <v>--</v>
      </c>
      <c r="P1149" s="251" t="str">
        <f>IFERROR(__xludf.DUMMYFUNCTION("""COMPUTED_VALUE"""),"--")</f>
        <v>--</v>
      </c>
      <c r="Q1149" s="251" t="str">
        <f>IFERROR(__xludf.DUMMYFUNCTION("""COMPUTED_VALUE"""),"--")</f>
        <v>--</v>
      </c>
      <c r="R1149" s="251" t="str">
        <f>IFERROR(__xludf.DUMMYFUNCTION("""COMPUTED_VALUE"""),"Underdog")</f>
        <v>Underdog</v>
      </c>
      <c r="S1149" s="251" t="str">
        <f>IFERROR(__xludf.DUMMYFUNCTION("""COMPUTED_VALUE"""),"--")</f>
        <v>--</v>
      </c>
      <c r="T1149" s="251" t="str">
        <f>IFERROR(__xludf.DUMMYFUNCTION("""COMPUTED_VALUE"""),"--")</f>
        <v>--</v>
      </c>
      <c r="U1149" s="251" t="str">
        <f>IFERROR(__xludf.DUMMYFUNCTION("""COMPUTED_VALUE"""),"--")</f>
        <v>--</v>
      </c>
      <c r="V1149" s="251" t="str">
        <f>IFERROR(__xludf.DUMMYFUNCTION("""COMPUTED_VALUE"""),"Chilled")</f>
        <v>Chilled</v>
      </c>
      <c r="W1149" s="251" t="str">
        <f>IFERROR(__xludf.DUMMYFUNCTION("""COMPUTED_VALUE"""),"--")</f>
        <v>--</v>
      </c>
      <c r="X1149" s="251" t="str">
        <f>IFERROR(__xludf.DUMMYFUNCTION("""COMPUTED_VALUE"""),"--")</f>
        <v>--</v>
      </c>
      <c r="Y1149" s="251" t="str">
        <f>IFERROR(__xludf.DUMMYFUNCTION("""COMPUTED_VALUE"""),"--")</f>
        <v>--</v>
      </c>
      <c r="Z1149" s="251" t="str">
        <f>IFERROR(__xludf.DUMMYFUNCTION("""COMPUTED_VALUE"""),"--")</f>
        <v>--</v>
      </c>
      <c r="AA1149" s="251" t="str">
        <f>IFERROR(__xludf.DUMMYFUNCTION("""COMPUTED_VALUE"""),"--")</f>
        <v>--</v>
      </c>
      <c r="AB1149" s="251" t="str">
        <f>IFERROR(__xludf.DUMMYFUNCTION("""COMPUTED_VALUE"""),"--")</f>
        <v>--</v>
      </c>
      <c r="AC1149" s="251" t="str">
        <f>IFERROR(__xludf.DUMMYFUNCTION("""COMPUTED_VALUE"""),"--")</f>
        <v>--</v>
      </c>
      <c r="AD1149" s="251">
        <f>IFERROR(__xludf.DUMMYFUNCTION("""COMPUTED_VALUE"""),2.0)</f>
        <v>2</v>
      </c>
      <c r="AE1149" s="251" t="str">
        <f>IFERROR(__xludf.DUMMYFUNCTION("""COMPUTED_VALUE"""),"Herbivore")</f>
        <v>Herbivore</v>
      </c>
    </row>
    <row r="1150">
      <c r="A1150" s="251" t="str">
        <f>IFERROR(__xludf.DUMMYFUNCTION("""COMPUTED_VALUE"""),"Galarian Darmanitan")</f>
        <v>Galarian Darmanitan</v>
      </c>
      <c r="B1150" s="251" t="str">
        <f>IFERROR(__xludf.DUMMYFUNCTION("""COMPUTED_VALUE"""),"Ice")</f>
        <v>Ice</v>
      </c>
      <c r="C1150" s="251" t="str">
        <f>IFERROR(__xludf.DUMMYFUNCTION("""COMPUTED_VALUE"""),"None")</f>
        <v>None</v>
      </c>
      <c r="D1150" s="251">
        <f>IFERROR(__xludf.DUMMYFUNCTION("""COMPUTED_VALUE"""),11.0)</f>
        <v>11</v>
      </c>
      <c r="E1150" s="251">
        <f>IFERROR(__xludf.DUMMYFUNCTION("""COMPUTED_VALUE"""),15.0)</f>
        <v>15</v>
      </c>
      <c r="F1150" s="251">
        <f>IFERROR(__xludf.DUMMYFUNCTION("""COMPUTED_VALUE"""),6.0)</f>
        <v>6</v>
      </c>
      <c r="G1150" s="251">
        <f>IFERROR(__xludf.DUMMYFUNCTION("""COMPUTED_VALUE"""),3.0)</f>
        <v>3</v>
      </c>
      <c r="H1150" s="251">
        <f>IFERROR(__xludf.DUMMYFUNCTION("""COMPUTED_VALUE"""),6.0)</f>
        <v>6</v>
      </c>
      <c r="I1150" s="251">
        <f>IFERROR(__xludf.DUMMYFUNCTION("""COMPUTED_VALUE"""),10.0)</f>
        <v>10</v>
      </c>
      <c r="J1150" s="251">
        <f>IFERROR(__xludf.DUMMYFUNCTION("""COMPUTED_VALUE"""),8.0)</f>
        <v>8</v>
      </c>
      <c r="K1150" s="251" t="str">
        <f>IFERROR(__xludf.DUMMYFUNCTION("""COMPUTED_VALUE"""),"Medium")</f>
        <v>Medium</v>
      </c>
      <c r="L1150" s="251">
        <f>IFERROR(__xludf.DUMMYFUNCTION("""COMPUTED_VALUE"""),5.0)</f>
        <v>5</v>
      </c>
      <c r="M1150" s="251" t="str">
        <f>IFERROR(__xludf.DUMMYFUNCTION("""COMPUTED_VALUE"""),"Tundra")</f>
        <v>Tundra</v>
      </c>
      <c r="N1150" s="251" t="str">
        <f>IFERROR(__xludf.DUMMYFUNCTION("""COMPUTED_VALUE"""),"--")</f>
        <v>--</v>
      </c>
      <c r="O1150" s="251" t="str">
        <f>IFERROR(__xludf.DUMMYFUNCTION("""COMPUTED_VALUE"""),"--")</f>
        <v>--</v>
      </c>
      <c r="P1150" s="251" t="str">
        <f>IFERROR(__xludf.DUMMYFUNCTION("""COMPUTED_VALUE"""),"--")</f>
        <v>--</v>
      </c>
      <c r="Q1150" s="251" t="str">
        <f>IFERROR(__xludf.DUMMYFUNCTION("""COMPUTED_VALUE"""),"--")</f>
        <v>--</v>
      </c>
      <c r="R1150" s="251" t="str">
        <f>IFERROR(__xludf.DUMMYFUNCTION("""COMPUTED_VALUE"""),"--")</f>
        <v>--</v>
      </c>
      <c r="S1150" s="251" t="str">
        <f>IFERROR(__xludf.DUMMYFUNCTION("""COMPUTED_VALUE"""),"--")</f>
        <v>--</v>
      </c>
      <c r="T1150" s="251" t="str">
        <f>IFERROR(__xludf.DUMMYFUNCTION("""COMPUTED_VALUE"""),"--")</f>
        <v>--</v>
      </c>
      <c r="U1150" s="251" t="str">
        <f>IFERROR(__xludf.DUMMYFUNCTION("""COMPUTED_VALUE"""),"--")</f>
        <v>--</v>
      </c>
      <c r="V1150" s="251" t="str">
        <f>IFERROR(__xludf.DUMMYFUNCTION("""COMPUTED_VALUE"""),"Chilled")</f>
        <v>Chilled</v>
      </c>
      <c r="W1150" s="251" t="str">
        <f>IFERROR(__xludf.DUMMYFUNCTION("""COMPUTED_VALUE"""),"--")</f>
        <v>--</v>
      </c>
      <c r="X1150" s="251" t="str">
        <f>IFERROR(__xludf.DUMMYFUNCTION("""COMPUTED_VALUE"""),"--")</f>
        <v>--</v>
      </c>
      <c r="Y1150" s="251" t="str">
        <f>IFERROR(__xludf.DUMMYFUNCTION("""COMPUTED_VALUE"""),"--")</f>
        <v>--</v>
      </c>
      <c r="Z1150" s="251" t="str">
        <f>IFERROR(__xludf.DUMMYFUNCTION("""COMPUTED_VALUE"""),"--")</f>
        <v>--</v>
      </c>
      <c r="AA1150" s="251" t="str">
        <f>IFERROR(__xludf.DUMMYFUNCTION("""COMPUTED_VALUE"""),"--")</f>
        <v>--</v>
      </c>
      <c r="AB1150" s="251" t="str">
        <f>IFERROR(__xludf.DUMMYFUNCTION("""COMPUTED_VALUE"""),"--")</f>
        <v>--</v>
      </c>
      <c r="AC1150" s="251" t="str">
        <f>IFERROR(__xludf.DUMMYFUNCTION("""COMPUTED_VALUE"""),"--")</f>
        <v>--</v>
      </c>
      <c r="AD1150" s="251">
        <f>IFERROR(__xludf.DUMMYFUNCTION("""COMPUTED_VALUE"""),3.0)</f>
        <v>3</v>
      </c>
      <c r="AE1150" s="251" t="str">
        <f>IFERROR(__xludf.DUMMYFUNCTION("""COMPUTED_VALUE"""),"Omnivore")</f>
        <v>Omnivore</v>
      </c>
    </row>
    <row r="1151">
      <c r="A1151" s="251" t="str">
        <f>IFERROR(__xludf.DUMMYFUNCTION("""COMPUTED_VALUE"""),"Galarian Darmanitan (Zen)")</f>
        <v>Galarian Darmanitan (Zen)</v>
      </c>
      <c r="B1151" s="251" t="str">
        <f>IFERROR(__xludf.DUMMYFUNCTION("""COMPUTED_VALUE"""),"Ice")</f>
        <v>Ice</v>
      </c>
      <c r="C1151" s="251" t="str">
        <f>IFERROR(__xludf.DUMMYFUNCTION("""COMPUTED_VALUE"""),"Fire")</f>
        <v>Fire</v>
      </c>
      <c r="D1151" s="251">
        <f>IFERROR(__xludf.DUMMYFUNCTION("""COMPUTED_VALUE"""),11.0)</f>
        <v>11</v>
      </c>
      <c r="E1151" s="251">
        <f>IFERROR(__xludf.DUMMYFUNCTION("""COMPUTED_VALUE"""),15.0)</f>
        <v>15</v>
      </c>
      <c r="F1151" s="251">
        <f>IFERROR(__xludf.DUMMYFUNCTION("""COMPUTED_VALUE"""),6.0)</f>
        <v>6</v>
      </c>
      <c r="G1151" s="251">
        <f>IFERROR(__xludf.DUMMYFUNCTION("""COMPUTED_VALUE"""),3.0)</f>
        <v>3</v>
      </c>
      <c r="H1151" s="251">
        <f>IFERROR(__xludf.DUMMYFUNCTION("""COMPUTED_VALUE"""),6.0)</f>
        <v>6</v>
      </c>
      <c r="I1151" s="251">
        <f>IFERROR(__xludf.DUMMYFUNCTION("""COMPUTED_VALUE"""),10.0)</f>
        <v>10</v>
      </c>
      <c r="J1151" s="251">
        <f>IFERROR(__xludf.DUMMYFUNCTION("""COMPUTED_VALUE"""),8.0)</f>
        <v>8</v>
      </c>
      <c r="K1151" s="251" t="str">
        <f>IFERROR(__xludf.DUMMYFUNCTION("""COMPUTED_VALUE"""),"Medium")</f>
        <v>Medium</v>
      </c>
      <c r="L1151" s="251">
        <f>IFERROR(__xludf.DUMMYFUNCTION("""COMPUTED_VALUE"""),5.0)</f>
        <v>5</v>
      </c>
      <c r="M1151" s="251" t="str">
        <f>IFERROR(__xludf.DUMMYFUNCTION("""COMPUTED_VALUE"""),"Tundra")</f>
        <v>Tundra</v>
      </c>
      <c r="N1151" s="251" t="str">
        <f>IFERROR(__xludf.DUMMYFUNCTION("""COMPUTED_VALUE"""),"--")</f>
        <v>--</v>
      </c>
      <c r="O1151" s="251" t="str">
        <f>IFERROR(__xludf.DUMMYFUNCTION("""COMPUTED_VALUE"""),"--")</f>
        <v>--</v>
      </c>
      <c r="P1151" s="251" t="str">
        <f>IFERROR(__xludf.DUMMYFUNCTION("""COMPUTED_VALUE"""),"--")</f>
        <v>--</v>
      </c>
      <c r="Q1151" s="251" t="str">
        <f>IFERROR(__xludf.DUMMYFUNCTION("""COMPUTED_VALUE"""),"--")</f>
        <v>--</v>
      </c>
      <c r="R1151" s="251" t="str">
        <f>IFERROR(__xludf.DUMMYFUNCTION("""COMPUTED_VALUE"""),"--")</f>
        <v>--</v>
      </c>
      <c r="S1151" s="251" t="str">
        <f>IFERROR(__xludf.DUMMYFUNCTION("""COMPUTED_VALUE"""),"--")</f>
        <v>--</v>
      </c>
      <c r="T1151" s="251" t="str">
        <f>IFERROR(__xludf.DUMMYFUNCTION("""COMPUTED_VALUE"""),"--")</f>
        <v>--</v>
      </c>
      <c r="U1151" s="251" t="str">
        <f>IFERROR(__xludf.DUMMYFUNCTION("""COMPUTED_VALUE"""),"--")</f>
        <v>--</v>
      </c>
      <c r="V1151" s="251" t="str">
        <f>IFERROR(__xludf.DUMMYFUNCTION("""COMPUTED_VALUE"""),"Chilled")</f>
        <v>Chilled</v>
      </c>
      <c r="W1151" s="251" t="str">
        <f>IFERROR(__xludf.DUMMYFUNCTION("""COMPUTED_VALUE"""),"Heater")</f>
        <v>Heater</v>
      </c>
      <c r="X1151" s="251" t="str">
        <f>IFERROR(__xludf.DUMMYFUNCTION("""COMPUTED_VALUE"""),"--")</f>
        <v>--</v>
      </c>
      <c r="Y1151" s="251" t="str">
        <f>IFERROR(__xludf.DUMMYFUNCTION("""COMPUTED_VALUE"""),"--")</f>
        <v>--</v>
      </c>
      <c r="Z1151" s="251" t="str">
        <f>IFERROR(__xludf.DUMMYFUNCTION("""COMPUTED_VALUE"""),"--")</f>
        <v>--</v>
      </c>
      <c r="AA1151" s="251" t="str">
        <f>IFERROR(__xludf.DUMMYFUNCTION("""COMPUTED_VALUE"""),"--")</f>
        <v>--</v>
      </c>
      <c r="AB1151" s="251" t="str">
        <f>IFERROR(__xludf.DUMMYFUNCTION("""COMPUTED_VALUE"""),"--")</f>
        <v>--</v>
      </c>
      <c r="AC1151" s="251" t="str">
        <f>IFERROR(__xludf.DUMMYFUNCTION("""COMPUTED_VALUE"""),"--")</f>
        <v>--</v>
      </c>
      <c r="AD1151" s="251">
        <f>IFERROR(__xludf.DUMMYFUNCTION("""COMPUTED_VALUE"""),3.0)</f>
        <v>3</v>
      </c>
      <c r="AE1151" s="251" t="str">
        <f>IFERROR(__xludf.DUMMYFUNCTION("""COMPUTED_VALUE"""),"Omnivore")</f>
        <v>Omnivore</v>
      </c>
    </row>
    <row r="1152">
      <c r="A1152" s="251" t="str">
        <f>IFERROR(__xludf.DUMMYFUNCTION("""COMPUTED_VALUE"""),"Galarian Slowpoke")</f>
        <v>Galarian Slowpoke</v>
      </c>
      <c r="B1152" s="251" t="str">
        <f>IFERROR(__xludf.DUMMYFUNCTION("""COMPUTED_VALUE"""),"Psychic")</f>
        <v>Psychic</v>
      </c>
      <c r="C1152" s="251" t="str">
        <f>IFERROR(__xludf.DUMMYFUNCTION("""COMPUTED_VALUE"""),"None")</f>
        <v>None</v>
      </c>
      <c r="D1152" s="251">
        <f>IFERROR(__xludf.DUMMYFUNCTION("""COMPUTED_VALUE"""),9.0)</f>
        <v>9</v>
      </c>
      <c r="E1152" s="251">
        <f>IFERROR(__xludf.DUMMYFUNCTION("""COMPUTED_VALUE"""),7.0)</f>
        <v>7</v>
      </c>
      <c r="F1152" s="251">
        <f>IFERROR(__xludf.DUMMYFUNCTION("""COMPUTED_VALUE"""),7.0)</f>
        <v>7</v>
      </c>
      <c r="G1152" s="251">
        <f>IFERROR(__xludf.DUMMYFUNCTION("""COMPUTED_VALUE"""),4.0)</f>
        <v>4</v>
      </c>
      <c r="H1152" s="251">
        <f>IFERROR(__xludf.DUMMYFUNCTION("""COMPUTED_VALUE"""),4.0)</f>
        <v>4</v>
      </c>
      <c r="I1152" s="251">
        <f>IFERROR(__xludf.DUMMYFUNCTION("""COMPUTED_VALUE"""),2.0)</f>
        <v>2</v>
      </c>
      <c r="J1152" s="251">
        <f>IFERROR(__xludf.DUMMYFUNCTION("""COMPUTED_VALUE"""),2.0)</f>
        <v>2</v>
      </c>
      <c r="K1152" s="251" t="str">
        <f>IFERROR(__xludf.DUMMYFUNCTION("""COMPUTED_VALUE"""),"Medium")</f>
        <v>Medium</v>
      </c>
      <c r="L1152" s="251">
        <f>IFERROR(__xludf.DUMMYFUNCTION("""COMPUTED_VALUE"""),3.0)</f>
        <v>3</v>
      </c>
      <c r="M1152" s="251" t="str">
        <f>IFERROR(__xludf.DUMMYFUNCTION("""COMPUTED_VALUE"""),"Wetlands")</f>
        <v>Wetlands</v>
      </c>
      <c r="N1152" s="251" t="str">
        <f>IFERROR(__xludf.DUMMYFUNCTION("""COMPUTED_VALUE"""),"Slow")</f>
        <v>Slow</v>
      </c>
      <c r="O1152" s="251" t="str">
        <f>IFERROR(__xludf.DUMMYFUNCTION("""COMPUTED_VALUE"""),"--")</f>
        <v>--</v>
      </c>
      <c r="P1152" s="251" t="str">
        <f>IFERROR(__xludf.DUMMYFUNCTION("""COMPUTED_VALUE"""),"--")</f>
        <v>--</v>
      </c>
      <c r="Q1152" s="251" t="str">
        <f>IFERROR(__xludf.DUMMYFUNCTION("""COMPUTED_VALUE"""),"--")</f>
        <v>--</v>
      </c>
      <c r="R1152" s="251" t="str">
        <f>IFERROR(__xludf.DUMMYFUNCTION("""COMPUTED_VALUE"""),"Telekinetic")</f>
        <v>Telekinetic</v>
      </c>
      <c r="S1152" s="251" t="str">
        <f>IFERROR(__xludf.DUMMYFUNCTION("""COMPUTED_VALUE"""),"Underdog")</f>
        <v>Underdog</v>
      </c>
      <c r="T1152" s="251" t="str">
        <f>IFERROR(__xludf.DUMMYFUNCTION("""COMPUTED_VALUE"""),"--")</f>
        <v>--</v>
      </c>
      <c r="U1152" s="251" t="str">
        <f>IFERROR(__xludf.DUMMYFUNCTION("""COMPUTED_VALUE"""),"--")</f>
        <v>--</v>
      </c>
      <c r="V1152" s="251" t="str">
        <f>IFERROR(__xludf.DUMMYFUNCTION("""COMPUTED_VALUE"""),"--")</f>
        <v>--</v>
      </c>
      <c r="W1152" s="251" t="str">
        <f>IFERROR(__xludf.DUMMYFUNCTION("""COMPUTED_VALUE"""),"--")</f>
        <v>--</v>
      </c>
      <c r="X1152" s="251" t="str">
        <f>IFERROR(__xludf.DUMMYFUNCTION("""COMPUTED_VALUE"""),"--")</f>
        <v>--</v>
      </c>
      <c r="Y1152" s="251" t="str">
        <f>IFERROR(__xludf.DUMMYFUNCTION("""COMPUTED_VALUE"""),"--")</f>
        <v>--</v>
      </c>
      <c r="Z1152" s="251" t="str">
        <f>IFERROR(__xludf.DUMMYFUNCTION("""COMPUTED_VALUE"""),"--")</f>
        <v>--</v>
      </c>
      <c r="AA1152" s="251" t="str">
        <f>IFERROR(__xludf.DUMMYFUNCTION("""COMPUTED_VALUE"""),"--")</f>
        <v>--</v>
      </c>
      <c r="AB1152" s="251" t="str">
        <f>IFERROR(__xludf.DUMMYFUNCTION("""COMPUTED_VALUE"""),"--")</f>
        <v>--</v>
      </c>
      <c r="AC1152" s="251" t="str">
        <f>IFERROR(__xludf.DUMMYFUNCTION("""COMPUTED_VALUE"""),"--")</f>
        <v>--</v>
      </c>
      <c r="AD1152" s="251">
        <f>IFERROR(__xludf.DUMMYFUNCTION("""COMPUTED_VALUE"""),2.0)</f>
        <v>2</v>
      </c>
      <c r="AE1152" s="251" t="str">
        <f>IFERROR(__xludf.DUMMYFUNCTION("""COMPUTED_VALUE"""),"Herbivore")</f>
        <v>Herbivore</v>
      </c>
    </row>
    <row r="1153">
      <c r="A1153" s="251" t="str">
        <f>IFERROR(__xludf.DUMMYFUNCTION("""COMPUTED_VALUE"""),"Galarian Slowbro")</f>
        <v>Galarian Slowbro</v>
      </c>
      <c r="B1153" s="251" t="str">
        <f>IFERROR(__xludf.DUMMYFUNCTION("""COMPUTED_VALUE"""),"Poison")</f>
        <v>Poison</v>
      </c>
      <c r="C1153" s="251" t="str">
        <f>IFERROR(__xludf.DUMMYFUNCTION("""COMPUTED_VALUE"""),"Psychic")</f>
        <v>Psychic</v>
      </c>
      <c r="D1153" s="251">
        <f>IFERROR(__xludf.DUMMYFUNCTION("""COMPUTED_VALUE"""),10.0)</f>
        <v>10</v>
      </c>
      <c r="E1153" s="251">
        <f>IFERROR(__xludf.DUMMYFUNCTION("""COMPUTED_VALUE"""),10.0)</f>
        <v>10</v>
      </c>
      <c r="F1153" s="251">
        <f>IFERROR(__xludf.DUMMYFUNCTION("""COMPUTED_VALUE"""),10.0)</f>
        <v>10</v>
      </c>
      <c r="G1153" s="251">
        <f>IFERROR(__xludf.DUMMYFUNCTION("""COMPUTED_VALUE"""),11.0)</f>
        <v>11</v>
      </c>
      <c r="H1153" s="251">
        <f>IFERROR(__xludf.DUMMYFUNCTION("""COMPUTED_VALUE"""),7.0)</f>
        <v>7</v>
      </c>
      <c r="I1153" s="251">
        <f>IFERROR(__xludf.DUMMYFUNCTION("""COMPUTED_VALUE"""),3.0)</f>
        <v>3</v>
      </c>
      <c r="J1153" s="251">
        <f>IFERROR(__xludf.DUMMYFUNCTION("""COMPUTED_VALUE"""),7.0)</f>
        <v>7</v>
      </c>
      <c r="K1153" s="251" t="str">
        <f>IFERROR(__xludf.DUMMYFUNCTION("""COMPUTED_VALUE"""),"Medium")</f>
        <v>Medium</v>
      </c>
      <c r="L1153" s="251">
        <f>IFERROR(__xludf.DUMMYFUNCTION("""COMPUTED_VALUE"""),4.0)</f>
        <v>4</v>
      </c>
      <c r="M1153" s="251" t="str">
        <f>IFERROR(__xludf.DUMMYFUNCTION("""COMPUTED_VALUE"""),"Wetlands")</f>
        <v>Wetlands</v>
      </c>
      <c r="N1153" s="251" t="str">
        <f>IFERROR(__xludf.DUMMYFUNCTION("""COMPUTED_VALUE"""),"Slow")</f>
        <v>Slow</v>
      </c>
      <c r="O1153" s="251" t="str">
        <f>IFERROR(__xludf.DUMMYFUNCTION("""COMPUTED_VALUE"""),"--")</f>
        <v>--</v>
      </c>
      <c r="P1153" s="251" t="str">
        <f>IFERROR(__xludf.DUMMYFUNCTION("""COMPUTED_VALUE"""),"--")</f>
        <v>--</v>
      </c>
      <c r="Q1153" s="251" t="str">
        <f>IFERROR(__xludf.DUMMYFUNCTION("""COMPUTED_VALUE"""),"--")</f>
        <v>--</v>
      </c>
      <c r="R1153" s="251" t="str">
        <f>IFERROR(__xludf.DUMMYFUNCTION("""COMPUTED_VALUE"""),"Telekinetic")</f>
        <v>Telekinetic</v>
      </c>
      <c r="S1153" s="251" t="str">
        <f>IFERROR(__xludf.DUMMYFUNCTION("""COMPUTED_VALUE"""),"--")</f>
        <v>--</v>
      </c>
      <c r="T1153" s="251" t="str">
        <f>IFERROR(__xludf.DUMMYFUNCTION("""COMPUTED_VALUE"""),"--")</f>
        <v>--</v>
      </c>
      <c r="U1153" s="251" t="str">
        <f>IFERROR(__xludf.DUMMYFUNCTION("""COMPUTED_VALUE"""),"--")</f>
        <v>--</v>
      </c>
      <c r="V1153" s="251" t="str">
        <f>IFERROR(__xludf.DUMMYFUNCTION("""COMPUTED_VALUE"""),"--")</f>
        <v>--</v>
      </c>
      <c r="W1153" s="251" t="str">
        <f>IFERROR(__xludf.DUMMYFUNCTION("""COMPUTED_VALUE"""),"--")</f>
        <v>--</v>
      </c>
      <c r="X1153" s="251" t="str">
        <f>IFERROR(__xludf.DUMMYFUNCTION("""COMPUTED_VALUE"""),"--")</f>
        <v>--</v>
      </c>
      <c r="Y1153" s="251" t="str">
        <f>IFERROR(__xludf.DUMMYFUNCTION("""COMPUTED_VALUE"""),"--")</f>
        <v>--</v>
      </c>
      <c r="Z1153" s="251" t="str">
        <f>IFERROR(__xludf.DUMMYFUNCTION("""COMPUTED_VALUE"""),"--")</f>
        <v>--</v>
      </c>
      <c r="AA1153" s="251" t="str">
        <f>IFERROR(__xludf.DUMMYFUNCTION("""COMPUTED_VALUE"""),"--")</f>
        <v>--</v>
      </c>
      <c r="AB1153" s="251" t="str">
        <f>IFERROR(__xludf.DUMMYFUNCTION("""COMPUTED_VALUE"""),"--")</f>
        <v>--</v>
      </c>
      <c r="AC1153" s="251" t="str">
        <f>IFERROR(__xludf.DUMMYFUNCTION("""COMPUTED_VALUE"""),"--")</f>
        <v>--</v>
      </c>
      <c r="AD1153" s="251">
        <f>IFERROR(__xludf.DUMMYFUNCTION("""COMPUTED_VALUE"""),3.0)</f>
        <v>3</v>
      </c>
      <c r="AE1153" s="251" t="str">
        <f>IFERROR(__xludf.DUMMYFUNCTION("""COMPUTED_VALUE"""),"Herbivore")</f>
        <v>Herbivore</v>
      </c>
    </row>
    <row r="1154">
      <c r="A1154" s="251" t="str">
        <f>IFERROR(__xludf.DUMMYFUNCTION("""COMPUTED_VALUE"""),"Galarian Slowking")</f>
        <v>Galarian Slowking</v>
      </c>
      <c r="B1154" s="251" t="str">
        <f>IFERROR(__xludf.DUMMYFUNCTION("""COMPUTED_VALUE"""),"Poison")</f>
        <v>Poison</v>
      </c>
      <c r="C1154" s="251" t="str">
        <f>IFERROR(__xludf.DUMMYFUNCTION("""COMPUTED_VALUE"""),"Psychic")</f>
        <v>Psychic</v>
      </c>
      <c r="D1154" s="251">
        <f>IFERROR(__xludf.DUMMYFUNCTION("""COMPUTED_VALUE"""),10.0)</f>
        <v>10</v>
      </c>
      <c r="E1154" s="251">
        <f>IFERROR(__xludf.DUMMYFUNCTION("""COMPUTED_VALUE"""),7.0)</f>
        <v>7</v>
      </c>
      <c r="F1154" s="251">
        <f>IFERROR(__xludf.DUMMYFUNCTION("""COMPUTED_VALUE"""),8.0)</f>
        <v>8</v>
      </c>
      <c r="G1154" s="251">
        <f>IFERROR(__xludf.DUMMYFUNCTION("""COMPUTED_VALUE"""),12.0)</f>
        <v>12</v>
      </c>
      <c r="H1154" s="251">
        <f>IFERROR(__xludf.DUMMYFUNCTION("""COMPUTED_VALUE"""),11.0)</f>
        <v>11</v>
      </c>
      <c r="I1154" s="251">
        <f>IFERROR(__xludf.DUMMYFUNCTION("""COMPUTED_VALUE"""),3.0)</f>
        <v>3</v>
      </c>
      <c r="J1154" s="251">
        <f>IFERROR(__xludf.DUMMYFUNCTION("""COMPUTED_VALUE"""),5.0)</f>
        <v>5</v>
      </c>
      <c r="K1154" s="251" t="str">
        <f>IFERROR(__xludf.DUMMYFUNCTION("""COMPUTED_VALUE"""),"Medium")</f>
        <v>Medium</v>
      </c>
      <c r="L1154" s="251">
        <f>IFERROR(__xludf.DUMMYFUNCTION("""COMPUTED_VALUE"""),4.0)</f>
        <v>4</v>
      </c>
      <c r="M1154" s="251" t="str">
        <f>IFERROR(__xludf.DUMMYFUNCTION("""COMPUTED_VALUE"""),"Wetlands")</f>
        <v>Wetlands</v>
      </c>
      <c r="N1154" s="251" t="str">
        <f>IFERROR(__xludf.DUMMYFUNCTION("""COMPUTED_VALUE"""),"Slow")</f>
        <v>Slow</v>
      </c>
      <c r="O1154" s="251" t="str">
        <f>IFERROR(__xludf.DUMMYFUNCTION("""COMPUTED_VALUE"""),"--")</f>
        <v>--</v>
      </c>
      <c r="P1154" s="251" t="str">
        <f>IFERROR(__xludf.DUMMYFUNCTION("""COMPUTED_VALUE"""),"--")</f>
        <v>--</v>
      </c>
      <c r="Q1154" s="251" t="str">
        <f>IFERROR(__xludf.DUMMYFUNCTION("""COMPUTED_VALUE"""),"--")</f>
        <v>--</v>
      </c>
      <c r="R1154" s="251" t="str">
        <f>IFERROR(__xludf.DUMMYFUNCTION("""COMPUTED_VALUE"""),"Telekinetic")</f>
        <v>Telekinetic</v>
      </c>
      <c r="S1154" s="251" t="str">
        <f>IFERROR(__xludf.DUMMYFUNCTION("""COMPUTED_VALUE"""),"--")</f>
        <v>--</v>
      </c>
      <c r="T1154" s="251" t="str">
        <f>IFERROR(__xludf.DUMMYFUNCTION("""COMPUTED_VALUE"""),"--")</f>
        <v>--</v>
      </c>
      <c r="U1154" s="251" t="str">
        <f>IFERROR(__xludf.DUMMYFUNCTION("""COMPUTED_VALUE"""),"--")</f>
        <v>--</v>
      </c>
      <c r="V1154" s="251" t="str">
        <f>IFERROR(__xludf.DUMMYFUNCTION("""COMPUTED_VALUE"""),"Telepath")</f>
        <v>Telepath</v>
      </c>
      <c r="W1154" s="251" t="str">
        <f>IFERROR(__xludf.DUMMYFUNCTION("""COMPUTED_VALUE"""),"--")</f>
        <v>--</v>
      </c>
      <c r="X1154" s="251" t="str">
        <f>IFERROR(__xludf.DUMMYFUNCTION("""COMPUTED_VALUE"""),"--")</f>
        <v>--</v>
      </c>
      <c r="Y1154" s="251" t="str">
        <f>IFERROR(__xludf.DUMMYFUNCTION("""COMPUTED_VALUE"""),"--")</f>
        <v>--</v>
      </c>
      <c r="Z1154" s="251" t="str">
        <f>IFERROR(__xludf.DUMMYFUNCTION("""COMPUTED_VALUE"""),"--")</f>
        <v>--</v>
      </c>
      <c r="AA1154" s="251" t="str">
        <f>IFERROR(__xludf.DUMMYFUNCTION("""COMPUTED_VALUE"""),"--")</f>
        <v>--</v>
      </c>
      <c r="AB1154" s="251" t="str">
        <f>IFERROR(__xludf.DUMMYFUNCTION("""COMPUTED_VALUE"""),"--")</f>
        <v>--</v>
      </c>
      <c r="AC1154" s="251" t="str">
        <f>IFERROR(__xludf.DUMMYFUNCTION("""COMPUTED_VALUE"""),"--")</f>
        <v>--</v>
      </c>
      <c r="AD1154" s="251">
        <f>IFERROR(__xludf.DUMMYFUNCTION("""COMPUTED_VALUE"""),3.0)</f>
        <v>3</v>
      </c>
      <c r="AE1154" s="251" t="str">
        <f>IFERROR(__xludf.DUMMYFUNCTION("""COMPUTED_VALUE"""),"Herbivore")</f>
        <v>Herbivore</v>
      </c>
    </row>
    <row r="1155">
      <c r="A1155" s="251" t="str">
        <f>IFERROR(__xludf.DUMMYFUNCTION("""COMPUTED_VALUE"""),"Galarian Ponyta")</f>
        <v>Galarian Ponyta</v>
      </c>
      <c r="B1155" s="251" t="str">
        <f>IFERROR(__xludf.DUMMYFUNCTION("""COMPUTED_VALUE"""),"Psychic")</f>
        <v>Psychic</v>
      </c>
      <c r="C1155" s="251" t="str">
        <f>IFERROR(__xludf.DUMMYFUNCTION("""COMPUTED_VALUE"""),"None")</f>
        <v>None</v>
      </c>
      <c r="D1155" s="251">
        <f>IFERROR(__xludf.DUMMYFUNCTION("""COMPUTED_VALUE"""),5.0)</f>
        <v>5</v>
      </c>
      <c r="E1155" s="251">
        <f>IFERROR(__xludf.DUMMYFUNCTION("""COMPUTED_VALUE"""),9.0)</f>
        <v>9</v>
      </c>
      <c r="F1155" s="251">
        <f>IFERROR(__xludf.DUMMYFUNCTION("""COMPUTED_VALUE"""),6.0)</f>
        <v>6</v>
      </c>
      <c r="G1155" s="251">
        <f>IFERROR(__xludf.DUMMYFUNCTION("""COMPUTED_VALUE"""),7.0)</f>
        <v>7</v>
      </c>
      <c r="H1155" s="251">
        <f>IFERROR(__xludf.DUMMYFUNCTION("""COMPUTED_VALUE"""),7.0)</f>
        <v>7</v>
      </c>
      <c r="I1155" s="251">
        <f>IFERROR(__xludf.DUMMYFUNCTION("""COMPUTED_VALUE"""),9.0)</f>
        <v>9</v>
      </c>
      <c r="J1155" s="251">
        <f>IFERROR(__xludf.DUMMYFUNCTION("""COMPUTED_VALUE"""),3.0)</f>
        <v>3</v>
      </c>
      <c r="K1155" s="251" t="str">
        <f>IFERROR(__xludf.DUMMYFUNCTION("""COMPUTED_VALUE"""),"Small")</f>
        <v>Small</v>
      </c>
      <c r="L1155" s="251">
        <f>IFERROR(__xludf.DUMMYFUNCTION("""COMPUTED_VALUE"""),2.0)</f>
        <v>2</v>
      </c>
      <c r="M1155" s="251" t="str">
        <f>IFERROR(__xludf.DUMMYFUNCTION("""COMPUTED_VALUE"""),"Forest")</f>
        <v>Forest</v>
      </c>
      <c r="N1155" s="251" t="str">
        <f>IFERROR(__xludf.DUMMYFUNCTION("""COMPUTED_VALUE"""),"Jumper")</f>
        <v>Jumper</v>
      </c>
      <c r="O1155" s="251" t="str">
        <f>IFERROR(__xludf.DUMMYFUNCTION("""COMPUTED_VALUE"""),"Quick")</f>
        <v>Quick</v>
      </c>
      <c r="P1155" s="251" t="str">
        <f>IFERROR(__xludf.DUMMYFUNCTION("""COMPUTED_VALUE"""),"--")</f>
        <v>--</v>
      </c>
      <c r="Q1155" s="251" t="str">
        <f>IFERROR(__xludf.DUMMYFUNCTION("""COMPUTED_VALUE"""),"--")</f>
        <v>--</v>
      </c>
      <c r="R1155" s="251" t="str">
        <f>IFERROR(__xludf.DUMMYFUNCTION("""COMPUTED_VALUE"""),"Telekinetic")</f>
        <v>Telekinetic</v>
      </c>
      <c r="S1155" s="251" t="str">
        <f>IFERROR(__xludf.DUMMYFUNCTION("""COMPUTED_VALUE"""),"Underdog")</f>
        <v>Underdog</v>
      </c>
      <c r="T1155" s="251" t="str">
        <f>IFERROR(__xludf.DUMMYFUNCTION("""COMPUTED_VALUE"""),"--")</f>
        <v>--</v>
      </c>
      <c r="U1155" s="251" t="str">
        <f>IFERROR(__xludf.DUMMYFUNCTION("""COMPUTED_VALUE"""),"--")</f>
        <v>--</v>
      </c>
      <c r="V1155" s="251" t="str">
        <f>IFERROR(__xludf.DUMMYFUNCTION("""COMPUTED_VALUE"""),"Mender")</f>
        <v>Mender</v>
      </c>
      <c r="W1155" s="251" t="str">
        <f>IFERROR(__xludf.DUMMYFUNCTION("""COMPUTED_VALUE"""),"Soul Seer")</f>
        <v>Soul Seer</v>
      </c>
      <c r="X1155" s="251" t="str">
        <f>IFERROR(__xludf.DUMMYFUNCTION("""COMPUTED_VALUE"""),"--")</f>
        <v>--</v>
      </c>
      <c r="Y1155" s="251" t="str">
        <f>IFERROR(__xludf.DUMMYFUNCTION("""COMPUTED_VALUE"""),"--")</f>
        <v>--</v>
      </c>
      <c r="Z1155" s="251" t="str">
        <f>IFERROR(__xludf.DUMMYFUNCTION("""COMPUTED_VALUE"""),"--")</f>
        <v>--</v>
      </c>
      <c r="AA1155" s="251" t="str">
        <f>IFERROR(__xludf.DUMMYFUNCTION("""COMPUTED_VALUE"""),"--")</f>
        <v>--</v>
      </c>
      <c r="AB1155" s="251" t="str">
        <f>IFERROR(__xludf.DUMMYFUNCTION("""COMPUTED_VALUE"""),"--")</f>
        <v>--</v>
      </c>
      <c r="AC1155" s="251" t="str">
        <f>IFERROR(__xludf.DUMMYFUNCTION("""COMPUTED_VALUE"""),"--")</f>
        <v>--</v>
      </c>
      <c r="AD1155" s="251">
        <f>IFERROR(__xludf.DUMMYFUNCTION("""COMPUTED_VALUE"""),2.0)</f>
        <v>2</v>
      </c>
      <c r="AE1155" s="251" t="str">
        <f>IFERROR(__xludf.DUMMYFUNCTION("""COMPUTED_VALUE"""),"Herbivore")</f>
        <v>Herbivore</v>
      </c>
    </row>
    <row r="1156">
      <c r="A1156" s="251" t="str">
        <f>IFERROR(__xludf.DUMMYFUNCTION("""COMPUTED_VALUE"""),"Galarian Rapidash")</f>
        <v>Galarian Rapidash</v>
      </c>
      <c r="B1156" s="251" t="str">
        <f>IFERROR(__xludf.DUMMYFUNCTION("""COMPUTED_VALUE"""),"Psychic")</f>
        <v>Psychic</v>
      </c>
      <c r="C1156" s="251" t="str">
        <f>IFERROR(__xludf.DUMMYFUNCTION("""COMPUTED_VALUE"""),"Fairy")</f>
        <v>Fairy</v>
      </c>
      <c r="D1156" s="251">
        <f>IFERROR(__xludf.DUMMYFUNCTION("""COMPUTED_VALUE"""),7.0)</f>
        <v>7</v>
      </c>
      <c r="E1156" s="251">
        <f>IFERROR(__xludf.DUMMYFUNCTION("""COMPUTED_VALUE"""),10.0)</f>
        <v>10</v>
      </c>
      <c r="F1156" s="251">
        <f>IFERROR(__xludf.DUMMYFUNCTION("""COMPUTED_VALUE"""),7.0)</f>
        <v>7</v>
      </c>
      <c r="G1156" s="251">
        <f>IFERROR(__xludf.DUMMYFUNCTION("""COMPUTED_VALUE"""),8.0)</f>
        <v>8</v>
      </c>
      <c r="H1156" s="251">
        <f>IFERROR(__xludf.DUMMYFUNCTION("""COMPUTED_VALUE"""),8.0)</f>
        <v>8</v>
      </c>
      <c r="I1156" s="251">
        <f>IFERROR(__xludf.DUMMYFUNCTION("""COMPUTED_VALUE"""),11.0)</f>
        <v>11</v>
      </c>
      <c r="J1156" s="251">
        <f>IFERROR(__xludf.DUMMYFUNCTION("""COMPUTED_VALUE"""),6.0)</f>
        <v>6</v>
      </c>
      <c r="K1156" s="251" t="str">
        <f>IFERROR(__xludf.DUMMYFUNCTION("""COMPUTED_VALUE"""),"Large")</f>
        <v>Large</v>
      </c>
      <c r="L1156" s="251">
        <f>IFERROR(__xludf.DUMMYFUNCTION("""COMPUTED_VALUE"""),4.0)</f>
        <v>4</v>
      </c>
      <c r="M1156" s="251" t="str">
        <f>IFERROR(__xludf.DUMMYFUNCTION("""COMPUTED_VALUE"""),"Forest")</f>
        <v>Forest</v>
      </c>
      <c r="N1156" s="251" t="str">
        <f>IFERROR(__xludf.DUMMYFUNCTION("""COMPUTED_VALUE"""),"Jumper")</f>
        <v>Jumper</v>
      </c>
      <c r="O1156" s="251" t="str">
        <f>IFERROR(__xludf.DUMMYFUNCTION("""COMPUTED_VALUE"""),"Quick")</f>
        <v>Quick</v>
      </c>
      <c r="P1156" s="251" t="str">
        <f>IFERROR(__xludf.DUMMYFUNCTION("""COMPUTED_VALUE"""),"--")</f>
        <v>--</v>
      </c>
      <c r="Q1156" s="251" t="str">
        <f>IFERROR(__xludf.DUMMYFUNCTION("""COMPUTED_VALUE"""),"--")</f>
        <v>--</v>
      </c>
      <c r="R1156" s="251" t="str">
        <f>IFERROR(__xludf.DUMMYFUNCTION("""COMPUTED_VALUE"""),"Mountable")</f>
        <v>Mountable</v>
      </c>
      <c r="S1156" s="251" t="str">
        <f>IFERROR(__xludf.DUMMYFUNCTION("""COMPUTED_VALUE"""),"Telekinetic")</f>
        <v>Telekinetic</v>
      </c>
      <c r="T1156" s="251" t="str">
        <f>IFERROR(__xludf.DUMMYFUNCTION("""COMPUTED_VALUE"""),"--")</f>
        <v>--</v>
      </c>
      <c r="U1156" s="251" t="str">
        <f>IFERROR(__xludf.DUMMYFUNCTION("""COMPUTED_VALUE"""),"--")</f>
        <v>--</v>
      </c>
      <c r="V1156" s="251" t="str">
        <f>IFERROR(__xludf.DUMMYFUNCTION("""COMPUTED_VALUE"""),"Mender")</f>
        <v>Mender</v>
      </c>
      <c r="W1156" s="251" t="str">
        <f>IFERROR(__xludf.DUMMYFUNCTION("""COMPUTED_VALUE"""),"Soul Seer")</f>
        <v>Soul Seer</v>
      </c>
      <c r="X1156" s="251" t="str">
        <f>IFERROR(__xludf.DUMMYFUNCTION("""COMPUTED_VALUE"""),"--")</f>
        <v>--</v>
      </c>
      <c r="Y1156" s="251" t="str">
        <f>IFERROR(__xludf.DUMMYFUNCTION("""COMPUTED_VALUE"""),"--")</f>
        <v>--</v>
      </c>
      <c r="Z1156" s="251" t="str">
        <f>IFERROR(__xludf.DUMMYFUNCTION("""COMPUTED_VALUE"""),"--")</f>
        <v>--</v>
      </c>
      <c r="AA1156" s="251" t="str">
        <f>IFERROR(__xludf.DUMMYFUNCTION("""COMPUTED_VALUE"""),"--")</f>
        <v>--</v>
      </c>
      <c r="AB1156" s="251" t="str">
        <f>IFERROR(__xludf.DUMMYFUNCTION("""COMPUTED_VALUE"""),"--")</f>
        <v>--</v>
      </c>
      <c r="AC1156" s="251" t="str">
        <f>IFERROR(__xludf.DUMMYFUNCTION("""COMPUTED_VALUE"""),"--")</f>
        <v>--</v>
      </c>
      <c r="AD1156" s="251">
        <f>IFERROR(__xludf.DUMMYFUNCTION("""COMPUTED_VALUE"""),3.0)</f>
        <v>3</v>
      </c>
      <c r="AE1156" s="251" t="str">
        <f>IFERROR(__xludf.DUMMYFUNCTION("""COMPUTED_VALUE"""),"Herbivore")</f>
        <v>Herbivore</v>
      </c>
    </row>
    <row r="1157">
      <c r="A1157" s="251" t="str">
        <f>IFERROR(__xludf.DUMMYFUNCTION("""COMPUTED_VALUE"""),"Galarian Meowth")</f>
        <v>Galarian Meowth</v>
      </c>
      <c r="B1157" s="251" t="str">
        <f>IFERROR(__xludf.DUMMYFUNCTION("""COMPUTED_VALUE"""),"Steel")</f>
        <v>Steel</v>
      </c>
      <c r="C1157" s="251" t="str">
        <f>IFERROR(__xludf.DUMMYFUNCTION("""COMPUTED_VALUE"""),"None")</f>
        <v>None</v>
      </c>
      <c r="D1157" s="251">
        <f>IFERROR(__xludf.DUMMYFUNCTION("""COMPUTED_VALUE"""),5.0)</f>
        <v>5</v>
      </c>
      <c r="E1157" s="251">
        <f>IFERROR(__xludf.DUMMYFUNCTION("""COMPUTED_VALUE"""),7.0)</f>
        <v>7</v>
      </c>
      <c r="F1157" s="251">
        <f>IFERROR(__xludf.DUMMYFUNCTION("""COMPUTED_VALUE"""),6.0)</f>
        <v>6</v>
      </c>
      <c r="G1157" s="251">
        <f>IFERROR(__xludf.DUMMYFUNCTION("""COMPUTED_VALUE"""),4.0)</f>
        <v>4</v>
      </c>
      <c r="H1157" s="251">
        <f>IFERROR(__xludf.DUMMYFUNCTION("""COMPUTED_VALUE"""),4.0)</f>
        <v>4</v>
      </c>
      <c r="I1157" s="251">
        <f>IFERROR(__xludf.DUMMYFUNCTION("""COMPUTED_VALUE"""),4.0)</f>
        <v>4</v>
      </c>
      <c r="J1157" s="251">
        <f>IFERROR(__xludf.DUMMYFUNCTION("""COMPUTED_VALUE"""),2.0)</f>
        <v>2</v>
      </c>
      <c r="K1157" s="251" t="str">
        <f>IFERROR(__xludf.DUMMYFUNCTION("""COMPUTED_VALUE"""),"Small")</f>
        <v>Small</v>
      </c>
      <c r="L1157" s="251">
        <f>IFERROR(__xludf.DUMMYFUNCTION("""COMPUTED_VALUE"""),1.0)</f>
        <v>1</v>
      </c>
      <c r="M1157" s="251" t="str">
        <f>IFERROR(__xludf.DUMMYFUNCTION("""COMPUTED_VALUE"""),"Forest")</f>
        <v>Forest</v>
      </c>
      <c r="N1157" s="251" t="str">
        <f>IFERROR(__xludf.DUMMYFUNCTION("""COMPUTED_VALUE"""),"--")</f>
        <v>--</v>
      </c>
      <c r="O1157" s="251" t="str">
        <f>IFERROR(__xludf.DUMMYFUNCTION("""COMPUTED_VALUE"""),"--")</f>
        <v>--</v>
      </c>
      <c r="P1157" s="251" t="str">
        <f>IFERROR(__xludf.DUMMYFUNCTION("""COMPUTED_VALUE"""),"--")</f>
        <v>--</v>
      </c>
      <c r="Q1157" s="251" t="str">
        <f>IFERROR(__xludf.DUMMYFUNCTION("""COMPUTED_VALUE"""),"--")</f>
        <v>--</v>
      </c>
      <c r="R1157" s="251" t="str">
        <f>IFERROR(__xludf.DUMMYFUNCTION("""COMPUTED_VALUE"""),"Underdog")</f>
        <v>Underdog</v>
      </c>
      <c r="S1157" s="251" t="str">
        <f>IFERROR(__xludf.DUMMYFUNCTION("""COMPUTED_VALUE"""),"--")</f>
        <v>--</v>
      </c>
      <c r="T1157" s="251" t="str">
        <f>IFERROR(__xludf.DUMMYFUNCTION("""COMPUTED_VALUE"""),"--")</f>
        <v>--</v>
      </c>
      <c r="U1157" s="251" t="str">
        <f>IFERROR(__xludf.DUMMYFUNCTION("""COMPUTED_VALUE"""),"--")</f>
        <v>--</v>
      </c>
      <c r="V1157" s="251" t="str">
        <f>IFERROR(__xludf.DUMMYFUNCTION("""COMPUTED_VALUE"""),"Tracker")</f>
        <v>Tracker</v>
      </c>
      <c r="W1157" s="251" t="str">
        <f>IFERROR(__xludf.DUMMYFUNCTION("""COMPUTED_VALUE"""),"--")</f>
        <v>--</v>
      </c>
      <c r="X1157" s="251" t="str">
        <f>IFERROR(__xludf.DUMMYFUNCTION("""COMPUTED_VALUE"""),"--")</f>
        <v>--</v>
      </c>
      <c r="Y1157" s="251" t="str">
        <f>IFERROR(__xludf.DUMMYFUNCTION("""COMPUTED_VALUE"""),"--")</f>
        <v>--</v>
      </c>
      <c r="Z1157" s="251" t="str">
        <f>IFERROR(__xludf.DUMMYFUNCTION("""COMPUTED_VALUE"""),"--")</f>
        <v>--</v>
      </c>
      <c r="AA1157" s="251" t="str">
        <f>IFERROR(__xludf.DUMMYFUNCTION("""COMPUTED_VALUE"""),"--")</f>
        <v>--</v>
      </c>
      <c r="AB1157" s="251" t="str">
        <f>IFERROR(__xludf.DUMMYFUNCTION("""COMPUTED_VALUE"""),"--")</f>
        <v>--</v>
      </c>
      <c r="AC1157" s="251" t="str">
        <f>IFERROR(__xludf.DUMMYFUNCTION("""COMPUTED_VALUE"""),"--")</f>
        <v>--</v>
      </c>
      <c r="AD1157" s="251">
        <f>IFERROR(__xludf.DUMMYFUNCTION("""COMPUTED_VALUE"""),2.0)</f>
        <v>2</v>
      </c>
      <c r="AE1157" s="251" t="str">
        <f>IFERROR(__xludf.DUMMYFUNCTION("""COMPUTED_VALUE"""),"Carnivore")</f>
        <v>Carnivore</v>
      </c>
    </row>
    <row r="1158">
      <c r="A1158" s="251" t="str">
        <f>IFERROR(__xludf.DUMMYFUNCTION("""COMPUTED_VALUE"""),"Perrserker")</f>
        <v>Perrserker</v>
      </c>
      <c r="B1158" s="251" t="str">
        <f>IFERROR(__xludf.DUMMYFUNCTION("""COMPUTED_VALUE"""),"Steel")</f>
        <v>Steel</v>
      </c>
      <c r="C1158" s="251" t="str">
        <f>IFERROR(__xludf.DUMMYFUNCTION("""COMPUTED_VALUE"""),"None")</f>
        <v>None</v>
      </c>
      <c r="D1158" s="251">
        <f>IFERROR(__xludf.DUMMYFUNCTION("""COMPUTED_VALUE"""),7.0)</f>
        <v>7</v>
      </c>
      <c r="E1158" s="251">
        <f>IFERROR(__xludf.DUMMYFUNCTION("""COMPUTED_VALUE"""),11.0)</f>
        <v>11</v>
      </c>
      <c r="F1158" s="251">
        <f>IFERROR(__xludf.DUMMYFUNCTION("""COMPUTED_VALUE"""),10.0)</f>
        <v>10</v>
      </c>
      <c r="G1158" s="251">
        <f>IFERROR(__xludf.DUMMYFUNCTION("""COMPUTED_VALUE"""),5.0)</f>
        <v>5</v>
      </c>
      <c r="H1158" s="251">
        <f>IFERROR(__xludf.DUMMYFUNCTION("""COMPUTED_VALUE"""),6.0)</f>
        <v>6</v>
      </c>
      <c r="I1158" s="251">
        <f>IFERROR(__xludf.DUMMYFUNCTION("""COMPUTED_VALUE"""),5.0)</f>
        <v>5</v>
      </c>
      <c r="J1158" s="251">
        <f>IFERROR(__xludf.DUMMYFUNCTION("""COMPUTED_VALUE"""),4.0)</f>
        <v>4</v>
      </c>
      <c r="K1158" s="251" t="str">
        <f>IFERROR(__xludf.DUMMYFUNCTION("""COMPUTED_VALUE"""),"Small")</f>
        <v>Small</v>
      </c>
      <c r="L1158" s="251">
        <f>IFERROR(__xludf.DUMMYFUNCTION("""COMPUTED_VALUE"""),3.0)</f>
        <v>3</v>
      </c>
      <c r="M1158" s="251" t="str">
        <f>IFERROR(__xludf.DUMMYFUNCTION("""COMPUTED_VALUE"""),"Forest")</f>
        <v>Forest</v>
      </c>
      <c r="N1158" s="251" t="str">
        <f>IFERROR(__xludf.DUMMYFUNCTION("""COMPUTED_VALUE"""),"--")</f>
        <v>--</v>
      </c>
      <c r="O1158" s="251" t="str">
        <f>IFERROR(__xludf.DUMMYFUNCTION("""COMPUTED_VALUE"""),"--")</f>
        <v>--</v>
      </c>
      <c r="P1158" s="251" t="str">
        <f>IFERROR(__xludf.DUMMYFUNCTION("""COMPUTED_VALUE"""),"--")</f>
        <v>--</v>
      </c>
      <c r="Q1158" s="251" t="str">
        <f>IFERROR(__xludf.DUMMYFUNCTION("""COMPUTED_VALUE"""),"--")</f>
        <v>--</v>
      </c>
      <c r="R1158" s="251" t="str">
        <f>IFERROR(__xludf.DUMMYFUNCTION("""COMPUTED_VALUE"""),"Underdog")</f>
        <v>Underdog</v>
      </c>
      <c r="S1158" s="251" t="str">
        <f>IFERROR(__xludf.DUMMYFUNCTION("""COMPUTED_VALUE"""),"Wielder (Martial, Small)")</f>
        <v>Wielder (Martial, Small)</v>
      </c>
      <c r="T1158" s="251" t="str">
        <f>IFERROR(__xludf.DUMMYFUNCTION("""COMPUTED_VALUE"""),"--")</f>
        <v>--</v>
      </c>
      <c r="U1158" s="251" t="str">
        <f>IFERROR(__xludf.DUMMYFUNCTION("""COMPUTED_VALUE"""),"--")</f>
        <v>--</v>
      </c>
      <c r="V1158" s="251" t="str">
        <f>IFERROR(__xludf.DUMMYFUNCTION("""COMPUTED_VALUE"""),"Tracker")</f>
        <v>Tracker</v>
      </c>
      <c r="W1158" s="251" t="str">
        <f>IFERROR(__xludf.DUMMYFUNCTION("""COMPUTED_VALUE"""),"--")</f>
        <v>--</v>
      </c>
      <c r="X1158" s="251" t="str">
        <f>IFERROR(__xludf.DUMMYFUNCTION("""COMPUTED_VALUE"""),"--")</f>
        <v>--</v>
      </c>
      <c r="Y1158" s="251" t="str">
        <f>IFERROR(__xludf.DUMMYFUNCTION("""COMPUTED_VALUE"""),"--")</f>
        <v>--</v>
      </c>
      <c r="Z1158" s="251" t="str">
        <f>IFERROR(__xludf.DUMMYFUNCTION("""COMPUTED_VALUE"""),"--")</f>
        <v>--</v>
      </c>
      <c r="AA1158" s="251" t="str">
        <f>IFERROR(__xludf.DUMMYFUNCTION("""COMPUTED_VALUE"""),"--")</f>
        <v>--</v>
      </c>
      <c r="AB1158" s="251" t="str">
        <f>IFERROR(__xludf.DUMMYFUNCTION("""COMPUTED_VALUE"""),"--")</f>
        <v>--</v>
      </c>
      <c r="AC1158" s="251" t="str">
        <f>IFERROR(__xludf.DUMMYFUNCTION("""COMPUTED_VALUE"""),"--")</f>
        <v>--</v>
      </c>
      <c r="AD1158" s="251">
        <f>IFERROR(__xludf.DUMMYFUNCTION("""COMPUTED_VALUE"""),3.0)</f>
        <v>3</v>
      </c>
      <c r="AE1158" s="251" t="str">
        <f>IFERROR(__xludf.DUMMYFUNCTION("""COMPUTED_VALUE"""),"Carnivore")</f>
        <v>Carnivore</v>
      </c>
    </row>
    <row r="1159">
      <c r="A1159" s="251" t="str">
        <f>IFERROR(__xludf.DUMMYFUNCTION("""COMPUTED_VALUE"""),"Hisuian Qwilfish")</f>
        <v>Hisuian Qwilfish</v>
      </c>
      <c r="B1159" s="251" t="str">
        <f>IFERROR(__xludf.DUMMYFUNCTION("""COMPUTED_VALUE"""),"Dark")</f>
        <v>Dark</v>
      </c>
      <c r="C1159" s="251" t="str">
        <f>IFERROR(__xludf.DUMMYFUNCTION("""COMPUTED_VALUE"""),"Poison")</f>
        <v>Poison</v>
      </c>
      <c r="D1159" s="251">
        <f>IFERROR(__xludf.DUMMYFUNCTION("""COMPUTED_VALUE"""),9.0)</f>
        <v>9</v>
      </c>
      <c r="E1159" s="251">
        <f>IFERROR(__xludf.DUMMYFUNCTION("""COMPUTED_VALUE"""),10.0)</f>
        <v>10</v>
      </c>
      <c r="F1159" s="251">
        <f>IFERROR(__xludf.DUMMYFUNCTION("""COMPUTED_VALUE"""),9.0)</f>
        <v>9</v>
      </c>
      <c r="G1159" s="251">
        <f>IFERROR(__xludf.DUMMYFUNCTION("""COMPUTED_VALUE"""),6.0)</f>
        <v>6</v>
      </c>
      <c r="H1159" s="251">
        <f>IFERROR(__xludf.DUMMYFUNCTION("""COMPUTED_VALUE"""),8.0)</f>
        <v>8</v>
      </c>
      <c r="I1159" s="251">
        <f>IFERROR(__xludf.DUMMYFUNCTION("""COMPUTED_VALUE"""),9.0)</f>
        <v>9</v>
      </c>
      <c r="J1159" s="251">
        <f>IFERROR(__xludf.DUMMYFUNCTION("""COMPUTED_VALUE"""),2.0)</f>
        <v>2</v>
      </c>
      <c r="K1159" s="251" t="str">
        <f>IFERROR(__xludf.DUMMYFUNCTION("""COMPUTED_VALUE"""),"Small")</f>
        <v>Small</v>
      </c>
      <c r="L1159" s="251">
        <f>IFERROR(__xludf.DUMMYFUNCTION("""COMPUTED_VALUE"""),1.0)</f>
        <v>1</v>
      </c>
      <c r="M1159" s="251" t="str">
        <f>IFERROR(__xludf.DUMMYFUNCTION("""COMPUTED_VALUE"""),"Ocean")</f>
        <v>Ocean</v>
      </c>
      <c r="N1159" s="251" t="str">
        <f>IFERROR(__xludf.DUMMYFUNCTION("""COMPUTED_VALUE"""),"Swimmer")</f>
        <v>Swimmer</v>
      </c>
      <c r="O1159" s="251" t="str">
        <f>IFERROR(__xludf.DUMMYFUNCTION("""COMPUTED_VALUE"""),"--")</f>
        <v>--</v>
      </c>
      <c r="P1159" s="251" t="str">
        <f>IFERROR(__xludf.DUMMYFUNCTION("""COMPUTED_VALUE"""),"--")</f>
        <v>--</v>
      </c>
      <c r="Q1159" s="251" t="str">
        <f>IFERROR(__xludf.DUMMYFUNCTION("""COMPUTED_VALUE"""),"--")</f>
        <v>--</v>
      </c>
      <c r="R1159" s="251" t="str">
        <f>IFERROR(__xludf.DUMMYFUNCTION("""COMPUTED_VALUE"""),"Darkvision")</f>
        <v>Darkvision</v>
      </c>
      <c r="S1159" s="251" t="str">
        <f>IFERROR(__xludf.DUMMYFUNCTION("""COMPUTED_VALUE"""),"--")</f>
        <v>--</v>
      </c>
      <c r="T1159" s="251" t="str">
        <f>IFERROR(__xludf.DUMMYFUNCTION("""COMPUTED_VALUE"""),"--")</f>
        <v>--</v>
      </c>
      <c r="U1159" s="251" t="str">
        <f>IFERROR(__xludf.DUMMYFUNCTION("""COMPUTED_VALUE"""),"--")</f>
        <v>--</v>
      </c>
      <c r="V1159" s="251" t="str">
        <f>IFERROR(__xludf.DUMMYFUNCTION("""COMPUTED_VALUE"""),"--")</f>
        <v>--</v>
      </c>
      <c r="W1159" s="251" t="str">
        <f>IFERROR(__xludf.DUMMYFUNCTION("""COMPUTED_VALUE"""),"--")</f>
        <v>--</v>
      </c>
      <c r="X1159" s="251" t="str">
        <f>IFERROR(__xludf.DUMMYFUNCTION("""COMPUTED_VALUE"""),"--")</f>
        <v>--</v>
      </c>
      <c r="Y1159" s="251" t="str">
        <f>IFERROR(__xludf.DUMMYFUNCTION("""COMPUTED_VALUE"""),"--")</f>
        <v>--</v>
      </c>
      <c r="Z1159" s="251" t="str">
        <f>IFERROR(__xludf.DUMMYFUNCTION("""COMPUTED_VALUE"""),"--")</f>
        <v>--</v>
      </c>
      <c r="AA1159" s="251" t="str">
        <f>IFERROR(__xludf.DUMMYFUNCTION("""COMPUTED_VALUE"""),"--")</f>
        <v>--</v>
      </c>
      <c r="AB1159" s="251" t="str">
        <f>IFERROR(__xludf.DUMMYFUNCTION("""COMPUTED_VALUE"""),"--")</f>
        <v>--</v>
      </c>
      <c r="AC1159" s="251" t="str">
        <f>IFERROR(__xludf.DUMMYFUNCTION("""COMPUTED_VALUE"""),"--")</f>
        <v>--</v>
      </c>
      <c r="AD1159" s="251">
        <f>IFERROR(__xludf.DUMMYFUNCTION("""COMPUTED_VALUE"""),2.0)</f>
        <v>2</v>
      </c>
      <c r="AE1159" s="251" t="str">
        <f>IFERROR(__xludf.DUMMYFUNCTION("""COMPUTED_VALUE"""),"Herbivore")</f>
        <v>Herbivore</v>
      </c>
    </row>
    <row r="1160">
      <c r="A1160" s="251" t="str">
        <f>IFERROR(__xludf.DUMMYFUNCTION("""COMPUTED_VALUE"""),"Overqwil")</f>
        <v>Overqwil</v>
      </c>
      <c r="B1160" s="251" t="str">
        <f>IFERROR(__xludf.DUMMYFUNCTION("""COMPUTED_VALUE"""),"Dark")</f>
        <v>Dark</v>
      </c>
      <c r="C1160" s="251" t="str">
        <f>IFERROR(__xludf.DUMMYFUNCTION("""COMPUTED_VALUE"""),"Poison")</f>
        <v>Poison</v>
      </c>
      <c r="D1160" s="251">
        <f>IFERROR(__xludf.DUMMYFUNCTION("""COMPUTED_VALUE"""),9.0)</f>
        <v>9</v>
      </c>
      <c r="E1160" s="251">
        <f>IFERROR(__xludf.DUMMYFUNCTION("""COMPUTED_VALUE"""),12.0)</f>
        <v>12</v>
      </c>
      <c r="F1160" s="251">
        <f>IFERROR(__xludf.DUMMYFUNCTION("""COMPUTED_VALUE"""),10.0)</f>
        <v>10</v>
      </c>
      <c r="G1160" s="251">
        <f>IFERROR(__xludf.DUMMYFUNCTION("""COMPUTED_VALUE"""),8.0)</f>
        <v>8</v>
      </c>
      <c r="H1160" s="251">
        <f>IFERROR(__xludf.DUMMYFUNCTION("""COMPUTED_VALUE"""),8.0)</f>
        <v>8</v>
      </c>
      <c r="I1160" s="251">
        <f>IFERROR(__xludf.DUMMYFUNCTION("""COMPUTED_VALUE"""),8.0)</f>
        <v>8</v>
      </c>
      <c r="J1160" s="251">
        <f>IFERROR(__xludf.DUMMYFUNCTION("""COMPUTED_VALUE"""),3.0)</f>
        <v>3</v>
      </c>
      <c r="K1160" s="251" t="str">
        <f>IFERROR(__xludf.DUMMYFUNCTION("""COMPUTED_VALUE"""),"Medium")</f>
        <v>Medium</v>
      </c>
      <c r="L1160" s="251">
        <f>IFERROR(__xludf.DUMMYFUNCTION("""COMPUTED_VALUE"""),3.0)</f>
        <v>3</v>
      </c>
      <c r="M1160" s="251" t="str">
        <f>IFERROR(__xludf.DUMMYFUNCTION("""COMPUTED_VALUE"""),"Ocean")</f>
        <v>Ocean</v>
      </c>
      <c r="N1160" s="251" t="str">
        <f>IFERROR(__xludf.DUMMYFUNCTION("""COMPUTED_VALUE"""),"Swimmer")</f>
        <v>Swimmer</v>
      </c>
      <c r="O1160" s="251" t="str">
        <f>IFERROR(__xludf.DUMMYFUNCTION("""COMPUTED_VALUE"""),"--")</f>
        <v>--</v>
      </c>
      <c r="P1160" s="251" t="str">
        <f>IFERROR(__xludf.DUMMYFUNCTION("""COMPUTED_VALUE"""),"--")</f>
        <v>--</v>
      </c>
      <c r="Q1160" s="251" t="str">
        <f>IFERROR(__xludf.DUMMYFUNCTION("""COMPUTED_VALUE"""),"--")</f>
        <v>--</v>
      </c>
      <c r="R1160" s="251" t="str">
        <f>IFERROR(__xludf.DUMMYFUNCTION("""COMPUTED_VALUE"""),"Darkvision")</f>
        <v>Darkvision</v>
      </c>
      <c r="S1160" s="251" t="str">
        <f>IFERROR(__xludf.DUMMYFUNCTION("""COMPUTED_VALUE"""),"--")</f>
        <v>--</v>
      </c>
      <c r="T1160" s="251" t="str">
        <f>IFERROR(__xludf.DUMMYFUNCTION("""COMPUTED_VALUE"""),"--")</f>
        <v>--</v>
      </c>
      <c r="U1160" s="251" t="str">
        <f>IFERROR(__xludf.DUMMYFUNCTION("""COMPUTED_VALUE"""),"--")</f>
        <v>--</v>
      </c>
      <c r="V1160" s="251" t="str">
        <f>IFERROR(__xludf.DUMMYFUNCTION("""COMPUTED_VALUE"""),"--")</f>
        <v>--</v>
      </c>
      <c r="W1160" s="251" t="str">
        <f>IFERROR(__xludf.DUMMYFUNCTION("""COMPUTED_VALUE"""),"--")</f>
        <v>--</v>
      </c>
      <c r="X1160" s="251" t="str">
        <f>IFERROR(__xludf.DUMMYFUNCTION("""COMPUTED_VALUE"""),"--")</f>
        <v>--</v>
      </c>
      <c r="Y1160" s="251" t="str">
        <f>IFERROR(__xludf.DUMMYFUNCTION("""COMPUTED_VALUE"""),"--")</f>
        <v>--</v>
      </c>
      <c r="Z1160" s="251" t="str">
        <f>IFERROR(__xludf.DUMMYFUNCTION("""COMPUTED_VALUE"""),"--")</f>
        <v>--</v>
      </c>
      <c r="AA1160" s="251" t="str">
        <f>IFERROR(__xludf.DUMMYFUNCTION("""COMPUTED_VALUE"""),"--")</f>
        <v>--</v>
      </c>
      <c r="AB1160" s="251" t="str">
        <f>IFERROR(__xludf.DUMMYFUNCTION("""COMPUTED_VALUE"""),"--")</f>
        <v>--</v>
      </c>
      <c r="AC1160" s="251" t="str">
        <f>IFERROR(__xludf.DUMMYFUNCTION("""COMPUTED_VALUE"""),"--")</f>
        <v>--</v>
      </c>
      <c r="AD1160" s="251">
        <f>IFERROR(__xludf.DUMMYFUNCTION("""COMPUTED_VALUE"""),3.0)</f>
        <v>3</v>
      </c>
      <c r="AE1160" s="251" t="str">
        <f>IFERROR(__xludf.DUMMYFUNCTION("""COMPUTED_VALUE"""),"Omnivore")</f>
        <v>Omnivore</v>
      </c>
    </row>
    <row r="1161">
      <c r="A1161" s="251" t="str">
        <f>IFERROR(__xludf.DUMMYFUNCTION("""COMPUTED_VALUE"""),"Hisuian Voltorb")</f>
        <v>Hisuian Voltorb</v>
      </c>
      <c r="B1161" s="251" t="str">
        <f>IFERROR(__xludf.DUMMYFUNCTION("""COMPUTED_VALUE"""),"Electric")</f>
        <v>Electric</v>
      </c>
      <c r="C1161" s="251" t="str">
        <f>IFERROR(__xludf.DUMMYFUNCTION("""COMPUTED_VALUE"""),"Grass")</f>
        <v>Grass</v>
      </c>
      <c r="D1161" s="251">
        <f>IFERROR(__xludf.DUMMYFUNCTION("""COMPUTED_VALUE"""),4.0)</f>
        <v>4</v>
      </c>
      <c r="E1161" s="251">
        <f>IFERROR(__xludf.DUMMYFUNCTION("""COMPUTED_VALUE"""),3.0)</f>
        <v>3</v>
      </c>
      <c r="F1161" s="251">
        <f>IFERROR(__xludf.DUMMYFUNCTION("""COMPUTED_VALUE"""),5.0)</f>
        <v>5</v>
      </c>
      <c r="G1161" s="251">
        <f>IFERROR(__xludf.DUMMYFUNCTION("""COMPUTED_VALUE"""),6.0)</f>
        <v>6</v>
      </c>
      <c r="H1161" s="251">
        <f>IFERROR(__xludf.DUMMYFUNCTION("""COMPUTED_VALUE"""),6.0)</f>
        <v>6</v>
      </c>
      <c r="I1161" s="251">
        <f>IFERROR(__xludf.DUMMYFUNCTION("""COMPUTED_VALUE"""),10.0)</f>
        <v>10</v>
      </c>
      <c r="J1161" s="251">
        <f>IFERROR(__xludf.DUMMYFUNCTION("""COMPUTED_VALUE"""),2.0)</f>
        <v>2</v>
      </c>
      <c r="K1161" s="251" t="str">
        <f>IFERROR(__xludf.DUMMYFUNCTION("""COMPUTED_VALUE"""),"Small")</f>
        <v>Small</v>
      </c>
      <c r="L1161" s="251">
        <f>IFERROR(__xludf.DUMMYFUNCTION("""COMPUTED_VALUE"""),1.0)</f>
        <v>1</v>
      </c>
      <c r="M1161" s="251" t="str">
        <f>IFERROR(__xludf.DUMMYFUNCTION("""COMPUTED_VALUE"""),"Forest, Urban")</f>
        <v>Forest, Urban</v>
      </c>
      <c r="N1161" s="251" t="str">
        <f>IFERROR(__xludf.DUMMYFUNCTION("""COMPUTED_VALUE"""),"--")</f>
        <v>--</v>
      </c>
      <c r="O1161" s="251" t="str">
        <f>IFERROR(__xludf.DUMMYFUNCTION("""COMPUTED_VALUE"""),"--")</f>
        <v>--</v>
      </c>
      <c r="P1161" s="251" t="str">
        <f>IFERROR(__xludf.DUMMYFUNCTION("""COMPUTED_VALUE"""),"--")</f>
        <v>--</v>
      </c>
      <c r="Q1161" s="251" t="str">
        <f>IFERROR(__xludf.DUMMYFUNCTION("""COMPUTED_VALUE"""),"--")</f>
        <v>--</v>
      </c>
      <c r="R1161" s="251" t="str">
        <f>IFERROR(__xludf.DUMMYFUNCTION("""COMPUTED_VALUE"""),"Underdog")</f>
        <v>Underdog</v>
      </c>
      <c r="S1161" s="251" t="str">
        <f>IFERROR(__xludf.DUMMYFUNCTION("""COMPUTED_VALUE"""),"--")</f>
        <v>--</v>
      </c>
      <c r="T1161" s="251" t="str">
        <f>IFERROR(__xludf.DUMMYFUNCTION("""COMPUTED_VALUE"""),"--")</f>
        <v>--</v>
      </c>
      <c r="U1161" s="251" t="str">
        <f>IFERROR(__xludf.DUMMYFUNCTION("""COMPUTED_VALUE"""),"--")</f>
        <v>--</v>
      </c>
      <c r="V1161" s="251" t="str">
        <f>IFERROR(__xludf.DUMMYFUNCTION("""COMPUTED_VALUE"""),"--")</f>
        <v>--</v>
      </c>
      <c r="W1161" s="251" t="str">
        <f>IFERROR(__xludf.DUMMYFUNCTION("""COMPUTED_VALUE"""),"--")</f>
        <v>--</v>
      </c>
      <c r="X1161" s="251" t="str">
        <f>IFERROR(__xludf.DUMMYFUNCTION("""COMPUTED_VALUE"""),"--")</f>
        <v>--</v>
      </c>
      <c r="Y1161" s="251" t="str">
        <f>IFERROR(__xludf.DUMMYFUNCTION("""COMPUTED_VALUE"""),"--")</f>
        <v>--</v>
      </c>
      <c r="Z1161" s="251" t="str">
        <f>IFERROR(__xludf.DUMMYFUNCTION("""COMPUTED_VALUE"""),"--")</f>
        <v>--</v>
      </c>
      <c r="AA1161" s="251" t="str">
        <f>IFERROR(__xludf.DUMMYFUNCTION("""COMPUTED_VALUE"""),"--")</f>
        <v>--</v>
      </c>
      <c r="AB1161" s="251" t="str">
        <f>IFERROR(__xludf.DUMMYFUNCTION("""COMPUTED_VALUE"""),"--")</f>
        <v>--</v>
      </c>
      <c r="AC1161" s="251" t="str">
        <f>IFERROR(__xludf.DUMMYFUNCTION("""COMPUTED_VALUE"""),"--")</f>
        <v>--</v>
      </c>
      <c r="AD1161" s="251">
        <f>IFERROR(__xludf.DUMMYFUNCTION("""COMPUTED_VALUE"""),2.0)</f>
        <v>2</v>
      </c>
      <c r="AE1161" s="251" t="str">
        <f>IFERROR(__xludf.DUMMYFUNCTION("""COMPUTED_VALUE"""),"Phototroph")</f>
        <v>Phototroph</v>
      </c>
    </row>
    <row r="1162">
      <c r="A1162" s="251" t="str">
        <f>IFERROR(__xludf.DUMMYFUNCTION("""COMPUTED_VALUE"""),"Hisuian Electrode")</f>
        <v>Hisuian Electrode</v>
      </c>
      <c r="B1162" s="251" t="str">
        <f>IFERROR(__xludf.DUMMYFUNCTION("""COMPUTED_VALUE"""),"Electric")</f>
        <v>Electric</v>
      </c>
      <c r="C1162" s="251" t="str">
        <f>IFERROR(__xludf.DUMMYFUNCTION("""COMPUTED_VALUE"""),"Grass")</f>
        <v>Grass</v>
      </c>
      <c r="D1162" s="251">
        <f>IFERROR(__xludf.DUMMYFUNCTION("""COMPUTED_VALUE"""),6.0)</f>
        <v>6</v>
      </c>
      <c r="E1162" s="251">
        <f>IFERROR(__xludf.DUMMYFUNCTION("""COMPUTED_VALUE"""),5.0)</f>
        <v>5</v>
      </c>
      <c r="F1162" s="251">
        <f>IFERROR(__xludf.DUMMYFUNCTION("""COMPUTED_VALUE"""),7.0)</f>
        <v>7</v>
      </c>
      <c r="G1162" s="251">
        <f>IFERROR(__xludf.DUMMYFUNCTION("""COMPUTED_VALUE"""),11.0)</f>
        <v>11</v>
      </c>
      <c r="H1162" s="251">
        <f>IFERROR(__xludf.DUMMYFUNCTION("""COMPUTED_VALUE"""),9.0)</f>
        <v>9</v>
      </c>
      <c r="I1162" s="251">
        <f>IFERROR(__xludf.DUMMYFUNCTION("""COMPUTED_VALUE"""),13.0)</f>
        <v>13</v>
      </c>
      <c r="J1162" s="251">
        <f>IFERROR(__xludf.DUMMYFUNCTION("""COMPUTED_VALUE"""),4.0)</f>
        <v>4</v>
      </c>
      <c r="K1162" s="251" t="str">
        <f>IFERROR(__xludf.DUMMYFUNCTION("""COMPUTED_VALUE"""),"Medium")</f>
        <v>Medium</v>
      </c>
      <c r="L1162" s="251">
        <f>IFERROR(__xludf.DUMMYFUNCTION("""COMPUTED_VALUE"""),4.0)</f>
        <v>4</v>
      </c>
      <c r="M1162" s="251" t="str">
        <f>IFERROR(__xludf.DUMMYFUNCTION("""COMPUTED_VALUE"""),"Forest, Urban")</f>
        <v>Forest, Urban</v>
      </c>
      <c r="N1162" s="251" t="str">
        <f>IFERROR(__xludf.DUMMYFUNCTION("""COMPUTED_VALUE"""),"Quick")</f>
        <v>Quick</v>
      </c>
      <c r="O1162" s="251" t="str">
        <f>IFERROR(__xludf.DUMMYFUNCTION("""COMPUTED_VALUE"""),"--")</f>
        <v>--</v>
      </c>
      <c r="P1162" s="251" t="str">
        <f>IFERROR(__xludf.DUMMYFUNCTION("""COMPUTED_VALUE"""),"--")</f>
        <v>--</v>
      </c>
      <c r="Q1162" s="251" t="str">
        <f>IFERROR(__xludf.DUMMYFUNCTION("""COMPUTED_VALUE"""),"--")</f>
        <v>--</v>
      </c>
      <c r="R1162" s="251" t="str">
        <f>IFERROR(__xludf.DUMMYFUNCTION("""COMPUTED_VALUE"""),"--")</f>
        <v>--</v>
      </c>
      <c r="S1162" s="251" t="str">
        <f>IFERROR(__xludf.DUMMYFUNCTION("""COMPUTED_VALUE"""),"--")</f>
        <v>--</v>
      </c>
      <c r="T1162" s="251" t="str">
        <f>IFERROR(__xludf.DUMMYFUNCTION("""COMPUTED_VALUE"""),"--")</f>
        <v>--</v>
      </c>
      <c r="U1162" s="251" t="str">
        <f>IFERROR(__xludf.DUMMYFUNCTION("""COMPUTED_VALUE"""),"--")</f>
        <v>--</v>
      </c>
      <c r="V1162" s="251" t="str">
        <f>IFERROR(__xludf.DUMMYFUNCTION("""COMPUTED_VALUE"""),"--")</f>
        <v>--</v>
      </c>
      <c r="W1162" s="251" t="str">
        <f>IFERROR(__xludf.DUMMYFUNCTION("""COMPUTED_VALUE"""),"--")</f>
        <v>--</v>
      </c>
      <c r="X1162" s="251" t="str">
        <f>IFERROR(__xludf.DUMMYFUNCTION("""COMPUTED_VALUE"""),"--")</f>
        <v>--</v>
      </c>
      <c r="Y1162" s="251" t="str">
        <f>IFERROR(__xludf.DUMMYFUNCTION("""COMPUTED_VALUE"""),"--")</f>
        <v>--</v>
      </c>
      <c r="Z1162" s="251" t="str">
        <f>IFERROR(__xludf.DUMMYFUNCTION("""COMPUTED_VALUE"""),"--")</f>
        <v>--</v>
      </c>
      <c r="AA1162" s="251" t="str">
        <f>IFERROR(__xludf.DUMMYFUNCTION("""COMPUTED_VALUE"""),"--")</f>
        <v>--</v>
      </c>
      <c r="AB1162" s="251" t="str">
        <f>IFERROR(__xludf.DUMMYFUNCTION("""COMPUTED_VALUE"""),"--")</f>
        <v>--</v>
      </c>
      <c r="AC1162" s="251" t="str">
        <f>IFERROR(__xludf.DUMMYFUNCTION("""COMPUTED_VALUE"""),"--")</f>
        <v>--</v>
      </c>
      <c r="AD1162" s="251">
        <f>IFERROR(__xludf.DUMMYFUNCTION("""COMPUTED_VALUE"""),3.0)</f>
        <v>3</v>
      </c>
      <c r="AE1162" s="251" t="str">
        <f>IFERROR(__xludf.DUMMYFUNCTION("""COMPUTED_VALUE"""),"Phototroph")</f>
        <v>Phototroph</v>
      </c>
    </row>
    <row r="1163">
      <c r="A1163" s="251" t="str">
        <f>IFERROR(__xludf.DUMMYFUNCTION("""COMPUTED_VALUE"""),"Hisuian Growlithe")</f>
        <v>Hisuian Growlithe</v>
      </c>
      <c r="B1163" s="251" t="str">
        <f>IFERROR(__xludf.DUMMYFUNCTION("""COMPUTED_VALUE"""),"Fire")</f>
        <v>Fire</v>
      </c>
      <c r="C1163" s="251" t="str">
        <f>IFERROR(__xludf.DUMMYFUNCTION("""COMPUTED_VALUE"""),"Rock")</f>
        <v>Rock</v>
      </c>
      <c r="D1163" s="251">
        <f>IFERROR(__xludf.DUMMYFUNCTION("""COMPUTED_VALUE"""),6.0)</f>
        <v>6</v>
      </c>
      <c r="E1163" s="251">
        <f>IFERROR(__xludf.DUMMYFUNCTION("""COMPUTED_VALUE"""),7.0)</f>
        <v>7</v>
      </c>
      <c r="F1163" s="251">
        <f>IFERROR(__xludf.DUMMYFUNCTION("""COMPUTED_VALUE"""),7.0)</f>
        <v>7</v>
      </c>
      <c r="G1163" s="251">
        <f>IFERROR(__xludf.DUMMYFUNCTION("""COMPUTED_VALUE"""),5.0)</f>
        <v>5</v>
      </c>
      <c r="H1163" s="251">
        <f>IFERROR(__xludf.DUMMYFUNCTION("""COMPUTED_VALUE"""),5.0)</f>
        <v>5</v>
      </c>
      <c r="I1163" s="251">
        <f>IFERROR(__xludf.DUMMYFUNCTION("""COMPUTED_VALUE"""),6.0)</f>
        <v>6</v>
      </c>
      <c r="J1163" s="251">
        <f>IFERROR(__xludf.DUMMYFUNCTION("""COMPUTED_VALUE"""),3.0)</f>
        <v>3</v>
      </c>
      <c r="K1163" s="251" t="str">
        <f>IFERROR(__xludf.DUMMYFUNCTION("""COMPUTED_VALUE"""),"Small")</f>
        <v>Small</v>
      </c>
      <c r="L1163" s="251">
        <f>IFERROR(__xludf.DUMMYFUNCTION("""COMPUTED_VALUE"""),2.0)</f>
        <v>2</v>
      </c>
      <c r="M1163" s="251" t="str">
        <f>IFERROR(__xludf.DUMMYFUNCTION("""COMPUTED_VALUE"""),"Grasslands, Mountain")</f>
        <v>Grasslands, Mountain</v>
      </c>
      <c r="N1163" s="251" t="str">
        <f>IFERROR(__xludf.DUMMYFUNCTION("""COMPUTED_VALUE"""),"--")</f>
        <v>--</v>
      </c>
      <c r="O1163" s="251" t="str">
        <f>IFERROR(__xludf.DUMMYFUNCTION("""COMPUTED_VALUE"""),"--")</f>
        <v>--</v>
      </c>
      <c r="P1163" s="251" t="str">
        <f>IFERROR(__xludf.DUMMYFUNCTION("""COMPUTED_VALUE"""),"--")</f>
        <v>--</v>
      </c>
      <c r="Q1163" s="251" t="str">
        <f>IFERROR(__xludf.DUMMYFUNCTION("""COMPUTED_VALUE"""),"--")</f>
        <v>--</v>
      </c>
      <c r="R1163" s="251" t="str">
        <f>IFERROR(__xludf.DUMMYFUNCTION("""COMPUTED_VALUE"""),"Underdog")</f>
        <v>Underdog</v>
      </c>
      <c r="S1163" s="251" t="str">
        <f>IFERROR(__xludf.DUMMYFUNCTION("""COMPUTED_VALUE"""),"--")</f>
        <v>--</v>
      </c>
      <c r="T1163" s="251" t="str">
        <f>IFERROR(__xludf.DUMMYFUNCTION("""COMPUTED_VALUE"""),"--")</f>
        <v>--</v>
      </c>
      <c r="U1163" s="251" t="str">
        <f>IFERROR(__xludf.DUMMYFUNCTION("""COMPUTED_VALUE"""),"--")</f>
        <v>--</v>
      </c>
      <c r="V1163" s="251" t="str">
        <f>IFERROR(__xludf.DUMMYFUNCTION("""COMPUTED_VALUE"""),"Pack Mon")</f>
        <v>Pack Mon</v>
      </c>
      <c r="W1163" s="251" t="str">
        <f>IFERROR(__xludf.DUMMYFUNCTION("""COMPUTED_VALUE"""),"Tracker")</f>
        <v>Tracker</v>
      </c>
      <c r="X1163" s="251" t="str">
        <f>IFERROR(__xludf.DUMMYFUNCTION("""COMPUTED_VALUE"""),"--")</f>
        <v>--</v>
      </c>
      <c r="Y1163" s="251" t="str">
        <f>IFERROR(__xludf.DUMMYFUNCTION("""COMPUTED_VALUE"""),"--")</f>
        <v>--</v>
      </c>
      <c r="Z1163" s="251" t="str">
        <f>IFERROR(__xludf.DUMMYFUNCTION("""COMPUTED_VALUE"""),"--")</f>
        <v>--</v>
      </c>
      <c r="AA1163" s="251" t="str">
        <f>IFERROR(__xludf.DUMMYFUNCTION("""COMPUTED_VALUE"""),"--")</f>
        <v>--</v>
      </c>
      <c r="AB1163" s="251" t="str">
        <f>IFERROR(__xludf.DUMMYFUNCTION("""COMPUTED_VALUE"""),"--")</f>
        <v>--</v>
      </c>
      <c r="AC1163" s="251" t="str">
        <f>IFERROR(__xludf.DUMMYFUNCTION("""COMPUTED_VALUE"""),"--")</f>
        <v>--</v>
      </c>
      <c r="AD1163" s="251">
        <f>IFERROR(__xludf.DUMMYFUNCTION("""COMPUTED_VALUE"""),2.0)</f>
        <v>2</v>
      </c>
      <c r="AE1163" s="251" t="str">
        <f>IFERROR(__xludf.DUMMYFUNCTION("""COMPUTED_VALUE"""),"Carnivore")</f>
        <v>Carnivore</v>
      </c>
    </row>
    <row r="1164">
      <c r="A1164" s="251" t="str">
        <f>IFERROR(__xludf.DUMMYFUNCTION("""COMPUTED_VALUE"""),"Hisuian Arcanine")</f>
        <v>Hisuian Arcanine</v>
      </c>
      <c r="B1164" s="251" t="str">
        <f>IFERROR(__xludf.DUMMYFUNCTION("""COMPUTED_VALUE"""),"Fire")</f>
        <v>Fire</v>
      </c>
      <c r="C1164" s="251" t="str">
        <f>IFERROR(__xludf.DUMMYFUNCTION("""COMPUTED_VALUE"""),"Rock")</f>
        <v>Rock</v>
      </c>
      <c r="D1164" s="251">
        <f>IFERROR(__xludf.DUMMYFUNCTION("""COMPUTED_VALUE"""),9.0)</f>
        <v>9</v>
      </c>
      <c r="E1164" s="251">
        <f>IFERROR(__xludf.DUMMYFUNCTION("""COMPUTED_VALUE"""),11.0)</f>
        <v>11</v>
      </c>
      <c r="F1164" s="251">
        <f>IFERROR(__xludf.DUMMYFUNCTION("""COMPUTED_VALUE"""),10.0)</f>
        <v>10</v>
      </c>
      <c r="G1164" s="251">
        <f>IFERROR(__xludf.DUMMYFUNCTION("""COMPUTED_VALUE"""),8.0)</f>
        <v>8</v>
      </c>
      <c r="H1164" s="251">
        <f>IFERROR(__xludf.DUMMYFUNCTION("""COMPUTED_VALUE"""),8.0)</f>
        <v>8</v>
      </c>
      <c r="I1164" s="251">
        <f>IFERROR(__xludf.DUMMYFUNCTION("""COMPUTED_VALUE"""),10.0)</f>
        <v>10</v>
      </c>
      <c r="J1164" s="251">
        <f>IFERROR(__xludf.DUMMYFUNCTION("""COMPUTED_VALUE"""),8.0)</f>
        <v>8</v>
      </c>
      <c r="K1164" s="251" t="str">
        <f>IFERROR(__xludf.DUMMYFUNCTION("""COMPUTED_VALUE"""),"Large")</f>
        <v>Large</v>
      </c>
      <c r="L1164" s="251">
        <f>IFERROR(__xludf.DUMMYFUNCTION("""COMPUTED_VALUE"""),5.0)</f>
        <v>5</v>
      </c>
      <c r="M1164" s="251" t="str">
        <f>IFERROR(__xludf.DUMMYFUNCTION("""COMPUTED_VALUE"""),"Grasslands, Mountain")</f>
        <v>Grasslands, Mountain</v>
      </c>
      <c r="N1164" s="251" t="str">
        <f>IFERROR(__xludf.DUMMYFUNCTION("""COMPUTED_VALUE"""),"Quick")</f>
        <v>Quick</v>
      </c>
      <c r="O1164" s="251" t="str">
        <f>IFERROR(__xludf.DUMMYFUNCTION("""COMPUTED_VALUE"""),"--")</f>
        <v>--</v>
      </c>
      <c r="P1164" s="251" t="str">
        <f>IFERROR(__xludf.DUMMYFUNCTION("""COMPUTED_VALUE"""),"--")</f>
        <v>--</v>
      </c>
      <c r="Q1164" s="251" t="str">
        <f>IFERROR(__xludf.DUMMYFUNCTION("""COMPUTED_VALUE"""),"--")</f>
        <v>--</v>
      </c>
      <c r="R1164" s="251" t="str">
        <f>IFERROR(__xludf.DUMMYFUNCTION("""COMPUTED_VALUE"""),"Mountable")</f>
        <v>Mountable</v>
      </c>
      <c r="S1164" s="251" t="str">
        <f>IFERROR(__xludf.DUMMYFUNCTION("""COMPUTED_VALUE"""),"--")</f>
        <v>--</v>
      </c>
      <c r="T1164" s="251" t="str">
        <f>IFERROR(__xludf.DUMMYFUNCTION("""COMPUTED_VALUE"""),"--")</f>
        <v>--</v>
      </c>
      <c r="U1164" s="251" t="str">
        <f>IFERROR(__xludf.DUMMYFUNCTION("""COMPUTED_VALUE"""),"--")</f>
        <v>--</v>
      </c>
      <c r="V1164" s="251" t="str">
        <f>IFERROR(__xludf.DUMMYFUNCTION("""COMPUTED_VALUE"""),"Pack Mon")</f>
        <v>Pack Mon</v>
      </c>
      <c r="W1164" s="251" t="str">
        <f>IFERROR(__xludf.DUMMYFUNCTION("""COMPUTED_VALUE"""),"Tracker")</f>
        <v>Tracker</v>
      </c>
      <c r="X1164" s="251" t="str">
        <f>IFERROR(__xludf.DUMMYFUNCTION("""COMPUTED_VALUE"""),"--")</f>
        <v>--</v>
      </c>
      <c r="Y1164" s="251" t="str">
        <f>IFERROR(__xludf.DUMMYFUNCTION("""COMPUTED_VALUE"""),"--")</f>
        <v>--</v>
      </c>
      <c r="Z1164" s="251" t="str">
        <f>IFERROR(__xludf.DUMMYFUNCTION("""COMPUTED_VALUE"""),"--")</f>
        <v>--</v>
      </c>
      <c r="AA1164" s="251" t="str">
        <f>IFERROR(__xludf.DUMMYFUNCTION("""COMPUTED_VALUE"""),"--")</f>
        <v>--</v>
      </c>
      <c r="AB1164" s="251" t="str">
        <f>IFERROR(__xludf.DUMMYFUNCTION("""COMPUTED_VALUE"""),"--")</f>
        <v>--</v>
      </c>
      <c r="AC1164" s="251" t="str">
        <f>IFERROR(__xludf.DUMMYFUNCTION("""COMPUTED_VALUE"""),"--")</f>
        <v>--</v>
      </c>
      <c r="AD1164" s="251">
        <f>IFERROR(__xludf.DUMMYFUNCTION("""COMPUTED_VALUE"""),3.0)</f>
        <v>3</v>
      </c>
      <c r="AE1164" s="251" t="str">
        <f>IFERROR(__xludf.DUMMYFUNCTION("""COMPUTED_VALUE"""),"Carnivore")</f>
        <v>Carnivore</v>
      </c>
    </row>
    <row r="1165">
      <c r="A1165" s="251" t="str">
        <f>IFERROR(__xludf.DUMMYFUNCTION("""COMPUTED_VALUE"""),"Hisuian Zorua")</f>
        <v>Hisuian Zorua</v>
      </c>
      <c r="B1165" s="251" t="str">
        <f>IFERROR(__xludf.DUMMYFUNCTION("""COMPUTED_VALUE"""),"Normal")</f>
        <v>Normal</v>
      </c>
      <c r="C1165" s="251" t="str">
        <f>IFERROR(__xludf.DUMMYFUNCTION("""COMPUTED_VALUE"""),"Ghost")</f>
        <v>Ghost</v>
      </c>
      <c r="D1165" s="251">
        <f>IFERROR(__xludf.DUMMYFUNCTION("""COMPUTED_VALUE"""),6.0)</f>
        <v>6</v>
      </c>
      <c r="E1165" s="251">
        <f>IFERROR(__xludf.DUMMYFUNCTION("""COMPUTED_VALUE"""),7.0)</f>
        <v>7</v>
      </c>
      <c r="F1165" s="251">
        <f>IFERROR(__xludf.DUMMYFUNCTION("""COMPUTED_VALUE"""),4.0)</f>
        <v>4</v>
      </c>
      <c r="G1165" s="251">
        <f>IFERROR(__xludf.DUMMYFUNCTION("""COMPUTED_VALUE"""),5.0)</f>
        <v>5</v>
      </c>
      <c r="H1165" s="251">
        <f>IFERROR(__xludf.DUMMYFUNCTION("""COMPUTED_VALUE"""),7.0)</f>
        <v>7</v>
      </c>
      <c r="I1165" s="251">
        <f>IFERROR(__xludf.DUMMYFUNCTION("""COMPUTED_VALUE"""),5.0)</f>
        <v>5</v>
      </c>
      <c r="J1165" s="251">
        <f>IFERROR(__xludf.DUMMYFUNCTION("""COMPUTED_VALUE"""),2.0)</f>
        <v>2</v>
      </c>
      <c r="K1165" s="251" t="str">
        <f>IFERROR(__xludf.DUMMYFUNCTION("""COMPUTED_VALUE"""),"Small")</f>
        <v>Small</v>
      </c>
      <c r="L1165" s="251">
        <f>IFERROR(__xludf.DUMMYFUNCTION("""COMPUTED_VALUE"""),1.0)</f>
        <v>1</v>
      </c>
      <c r="M1165" s="251" t="str">
        <f>IFERROR(__xludf.DUMMYFUNCTION("""COMPUTED_VALUE"""),"Forest, Tundra")</f>
        <v>Forest, Tundra</v>
      </c>
      <c r="N1165" s="251" t="str">
        <f>IFERROR(__xludf.DUMMYFUNCTION("""COMPUTED_VALUE"""),"--")</f>
        <v>--</v>
      </c>
      <c r="O1165" s="251" t="str">
        <f>IFERROR(__xludf.DUMMYFUNCTION("""COMPUTED_VALUE"""),"--")</f>
        <v>--</v>
      </c>
      <c r="P1165" s="251" t="str">
        <f>IFERROR(__xludf.DUMMYFUNCTION("""COMPUTED_VALUE"""),"--")</f>
        <v>--</v>
      </c>
      <c r="Q1165" s="251" t="str">
        <f>IFERROR(__xludf.DUMMYFUNCTION("""COMPUTED_VALUE"""),"--")</f>
        <v>--</v>
      </c>
      <c r="R1165" s="251" t="str">
        <f>IFERROR(__xludf.DUMMYFUNCTION("""COMPUTED_VALUE"""),"Darkvision")</f>
        <v>Darkvision</v>
      </c>
      <c r="S1165" s="251" t="str">
        <f>IFERROR(__xludf.DUMMYFUNCTION("""COMPUTED_VALUE"""),"Invisibility")</f>
        <v>Invisibility</v>
      </c>
      <c r="T1165" s="251" t="str">
        <f>IFERROR(__xludf.DUMMYFUNCTION("""COMPUTED_VALUE"""),"Underdog")</f>
        <v>Underdog</v>
      </c>
      <c r="U1165" s="251" t="str">
        <f>IFERROR(__xludf.DUMMYFUNCTION("""COMPUTED_VALUE"""),"--")</f>
        <v>--</v>
      </c>
      <c r="V1165" s="251" t="str">
        <f>IFERROR(__xludf.DUMMYFUNCTION("""COMPUTED_VALUE"""),"Chilled")</f>
        <v>Chilled</v>
      </c>
      <c r="W1165" s="251" t="str">
        <f>IFERROR(__xludf.DUMMYFUNCTION("""COMPUTED_VALUE"""),"Illusionist")</f>
        <v>Illusionist</v>
      </c>
      <c r="X1165" s="251" t="str">
        <f>IFERROR(__xludf.DUMMYFUNCTION("""COMPUTED_VALUE"""),"Pack Mon")</f>
        <v>Pack Mon</v>
      </c>
      <c r="Y1165" s="251" t="str">
        <f>IFERROR(__xludf.DUMMYFUNCTION("""COMPUTED_VALUE"""),"Tracker")</f>
        <v>Tracker</v>
      </c>
      <c r="Z1165" s="251" t="str">
        <f>IFERROR(__xludf.DUMMYFUNCTION("""COMPUTED_VALUE"""),"--")</f>
        <v>--</v>
      </c>
      <c r="AA1165" s="251" t="str">
        <f>IFERROR(__xludf.DUMMYFUNCTION("""COMPUTED_VALUE"""),"--")</f>
        <v>--</v>
      </c>
      <c r="AB1165" s="251" t="str">
        <f>IFERROR(__xludf.DUMMYFUNCTION("""COMPUTED_VALUE"""),"--")</f>
        <v>--</v>
      </c>
      <c r="AC1165" s="251" t="str">
        <f>IFERROR(__xludf.DUMMYFUNCTION("""COMPUTED_VALUE"""),"--")</f>
        <v>--</v>
      </c>
      <c r="AD1165" s="251">
        <f>IFERROR(__xludf.DUMMYFUNCTION("""COMPUTED_VALUE"""),2.0)</f>
        <v>2</v>
      </c>
      <c r="AE1165" s="251" t="str">
        <f>IFERROR(__xludf.DUMMYFUNCTION("""COMPUTED_VALUE"""),"Nullivore")</f>
        <v>Nullivore</v>
      </c>
    </row>
    <row r="1166">
      <c r="A1166" s="251" t="str">
        <f>IFERROR(__xludf.DUMMYFUNCTION("""COMPUTED_VALUE"""),"Hisuian Zoroark")</f>
        <v>Hisuian Zoroark</v>
      </c>
      <c r="B1166" s="251" t="str">
        <f>IFERROR(__xludf.DUMMYFUNCTION("""COMPUTED_VALUE"""),"Normal")</f>
        <v>Normal</v>
      </c>
      <c r="C1166" s="251" t="str">
        <f>IFERROR(__xludf.DUMMYFUNCTION("""COMPUTED_VALUE"""),"Ghost")</f>
        <v>Ghost</v>
      </c>
      <c r="D1166" s="251">
        <f>IFERROR(__xludf.DUMMYFUNCTION("""COMPUTED_VALUE"""),8.0)</f>
        <v>8</v>
      </c>
      <c r="E1166" s="251">
        <f>IFERROR(__xludf.DUMMYFUNCTION("""COMPUTED_VALUE"""),13.0)</f>
        <v>13</v>
      </c>
      <c r="F1166" s="251">
        <f>IFERROR(__xludf.DUMMYFUNCTION("""COMPUTED_VALUE"""),6.0)</f>
        <v>6</v>
      </c>
      <c r="G1166" s="251">
        <f>IFERROR(__xludf.DUMMYFUNCTION("""COMPUTED_VALUE"""),7.0)</f>
        <v>7</v>
      </c>
      <c r="H1166" s="251">
        <f>IFERROR(__xludf.DUMMYFUNCTION("""COMPUTED_VALUE"""),11.0)</f>
        <v>11</v>
      </c>
      <c r="I1166" s="251">
        <f>IFERROR(__xludf.DUMMYFUNCTION("""COMPUTED_VALUE"""),6.0)</f>
        <v>6</v>
      </c>
      <c r="J1166" s="251">
        <f>IFERROR(__xludf.DUMMYFUNCTION("""COMPUTED_VALUE"""),4.0)</f>
        <v>4</v>
      </c>
      <c r="K1166" s="251" t="str">
        <f>IFERROR(__xludf.DUMMYFUNCTION("""COMPUTED_VALUE"""),"Medium")</f>
        <v>Medium</v>
      </c>
      <c r="L1166" s="251">
        <f>IFERROR(__xludf.DUMMYFUNCTION("""COMPUTED_VALUE"""),4.0)</f>
        <v>4</v>
      </c>
      <c r="M1166" s="251" t="str">
        <f>IFERROR(__xludf.DUMMYFUNCTION("""COMPUTED_VALUE"""),"Forest, Tundra")</f>
        <v>Forest, Tundra</v>
      </c>
      <c r="N1166" s="251" t="str">
        <f>IFERROR(__xludf.DUMMYFUNCTION("""COMPUTED_VALUE"""),"--")</f>
        <v>--</v>
      </c>
      <c r="O1166" s="251" t="str">
        <f>IFERROR(__xludf.DUMMYFUNCTION("""COMPUTED_VALUE"""),"--")</f>
        <v>--</v>
      </c>
      <c r="P1166" s="251" t="str">
        <f>IFERROR(__xludf.DUMMYFUNCTION("""COMPUTED_VALUE"""),"--")</f>
        <v>--</v>
      </c>
      <c r="Q1166" s="251" t="str">
        <f>IFERROR(__xludf.DUMMYFUNCTION("""COMPUTED_VALUE"""),"--")</f>
        <v>--</v>
      </c>
      <c r="R1166" s="251" t="str">
        <f>IFERROR(__xludf.DUMMYFUNCTION("""COMPUTED_VALUE"""),"Darkvision")</f>
        <v>Darkvision</v>
      </c>
      <c r="S1166" s="251" t="str">
        <f>IFERROR(__xludf.DUMMYFUNCTION("""COMPUTED_VALUE"""),"Invisibility")</f>
        <v>Invisibility</v>
      </c>
      <c r="T1166" s="251" t="str">
        <f>IFERROR(__xludf.DUMMYFUNCTION("""COMPUTED_VALUE"""),"--")</f>
        <v>--</v>
      </c>
      <c r="U1166" s="251" t="str">
        <f>IFERROR(__xludf.DUMMYFUNCTION("""COMPUTED_VALUE"""),"--")</f>
        <v>--</v>
      </c>
      <c r="V1166" s="251" t="str">
        <f>IFERROR(__xludf.DUMMYFUNCTION("""COMPUTED_VALUE"""),"Chilled")</f>
        <v>Chilled</v>
      </c>
      <c r="W1166" s="251" t="str">
        <f>IFERROR(__xludf.DUMMYFUNCTION("""COMPUTED_VALUE"""),"Illusionist")</f>
        <v>Illusionist</v>
      </c>
      <c r="X1166" s="251" t="str">
        <f>IFERROR(__xludf.DUMMYFUNCTION("""COMPUTED_VALUE"""),"Pack Mon")</f>
        <v>Pack Mon</v>
      </c>
      <c r="Y1166" s="251" t="str">
        <f>IFERROR(__xludf.DUMMYFUNCTION("""COMPUTED_VALUE"""),"Tracker")</f>
        <v>Tracker</v>
      </c>
      <c r="Z1166" s="251" t="str">
        <f>IFERROR(__xludf.DUMMYFUNCTION("""COMPUTED_VALUE"""),"--")</f>
        <v>--</v>
      </c>
      <c r="AA1166" s="251" t="str">
        <f>IFERROR(__xludf.DUMMYFUNCTION("""COMPUTED_VALUE"""),"--")</f>
        <v>--</v>
      </c>
      <c r="AB1166" s="251" t="str">
        <f>IFERROR(__xludf.DUMMYFUNCTION("""COMPUTED_VALUE"""),"--")</f>
        <v>--</v>
      </c>
      <c r="AC1166" s="251" t="str">
        <f>IFERROR(__xludf.DUMMYFUNCTION("""COMPUTED_VALUE"""),"--")</f>
        <v>--</v>
      </c>
      <c r="AD1166" s="251">
        <f>IFERROR(__xludf.DUMMYFUNCTION("""COMPUTED_VALUE"""),3.0)</f>
        <v>3</v>
      </c>
      <c r="AE1166" s="251" t="str">
        <f>IFERROR(__xludf.DUMMYFUNCTION("""COMPUTED_VALUE"""),"Nullivore")</f>
        <v>Nullivore</v>
      </c>
    </row>
    <row r="1167">
      <c r="A1167" s="251" t="str">
        <f>IFERROR(__xludf.DUMMYFUNCTION("""COMPUTED_VALUE"""),"Hisuian Sneasel")</f>
        <v>Hisuian Sneasel</v>
      </c>
      <c r="B1167" s="251" t="str">
        <f>IFERROR(__xludf.DUMMYFUNCTION("""COMPUTED_VALUE"""),"Poison")</f>
        <v>Poison</v>
      </c>
      <c r="C1167" s="251" t="str">
        <f>IFERROR(__xludf.DUMMYFUNCTION("""COMPUTED_VALUE"""),"Fighting")</f>
        <v>Fighting</v>
      </c>
      <c r="D1167" s="251">
        <f>IFERROR(__xludf.DUMMYFUNCTION("""COMPUTED_VALUE"""),7.0)</f>
        <v>7</v>
      </c>
      <c r="E1167" s="251">
        <f>IFERROR(__xludf.DUMMYFUNCTION("""COMPUTED_VALUE"""),12.0)</f>
        <v>12</v>
      </c>
      <c r="F1167" s="251">
        <f>IFERROR(__xludf.DUMMYFUNCTION("""COMPUTED_VALUE"""),6.0)</f>
        <v>6</v>
      </c>
      <c r="G1167" s="251">
        <f>IFERROR(__xludf.DUMMYFUNCTION("""COMPUTED_VALUE"""),4.0)</f>
        <v>4</v>
      </c>
      <c r="H1167" s="251">
        <f>IFERROR(__xludf.DUMMYFUNCTION("""COMPUTED_VALUE"""),8.0)</f>
        <v>8</v>
      </c>
      <c r="I1167" s="251">
        <f>IFERROR(__xludf.DUMMYFUNCTION("""COMPUTED_VALUE"""),14.0)</f>
        <v>14</v>
      </c>
      <c r="J1167" s="251">
        <f>IFERROR(__xludf.DUMMYFUNCTION("""COMPUTED_VALUE"""),2.0)</f>
        <v>2</v>
      </c>
      <c r="K1167" s="251" t="str">
        <f>IFERROR(__xludf.DUMMYFUNCTION("""COMPUTED_VALUE"""),"Small")</f>
        <v>Small</v>
      </c>
      <c r="L1167" s="251">
        <f>IFERROR(__xludf.DUMMYFUNCTION("""COMPUTED_VALUE"""),3.0)</f>
        <v>3</v>
      </c>
      <c r="M1167" s="251" t="str">
        <f>IFERROR(__xludf.DUMMYFUNCTION("""COMPUTED_VALUE"""),"Wetlands")</f>
        <v>Wetlands</v>
      </c>
      <c r="N1167" s="251" t="str">
        <f>IFERROR(__xludf.DUMMYFUNCTION("""COMPUTED_VALUE"""),"Climber")</f>
        <v>Climber</v>
      </c>
      <c r="O1167" s="251" t="str">
        <f>IFERROR(__xludf.DUMMYFUNCTION("""COMPUTED_VALUE"""),"Quick")</f>
        <v>Quick</v>
      </c>
      <c r="P1167" s="251" t="str">
        <f>IFERROR(__xludf.DUMMYFUNCTION("""COMPUTED_VALUE"""),"--")</f>
        <v>--</v>
      </c>
      <c r="Q1167" s="251" t="str">
        <f>IFERROR(__xludf.DUMMYFUNCTION("""COMPUTED_VALUE"""),"--")</f>
        <v>--</v>
      </c>
      <c r="R1167" s="251" t="str">
        <f>IFERROR(__xludf.DUMMYFUNCTION("""COMPUTED_VALUE"""),"--")</f>
        <v>--</v>
      </c>
      <c r="S1167" s="251" t="str">
        <f>IFERROR(__xludf.DUMMYFUNCTION("""COMPUTED_VALUE"""),"--")</f>
        <v>--</v>
      </c>
      <c r="T1167" s="251" t="str">
        <f>IFERROR(__xludf.DUMMYFUNCTION("""COMPUTED_VALUE"""),"--")</f>
        <v>--</v>
      </c>
      <c r="U1167" s="251" t="str">
        <f>IFERROR(__xludf.DUMMYFUNCTION("""COMPUTED_VALUE"""),"--")</f>
        <v>--</v>
      </c>
      <c r="V1167" s="251" t="str">
        <f>IFERROR(__xludf.DUMMYFUNCTION("""COMPUTED_VALUE"""),"--")</f>
        <v>--</v>
      </c>
      <c r="W1167" s="251" t="str">
        <f>IFERROR(__xludf.DUMMYFUNCTION("""COMPUTED_VALUE"""),"--")</f>
        <v>--</v>
      </c>
      <c r="X1167" s="251" t="str">
        <f>IFERROR(__xludf.DUMMYFUNCTION("""COMPUTED_VALUE"""),"--")</f>
        <v>--</v>
      </c>
      <c r="Y1167" s="251" t="str">
        <f>IFERROR(__xludf.DUMMYFUNCTION("""COMPUTED_VALUE"""),"--")</f>
        <v>--</v>
      </c>
      <c r="Z1167" s="251" t="str">
        <f>IFERROR(__xludf.DUMMYFUNCTION("""COMPUTED_VALUE"""),"--")</f>
        <v>--</v>
      </c>
      <c r="AA1167" s="251" t="str">
        <f>IFERROR(__xludf.DUMMYFUNCTION("""COMPUTED_VALUE"""),"--")</f>
        <v>--</v>
      </c>
      <c r="AB1167" s="251" t="str">
        <f>IFERROR(__xludf.DUMMYFUNCTION("""COMPUTED_VALUE"""),"--")</f>
        <v>--</v>
      </c>
      <c r="AC1167" s="251" t="str">
        <f>IFERROR(__xludf.DUMMYFUNCTION("""COMPUTED_VALUE"""),"--")</f>
        <v>--</v>
      </c>
      <c r="AD1167" s="251">
        <f>IFERROR(__xludf.DUMMYFUNCTION("""COMPUTED_VALUE"""),2.0)</f>
        <v>2</v>
      </c>
      <c r="AE1167" s="251" t="str">
        <f>IFERROR(__xludf.DUMMYFUNCTION("""COMPUTED_VALUE"""),"Omnivore")</f>
        <v>Omnivore</v>
      </c>
    </row>
    <row r="1168">
      <c r="A1168" s="251" t="str">
        <f>IFERROR(__xludf.DUMMYFUNCTION("""COMPUTED_VALUE"""),"Sneasler")</f>
        <v>Sneasler</v>
      </c>
      <c r="B1168" s="251" t="str">
        <f>IFERROR(__xludf.DUMMYFUNCTION("""COMPUTED_VALUE"""),"Poison")</f>
        <v>Poison</v>
      </c>
      <c r="C1168" s="251" t="str">
        <f>IFERROR(__xludf.DUMMYFUNCTION("""COMPUTED_VALUE"""),"Fighting")</f>
        <v>Fighting</v>
      </c>
      <c r="D1168" s="251">
        <f>IFERROR(__xludf.DUMMYFUNCTION("""COMPUTED_VALUE"""),8.0)</f>
        <v>8</v>
      </c>
      <c r="E1168" s="251">
        <f>IFERROR(__xludf.DUMMYFUNCTION("""COMPUTED_VALUE"""),14.0)</f>
        <v>14</v>
      </c>
      <c r="F1168" s="251">
        <f>IFERROR(__xludf.DUMMYFUNCTION("""COMPUTED_VALUE"""),7.0)</f>
        <v>7</v>
      </c>
      <c r="G1168" s="251">
        <f>IFERROR(__xludf.DUMMYFUNCTION("""COMPUTED_VALUE"""),5.0)</f>
        <v>5</v>
      </c>
      <c r="H1168" s="251">
        <f>IFERROR(__xludf.DUMMYFUNCTION("""COMPUTED_VALUE"""),9.0)</f>
        <v>9</v>
      </c>
      <c r="I1168" s="251">
        <f>IFERROR(__xludf.DUMMYFUNCTION("""COMPUTED_VALUE"""),15.0)</f>
        <v>15</v>
      </c>
      <c r="J1168" s="251">
        <f>IFERROR(__xludf.DUMMYFUNCTION("""COMPUTED_VALUE"""),3.0)</f>
        <v>3</v>
      </c>
      <c r="K1168" s="251" t="str">
        <f>IFERROR(__xludf.DUMMYFUNCTION("""COMPUTED_VALUE"""),"Medium")</f>
        <v>Medium</v>
      </c>
      <c r="L1168" s="251">
        <f>IFERROR(__xludf.DUMMYFUNCTION("""COMPUTED_VALUE"""),3.0)</f>
        <v>3</v>
      </c>
      <c r="M1168" s="251" t="str">
        <f>IFERROR(__xludf.DUMMYFUNCTION("""COMPUTED_VALUE"""),"Wetlands")</f>
        <v>Wetlands</v>
      </c>
      <c r="N1168" s="251" t="str">
        <f>IFERROR(__xludf.DUMMYFUNCTION("""COMPUTED_VALUE"""),"Climber")</f>
        <v>Climber</v>
      </c>
      <c r="O1168" s="251" t="str">
        <f>IFERROR(__xludf.DUMMYFUNCTION("""COMPUTED_VALUE"""),"Quick")</f>
        <v>Quick</v>
      </c>
      <c r="P1168" s="251" t="str">
        <f>IFERROR(__xludf.DUMMYFUNCTION("""COMPUTED_VALUE"""),"--")</f>
        <v>--</v>
      </c>
      <c r="Q1168" s="251" t="str">
        <f>IFERROR(__xludf.DUMMYFUNCTION("""COMPUTED_VALUE"""),"--")</f>
        <v>--</v>
      </c>
      <c r="R1168" s="251" t="str">
        <f>IFERROR(__xludf.DUMMYFUNCTION("""COMPUTED_VALUE"""),"--")</f>
        <v>--</v>
      </c>
      <c r="S1168" s="251" t="str">
        <f>IFERROR(__xludf.DUMMYFUNCTION("""COMPUTED_VALUE"""),"--")</f>
        <v>--</v>
      </c>
      <c r="T1168" s="251" t="str">
        <f>IFERROR(__xludf.DUMMYFUNCTION("""COMPUTED_VALUE"""),"--")</f>
        <v>--</v>
      </c>
      <c r="U1168" s="251" t="str">
        <f>IFERROR(__xludf.DUMMYFUNCTION("""COMPUTED_VALUE"""),"--")</f>
        <v>--</v>
      </c>
      <c r="V1168" s="251" t="str">
        <f>IFERROR(__xludf.DUMMYFUNCTION("""COMPUTED_VALUE"""),"--")</f>
        <v>--</v>
      </c>
      <c r="W1168" s="251" t="str">
        <f>IFERROR(__xludf.DUMMYFUNCTION("""COMPUTED_VALUE"""),"--")</f>
        <v>--</v>
      </c>
      <c r="X1168" s="251" t="str">
        <f>IFERROR(__xludf.DUMMYFUNCTION("""COMPUTED_VALUE"""),"--")</f>
        <v>--</v>
      </c>
      <c r="Y1168" s="251" t="str">
        <f>IFERROR(__xludf.DUMMYFUNCTION("""COMPUTED_VALUE"""),"--")</f>
        <v>--</v>
      </c>
      <c r="Z1168" s="251" t="str">
        <f>IFERROR(__xludf.DUMMYFUNCTION("""COMPUTED_VALUE"""),"--")</f>
        <v>--</v>
      </c>
      <c r="AA1168" s="251" t="str">
        <f>IFERROR(__xludf.DUMMYFUNCTION("""COMPUTED_VALUE"""),"--")</f>
        <v>--</v>
      </c>
      <c r="AB1168" s="251" t="str">
        <f>IFERROR(__xludf.DUMMYFUNCTION("""COMPUTED_VALUE"""),"--")</f>
        <v>--</v>
      </c>
      <c r="AC1168" s="251" t="str">
        <f>IFERROR(__xludf.DUMMYFUNCTION("""COMPUTED_VALUE"""),"--")</f>
        <v>--</v>
      </c>
      <c r="AD1168" s="251">
        <f>IFERROR(__xludf.DUMMYFUNCTION("""COMPUTED_VALUE"""),3.0)</f>
        <v>3</v>
      </c>
      <c r="AE1168" s="251" t="str">
        <f>IFERROR(__xludf.DUMMYFUNCTION("""COMPUTED_VALUE"""),"Omnivore")</f>
        <v>Omnivore</v>
      </c>
    </row>
    <row r="1169">
      <c r="A1169" s="251" t="str">
        <f>IFERROR(__xludf.DUMMYFUNCTION("""COMPUTED_VALUE"""),"Paldean Wooper")</f>
        <v>Paldean Wooper</v>
      </c>
      <c r="B1169" s="251" t="str">
        <f>IFERROR(__xludf.DUMMYFUNCTION("""COMPUTED_VALUE"""),"Poison")</f>
        <v>Poison</v>
      </c>
      <c r="C1169" s="251" t="str">
        <f>IFERROR(__xludf.DUMMYFUNCTION("""COMPUTED_VALUE"""),"Ground")</f>
        <v>Ground</v>
      </c>
      <c r="D1169" s="251">
        <f>IFERROR(__xludf.DUMMYFUNCTION("""COMPUTED_VALUE"""),8.0)</f>
        <v>8</v>
      </c>
      <c r="E1169" s="251">
        <f>IFERROR(__xludf.DUMMYFUNCTION("""COMPUTED_VALUE"""),6.0)</f>
        <v>6</v>
      </c>
      <c r="F1169" s="251">
        <f>IFERROR(__xludf.DUMMYFUNCTION("""COMPUTED_VALUE"""),6.0)</f>
        <v>6</v>
      </c>
      <c r="G1169" s="251">
        <f>IFERROR(__xludf.DUMMYFUNCTION("""COMPUTED_VALUE"""),4.0)</f>
        <v>4</v>
      </c>
      <c r="H1169" s="251">
        <f>IFERROR(__xludf.DUMMYFUNCTION("""COMPUTED_VALUE"""),4.0)</f>
        <v>4</v>
      </c>
      <c r="I1169" s="251">
        <f>IFERROR(__xludf.DUMMYFUNCTION("""COMPUTED_VALUE"""),2.0)</f>
        <v>2</v>
      </c>
      <c r="J1169" s="251">
        <f>IFERROR(__xludf.DUMMYFUNCTION("""COMPUTED_VALUE"""),1.0)</f>
        <v>1</v>
      </c>
      <c r="K1169" s="251" t="str">
        <f>IFERROR(__xludf.DUMMYFUNCTION("""COMPUTED_VALUE"""),"Small")</f>
        <v>Small</v>
      </c>
      <c r="L1169" s="251">
        <f>IFERROR(__xludf.DUMMYFUNCTION("""COMPUTED_VALUE"""),1.0)</f>
        <v>1</v>
      </c>
      <c r="M1169" s="251" t="str">
        <f>IFERROR(__xludf.DUMMYFUNCTION("""COMPUTED_VALUE"""),"Wetlands")</f>
        <v>Wetlands</v>
      </c>
      <c r="N1169" s="251" t="str">
        <f>IFERROR(__xludf.DUMMYFUNCTION("""COMPUTED_VALUE"""),"Swimmer")</f>
        <v>Swimmer</v>
      </c>
      <c r="O1169" s="251" t="str">
        <f>IFERROR(__xludf.DUMMYFUNCTION("""COMPUTED_VALUE"""),"--")</f>
        <v>--</v>
      </c>
      <c r="P1169" s="251" t="str">
        <f>IFERROR(__xludf.DUMMYFUNCTION("""COMPUTED_VALUE"""),"--")</f>
        <v>--</v>
      </c>
      <c r="Q1169" s="251" t="str">
        <f>IFERROR(__xludf.DUMMYFUNCTION("""COMPUTED_VALUE"""),"--")</f>
        <v>--</v>
      </c>
      <c r="R1169" s="251" t="str">
        <f>IFERROR(__xludf.DUMMYFUNCTION("""COMPUTED_VALUE"""),"Groundshaper")</f>
        <v>Groundshaper</v>
      </c>
      <c r="S1169" s="251" t="str">
        <f>IFERROR(__xludf.DUMMYFUNCTION("""COMPUTED_VALUE"""),"Underdog")</f>
        <v>Underdog</v>
      </c>
      <c r="T1169" s="251" t="str">
        <f>IFERROR(__xludf.DUMMYFUNCTION("""COMPUTED_VALUE"""),"--")</f>
        <v>--</v>
      </c>
      <c r="U1169" s="251" t="str">
        <f>IFERROR(__xludf.DUMMYFUNCTION("""COMPUTED_VALUE"""),"--")</f>
        <v>--</v>
      </c>
      <c r="V1169" s="251" t="str">
        <f>IFERROR(__xludf.DUMMYFUNCTION("""COMPUTED_VALUE"""),"Gilled")</f>
        <v>Gilled</v>
      </c>
      <c r="W1169" s="251" t="str">
        <f>IFERROR(__xludf.DUMMYFUNCTION("""COMPUTED_VALUE"""),"Tremorsense")</f>
        <v>Tremorsense</v>
      </c>
      <c r="X1169" s="251" t="str">
        <f>IFERROR(__xludf.DUMMYFUNCTION("""COMPUTED_VALUE"""),"--")</f>
        <v>--</v>
      </c>
      <c r="Y1169" s="251" t="str">
        <f>IFERROR(__xludf.DUMMYFUNCTION("""COMPUTED_VALUE"""),"--")</f>
        <v>--</v>
      </c>
      <c r="Z1169" s="251" t="str">
        <f>IFERROR(__xludf.DUMMYFUNCTION("""COMPUTED_VALUE"""),"--")</f>
        <v>--</v>
      </c>
      <c r="AA1169" s="251" t="str">
        <f>IFERROR(__xludf.DUMMYFUNCTION("""COMPUTED_VALUE"""),"--")</f>
        <v>--</v>
      </c>
      <c r="AB1169" s="251" t="str">
        <f>IFERROR(__xludf.DUMMYFUNCTION("""COMPUTED_VALUE"""),"--")</f>
        <v>--</v>
      </c>
      <c r="AC1169" s="251" t="str">
        <f>IFERROR(__xludf.DUMMYFUNCTION("""COMPUTED_VALUE"""),"--")</f>
        <v>--</v>
      </c>
      <c r="AD1169" s="251">
        <f>IFERROR(__xludf.DUMMYFUNCTION("""COMPUTED_VALUE"""),2.0)</f>
        <v>2</v>
      </c>
      <c r="AE1169" s="251" t="str">
        <f>IFERROR(__xludf.DUMMYFUNCTION("""COMPUTED_VALUE"""),"Herbivore")</f>
        <v>Herbivore</v>
      </c>
    </row>
    <row r="1170">
      <c r="A1170" s="251" t="str">
        <f>IFERROR(__xludf.DUMMYFUNCTION("""COMPUTED_VALUE"""),"Clodsire")</f>
        <v>Clodsire</v>
      </c>
      <c r="B1170" s="251" t="str">
        <f>IFERROR(__xludf.DUMMYFUNCTION("""COMPUTED_VALUE"""),"Poison")</f>
        <v>Poison</v>
      </c>
      <c r="C1170" s="251" t="str">
        <f>IFERROR(__xludf.DUMMYFUNCTION("""COMPUTED_VALUE"""),"Ground")</f>
        <v>Ground</v>
      </c>
      <c r="D1170" s="251">
        <f>IFERROR(__xludf.DUMMYFUNCTION("""COMPUTED_VALUE"""),15.0)</f>
        <v>15</v>
      </c>
      <c r="E1170" s="251">
        <f>IFERROR(__xludf.DUMMYFUNCTION("""COMPUTED_VALUE"""),12.0)</f>
        <v>12</v>
      </c>
      <c r="F1170" s="251">
        <f>IFERROR(__xludf.DUMMYFUNCTION("""COMPUTED_VALUE"""),6.0)</f>
        <v>6</v>
      </c>
      <c r="G1170" s="251">
        <f>IFERROR(__xludf.DUMMYFUNCTION("""COMPUTED_VALUE"""),6.0)</f>
        <v>6</v>
      </c>
      <c r="H1170" s="251">
        <f>IFERROR(__xludf.DUMMYFUNCTION("""COMPUTED_VALUE"""),10.0)</f>
        <v>10</v>
      </c>
      <c r="I1170" s="251">
        <f>IFERROR(__xludf.DUMMYFUNCTION("""COMPUTED_VALUE"""),2.0)</f>
        <v>2</v>
      </c>
      <c r="J1170" s="251">
        <f>IFERROR(__xludf.DUMMYFUNCTION("""COMPUTED_VALUE"""),4.0)</f>
        <v>4</v>
      </c>
      <c r="K1170" s="251" t="str">
        <f>IFERROR(__xludf.DUMMYFUNCTION("""COMPUTED_VALUE"""),"Medium")</f>
        <v>Medium</v>
      </c>
      <c r="L1170" s="251">
        <f>IFERROR(__xludf.DUMMYFUNCTION("""COMPUTED_VALUE"""),6.0)</f>
        <v>6</v>
      </c>
      <c r="M1170" s="251" t="str">
        <f>IFERROR(__xludf.DUMMYFUNCTION("""COMPUTED_VALUE"""),"Wetlands")</f>
        <v>Wetlands</v>
      </c>
      <c r="N1170" s="251" t="str">
        <f>IFERROR(__xludf.DUMMYFUNCTION("""COMPUTED_VALUE"""),"Swimmer")</f>
        <v>Swimmer</v>
      </c>
      <c r="O1170" s="251" t="str">
        <f>IFERROR(__xludf.DUMMYFUNCTION("""COMPUTED_VALUE"""),"--")</f>
        <v>--</v>
      </c>
      <c r="P1170" s="251" t="str">
        <f>IFERROR(__xludf.DUMMYFUNCTION("""COMPUTED_VALUE"""),"--")</f>
        <v>--</v>
      </c>
      <c r="Q1170" s="251" t="str">
        <f>IFERROR(__xludf.DUMMYFUNCTION("""COMPUTED_VALUE"""),"--")</f>
        <v>--</v>
      </c>
      <c r="R1170" s="251" t="str">
        <f>IFERROR(__xludf.DUMMYFUNCTION("""COMPUTED_VALUE"""),"Groundshaper")</f>
        <v>Groundshaper</v>
      </c>
      <c r="S1170" s="251" t="str">
        <f>IFERROR(__xludf.DUMMYFUNCTION("""COMPUTED_VALUE"""),"--")</f>
        <v>--</v>
      </c>
      <c r="T1170" s="251" t="str">
        <f>IFERROR(__xludf.DUMMYFUNCTION("""COMPUTED_VALUE"""),"--")</f>
        <v>--</v>
      </c>
      <c r="U1170" s="251" t="str">
        <f>IFERROR(__xludf.DUMMYFUNCTION("""COMPUTED_VALUE"""),"--")</f>
        <v>--</v>
      </c>
      <c r="V1170" s="251" t="str">
        <f>IFERROR(__xludf.DUMMYFUNCTION("""COMPUTED_VALUE"""),"Gilled")</f>
        <v>Gilled</v>
      </c>
      <c r="W1170" s="251" t="str">
        <f>IFERROR(__xludf.DUMMYFUNCTION("""COMPUTED_VALUE"""),"Tremorsense")</f>
        <v>Tremorsense</v>
      </c>
      <c r="X1170" s="251" t="str">
        <f>IFERROR(__xludf.DUMMYFUNCTION("""COMPUTED_VALUE"""),"--")</f>
        <v>--</v>
      </c>
      <c r="Y1170" s="251" t="str">
        <f>IFERROR(__xludf.DUMMYFUNCTION("""COMPUTED_VALUE"""),"--")</f>
        <v>--</v>
      </c>
      <c r="Z1170" s="251" t="str">
        <f>IFERROR(__xludf.DUMMYFUNCTION("""COMPUTED_VALUE"""),"--")</f>
        <v>--</v>
      </c>
      <c r="AA1170" s="251" t="str">
        <f>IFERROR(__xludf.DUMMYFUNCTION("""COMPUTED_VALUE"""),"--")</f>
        <v>--</v>
      </c>
      <c r="AB1170" s="251" t="str">
        <f>IFERROR(__xludf.DUMMYFUNCTION("""COMPUTED_VALUE"""),"--")</f>
        <v>--</v>
      </c>
      <c r="AC1170" s="251" t="str">
        <f>IFERROR(__xludf.DUMMYFUNCTION("""COMPUTED_VALUE"""),"--")</f>
        <v>--</v>
      </c>
      <c r="AD1170" s="251">
        <f>IFERROR(__xludf.DUMMYFUNCTION("""COMPUTED_VALUE"""),3.0)</f>
        <v>3</v>
      </c>
      <c r="AE1170" s="251" t="str">
        <f>IFERROR(__xludf.DUMMYFUNCTION("""COMPUTED_VALUE"""),"Herbivore")</f>
        <v>Herbivore</v>
      </c>
    </row>
    <row r="1171">
      <c r="A1171" s="251" t="str">
        <f>IFERROR(__xludf.DUMMYFUNCTION("""COMPUTED_VALUE"""),"Toedscool")</f>
        <v>Toedscool</v>
      </c>
      <c r="B1171" s="251" t="str">
        <f>IFERROR(__xludf.DUMMYFUNCTION("""COMPUTED_VALUE"""),"Ground")</f>
        <v>Ground</v>
      </c>
      <c r="C1171" s="251" t="str">
        <f>IFERROR(__xludf.DUMMYFUNCTION("""COMPUTED_VALUE"""),"Grass")</f>
        <v>Grass</v>
      </c>
      <c r="D1171" s="251">
        <f>IFERROR(__xludf.DUMMYFUNCTION("""COMPUTED_VALUE"""),4.0)</f>
        <v>4</v>
      </c>
      <c r="E1171" s="251">
        <f>IFERROR(__xludf.DUMMYFUNCTION("""COMPUTED_VALUE"""),4.0)</f>
        <v>4</v>
      </c>
      <c r="F1171" s="251">
        <f>IFERROR(__xludf.DUMMYFUNCTION("""COMPUTED_VALUE"""),4.0)</f>
        <v>4</v>
      </c>
      <c r="G1171" s="251">
        <f>IFERROR(__xludf.DUMMYFUNCTION("""COMPUTED_VALUE"""),5.0)</f>
        <v>5</v>
      </c>
      <c r="H1171" s="251">
        <f>IFERROR(__xludf.DUMMYFUNCTION("""COMPUTED_VALUE"""),10.0)</f>
        <v>10</v>
      </c>
      <c r="I1171" s="251">
        <f>IFERROR(__xludf.DUMMYFUNCTION("""COMPUTED_VALUE"""),7.0)</f>
        <v>7</v>
      </c>
      <c r="J1171" s="251">
        <f>IFERROR(__xludf.DUMMYFUNCTION("""COMPUTED_VALUE"""),3.0)</f>
        <v>3</v>
      </c>
      <c r="K1171" s="251" t="str">
        <f>IFERROR(__xludf.DUMMYFUNCTION("""COMPUTED_VALUE"""),"Small")</f>
        <v>Small</v>
      </c>
      <c r="L1171" s="251">
        <f>IFERROR(__xludf.DUMMYFUNCTION("""COMPUTED_VALUE"""),3.0)</f>
        <v>3</v>
      </c>
      <c r="M1171" s="251" t="str">
        <f>IFERROR(__xludf.DUMMYFUNCTION("""COMPUTED_VALUE"""),"Forest")</f>
        <v>Forest</v>
      </c>
      <c r="N1171" s="251" t="str">
        <f>IFERROR(__xludf.DUMMYFUNCTION("""COMPUTED_VALUE"""),"Quick")</f>
        <v>Quick</v>
      </c>
      <c r="O1171" s="251" t="str">
        <f>IFERROR(__xludf.DUMMYFUNCTION("""COMPUTED_VALUE"""),"--")</f>
        <v>--</v>
      </c>
      <c r="P1171" s="251" t="str">
        <f>IFERROR(__xludf.DUMMYFUNCTION("""COMPUTED_VALUE"""),"--")</f>
        <v>--</v>
      </c>
      <c r="Q1171" s="251" t="str">
        <f>IFERROR(__xludf.DUMMYFUNCTION("""COMPUTED_VALUE"""),"--")</f>
        <v>--</v>
      </c>
      <c r="R1171" s="251" t="str">
        <f>IFERROR(__xludf.DUMMYFUNCTION("""COMPUTED_VALUE"""),"Groundshaper")</f>
        <v>Groundshaper</v>
      </c>
      <c r="S1171" s="251" t="str">
        <f>IFERROR(__xludf.DUMMYFUNCTION("""COMPUTED_VALUE"""),"Reach")</f>
        <v>Reach</v>
      </c>
      <c r="T1171" s="251" t="str">
        <f>IFERROR(__xludf.DUMMYFUNCTION("""COMPUTED_VALUE"""),"Underdog")</f>
        <v>Underdog</v>
      </c>
      <c r="U1171" s="251" t="str">
        <f>IFERROR(__xludf.DUMMYFUNCTION("""COMPUTED_VALUE"""),"--")</f>
        <v>--</v>
      </c>
      <c r="V1171" s="251" t="str">
        <f>IFERROR(__xludf.DUMMYFUNCTION("""COMPUTED_VALUE"""),"Pack Mon")</f>
        <v>Pack Mon</v>
      </c>
      <c r="W1171" s="251" t="str">
        <f>IFERROR(__xludf.DUMMYFUNCTION("""COMPUTED_VALUE"""),"--")</f>
        <v>--</v>
      </c>
      <c r="X1171" s="251" t="str">
        <f>IFERROR(__xludf.DUMMYFUNCTION("""COMPUTED_VALUE"""),"--")</f>
        <v>--</v>
      </c>
      <c r="Y1171" s="251" t="str">
        <f>IFERROR(__xludf.DUMMYFUNCTION("""COMPUTED_VALUE"""),"--")</f>
        <v>--</v>
      </c>
      <c r="Z1171" s="251" t="str">
        <f>IFERROR(__xludf.DUMMYFUNCTION("""COMPUTED_VALUE"""),"--")</f>
        <v>--</v>
      </c>
      <c r="AA1171" s="251" t="str">
        <f>IFERROR(__xludf.DUMMYFUNCTION("""COMPUTED_VALUE"""),"--")</f>
        <v>--</v>
      </c>
      <c r="AB1171" s="251" t="str">
        <f>IFERROR(__xludf.DUMMYFUNCTION("""COMPUTED_VALUE"""),"--")</f>
        <v>--</v>
      </c>
      <c r="AC1171" s="251" t="str">
        <f>IFERROR(__xludf.DUMMYFUNCTION("""COMPUTED_VALUE"""),"--")</f>
        <v>--</v>
      </c>
      <c r="AD1171" s="251">
        <f>IFERROR(__xludf.DUMMYFUNCTION("""COMPUTED_VALUE"""),2.0)</f>
        <v>2</v>
      </c>
      <c r="AE1171" s="251" t="str">
        <f>IFERROR(__xludf.DUMMYFUNCTION("""COMPUTED_VALUE"""),"Detritivore")</f>
        <v>Detritivore</v>
      </c>
    </row>
    <row r="1172">
      <c r="A1172" s="251" t="str">
        <f>IFERROR(__xludf.DUMMYFUNCTION("""COMPUTED_VALUE"""),"Toedscruel")</f>
        <v>Toedscruel</v>
      </c>
      <c r="B1172" s="251" t="str">
        <f>IFERROR(__xludf.DUMMYFUNCTION("""COMPUTED_VALUE"""),"Ground")</f>
        <v>Ground</v>
      </c>
      <c r="C1172" s="251" t="str">
        <f>IFERROR(__xludf.DUMMYFUNCTION("""COMPUTED_VALUE"""),"Grass")</f>
        <v>Grass</v>
      </c>
      <c r="D1172" s="251">
        <f>IFERROR(__xludf.DUMMYFUNCTION("""COMPUTED_VALUE"""),8.0)</f>
        <v>8</v>
      </c>
      <c r="E1172" s="251">
        <f>IFERROR(__xludf.DUMMYFUNCTION("""COMPUTED_VALUE"""),7.0)</f>
        <v>7</v>
      </c>
      <c r="F1172" s="251">
        <f>IFERROR(__xludf.DUMMYFUNCTION("""COMPUTED_VALUE"""),7.0)</f>
        <v>7</v>
      </c>
      <c r="G1172" s="251">
        <f>IFERROR(__xludf.DUMMYFUNCTION("""COMPUTED_VALUE"""),8.0)</f>
        <v>8</v>
      </c>
      <c r="H1172" s="251">
        <f>IFERROR(__xludf.DUMMYFUNCTION("""COMPUTED_VALUE"""),12.0)</f>
        <v>12</v>
      </c>
      <c r="I1172" s="251">
        <f>IFERROR(__xludf.DUMMYFUNCTION("""COMPUTED_VALUE"""),10.0)</f>
        <v>10</v>
      </c>
      <c r="J1172" s="251">
        <f>IFERROR(__xludf.DUMMYFUNCTION("""COMPUTED_VALUE"""),8.0)</f>
        <v>8</v>
      </c>
      <c r="K1172" s="251" t="str">
        <f>IFERROR(__xludf.DUMMYFUNCTION("""COMPUTED_VALUE"""),"Medium")</f>
        <v>Medium</v>
      </c>
      <c r="L1172" s="251">
        <f>IFERROR(__xludf.DUMMYFUNCTION("""COMPUTED_VALUE"""),4.0)</f>
        <v>4</v>
      </c>
      <c r="M1172" s="251" t="str">
        <f>IFERROR(__xludf.DUMMYFUNCTION("""COMPUTED_VALUE"""),"Forest")</f>
        <v>Forest</v>
      </c>
      <c r="N1172" s="251" t="str">
        <f>IFERROR(__xludf.DUMMYFUNCTION("""COMPUTED_VALUE"""),"Quick")</f>
        <v>Quick</v>
      </c>
      <c r="O1172" s="251" t="str">
        <f>IFERROR(__xludf.DUMMYFUNCTION("""COMPUTED_VALUE"""),"--")</f>
        <v>--</v>
      </c>
      <c r="P1172" s="251" t="str">
        <f>IFERROR(__xludf.DUMMYFUNCTION("""COMPUTED_VALUE"""),"--")</f>
        <v>--</v>
      </c>
      <c r="Q1172" s="251" t="str">
        <f>IFERROR(__xludf.DUMMYFUNCTION("""COMPUTED_VALUE"""),"--")</f>
        <v>--</v>
      </c>
      <c r="R1172" s="251" t="str">
        <f>IFERROR(__xludf.DUMMYFUNCTION("""COMPUTED_VALUE"""),"Groundshaper")</f>
        <v>Groundshaper</v>
      </c>
      <c r="S1172" s="251" t="str">
        <f>IFERROR(__xludf.DUMMYFUNCTION("""COMPUTED_VALUE"""),"Reach")</f>
        <v>Reach</v>
      </c>
      <c r="T1172" s="251" t="str">
        <f>IFERROR(__xludf.DUMMYFUNCTION("""COMPUTED_VALUE"""),"--")</f>
        <v>--</v>
      </c>
      <c r="U1172" s="251" t="str">
        <f>IFERROR(__xludf.DUMMYFUNCTION("""COMPUTED_VALUE"""),"--")</f>
        <v>--</v>
      </c>
      <c r="V1172" s="251" t="str">
        <f>IFERROR(__xludf.DUMMYFUNCTION("""COMPUTED_VALUE"""),"Pack Mon")</f>
        <v>Pack Mon</v>
      </c>
      <c r="W1172" s="251" t="str">
        <f>IFERROR(__xludf.DUMMYFUNCTION("""COMPUTED_VALUE"""),"--")</f>
        <v>--</v>
      </c>
      <c r="X1172" s="251" t="str">
        <f>IFERROR(__xludf.DUMMYFUNCTION("""COMPUTED_VALUE"""),"--")</f>
        <v>--</v>
      </c>
      <c r="Y1172" s="251" t="str">
        <f>IFERROR(__xludf.DUMMYFUNCTION("""COMPUTED_VALUE"""),"--")</f>
        <v>--</v>
      </c>
      <c r="Z1172" s="251" t="str">
        <f>IFERROR(__xludf.DUMMYFUNCTION("""COMPUTED_VALUE"""),"--")</f>
        <v>--</v>
      </c>
      <c r="AA1172" s="251" t="str">
        <f>IFERROR(__xludf.DUMMYFUNCTION("""COMPUTED_VALUE"""),"--")</f>
        <v>--</v>
      </c>
      <c r="AB1172" s="251" t="str">
        <f>IFERROR(__xludf.DUMMYFUNCTION("""COMPUTED_VALUE"""),"--")</f>
        <v>--</v>
      </c>
      <c r="AC1172" s="251" t="str">
        <f>IFERROR(__xludf.DUMMYFUNCTION("""COMPUTED_VALUE"""),"--")</f>
        <v>--</v>
      </c>
      <c r="AD1172" s="251">
        <f>IFERROR(__xludf.DUMMYFUNCTION("""COMPUTED_VALUE"""),3.0)</f>
        <v>3</v>
      </c>
      <c r="AE1172" s="251" t="str">
        <f>IFERROR(__xludf.DUMMYFUNCTION("""COMPUTED_VALUE"""),"Detritivore")</f>
        <v>Detritivore</v>
      </c>
    </row>
    <row r="1173">
      <c r="A1173" s="251" t="str">
        <f>IFERROR(__xludf.DUMMYFUNCTION("""COMPUTED_VALUE"""),"Tauros (Combat Breed)")</f>
        <v>Tauros (Combat Breed)</v>
      </c>
      <c r="B1173" s="251" t="str">
        <f>IFERROR(__xludf.DUMMYFUNCTION("""COMPUTED_VALUE"""),"Fighting")</f>
        <v>Fighting</v>
      </c>
      <c r="C1173" s="251" t="str">
        <f>IFERROR(__xludf.DUMMYFUNCTION("""COMPUTED_VALUE"""),"None")</f>
        <v>None</v>
      </c>
      <c r="D1173" s="251">
        <f>IFERROR(__xludf.DUMMYFUNCTION("""COMPUTED_VALUE"""),8.0)</f>
        <v>8</v>
      </c>
      <c r="E1173" s="251">
        <f>IFERROR(__xludf.DUMMYFUNCTION("""COMPUTED_VALUE"""),11.0)</f>
        <v>11</v>
      </c>
      <c r="F1173" s="251">
        <f>IFERROR(__xludf.DUMMYFUNCTION("""COMPUTED_VALUE"""),11.0)</f>
        <v>11</v>
      </c>
      <c r="G1173" s="251">
        <f>IFERROR(__xludf.DUMMYFUNCTION("""COMPUTED_VALUE"""),4.0)</f>
        <v>4</v>
      </c>
      <c r="H1173" s="251">
        <f>IFERROR(__xludf.DUMMYFUNCTION("""COMPUTED_VALUE"""),7.0)</f>
        <v>7</v>
      </c>
      <c r="I1173" s="251">
        <f>IFERROR(__xludf.DUMMYFUNCTION("""COMPUTED_VALUE"""),10.0)</f>
        <v>10</v>
      </c>
      <c r="J1173" s="251">
        <f>IFERROR(__xludf.DUMMYFUNCTION("""COMPUTED_VALUE"""),10.0)</f>
        <v>10</v>
      </c>
      <c r="K1173" s="251" t="str">
        <f>IFERROR(__xludf.DUMMYFUNCTION("""COMPUTED_VALUE"""),"Medium")</f>
        <v>Medium</v>
      </c>
      <c r="L1173" s="251">
        <f>IFERROR(__xludf.DUMMYFUNCTION("""COMPUTED_VALUE"""),5.0)</f>
        <v>5</v>
      </c>
      <c r="M1173" s="251" t="str">
        <f>IFERROR(__xludf.DUMMYFUNCTION("""COMPUTED_VALUE"""),"Grasslands")</f>
        <v>Grasslands</v>
      </c>
      <c r="N1173" s="251" t="str">
        <f>IFERROR(__xludf.DUMMYFUNCTION("""COMPUTED_VALUE"""),"Quick")</f>
        <v>Quick</v>
      </c>
      <c r="O1173" s="251" t="str">
        <f>IFERROR(__xludf.DUMMYFUNCTION("""COMPUTED_VALUE"""),"--")</f>
        <v>--</v>
      </c>
      <c r="P1173" s="251" t="str">
        <f>IFERROR(__xludf.DUMMYFUNCTION("""COMPUTED_VALUE"""),"--")</f>
        <v>--</v>
      </c>
      <c r="Q1173" s="251" t="str">
        <f>IFERROR(__xludf.DUMMYFUNCTION("""COMPUTED_VALUE"""),"--")</f>
        <v>--</v>
      </c>
      <c r="R1173" s="251" t="str">
        <f>IFERROR(__xludf.DUMMYFUNCTION("""COMPUTED_VALUE"""),"Mountable")</f>
        <v>Mountable</v>
      </c>
      <c r="S1173" s="251" t="str">
        <f>IFERROR(__xludf.DUMMYFUNCTION("""COMPUTED_VALUE"""),"--")</f>
        <v>--</v>
      </c>
      <c r="T1173" s="251" t="str">
        <f>IFERROR(__xludf.DUMMYFUNCTION("""COMPUTED_VALUE"""),"--")</f>
        <v>--</v>
      </c>
      <c r="U1173" s="251" t="str">
        <f>IFERROR(__xludf.DUMMYFUNCTION("""COMPUTED_VALUE"""),"--")</f>
        <v>--</v>
      </c>
      <c r="V1173" s="251" t="str">
        <f>IFERROR(__xludf.DUMMYFUNCTION("""COMPUTED_VALUE"""),"Pack Mon")</f>
        <v>Pack Mon</v>
      </c>
      <c r="W1173" s="251" t="str">
        <f>IFERROR(__xludf.DUMMYFUNCTION("""COMPUTED_VALUE"""),"--")</f>
        <v>--</v>
      </c>
      <c r="X1173" s="251" t="str">
        <f>IFERROR(__xludf.DUMMYFUNCTION("""COMPUTED_VALUE"""),"--")</f>
        <v>--</v>
      </c>
      <c r="Y1173" s="251" t="str">
        <f>IFERROR(__xludf.DUMMYFUNCTION("""COMPUTED_VALUE"""),"--")</f>
        <v>--</v>
      </c>
      <c r="Z1173" s="251" t="str">
        <f>IFERROR(__xludf.DUMMYFUNCTION("""COMPUTED_VALUE"""),"--")</f>
        <v>--</v>
      </c>
      <c r="AA1173" s="251" t="str">
        <f>IFERROR(__xludf.DUMMYFUNCTION("""COMPUTED_VALUE"""),"--")</f>
        <v>--</v>
      </c>
      <c r="AB1173" s="251" t="str">
        <f>IFERROR(__xludf.DUMMYFUNCTION("""COMPUTED_VALUE"""),"--")</f>
        <v>--</v>
      </c>
      <c r="AC1173" s="251" t="str">
        <f>IFERROR(__xludf.DUMMYFUNCTION("""COMPUTED_VALUE"""),"--")</f>
        <v>--</v>
      </c>
      <c r="AD1173" s="251">
        <f>IFERROR(__xludf.DUMMYFUNCTION("""COMPUTED_VALUE"""),3.0)</f>
        <v>3</v>
      </c>
      <c r="AE1173" s="251" t="str">
        <f>IFERROR(__xludf.DUMMYFUNCTION("""COMPUTED_VALUE"""),"Herbivore")</f>
        <v>Herbivore</v>
      </c>
    </row>
    <row r="1174">
      <c r="A1174" s="251" t="str">
        <f>IFERROR(__xludf.DUMMYFUNCTION("""COMPUTED_VALUE"""),"Tauros (Blaze Breed)")</f>
        <v>Tauros (Blaze Breed)</v>
      </c>
      <c r="B1174" s="251" t="str">
        <f>IFERROR(__xludf.DUMMYFUNCTION("""COMPUTED_VALUE"""),"Fighting")</f>
        <v>Fighting</v>
      </c>
      <c r="C1174" s="251" t="str">
        <f>IFERROR(__xludf.DUMMYFUNCTION("""COMPUTED_VALUE"""),"Fire")</f>
        <v>Fire</v>
      </c>
      <c r="D1174" s="251">
        <f>IFERROR(__xludf.DUMMYFUNCTION("""COMPUTED_VALUE"""),8.0)</f>
        <v>8</v>
      </c>
      <c r="E1174" s="251">
        <f>IFERROR(__xludf.DUMMYFUNCTION("""COMPUTED_VALUE"""),11.0)</f>
        <v>11</v>
      </c>
      <c r="F1174" s="251">
        <f>IFERROR(__xludf.DUMMYFUNCTION("""COMPUTED_VALUE"""),11.0)</f>
        <v>11</v>
      </c>
      <c r="G1174" s="251">
        <f>IFERROR(__xludf.DUMMYFUNCTION("""COMPUTED_VALUE"""),4.0)</f>
        <v>4</v>
      </c>
      <c r="H1174" s="251">
        <f>IFERROR(__xludf.DUMMYFUNCTION("""COMPUTED_VALUE"""),7.0)</f>
        <v>7</v>
      </c>
      <c r="I1174" s="251">
        <f>IFERROR(__xludf.DUMMYFUNCTION("""COMPUTED_VALUE"""),10.0)</f>
        <v>10</v>
      </c>
      <c r="J1174" s="251">
        <f>IFERROR(__xludf.DUMMYFUNCTION("""COMPUTED_VALUE"""),9.0)</f>
        <v>9</v>
      </c>
      <c r="K1174" s="251" t="str">
        <f>IFERROR(__xludf.DUMMYFUNCTION("""COMPUTED_VALUE"""),"Medium")</f>
        <v>Medium</v>
      </c>
      <c r="L1174" s="251">
        <f>IFERROR(__xludf.DUMMYFUNCTION("""COMPUTED_VALUE"""),4.0)</f>
        <v>4</v>
      </c>
      <c r="M1174" s="251" t="str">
        <f>IFERROR(__xludf.DUMMYFUNCTION("""COMPUTED_VALUE"""),"Grasslands")</f>
        <v>Grasslands</v>
      </c>
      <c r="N1174" s="251" t="str">
        <f>IFERROR(__xludf.DUMMYFUNCTION("""COMPUTED_VALUE"""),"Quick")</f>
        <v>Quick</v>
      </c>
      <c r="O1174" s="251" t="str">
        <f>IFERROR(__xludf.DUMMYFUNCTION("""COMPUTED_VALUE"""),"--")</f>
        <v>--</v>
      </c>
      <c r="P1174" s="251" t="str">
        <f>IFERROR(__xludf.DUMMYFUNCTION("""COMPUTED_VALUE"""),"--")</f>
        <v>--</v>
      </c>
      <c r="Q1174" s="251" t="str">
        <f>IFERROR(__xludf.DUMMYFUNCTION("""COMPUTED_VALUE"""),"--")</f>
        <v>--</v>
      </c>
      <c r="R1174" s="251" t="str">
        <f>IFERROR(__xludf.DUMMYFUNCTION("""COMPUTED_VALUE"""),"Mountable")</f>
        <v>Mountable</v>
      </c>
      <c r="S1174" s="251" t="str">
        <f>IFERROR(__xludf.DUMMYFUNCTION("""COMPUTED_VALUE"""),"--")</f>
        <v>--</v>
      </c>
      <c r="T1174" s="251" t="str">
        <f>IFERROR(__xludf.DUMMYFUNCTION("""COMPUTED_VALUE"""),"--")</f>
        <v>--</v>
      </c>
      <c r="U1174" s="251" t="str">
        <f>IFERROR(__xludf.DUMMYFUNCTION("""COMPUTED_VALUE"""),"--")</f>
        <v>--</v>
      </c>
      <c r="V1174" s="251" t="str">
        <f>IFERROR(__xludf.DUMMYFUNCTION("""COMPUTED_VALUE"""),"Pack Mon")</f>
        <v>Pack Mon</v>
      </c>
      <c r="W1174" s="251" t="str">
        <f>IFERROR(__xludf.DUMMYFUNCTION("""COMPUTED_VALUE"""),"--")</f>
        <v>--</v>
      </c>
      <c r="X1174" s="251" t="str">
        <f>IFERROR(__xludf.DUMMYFUNCTION("""COMPUTED_VALUE"""),"--")</f>
        <v>--</v>
      </c>
      <c r="Y1174" s="251" t="str">
        <f>IFERROR(__xludf.DUMMYFUNCTION("""COMPUTED_VALUE"""),"--")</f>
        <v>--</v>
      </c>
      <c r="Z1174" s="251" t="str">
        <f>IFERROR(__xludf.DUMMYFUNCTION("""COMPUTED_VALUE"""),"--")</f>
        <v>--</v>
      </c>
      <c r="AA1174" s="251" t="str">
        <f>IFERROR(__xludf.DUMMYFUNCTION("""COMPUTED_VALUE"""),"--")</f>
        <v>--</v>
      </c>
      <c r="AB1174" s="251" t="str">
        <f>IFERROR(__xludf.DUMMYFUNCTION("""COMPUTED_VALUE"""),"--")</f>
        <v>--</v>
      </c>
      <c r="AC1174" s="251" t="str">
        <f>IFERROR(__xludf.DUMMYFUNCTION("""COMPUTED_VALUE"""),"--")</f>
        <v>--</v>
      </c>
      <c r="AD1174" s="251">
        <f>IFERROR(__xludf.DUMMYFUNCTION("""COMPUTED_VALUE"""),3.0)</f>
        <v>3</v>
      </c>
      <c r="AE1174" s="251" t="str">
        <f>IFERROR(__xludf.DUMMYFUNCTION("""COMPUTED_VALUE"""),"Herbivore")</f>
        <v>Herbivore</v>
      </c>
    </row>
    <row r="1175">
      <c r="A1175" s="251" t="str">
        <f>IFERROR(__xludf.DUMMYFUNCTION("""COMPUTED_VALUE"""),"Tauros (Aqua Breed)")</f>
        <v>Tauros (Aqua Breed)</v>
      </c>
      <c r="B1175" s="251" t="str">
        <f>IFERROR(__xludf.DUMMYFUNCTION("""COMPUTED_VALUE"""),"Fighting")</f>
        <v>Fighting</v>
      </c>
      <c r="C1175" s="251" t="str">
        <f>IFERROR(__xludf.DUMMYFUNCTION("""COMPUTED_VALUE"""),"Water")</f>
        <v>Water</v>
      </c>
      <c r="D1175" s="251">
        <f>IFERROR(__xludf.DUMMYFUNCTION("""COMPUTED_VALUE"""),8.0)</f>
        <v>8</v>
      </c>
      <c r="E1175" s="251">
        <f>IFERROR(__xludf.DUMMYFUNCTION("""COMPUTED_VALUE"""),11.0)</f>
        <v>11</v>
      </c>
      <c r="F1175" s="251">
        <f>IFERROR(__xludf.DUMMYFUNCTION("""COMPUTED_VALUE"""),11.0)</f>
        <v>11</v>
      </c>
      <c r="G1175" s="251">
        <f>IFERROR(__xludf.DUMMYFUNCTION("""COMPUTED_VALUE"""),4.0)</f>
        <v>4</v>
      </c>
      <c r="H1175" s="251">
        <f>IFERROR(__xludf.DUMMYFUNCTION("""COMPUTED_VALUE"""),7.0)</f>
        <v>7</v>
      </c>
      <c r="I1175" s="251">
        <f>IFERROR(__xludf.DUMMYFUNCTION("""COMPUTED_VALUE"""),10.0)</f>
        <v>10</v>
      </c>
      <c r="J1175" s="251">
        <f>IFERROR(__xludf.DUMMYFUNCTION("""COMPUTED_VALUE"""),8.0)</f>
        <v>8</v>
      </c>
      <c r="K1175" s="251" t="str">
        <f>IFERROR(__xludf.DUMMYFUNCTION("""COMPUTED_VALUE"""),"Medium")</f>
        <v>Medium</v>
      </c>
      <c r="L1175" s="251">
        <f>IFERROR(__xludf.DUMMYFUNCTION("""COMPUTED_VALUE"""),5.0)</f>
        <v>5</v>
      </c>
      <c r="M1175" s="251" t="str">
        <f>IFERROR(__xludf.DUMMYFUNCTION("""COMPUTED_VALUE"""),"Grasslands")</f>
        <v>Grasslands</v>
      </c>
      <c r="N1175" s="251" t="str">
        <f>IFERROR(__xludf.DUMMYFUNCTION("""COMPUTED_VALUE"""),"Quick")</f>
        <v>Quick</v>
      </c>
      <c r="O1175" s="251" t="str">
        <f>IFERROR(__xludf.DUMMYFUNCTION("""COMPUTED_VALUE"""),"--")</f>
        <v>--</v>
      </c>
      <c r="P1175" s="251" t="str">
        <f>IFERROR(__xludf.DUMMYFUNCTION("""COMPUTED_VALUE"""),"--")</f>
        <v>--</v>
      </c>
      <c r="Q1175" s="251" t="str">
        <f>IFERROR(__xludf.DUMMYFUNCTION("""COMPUTED_VALUE"""),"--")</f>
        <v>--</v>
      </c>
      <c r="R1175" s="251" t="str">
        <f>IFERROR(__xludf.DUMMYFUNCTION("""COMPUTED_VALUE"""),"Mountable")</f>
        <v>Mountable</v>
      </c>
      <c r="S1175" s="251" t="str">
        <f>IFERROR(__xludf.DUMMYFUNCTION("""COMPUTED_VALUE"""),"--")</f>
        <v>--</v>
      </c>
      <c r="T1175" s="251" t="str">
        <f>IFERROR(__xludf.DUMMYFUNCTION("""COMPUTED_VALUE"""),"--")</f>
        <v>--</v>
      </c>
      <c r="U1175" s="251" t="str">
        <f>IFERROR(__xludf.DUMMYFUNCTION("""COMPUTED_VALUE"""),"--")</f>
        <v>--</v>
      </c>
      <c r="V1175" s="251" t="str">
        <f>IFERROR(__xludf.DUMMYFUNCTION("""COMPUTED_VALUE"""),"Pack Mon")</f>
        <v>Pack Mon</v>
      </c>
      <c r="W1175" s="251" t="str">
        <f>IFERROR(__xludf.DUMMYFUNCTION("""COMPUTED_VALUE"""),"--")</f>
        <v>--</v>
      </c>
      <c r="X1175" s="251" t="str">
        <f>IFERROR(__xludf.DUMMYFUNCTION("""COMPUTED_VALUE"""),"--")</f>
        <v>--</v>
      </c>
      <c r="Y1175" s="251" t="str">
        <f>IFERROR(__xludf.DUMMYFUNCTION("""COMPUTED_VALUE"""),"--")</f>
        <v>--</v>
      </c>
      <c r="Z1175" s="251" t="str">
        <f>IFERROR(__xludf.DUMMYFUNCTION("""COMPUTED_VALUE"""),"--")</f>
        <v>--</v>
      </c>
      <c r="AA1175" s="251" t="str">
        <f>IFERROR(__xludf.DUMMYFUNCTION("""COMPUTED_VALUE"""),"--")</f>
        <v>--</v>
      </c>
      <c r="AB1175" s="251" t="str">
        <f>IFERROR(__xludf.DUMMYFUNCTION("""COMPUTED_VALUE"""),"--")</f>
        <v>--</v>
      </c>
      <c r="AC1175" s="251" t="str">
        <f>IFERROR(__xludf.DUMMYFUNCTION("""COMPUTED_VALUE"""),"--")</f>
        <v>--</v>
      </c>
      <c r="AD1175" s="251">
        <f>IFERROR(__xludf.DUMMYFUNCTION("""COMPUTED_VALUE"""),3.0)</f>
        <v>3</v>
      </c>
      <c r="AE1175" s="251" t="str">
        <f>IFERROR(__xludf.DUMMYFUNCTION("""COMPUTED_VALUE"""),"Herbivore")</f>
        <v>Herbivore</v>
      </c>
    </row>
    <row r="1176">
      <c r="A1176" s="251" t="str">
        <f>IFERROR(__xludf.DUMMYFUNCTION("""COMPUTED_VALUE"""),"Poltchageist")</f>
        <v>Poltchageist</v>
      </c>
      <c r="B1176" s="251" t="str">
        <f>IFERROR(__xludf.DUMMYFUNCTION("""COMPUTED_VALUE"""),"Grass")</f>
        <v>Grass</v>
      </c>
      <c r="C1176" s="251" t="str">
        <f>IFERROR(__xludf.DUMMYFUNCTION("""COMPUTED_VALUE"""),"Ghost")</f>
        <v>Ghost</v>
      </c>
      <c r="D1176" s="251">
        <f>IFERROR(__xludf.DUMMYFUNCTION("""COMPUTED_VALUE"""),4.0)</f>
        <v>4</v>
      </c>
      <c r="E1176" s="251">
        <f>IFERROR(__xludf.DUMMYFUNCTION("""COMPUTED_VALUE"""),5.0)</f>
        <v>5</v>
      </c>
      <c r="F1176" s="251">
        <f>IFERROR(__xludf.DUMMYFUNCTION("""COMPUTED_VALUE"""),5.0)</f>
        <v>5</v>
      </c>
      <c r="G1176" s="251">
        <f>IFERROR(__xludf.DUMMYFUNCTION("""COMPUTED_VALUE"""),7.0)</f>
        <v>7</v>
      </c>
      <c r="H1176" s="251">
        <f>IFERROR(__xludf.DUMMYFUNCTION("""COMPUTED_VALUE"""),5.0)</f>
        <v>5</v>
      </c>
      <c r="I1176" s="251">
        <f>IFERROR(__xludf.DUMMYFUNCTION("""COMPUTED_VALUE"""),5.0)</f>
        <v>5</v>
      </c>
      <c r="J1176" s="251">
        <f>IFERROR(__xludf.DUMMYFUNCTION("""COMPUTED_VALUE"""),1.0)</f>
        <v>1</v>
      </c>
      <c r="K1176" s="251" t="str">
        <f>IFERROR(__xludf.DUMMYFUNCTION("""COMPUTED_VALUE"""),"Small")</f>
        <v>Small</v>
      </c>
      <c r="L1176" s="251">
        <f>IFERROR(__xludf.DUMMYFUNCTION("""COMPUTED_VALUE"""),1.0)</f>
        <v>1</v>
      </c>
      <c r="M1176" s="251" t="str">
        <f>IFERROR(__xludf.DUMMYFUNCTION("""COMPUTED_VALUE"""),"Urban")</f>
        <v>Urban</v>
      </c>
      <c r="N1176" s="251" t="str">
        <f>IFERROR(__xludf.DUMMYFUNCTION("""COMPUTED_VALUE"""),"Flier")</f>
        <v>Flier</v>
      </c>
      <c r="O1176" s="251" t="str">
        <f>IFERROR(__xludf.DUMMYFUNCTION("""COMPUTED_VALUE"""),"Phaser")</f>
        <v>Phaser</v>
      </c>
      <c r="P1176" s="251" t="str">
        <f>IFERROR(__xludf.DUMMYFUNCTION("""COMPUTED_VALUE"""),"--")</f>
        <v>--</v>
      </c>
      <c r="Q1176" s="251" t="str">
        <f>IFERROR(__xludf.DUMMYFUNCTION("""COMPUTED_VALUE"""),"--")</f>
        <v>--</v>
      </c>
      <c r="R1176" s="251" t="str">
        <f>IFERROR(__xludf.DUMMYFUNCTION("""COMPUTED_VALUE"""),"Darkvision")</f>
        <v>Darkvision</v>
      </c>
      <c r="S1176" s="251" t="str">
        <f>IFERROR(__xludf.DUMMYFUNCTION("""COMPUTED_VALUE"""),"Underdog")</f>
        <v>Underdog</v>
      </c>
      <c r="T1176" s="251" t="str">
        <f>IFERROR(__xludf.DUMMYFUNCTION("""COMPUTED_VALUE"""),"--")</f>
        <v>--</v>
      </c>
      <c r="U1176" s="251" t="str">
        <f>IFERROR(__xludf.DUMMYFUNCTION("""COMPUTED_VALUE"""),"--")</f>
        <v>--</v>
      </c>
      <c r="V1176" s="251" t="str">
        <f>IFERROR(__xludf.DUMMYFUNCTION("""COMPUTED_VALUE"""),"Amorphous")</f>
        <v>Amorphous</v>
      </c>
      <c r="W1176" s="251" t="str">
        <f>IFERROR(__xludf.DUMMYFUNCTION("""COMPUTED_VALUE"""),"Dead Silent")</f>
        <v>Dead Silent</v>
      </c>
      <c r="X1176" s="251" t="str">
        <f>IFERROR(__xludf.DUMMYFUNCTION("""COMPUTED_VALUE"""),"--")</f>
        <v>--</v>
      </c>
      <c r="Y1176" s="251" t="str">
        <f>IFERROR(__xludf.DUMMYFUNCTION("""COMPUTED_VALUE"""),"--")</f>
        <v>--</v>
      </c>
      <c r="Z1176" s="251" t="str">
        <f>IFERROR(__xludf.DUMMYFUNCTION("""COMPUTED_VALUE"""),"--")</f>
        <v>--</v>
      </c>
      <c r="AA1176" s="251" t="str">
        <f>IFERROR(__xludf.DUMMYFUNCTION("""COMPUTED_VALUE"""),"--")</f>
        <v>--</v>
      </c>
      <c r="AB1176" s="251" t="str">
        <f>IFERROR(__xludf.DUMMYFUNCTION("""COMPUTED_VALUE"""),"--")</f>
        <v>--</v>
      </c>
      <c r="AC1176" s="251" t="str">
        <f>IFERROR(__xludf.DUMMYFUNCTION("""COMPUTED_VALUE"""),"--")</f>
        <v>--</v>
      </c>
      <c r="AD1176" s="251">
        <f>IFERROR(__xludf.DUMMYFUNCTION("""COMPUTED_VALUE"""),2.0)</f>
        <v>2</v>
      </c>
      <c r="AE1176" s="251" t="str">
        <f>IFERROR(__xludf.DUMMYFUNCTION("""COMPUTED_VALUE"""),"Nullivore")</f>
        <v>Nullivore</v>
      </c>
    </row>
    <row r="1177">
      <c r="A1177" s="251" t="str">
        <f>IFERROR(__xludf.DUMMYFUNCTION("""COMPUTED_VALUE"""),"Sinistcha")</f>
        <v>Sinistcha</v>
      </c>
      <c r="B1177" s="251" t="str">
        <f>IFERROR(__xludf.DUMMYFUNCTION("""COMPUTED_VALUE"""),"Grass")</f>
        <v>Grass</v>
      </c>
      <c r="C1177" s="251" t="str">
        <f>IFERROR(__xludf.DUMMYFUNCTION("""COMPUTED_VALUE"""),"Ghost")</f>
        <v>Ghost</v>
      </c>
      <c r="D1177" s="251">
        <f>IFERROR(__xludf.DUMMYFUNCTION("""COMPUTED_VALUE"""),7.0)</f>
        <v>7</v>
      </c>
      <c r="E1177" s="251">
        <f>IFERROR(__xludf.DUMMYFUNCTION("""COMPUTED_VALUE"""),6.0)</f>
        <v>6</v>
      </c>
      <c r="F1177" s="251">
        <f>IFERROR(__xludf.DUMMYFUNCTION("""COMPUTED_VALUE"""),11.0)</f>
        <v>11</v>
      </c>
      <c r="G1177" s="251">
        <f>IFERROR(__xludf.DUMMYFUNCTION("""COMPUTED_VALUE"""),12.0)</f>
        <v>12</v>
      </c>
      <c r="H1177" s="251">
        <f>IFERROR(__xludf.DUMMYFUNCTION("""COMPUTED_VALUE"""),8.0)</f>
        <v>8</v>
      </c>
      <c r="I1177" s="251">
        <f>IFERROR(__xludf.DUMMYFUNCTION("""COMPUTED_VALUE"""),7.0)</f>
        <v>7</v>
      </c>
      <c r="J1177" s="251">
        <f>IFERROR(__xludf.DUMMYFUNCTION("""COMPUTED_VALUE"""),1.0)</f>
        <v>1</v>
      </c>
      <c r="K1177" s="251" t="str">
        <f>IFERROR(__xludf.DUMMYFUNCTION("""COMPUTED_VALUE"""),"Small")</f>
        <v>Small</v>
      </c>
      <c r="L1177" s="251">
        <f>IFERROR(__xludf.DUMMYFUNCTION("""COMPUTED_VALUE"""),1.0)</f>
        <v>1</v>
      </c>
      <c r="M1177" s="251" t="str">
        <f>IFERROR(__xludf.DUMMYFUNCTION("""COMPUTED_VALUE"""),"Urban")</f>
        <v>Urban</v>
      </c>
      <c r="N1177" s="251" t="str">
        <f>IFERROR(__xludf.DUMMYFUNCTION("""COMPUTED_VALUE"""),"Flier")</f>
        <v>Flier</v>
      </c>
      <c r="O1177" s="251" t="str">
        <f>IFERROR(__xludf.DUMMYFUNCTION("""COMPUTED_VALUE"""),"Phaser")</f>
        <v>Phaser</v>
      </c>
      <c r="P1177" s="251" t="str">
        <f>IFERROR(__xludf.DUMMYFUNCTION("""COMPUTED_VALUE"""),"--")</f>
        <v>--</v>
      </c>
      <c r="Q1177" s="251" t="str">
        <f>IFERROR(__xludf.DUMMYFUNCTION("""COMPUTED_VALUE"""),"--")</f>
        <v>--</v>
      </c>
      <c r="R1177" s="251" t="str">
        <f>IFERROR(__xludf.DUMMYFUNCTION("""COMPUTED_VALUE"""),"Darkvision")</f>
        <v>Darkvision</v>
      </c>
      <c r="S1177" s="251" t="str">
        <f>IFERROR(__xludf.DUMMYFUNCTION("""COMPUTED_VALUE"""),"--")</f>
        <v>--</v>
      </c>
      <c r="T1177" s="251" t="str">
        <f>IFERROR(__xludf.DUMMYFUNCTION("""COMPUTED_VALUE"""),"--")</f>
        <v>--</v>
      </c>
      <c r="U1177" s="251" t="str">
        <f>IFERROR(__xludf.DUMMYFUNCTION("""COMPUTED_VALUE"""),"--")</f>
        <v>--</v>
      </c>
      <c r="V1177" s="251" t="str">
        <f>IFERROR(__xludf.DUMMYFUNCTION("""COMPUTED_VALUE"""),"Amorphous")</f>
        <v>Amorphous</v>
      </c>
      <c r="W1177" s="251" t="str">
        <f>IFERROR(__xludf.DUMMYFUNCTION("""COMPUTED_VALUE"""),"Dead Silent")</f>
        <v>Dead Silent</v>
      </c>
      <c r="X1177" s="251" t="str">
        <f>IFERROR(__xludf.DUMMYFUNCTION("""COMPUTED_VALUE"""),"--")</f>
        <v>--</v>
      </c>
      <c r="Y1177" s="251" t="str">
        <f>IFERROR(__xludf.DUMMYFUNCTION("""COMPUTED_VALUE"""),"--")</f>
        <v>--</v>
      </c>
      <c r="Z1177" s="251" t="str">
        <f>IFERROR(__xludf.DUMMYFUNCTION("""COMPUTED_VALUE"""),"--")</f>
        <v>--</v>
      </c>
      <c r="AA1177" s="251" t="str">
        <f>IFERROR(__xludf.DUMMYFUNCTION("""COMPUTED_VALUE"""),"--")</f>
        <v>--</v>
      </c>
      <c r="AB1177" s="251" t="str">
        <f>IFERROR(__xludf.DUMMYFUNCTION("""COMPUTED_VALUE"""),"--")</f>
        <v>--</v>
      </c>
      <c r="AC1177" s="251" t="str">
        <f>IFERROR(__xludf.DUMMYFUNCTION("""COMPUTED_VALUE"""),"--")</f>
        <v>--</v>
      </c>
      <c r="AD1177" s="251">
        <f>IFERROR(__xludf.DUMMYFUNCTION("""COMPUTED_VALUE"""),3.0)</f>
        <v>3</v>
      </c>
      <c r="AE1177" s="251" t="str">
        <f>IFERROR(__xludf.DUMMYFUNCTION("""COMPUTED_VALUE"""),"Nullivore")</f>
        <v>Nullivore</v>
      </c>
    </row>
    <row r="1178">
      <c r="A1178" s="251" t="str">
        <f>IFERROR(__xludf.DUMMYFUNCTION("""COMPUTED_VALUE"""),"Wiglett")</f>
        <v>Wiglett</v>
      </c>
      <c r="B1178" s="251" t="str">
        <f>IFERROR(__xludf.DUMMYFUNCTION("""COMPUTED_VALUE"""),"Water")</f>
        <v>Water</v>
      </c>
      <c r="C1178" s="251" t="str">
        <f>IFERROR(__xludf.DUMMYFUNCTION("""COMPUTED_VALUE"""),"None")</f>
        <v>None</v>
      </c>
      <c r="D1178" s="251">
        <f>IFERROR(__xludf.DUMMYFUNCTION("""COMPUTED_VALUE"""),2.0)</f>
        <v>2</v>
      </c>
      <c r="E1178" s="251">
        <f>IFERROR(__xludf.DUMMYFUNCTION("""COMPUTED_VALUE"""),6.0)</f>
        <v>6</v>
      </c>
      <c r="F1178" s="251">
        <f>IFERROR(__xludf.DUMMYFUNCTION("""COMPUTED_VALUE"""),3.0)</f>
        <v>3</v>
      </c>
      <c r="G1178" s="251">
        <f>IFERROR(__xludf.DUMMYFUNCTION("""COMPUTED_VALUE"""),6.0)</f>
        <v>6</v>
      </c>
      <c r="H1178" s="251">
        <f>IFERROR(__xludf.DUMMYFUNCTION("""COMPUTED_VALUE"""),5.0)</f>
        <v>5</v>
      </c>
      <c r="I1178" s="251">
        <f>IFERROR(__xludf.DUMMYFUNCTION("""COMPUTED_VALUE"""),8.0)</f>
        <v>8</v>
      </c>
      <c r="J1178" s="251">
        <f>IFERROR(__xludf.DUMMYFUNCTION("""COMPUTED_VALUE"""),3.0)</f>
        <v>3</v>
      </c>
      <c r="K1178" s="251" t="str">
        <f>IFERROR(__xludf.DUMMYFUNCTION("""COMPUTED_VALUE"""),"Medium")</f>
        <v>Medium</v>
      </c>
      <c r="L1178" s="251">
        <f>IFERROR(__xludf.DUMMYFUNCTION("""COMPUTED_VALUE"""),1.0)</f>
        <v>1</v>
      </c>
      <c r="M1178" s="251" t="str">
        <f>IFERROR(__xludf.DUMMYFUNCTION("""COMPUTED_VALUE"""),"Desert, Wetlands")</f>
        <v>Desert, Wetlands</v>
      </c>
      <c r="N1178" s="251" t="str">
        <f>IFERROR(__xludf.DUMMYFUNCTION("""COMPUTED_VALUE"""),"Burrower")</f>
        <v>Burrower</v>
      </c>
      <c r="O1178" s="251" t="str">
        <f>IFERROR(__xludf.DUMMYFUNCTION("""COMPUTED_VALUE"""),"Grounded")</f>
        <v>Grounded</v>
      </c>
      <c r="P1178" s="251" t="str">
        <f>IFERROR(__xludf.DUMMYFUNCTION("""COMPUTED_VALUE"""),"--")</f>
        <v>--</v>
      </c>
      <c r="Q1178" s="251" t="str">
        <f>IFERROR(__xludf.DUMMYFUNCTION("""COMPUTED_VALUE"""),"--")</f>
        <v>--</v>
      </c>
      <c r="R1178" s="251" t="str">
        <f>IFERROR(__xludf.DUMMYFUNCTION("""COMPUTED_VALUE"""),"Underdog")</f>
        <v>Underdog</v>
      </c>
      <c r="S1178" s="251" t="str">
        <f>IFERROR(__xludf.DUMMYFUNCTION("""COMPUTED_VALUE"""),"--")</f>
        <v>--</v>
      </c>
      <c r="T1178" s="251" t="str">
        <f>IFERROR(__xludf.DUMMYFUNCTION("""COMPUTED_VALUE"""),"--")</f>
        <v>--</v>
      </c>
      <c r="U1178" s="251" t="str">
        <f>IFERROR(__xludf.DUMMYFUNCTION("""COMPUTED_VALUE"""),"--")</f>
        <v>--</v>
      </c>
      <c r="V1178" s="251" t="str">
        <f>IFERROR(__xludf.DUMMYFUNCTION("""COMPUTED_VALUE"""),"Tremorsense")</f>
        <v>Tremorsense</v>
      </c>
      <c r="W1178" s="251" t="str">
        <f>IFERROR(__xludf.DUMMYFUNCTION("""COMPUTED_VALUE"""),"--")</f>
        <v>--</v>
      </c>
      <c r="X1178" s="251" t="str">
        <f>IFERROR(__xludf.DUMMYFUNCTION("""COMPUTED_VALUE"""),"--")</f>
        <v>--</v>
      </c>
      <c r="Y1178" s="251" t="str">
        <f>IFERROR(__xludf.DUMMYFUNCTION("""COMPUTED_VALUE"""),"--")</f>
        <v>--</v>
      </c>
      <c r="Z1178" s="251" t="str">
        <f>IFERROR(__xludf.DUMMYFUNCTION("""COMPUTED_VALUE"""),"--")</f>
        <v>--</v>
      </c>
      <c r="AA1178" s="251" t="str">
        <f>IFERROR(__xludf.DUMMYFUNCTION("""COMPUTED_VALUE"""),"--")</f>
        <v>--</v>
      </c>
      <c r="AB1178" s="251" t="str">
        <f>IFERROR(__xludf.DUMMYFUNCTION("""COMPUTED_VALUE"""),"--")</f>
        <v>--</v>
      </c>
      <c r="AC1178" s="251" t="str">
        <f>IFERROR(__xludf.DUMMYFUNCTION("""COMPUTED_VALUE"""),"--")</f>
        <v>--</v>
      </c>
      <c r="AD1178" s="251">
        <f>IFERROR(__xludf.DUMMYFUNCTION("""COMPUTED_VALUE"""),2.0)</f>
        <v>2</v>
      </c>
      <c r="AE1178" s="251" t="str">
        <f>IFERROR(__xludf.DUMMYFUNCTION("""COMPUTED_VALUE"""),"Carnivore")</f>
        <v>Carnivore</v>
      </c>
    </row>
    <row r="1179">
      <c r="A1179" s="251" t="str">
        <f>IFERROR(__xludf.DUMMYFUNCTION("""COMPUTED_VALUE"""),"Wugtrio")</f>
        <v>Wugtrio</v>
      </c>
      <c r="B1179" s="251" t="str">
        <f>IFERROR(__xludf.DUMMYFUNCTION("""COMPUTED_VALUE"""),"Water")</f>
        <v>Water</v>
      </c>
      <c r="C1179" s="251" t="str">
        <f>IFERROR(__xludf.DUMMYFUNCTION("""COMPUTED_VALUE"""),"None")</f>
        <v>None</v>
      </c>
      <c r="D1179" s="251">
        <f>IFERROR(__xludf.DUMMYFUNCTION("""COMPUTED_VALUE"""),4.0)</f>
        <v>4</v>
      </c>
      <c r="E1179" s="251">
        <f>IFERROR(__xludf.DUMMYFUNCTION("""COMPUTED_VALUE"""),9.0)</f>
        <v>9</v>
      </c>
      <c r="F1179" s="251">
        <f>IFERROR(__xludf.DUMMYFUNCTION("""COMPUTED_VALUE"""),5.0)</f>
        <v>5</v>
      </c>
      <c r="G1179" s="251">
        <f>IFERROR(__xludf.DUMMYFUNCTION("""COMPUTED_VALUE"""),8.0)</f>
        <v>8</v>
      </c>
      <c r="H1179" s="251">
        <f>IFERROR(__xludf.DUMMYFUNCTION("""COMPUTED_VALUE"""),7.0)</f>
        <v>7</v>
      </c>
      <c r="I1179" s="251">
        <f>IFERROR(__xludf.DUMMYFUNCTION("""COMPUTED_VALUE"""),10.0)</f>
        <v>10</v>
      </c>
      <c r="J1179" s="251">
        <f>IFERROR(__xludf.DUMMYFUNCTION("""COMPUTED_VALUE"""),6.0)</f>
        <v>6</v>
      </c>
      <c r="K1179" s="251" t="str">
        <f>IFERROR(__xludf.DUMMYFUNCTION("""COMPUTED_VALUE"""),"Medium")</f>
        <v>Medium</v>
      </c>
      <c r="L1179" s="251">
        <f>IFERROR(__xludf.DUMMYFUNCTION("""COMPUTED_VALUE"""),1.0)</f>
        <v>1</v>
      </c>
      <c r="M1179" s="251" t="str">
        <f>IFERROR(__xludf.DUMMYFUNCTION("""COMPUTED_VALUE"""),"Desert, Wetlands")</f>
        <v>Desert, Wetlands</v>
      </c>
      <c r="N1179" s="251" t="str">
        <f>IFERROR(__xludf.DUMMYFUNCTION("""COMPUTED_VALUE"""),"Burrower")</f>
        <v>Burrower</v>
      </c>
      <c r="O1179" s="251" t="str">
        <f>IFERROR(__xludf.DUMMYFUNCTION("""COMPUTED_VALUE"""),"Grounded")</f>
        <v>Grounded</v>
      </c>
      <c r="P1179" s="251" t="str">
        <f>IFERROR(__xludf.DUMMYFUNCTION("""COMPUTED_VALUE"""),"--")</f>
        <v>--</v>
      </c>
      <c r="Q1179" s="251" t="str">
        <f>IFERROR(__xludf.DUMMYFUNCTION("""COMPUTED_VALUE"""),"--")</f>
        <v>--</v>
      </c>
      <c r="R1179" s="251" t="str">
        <f>IFERROR(__xludf.DUMMYFUNCTION("""COMPUTED_VALUE"""),"--")</f>
        <v>--</v>
      </c>
      <c r="S1179" s="251" t="str">
        <f>IFERROR(__xludf.DUMMYFUNCTION("""COMPUTED_VALUE"""),"--")</f>
        <v>--</v>
      </c>
      <c r="T1179" s="251" t="str">
        <f>IFERROR(__xludf.DUMMYFUNCTION("""COMPUTED_VALUE"""),"--")</f>
        <v>--</v>
      </c>
      <c r="U1179" s="251" t="str">
        <f>IFERROR(__xludf.DUMMYFUNCTION("""COMPUTED_VALUE"""),"--")</f>
        <v>--</v>
      </c>
      <c r="V1179" s="251" t="str">
        <f>IFERROR(__xludf.DUMMYFUNCTION("""COMPUTED_VALUE"""),"Tremorsense")</f>
        <v>Tremorsense</v>
      </c>
      <c r="W1179" s="251" t="str">
        <f>IFERROR(__xludf.DUMMYFUNCTION("""COMPUTED_VALUE"""),"--")</f>
        <v>--</v>
      </c>
      <c r="X1179" s="251" t="str">
        <f>IFERROR(__xludf.DUMMYFUNCTION("""COMPUTED_VALUE"""),"--")</f>
        <v>--</v>
      </c>
      <c r="Y1179" s="251" t="str">
        <f>IFERROR(__xludf.DUMMYFUNCTION("""COMPUTED_VALUE"""),"--")</f>
        <v>--</v>
      </c>
      <c r="Z1179" s="251" t="str">
        <f>IFERROR(__xludf.DUMMYFUNCTION("""COMPUTED_VALUE"""),"--")</f>
        <v>--</v>
      </c>
      <c r="AA1179" s="251" t="str">
        <f>IFERROR(__xludf.DUMMYFUNCTION("""COMPUTED_VALUE"""),"--")</f>
        <v>--</v>
      </c>
      <c r="AB1179" s="251" t="str">
        <f>IFERROR(__xludf.DUMMYFUNCTION("""COMPUTED_VALUE"""),"--")</f>
        <v>--</v>
      </c>
      <c r="AC1179" s="251" t="str">
        <f>IFERROR(__xludf.DUMMYFUNCTION("""COMPUTED_VALUE"""),"--")</f>
        <v>--</v>
      </c>
      <c r="AD1179" s="251">
        <f>IFERROR(__xludf.DUMMYFUNCTION("""COMPUTED_VALUE"""),3.0)</f>
        <v>3</v>
      </c>
      <c r="AE1179" s="251" t="str">
        <f>IFERROR(__xludf.DUMMYFUNCTION("""COMPUTED_VALUE"""),"Carnivore")</f>
        <v>Carnivore</v>
      </c>
    </row>
    <row r="1180">
      <c r="A1180" s="251" t="str">
        <f>IFERROR(__xludf.DUMMYFUNCTION("""COMPUTED_VALUE"""),"Slither Wing")</f>
        <v>Slither Wing</v>
      </c>
      <c r="B1180" s="251" t="str">
        <f>IFERROR(__xludf.DUMMYFUNCTION("""COMPUTED_VALUE"""),"Bug")</f>
        <v>Bug</v>
      </c>
      <c r="C1180" s="251" t="str">
        <f>IFERROR(__xludf.DUMMYFUNCTION("""COMPUTED_VALUE"""),"Fighting")</f>
        <v>Fighting</v>
      </c>
      <c r="D1180" s="251">
        <f>IFERROR(__xludf.DUMMYFUNCTION("""COMPUTED_VALUE"""),9.0)</f>
        <v>9</v>
      </c>
      <c r="E1180" s="251">
        <f>IFERROR(__xludf.DUMMYFUNCTION("""COMPUTED_VALUE"""),15.0)</f>
        <v>15</v>
      </c>
      <c r="F1180" s="251">
        <f>IFERROR(__xludf.DUMMYFUNCTION("""COMPUTED_VALUE"""),8.0)</f>
        <v>8</v>
      </c>
      <c r="G1180" s="251">
        <f>IFERROR(__xludf.DUMMYFUNCTION("""COMPUTED_VALUE"""),9.0)</f>
        <v>9</v>
      </c>
      <c r="H1180" s="251">
        <f>IFERROR(__xludf.DUMMYFUNCTION("""COMPUTED_VALUE"""),11.0)</f>
        <v>11</v>
      </c>
      <c r="I1180" s="251">
        <f>IFERROR(__xludf.DUMMYFUNCTION("""COMPUTED_VALUE"""),8.0)</f>
        <v>8</v>
      </c>
      <c r="J1180" s="251">
        <f>IFERROR(__xludf.DUMMYFUNCTION("""COMPUTED_VALUE"""),6.0)</f>
        <v>6</v>
      </c>
      <c r="K1180" s="251" t="str">
        <f>IFERROR(__xludf.DUMMYFUNCTION("""COMPUTED_VALUE"""),"Huge")</f>
        <v>Huge</v>
      </c>
      <c r="L1180" s="251">
        <f>IFERROR(__xludf.DUMMYFUNCTION("""COMPUTED_VALUE"""),5.0)</f>
        <v>5</v>
      </c>
      <c r="M1180" s="251" t="str">
        <f>IFERROR(__xludf.DUMMYFUNCTION("""COMPUTED_VALUE"""),"Forest")</f>
        <v>Forest</v>
      </c>
      <c r="N1180" s="251" t="str">
        <f>IFERROR(__xludf.DUMMYFUNCTION("""COMPUTED_VALUE"""),"--")</f>
        <v>--</v>
      </c>
      <c r="O1180" s="251" t="str">
        <f>IFERROR(__xludf.DUMMYFUNCTION("""COMPUTED_VALUE"""),"--")</f>
        <v>--</v>
      </c>
      <c r="P1180" s="251" t="str">
        <f>IFERROR(__xludf.DUMMYFUNCTION("""COMPUTED_VALUE"""),"--")</f>
        <v>--</v>
      </c>
      <c r="Q1180" s="251" t="str">
        <f>IFERROR(__xludf.DUMMYFUNCTION("""COMPUTED_VALUE"""),"--")</f>
        <v>--</v>
      </c>
      <c r="R1180" s="251" t="str">
        <f>IFERROR(__xludf.DUMMYFUNCTION("""COMPUTED_VALUE"""),"Threaded")</f>
        <v>Threaded</v>
      </c>
      <c r="S1180" s="251" t="str">
        <f>IFERROR(__xludf.DUMMYFUNCTION("""COMPUTED_VALUE"""),"--")</f>
        <v>--</v>
      </c>
      <c r="T1180" s="251" t="str">
        <f>IFERROR(__xludf.DUMMYFUNCTION("""COMPUTED_VALUE"""),"--")</f>
        <v>--</v>
      </c>
      <c r="U1180" s="251" t="str">
        <f>IFERROR(__xludf.DUMMYFUNCTION("""COMPUTED_VALUE"""),"--")</f>
        <v>--</v>
      </c>
      <c r="V1180" s="251" t="str">
        <f>IFERROR(__xludf.DUMMYFUNCTION("""COMPUTED_VALUE"""),"--")</f>
        <v>--</v>
      </c>
      <c r="W1180" s="251" t="str">
        <f>IFERROR(__xludf.DUMMYFUNCTION("""COMPUTED_VALUE"""),"--")</f>
        <v>--</v>
      </c>
      <c r="X1180" s="251" t="str">
        <f>IFERROR(__xludf.DUMMYFUNCTION("""COMPUTED_VALUE"""),"--")</f>
        <v>--</v>
      </c>
      <c r="Y1180" s="251" t="str">
        <f>IFERROR(__xludf.DUMMYFUNCTION("""COMPUTED_VALUE"""),"--")</f>
        <v>--</v>
      </c>
      <c r="Z1180" s="251" t="str">
        <f>IFERROR(__xludf.DUMMYFUNCTION("""COMPUTED_VALUE"""),"--")</f>
        <v>--</v>
      </c>
      <c r="AA1180" s="251" t="str">
        <f>IFERROR(__xludf.DUMMYFUNCTION("""COMPUTED_VALUE"""),"--")</f>
        <v>--</v>
      </c>
      <c r="AB1180" s="251" t="str">
        <f>IFERROR(__xludf.DUMMYFUNCTION("""COMPUTED_VALUE"""),"--")</f>
        <v>--</v>
      </c>
      <c r="AC1180" s="251" t="str">
        <f>IFERROR(__xludf.DUMMYFUNCTION("""COMPUTED_VALUE"""),"--")</f>
        <v>--</v>
      </c>
      <c r="AD1180" s="251">
        <f>IFERROR(__xludf.DUMMYFUNCTION("""COMPUTED_VALUE"""),3.0)</f>
        <v>3</v>
      </c>
      <c r="AE1180" s="251" t="str">
        <f>IFERROR(__xludf.DUMMYFUNCTION("""COMPUTED_VALUE"""),"Omnivore")</f>
        <v>Omnivore</v>
      </c>
    </row>
    <row r="1181">
      <c r="A1181" s="251" t="str">
        <f>IFERROR(__xludf.DUMMYFUNCTION("""COMPUTED_VALUE"""),"Iron Jugulis")</f>
        <v>Iron Jugulis</v>
      </c>
      <c r="B1181" s="251" t="str">
        <f>IFERROR(__xludf.DUMMYFUNCTION("""COMPUTED_VALUE"""),"Dark")</f>
        <v>Dark</v>
      </c>
      <c r="C1181" s="251" t="str">
        <f>IFERROR(__xludf.DUMMYFUNCTION("""COMPUTED_VALUE"""),"Flying")</f>
        <v>Flying</v>
      </c>
      <c r="D1181" s="251">
        <f>IFERROR(__xludf.DUMMYFUNCTION("""COMPUTED_VALUE"""),10.0)</f>
        <v>10</v>
      </c>
      <c r="E1181" s="251">
        <f>IFERROR(__xludf.DUMMYFUNCTION("""COMPUTED_VALUE"""),8.0)</f>
        <v>8</v>
      </c>
      <c r="F1181" s="251">
        <f>IFERROR(__xludf.DUMMYFUNCTION("""COMPUTED_VALUE"""),8.0)</f>
        <v>8</v>
      </c>
      <c r="G1181" s="251">
        <f>IFERROR(__xludf.DUMMYFUNCTION("""COMPUTED_VALUE"""),14.0)</f>
        <v>14</v>
      </c>
      <c r="H1181" s="251">
        <f>IFERROR(__xludf.DUMMYFUNCTION("""COMPUTED_VALUE"""),8.0)</f>
        <v>8</v>
      </c>
      <c r="I1181" s="251">
        <f>IFERROR(__xludf.DUMMYFUNCTION("""COMPUTED_VALUE"""),12.0)</f>
        <v>12</v>
      </c>
      <c r="J1181" s="251">
        <f>IFERROR(__xludf.DUMMYFUNCTION("""COMPUTED_VALUE"""),6.0)</f>
        <v>6</v>
      </c>
      <c r="K1181" s="251" t="str">
        <f>IFERROR(__xludf.DUMMYFUNCTION("""COMPUTED_VALUE"""),"Medium")</f>
        <v>Medium</v>
      </c>
      <c r="L1181" s="251">
        <f>IFERROR(__xludf.DUMMYFUNCTION("""COMPUTED_VALUE"""),5.0)</f>
        <v>5</v>
      </c>
      <c r="M1181" s="251" t="str">
        <f>IFERROR(__xludf.DUMMYFUNCTION("""COMPUTED_VALUE"""),"Mountain")</f>
        <v>Mountain</v>
      </c>
      <c r="N1181" s="251" t="str">
        <f>IFERROR(__xludf.DUMMYFUNCTION("""COMPUTED_VALUE"""),"Flier")</f>
        <v>Flier</v>
      </c>
      <c r="O1181" s="251" t="str">
        <f>IFERROR(__xludf.DUMMYFUNCTION("""COMPUTED_VALUE"""),"Quick")</f>
        <v>Quick</v>
      </c>
      <c r="P1181" s="251" t="str">
        <f>IFERROR(__xludf.DUMMYFUNCTION("""COMPUTED_VALUE"""),"--")</f>
        <v>--</v>
      </c>
      <c r="Q1181" s="251" t="str">
        <f>IFERROR(__xludf.DUMMYFUNCTION("""COMPUTED_VALUE"""),"--")</f>
        <v>--</v>
      </c>
      <c r="R1181" s="251" t="str">
        <f>IFERROR(__xludf.DUMMYFUNCTION("""COMPUTED_VALUE"""),"Darkvision")</f>
        <v>Darkvision</v>
      </c>
      <c r="S1181" s="251" t="str">
        <f>IFERROR(__xludf.DUMMYFUNCTION("""COMPUTED_VALUE"""),"Mountable")</f>
        <v>Mountable</v>
      </c>
      <c r="T1181" s="251" t="str">
        <f>IFERROR(__xludf.DUMMYFUNCTION("""COMPUTED_VALUE"""),"--")</f>
        <v>--</v>
      </c>
      <c r="U1181" s="251" t="str">
        <f>IFERROR(__xludf.DUMMYFUNCTION("""COMPUTED_VALUE"""),"--")</f>
        <v>--</v>
      </c>
      <c r="V1181" s="251" t="str">
        <f>IFERROR(__xludf.DUMMYFUNCTION("""COMPUTED_VALUE"""),"Mindlock")</f>
        <v>Mindlock</v>
      </c>
      <c r="W1181" s="251" t="str">
        <f>IFERROR(__xludf.DUMMYFUNCTION("""COMPUTED_VALUE"""),"--")</f>
        <v>--</v>
      </c>
      <c r="X1181" s="251" t="str">
        <f>IFERROR(__xludf.DUMMYFUNCTION("""COMPUTED_VALUE"""),"--")</f>
        <v>--</v>
      </c>
      <c r="Y1181" s="251" t="str">
        <f>IFERROR(__xludf.DUMMYFUNCTION("""COMPUTED_VALUE"""),"--")</f>
        <v>--</v>
      </c>
      <c r="Z1181" s="251" t="str">
        <f>IFERROR(__xludf.DUMMYFUNCTION("""COMPUTED_VALUE"""),"--")</f>
        <v>--</v>
      </c>
      <c r="AA1181" s="251" t="str">
        <f>IFERROR(__xludf.DUMMYFUNCTION("""COMPUTED_VALUE"""),"--")</f>
        <v>--</v>
      </c>
      <c r="AB1181" s="251" t="str">
        <f>IFERROR(__xludf.DUMMYFUNCTION("""COMPUTED_VALUE"""),"--")</f>
        <v>--</v>
      </c>
      <c r="AC1181" s="251" t="str">
        <f>IFERROR(__xludf.DUMMYFUNCTION("""COMPUTED_VALUE"""),"--")</f>
        <v>--</v>
      </c>
      <c r="AD1181" s="251">
        <f>IFERROR(__xludf.DUMMYFUNCTION("""COMPUTED_VALUE"""),3.0)</f>
        <v>3</v>
      </c>
      <c r="AE1181" s="251" t="str">
        <f>IFERROR(__xludf.DUMMYFUNCTION("""COMPUTED_VALUE"""),"Carnivore")</f>
        <v>Carnivore</v>
      </c>
    </row>
    <row r="1182">
      <c r="A1182" s="251" t="str">
        <f>IFERROR(__xludf.DUMMYFUNCTION("""COMPUTED_VALUE"""),"Roaring Moon")</f>
        <v>Roaring Moon</v>
      </c>
      <c r="B1182" s="251" t="str">
        <f>IFERROR(__xludf.DUMMYFUNCTION("""COMPUTED_VALUE"""),"Dragon")</f>
        <v>Dragon</v>
      </c>
      <c r="C1182" s="251" t="str">
        <f>IFERROR(__xludf.DUMMYFUNCTION("""COMPUTED_VALUE"""),"Dark")</f>
        <v>Dark</v>
      </c>
      <c r="D1182" s="251">
        <f>IFERROR(__xludf.DUMMYFUNCTION("""COMPUTED_VALUE"""),11.0)</f>
        <v>11</v>
      </c>
      <c r="E1182" s="251">
        <f>IFERROR(__xludf.DUMMYFUNCTION("""COMPUTED_VALUE"""),14.0)</f>
        <v>14</v>
      </c>
      <c r="F1182" s="251">
        <f>IFERROR(__xludf.DUMMYFUNCTION("""COMPUTED_VALUE"""),7.0)</f>
        <v>7</v>
      </c>
      <c r="G1182" s="251">
        <f>IFERROR(__xludf.DUMMYFUNCTION("""COMPUTED_VALUE"""),6.0)</f>
        <v>6</v>
      </c>
      <c r="H1182" s="251">
        <f>IFERROR(__xludf.DUMMYFUNCTION("""COMPUTED_VALUE"""),10.0)</f>
        <v>10</v>
      </c>
      <c r="I1182" s="251">
        <f>IFERROR(__xludf.DUMMYFUNCTION("""COMPUTED_VALUE"""),12.0)</f>
        <v>12</v>
      </c>
      <c r="J1182" s="251">
        <f>IFERROR(__xludf.DUMMYFUNCTION("""COMPUTED_VALUE"""),6.0)</f>
        <v>6</v>
      </c>
      <c r="K1182" s="251" t="str">
        <f>IFERROR(__xludf.DUMMYFUNCTION("""COMPUTED_VALUE"""),"Large")</f>
        <v>Large</v>
      </c>
      <c r="L1182" s="251">
        <f>IFERROR(__xludf.DUMMYFUNCTION("""COMPUTED_VALUE"""),6.0)</f>
        <v>6</v>
      </c>
      <c r="M1182" s="251" t="str">
        <f>IFERROR(__xludf.DUMMYFUNCTION("""COMPUTED_VALUE"""),"Cave, Mountain")</f>
        <v>Cave, Mountain</v>
      </c>
      <c r="N1182" s="251" t="str">
        <f>IFERROR(__xludf.DUMMYFUNCTION("""COMPUTED_VALUE"""),"Flier")</f>
        <v>Flier</v>
      </c>
      <c r="O1182" s="251" t="str">
        <f>IFERROR(__xludf.DUMMYFUNCTION("""COMPUTED_VALUE"""),"Quick")</f>
        <v>Quick</v>
      </c>
      <c r="P1182" s="251" t="str">
        <f>IFERROR(__xludf.DUMMYFUNCTION("""COMPUTED_VALUE"""),"--")</f>
        <v>--</v>
      </c>
      <c r="Q1182" s="251" t="str">
        <f>IFERROR(__xludf.DUMMYFUNCTION("""COMPUTED_VALUE"""),"--")</f>
        <v>--</v>
      </c>
      <c r="R1182" s="251" t="str">
        <f>IFERROR(__xludf.DUMMYFUNCTION("""COMPUTED_VALUE"""),"Mountable")</f>
        <v>Mountable</v>
      </c>
      <c r="S1182" s="251" t="str">
        <f>IFERROR(__xludf.DUMMYFUNCTION("""COMPUTED_VALUE"""),"--")</f>
        <v>--</v>
      </c>
      <c r="T1182" s="251" t="str">
        <f>IFERROR(__xludf.DUMMYFUNCTION("""COMPUTED_VALUE"""),"--")</f>
        <v>--</v>
      </c>
      <c r="U1182" s="251" t="str">
        <f>IFERROR(__xludf.DUMMYFUNCTION("""COMPUTED_VALUE"""),"--")</f>
        <v>--</v>
      </c>
      <c r="V1182" s="251" t="str">
        <f>IFERROR(__xludf.DUMMYFUNCTION("""COMPUTED_VALUE"""),"--")</f>
        <v>--</v>
      </c>
      <c r="W1182" s="251" t="str">
        <f>IFERROR(__xludf.DUMMYFUNCTION("""COMPUTED_VALUE"""),"--")</f>
        <v>--</v>
      </c>
      <c r="X1182" s="251" t="str">
        <f>IFERROR(__xludf.DUMMYFUNCTION("""COMPUTED_VALUE"""),"--")</f>
        <v>--</v>
      </c>
      <c r="Y1182" s="251" t="str">
        <f>IFERROR(__xludf.DUMMYFUNCTION("""COMPUTED_VALUE"""),"--")</f>
        <v>--</v>
      </c>
      <c r="Z1182" s="251" t="str">
        <f>IFERROR(__xludf.DUMMYFUNCTION("""COMPUTED_VALUE"""),"--")</f>
        <v>--</v>
      </c>
      <c r="AA1182" s="251" t="str">
        <f>IFERROR(__xludf.DUMMYFUNCTION("""COMPUTED_VALUE"""),"--")</f>
        <v>--</v>
      </c>
      <c r="AB1182" s="251" t="str">
        <f>IFERROR(__xludf.DUMMYFUNCTION("""COMPUTED_VALUE"""),"--")</f>
        <v>--</v>
      </c>
      <c r="AC1182" s="251" t="str">
        <f>IFERROR(__xludf.DUMMYFUNCTION("""COMPUTED_VALUE"""),"--")</f>
        <v>--</v>
      </c>
      <c r="AD1182" s="251">
        <f>IFERROR(__xludf.DUMMYFUNCTION("""COMPUTED_VALUE"""),3.0)</f>
        <v>3</v>
      </c>
      <c r="AE1182" s="251" t="str">
        <f>IFERROR(__xludf.DUMMYFUNCTION("""COMPUTED_VALUE"""),"Carnivore")</f>
        <v>Carnivore</v>
      </c>
    </row>
    <row r="1183">
      <c r="A1183" s="251" t="str">
        <f>IFERROR(__xludf.DUMMYFUNCTION("""COMPUTED_VALUE"""),"Sandy Shocks")</f>
        <v>Sandy Shocks</v>
      </c>
      <c r="B1183" s="251" t="str">
        <f>IFERROR(__xludf.DUMMYFUNCTION("""COMPUTED_VALUE"""),"Electric")</f>
        <v>Electric</v>
      </c>
      <c r="C1183" s="251" t="str">
        <f>IFERROR(__xludf.DUMMYFUNCTION("""COMPUTED_VALUE"""),"Ground")</f>
        <v>Ground</v>
      </c>
      <c r="D1183" s="251">
        <f>IFERROR(__xludf.DUMMYFUNCTION("""COMPUTED_VALUE"""),9.0)</f>
        <v>9</v>
      </c>
      <c r="E1183" s="251">
        <f>IFERROR(__xludf.DUMMYFUNCTION("""COMPUTED_VALUE"""),8.0)</f>
        <v>8</v>
      </c>
      <c r="F1183" s="251">
        <f>IFERROR(__xludf.DUMMYFUNCTION("""COMPUTED_VALUE"""),10.0)</f>
        <v>10</v>
      </c>
      <c r="G1183" s="251">
        <f>IFERROR(__xludf.DUMMYFUNCTION("""COMPUTED_VALUE"""),14.0)</f>
        <v>14</v>
      </c>
      <c r="H1183" s="251">
        <f>IFERROR(__xludf.DUMMYFUNCTION("""COMPUTED_VALUE"""),9.0)</f>
        <v>9</v>
      </c>
      <c r="I1183" s="251">
        <f>IFERROR(__xludf.DUMMYFUNCTION("""COMPUTED_VALUE"""),10.0)</f>
        <v>10</v>
      </c>
      <c r="J1183" s="251">
        <f>IFERROR(__xludf.DUMMYFUNCTION("""COMPUTED_VALUE"""),4.0)</f>
        <v>4</v>
      </c>
      <c r="K1183" s="251" t="str">
        <f>IFERROR(__xludf.DUMMYFUNCTION("""COMPUTED_VALUE"""),"Large")</f>
        <v>Large</v>
      </c>
      <c r="L1183" s="251">
        <f>IFERROR(__xludf.DUMMYFUNCTION("""COMPUTED_VALUE"""),4.0)</f>
        <v>4</v>
      </c>
      <c r="M1183" s="251" t="str">
        <f>IFERROR(__xludf.DUMMYFUNCTION("""COMPUTED_VALUE"""),"Urban")</f>
        <v>Urban</v>
      </c>
      <c r="N1183" s="251" t="str">
        <f>IFERROR(__xludf.DUMMYFUNCTION("""COMPUTED_VALUE"""),"Flier")</f>
        <v>Flier</v>
      </c>
      <c r="O1183" s="251" t="str">
        <f>IFERROR(__xludf.DUMMYFUNCTION("""COMPUTED_VALUE"""),"--")</f>
        <v>--</v>
      </c>
      <c r="P1183" s="251" t="str">
        <f>IFERROR(__xludf.DUMMYFUNCTION("""COMPUTED_VALUE"""),"--")</f>
        <v>--</v>
      </c>
      <c r="Q1183" s="251" t="str">
        <f>IFERROR(__xludf.DUMMYFUNCTION("""COMPUTED_VALUE"""),"--")</f>
        <v>--</v>
      </c>
      <c r="R1183" s="251" t="str">
        <f>IFERROR(__xludf.DUMMYFUNCTION("""COMPUTED_VALUE"""),"--")</f>
        <v>--</v>
      </c>
      <c r="S1183" s="251" t="str">
        <f>IFERROR(__xludf.DUMMYFUNCTION("""COMPUTED_VALUE"""),"--")</f>
        <v>--</v>
      </c>
      <c r="T1183" s="251" t="str">
        <f>IFERROR(__xludf.DUMMYFUNCTION("""COMPUTED_VALUE"""),"--")</f>
        <v>--</v>
      </c>
      <c r="U1183" s="251" t="str">
        <f>IFERROR(__xludf.DUMMYFUNCTION("""COMPUTED_VALUE"""),"--")</f>
        <v>--</v>
      </c>
      <c r="V1183" s="251" t="str">
        <f>IFERROR(__xludf.DUMMYFUNCTION("""COMPUTED_VALUE"""),"Breathless")</f>
        <v>Breathless</v>
      </c>
      <c r="W1183" s="251" t="str">
        <f>IFERROR(__xludf.DUMMYFUNCTION("""COMPUTED_VALUE"""),"Magnetic")</f>
        <v>Magnetic</v>
      </c>
      <c r="X1183" s="251" t="str">
        <f>IFERROR(__xludf.DUMMYFUNCTION("""COMPUTED_VALUE"""),"--")</f>
        <v>--</v>
      </c>
      <c r="Y1183" s="251" t="str">
        <f>IFERROR(__xludf.DUMMYFUNCTION("""COMPUTED_VALUE"""),"--")</f>
        <v>--</v>
      </c>
      <c r="Z1183" s="251" t="str">
        <f>IFERROR(__xludf.DUMMYFUNCTION("""COMPUTED_VALUE"""),"--")</f>
        <v>--</v>
      </c>
      <c r="AA1183" s="251" t="str">
        <f>IFERROR(__xludf.DUMMYFUNCTION("""COMPUTED_VALUE"""),"--")</f>
        <v>--</v>
      </c>
      <c r="AB1183" s="251" t="str">
        <f>IFERROR(__xludf.DUMMYFUNCTION("""COMPUTED_VALUE"""),"--")</f>
        <v>--</v>
      </c>
      <c r="AC1183" s="251" t="str">
        <f>IFERROR(__xludf.DUMMYFUNCTION("""COMPUTED_VALUE"""),"--")</f>
        <v>--</v>
      </c>
      <c r="AD1183" s="251">
        <f>IFERROR(__xludf.DUMMYFUNCTION("""COMPUTED_VALUE"""),3.0)</f>
        <v>3</v>
      </c>
      <c r="AE1183" s="251" t="str">
        <f>IFERROR(__xludf.DUMMYFUNCTION("""COMPUTED_VALUE"""),"Ergovore")</f>
        <v>Ergovore</v>
      </c>
    </row>
    <row r="1184">
      <c r="A1184" s="251" t="str">
        <f>IFERROR(__xludf.DUMMYFUNCTION("""COMPUTED_VALUE"""),"Iron Valiant")</f>
        <v>Iron Valiant</v>
      </c>
      <c r="B1184" s="251" t="str">
        <f>IFERROR(__xludf.DUMMYFUNCTION("""COMPUTED_VALUE"""),"Fairy")</f>
        <v>Fairy</v>
      </c>
      <c r="C1184" s="251" t="str">
        <f>IFERROR(__xludf.DUMMYFUNCTION("""COMPUTED_VALUE"""),"Fighting")</f>
        <v>Fighting</v>
      </c>
      <c r="D1184" s="251">
        <f>IFERROR(__xludf.DUMMYFUNCTION("""COMPUTED_VALUE"""),7.0)</f>
        <v>7</v>
      </c>
      <c r="E1184" s="251">
        <f>IFERROR(__xludf.DUMMYFUNCTION("""COMPUTED_VALUE"""),14.0)</f>
        <v>14</v>
      </c>
      <c r="F1184" s="251">
        <f>IFERROR(__xludf.DUMMYFUNCTION("""COMPUTED_VALUE"""),9.0)</f>
        <v>9</v>
      </c>
      <c r="G1184" s="251">
        <f>IFERROR(__xludf.DUMMYFUNCTION("""COMPUTED_VALUE"""),12.0)</f>
        <v>12</v>
      </c>
      <c r="H1184" s="251">
        <f>IFERROR(__xludf.DUMMYFUNCTION("""COMPUTED_VALUE"""),6.0)</f>
        <v>6</v>
      </c>
      <c r="I1184" s="251">
        <f>IFERROR(__xludf.DUMMYFUNCTION("""COMPUTED_VALUE"""),12.0)</f>
        <v>12</v>
      </c>
      <c r="J1184" s="251">
        <f>IFERROR(__xludf.DUMMYFUNCTION("""COMPUTED_VALUE"""),9.0)</f>
        <v>9</v>
      </c>
      <c r="K1184" s="251" t="str">
        <f>IFERROR(__xludf.DUMMYFUNCTION("""COMPUTED_VALUE"""),"Medium")</f>
        <v>Medium</v>
      </c>
      <c r="L1184" s="251">
        <f>IFERROR(__xludf.DUMMYFUNCTION("""COMPUTED_VALUE"""),3.0)</f>
        <v>3</v>
      </c>
      <c r="M1184" s="251" t="str">
        <f>IFERROR(__xludf.DUMMYFUNCTION("""COMPUTED_VALUE"""),"Urban")</f>
        <v>Urban</v>
      </c>
      <c r="N1184" s="251" t="str">
        <f>IFERROR(__xludf.DUMMYFUNCTION("""COMPUTED_VALUE"""),"Quick")</f>
        <v>Quick</v>
      </c>
      <c r="O1184" s="251" t="str">
        <f>IFERROR(__xludf.DUMMYFUNCTION("""COMPUTED_VALUE"""),"--")</f>
        <v>--</v>
      </c>
      <c r="P1184" s="251" t="str">
        <f>IFERROR(__xludf.DUMMYFUNCTION("""COMPUTED_VALUE"""),"--")</f>
        <v>--</v>
      </c>
      <c r="Q1184" s="251" t="str">
        <f>IFERROR(__xludf.DUMMYFUNCTION("""COMPUTED_VALUE"""),"--")</f>
        <v>--</v>
      </c>
      <c r="R1184" s="251" t="str">
        <f>IFERROR(__xludf.DUMMYFUNCTION("""COMPUTED_VALUE"""),"--")</f>
        <v>--</v>
      </c>
      <c r="S1184" s="251" t="str">
        <f>IFERROR(__xludf.DUMMYFUNCTION("""COMPUTED_VALUE"""),"--")</f>
        <v>--</v>
      </c>
      <c r="T1184" s="251" t="str">
        <f>IFERROR(__xludf.DUMMYFUNCTION("""COMPUTED_VALUE"""),"--")</f>
        <v>--</v>
      </c>
      <c r="U1184" s="251" t="str">
        <f>IFERROR(__xludf.DUMMYFUNCTION("""COMPUTED_VALUE"""),"--")</f>
        <v>--</v>
      </c>
      <c r="V1184" s="251" t="str">
        <f>IFERROR(__xludf.DUMMYFUNCTION("""COMPUTED_VALUE"""),"Aura Reader")</f>
        <v>Aura Reader</v>
      </c>
      <c r="W1184" s="251" t="str">
        <f>IFERROR(__xludf.DUMMYFUNCTION("""COMPUTED_VALUE"""),"--")</f>
        <v>--</v>
      </c>
      <c r="X1184" s="251" t="str">
        <f>IFERROR(__xludf.DUMMYFUNCTION("""COMPUTED_VALUE"""),"--")</f>
        <v>--</v>
      </c>
      <c r="Y1184" s="251" t="str">
        <f>IFERROR(__xludf.DUMMYFUNCTION("""COMPUTED_VALUE"""),"--")</f>
        <v>--</v>
      </c>
      <c r="Z1184" s="251" t="str">
        <f>IFERROR(__xludf.DUMMYFUNCTION("""COMPUTED_VALUE"""),"--")</f>
        <v>--</v>
      </c>
      <c r="AA1184" s="251" t="str">
        <f>IFERROR(__xludf.DUMMYFUNCTION("""COMPUTED_VALUE"""),"--")</f>
        <v>--</v>
      </c>
      <c r="AB1184" s="251" t="str">
        <f>IFERROR(__xludf.DUMMYFUNCTION("""COMPUTED_VALUE"""),"--")</f>
        <v>--</v>
      </c>
      <c r="AC1184" s="251" t="str">
        <f>IFERROR(__xludf.DUMMYFUNCTION("""COMPUTED_VALUE"""),"--")</f>
        <v>--</v>
      </c>
      <c r="AD1184" s="251">
        <f>IFERROR(__xludf.DUMMYFUNCTION("""COMPUTED_VALUE"""),3.0)</f>
        <v>3</v>
      </c>
      <c r="AE1184" s="251" t="str">
        <f>IFERROR(__xludf.DUMMYFUNCTION("""COMPUTED_VALUE"""),"Omnivore")</f>
        <v>Omnivore</v>
      </c>
    </row>
    <row r="1185">
      <c r="A1185" s="251" t="str">
        <f>IFERROR(__xludf.DUMMYFUNCTION("""COMPUTED_VALUE"""),"Scream Tail")</f>
        <v>Scream Tail</v>
      </c>
      <c r="B1185" s="251" t="str">
        <f>IFERROR(__xludf.DUMMYFUNCTION("""COMPUTED_VALUE"""),"Fairy")</f>
        <v>Fairy</v>
      </c>
      <c r="C1185" s="251" t="str">
        <f>IFERROR(__xludf.DUMMYFUNCTION("""COMPUTED_VALUE"""),"Psychic")</f>
        <v>Psychic</v>
      </c>
      <c r="D1185" s="251">
        <f>IFERROR(__xludf.DUMMYFUNCTION("""COMPUTED_VALUE"""),12.0)</f>
        <v>12</v>
      </c>
      <c r="E1185" s="251">
        <f>IFERROR(__xludf.DUMMYFUNCTION("""COMPUTED_VALUE"""),11.0)</f>
        <v>11</v>
      </c>
      <c r="F1185" s="251">
        <f>IFERROR(__xludf.DUMMYFUNCTION("""COMPUTED_VALUE"""),7.0)</f>
        <v>7</v>
      </c>
      <c r="G1185" s="251">
        <f>IFERROR(__xludf.DUMMYFUNCTION("""COMPUTED_VALUE"""),11.0)</f>
        <v>11</v>
      </c>
      <c r="H1185" s="251">
        <f>IFERROR(__xludf.DUMMYFUNCTION("""COMPUTED_VALUE"""),12.0)</f>
        <v>12</v>
      </c>
      <c r="I1185" s="251">
        <f>IFERROR(__xludf.DUMMYFUNCTION("""COMPUTED_VALUE"""),7.0)</f>
        <v>7</v>
      </c>
      <c r="J1185" s="251">
        <f>IFERROR(__xludf.DUMMYFUNCTION("""COMPUTED_VALUE"""),3.0)</f>
        <v>3</v>
      </c>
      <c r="K1185" s="251" t="str">
        <f>IFERROR(__xludf.DUMMYFUNCTION("""COMPUTED_VALUE"""),"Medium")</f>
        <v>Medium</v>
      </c>
      <c r="L1185" s="251">
        <f>IFERROR(__xludf.DUMMYFUNCTION("""COMPUTED_VALUE"""),1.0)</f>
        <v>1</v>
      </c>
      <c r="M1185" s="251" t="str">
        <f>IFERROR(__xludf.DUMMYFUNCTION("""COMPUTED_VALUE"""),"Urban")</f>
        <v>Urban</v>
      </c>
      <c r="N1185" s="251" t="str">
        <f>IFERROR(__xludf.DUMMYFUNCTION("""COMPUTED_VALUE"""),"--")</f>
        <v>--</v>
      </c>
      <c r="O1185" s="251" t="str">
        <f>IFERROR(__xludf.DUMMYFUNCTION("""COMPUTED_VALUE"""),"--")</f>
        <v>--</v>
      </c>
      <c r="P1185" s="251" t="str">
        <f>IFERROR(__xludf.DUMMYFUNCTION("""COMPUTED_VALUE"""),"--")</f>
        <v>--</v>
      </c>
      <c r="Q1185" s="251" t="str">
        <f>IFERROR(__xludf.DUMMYFUNCTION("""COMPUTED_VALUE"""),"--")</f>
        <v>--</v>
      </c>
      <c r="R1185" s="251" t="str">
        <f>IFERROR(__xludf.DUMMYFUNCTION("""COMPUTED_VALUE"""),"--")</f>
        <v>--</v>
      </c>
      <c r="S1185" s="251" t="str">
        <f>IFERROR(__xludf.DUMMYFUNCTION("""COMPUTED_VALUE"""),"--")</f>
        <v>--</v>
      </c>
      <c r="T1185" s="251" t="str">
        <f>IFERROR(__xludf.DUMMYFUNCTION("""COMPUTED_VALUE"""),"--")</f>
        <v>--</v>
      </c>
      <c r="U1185" s="251" t="str">
        <f>IFERROR(__xludf.DUMMYFUNCTION("""COMPUTED_VALUE"""),"--")</f>
        <v>--</v>
      </c>
      <c r="V1185" s="251" t="str">
        <f>IFERROR(__xludf.DUMMYFUNCTION("""COMPUTED_VALUE"""),"--")</f>
        <v>--</v>
      </c>
      <c r="W1185" s="251" t="str">
        <f>IFERROR(__xludf.DUMMYFUNCTION("""COMPUTED_VALUE"""),"--")</f>
        <v>--</v>
      </c>
      <c r="X1185" s="251" t="str">
        <f>IFERROR(__xludf.DUMMYFUNCTION("""COMPUTED_VALUE"""),"--")</f>
        <v>--</v>
      </c>
      <c r="Y1185" s="251" t="str">
        <f>IFERROR(__xludf.DUMMYFUNCTION("""COMPUTED_VALUE"""),"--")</f>
        <v>--</v>
      </c>
      <c r="Z1185" s="251" t="str">
        <f>IFERROR(__xludf.DUMMYFUNCTION("""COMPUTED_VALUE"""),"--")</f>
        <v>--</v>
      </c>
      <c r="AA1185" s="251" t="str">
        <f>IFERROR(__xludf.DUMMYFUNCTION("""COMPUTED_VALUE"""),"--")</f>
        <v>--</v>
      </c>
      <c r="AB1185" s="251" t="str">
        <f>IFERROR(__xludf.DUMMYFUNCTION("""COMPUTED_VALUE"""),"--")</f>
        <v>--</v>
      </c>
      <c r="AC1185" s="251" t="str">
        <f>IFERROR(__xludf.DUMMYFUNCTION("""COMPUTED_VALUE"""),"--")</f>
        <v>--</v>
      </c>
      <c r="AD1185" s="251">
        <f>IFERROR(__xludf.DUMMYFUNCTION("""COMPUTED_VALUE"""),3.0)</f>
        <v>3</v>
      </c>
      <c r="AE1185" s="251" t="str">
        <f>IFERROR(__xludf.DUMMYFUNCTION("""COMPUTED_VALUE"""),"Herbivore")</f>
        <v>Herbivore</v>
      </c>
    </row>
    <row r="1186">
      <c r="A1186" s="251" t="str">
        <f>IFERROR(__xludf.DUMMYFUNCTION("""COMPUTED_VALUE"""),"Iron Hands")</f>
        <v>Iron Hands</v>
      </c>
      <c r="B1186" s="251" t="str">
        <f>IFERROR(__xludf.DUMMYFUNCTION("""COMPUTED_VALUE"""),"Fighting")</f>
        <v>Fighting</v>
      </c>
      <c r="C1186" s="251" t="str">
        <f>IFERROR(__xludf.DUMMYFUNCTION("""COMPUTED_VALUE"""),"Electric")</f>
        <v>Electric</v>
      </c>
      <c r="D1186" s="251">
        <f>IFERROR(__xludf.DUMMYFUNCTION("""COMPUTED_VALUE"""),15.0)</f>
        <v>15</v>
      </c>
      <c r="E1186" s="251">
        <f>IFERROR(__xludf.DUMMYFUNCTION("""COMPUTED_VALUE"""),14.0)</f>
        <v>14</v>
      </c>
      <c r="F1186" s="251">
        <f>IFERROR(__xludf.DUMMYFUNCTION("""COMPUTED_VALUE"""),14.0)</f>
        <v>14</v>
      </c>
      <c r="G1186" s="251">
        <f>IFERROR(__xludf.DUMMYFUNCTION("""COMPUTED_VALUE"""),5.0)</f>
        <v>5</v>
      </c>
      <c r="H1186" s="251">
        <f>IFERROR(__xludf.DUMMYFUNCTION("""COMPUTED_VALUE"""),7.0)</f>
        <v>7</v>
      </c>
      <c r="I1186" s="251">
        <f>IFERROR(__xludf.DUMMYFUNCTION("""COMPUTED_VALUE"""),5.0)</f>
        <v>5</v>
      </c>
      <c r="J1186" s="251">
        <f>IFERROR(__xludf.DUMMYFUNCTION("""COMPUTED_VALUE"""),14.0)</f>
        <v>14</v>
      </c>
      <c r="K1186" s="251" t="str">
        <f>IFERROR(__xludf.DUMMYFUNCTION("""COMPUTED_VALUE"""),"Medium")</f>
        <v>Medium</v>
      </c>
      <c r="L1186" s="251">
        <f>IFERROR(__xludf.DUMMYFUNCTION("""COMPUTED_VALUE"""),6.0)</f>
        <v>6</v>
      </c>
      <c r="M1186" s="251" t="str">
        <f>IFERROR(__xludf.DUMMYFUNCTION("""COMPUTED_VALUE"""),"Urban")</f>
        <v>Urban</v>
      </c>
      <c r="N1186" s="251" t="str">
        <f>IFERROR(__xludf.DUMMYFUNCTION("""COMPUTED_VALUE"""),"--")</f>
        <v>--</v>
      </c>
      <c r="O1186" s="251" t="str">
        <f>IFERROR(__xludf.DUMMYFUNCTION("""COMPUTED_VALUE"""),"--")</f>
        <v>--</v>
      </c>
      <c r="P1186" s="251" t="str">
        <f>IFERROR(__xludf.DUMMYFUNCTION("""COMPUTED_VALUE"""),"--")</f>
        <v>--</v>
      </c>
      <c r="Q1186" s="251" t="str">
        <f>IFERROR(__xludf.DUMMYFUNCTION("""COMPUTED_VALUE"""),"--")</f>
        <v>--</v>
      </c>
      <c r="R1186" s="251" t="str">
        <f>IFERROR(__xludf.DUMMYFUNCTION("""COMPUTED_VALUE"""),"--")</f>
        <v>--</v>
      </c>
      <c r="S1186" s="251" t="str">
        <f>IFERROR(__xludf.DUMMYFUNCTION("""COMPUTED_VALUE"""),"--")</f>
        <v>--</v>
      </c>
      <c r="T1186" s="251" t="str">
        <f>IFERROR(__xludf.DUMMYFUNCTION("""COMPUTED_VALUE"""),"--")</f>
        <v>--</v>
      </c>
      <c r="U1186" s="251" t="str">
        <f>IFERROR(__xludf.DUMMYFUNCTION("""COMPUTED_VALUE"""),"--")</f>
        <v>--</v>
      </c>
      <c r="V1186" s="251" t="str">
        <f>IFERROR(__xludf.DUMMYFUNCTION("""COMPUTED_VALUE"""),"--")</f>
        <v>--</v>
      </c>
      <c r="W1186" s="251" t="str">
        <f>IFERROR(__xludf.DUMMYFUNCTION("""COMPUTED_VALUE"""),"--")</f>
        <v>--</v>
      </c>
      <c r="X1186" s="251" t="str">
        <f>IFERROR(__xludf.DUMMYFUNCTION("""COMPUTED_VALUE"""),"--")</f>
        <v>--</v>
      </c>
      <c r="Y1186" s="251" t="str">
        <f>IFERROR(__xludf.DUMMYFUNCTION("""COMPUTED_VALUE"""),"--")</f>
        <v>--</v>
      </c>
      <c r="Z1186" s="251" t="str">
        <f>IFERROR(__xludf.DUMMYFUNCTION("""COMPUTED_VALUE"""),"--")</f>
        <v>--</v>
      </c>
      <c r="AA1186" s="251" t="str">
        <f>IFERROR(__xludf.DUMMYFUNCTION("""COMPUTED_VALUE"""),"--")</f>
        <v>--</v>
      </c>
      <c r="AB1186" s="251" t="str">
        <f>IFERROR(__xludf.DUMMYFUNCTION("""COMPUTED_VALUE"""),"--")</f>
        <v>--</v>
      </c>
      <c r="AC1186" s="251" t="str">
        <f>IFERROR(__xludf.DUMMYFUNCTION("""COMPUTED_VALUE"""),"--")</f>
        <v>--</v>
      </c>
      <c r="AD1186" s="251">
        <f>IFERROR(__xludf.DUMMYFUNCTION("""COMPUTED_VALUE"""),3.0)</f>
        <v>3</v>
      </c>
      <c r="AE1186" s="251" t="str">
        <f>IFERROR(__xludf.DUMMYFUNCTION("""COMPUTED_VALUE"""),"Omnivore")</f>
        <v>Omnivore</v>
      </c>
    </row>
    <row r="1187">
      <c r="A1187" s="251" t="str">
        <f>IFERROR(__xludf.DUMMYFUNCTION("""COMPUTED_VALUE"""),"Iron Moth")</f>
        <v>Iron Moth</v>
      </c>
      <c r="B1187" s="251" t="str">
        <f>IFERROR(__xludf.DUMMYFUNCTION("""COMPUTED_VALUE"""),"Fire")</f>
        <v>Fire</v>
      </c>
      <c r="C1187" s="251" t="str">
        <f>IFERROR(__xludf.DUMMYFUNCTION("""COMPUTED_VALUE"""),"Poison")</f>
        <v>Poison</v>
      </c>
      <c r="D1187" s="251">
        <f>IFERROR(__xludf.DUMMYFUNCTION("""COMPUTED_VALUE"""),8.0)</f>
        <v>8</v>
      </c>
      <c r="E1187" s="251">
        <f>IFERROR(__xludf.DUMMYFUNCTION("""COMPUTED_VALUE"""),7.0)</f>
        <v>7</v>
      </c>
      <c r="F1187" s="251">
        <f>IFERROR(__xludf.DUMMYFUNCTION("""COMPUTED_VALUE"""),6.0)</f>
        <v>6</v>
      </c>
      <c r="G1187" s="251">
        <f>IFERROR(__xludf.DUMMYFUNCTION("""COMPUTED_VALUE"""),15.0)</f>
        <v>15</v>
      </c>
      <c r="H1187" s="251">
        <f>IFERROR(__xludf.DUMMYFUNCTION("""COMPUTED_VALUE"""),13.0)</f>
        <v>13</v>
      </c>
      <c r="I1187" s="251">
        <f>IFERROR(__xludf.DUMMYFUNCTION("""COMPUTED_VALUE"""),11.0)</f>
        <v>11</v>
      </c>
      <c r="J1187" s="251">
        <f>IFERROR(__xludf.DUMMYFUNCTION("""COMPUTED_VALUE"""),6.0)</f>
        <v>6</v>
      </c>
      <c r="K1187" s="251" t="str">
        <f>IFERROR(__xludf.DUMMYFUNCTION("""COMPUTED_VALUE"""),"Medium")</f>
        <v>Medium</v>
      </c>
      <c r="L1187" s="251">
        <f>IFERROR(__xludf.DUMMYFUNCTION("""COMPUTED_VALUE"""),3.0)</f>
        <v>3</v>
      </c>
      <c r="M1187" s="251" t="str">
        <f>IFERROR(__xludf.DUMMYFUNCTION("""COMPUTED_VALUE"""),"Urban")</f>
        <v>Urban</v>
      </c>
      <c r="N1187" s="251" t="str">
        <f>IFERROR(__xludf.DUMMYFUNCTION("""COMPUTED_VALUE"""),"Flier")</f>
        <v>Flier</v>
      </c>
      <c r="O1187" s="251" t="str">
        <f>IFERROR(__xludf.DUMMYFUNCTION("""COMPUTED_VALUE"""),"--")</f>
        <v>--</v>
      </c>
      <c r="P1187" s="251" t="str">
        <f>IFERROR(__xludf.DUMMYFUNCTION("""COMPUTED_VALUE"""),"--")</f>
        <v>--</v>
      </c>
      <c r="Q1187" s="251" t="str">
        <f>IFERROR(__xludf.DUMMYFUNCTION("""COMPUTED_VALUE"""),"--")</f>
        <v>--</v>
      </c>
      <c r="R1187" s="251" t="str">
        <f>IFERROR(__xludf.DUMMYFUNCTION("""COMPUTED_VALUE"""),"--")</f>
        <v>--</v>
      </c>
      <c r="S1187" s="251" t="str">
        <f>IFERROR(__xludf.DUMMYFUNCTION("""COMPUTED_VALUE"""),"--")</f>
        <v>--</v>
      </c>
      <c r="T1187" s="251" t="str">
        <f>IFERROR(__xludf.DUMMYFUNCTION("""COMPUTED_VALUE"""),"--")</f>
        <v>--</v>
      </c>
      <c r="U1187" s="251" t="str">
        <f>IFERROR(__xludf.DUMMYFUNCTION("""COMPUTED_VALUE"""),"--")</f>
        <v>--</v>
      </c>
      <c r="V1187" s="251" t="str">
        <f>IFERROR(__xludf.DUMMYFUNCTION("""COMPUTED_VALUE"""),"Heater")</f>
        <v>Heater</v>
      </c>
      <c r="W1187" s="251" t="str">
        <f>IFERROR(__xludf.DUMMYFUNCTION("""COMPUTED_VALUE"""),"--")</f>
        <v>--</v>
      </c>
      <c r="X1187" s="251" t="str">
        <f>IFERROR(__xludf.DUMMYFUNCTION("""COMPUTED_VALUE"""),"--")</f>
        <v>--</v>
      </c>
      <c r="Y1187" s="251" t="str">
        <f>IFERROR(__xludf.DUMMYFUNCTION("""COMPUTED_VALUE"""),"--")</f>
        <v>--</v>
      </c>
      <c r="Z1187" s="251" t="str">
        <f>IFERROR(__xludf.DUMMYFUNCTION("""COMPUTED_VALUE"""),"--")</f>
        <v>--</v>
      </c>
      <c r="AA1187" s="251" t="str">
        <f>IFERROR(__xludf.DUMMYFUNCTION("""COMPUTED_VALUE"""),"--")</f>
        <v>--</v>
      </c>
      <c r="AB1187" s="251" t="str">
        <f>IFERROR(__xludf.DUMMYFUNCTION("""COMPUTED_VALUE"""),"--")</f>
        <v>--</v>
      </c>
      <c r="AC1187" s="251" t="str">
        <f>IFERROR(__xludf.DUMMYFUNCTION("""COMPUTED_VALUE"""),"--")</f>
        <v>--</v>
      </c>
      <c r="AD1187" s="251">
        <f>IFERROR(__xludf.DUMMYFUNCTION("""COMPUTED_VALUE"""),3.0)</f>
        <v>3</v>
      </c>
      <c r="AE1187" s="251" t="str">
        <f>IFERROR(__xludf.DUMMYFUNCTION("""COMPUTED_VALUE"""),"Nullivore")</f>
        <v>Nullivore</v>
      </c>
    </row>
    <row r="1188">
      <c r="A1188" s="251" t="str">
        <f>IFERROR(__xludf.DUMMYFUNCTION("""COMPUTED_VALUE"""),"Flutter Mane")</f>
        <v>Flutter Mane</v>
      </c>
      <c r="B1188" s="251" t="str">
        <f>IFERROR(__xludf.DUMMYFUNCTION("""COMPUTED_VALUE"""),"Ghost")</f>
        <v>Ghost</v>
      </c>
      <c r="C1188" s="251" t="str">
        <f>IFERROR(__xludf.DUMMYFUNCTION("""COMPUTED_VALUE"""),"Fairy")</f>
        <v>Fairy</v>
      </c>
      <c r="D1188" s="251">
        <f>IFERROR(__xludf.DUMMYFUNCTION("""COMPUTED_VALUE"""),6.0)</f>
        <v>6</v>
      </c>
      <c r="E1188" s="251">
        <f>IFERROR(__xludf.DUMMYFUNCTION("""COMPUTED_VALUE"""),6.0)</f>
        <v>6</v>
      </c>
      <c r="F1188" s="251">
        <f>IFERROR(__xludf.DUMMYFUNCTION("""COMPUTED_VALUE"""),6.0)</f>
        <v>6</v>
      </c>
      <c r="G1188" s="251">
        <f>IFERROR(__xludf.DUMMYFUNCTION("""COMPUTED_VALUE"""),14.0)</f>
        <v>14</v>
      </c>
      <c r="H1188" s="251">
        <f>IFERROR(__xludf.DUMMYFUNCTION("""COMPUTED_VALUE"""),14.0)</f>
        <v>14</v>
      </c>
      <c r="I1188" s="251">
        <f>IFERROR(__xludf.DUMMYFUNCTION("""COMPUTED_VALUE"""),14.0)</f>
        <v>14</v>
      </c>
      <c r="J1188" s="251">
        <f>IFERROR(__xludf.DUMMYFUNCTION("""COMPUTED_VALUE"""),2.0)</f>
        <v>2</v>
      </c>
      <c r="K1188" s="251" t="str">
        <f>IFERROR(__xludf.DUMMYFUNCTION("""COMPUTED_VALUE"""),"Medium")</f>
        <v>Medium</v>
      </c>
      <c r="L1188" s="251">
        <f>IFERROR(__xludf.DUMMYFUNCTION("""COMPUTED_VALUE"""),1.0)</f>
        <v>1</v>
      </c>
      <c r="M1188" s="251" t="str">
        <f>IFERROR(__xludf.DUMMYFUNCTION("""COMPUTED_VALUE"""),"Urban")</f>
        <v>Urban</v>
      </c>
      <c r="N1188" s="251" t="str">
        <f>IFERROR(__xludf.DUMMYFUNCTION("""COMPUTED_VALUE"""),"Flier")</f>
        <v>Flier</v>
      </c>
      <c r="O1188" s="251" t="str">
        <f>IFERROR(__xludf.DUMMYFUNCTION("""COMPUTED_VALUE"""),"Phaser")</f>
        <v>Phaser</v>
      </c>
      <c r="P1188" s="251" t="str">
        <f>IFERROR(__xludf.DUMMYFUNCTION("""COMPUTED_VALUE"""),"--")</f>
        <v>--</v>
      </c>
      <c r="Q1188" s="251" t="str">
        <f>IFERROR(__xludf.DUMMYFUNCTION("""COMPUTED_VALUE"""),"--")</f>
        <v>--</v>
      </c>
      <c r="R1188" s="251" t="str">
        <f>IFERROR(__xludf.DUMMYFUNCTION("""COMPUTED_VALUE"""),"Darkvision")</f>
        <v>Darkvision</v>
      </c>
      <c r="S1188" s="251" t="str">
        <f>IFERROR(__xludf.DUMMYFUNCTION("""COMPUTED_VALUE"""),"Invisibility")</f>
        <v>Invisibility</v>
      </c>
      <c r="T1188" s="251" t="str">
        <f>IFERROR(__xludf.DUMMYFUNCTION("""COMPUTED_VALUE"""),"--")</f>
        <v>--</v>
      </c>
      <c r="U1188" s="251" t="str">
        <f>IFERROR(__xludf.DUMMYFUNCTION("""COMPUTED_VALUE"""),"--")</f>
        <v>--</v>
      </c>
      <c r="V1188" s="251" t="str">
        <f>IFERROR(__xludf.DUMMYFUNCTION("""COMPUTED_VALUE"""),"Dead Silent")</f>
        <v>Dead Silent</v>
      </c>
      <c r="W1188" s="251" t="str">
        <f>IFERROR(__xludf.DUMMYFUNCTION("""COMPUTED_VALUE"""),"--")</f>
        <v>--</v>
      </c>
      <c r="X1188" s="251" t="str">
        <f>IFERROR(__xludf.DUMMYFUNCTION("""COMPUTED_VALUE"""),"--")</f>
        <v>--</v>
      </c>
      <c r="Y1188" s="251" t="str">
        <f>IFERROR(__xludf.DUMMYFUNCTION("""COMPUTED_VALUE"""),"--")</f>
        <v>--</v>
      </c>
      <c r="Z1188" s="251" t="str">
        <f>IFERROR(__xludf.DUMMYFUNCTION("""COMPUTED_VALUE"""),"--")</f>
        <v>--</v>
      </c>
      <c r="AA1188" s="251" t="str">
        <f>IFERROR(__xludf.DUMMYFUNCTION("""COMPUTED_VALUE"""),"--")</f>
        <v>--</v>
      </c>
      <c r="AB1188" s="251" t="str">
        <f>IFERROR(__xludf.DUMMYFUNCTION("""COMPUTED_VALUE"""),"--")</f>
        <v>--</v>
      </c>
      <c r="AC1188" s="251" t="str">
        <f>IFERROR(__xludf.DUMMYFUNCTION("""COMPUTED_VALUE"""),"--")</f>
        <v>--</v>
      </c>
      <c r="AD1188" s="251">
        <f>IFERROR(__xludf.DUMMYFUNCTION("""COMPUTED_VALUE"""),3.0)</f>
        <v>3</v>
      </c>
      <c r="AE1188" s="251" t="str">
        <f>IFERROR(__xludf.DUMMYFUNCTION("""COMPUTED_VALUE"""),"Nullivore")</f>
        <v>Nullivore</v>
      </c>
    </row>
    <row r="1189">
      <c r="A1189" s="251" t="str">
        <f>IFERROR(__xludf.DUMMYFUNCTION("""COMPUTED_VALUE"""),"Brute Bonnet")</f>
        <v>Brute Bonnet</v>
      </c>
      <c r="B1189" s="251" t="str">
        <f>IFERROR(__xludf.DUMMYFUNCTION("""COMPUTED_VALUE"""),"Grass")</f>
        <v>Grass</v>
      </c>
      <c r="C1189" s="251" t="str">
        <f>IFERROR(__xludf.DUMMYFUNCTION("""COMPUTED_VALUE"""),"Dark")</f>
        <v>Dark</v>
      </c>
      <c r="D1189" s="251">
        <f>IFERROR(__xludf.DUMMYFUNCTION("""COMPUTED_VALUE"""),13.0)</f>
        <v>13</v>
      </c>
      <c r="E1189" s="251">
        <f>IFERROR(__xludf.DUMMYFUNCTION("""COMPUTED_VALUE"""),13.0)</f>
        <v>13</v>
      </c>
      <c r="F1189" s="251">
        <f>IFERROR(__xludf.DUMMYFUNCTION("""COMPUTED_VALUE"""),10.0)</f>
        <v>10</v>
      </c>
      <c r="G1189" s="251">
        <f>IFERROR(__xludf.DUMMYFUNCTION("""COMPUTED_VALUE"""),8.0)</f>
        <v>8</v>
      </c>
      <c r="H1189" s="251">
        <f>IFERROR(__xludf.DUMMYFUNCTION("""COMPUTED_VALUE"""),10.0)</f>
        <v>10</v>
      </c>
      <c r="I1189" s="251">
        <f>IFERROR(__xludf.DUMMYFUNCTION("""COMPUTED_VALUE"""),6.0)</f>
        <v>6</v>
      </c>
      <c r="J1189" s="251">
        <f>IFERROR(__xludf.DUMMYFUNCTION("""COMPUTED_VALUE"""),4.0)</f>
        <v>4</v>
      </c>
      <c r="K1189" s="251" t="str">
        <f>IFERROR(__xludf.DUMMYFUNCTION("""COMPUTED_VALUE"""),"Medium")</f>
        <v>Medium</v>
      </c>
      <c r="L1189" s="251">
        <f>IFERROR(__xludf.DUMMYFUNCTION("""COMPUTED_VALUE"""),2.0)</f>
        <v>2</v>
      </c>
      <c r="M1189" s="251" t="str">
        <f>IFERROR(__xludf.DUMMYFUNCTION("""COMPUTED_VALUE"""),"Forest")</f>
        <v>Forest</v>
      </c>
      <c r="N1189" s="251" t="str">
        <f>IFERROR(__xludf.DUMMYFUNCTION("""COMPUTED_VALUE"""),"--")</f>
        <v>--</v>
      </c>
      <c r="O1189" s="251" t="str">
        <f>IFERROR(__xludf.DUMMYFUNCTION("""COMPUTED_VALUE"""),"--")</f>
        <v>--</v>
      </c>
      <c r="P1189" s="251" t="str">
        <f>IFERROR(__xludf.DUMMYFUNCTION("""COMPUTED_VALUE"""),"--")</f>
        <v>--</v>
      </c>
      <c r="Q1189" s="251" t="str">
        <f>IFERROR(__xludf.DUMMYFUNCTION("""COMPUTED_VALUE"""),"--")</f>
        <v>--</v>
      </c>
      <c r="R1189" s="251" t="str">
        <f>IFERROR(__xludf.DUMMYFUNCTION("""COMPUTED_VALUE"""),"Darkvision")</f>
        <v>Darkvision</v>
      </c>
      <c r="S1189" s="251" t="str">
        <f>IFERROR(__xludf.DUMMYFUNCTION("""COMPUTED_VALUE"""),"--")</f>
        <v>--</v>
      </c>
      <c r="T1189" s="251" t="str">
        <f>IFERROR(__xludf.DUMMYFUNCTION("""COMPUTED_VALUE"""),"--")</f>
        <v>--</v>
      </c>
      <c r="U1189" s="251" t="str">
        <f>IFERROR(__xludf.DUMMYFUNCTION("""COMPUTED_VALUE"""),"--")</f>
        <v>--</v>
      </c>
      <c r="V1189" s="251" t="str">
        <f>IFERROR(__xludf.DUMMYFUNCTION("""COMPUTED_VALUE"""),"--")</f>
        <v>--</v>
      </c>
      <c r="W1189" s="251" t="str">
        <f>IFERROR(__xludf.DUMMYFUNCTION("""COMPUTED_VALUE"""),"--")</f>
        <v>--</v>
      </c>
      <c r="X1189" s="251" t="str">
        <f>IFERROR(__xludf.DUMMYFUNCTION("""COMPUTED_VALUE"""),"--")</f>
        <v>--</v>
      </c>
      <c r="Y1189" s="251" t="str">
        <f>IFERROR(__xludf.DUMMYFUNCTION("""COMPUTED_VALUE"""),"--")</f>
        <v>--</v>
      </c>
      <c r="Z1189" s="251" t="str">
        <f>IFERROR(__xludf.DUMMYFUNCTION("""COMPUTED_VALUE"""),"--")</f>
        <v>--</v>
      </c>
      <c r="AA1189" s="251" t="str">
        <f>IFERROR(__xludf.DUMMYFUNCTION("""COMPUTED_VALUE"""),"--")</f>
        <v>--</v>
      </c>
      <c r="AB1189" s="251" t="str">
        <f>IFERROR(__xludf.DUMMYFUNCTION("""COMPUTED_VALUE"""),"--")</f>
        <v>--</v>
      </c>
      <c r="AC1189" s="251" t="str">
        <f>IFERROR(__xludf.DUMMYFUNCTION("""COMPUTED_VALUE"""),"--")</f>
        <v>--</v>
      </c>
      <c r="AD1189" s="251">
        <f>IFERROR(__xludf.DUMMYFUNCTION("""COMPUTED_VALUE"""),3.0)</f>
        <v>3</v>
      </c>
      <c r="AE1189" s="251" t="str">
        <f>IFERROR(__xludf.DUMMYFUNCTION("""COMPUTED_VALUE"""),"Phototroph")</f>
        <v>Phototroph</v>
      </c>
    </row>
    <row r="1190">
      <c r="A1190" s="251" t="str">
        <f>IFERROR(__xludf.DUMMYFUNCTION("""COMPUTED_VALUE"""),"Great Tusk")</f>
        <v>Great Tusk</v>
      </c>
      <c r="B1190" s="251" t="str">
        <f>IFERROR(__xludf.DUMMYFUNCTION("""COMPUTED_VALUE"""),"Ground")</f>
        <v>Ground</v>
      </c>
      <c r="C1190" s="251" t="str">
        <f>IFERROR(__xludf.DUMMYFUNCTION("""COMPUTED_VALUE"""),"Fighting")</f>
        <v>Fighting</v>
      </c>
      <c r="D1190" s="251">
        <f>IFERROR(__xludf.DUMMYFUNCTION("""COMPUTED_VALUE"""),12.0)</f>
        <v>12</v>
      </c>
      <c r="E1190" s="251">
        <f>IFERROR(__xludf.DUMMYFUNCTION("""COMPUTED_VALUE"""),15.0)</f>
        <v>15</v>
      </c>
      <c r="F1190" s="251">
        <f>IFERROR(__xludf.DUMMYFUNCTION("""COMPUTED_VALUE"""),14.0)</f>
        <v>14</v>
      </c>
      <c r="G1190" s="251">
        <f>IFERROR(__xludf.DUMMYFUNCTION("""COMPUTED_VALUE"""),5.0)</f>
        <v>5</v>
      </c>
      <c r="H1190" s="251">
        <f>IFERROR(__xludf.DUMMYFUNCTION("""COMPUTED_VALUE"""),5.0)</f>
        <v>5</v>
      </c>
      <c r="I1190" s="251">
        <f>IFERROR(__xludf.DUMMYFUNCTION("""COMPUTED_VALUE"""),9.0)</f>
        <v>9</v>
      </c>
      <c r="J1190" s="251">
        <f>IFERROR(__xludf.DUMMYFUNCTION("""COMPUTED_VALUE"""),8.0)</f>
        <v>8</v>
      </c>
      <c r="K1190" s="251" t="str">
        <f>IFERROR(__xludf.DUMMYFUNCTION("""COMPUTED_VALUE"""),"Large")</f>
        <v>Large</v>
      </c>
      <c r="L1190" s="251">
        <f>IFERROR(__xludf.DUMMYFUNCTION("""COMPUTED_VALUE"""),6.0)</f>
        <v>6</v>
      </c>
      <c r="M1190" s="251" t="str">
        <f>IFERROR(__xludf.DUMMYFUNCTION("""COMPUTED_VALUE"""),"Cave")</f>
        <v>Cave</v>
      </c>
      <c r="N1190" s="251" t="str">
        <f>IFERROR(__xludf.DUMMYFUNCTION("""COMPUTED_VALUE"""),"--")</f>
        <v>--</v>
      </c>
      <c r="O1190" s="251" t="str">
        <f>IFERROR(__xludf.DUMMYFUNCTION("""COMPUTED_VALUE"""),"--")</f>
        <v>--</v>
      </c>
      <c r="P1190" s="251" t="str">
        <f>IFERROR(__xludf.DUMMYFUNCTION("""COMPUTED_VALUE"""),"--")</f>
        <v>--</v>
      </c>
      <c r="Q1190" s="251" t="str">
        <f>IFERROR(__xludf.DUMMYFUNCTION("""COMPUTED_VALUE"""),"--")</f>
        <v>--</v>
      </c>
      <c r="R1190" s="251" t="str">
        <f>IFERROR(__xludf.DUMMYFUNCTION("""COMPUTED_VALUE"""),"Mountable")</f>
        <v>Mountable</v>
      </c>
      <c r="S1190" s="251" t="str">
        <f>IFERROR(__xludf.DUMMYFUNCTION("""COMPUTED_VALUE"""),"--")</f>
        <v>--</v>
      </c>
      <c r="T1190" s="251" t="str">
        <f>IFERROR(__xludf.DUMMYFUNCTION("""COMPUTED_VALUE"""),"--")</f>
        <v>--</v>
      </c>
      <c r="U1190" s="251" t="str">
        <f>IFERROR(__xludf.DUMMYFUNCTION("""COMPUTED_VALUE"""),"--")</f>
        <v>--</v>
      </c>
      <c r="V1190" s="251" t="str">
        <f>IFERROR(__xludf.DUMMYFUNCTION("""COMPUTED_VALUE"""),"Tracker")</f>
        <v>Tracker</v>
      </c>
      <c r="W1190" s="251" t="str">
        <f>IFERROR(__xludf.DUMMYFUNCTION("""COMPUTED_VALUE"""),"--")</f>
        <v>--</v>
      </c>
      <c r="X1190" s="251" t="str">
        <f>IFERROR(__xludf.DUMMYFUNCTION("""COMPUTED_VALUE"""),"--")</f>
        <v>--</v>
      </c>
      <c r="Y1190" s="251" t="str">
        <f>IFERROR(__xludf.DUMMYFUNCTION("""COMPUTED_VALUE"""),"--")</f>
        <v>--</v>
      </c>
      <c r="Z1190" s="251" t="str">
        <f>IFERROR(__xludf.DUMMYFUNCTION("""COMPUTED_VALUE"""),"--")</f>
        <v>--</v>
      </c>
      <c r="AA1190" s="251" t="str">
        <f>IFERROR(__xludf.DUMMYFUNCTION("""COMPUTED_VALUE"""),"--")</f>
        <v>--</v>
      </c>
      <c r="AB1190" s="251" t="str">
        <f>IFERROR(__xludf.DUMMYFUNCTION("""COMPUTED_VALUE"""),"--")</f>
        <v>--</v>
      </c>
      <c r="AC1190" s="251" t="str">
        <f>IFERROR(__xludf.DUMMYFUNCTION("""COMPUTED_VALUE"""),"--")</f>
        <v>--</v>
      </c>
      <c r="AD1190" s="251">
        <f>IFERROR(__xludf.DUMMYFUNCTION("""COMPUTED_VALUE"""),3.0)</f>
        <v>3</v>
      </c>
      <c r="AE1190" s="251" t="str">
        <f>IFERROR(__xludf.DUMMYFUNCTION("""COMPUTED_VALUE"""),"Omnivore")</f>
        <v>Omnivore</v>
      </c>
    </row>
    <row r="1191">
      <c r="A1191" s="251" t="str">
        <f>IFERROR(__xludf.DUMMYFUNCTION("""COMPUTED_VALUE"""),"Iron Treads")</f>
        <v>Iron Treads</v>
      </c>
      <c r="B1191" s="251" t="str">
        <f>IFERROR(__xludf.DUMMYFUNCTION("""COMPUTED_VALUE"""),"Ground")</f>
        <v>Ground</v>
      </c>
      <c r="C1191" s="251" t="str">
        <f>IFERROR(__xludf.DUMMYFUNCTION("""COMPUTED_VALUE"""),"Steel")</f>
        <v>Steel</v>
      </c>
      <c r="D1191" s="251">
        <f>IFERROR(__xludf.DUMMYFUNCTION("""COMPUTED_VALUE"""),9.0)</f>
        <v>9</v>
      </c>
      <c r="E1191" s="251">
        <f>IFERROR(__xludf.DUMMYFUNCTION("""COMPUTED_VALUE"""),11.0)</f>
        <v>11</v>
      </c>
      <c r="F1191" s="251">
        <f>IFERROR(__xludf.DUMMYFUNCTION("""COMPUTED_VALUE"""),15.0)</f>
        <v>15</v>
      </c>
      <c r="G1191" s="251">
        <f>IFERROR(__xludf.DUMMYFUNCTION("""COMPUTED_VALUE"""),7.0)</f>
        <v>7</v>
      </c>
      <c r="H1191" s="251">
        <f>IFERROR(__xludf.DUMMYFUNCTION("""COMPUTED_VALUE"""),7.0)</f>
        <v>7</v>
      </c>
      <c r="I1191" s="251">
        <f>IFERROR(__xludf.DUMMYFUNCTION("""COMPUTED_VALUE"""),11.0)</f>
        <v>11</v>
      </c>
      <c r="J1191" s="251">
        <f>IFERROR(__xludf.DUMMYFUNCTION("""COMPUTED_VALUE"""),7.0)</f>
        <v>7</v>
      </c>
      <c r="K1191" s="251" t="str">
        <f>IFERROR(__xludf.DUMMYFUNCTION("""COMPUTED_VALUE"""),"Medium")</f>
        <v>Medium</v>
      </c>
      <c r="L1191" s="251">
        <f>IFERROR(__xludf.DUMMYFUNCTION("""COMPUTED_VALUE"""),4.0)</f>
        <v>4</v>
      </c>
      <c r="M1191" s="251" t="str">
        <f>IFERROR(__xludf.DUMMYFUNCTION("""COMPUTED_VALUE"""),"Urban")</f>
        <v>Urban</v>
      </c>
      <c r="N1191" s="251" t="str">
        <f>IFERROR(__xludf.DUMMYFUNCTION("""COMPUTED_VALUE"""),"Quick")</f>
        <v>Quick</v>
      </c>
      <c r="O1191" s="251" t="str">
        <f>IFERROR(__xludf.DUMMYFUNCTION("""COMPUTED_VALUE"""),"--")</f>
        <v>--</v>
      </c>
      <c r="P1191" s="251" t="str">
        <f>IFERROR(__xludf.DUMMYFUNCTION("""COMPUTED_VALUE"""),"--")</f>
        <v>--</v>
      </c>
      <c r="Q1191" s="251" t="str">
        <f>IFERROR(__xludf.DUMMYFUNCTION("""COMPUTED_VALUE"""),"--")</f>
        <v>--</v>
      </c>
      <c r="R1191" s="251" t="str">
        <f>IFERROR(__xludf.DUMMYFUNCTION("""COMPUTED_VALUE"""),"Mountable")</f>
        <v>Mountable</v>
      </c>
      <c r="S1191" s="251" t="str">
        <f>IFERROR(__xludf.DUMMYFUNCTION("""COMPUTED_VALUE"""),"--")</f>
        <v>--</v>
      </c>
      <c r="T1191" s="251" t="str">
        <f>IFERROR(__xludf.DUMMYFUNCTION("""COMPUTED_VALUE"""),"--")</f>
        <v>--</v>
      </c>
      <c r="U1191" s="251" t="str">
        <f>IFERROR(__xludf.DUMMYFUNCTION("""COMPUTED_VALUE"""),"--")</f>
        <v>--</v>
      </c>
      <c r="V1191" s="251" t="str">
        <f>IFERROR(__xludf.DUMMYFUNCTION("""COMPUTED_VALUE"""),"Tracker")</f>
        <v>Tracker</v>
      </c>
      <c r="W1191" s="251" t="str">
        <f>IFERROR(__xludf.DUMMYFUNCTION("""COMPUTED_VALUE"""),"--")</f>
        <v>--</v>
      </c>
      <c r="X1191" s="251" t="str">
        <f>IFERROR(__xludf.DUMMYFUNCTION("""COMPUTED_VALUE"""),"--")</f>
        <v>--</v>
      </c>
      <c r="Y1191" s="251" t="str">
        <f>IFERROR(__xludf.DUMMYFUNCTION("""COMPUTED_VALUE"""),"--")</f>
        <v>--</v>
      </c>
      <c r="Z1191" s="251" t="str">
        <f>IFERROR(__xludf.DUMMYFUNCTION("""COMPUTED_VALUE"""),"--")</f>
        <v>--</v>
      </c>
      <c r="AA1191" s="251" t="str">
        <f>IFERROR(__xludf.DUMMYFUNCTION("""COMPUTED_VALUE"""),"--")</f>
        <v>--</v>
      </c>
      <c r="AB1191" s="251" t="str">
        <f>IFERROR(__xludf.DUMMYFUNCTION("""COMPUTED_VALUE"""),"--")</f>
        <v>--</v>
      </c>
      <c r="AC1191" s="251" t="str">
        <f>IFERROR(__xludf.DUMMYFUNCTION("""COMPUTED_VALUE"""),"--")</f>
        <v>--</v>
      </c>
      <c r="AD1191" s="251">
        <f>IFERROR(__xludf.DUMMYFUNCTION("""COMPUTED_VALUE"""),3.0)</f>
        <v>3</v>
      </c>
      <c r="AE1191" s="251" t="str">
        <f>IFERROR(__xludf.DUMMYFUNCTION("""COMPUTED_VALUE"""),"Nullivore")</f>
        <v>Nullivore</v>
      </c>
    </row>
    <row r="1192">
      <c r="A1192" s="251" t="str">
        <f>IFERROR(__xludf.DUMMYFUNCTION("""COMPUTED_VALUE"""),"Iron Bundle")</f>
        <v>Iron Bundle</v>
      </c>
      <c r="B1192" s="251" t="str">
        <f>IFERROR(__xludf.DUMMYFUNCTION("""COMPUTED_VALUE"""),"Ice")</f>
        <v>Ice</v>
      </c>
      <c r="C1192" s="251" t="str">
        <f>IFERROR(__xludf.DUMMYFUNCTION("""COMPUTED_VALUE"""),"Water")</f>
        <v>Water</v>
      </c>
      <c r="D1192" s="251">
        <f>IFERROR(__xludf.DUMMYFUNCTION("""COMPUTED_VALUE"""),6.0)</f>
        <v>6</v>
      </c>
      <c r="E1192" s="251">
        <f>IFERROR(__xludf.DUMMYFUNCTION("""COMPUTED_VALUE"""),8.0)</f>
        <v>8</v>
      </c>
      <c r="F1192" s="251">
        <f>IFERROR(__xludf.DUMMYFUNCTION("""COMPUTED_VALUE"""),13.0)</f>
        <v>13</v>
      </c>
      <c r="G1192" s="251">
        <f>IFERROR(__xludf.DUMMYFUNCTION("""COMPUTED_VALUE"""),13.0)</f>
        <v>13</v>
      </c>
      <c r="H1192" s="251">
        <f>IFERROR(__xludf.DUMMYFUNCTION("""COMPUTED_VALUE"""),6.0)</f>
        <v>6</v>
      </c>
      <c r="I1192" s="251">
        <f>IFERROR(__xludf.DUMMYFUNCTION("""COMPUTED_VALUE"""),14.0)</f>
        <v>14</v>
      </c>
      <c r="J1192" s="251">
        <f>IFERROR(__xludf.DUMMYFUNCTION("""COMPUTED_VALUE"""),5.0)</f>
        <v>5</v>
      </c>
      <c r="K1192" s="251" t="str">
        <f>IFERROR(__xludf.DUMMYFUNCTION("""COMPUTED_VALUE"""),"Small")</f>
        <v>Small</v>
      </c>
      <c r="L1192" s="251">
        <f>IFERROR(__xludf.DUMMYFUNCTION("""COMPUTED_VALUE"""),1.0)</f>
        <v>1</v>
      </c>
      <c r="M1192" s="251" t="str">
        <f>IFERROR(__xludf.DUMMYFUNCTION("""COMPUTED_VALUE"""),"Tundra")</f>
        <v>Tundra</v>
      </c>
      <c r="N1192" s="251" t="str">
        <f>IFERROR(__xludf.DUMMYFUNCTION("""COMPUTED_VALUE"""),"Swimmer")</f>
        <v>Swimmer</v>
      </c>
      <c r="O1192" s="251" t="str">
        <f>IFERROR(__xludf.DUMMYFUNCTION("""COMPUTED_VALUE"""),"--")</f>
        <v>--</v>
      </c>
      <c r="P1192" s="251" t="str">
        <f>IFERROR(__xludf.DUMMYFUNCTION("""COMPUTED_VALUE"""),"--")</f>
        <v>--</v>
      </c>
      <c r="Q1192" s="251" t="str">
        <f>IFERROR(__xludf.DUMMYFUNCTION("""COMPUTED_VALUE"""),"--")</f>
        <v>--</v>
      </c>
      <c r="R1192" s="251" t="str">
        <f>IFERROR(__xludf.DUMMYFUNCTION("""COMPUTED_VALUE"""),"--")</f>
        <v>--</v>
      </c>
      <c r="S1192" s="251" t="str">
        <f>IFERROR(__xludf.DUMMYFUNCTION("""COMPUTED_VALUE"""),"--")</f>
        <v>--</v>
      </c>
      <c r="T1192" s="251" t="str">
        <f>IFERROR(__xludf.DUMMYFUNCTION("""COMPUTED_VALUE"""),"--")</f>
        <v>--</v>
      </c>
      <c r="U1192" s="251" t="str">
        <f>IFERROR(__xludf.DUMMYFUNCTION("""COMPUTED_VALUE"""),"--")</f>
        <v>--</v>
      </c>
      <c r="V1192" s="251" t="str">
        <f>IFERROR(__xludf.DUMMYFUNCTION("""COMPUTED_VALUE"""),"Chilled")</f>
        <v>Chilled</v>
      </c>
      <c r="W1192" s="251" t="str">
        <f>IFERROR(__xludf.DUMMYFUNCTION("""COMPUTED_VALUE"""),"--")</f>
        <v>--</v>
      </c>
      <c r="X1192" s="251" t="str">
        <f>IFERROR(__xludf.DUMMYFUNCTION("""COMPUTED_VALUE"""),"--")</f>
        <v>--</v>
      </c>
      <c r="Y1192" s="251" t="str">
        <f>IFERROR(__xludf.DUMMYFUNCTION("""COMPUTED_VALUE"""),"--")</f>
        <v>--</v>
      </c>
      <c r="Z1192" s="251" t="str">
        <f>IFERROR(__xludf.DUMMYFUNCTION("""COMPUTED_VALUE"""),"--")</f>
        <v>--</v>
      </c>
      <c r="AA1192" s="251" t="str">
        <f>IFERROR(__xludf.DUMMYFUNCTION("""COMPUTED_VALUE"""),"--")</f>
        <v>--</v>
      </c>
      <c r="AB1192" s="251" t="str">
        <f>IFERROR(__xludf.DUMMYFUNCTION("""COMPUTED_VALUE"""),"--")</f>
        <v>--</v>
      </c>
      <c r="AC1192" s="251" t="str">
        <f>IFERROR(__xludf.DUMMYFUNCTION("""COMPUTED_VALUE"""),"--")</f>
        <v>--</v>
      </c>
      <c r="AD1192" s="251">
        <f>IFERROR(__xludf.DUMMYFUNCTION("""COMPUTED_VALUE"""),3.0)</f>
        <v>3</v>
      </c>
      <c r="AE1192" s="251" t="str">
        <f>IFERROR(__xludf.DUMMYFUNCTION("""COMPUTED_VALUE"""),"Nullivore")</f>
        <v>Nullivore</v>
      </c>
    </row>
    <row r="1193">
      <c r="A1193" s="251" t="str">
        <f>IFERROR(__xludf.DUMMYFUNCTION("""COMPUTED_VALUE"""),"Iron Thorns")</f>
        <v>Iron Thorns</v>
      </c>
      <c r="B1193" s="251" t="str">
        <f>IFERROR(__xludf.DUMMYFUNCTION("""COMPUTED_VALUE"""),"Rock")</f>
        <v>Rock</v>
      </c>
      <c r="C1193" s="251" t="str">
        <f>IFERROR(__xludf.DUMMYFUNCTION("""COMPUTED_VALUE"""),"Electric")</f>
        <v>Electric</v>
      </c>
      <c r="D1193" s="251">
        <f>IFERROR(__xludf.DUMMYFUNCTION("""COMPUTED_VALUE"""),10.0)</f>
        <v>10</v>
      </c>
      <c r="E1193" s="251">
        <f>IFERROR(__xludf.DUMMYFUNCTION("""COMPUTED_VALUE"""),14.0)</f>
        <v>14</v>
      </c>
      <c r="F1193" s="251">
        <f>IFERROR(__xludf.DUMMYFUNCTION("""COMPUTED_VALUE"""),14.0)</f>
        <v>14</v>
      </c>
      <c r="G1193" s="251">
        <f>IFERROR(__xludf.DUMMYFUNCTION("""COMPUTED_VALUE"""),7.0)</f>
        <v>7</v>
      </c>
      <c r="H1193" s="251">
        <f>IFERROR(__xludf.DUMMYFUNCTION("""COMPUTED_VALUE"""),8.0)</f>
        <v>8</v>
      </c>
      <c r="I1193" s="251">
        <f>IFERROR(__xludf.DUMMYFUNCTION("""COMPUTED_VALUE"""),7.0)</f>
        <v>7</v>
      </c>
      <c r="J1193" s="251">
        <f>IFERROR(__xludf.DUMMYFUNCTION("""COMPUTED_VALUE"""),11.0)</f>
        <v>11</v>
      </c>
      <c r="K1193" s="251" t="str">
        <f>IFERROR(__xludf.DUMMYFUNCTION("""COMPUTED_VALUE"""),"Medium")</f>
        <v>Medium</v>
      </c>
      <c r="L1193" s="251">
        <f>IFERROR(__xludf.DUMMYFUNCTION("""COMPUTED_VALUE"""),6.0)</f>
        <v>6</v>
      </c>
      <c r="M1193" s="251" t="str">
        <f>IFERROR(__xludf.DUMMYFUNCTION("""COMPUTED_VALUE"""),"Cave")</f>
        <v>Cave</v>
      </c>
      <c r="N1193" s="251" t="str">
        <f>IFERROR(__xludf.DUMMYFUNCTION("""COMPUTED_VALUE"""),"--")</f>
        <v>--</v>
      </c>
      <c r="O1193" s="251" t="str">
        <f>IFERROR(__xludf.DUMMYFUNCTION("""COMPUTED_VALUE"""),"--")</f>
        <v>--</v>
      </c>
      <c r="P1193" s="251" t="str">
        <f>IFERROR(__xludf.DUMMYFUNCTION("""COMPUTED_VALUE"""),"--")</f>
        <v>--</v>
      </c>
      <c r="Q1193" s="251" t="str">
        <f>IFERROR(__xludf.DUMMYFUNCTION("""COMPUTED_VALUE"""),"--")</f>
        <v>--</v>
      </c>
      <c r="R1193" s="251" t="str">
        <f>IFERROR(__xludf.DUMMYFUNCTION("""COMPUTED_VALUE"""),"Darkvision")</f>
        <v>Darkvision</v>
      </c>
      <c r="S1193" s="251" t="str">
        <f>IFERROR(__xludf.DUMMYFUNCTION("""COMPUTED_VALUE"""),"--")</f>
        <v>--</v>
      </c>
      <c r="T1193" s="251" t="str">
        <f>IFERROR(__xludf.DUMMYFUNCTION("""COMPUTED_VALUE"""),"--")</f>
        <v>--</v>
      </c>
      <c r="U1193" s="251" t="str">
        <f>IFERROR(__xludf.DUMMYFUNCTION("""COMPUTED_VALUE"""),"--")</f>
        <v>--</v>
      </c>
      <c r="V1193" s="251" t="str">
        <f>IFERROR(__xludf.DUMMYFUNCTION("""COMPUTED_VALUE"""),"Glow")</f>
        <v>Glow</v>
      </c>
      <c r="W1193" s="251" t="str">
        <f>IFERROR(__xludf.DUMMYFUNCTION("""COMPUTED_VALUE"""),"--")</f>
        <v>--</v>
      </c>
      <c r="X1193" s="251" t="str">
        <f>IFERROR(__xludf.DUMMYFUNCTION("""COMPUTED_VALUE"""),"--")</f>
        <v>--</v>
      </c>
      <c r="Y1193" s="251" t="str">
        <f>IFERROR(__xludf.DUMMYFUNCTION("""COMPUTED_VALUE"""),"--")</f>
        <v>--</v>
      </c>
      <c r="Z1193" s="251" t="str">
        <f>IFERROR(__xludf.DUMMYFUNCTION("""COMPUTED_VALUE"""),"--")</f>
        <v>--</v>
      </c>
      <c r="AA1193" s="251" t="str">
        <f>IFERROR(__xludf.DUMMYFUNCTION("""COMPUTED_VALUE"""),"--")</f>
        <v>--</v>
      </c>
      <c r="AB1193" s="251" t="str">
        <f>IFERROR(__xludf.DUMMYFUNCTION("""COMPUTED_VALUE"""),"--")</f>
        <v>--</v>
      </c>
      <c r="AC1193" s="251" t="str">
        <f>IFERROR(__xludf.DUMMYFUNCTION("""COMPUTED_VALUE"""),"--")</f>
        <v>--</v>
      </c>
      <c r="AD1193" s="251">
        <f>IFERROR(__xludf.DUMMYFUNCTION("""COMPUTED_VALUE"""),3.0)</f>
        <v>3</v>
      </c>
      <c r="AE1193" s="251" t="str">
        <f>IFERROR(__xludf.DUMMYFUNCTION("""COMPUTED_VALUE"""),"Carnivore")</f>
        <v>Carnivore</v>
      </c>
    </row>
    <row r="1194">
      <c r="A1194" s="251" t="str">
        <f>IFERROR(__xludf.DUMMYFUNCTION("""COMPUTED_VALUE"""),"Buzzwole")</f>
        <v>Buzzwole</v>
      </c>
      <c r="B1194" s="251" t="str">
        <f>IFERROR(__xludf.DUMMYFUNCTION("""COMPUTED_VALUE"""),"Bug")</f>
        <v>Bug</v>
      </c>
      <c r="C1194" s="251" t="str">
        <f>IFERROR(__xludf.DUMMYFUNCTION("""COMPUTED_VALUE"""),"Fighting")</f>
        <v>Fighting</v>
      </c>
      <c r="D1194" s="251">
        <f>IFERROR(__xludf.DUMMYFUNCTION("""COMPUTED_VALUE"""),11.0)</f>
        <v>11</v>
      </c>
      <c r="E1194" s="251">
        <f>IFERROR(__xludf.DUMMYFUNCTION("""COMPUTED_VALUE"""),17.0)</f>
        <v>17</v>
      </c>
      <c r="F1194" s="251">
        <f>IFERROR(__xludf.DUMMYFUNCTION("""COMPUTED_VALUE"""),14.0)</f>
        <v>14</v>
      </c>
      <c r="G1194" s="251">
        <f>IFERROR(__xludf.DUMMYFUNCTION("""COMPUTED_VALUE"""),5.0)</f>
        <v>5</v>
      </c>
      <c r="H1194" s="251">
        <f>IFERROR(__xludf.DUMMYFUNCTION("""COMPUTED_VALUE"""),5.0)</f>
        <v>5</v>
      </c>
      <c r="I1194" s="251">
        <f>IFERROR(__xludf.DUMMYFUNCTION("""COMPUTED_VALUE"""),8.0)</f>
        <v>8</v>
      </c>
      <c r="J1194" s="251">
        <f>IFERROR(__xludf.DUMMYFUNCTION("""COMPUTED_VALUE"""),12.0)</f>
        <v>12</v>
      </c>
      <c r="K1194" s="251" t="str">
        <f>IFERROR(__xludf.DUMMYFUNCTION("""COMPUTED_VALUE"""),"Large")</f>
        <v>Large</v>
      </c>
      <c r="L1194" s="251">
        <f>IFERROR(__xludf.DUMMYFUNCTION("""COMPUTED_VALUE"""),6.0)</f>
        <v>6</v>
      </c>
      <c r="M1194" s="251" t="str">
        <f>IFERROR(__xludf.DUMMYFUNCTION("""COMPUTED_VALUE"""),"Forest, Space")</f>
        <v>Forest, Space</v>
      </c>
      <c r="N1194" s="251" t="str">
        <f>IFERROR(__xludf.DUMMYFUNCTION("""COMPUTED_VALUE"""),"Flier")</f>
        <v>Flier</v>
      </c>
      <c r="O1194" s="251" t="str">
        <f>IFERROR(__xludf.DUMMYFUNCTION("""COMPUTED_VALUE"""),"Jumper")</f>
        <v>Jumper</v>
      </c>
      <c r="P1194" s="251" t="str">
        <f>IFERROR(__xludf.DUMMYFUNCTION("""COMPUTED_VALUE"""),"--")</f>
        <v>--</v>
      </c>
      <c r="Q1194" s="251" t="str">
        <f>IFERROR(__xludf.DUMMYFUNCTION("""COMPUTED_VALUE"""),"--")</f>
        <v>--</v>
      </c>
      <c r="R1194" s="251" t="str">
        <f>IFERROR(__xludf.DUMMYFUNCTION("""COMPUTED_VALUE"""),"--")</f>
        <v>--</v>
      </c>
      <c r="S1194" s="251" t="str">
        <f>IFERROR(__xludf.DUMMYFUNCTION("""COMPUTED_VALUE"""),"--")</f>
        <v>--</v>
      </c>
      <c r="T1194" s="251" t="str">
        <f>IFERROR(__xludf.DUMMYFUNCTION("""COMPUTED_VALUE"""),"--")</f>
        <v>--</v>
      </c>
      <c r="U1194" s="251" t="str">
        <f>IFERROR(__xludf.DUMMYFUNCTION("""COMPUTED_VALUE"""),"--")</f>
        <v>--</v>
      </c>
      <c r="V1194" s="251" t="str">
        <f>IFERROR(__xludf.DUMMYFUNCTION("""COMPUTED_VALUE"""),"--")</f>
        <v>--</v>
      </c>
      <c r="W1194" s="251" t="str">
        <f>IFERROR(__xludf.DUMMYFUNCTION("""COMPUTED_VALUE"""),"--")</f>
        <v>--</v>
      </c>
      <c r="X1194" s="251" t="str">
        <f>IFERROR(__xludf.DUMMYFUNCTION("""COMPUTED_VALUE"""),"--")</f>
        <v>--</v>
      </c>
      <c r="Y1194" s="251" t="str">
        <f>IFERROR(__xludf.DUMMYFUNCTION("""COMPUTED_VALUE"""),"--")</f>
        <v>--</v>
      </c>
      <c r="Z1194" s="251" t="str">
        <f>IFERROR(__xludf.DUMMYFUNCTION("""COMPUTED_VALUE"""),"--")</f>
        <v>--</v>
      </c>
      <c r="AA1194" s="251" t="str">
        <f>IFERROR(__xludf.DUMMYFUNCTION("""COMPUTED_VALUE"""),"--")</f>
        <v>--</v>
      </c>
      <c r="AB1194" s="251" t="str">
        <f>IFERROR(__xludf.DUMMYFUNCTION("""COMPUTED_VALUE"""),"--")</f>
        <v>--</v>
      </c>
      <c r="AC1194" s="251" t="str">
        <f>IFERROR(__xludf.DUMMYFUNCTION("""COMPUTED_VALUE"""),"--")</f>
        <v>--</v>
      </c>
      <c r="AD1194" s="251">
        <f>IFERROR(__xludf.DUMMYFUNCTION("""COMPUTED_VALUE"""),3.0)</f>
        <v>3</v>
      </c>
      <c r="AE1194" s="251" t="str">
        <f>IFERROR(__xludf.DUMMYFUNCTION("""COMPUTED_VALUE"""),"Carnivore")</f>
        <v>Carnivore</v>
      </c>
    </row>
    <row r="1195">
      <c r="A1195" s="251" t="str">
        <f>IFERROR(__xludf.DUMMYFUNCTION("""COMPUTED_VALUE"""),"Pheromosa")</f>
        <v>Pheromosa</v>
      </c>
      <c r="B1195" s="251" t="str">
        <f>IFERROR(__xludf.DUMMYFUNCTION("""COMPUTED_VALUE"""),"Bug")</f>
        <v>Bug</v>
      </c>
      <c r="C1195" s="251" t="str">
        <f>IFERROR(__xludf.DUMMYFUNCTION("""COMPUTED_VALUE"""),"Fighting")</f>
        <v>Fighting</v>
      </c>
      <c r="D1195" s="251">
        <f>IFERROR(__xludf.DUMMYFUNCTION("""COMPUTED_VALUE"""),7.0)</f>
        <v>7</v>
      </c>
      <c r="E1195" s="251">
        <f>IFERROR(__xludf.DUMMYFUNCTION("""COMPUTED_VALUE"""),15.0)</f>
        <v>15</v>
      </c>
      <c r="F1195" s="251">
        <f>IFERROR(__xludf.DUMMYFUNCTION("""COMPUTED_VALUE"""),4.0)</f>
        <v>4</v>
      </c>
      <c r="G1195" s="251">
        <f>IFERROR(__xludf.DUMMYFUNCTION("""COMPUTED_VALUE"""),15.0)</f>
        <v>15</v>
      </c>
      <c r="H1195" s="251">
        <f>IFERROR(__xludf.DUMMYFUNCTION("""COMPUTED_VALUE"""),4.0)</f>
        <v>4</v>
      </c>
      <c r="I1195" s="251">
        <f>IFERROR(__xludf.DUMMYFUNCTION("""COMPUTED_VALUE"""),15.0)</f>
        <v>15</v>
      </c>
      <c r="J1195" s="251">
        <f>IFERROR(__xludf.DUMMYFUNCTION("""COMPUTED_VALUE"""),6.0)</f>
        <v>6</v>
      </c>
      <c r="K1195" s="251" t="str">
        <f>IFERROR(__xludf.DUMMYFUNCTION("""COMPUTED_VALUE"""),"Medium")</f>
        <v>Medium</v>
      </c>
      <c r="L1195" s="251">
        <f>IFERROR(__xludf.DUMMYFUNCTION("""COMPUTED_VALUE"""),3.0)</f>
        <v>3</v>
      </c>
      <c r="M1195" s="251" t="str">
        <f>IFERROR(__xludf.DUMMYFUNCTION("""COMPUTED_VALUE"""),"Forest, Space")</f>
        <v>Forest, Space</v>
      </c>
      <c r="N1195" s="251" t="str">
        <f>IFERROR(__xludf.DUMMYFUNCTION("""COMPUTED_VALUE"""),"Jumper")</f>
        <v>Jumper</v>
      </c>
      <c r="O1195" s="251" t="str">
        <f>IFERROR(__xludf.DUMMYFUNCTION("""COMPUTED_VALUE"""),"Quick")</f>
        <v>Quick</v>
      </c>
      <c r="P1195" s="251" t="str">
        <f>IFERROR(__xludf.DUMMYFUNCTION("""COMPUTED_VALUE"""),"--")</f>
        <v>--</v>
      </c>
      <c r="Q1195" s="251" t="str">
        <f>IFERROR(__xludf.DUMMYFUNCTION("""COMPUTED_VALUE"""),"--")</f>
        <v>--</v>
      </c>
      <c r="R1195" s="251" t="str">
        <f>IFERROR(__xludf.DUMMYFUNCTION("""COMPUTED_VALUE"""),"--")</f>
        <v>--</v>
      </c>
      <c r="S1195" s="251" t="str">
        <f>IFERROR(__xludf.DUMMYFUNCTION("""COMPUTED_VALUE"""),"--")</f>
        <v>--</v>
      </c>
      <c r="T1195" s="251" t="str">
        <f>IFERROR(__xludf.DUMMYFUNCTION("""COMPUTED_VALUE"""),"--")</f>
        <v>--</v>
      </c>
      <c r="U1195" s="251" t="str">
        <f>IFERROR(__xludf.DUMMYFUNCTION("""COMPUTED_VALUE"""),"--")</f>
        <v>--</v>
      </c>
      <c r="V1195" s="251" t="str">
        <f>IFERROR(__xludf.DUMMYFUNCTION("""COMPUTED_VALUE"""),"Alluring")</f>
        <v>Alluring</v>
      </c>
      <c r="W1195" s="251" t="str">
        <f>IFERROR(__xludf.DUMMYFUNCTION("""COMPUTED_VALUE"""),"--")</f>
        <v>--</v>
      </c>
      <c r="X1195" s="251" t="str">
        <f>IFERROR(__xludf.DUMMYFUNCTION("""COMPUTED_VALUE"""),"--")</f>
        <v>--</v>
      </c>
      <c r="Y1195" s="251" t="str">
        <f>IFERROR(__xludf.DUMMYFUNCTION("""COMPUTED_VALUE"""),"--")</f>
        <v>--</v>
      </c>
      <c r="Z1195" s="251" t="str">
        <f>IFERROR(__xludf.DUMMYFUNCTION("""COMPUTED_VALUE"""),"--")</f>
        <v>--</v>
      </c>
      <c r="AA1195" s="251" t="str">
        <f>IFERROR(__xludf.DUMMYFUNCTION("""COMPUTED_VALUE"""),"--")</f>
        <v>--</v>
      </c>
      <c r="AB1195" s="251" t="str">
        <f>IFERROR(__xludf.DUMMYFUNCTION("""COMPUTED_VALUE"""),"--")</f>
        <v>--</v>
      </c>
      <c r="AC1195" s="251" t="str">
        <f>IFERROR(__xludf.DUMMYFUNCTION("""COMPUTED_VALUE"""),"--")</f>
        <v>--</v>
      </c>
      <c r="AD1195" s="251">
        <f>IFERROR(__xludf.DUMMYFUNCTION("""COMPUTED_VALUE"""),3.0)</f>
        <v>3</v>
      </c>
      <c r="AE1195" s="251" t="str">
        <f>IFERROR(__xludf.DUMMYFUNCTION("""COMPUTED_VALUE"""),"Herbivore")</f>
        <v>Herbivore</v>
      </c>
    </row>
    <row r="1196">
      <c r="A1196" s="251" t="str">
        <f>IFERROR(__xludf.DUMMYFUNCTION("""COMPUTED_VALUE"""),"Guzzlord")</f>
        <v>Guzzlord</v>
      </c>
      <c r="B1196" s="251" t="str">
        <f>IFERROR(__xludf.DUMMYFUNCTION("""COMPUTED_VALUE"""),"Dark")</f>
        <v>Dark</v>
      </c>
      <c r="C1196" s="251" t="str">
        <f>IFERROR(__xludf.DUMMYFUNCTION("""COMPUTED_VALUE"""),"Dragon")</f>
        <v>Dragon</v>
      </c>
      <c r="D1196" s="251">
        <f>IFERROR(__xludf.DUMMYFUNCTION("""COMPUTED_VALUE"""),25.0)</f>
        <v>25</v>
      </c>
      <c r="E1196" s="251">
        <f>IFERROR(__xludf.DUMMYFUNCTION("""COMPUTED_VALUE"""),10.0)</f>
        <v>10</v>
      </c>
      <c r="F1196" s="251">
        <f>IFERROR(__xludf.DUMMYFUNCTION("""COMPUTED_VALUE"""),5.0)</f>
        <v>5</v>
      </c>
      <c r="G1196" s="251">
        <f>IFERROR(__xludf.DUMMYFUNCTION("""COMPUTED_VALUE"""),10.0)</f>
        <v>10</v>
      </c>
      <c r="H1196" s="251">
        <f>IFERROR(__xludf.DUMMYFUNCTION("""COMPUTED_VALUE"""),5.0)</f>
        <v>5</v>
      </c>
      <c r="I1196" s="251">
        <f>IFERROR(__xludf.DUMMYFUNCTION("""COMPUTED_VALUE"""),5.0)</f>
        <v>5</v>
      </c>
      <c r="J1196" s="251">
        <f>IFERROR(__xludf.DUMMYFUNCTION("""COMPUTED_VALUE"""),12.0)</f>
        <v>12</v>
      </c>
      <c r="K1196" s="251" t="str">
        <f>IFERROR(__xludf.DUMMYFUNCTION("""COMPUTED_VALUE"""),"Huge")</f>
        <v>Huge</v>
      </c>
      <c r="L1196" s="251">
        <f>IFERROR(__xludf.DUMMYFUNCTION("""COMPUTED_VALUE"""),6.0)</f>
        <v>6</v>
      </c>
      <c r="M1196" s="251" t="str">
        <f>IFERROR(__xludf.DUMMYFUNCTION("""COMPUTED_VALUE"""),"Space, Urban")</f>
        <v>Space, Urban</v>
      </c>
      <c r="N1196" s="251" t="str">
        <f>IFERROR(__xludf.DUMMYFUNCTION("""COMPUTED_VALUE"""),"Burrower")</f>
        <v>Burrower</v>
      </c>
      <c r="O1196" s="251" t="str">
        <f>IFERROR(__xludf.DUMMYFUNCTION("""COMPUTED_VALUE"""),"Grounded")</f>
        <v>Grounded</v>
      </c>
      <c r="P1196" s="251" t="str">
        <f>IFERROR(__xludf.DUMMYFUNCTION("""COMPUTED_VALUE"""),"--")</f>
        <v>--</v>
      </c>
      <c r="Q1196" s="251" t="str">
        <f>IFERROR(__xludf.DUMMYFUNCTION("""COMPUTED_VALUE"""),"--")</f>
        <v>--</v>
      </c>
      <c r="R1196" s="251" t="str">
        <f>IFERROR(__xludf.DUMMYFUNCTION("""COMPUTED_VALUE"""),"Darkvision")</f>
        <v>Darkvision</v>
      </c>
      <c r="S1196" s="251" t="str">
        <f>IFERROR(__xludf.DUMMYFUNCTION("""COMPUTED_VALUE"""),"Reach")</f>
        <v>Reach</v>
      </c>
      <c r="T1196" s="251" t="str">
        <f>IFERROR(__xludf.DUMMYFUNCTION("""COMPUTED_VALUE"""),"--")</f>
        <v>--</v>
      </c>
      <c r="U1196" s="251" t="str">
        <f>IFERROR(__xludf.DUMMYFUNCTION("""COMPUTED_VALUE"""),"--")</f>
        <v>--</v>
      </c>
      <c r="V1196" s="251" t="str">
        <f>IFERROR(__xludf.DUMMYFUNCTION("""COMPUTED_VALUE"""),"--")</f>
        <v>--</v>
      </c>
      <c r="W1196" s="251" t="str">
        <f>IFERROR(__xludf.DUMMYFUNCTION("""COMPUTED_VALUE"""),"--")</f>
        <v>--</v>
      </c>
      <c r="X1196" s="251" t="str">
        <f>IFERROR(__xludf.DUMMYFUNCTION("""COMPUTED_VALUE"""),"--")</f>
        <v>--</v>
      </c>
      <c r="Y1196" s="251" t="str">
        <f>IFERROR(__xludf.DUMMYFUNCTION("""COMPUTED_VALUE"""),"--")</f>
        <v>--</v>
      </c>
      <c r="Z1196" s="251" t="str">
        <f>IFERROR(__xludf.DUMMYFUNCTION("""COMPUTED_VALUE"""),"--")</f>
        <v>--</v>
      </c>
      <c r="AA1196" s="251" t="str">
        <f>IFERROR(__xludf.DUMMYFUNCTION("""COMPUTED_VALUE"""),"--")</f>
        <v>--</v>
      </c>
      <c r="AB1196" s="251" t="str">
        <f>IFERROR(__xludf.DUMMYFUNCTION("""COMPUTED_VALUE"""),"--")</f>
        <v>--</v>
      </c>
      <c r="AC1196" s="251" t="str">
        <f>IFERROR(__xludf.DUMMYFUNCTION("""COMPUTED_VALUE"""),"--")</f>
        <v>--</v>
      </c>
      <c r="AD1196" s="251">
        <f>IFERROR(__xludf.DUMMYFUNCTION("""COMPUTED_VALUE"""),3.0)</f>
        <v>3</v>
      </c>
      <c r="AE1196" s="251" t="str">
        <f>IFERROR(__xludf.DUMMYFUNCTION("""COMPUTED_VALUE"""),"Omnivore")</f>
        <v>Omnivore</v>
      </c>
    </row>
    <row r="1197">
      <c r="A1197" s="251" t="str">
        <f>IFERROR(__xludf.DUMMYFUNCTION("""COMPUTED_VALUE"""),"Xurkitree")</f>
        <v>Xurkitree</v>
      </c>
      <c r="B1197" s="251" t="str">
        <f>IFERROR(__xludf.DUMMYFUNCTION("""COMPUTED_VALUE"""),"Electric")</f>
        <v>Electric</v>
      </c>
      <c r="C1197" s="251" t="str">
        <f>IFERROR(__xludf.DUMMYFUNCTION("""COMPUTED_VALUE"""),"None")</f>
        <v>None</v>
      </c>
      <c r="D1197" s="251">
        <f>IFERROR(__xludf.DUMMYFUNCTION("""COMPUTED_VALUE"""),8.0)</f>
        <v>8</v>
      </c>
      <c r="E1197" s="251">
        <f>IFERROR(__xludf.DUMMYFUNCTION("""COMPUTED_VALUE"""),9.0)</f>
        <v>9</v>
      </c>
      <c r="F1197" s="251">
        <f>IFERROR(__xludf.DUMMYFUNCTION("""COMPUTED_VALUE"""),7.0)</f>
        <v>7</v>
      </c>
      <c r="G1197" s="251">
        <f>IFERROR(__xludf.DUMMYFUNCTION("""COMPUTED_VALUE"""),17.0)</f>
        <v>17</v>
      </c>
      <c r="H1197" s="251">
        <f>IFERROR(__xludf.DUMMYFUNCTION("""COMPUTED_VALUE"""),10.0)</f>
        <v>10</v>
      </c>
      <c r="I1197" s="251">
        <f>IFERROR(__xludf.DUMMYFUNCTION("""COMPUTED_VALUE"""),9.0)</f>
        <v>9</v>
      </c>
      <c r="J1197" s="251">
        <f>IFERROR(__xludf.DUMMYFUNCTION("""COMPUTED_VALUE"""),9.0)</f>
        <v>9</v>
      </c>
      <c r="K1197" s="251" t="str">
        <f>IFERROR(__xludf.DUMMYFUNCTION("""COMPUTED_VALUE"""),"Huge")</f>
        <v>Huge</v>
      </c>
      <c r="L1197" s="251">
        <f>IFERROR(__xludf.DUMMYFUNCTION("""COMPUTED_VALUE"""),5.0)</f>
        <v>5</v>
      </c>
      <c r="M1197" s="251" t="str">
        <f>IFERROR(__xludf.DUMMYFUNCTION("""COMPUTED_VALUE"""),"Space, Urban")</f>
        <v>Space, Urban</v>
      </c>
      <c r="N1197" s="251" t="str">
        <f>IFERROR(__xludf.DUMMYFUNCTION("""COMPUTED_VALUE"""),"--")</f>
        <v>--</v>
      </c>
      <c r="O1197" s="251" t="str">
        <f>IFERROR(__xludf.DUMMYFUNCTION("""COMPUTED_VALUE"""),"--")</f>
        <v>--</v>
      </c>
      <c r="P1197" s="251" t="str">
        <f>IFERROR(__xludf.DUMMYFUNCTION("""COMPUTED_VALUE"""),"--")</f>
        <v>--</v>
      </c>
      <c r="Q1197" s="251" t="str">
        <f>IFERROR(__xludf.DUMMYFUNCTION("""COMPUTED_VALUE"""),"--")</f>
        <v>--</v>
      </c>
      <c r="R1197" s="251" t="str">
        <f>IFERROR(__xludf.DUMMYFUNCTION("""COMPUTED_VALUE"""),"Reach")</f>
        <v>Reach</v>
      </c>
      <c r="S1197" s="251" t="str">
        <f>IFERROR(__xludf.DUMMYFUNCTION("""COMPUTED_VALUE"""),"--")</f>
        <v>--</v>
      </c>
      <c r="T1197" s="251" t="str">
        <f>IFERROR(__xludf.DUMMYFUNCTION("""COMPUTED_VALUE"""),"--")</f>
        <v>--</v>
      </c>
      <c r="U1197" s="251" t="str">
        <f>IFERROR(__xludf.DUMMYFUNCTION("""COMPUTED_VALUE"""),"--")</f>
        <v>--</v>
      </c>
      <c r="V1197" s="251" t="str">
        <f>IFERROR(__xludf.DUMMYFUNCTION("""COMPUTED_VALUE"""),"Glow")</f>
        <v>Glow</v>
      </c>
      <c r="W1197" s="251" t="str">
        <f>IFERROR(__xludf.DUMMYFUNCTION("""COMPUTED_VALUE"""),"--")</f>
        <v>--</v>
      </c>
      <c r="X1197" s="251" t="str">
        <f>IFERROR(__xludf.DUMMYFUNCTION("""COMPUTED_VALUE"""),"--")</f>
        <v>--</v>
      </c>
      <c r="Y1197" s="251" t="str">
        <f>IFERROR(__xludf.DUMMYFUNCTION("""COMPUTED_VALUE"""),"--")</f>
        <v>--</v>
      </c>
      <c r="Z1197" s="251" t="str">
        <f>IFERROR(__xludf.DUMMYFUNCTION("""COMPUTED_VALUE"""),"--")</f>
        <v>--</v>
      </c>
      <c r="AA1197" s="251" t="str">
        <f>IFERROR(__xludf.DUMMYFUNCTION("""COMPUTED_VALUE"""),"--")</f>
        <v>--</v>
      </c>
      <c r="AB1197" s="251" t="str">
        <f>IFERROR(__xludf.DUMMYFUNCTION("""COMPUTED_VALUE"""),"--")</f>
        <v>--</v>
      </c>
      <c r="AC1197" s="251" t="str">
        <f>IFERROR(__xludf.DUMMYFUNCTION("""COMPUTED_VALUE"""),"--")</f>
        <v>--</v>
      </c>
      <c r="AD1197" s="251">
        <f>IFERROR(__xludf.DUMMYFUNCTION("""COMPUTED_VALUE"""),3.0)</f>
        <v>3</v>
      </c>
      <c r="AE1197" s="251" t="str">
        <f>IFERROR(__xludf.DUMMYFUNCTION("""COMPUTED_VALUE"""),"Ergovore")</f>
        <v>Ergovore</v>
      </c>
    </row>
    <row r="1198">
      <c r="A1198" s="251" t="str">
        <f>IFERROR(__xludf.DUMMYFUNCTION("""COMPUTED_VALUE"""),"Blacephalon")</f>
        <v>Blacephalon</v>
      </c>
      <c r="B1198" s="251" t="str">
        <f>IFERROR(__xludf.DUMMYFUNCTION("""COMPUTED_VALUE"""),"Fire")</f>
        <v>Fire</v>
      </c>
      <c r="C1198" s="251" t="str">
        <f>IFERROR(__xludf.DUMMYFUNCTION("""COMPUTED_VALUE"""),"Ghost")</f>
        <v>Ghost</v>
      </c>
      <c r="D1198" s="251">
        <f>IFERROR(__xludf.DUMMYFUNCTION("""COMPUTED_VALUE"""),5.0)</f>
        <v>5</v>
      </c>
      <c r="E1198" s="251">
        <f>IFERROR(__xludf.DUMMYFUNCTION("""COMPUTED_VALUE"""),13.0)</f>
        <v>13</v>
      </c>
      <c r="F1198" s="251">
        <f>IFERROR(__xludf.DUMMYFUNCTION("""COMPUTED_VALUE"""),5.0)</f>
        <v>5</v>
      </c>
      <c r="G1198" s="251">
        <f>IFERROR(__xludf.DUMMYFUNCTION("""COMPUTED_VALUE"""),18.0)</f>
        <v>18</v>
      </c>
      <c r="H1198" s="251">
        <f>IFERROR(__xludf.DUMMYFUNCTION("""COMPUTED_VALUE"""),8.0)</f>
        <v>8</v>
      </c>
      <c r="I1198" s="251">
        <f>IFERROR(__xludf.DUMMYFUNCTION("""COMPUTED_VALUE"""),11.0)</f>
        <v>11</v>
      </c>
      <c r="J1198" s="251">
        <f>IFERROR(__xludf.DUMMYFUNCTION("""COMPUTED_VALUE"""),5.0)</f>
        <v>5</v>
      </c>
      <c r="K1198" s="251" t="str">
        <f>IFERROR(__xludf.DUMMYFUNCTION("""COMPUTED_VALUE"""),"Medium")</f>
        <v>Medium</v>
      </c>
      <c r="L1198" s="251">
        <f>IFERROR(__xludf.DUMMYFUNCTION("""COMPUTED_VALUE"""),2.0)</f>
        <v>2</v>
      </c>
      <c r="M1198" s="251" t="str">
        <f>IFERROR(__xludf.DUMMYFUNCTION("""COMPUTED_VALUE"""),"Space")</f>
        <v>Space</v>
      </c>
      <c r="N1198" s="251" t="str">
        <f>IFERROR(__xludf.DUMMYFUNCTION("""COMPUTED_VALUE"""),"--")</f>
        <v>--</v>
      </c>
      <c r="O1198" s="251" t="str">
        <f>IFERROR(__xludf.DUMMYFUNCTION("""COMPUTED_VALUE"""),"--")</f>
        <v>--</v>
      </c>
      <c r="P1198" s="251" t="str">
        <f>IFERROR(__xludf.DUMMYFUNCTION("""COMPUTED_VALUE"""),"--")</f>
        <v>--</v>
      </c>
      <c r="Q1198" s="251" t="str">
        <f>IFERROR(__xludf.DUMMYFUNCTION("""COMPUTED_VALUE"""),"--")</f>
        <v>--</v>
      </c>
      <c r="R1198" s="251" t="str">
        <f>IFERROR(__xludf.DUMMYFUNCTION("""COMPUTED_VALUE"""),"--")</f>
        <v>--</v>
      </c>
      <c r="S1198" s="251" t="str">
        <f>IFERROR(__xludf.DUMMYFUNCTION("""COMPUTED_VALUE"""),"--")</f>
        <v>--</v>
      </c>
      <c r="T1198" s="251" t="str">
        <f>IFERROR(__xludf.DUMMYFUNCTION("""COMPUTED_VALUE"""),"--")</f>
        <v>--</v>
      </c>
      <c r="U1198" s="251" t="str">
        <f>IFERROR(__xludf.DUMMYFUNCTION("""COMPUTED_VALUE"""),"--")</f>
        <v>--</v>
      </c>
      <c r="V1198" s="251" t="str">
        <f>IFERROR(__xludf.DUMMYFUNCTION("""COMPUTED_VALUE"""),"Glow")</f>
        <v>Glow</v>
      </c>
      <c r="W1198" s="251" t="str">
        <f>IFERROR(__xludf.DUMMYFUNCTION("""COMPUTED_VALUE"""),"--")</f>
        <v>--</v>
      </c>
      <c r="X1198" s="251" t="str">
        <f>IFERROR(__xludf.DUMMYFUNCTION("""COMPUTED_VALUE"""),"--")</f>
        <v>--</v>
      </c>
      <c r="Y1198" s="251" t="str">
        <f>IFERROR(__xludf.DUMMYFUNCTION("""COMPUTED_VALUE"""),"--")</f>
        <v>--</v>
      </c>
      <c r="Z1198" s="251" t="str">
        <f>IFERROR(__xludf.DUMMYFUNCTION("""COMPUTED_VALUE"""),"--")</f>
        <v>--</v>
      </c>
      <c r="AA1198" s="251" t="str">
        <f>IFERROR(__xludf.DUMMYFUNCTION("""COMPUTED_VALUE"""),"--")</f>
        <v>--</v>
      </c>
      <c r="AB1198" s="251" t="str">
        <f>IFERROR(__xludf.DUMMYFUNCTION("""COMPUTED_VALUE"""),"--")</f>
        <v>--</v>
      </c>
      <c r="AC1198" s="251" t="str">
        <f>IFERROR(__xludf.DUMMYFUNCTION("""COMPUTED_VALUE"""),"--")</f>
        <v>--</v>
      </c>
      <c r="AD1198" s="251">
        <f>IFERROR(__xludf.DUMMYFUNCTION("""COMPUTED_VALUE"""),3.0)</f>
        <v>3</v>
      </c>
      <c r="AE1198" s="251" t="str">
        <f>IFERROR(__xludf.DUMMYFUNCTION("""COMPUTED_VALUE"""),"Phototroph")</f>
        <v>Phototroph</v>
      </c>
    </row>
    <row r="1199">
      <c r="A1199" s="251" t="str">
        <f>IFERROR(__xludf.DUMMYFUNCTION("""COMPUTED_VALUE"""),"Kartana")</f>
        <v>Kartana</v>
      </c>
      <c r="B1199" s="251" t="str">
        <f>IFERROR(__xludf.DUMMYFUNCTION("""COMPUTED_VALUE"""),"Grass")</f>
        <v>Grass</v>
      </c>
      <c r="C1199" s="251" t="str">
        <f>IFERROR(__xludf.DUMMYFUNCTION("""COMPUTED_VALUE"""),"Steel")</f>
        <v>Steel</v>
      </c>
      <c r="D1199" s="251">
        <f>IFERROR(__xludf.DUMMYFUNCTION("""COMPUTED_VALUE"""),7.0)</f>
        <v>7</v>
      </c>
      <c r="E1199" s="251">
        <f>IFERROR(__xludf.DUMMYFUNCTION("""COMPUTED_VALUE"""),18.0)</f>
        <v>18</v>
      </c>
      <c r="F1199" s="251">
        <f>IFERROR(__xludf.DUMMYFUNCTION("""COMPUTED_VALUE"""),15.0)</f>
        <v>15</v>
      </c>
      <c r="G1199" s="251">
        <f>IFERROR(__xludf.DUMMYFUNCTION("""COMPUTED_VALUE"""),6.0)</f>
        <v>6</v>
      </c>
      <c r="H1199" s="251">
        <f>IFERROR(__xludf.DUMMYFUNCTION("""COMPUTED_VALUE"""),3.0)</f>
        <v>3</v>
      </c>
      <c r="I1199" s="251">
        <f>IFERROR(__xludf.DUMMYFUNCTION("""COMPUTED_VALUE"""),11.0)</f>
        <v>11</v>
      </c>
      <c r="J1199" s="251">
        <f>IFERROR(__xludf.DUMMYFUNCTION("""COMPUTED_VALUE"""),7.0)</f>
        <v>7</v>
      </c>
      <c r="K1199" s="251" t="str">
        <f>IFERROR(__xludf.DUMMYFUNCTION("""COMPUTED_VALUE"""),"Small")</f>
        <v>Small</v>
      </c>
      <c r="L1199" s="251">
        <f>IFERROR(__xludf.DUMMYFUNCTION("""COMPUTED_VALUE"""),1.0)</f>
        <v>1</v>
      </c>
      <c r="M1199" s="251" t="str">
        <f>IFERROR(__xludf.DUMMYFUNCTION("""COMPUTED_VALUE"""),"Forest, Space")</f>
        <v>Forest, Space</v>
      </c>
      <c r="N1199" s="251" t="str">
        <f>IFERROR(__xludf.DUMMYFUNCTION("""COMPUTED_VALUE"""),"Flier")</f>
        <v>Flier</v>
      </c>
      <c r="O1199" s="251" t="str">
        <f>IFERROR(__xludf.DUMMYFUNCTION("""COMPUTED_VALUE"""),"Quick")</f>
        <v>Quick</v>
      </c>
      <c r="P1199" s="251" t="str">
        <f>IFERROR(__xludf.DUMMYFUNCTION("""COMPUTED_VALUE"""),"--")</f>
        <v>--</v>
      </c>
      <c r="Q1199" s="251" t="str">
        <f>IFERROR(__xludf.DUMMYFUNCTION("""COMPUTED_VALUE"""),"--")</f>
        <v>--</v>
      </c>
      <c r="R1199" s="251" t="str">
        <f>IFERROR(__xludf.DUMMYFUNCTION("""COMPUTED_VALUE"""),"--")</f>
        <v>--</v>
      </c>
      <c r="S1199" s="251" t="str">
        <f>IFERROR(__xludf.DUMMYFUNCTION("""COMPUTED_VALUE"""),"--")</f>
        <v>--</v>
      </c>
      <c r="T1199" s="251" t="str">
        <f>IFERROR(__xludf.DUMMYFUNCTION("""COMPUTED_VALUE"""),"--")</f>
        <v>--</v>
      </c>
      <c r="U1199" s="251" t="str">
        <f>IFERROR(__xludf.DUMMYFUNCTION("""COMPUTED_VALUE"""),"--")</f>
        <v>--</v>
      </c>
      <c r="V1199" s="251" t="str">
        <f>IFERROR(__xludf.DUMMYFUNCTION("""COMPUTED_VALUE"""),"Breathless")</f>
        <v>Breathless</v>
      </c>
      <c r="W1199" s="251" t="str">
        <f>IFERROR(__xludf.DUMMYFUNCTION("""COMPUTED_VALUE"""),"--")</f>
        <v>--</v>
      </c>
      <c r="X1199" s="251" t="str">
        <f>IFERROR(__xludf.DUMMYFUNCTION("""COMPUTED_VALUE"""),"--")</f>
        <v>--</v>
      </c>
      <c r="Y1199" s="251" t="str">
        <f>IFERROR(__xludf.DUMMYFUNCTION("""COMPUTED_VALUE"""),"--")</f>
        <v>--</v>
      </c>
      <c r="Z1199" s="251" t="str">
        <f>IFERROR(__xludf.DUMMYFUNCTION("""COMPUTED_VALUE"""),"--")</f>
        <v>--</v>
      </c>
      <c r="AA1199" s="251" t="str">
        <f>IFERROR(__xludf.DUMMYFUNCTION("""COMPUTED_VALUE"""),"--")</f>
        <v>--</v>
      </c>
      <c r="AB1199" s="251" t="str">
        <f>IFERROR(__xludf.DUMMYFUNCTION("""COMPUTED_VALUE"""),"--")</f>
        <v>--</v>
      </c>
      <c r="AC1199" s="251" t="str">
        <f>IFERROR(__xludf.DUMMYFUNCTION("""COMPUTED_VALUE"""),"--")</f>
        <v>--</v>
      </c>
      <c r="AD1199" s="251">
        <f>IFERROR(__xludf.DUMMYFUNCTION("""COMPUTED_VALUE"""),3.0)</f>
        <v>3</v>
      </c>
      <c r="AE1199" s="251" t="str">
        <f>IFERROR(__xludf.DUMMYFUNCTION("""COMPUTED_VALUE"""),"Nullivore")</f>
        <v>Nullivore</v>
      </c>
    </row>
    <row r="1200">
      <c r="A1200" s="251" t="str">
        <f>IFERROR(__xludf.DUMMYFUNCTION("""COMPUTED_VALUE"""),"Poipole")</f>
        <v>Poipole</v>
      </c>
      <c r="B1200" s="251" t="str">
        <f>IFERROR(__xludf.DUMMYFUNCTION("""COMPUTED_VALUE"""),"Poison")</f>
        <v>Poison</v>
      </c>
      <c r="C1200" s="251" t="str">
        <f>IFERROR(__xludf.DUMMYFUNCTION("""COMPUTED_VALUE"""),"None")</f>
        <v>None</v>
      </c>
      <c r="D1200" s="251">
        <f>IFERROR(__xludf.DUMMYFUNCTION("""COMPUTED_VALUE"""),7.0)</f>
        <v>7</v>
      </c>
      <c r="E1200" s="251">
        <f>IFERROR(__xludf.DUMMYFUNCTION("""COMPUTED_VALUE"""),7.0)</f>
        <v>7</v>
      </c>
      <c r="F1200" s="251">
        <f>IFERROR(__xludf.DUMMYFUNCTION("""COMPUTED_VALUE"""),7.0)</f>
        <v>7</v>
      </c>
      <c r="G1200" s="251">
        <f>IFERROR(__xludf.DUMMYFUNCTION("""COMPUTED_VALUE"""),7.0)</f>
        <v>7</v>
      </c>
      <c r="H1200" s="251">
        <f>IFERROR(__xludf.DUMMYFUNCTION("""COMPUTED_VALUE"""),7.0)</f>
        <v>7</v>
      </c>
      <c r="I1200" s="251">
        <f>IFERROR(__xludf.DUMMYFUNCTION("""COMPUTED_VALUE"""),7.0)</f>
        <v>7</v>
      </c>
      <c r="J1200" s="251">
        <f>IFERROR(__xludf.DUMMYFUNCTION("""COMPUTED_VALUE"""),1.0)</f>
        <v>1</v>
      </c>
      <c r="K1200" s="251" t="str">
        <f>IFERROR(__xludf.DUMMYFUNCTION("""COMPUTED_VALUE"""),"Small")</f>
        <v>Small</v>
      </c>
      <c r="L1200" s="251">
        <f>IFERROR(__xludf.DUMMYFUNCTION("""COMPUTED_VALUE"""),1.0)</f>
        <v>1</v>
      </c>
      <c r="M1200" s="251" t="str">
        <f>IFERROR(__xludf.DUMMYFUNCTION("""COMPUTED_VALUE"""),"Space")</f>
        <v>Space</v>
      </c>
      <c r="N1200" s="251" t="str">
        <f>IFERROR(__xludf.DUMMYFUNCTION("""COMPUTED_VALUE"""),"Flier")</f>
        <v>Flier</v>
      </c>
      <c r="O1200" s="251" t="str">
        <f>IFERROR(__xludf.DUMMYFUNCTION("""COMPUTED_VALUE"""),"--")</f>
        <v>--</v>
      </c>
      <c r="P1200" s="251" t="str">
        <f>IFERROR(__xludf.DUMMYFUNCTION("""COMPUTED_VALUE"""),"--")</f>
        <v>--</v>
      </c>
      <c r="Q1200" s="251" t="str">
        <f>IFERROR(__xludf.DUMMYFUNCTION("""COMPUTED_VALUE"""),"--")</f>
        <v>--</v>
      </c>
      <c r="R1200" s="251" t="str">
        <f>IFERROR(__xludf.DUMMYFUNCTION("""COMPUTED_VALUE"""),"Underdog")</f>
        <v>Underdog</v>
      </c>
      <c r="S1200" s="251" t="str">
        <f>IFERROR(__xludf.DUMMYFUNCTION("""COMPUTED_VALUE"""),"--")</f>
        <v>--</v>
      </c>
      <c r="T1200" s="251" t="str">
        <f>IFERROR(__xludf.DUMMYFUNCTION("""COMPUTED_VALUE"""),"--")</f>
        <v>--</v>
      </c>
      <c r="U1200" s="251" t="str">
        <f>IFERROR(__xludf.DUMMYFUNCTION("""COMPUTED_VALUE"""),"--")</f>
        <v>--</v>
      </c>
      <c r="V1200" s="251" t="str">
        <f>IFERROR(__xludf.DUMMYFUNCTION("""COMPUTED_VALUE"""),"--")</f>
        <v>--</v>
      </c>
      <c r="W1200" s="251" t="str">
        <f>IFERROR(__xludf.DUMMYFUNCTION("""COMPUTED_VALUE"""),"--")</f>
        <v>--</v>
      </c>
      <c r="X1200" s="251" t="str">
        <f>IFERROR(__xludf.DUMMYFUNCTION("""COMPUTED_VALUE"""),"--")</f>
        <v>--</v>
      </c>
      <c r="Y1200" s="251" t="str">
        <f>IFERROR(__xludf.DUMMYFUNCTION("""COMPUTED_VALUE"""),"--")</f>
        <v>--</v>
      </c>
      <c r="Z1200" s="251" t="str">
        <f>IFERROR(__xludf.DUMMYFUNCTION("""COMPUTED_VALUE"""),"--")</f>
        <v>--</v>
      </c>
      <c r="AA1200" s="251" t="str">
        <f>IFERROR(__xludf.DUMMYFUNCTION("""COMPUTED_VALUE"""),"--")</f>
        <v>--</v>
      </c>
      <c r="AB1200" s="251" t="str">
        <f>IFERROR(__xludf.DUMMYFUNCTION("""COMPUTED_VALUE"""),"--")</f>
        <v>--</v>
      </c>
      <c r="AC1200" s="251" t="str">
        <f>IFERROR(__xludf.DUMMYFUNCTION("""COMPUTED_VALUE"""),"--")</f>
        <v>--</v>
      </c>
      <c r="AD1200" s="251">
        <f>IFERROR(__xludf.DUMMYFUNCTION("""COMPUTED_VALUE"""),2.0)</f>
        <v>2</v>
      </c>
      <c r="AE1200" s="251" t="str">
        <f>IFERROR(__xludf.DUMMYFUNCTION("""COMPUTED_VALUE"""),"Omnivore")</f>
        <v>Omnivore</v>
      </c>
    </row>
    <row r="1201">
      <c r="A1201" s="251" t="str">
        <f>IFERROR(__xludf.DUMMYFUNCTION("""COMPUTED_VALUE"""),"Naganadel")</f>
        <v>Naganadel</v>
      </c>
      <c r="B1201" s="251" t="str">
        <f>IFERROR(__xludf.DUMMYFUNCTION("""COMPUTED_VALUE"""),"Poison")</f>
        <v>Poison</v>
      </c>
      <c r="C1201" s="251" t="str">
        <f>IFERROR(__xludf.DUMMYFUNCTION("""COMPUTED_VALUE"""),"Dragon")</f>
        <v>Dragon</v>
      </c>
      <c r="D1201" s="251">
        <f>IFERROR(__xludf.DUMMYFUNCTION("""COMPUTED_VALUE"""),8.0)</f>
        <v>8</v>
      </c>
      <c r="E1201" s="251">
        <f>IFERROR(__xludf.DUMMYFUNCTION("""COMPUTED_VALUE"""),8.0)</f>
        <v>8</v>
      </c>
      <c r="F1201" s="251">
        <f>IFERROR(__xludf.DUMMYFUNCTION("""COMPUTED_VALUE"""),8.0)</f>
        <v>8</v>
      </c>
      <c r="G1201" s="251">
        <f>IFERROR(__xludf.DUMMYFUNCTION("""COMPUTED_VALUE"""),15.0)</f>
        <v>15</v>
      </c>
      <c r="H1201" s="251">
        <f>IFERROR(__xludf.DUMMYFUNCTION("""COMPUTED_VALUE"""),8.0)</f>
        <v>8</v>
      </c>
      <c r="I1201" s="251">
        <f>IFERROR(__xludf.DUMMYFUNCTION("""COMPUTED_VALUE"""),13.0)</f>
        <v>13</v>
      </c>
      <c r="J1201" s="251">
        <f>IFERROR(__xludf.DUMMYFUNCTION("""COMPUTED_VALUE"""),8.0)</f>
        <v>8</v>
      </c>
      <c r="K1201" s="251" t="str">
        <f>IFERROR(__xludf.DUMMYFUNCTION("""COMPUTED_VALUE"""),"Huge")</f>
        <v>Huge</v>
      </c>
      <c r="L1201" s="251">
        <f>IFERROR(__xludf.DUMMYFUNCTION("""COMPUTED_VALUE"""),5.0)</f>
        <v>5</v>
      </c>
      <c r="M1201" s="251" t="str">
        <f>IFERROR(__xludf.DUMMYFUNCTION("""COMPUTED_VALUE"""),"Space")</f>
        <v>Space</v>
      </c>
      <c r="N1201" s="251" t="str">
        <f>IFERROR(__xludf.DUMMYFUNCTION("""COMPUTED_VALUE"""),"Flier")</f>
        <v>Flier</v>
      </c>
      <c r="O1201" s="251" t="str">
        <f>IFERROR(__xludf.DUMMYFUNCTION("""COMPUTED_VALUE"""),"--")</f>
        <v>--</v>
      </c>
      <c r="P1201" s="251" t="str">
        <f>IFERROR(__xludf.DUMMYFUNCTION("""COMPUTED_VALUE"""),"--")</f>
        <v>--</v>
      </c>
      <c r="Q1201" s="251" t="str">
        <f>IFERROR(__xludf.DUMMYFUNCTION("""COMPUTED_VALUE"""),"--")</f>
        <v>--</v>
      </c>
      <c r="R1201" s="251" t="str">
        <f>IFERROR(__xludf.DUMMYFUNCTION("""COMPUTED_VALUE"""),"--")</f>
        <v>--</v>
      </c>
      <c r="S1201" s="251" t="str">
        <f>IFERROR(__xludf.DUMMYFUNCTION("""COMPUTED_VALUE"""),"--")</f>
        <v>--</v>
      </c>
      <c r="T1201" s="251" t="str">
        <f>IFERROR(__xludf.DUMMYFUNCTION("""COMPUTED_VALUE"""),"--")</f>
        <v>--</v>
      </c>
      <c r="U1201" s="251" t="str">
        <f>IFERROR(__xludf.DUMMYFUNCTION("""COMPUTED_VALUE"""),"--")</f>
        <v>--</v>
      </c>
      <c r="V1201" s="251" t="str">
        <f>IFERROR(__xludf.DUMMYFUNCTION("""COMPUTED_VALUE"""),"--")</f>
        <v>--</v>
      </c>
      <c r="W1201" s="251" t="str">
        <f>IFERROR(__xludf.DUMMYFUNCTION("""COMPUTED_VALUE"""),"--")</f>
        <v>--</v>
      </c>
      <c r="X1201" s="251" t="str">
        <f>IFERROR(__xludf.DUMMYFUNCTION("""COMPUTED_VALUE"""),"--")</f>
        <v>--</v>
      </c>
      <c r="Y1201" s="251" t="str">
        <f>IFERROR(__xludf.DUMMYFUNCTION("""COMPUTED_VALUE"""),"--")</f>
        <v>--</v>
      </c>
      <c r="Z1201" s="251" t="str">
        <f>IFERROR(__xludf.DUMMYFUNCTION("""COMPUTED_VALUE"""),"--")</f>
        <v>--</v>
      </c>
      <c r="AA1201" s="251" t="str">
        <f>IFERROR(__xludf.DUMMYFUNCTION("""COMPUTED_VALUE"""),"--")</f>
        <v>--</v>
      </c>
      <c r="AB1201" s="251" t="str">
        <f>IFERROR(__xludf.DUMMYFUNCTION("""COMPUTED_VALUE"""),"--")</f>
        <v>--</v>
      </c>
      <c r="AC1201" s="251" t="str">
        <f>IFERROR(__xludf.DUMMYFUNCTION("""COMPUTED_VALUE"""),"--")</f>
        <v>--</v>
      </c>
      <c r="AD1201" s="251">
        <f>IFERROR(__xludf.DUMMYFUNCTION("""COMPUTED_VALUE"""),3.0)</f>
        <v>3</v>
      </c>
      <c r="AE1201" s="251" t="str">
        <f>IFERROR(__xludf.DUMMYFUNCTION("""COMPUTED_VALUE"""),"Omnivore")</f>
        <v>Omnivore</v>
      </c>
    </row>
    <row r="1202">
      <c r="A1202" s="251" t="str">
        <f>IFERROR(__xludf.DUMMYFUNCTION("""COMPUTED_VALUE"""),"Nihilego")</f>
        <v>Nihilego</v>
      </c>
      <c r="B1202" s="251" t="str">
        <f>IFERROR(__xludf.DUMMYFUNCTION("""COMPUTED_VALUE"""),"Rock")</f>
        <v>Rock</v>
      </c>
      <c r="C1202" s="251" t="str">
        <f>IFERROR(__xludf.DUMMYFUNCTION("""COMPUTED_VALUE"""),"Poison")</f>
        <v>Poison</v>
      </c>
      <c r="D1202" s="251">
        <f>IFERROR(__xludf.DUMMYFUNCTION("""COMPUTED_VALUE"""),12.0)</f>
        <v>12</v>
      </c>
      <c r="E1202" s="251">
        <f>IFERROR(__xludf.DUMMYFUNCTION("""COMPUTED_VALUE"""),5.0)</f>
        <v>5</v>
      </c>
      <c r="F1202" s="251">
        <f>IFERROR(__xludf.DUMMYFUNCTION("""COMPUTED_VALUE"""),5.0)</f>
        <v>5</v>
      </c>
      <c r="G1202" s="251">
        <f>IFERROR(__xludf.DUMMYFUNCTION("""COMPUTED_VALUE"""),14.0)</f>
        <v>14</v>
      </c>
      <c r="H1202" s="251">
        <f>IFERROR(__xludf.DUMMYFUNCTION("""COMPUTED_VALUE"""),14.0)</f>
        <v>14</v>
      </c>
      <c r="I1202" s="251">
        <f>IFERROR(__xludf.DUMMYFUNCTION("""COMPUTED_VALUE"""),10.0)</f>
        <v>10</v>
      </c>
      <c r="J1202" s="251">
        <f>IFERROR(__xludf.DUMMYFUNCTION("""COMPUTED_VALUE"""),2.0)</f>
        <v>2</v>
      </c>
      <c r="K1202" s="251" t="str">
        <f>IFERROR(__xludf.DUMMYFUNCTION("""COMPUTED_VALUE"""),"Medium")</f>
        <v>Medium</v>
      </c>
      <c r="L1202" s="251">
        <f>IFERROR(__xludf.DUMMYFUNCTION("""COMPUTED_VALUE"""),3.0)</f>
        <v>3</v>
      </c>
      <c r="M1202" s="251" t="str">
        <f>IFERROR(__xludf.DUMMYFUNCTION("""COMPUTED_VALUE"""),"Ocean, Space")</f>
        <v>Ocean, Space</v>
      </c>
      <c r="N1202" s="251" t="str">
        <f>IFERROR(__xludf.DUMMYFUNCTION("""COMPUTED_VALUE"""),"Flier")</f>
        <v>Flier</v>
      </c>
      <c r="O1202" s="251" t="str">
        <f>IFERROR(__xludf.DUMMYFUNCTION("""COMPUTED_VALUE"""),"--")</f>
        <v>--</v>
      </c>
      <c r="P1202" s="251" t="str">
        <f>IFERROR(__xludf.DUMMYFUNCTION("""COMPUTED_VALUE"""),"--")</f>
        <v>--</v>
      </c>
      <c r="Q1202" s="251" t="str">
        <f>IFERROR(__xludf.DUMMYFUNCTION("""COMPUTED_VALUE"""),"--")</f>
        <v>--</v>
      </c>
      <c r="R1202" s="251" t="str">
        <f>IFERROR(__xludf.DUMMYFUNCTION("""COMPUTED_VALUE"""),"--")</f>
        <v>--</v>
      </c>
      <c r="S1202" s="251" t="str">
        <f>IFERROR(__xludf.DUMMYFUNCTION("""COMPUTED_VALUE"""),"--")</f>
        <v>--</v>
      </c>
      <c r="T1202" s="251" t="str">
        <f>IFERROR(__xludf.DUMMYFUNCTION("""COMPUTED_VALUE"""),"--")</f>
        <v>--</v>
      </c>
      <c r="U1202" s="251" t="str">
        <f>IFERROR(__xludf.DUMMYFUNCTION("""COMPUTED_VALUE"""),"--")</f>
        <v>--</v>
      </c>
      <c r="V1202" s="251" t="str">
        <f>IFERROR(__xludf.DUMMYFUNCTION("""COMPUTED_VALUE"""),"Breathless")</f>
        <v>Breathless</v>
      </c>
      <c r="W1202" s="251" t="str">
        <f>IFERROR(__xludf.DUMMYFUNCTION("""COMPUTED_VALUE"""),"Chilled")</f>
        <v>Chilled</v>
      </c>
      <c r="X1202" s="251" t="str">
        <f>IFERROR(__xludf.DUMMYFUNCTION("""COMPUTED_VALUE"""),"Dead Silent")</f>
        <v>Dead Silent</v>
      </c>
      <c r="Y1202" s="251" t="str">
        <f>IFERROR(__xludf.DUMMYFUNCTION("""COMPUTED_VALUE"""),"--")</f>
        <v>--</v>
      </c>
      <c r="Z1202" s="251" t="str">
        <f>IFERROR(__xludf.DUMMYFUNCTION("""COMPUTED_VALUE"""),"--")</f>
        <v>--</v>
      </c>
      <c r="AA1202" s="251" t="str">
        <f>IFERROR(__xludf.DUMMYFUNCTION("""COMPUTED_VALUE"""),"--")</f>
        <v>--</v>
      </c>
      <c r="AB1202" s="251" t="str">
        <f>IFERROR(__xludf.DUMMYFUNCTION("""COMPUTED_VALUE"""),"--")</f>
        <v>--</v>
      </c>
      <c r="AC1202" s="251" t="str">
        <f>IFERROR(__xludf.DUMMYFUNCTION("""COMPUTED_VALUE"""),"--")</f>
        <v>--</v>
      </c>
      <c r="AD1202" s="251">
        <f>IFERROR(__xludf.DUMMYFUNCTION("""COMPUTED_VALUE"""),3.0)</f>
        <v>3</v>
      </c>
      <c r="AE1202" s="251" t="str">
        <f>IFERROR(__xludf.DUMMYFUNCTION("""COMPUTED_VALUE"""),"Phototroph")</f>
        <v>Phototroph</v>
      </c>
    </row>
    <row r="1203">
      <c r="A1203" s="251" t="str">
        <f>IFERROR(__xludf.DUMMYFUNCTION("""COMPUTED_VALUE"""),"Stakataka")</f>
        <v>Stakataka</v>
      </c>
      <c r="B1203" s="251" t="str">
        <f>IFERROR(__xludf.DUMMYFUNCTION("""COMPUTED_VALUE"""),"Rock")</f>
        <v>Rock</v>
      </c>
      <c r="C1203" s="251" t="str">
        <f>IFERROR(__xludf.DUMMYFUNCTION("""COMPUTED_VALUE"""),"Steel")</f>
        <v>Steel</v>
      </c>
      <c r="D1203" s="251">
        <f>IFERROR(__xludf.DUMMYFUNCTION("""COMPUTED_VALUE"""),6.0)</f>
        <v>6</v>
      </c>
      <c r="E1203" s="251">
        <f>IFERROR(__xludf.DUMMYFUNCTION("""COMPUTED_VALUE"""),13.0)</f>
        <v>13</v>
      </c>
      <c r="F1203" s="251">
        <f>IFERROR(__xludf.DUMMYFUNCTION("""COMPUTED_VALUE"""),25.0)</f>
        <v>25</v>
      </c>
      <c r="G1203" s="251">
        <f>IFERROR(__xludf.DUMMYFUNCTION("""COMPUTED_VALUE"""),5.0)</f>
        <v>5</v>
      </c>
      <c r="H1203" s="251">
        <f>IFERROR(__xludf.DUMMYFUNCTION("""COMPUTED_VALUE"""),10.0)</f>
        <v>10</v>
      </c>
      <c r="I1203" s="251">
        <f>IFERROR(__xludf.DUMMYFUNCTION("""COMPUTED_VALUE"""),1.0)</f>
        <v>1</v>
      </c>
      <c r="J1203" s="251">
        <f>IFERROR(__xludf.DUMMYFUNCTION("""COMPUTED_VALUE"""),10.0)</f>
        <v>10</v>
      </c>
      <c r="K1203" s="251" t="str">
        <f>IFERROR(__xludf.DUMMYFUNCTION("""COMPUTED_VALUE"""),"Huge")</f>
        <v>Huge</v>
      </c>
      <c r="L1203" s="251">
        <f>IFERROR(__xludf.DUMMYFUNCTION("""COMPUTED_VALUE"""),6.0)</f>
        <v>6</v>
      </c>
      <c r="M1203" s="251" t="str">
        <f>IFERROR(__xludf.DUMMYFUNCTION("""COMPUTED_VALUE"""),"Space, Urban")</f>
        <v>Space, Urban</v>
      </c>
      <c r="N1203" s="251" t="str">
        <f>IFERROR(__xludf.DUMMYFUNCTION("""COMPUTED_VALUE"""),"Slow")</f>
        <v>Slow</v>
      </c>
      <c r="O1203" s="251" t="str">
        <f>IFERROR(__xludf.DUMMYFUNCTION("""COMPUTED_VALUE"""),"--")</f>
        <v>--</v>
      </c>
      <c r="P1203" s="251" t="str">
        <f>IFERROR(__xludf.DUMMYFUNCTION("""COMPUTED_VALUE"""),"--")</f>
        <v>--</v>
      </c>
      <c r="Q1203" s="251" t="str">
        <f>IFERROR(__xludf.DUMMYFUNCTION("""COMPUTED_VALUE"""),"--")</f>
        <v>--</v>
      </c>
      <c r="R1203" s="251" t="str">
        <f>IFERROR(__xludf.DUMMYFUNCTION("""COMPUTED_VALUE"""),"Reach")</f>
        <v>Reach</v>
      </c>
      <c r="S1203" s="251" t="str">
        <f>IFERROR(__xludf.DUMMYFUNCTION("""COMPUTED_VALUE"""),"--")</f>
        <v>--</v>
      </c>
      <c r="T1203" s="251" t="str">
        <f>IFERROR(__xludf.DUMMYFUNCTION("""COMPUTED_VALUE"""),"--")</f>
        <v>--</v>
      </c>
      <c r="U1203" s="251" t="str">
        <f>IFERROR(__xludf.DUMMYFUNCTION("""COMPUTED_VALUE"""),"--")</f>
        <v>--</v>
      </c>
      <c r="V1203" s="251" t="str">
        <f>IFERROR(__xludf.DUMMYFUNCTION("""COMPUTED_VALUE"""),"Breathless")</f>
        <v>Breathless</v>
      </c>
      <c r="W1203" s="251" t="str">
        <f>IFERROR(__xludf.DUMMYFUNCTION("""COMPUTED_VALUE"""),"Mindlock")</f>
        <v>Mindlock</v>
      </c>
      <c r="X1203" s="251" t="str">
        <f>IFERROR(__xludf.DUMMYFUNCTION("""COMPUTED_VALUE"""),"--")</f>
        <v>--</v>
      </c>
      <c r="Y1203" s="251" t="str">
        <f>IFERROR(__xludf.DUMMYFUNCTION("""COMPUTED_VALUE"""),"--")</f>
        <v>--</v>
      </c>
      <c r="Z1203" s="251" t="str">
        <f>IFERROR(__xludf.DUMMYFUNCTION("""COMPUTED_VALUE"""),"--")</f>
        <v>--</v>
      </c>
      <c r="AA1203" s="251" t="str">
        <f>IFERROR(__xludf.DUMMYFUNCTION("""COMPUTED_VALUE"""),"--")</f>
        <v>--</v>
      </c>
      <c r="AB1203" s="251" t="str">
        <f>IFERROR(__xludf.DUMMYFUNCTION("""COMPUTED_VALUE"""),"--")</f>
        <v>--</v>
      </c>
      <c r="AC1203" s="251" t="str">
        <f>IFERROR(__xludf.DUMMYFUNCTION("""COMPUTED_VALUE"""),"--")</f>
        <v>--</v>
      </c>
      <c r="AD1203" s="251">
        <f>IFERROR(__xludf.DUMMYFUNCTION("""COMPUTED_VALUE"""),3.0)</f>
        <v>3</v>
      </c>
      <c r="AE1203" s="251" t="str">
        <f>IFERROR(__xludf.DUMMYFUNCTION("""COMPUTED_VALUE"""),"Nullivore")</f>
        <v>Nullivore</v>
      </c>
    </row>
    <row r="1204">
      <c r="A1204" s="251" t="str">
        <f>IFERROR(__xludf.DUMMYFUNCTION("""COMPUTED_VALUE"""),"Celesteela")</f>
        <v>Celesteela</v>
      </c>
      <c r="B1204" s="251" t="str">
        <f>IFERROR(__xludf.DUMMYFUNCTION("""COMPUTED_VALUE"""),"Steel")</f>
        <v>Steel</v>
      </c>
      <c r="C1204" s="251" t="str">
        <f>IFERROR(__xludf.DUMMYFUNCTION("""COMPUTED_VALUE"""),"Flying")</f>
        <v>Flying</v>
      </c>
      <c r="D1204" s="251">
        <f>IFERROR(__xludf.DUMMYFUNCTION("""COMPUTED_VALUE"""),13.0)</f>
        <v>13</v>
      </c>
      <c r="E1204" s="251">
        <f>IFERROR(__xludf.DUMMYFUNCTION("""COMPUTED_VALUE"""),10.0)</f>
        <v>10</v>
      </c>
      <c r="F1204" s="251">
        <f>IFERROR(__xludf.DUMMYFUNCTION("""COMPUTED_VALUE"""),10.0)</f>
        <v>10</v>
      </c>
      <c r="G1204" s="251">
        <f>IFERROR(__xludf.DUMMYFUNCTION("""COMPUTED_VALUE"""),11.0)</f>
        <v>11</v>
      </c>
      <c r="H1204" s="251">
        <f>IFERROR(__xludf.DUMMYFUNCTION("""COMPUTED_VALUE"""),10.0)</f>
        <v>10</v>
      </c>
      <c r="I1204" s="251">
        <f>IFERROR(__xludf.DUMMYFUNCTION("""COMPUTED_VALUE"""),6.0)</f>
        <v>6</v>
      </c>
      <c r="J1204" s="251">
        <f>IFERROR(__xludf.DUMMYFUNCTION("""COMPUTED_VALUE"""),8.0)</f>
        <v>8</v>
      </c>
      <c r="K1204" s="251" t="str">
        <f>IFERROR(__xludf.DUMMYFUNCTION("""COMPUTED_VALUE"""),"Huge")</f>
        <v>Huge</v>
      </c>
      <c r="L1204" s="251">
        <f>IFERROR(__xludf.DUMMYFUNCTION("""COMPUTED_VALUE"""),6.0)</f>
        <v>6</v>
      </c>
      <c r="M1204" s="251" t="str">
        <f>IFERROR(__xludf.DUMMYFUNCTION("""COMPUTED_VALUE"""),"Space, Urban")</f>
        <v>Space, Urban</v>
      </c>
      <c r="N1204" s="251" t="str">
        <f>IFERROR(__xludf.DUMMYFUNCTION("""COMPUTED_VALUE"""),"Flier")</f>
        <v>Flier</v>
      </c>
      <c r="O1204" s="251" t="str">
        <f>IFERROR(__xludf.DUMMYFUNCTION("""COMPUTED_VALUE"""),"Quick")</f>
        <v>Quick</v>
      </c>
      <c r="P1204" s="251" t="str">
        <f>IFERROR(__xludf.DUMMYFUNCTION("""COMPUTED_VALUE"""),"--")</f>
        <v>--</v>
      </c>
      <c r="Q1204" s="251" t="str">
        <f>IFERROR(__xludf.DUMMYFUNCTION("""COMPUTED_VALUE"""),"--")</f>
        <v>--</v>
      </c>
      <c r="R1204" s="251" t="str">
        <f>IFERROR(__xludf.DUMMYFUNCTION("""COMPUTED_VALUE"""),"Reach")</f>
        <v>Reach</v>
      </c>
      <c r="S1204" s="251" t="str">
        <f>IFERROR(__xludf.DUMMYFUNCTION("""COMPUTED_VALUE"""),"--")</f>
        <v>--</v>
      </c>
      <c r="T1204" s="251" t="str">
        <f>IFERROR(__xludf.DUMMYFUNCTION("""COMPUTED_VALUE"""),"--")</f>
        <v>--</v>
      </c>
      <c r="U1204" s="251" t="str">
        <f>IFERROR(__xludf.DUMMYFUNCTION("""COMPUTED_VALUE"""),"--")</f>
        <v>--</v>
      </c>
      <c r="V1204" s="251" t="str">
        <f>IFERROR(__xludf.DUMMYFUNCTION("""COMPUTED_VALUE"""),"--")</f>
        <v>--</v>
      </c>
      <c r="W1204" s="251" t="str">
        <f>IFERROR(__xludf.DUMMYFUNCTION("""COMPUTED_VALUE"""),"--")</f>
        <v>--</v>
      </c>
      <c r="X1204" s="251" t="str">
        <f>IFERROR(__xludf.DUMMYFUNCTION("""COMPUTED_VALUE"""),"--")</f>
        <v>--</v>
      </c>
      <c r="Y1204" s="251" t="str">
        <f>IFERROR(__xludf.DUMMYFUNCTION("""COMPUTED_VALUE"""),"--")</f>
        <v>--</v>
      </c>
      <c r="Z1204" s="251" t="str">
        <f>IFERROR(__xludf.DUMMYFUNCTION("""COMPUTED_VALUE"""),"--")</f>
        <v>--</v>
      </c>
      <c r="AA1204" s="251" t="str">
        <f>IFERROR(__xludf.DUMMYFUNCTION("""COMPUTED_VALUE"""),"--")</f>
        <v>--</v>
      </c>
      <c r="AB1204" s="251" t="str">
        <f>IFERROR(__xludf.DUMMYFUNCTION("""COMPUTED_VALUE"""),"--")</f>
        <v>--</v>
      </c>
      <c r="AC1204" s="251" t="str">
        <f>IFERROR(__xludf.DUMMYFUNCTION("""COMPUTED_VALUE"""),"--")</f>
        <v>--</v>
      </c>
      <c r="AD1204" s="251">
        <f>IFERROR(__xludf.DUMMYFUNCTION("""COMPUTED_VALUE"""),3.0)</f>
        <v>3</v>
      </c>
      <c r="AE1204" s="251" t="str">
        <f>IFERROR(__xludf.DUMMYFUNCTION("""COMPUTED_VALUE"""),"Phototroph")</f>
        <v>Phototroph</v>
      </c>
    </row>
    <row r="1205">
      <c r="A1205" s="251"/>
      <c r="B1205" s="251"/>
      <c r="C1205" s="251"/>
      <c r="D1205" s="251"/>
      <c r="E1205" s="251"/>
      <c r="F1205" s="251"/>
      <c r="G1205" s="251"/>
      <c r="H1205" s="251"/>
      <c r="I1205" s="251"/>
      <c r="J1205" s="251"/>
      <c r="K1205" s="251"/>
      <c r="L1205" s="251"/>
      <c r="M1205" s="251"/>
      <c r="N1205" s="251"/>
      <c r="O1205" s="251"/>
      <c r="P1205" s="251"/>
      <c r="Q1205" s="251"/>
      <c r="R1205" s="251"/>
      <c r="S1205" s="251"/>
      <c r="T1205" s="251"/>
      <c r="U1205" s="251"/>
      <c r="V1205" s="251"/>
      <c r="W1205" s="251"/>
      <c r="X1205" s="251"/>
      <c r="Y1205" s="251"/>
      <c r="Z1205" s="251"/>
      <c r="AA1205" s="251"/>
      <c r="AB1205" s="251"/>
      <c r="AC1205" s="251"/>
      <c r="AD1205" s="251"/>
      <c r="AE1205" s="251"/>
    </row>
    <row r="1206">
      <c r="A1206" s="251"/>
      <c r="B1206" s="251"/>
      <c r="C1206" s="251"/>
      <c r="D1206" s="251"/>
      <c r="E1206" s="251"/>
      <c r="F1206" s="251"/>
      <c r="G1206" s="251"/>
      <c r="H1206" s="251"/>
      <c r="I1206" s="251"/>
      <c r="J1206" s="251"/>
      <c r="K1206" s="251"/>
      <c r="L1206" s="251"/>
      <c r="M1206" s="251"/>
      <c r="N1206" s="251"/>
      <c r="O1206" s="251"/>
      <c r="P1206" s="251"/>
      <c r="Q1206" s="251"/>
      <c r="R1206" s="251"/>
      <c r="S1206" s="251"/>
      <c r="T1206" s="251"/>
      <c r="U1206" s="251"/>
      <c r="V1206" s="251"/>
      <c r="W1206" s="251"/>
      <c r="X1206" s="251"/>
      <c r="Y1206" s="251"/>
      <c r="Z1206" s="251"/>
      <c r="AA1206" s="251"/>
      <c r="AB1206" s="251"/>
      <c r="AC1206" s="251"/>
      <c r="AD1206" s="251"/>
      <c r="AE1206" s="251"/>
    </row>
    <row r="1207">
      <c r="A1207" s="251"/>
      <c r="B1207" s="251"/>
      <c r="C1207" s="251"/>
      <c r="D1207" s="251"/>
      <c r="E1207" s="251"/>
      <c r="F1207" s="251"/>
      <c r="G1207" s="251"/>
      <c r="H1207" s="251"/>
      <c r="I1207" s="251"/>
      <c r="J1207" s="251"/>
      <c r="K1207" s="251"/>
      <c r="L1207" s="251"/>
      <c r="M1207" s="251"/>
      <c r="N1207" s="251"/>
      <c r="O1207" s="251"/>
      <c r="P1207" s="251"/>
      <c r="Q1207" s="251"/>
      <c r="R1207" s="251"/>
      <c r="S1207" s="251"/>
      <c r="T1207" s="251"/>
      <c r="U1207" s="251"/>
      <c r="V1207" s="251"/>
      <c r="W1207" s="251"/>
      <c r="X1207" s="251"/>
      <c r="Y1207" s="251"/>
      <c r="Z1207" s="251"/>
      <c r="AA1207" s="251"/>
      <c r="AB1207" s="251"/>
      <c r="AC1207" s="251"/>
      <c r="AD1207" s="251"/>
      <c r="AE1207" s="251"/>
    </row>
    <row r="1208">
      <c r="A1208" s="251"/>
      <c r="B1208" s="251"/>
      <c r="C1208" s="251"/>
      <c r="D1208" s="251"/>
      <c r="E1208" s="251"/>
      <c r="F1208" s="251"/>
      <c r="G1208" s="251"/>
      <c r="H1208" s="251"/>
      <c r="I1208" s="251"/>
      <c r="J1208" s="251"/>
      <c r="K1208" s="251"/>
      <c r="L1208" s="251"/>
      <c r="M1208" s="251"/>
      <c r="N1208" s="251"/>
      <c r="O1208" s="251"/>
      <c r="P1208" s="251"/>
      <c r="Q1208" s="251"/>
      <c r="R1208" s="251"/>
      <c r="S1208" s="251"/>
      <c r="T1208" s="251"/>
      <c r="U1208" s="251"/>
      <c r="V1208" s="251"/>
      <c r="W1208" s="251"/>
      <c r="X1208" s="251"/>
      <c r="Y1208" s="251"/>
      <c r="Z1208" s="251"/>
      <c r="AA1208" s="251"/>
      <c r="AB1208" s="251"/>
      <c r="AC1208" s="251"/>
      <c r="AD1208" s="251"/>
      <c r="AE1208" s="251"/>
    </row>
    <row r="1209">
      <c r="A1209" s="251"/>
      <c r="B1209" s="251"/>
      <c r="C1209" s="251"/>
      <c r="D1209" s="251"/>
      <c r="E1209" s="251"/>
      <c r="F1209" s="251"/>
      <c r="G1209" s="251"/>
      <c r="H1209" s="251"/>
      <c r="I1209" s="251"/>
      <c r="J1209" s="251"/>
      <c r="K1209" s="251"/>
      <c r="L1209" s="251"/>
      <c r="M1209" s="251"/>
      <c r="N1209" s="251"/>
      <c r="O1209" s="251"/>
      <c r="P1209" s="251"/>
      <c r="Q1209" s="251"/>
      <c r="R1209" s="251"/>
      <c r="S1209" s="251"/>
      <c r="T1209" s="251"/>
      <c r="U1209" s="251"/>
      <c r="V1209" s="251"/>
      <c r="W1209" s="251"/>
      <c r="X1209" s="251"/>
      <c r="Y1209" s="251"/>
      <c r="Z1209" s="251"/>
      <c r="AA1209" s="251"/>
      <c r="AB1209" s="251"/>
      <c r="AC1209" s="251"/>
      <c r="AD1209" s="251"/>
      <c r="AE1209" s="251"/>
    </row>
    <row r="1210">
      <c r="A1210" s="251"/>
      <c r="B1210" s="251"/>
      <c r="C1210" s="251"/>
      <c r="D1210" s="251"/>
      <c r="E1210" s="251"/>
      <c r="F1210" s="251"/>
      <c r="G1210" s="251"/>
      <c r="H1210" s="251"/>
      <c r="I1210" s="251"/>
      <c r="J1210" s="251"/>
      <c r="K1210" s="251"/>
      <c r="L1210" s="251"/>
      <c r="M1210" s="251"/>
      <c r="N1210" s="251"/>
      <c r="O1210" s="251"/>
      <c r="P1210" s="251"/>
      <c r="Q1210" s="251"/>
      <c r="R1210" s="251"/>
      <c r="S1210" s="251"/>
      <c r="T1210" s="251"/>
      <c r="U1210" s="251"/>
      <c r="V1210" s="251"/>
      <c r="W1210" s="251"/>
      <c r="X1210" s="251"/>
      <c r="Y1210" s="251"/>
      <c r="Z1210" s="251"/>
      <c r="AA1210" s="251"/>
      <c r="AB1210" s="251"/>
      <c r="AC1210" s="251"/>
      <c r="AD1210" s="251"/>
      <c r="AE1210" s="251"/>
    </row>
    <row r="1211">
      <c r="A1211" s="251"/>
      <c r="B1211" s="251"/>
      <c r="C1211" s="251"/>
      <c r="D1211" s="251"/>
      <c r="E1211" s="251"/>
      <c r="F1211" s="251"/>
      <c r="G1211" s="251"/>
      <c r="H1211" s="251"/>
      <c r="I1211" s="251"/>
      <c r="J1211" s="251"/>
      <c r="K1211" s="251"/>
      <c r="L1211" s="251"/>
      <c r="M1211" s="251"/>
      <c r="N1211" s="251"/>
      <c r="O1211" s="251"/>
      <c r="P1211" s="251"/>
      <c r="Q1211" s="251"/>
      <c r="R1211" s="251"/>
      <c r="S1211" s="251"/>
      <c r="T1211" s="251"/>
      <c r="U1211" s="251"/>
      <c r="V1211" s="251"/>
      <c r="W1211" s="251"/>
      <c r="X1211" s="251"/>
      <c r="Y1211" s="251"/>
      <c r="Z1211" s="251"/>
      <c r="AA1211" s="251"/>
      <c r="AB1211" s="251"/>
      <c r="AC1211" s="251"/>
      <c r="AD1211" s="251"/>
      <c r="AE1211" s="251"/>
    </row>
    <row r="1212">
      <c r="A1212" s="251"/>
      <c r="B1212" s="251"/>
      <c r="C1212" s="251"/>
      <c r="D1212" s="251"/>
      <c r="E1212" s="251"/>
      <c r="F1212" s="251"/>
      <c r="G1212" s="251"/>
      <c r="H1212" s="251"/>
      <c r="I1212" s="251"/>
      <c r="J1212" s="251"/>
      <c r="K1212" s="251"/>
      <c r="L1212" s="251"/>
      <c r="M1212" s="251"/>
      <c r="N1212" s="251"/>
      <c r="O1212" s="251"/>
      <c r="P1212" s="251"/>
      <c r="Q1212" s="251"/>
      <c r="R1212" s="251"/>
      <c r="S1212" s="251"/>
      <c r="T1212" s="251"/>
      <c r="U1212" s="251"/>
      <c r="V1212" s="251"/>
      <c r="W1212" s="251"/>
      <c r="X1212" s="251"/>
      <c r="Y1212" s="251"/>
      <c r="Z1212" s="251"/>
      <c r="AA1212" s="251"/>
      <c r="AB1212" s="251"/>
      <c r="AC1212" s="251"/>
      <c r="AD1212" s="251"/>
      <c r="AE1212" s="251"/>
    </row>
    <row r="1213">
      <c r="A1213" s="251"/>
      <c r="B1213" s="251"/>
      <c r="C1213" s="251"/>
      <c r="D1213" s="251"/>
      <c r="E1213" s="251"/>
      <c r="F1213" s="251"/>
      <c r="G1213" s="251"/>
      <c r="H1213" s="251"/>
      <c r="I1213" s="251"/>
      <c r="J1213" s="251"/>
      <c r="K1213" s="251"/>
      <c r="L1213" s="251"/>
      <c r="M1213" s="251"/>
      <c r="N1213" s="251"/>
      <c r="O1213" s="251"/>
      <c r="P1213" s="251"/>
      <c r="Q1213" s="251"/>
      <c r="R1213" s="251"/>
      <c r="S1213" s="251"/>
      <c r="T1213" s="251"/>
      <c r="U1213" s="251"/>
      <c r="V1213" s="251"/>
      <c r="W1213" s="251"/>
      <c r="X1213" s="251"/>
      <c r="Y1213" s="251"/>
      <c r="Z1213" s="251"/>
      <c r="AA1213" s="251"/>
      <c r="AB1213" s="251"/>
      <c r="AC1213" s="251"/>
      <c r="AD1213" s="251"/>
      <c r="AE1213" s="251"/>
    </row>
    <row r="1214">
      <c r="A1214" s="251"/>
      <c r="B1214" s="251"/>
      <c r="C1214" s="251"/>
      <c r="D1214" s="251"/>
      <c r="E1214" s="251"/>
      <c r="F1214" s="251"/>
      <c r="G1214" s="251"/>
      <c r="H1214" s="251"/>
      <c r="I1214" s="251"/>
      <c r="J1214" s="251"/>
      <c r="K1214" s="251"/>
      <c r="L1214" s="251"/>
      <c r="M1214" s="251"/>
      <c r="N1214" s="251"/>
      <c r="O1214" s="251"/>
      <c r="P1214" s="251"/>
      <c r="Q1214" s="251"/>
      <c r="R1214" s="251"/>
      <c r="S1214" s="251"/>
      <c r="T1214" s="251"/>
      <c r="U1214" s="251"/>
      <c r="V1214" s="251"/>
      <c r="W1214" s="251"/>
      <c r="X1214" s="251"/>
      <c r="Y1214" s="251"/>
      <c r="Z1214" s="251"/>
      <c r="AA1214" s="251"/>
      <c r="AB1214" s="251"/>
      <c r="AC1214" s="251"/>
      <c r="AD1214" s="251"/>
      <c r="AE1214" s="251"/>
    </row>
    <row r="1215">
      <c r="A1215" s="251"/>
      <c r="B1215" s="251"/>
      <c r="C1215" s="251"/>
      <c r="D1215" s="251"/>
      <c r="E1215" s="251"/>
      <c r="F1215" s="251"/>
      <c r="G1215" s="251"/>
      <c r="H1215" s="251"/>
      <c r="I1215" s="251"/>
      <c r="J1215" s="251"/>
      <c r="K1215" s="251"/>
      <c r="L1215" s="251"/>
      <c r="M1215" s="251"/>
      <c r="N1215" s="251"/>
      <c r="O1215" s="251"/>
      <c r="P1215" s="251"/>
      <c r="Q1215" s="251"/>
      <c r="R1215" s="251"/>
      <c r="S1215" s="251"/>
      <c r="T1215" s="251"/>
      <c r="U1215" s="251"/>
      <c r="V1215" s="251"/>
      <c r="W1215" s="251"/>
      <c r="X1215" s="251"/>
      <c r="Y1215" s="251"/>
      <c r="Z1215" s="251"/>
      <c r="AA1215" s="251"/>
      <c r="AB1215" s="251"/>
      <c r="AC1215" s="251"/>
      <c r="AD1215" s="251"/>
      <c r="AE1215" s="251"/>
    </row>
    <row r="1216">
      <c r="A1216" s="251"/>
      <c r="B1216" s="251"/>
      <c r="C1216" s="251"/>
      <c r="D1216" s="251"/>
      <c r="E1216" s="251"/>
      <c r="F1216" s="251"/>
      <c r="G1216" s="251"/>
      <c r="H1216" s="251"/>
      <c r="I1216" s="251"/>
      <c r="J1216" s="251"/>
      <c r="K1216" s="251"/>
      <c r="L1216" s="251"/>
      <c r="M1216" s="251"/>
      <c r="N1216" s="251"/>
      <c r="O1216" s="251"/>
      <c r="P1216" s="251"/>
      <c r="Q1216" s="251"/>
      <c r="R1216" s="251"/>
      <c r="S1216" s="251"/>
      <c r="T1216" s="251"/>
      <c r="U1216" s="251"/>
      <c r="V1216" s="251"/>
      <c r="W1216" s="251"/>
      <c r="X1216" s="251"/>
      <c r="Y1216" s="251"/>
      <c r="Z1216" s="251"/>
      <c r="AA1216" s="251"/>
      <c r="AB1216" s="251"/>
      <c r="AC1216" s="251"/>
      <c r="AD1216" s="251"/>
      <c r="AE1216" s="251"/>
    </row>
    <row r="1217">
      <c r="A1217" s="251"/>
      <c r="B1217" s="251"/>
      <c r="C1217" s="251"/>
      <c r="D1217" s="251"/>
      <c r="E1217" s="251"/>
      <c r="F1217" s="251"/>
      <c r="G1217" s="251"/>
      <c r="H1217" s="251"/>
      <c r="I1217" s="251"/>
      <c r="J1217" s="251"/>
      <c r="K1217" s="251"/>
      <c r="L1217" s="251"/>
      <c r="M1217" s="251"/>
      <c r="N1217" s="251"/>
      <c r="O1217" s="251"/>
      <c r="P1217" s="251"/>
      <c r="Q1217" s="251"/>
      <c r="R1217" s="251"/>
      <c r="S1217" s="251"/>
      <c r="T1217" s="251"/>
      <c r="U1217" s="251"/>
      <c r="V1217" s="251"/>
      <c r="W1217" s="251"/>
      <c r="X1217" s="251"/>
      <c r="Y1217" s="251"/>
      <c r="Z1217" s="251"/>
      <c r="AA1217" s="251"/>
      <c r="AB1217" s="251"/>
      <c r="AC1217" s="251"/>
      <c r="AD1217" s="251"/>
      <c r="AE1217" s="251"/>
    </row>
    <row r="1218">
      <c r="A1218" s="251"/>
      <c r="B1218" s="251"/>
      <c r="C1218" s="251"/>
      <c r="D1218" s="251"/>
      <c r="E1218" s="251"/>
      <c r="F1218" s="251"/>
      <c r="G1218" s="251"/>
      <c r="H1218" s="251"/>
      <c r="I1218" s="251"/>
      <c r="J1218" s="251"/>
      <c r="K1218" s="251"/>
      <c r="L1218" s="251"/>
      <c r="M1218" s="251"/>
      <c r="N1218" s="251"/>
      <c r="O1218" s="251"/>
      <c r="P1218" s="251"/>
      <c r="Q1218" s="251"/>
      <c r="R1218" s="251"/>
      <c r="S1218" s="251"/>
      <c r="T1218" s="251"/>
      <c r="U1218" s="251"/>
      <c r="V1218" s="251"/>
      <c r="W1218" s="251"/>
      <c r="X1218" s="251"/>
      <c r="Y1218" s="251"/>
      <c r="Z1218" s="251"/>
      <c r="AA1218" s="251"/>
      <c r="AB1218" s="251"/>
      <c r="AC1218" s="251"/>
      <c r="AD1218" s="251"/>
      <c r="AE1218" s="251"/>
    </row>
    <row r="1219">
      <c r="A1219" s="251"/>
      <c r="B1219" s="251"/>
      <c r="C1219" s="251"/>
      <c r="D1219" s="251"/>
      <c r="E1219" s="251"/>
      <c r="F1219" s="251"/>
      <c r="G1219" s="251"/>
      <c r="H1219" s="251"/>
      <c r="I1219" s="251"/>
      <c r="J1219" s="251"/>
      <c r="K1219" s="251"/>
      <c r="L1219" s="251"/>
      <c r="M1219" s="251"/>
      <c r="N1219" s="251"/>
      <c r="O1219" s="251"/>
      <c r="P1219" s="251"/>
      <c r="Q1219" s="251"/>
      <c r="R1219" s="251"/>
      <c r="S1219" s="251"/>
      <c r="T1219" s="251"/>
      <c r="U1219" s="251"/>
      <c r="V1219" s="251"/>
      <c r="W1219" s="251"/>
      <c r="X1219" s="251"/>
      <c r="Y1219" s="251"/>
      <c r="Z1219" s="251"/>
      <c r="AA1219" s="251"/>
      <c r="AB1219" s="251"/>
      <c r="AC1219" s="251"/>
      <c r="AD1219" s="251"/>
      <c r="AE1219" s="251"/>
    </row>
    <row r="1220">
      <c r="A1220" s="251"/>
      <c r="B1220" s="251"/>
      <c r="C1220" s="251"/>
      <c r="D1220" s="251"/>
      <c r="E1220" s="251"/>
      <c r="F1220" s="251"/>
      <c r="G1220" s="251"/>
      <c r="H1220" s="251"/>
      <c r="I1220" s="251"/>
      <c r="J1220" s="251"/>
      <c r="K1220" s="251"/>
      <c r="L1220" s="251"/>
      <c r="M1220" s="251"/>
      <c r="N1220" s="251"/>
      <c r="O1220" s="251"/>
      <c r="P1220" s="251"/>
      <c r="Q1220" s="251"/>
      <c r="R1220" s="251"/>
      <c r="S1220" s="251"/>
      <c r="T1220" s="251"/>
      <c r="U1220" s="251"/>
      <c r="V1220" s="251"/>
      <c r="W1220" s="251"/>
      <c r="X1220" s="251"/>
      <c r="Y1220" s="251"/>
      <c r="Z1220" s="251"/>
      <c r="AA1220" s="251"/>
      <c r="AB1220" s="251"/>
      <c r="AC1220" s="251"/>
      <c r="AD1220" s="251"/>
      <c r="AE1220" s="251"/>
    </row>
    <row r="1221">
      <c r="A1221" s="251"/>
      <c r="B1221" s="251"/>
      <c r="C1221" s="251"/>
      <c r="D1221" s="251"/>
      <c r="E1221" s="251"/>
      <c r="F1221" s="251"/>
      <c r="G1221" s="251"/>
      <c r="H1221" s="251"/>
      <c r="I1221" s="251"/>
      <c r="J1221" s="251"/>
      <c r="K1221" s="251"/>
      <c r="L1221" s="251"/>
      <c r="M1221" s="251"/>
      <c r="N1221" s="251"/>
      <c r="O1221" s="251"/>
      <c r="P1221" s="251"/>
      <c r="Q1221" s="251"/>
      <c r="R1221" s="251"/>
      <c r="S1221" s="251"/>
      <c r="T1221" s="251"/>
      <c r="U1221" s="251"/>
      <c r="V1221" s="251"/>
      <c r="W1221" s="251"/>
      <c r="X1221" s="251"/>
      <c r="Y1221" s="251"/>
      <c r="Z1221" s="251"/>
      <c r="AA1221" s="251"/>
      <c r="AB1221" s="251"/>
      <c r="AC1221" s="251"/>
      <c r="AD1221" s="251"/>
      <c r="AE1221" s="251"/>
    </row>
    <row r="1222">
      <c r="A1222" s="251"/>
      <c r="B1222" s="251"/>
      <c r="C1222" s="251"/>
      <c r="D1222" s="251"/>
      <c r="E1222" s="251"/>
      <c r="F1222" s="251"/>
      <c r="G1222" s="251"/>
      <c r="H1222" s="251"/>
      <c r="I1222" s="251"/>
      <c r="J1222" s="251"/>
      <c r="K1222" s="251"/>
      <c r="L1222" s="251"/>
      <c r="M1222" s="251"/>
      <c r="N1222" s="251"/>
      <c r="O1222" s="251"/>
      <c r="P1222" s="251"/>
      <c r="Q1222" s="251"/>
      <c r="R1222" s="251"/>
      <c r="S1222" s="251"/>
      <c r="T1222" s="251"/>
      <c r="U1222" s="251"/>
      <c r="V1222" s="251"/>
      <c r="W1222" s="251"/>
      <c r="X1222" s="251"/>
      <c r="Y1222" s="251"/>
      <c r="Z1222" s="251"/>
      <c r="AA1222" s="251"/>
      <c r="AB1222" s="251"/>
      <c r="AC1222" s="251"/>
      <c r="AD1222" s="251"/>
      <c r="AE1222" s="251"/>
    </row>
    <row r="1223">
      <c r="A1223" s="251"/>
      <c r="B1223" s="251"/>
      <c r="C1223" s="251"/>
      <c r="D1223" s="251"/>
      <c r="E1223" s="251"/>
      <c r="F1223" s="251"/>
      <c r="G1223" s="251"/>
      <c r="H1223" s="251"/>
      <c r="I1223" s="251"/>
      <c r="J1223" s="251"/>
      <c r="K1223" s="251"/>
      <c r="L1223" s="251"/>
      <c r="M1223" s="251"/>
      <c r="N1223" s="251"/>
      <c r="O1223" s="251"/>
      <c r="P1223" s="251"/>
      <c r="Q1223" s="251"/>
      <c r="R1223" s="251"/>
      <c r="S1223" s="251"/>
      <c r="T1223" s="251"/>
      <c r="U1223" s="251"/>
      <c r="V1223" s="251"/>
      <c r="W1223" s="251"/>
      <c r="X1223" s="251"/>
      <c r="Y1223" s="251"/>
      <c r="Z1223" s="251"/>
      <c r="AA1223" s="251"/>
      <c r="AB1223" s="251"/>
      <c r="AC1223" s="251"/>
      <c r="AD1223" s="251"/>
      <c r="AE1223" s="251"/>
    </row>
    <row r="1224">
      <c r="A1224" s="251"/>
      <c r="B1224" s="251"/>
      <c r="C1224" s="251"/>
      <c r="D1224" s="251"/>
      <c r="E1224" s="251"/>
      <c r="F1224" s="251"/>
      <c r="G1224" s="251"/>
      <c r="H1224" s="251"/>
      <c r="I1224" s="251"/>
      <c r="J1224" s="251"/>
      <c r="K1224" s="251"/>
      <c r="L1224" s="251"/>
      <c r="M1224" s="251"/>
      <c r="N1224" s="251"/>
      <c r="O1224" s="251"/>
      <c r="P1224" s="251"/>
      <c r="Q1224" s="251"/>
      <c r="R1224" s="251"/>
      <c r="S1224" s="251"/>
      <c r="T1224" s="251"/>
      <c r="U1224" s="251"/>
      <c r="V1224" s="251"/>
      <c r="W1224" s="251"/>
      <c r="X1224" s="251"/>
      <c r="Y1224" s="251"/>
      <c r="Z1224" s="251"/>
      <c r="AA1224" s="251"/>
      <c r="AB1224" s="251"/>
      <c r="AC1224" s="251"/>
      <c r="AD1224" s="251"/>
      <c r="AE1224" s="251"/>
    </row>
    <row r="1225">
      <c r="A1225" s="251"/>
      <c r="B1225" s="251"/>
      <c r="C1225" s="251"/>
      <c r="D1225" s="251"/>
      <c r="E1225" s="251"/>
      <c r="F1225" s="251"/>
      <c r="G1225" s="251"/>
      <c r="H1225" s="251"/>
      <c r="I1225" s="251"/>
      <c r="J1225" s="251"/>
      <c r="K1225" s="251"/>
      <c r="L1225" s="251"/>
      <c r="M1225" s="251"/>
      <c r="N1225" s="251"/>
      <c r="O1225" s="251"/>
      <c r="P1225" s="251"/>
      <c r="Q1225" s="251"/>
      <c r="R1225" s="251"/>
      <c r="S1225" s="251"/>
      <c r="T1225" s="251"/>
      <c r="U1225" s="251"/>
      <c r="V1225" s="251"/>
      <c r="W1225" s="251"/>
      <c r="X1225" s="251"/>
      <c r="Y1225" s="251"/>
      <c r="Z1225" s="251"/>
      <c r="AA1225" s="251"/>
      <c r="AB1225" s="251"/>
      <c r="AC1225" s="251"/>
      <c r="AD1225" s="251"/>
      <c r="AE1225" s="251"/>
    </row>
    <row r="1226">
      <c r="A1226" s="251"/>
      <c r="B1226" s="251"/>
      <c r="C1226" s="251"/>
      <c r="D1226" s="251"/>
      <c r="E1226" s="251"/>
      <c r="F1226" s="251"/>
      <c r="G1226" s="251"/>
      <c r="H1226" s="251"/>
      <c r="I1226" s="251"/>
      <c r="J1226" s="251"/>
      <c r="K1226" s="251"/>
      <c r="L1226" s="251"/>
      <c r="M1226" s="251"/>
      <c r="N1226" s="251"/>
      <c r="O1226" s="251"/>
      <c r="P1226" s="251"/>
      <c r="Q1226" s="251"/>
      <c r="R1226" s="251"/>
      <c r="S1226" s="251"/>
      <c r="T1226" s="251"/>
      <c r="U1226" s="251"/>
      <c r="V1226" s="251"/>
      <c r="W1226" s="251"/>
      <c r="X1226" s="251"/>
      <c r="Y1226" s="251"/>
      <c r="Z1226" s="251"/>
      <c r="AA1226" s="251"/>
      <c r="AB1226" s="251"/>
      <c r="AC1226" s="251"/>
      <c r="AD1226" s="251"/>
      <c r="AE1226" s="251"/>
    </row>
    <row r="1227">
      <c r="A1227" s="251"/>
      <c r="B1227" s="251"/>
      <c r="C1227" s="251"/>
      <c r="D1227" s="251"/>
      <c r="E1227" s="251"/>
      <c r="F1227" s="251"/>
      <c r="G1227" s="251"/>
      <c r="H1227" s="251"/>
      <c r="I1227" s="251"/>
      <c r="J1227" s="251"/>
      <c r="K1227" s="251"/>
      <c r="L1227" s="251"/>
      <c r="M1227" s="251"/>
      <c r="N1227" s="251"/>
      <c r="O1227" s="251"/>
      <c r="P1227" s="251"/>
      <c r="Q1227" s="251"/>
      <c r="R1227" s="251"/>
      <c r="S1227" s="251"/>
      <c r="T1227" s="251"/>
      <c r="U1227" s="251"/>
      <c r="V1227" s="251"/>
      <c r="W1227" s="251"/>
      <c r="X1227" s="251"/>
      <c r="Y1227" s="251"/>
      <c r="Z1227" s="251"/>
      <c r="AA1227" s="251"/>
      <c r="AB1227" s="251"/>
      <c r="AC1227" s="251"/>
      <c r="AD1227" s="251"/>
      <c r="AE1227" s="251"/>
    </row>
    <row r="1228">
      <c r="A1228" s="251"/>
      <c r="B1228" s="251"/>
      <c r="C1228" s="251"/>
      <c r="D1228" s="251"/>
      <c r="E1228" s="251"/>
      <c r="F1228" s="251"/>
      <c r="G1228" s="251"/>
      <c r="H1228" s="251"/>
      <c r="I1228" s="251"/>
      <c r="J1228" s="251"/>
      <c r="K1228" s="251"/>
      <c r="L1228" s="251"/>
      <c r="M1228" s="251"/>
      <c r="N1228" s="251"/>
      <c r="O1228" s="251"/>
      <c r="P1228" s="251"/>
      <c r="Q1228" s="251"/>
      <c r="R1228" s="251"/>
      <c r="S1228" s="251"/>
      <c r="T1228" s="251"/>
      <c r="U1228" s="251"/>
      <c r="V1228" s="251"/>
      <c r="W1228" s="251"/>
      <c r="X1228" s="251"/>
      <c r="Y1228" s="251"/>
      <c r="Z1228" s="251"/>
      <c r="AA1228" s="251"/>
      <c r="AB1228" s="251"/>
      <c r="AC1228" s="251"/>
      <c r="AD1228" s="251"/>
      <c r="AE1228" s="251"/>
    </row>
    <row r="1229">
      <c r="A1229" s="251"/>
      <c r="B1229" s="251"/>
      <c r="C1229" s="251"/>
      <c r="D1229" s="251"/>
      <c r="E1229" s="251"/>
      <c r="F1229" s="251"/>
      <c r="G1229" s="251"/>
      <c r="H1229" s="251"/>
      <c r="I1229" s="251"/>
      <c r="J1229" s="251"/>
      <c r="K1229" s="251"/>
      <c r="L1229" s="251"/>
      <c r="M1229" s="251"/>
      <c r="N1229" s="251"/>
      <c r="O1229" s="251"/>
      <c r="P1229" s="251"/>
      <c r="Q1229" s="251"/>
      <c r="R1229" s="251"/>
      <c r="S1229" s="251"/>
      <c r="T1229" s="251"/>
      <c r="U1229" s="251"/>
      <c r="V1229" s="251"/>
      <c r="W1229" s="251"/>
      <c r="X1229" s="251"/>
      <c r="Y1229" s="251"/>
      <c r="Z1229" s="251"/>
      <c r="AA1229" s="251"/>
      <c r="AB1229" s="251"/>
      <c r="AC1229" s="251"/>
      <c r="AD1229" s="251"/>
      <c r="AE1229" s="251"/>
    </row>
    <row r="1230">
      <c r="A1230" s="251"/>
      <c r="B1230" s="251"/>
      <c r="C1230" s="251"/>
      <c r="D1230" s="251"/>
      <c r="E1230" s="251"/>
      <c r="F1230" s="251"/>
      <c r="G1230" s="251"/>
      <c r="H1230" s="251"/>
      <c r="I1230" s="251"/>
      <c r="J1230" s="251"/>
      <c r="K1230" s="251"/>
      <c r="L1230" s="251"/>
      <c r="M1230" s="251"/>
      <c r="N1230" s="251"/>
      <c r="O1230" s="251"/>
      <c r="P1230" s="251"/>
      <c r="Q1230" s="251"/>
      <c r="R1230" s="251"/>
      <c r="S1230" s="251"/>
      <c r="T1230" s="251"/>
      <c r="U1230" s="251"/>
      <c r="V1230" s="251"/>
      <c r="W1230" s="251"/>
      <c r="X1230" s="251"/>
      <c r="Y1230" s="251"/>
      <c r="Z1230" s="251"/>
      <c r="AA1230" s="251"/>
      <c r="AB1230" s="251"/>
      <c r="AC1230" s="251"/>
      <c r="AD1230" s="251"/>
      <c r="AE1230" s="251"/>
    </row>
    <row r="1231">
      <c r="A1231" s="251"/>
      <c r="B1231" s="251"/>
      <c r="C1231" s="251"/>
      <c r="D1231" s="251"/>
      <c r="E1231" s="251"/>
      <c r="F1231" s="251"/>
      <c r="G1231" s="251"/>
      <c r="H1231" s="251"/>
      <c r="I1231" s="251"/>
      <c r="J1231" s="251"/>
      <c r="K1231" s="251"/>
      <c r="L1231" s="251"/>
      <c r="M1231" s="251"/>
      <c r="N1231" s="251"/>
      <c r="O1231" s="251"/>
      <c r="P1231" s="251"/>
      <c r="Q1231" s="251"/>
      <c r="R1231" s="251"/>
      <c r="S1231" s="251"/>
      <c r="T1231" s="251"/>
      <c r="U1231" s="251"/>
      <c r="V1231" s="251"/>
      <c r="W1231" s="251"/>
      <c r="X1231" s="251"/>
      <c r="Y1231" s="251"/>
      <c r="Z1231" s="251"/>
      <c r="AA1231" s="251"/>
      <c r="AB1231" s="251"/>
      <c r="AC1231" s="251"/>
      <c r="AD1231" s="251"/>
      <c r="AE1231" s="251"/>
    </row>
    <row r="1232">
      <c r="A1232" s="251"/>
      <c r="B1232" s="251"/>
      <c r="C1232" s="251"/>
      <c r="D1232" s="251"/>
      <c r="E1232" s="251"/>
      <c r="F1232" s="251"/>
      <c r="G1232" s="251"/>
      <c r="H1232" s="251"/>
      <c r="I1232" s="251"/>
      <c r="J1232" s="251"/>
      <c r="K1232" s="251"/>
      <c r="L1232" s="251"/>
      <c r="M1232" s="251"/>
      <c r="N1232" s="251"/>
      <c r="O1232" s="251"/>
      <c r="P1232" s="251"/>
      <c r="Q1232" s="251"/>
      <c r="R1232" s="251"/>
      <c r="S1232" s="251"/>
      <c r="T1232" s="251"/>
      <c r="U1232" s="251"/>
      <c r="V1232" s="251"/>
      <c r="W1232" s="251"/>
      <c r="X1232" s="251"/>
      <c r="Y1232" s="251"/>
      <c r="Z1232" s="251"/>
      <c r="AA1232" s="251"/>
      <c r="AB1232" s="251"/>
      <c r="AC1232" s="251"/>
      <c r="AD1232" s="251"/>
      <c r="AE1232" s="251"/>
    </row>
    <row r="1233">
      <c r="A1233" s="251"/>
      <c r="B1233" s="251"/>
      <c r="C1233" s="251"/>
      <c r="D1233" s="251"/>
      <c r="E1233" s="251"/>
      <c r="F1233" s="251"/>
      <c r="G1233" s="251"/>
      <c r="H1233" s="251"/>
      <c r="I1233" s="251"/>
      <c r="J1233" s="251"/>
      <c r="K1233" s="251"/>
      <c r="L1233" s="251"/>
      <c r="M1233" s="251"/>
      <c r="N1233" s="251"/>
      <c r="O1233" s="251"/>
      <c r="P1233" s="251"/>
      <c r="Q1233" s="251"/>
      <c r="R1233" s="251"/>
      <c r="S1233" s="251"/>
      <c r="T1233" s="251"/>
      <c r="U1233" s="251"/>
      <c r="V1233" s="251"/>
      <c r="W1233" s="251"/>
      <c r="X1233" s="251"/>
      <c r="Y1233" s="251"/>
      <c r="Z1233" s="251"/>
      <c r="AA1233" s="251"/>
      <c r="AB1233" s="251"/>
      <c r="AC1233" s="251"/>
      <c r="AD1233" s="251"/>
      <c r="AE1233" s="251"/>
    </row>
    <row r="1234">
      <c r="A1234" s="251"/>
      <c r="B1234" s="251"/>
      <c r="C1234" s="251"/>
      <c r="D1234" s="251"/>
      <c r="E1234" s="251"/>
      <c r="F1234" s="251"/>
      <c r="G1234" s="251"/>
      <c r="H1234" s="251"/>
      <c r="I1234" s="251"/>
      <c r="J1234" s="251"/>
      <c r="K1234" s="251"/>
      <c r="L1234" s="251"/>
      <c r="M1234" s="251"/>
      <c r="N1234" s="251"/>
      <c r="O1234" s="251"/>
      <c r="P1234" s="251"/>
      <c r="Q1234" s="251"/>
      <c r="R1234" s="251"/>
      <c r="S1234" s="251"/>
      <c r="T1234" s="251"/>
      <c r="U1234" s="251"/>
      <c r="V1234" s="251"/>
      <c r="W1234" s="251"/>
      <c r="X1234" s="251"/>
      <c r="Y1234" s="251"/>
      <c r="Z1234" s="251"/>
      <c r="AA1234" s="251"/>
      <c r="AB1234" s="251"/>
      <c r="AC1234" s="251"/>
      <c r="AD1234" s="251"/>
      <c r="AE1234" s="251"/>
    </row>
    <row r="1235">
      <c r="A1235" s="251"/>
      <c r="B1235" s="251"/>
      <c r="C1235" s="251"/>
      <c r="D1235" s="251"/>
      <c r="E1235" s="251"/>
      <c r="F1235" s="251"/>
      <c r="G1235" s="251"/>
      <c r="H1235" s="251"/>
      <c r="I1235" s="251"/>
      <c r="J1235" s="251"/>
      <c r="K1235" s="251"/>
      <c r="L1235" s="251"/>
      <c r="M1235" s="251"/>
      <c r="N1235" s="251"/>
      <c r="O1235" s="251"/>
      <c r="P1235" s="251"/>
      <c r="Q1235" s="251"/>
      <c r="R1235" s="251"/>
      <c r="S1235" s="251"/>
      <c r="T1235" s="251"/>
      <c r="U1235" s="251"/>
      <c r="V1235" s="251"/>
      <c r="W1235" s="251"/>
      <c r="X1235" s="251"/>
      <c r="Y1235" s="251"/>
      <c r="Z1235" s="251"/>
      <c r="AA1235" s="251"/>
      <c r="AB1235" s="251"/>
      <c r="AC1235" s="251"/>
      <c r="AD1235" s="251"/>
      <c r="AE1235" s="251"/>
    </row>
    <row r="1236">
      <c r="A1236" s="251"/>
      <c r="B1236" s="251"/>
      <c r="C1236" s="251"/>
      <c r="D1236" s="251"/>
      <c r="E1236" s="251"/>
      <c r="F1236" s="251"/>
      <c r="G1236" s="251"/>
      <c r="H1236" s="251"/>
      <c r="I1236" s="251"/>
      <c r="J1236" s="251"/>
      <c r="K1236" s="251"/>
      <c r="L1236" s="251"/>
      <c r="M1236" s="251"/>
      <c r="N1236" s="251"/>
      <c r="O1236" s="251"/>
      <c r="P1236" s="251"/>
      <c r="Q1236" s="251"/>
      <c r="R1236" s="251"/>
      <c r="S1236" s="251"/>
      <c r="T1236" s="251"/>
      <c r="U1236" s="251"/>
      <c r="V1236" s="251"/>
      <c r="W1236" s="251"/>
      <c r="X1236" s="251"/>
      <c r="Y1236" s="251"/>
      <c r="Z1236" s="251"/>
      <c r="AA1236" s="251"/>
      <c r="AB1236" s="251"/>
      <c r="AC1236" s="251"/>
      <c r="AD1236" s="251"/>
      <c r="AE1236" s="251"/>
    </row>
    <row r="1237">
      <c r="A1237" s="251"/>
      <c r="B1237" s="251"/>
      <c r="C1237" s="251"/>
      <c r="D1237" s="251"/>
      <c r="E1237" s="251"/>
      <c r="F1237" s="251"/>
      <c r="G1237" s="251"/>
      <c r="H1237" s="251"/>
      <c r="I1237" s="251"/>
      <c r="J1237" s="251"/>
      <c r="K1237" s="251"/>
      <c r="L1237" s="251"/>
      <c r="M1237" s="251"/>
      <c r="N1237" s="251"/>
      <c r="O1237" s="251"/>
      <c r="P1237" s="251"/>
      <c r="Q1237" s="251"/>
      <c r="R1237" s="251"/>
      <c r="S1237" s="251"/>
      <c r="T1237" s="251"/>
      <c r="U1237" s="251"/>
      <c r="V1237" s="251"/>
      <c r="W1237" s="251"/>
      <c r="X1237" s="251"/>
      <c r="Y1237" s="251"/>
      <c r="Z1237" s="251"/>
      <c r="AA1237" s="251"/>
      <c r="AB1237" s="251"/>
      <c r="AC1237" s="251"/>
      <c r="AD1237" s="251"/>
      <c r="AE1237" s="251"/>
    </row>
    <row r="1238">
      <c r="A1238" s="251"/>
      <c r="B1238" s="251"/>
      <c r="C1238" s="251"/>
      <c r="D1238" s="251"/>
      <c r="E1238" s="251"/>
      <c r="F1238" s="251"/>
      <c r="G1238" s="251"/>
      <c r="H1238" s="251"/>
      <c r="I1238" s="251"/>
      <c r="J1238" s="251"/>
      <c r="K1238" s="251"/>
      <c r="L1238" s="251"/>
      <c r="M1238" s="251"/>
      <c r="N1238" s="251"/>
      <c r="O1238" s="251"/>
      <c r="P1238" s="251"/>
      <c r="Q1238" s="251"/>
      <c r="R1238" s="251"/>
      <c r="S1238" s="251"/>
      <c r="T1238" s="251"/>
      <c r="U1238" s="251"/>
      <c r="V1238" s="251"/>
      <c r="W1238" s="251"/>
      <c r="X1238" s="251"/>
      <c r="Y1238" s="251"/>
      <c r="Z1238" s="251"/>
      <c r="AA1238" s="251"/>
      <c r="AB1238" s="251"/>
      <c r="AC1238" s="251"/>
      <c r="AD1238" s="251"/>
      <c r="AE1238" s="251"/>
    </row>
    <row r="1239">
      <c r="A1239" s="251"/>
      <c r="B1239" s="251"/>
      <c r="C1239" s="251"/>
      <c r="D1239" s="251"/>
      <c r="E1239" s="251"/>
      <c r="F1239" s="251"/>
      <c r="G1239" s="251"/>
      <c r="H1239" s="251"/>
      <c r="I1239" s="251"/>
      <c r="J1239" s="251"/>
      <c r="K1239" s="251"/>
      <c r="L1239" s="251"/>
      <c r="M1239" s="251"/>
      <c r="N1239" s="251"/>
      <c r="O1239" s="251"/>
      <c r="P1239" s="251"/>
      <c r="Q1239" s="251"/>
      <c r="R1239" s="251"/>
      <c r="S1239" s="251"/>
      <c r="T1239" s="251"/>
      <c r="U1239" s="251"/>
      <c r="V1239" s="251"/>
      <c r="W1239" s="251"/>
      <c r="X1239" s="251"/>
      <c r="Y1239" s="251"/>
      <c r="Z1239" s="251"/>
      <c r="AA1239" s="251"/>
      <c r="AB1239" s="251"/>
      <c r="AC1239" s="251"/>
      <c r="AD1239" s="251"/>
      <c r="AE1239" s="251"/>
    </row>
    <row r="1240">
      <c r="A1240" s="251"/>
      <c r="B1240" s="251"/>
      <c r="C1240" s="251"/>
      <c r="D1240" s="251"/>
      <c r="E1240" s="251"/>
      <c r="F1240" s="251"/>
      <c r="G1240" s="251"/>
      <c r="H1240" s="251"/>
      <c r="I1240" s="251"/>
      <c r="J1240" s="251"/>
      <c r="K1240" s="251"/>
      <c r="L1240" s="251"/>
      <c r="M1240" s="251"/>
      <c r="N1240" s="251"/>
      <c r="O1240" s="251"/>
      <c r="P1240" s="251"/>
      <c r="Q1240" s="251"/>
      <c r="R1240" s="251"/>
      <c r="S1240" s="251"/>
      <c r="T1240" s="251"/>
      <c r="U1240" s="251"/>
      <c r="V1240" s="251"/>
      <c r="W1240" s="251"/>
      <c r="X1240" s="251"/>
      <c r="Y1240" s="251"/>
      <c r="Z1240" s="251"/>
      <c r="AA1240" s="251"/>
      <c r="AB1240" s="251"/>
      <c r="AC1240" s="251"/>
      <c r="AD1240" s="251"/>
      <c r="AE1240" s="251"/>
    </row>
    <row r="1241">
      <c r="A1241" s="251"/>
      <c r="B1241" s="251"/>
      <c r="C1241" s="251"/>
      <c r="D1241" s="251"/>
      <c r="E1241" s="251"/>
      <c r="F1241" s="251"/>
      <c r="G1241" s="251"/>
      <c r="H1241" s="251"/>
      <c r="I1241" s="251"/>
      <c r="J1241" s="251"/>
      <c r="K1241" s="251"/>
      <c r="L1241" s="251"/>
      <c r="M1241" s="251"/>
      <c r="N1241" s="251"/>
      <c r="O1241" s="251"/>
      <c r="P1241" s="251"/>
      <c r="Q1241" s="251"/>
      <c r="R1241" s="251"/>
      <c r="S1241" s="251"/>
      <c r="T1241" s="251"/>
      <c r="U1241" s="251"/>
      <c r="V1241" s="251"/>
      <c r="W1241" s="251"/>
      <c r="X1241" s="251"/>
      <c r="Y1241" s="251"/>
      <c r="Z1241" s="251"/>
      <c r="AA1241" s="251"/>
      <c r="AB1241" s="251"/>
      <c r="AC1241" s="251"/>
      <c r="AD1241" s="251"/>
      <c r="AE1241" s="251"/>
    </row>
    <row r="1242">
      <c r="A1242" s="251"/>
      <c r="B1242" s="251"/>
      <c r="C1242" s="251"/>
      <c r="D1242" s="251"/>
      <c r="E1242" s="251"/>
      <c r="F1242" s="251"/>
      <c r="G1242" s="251"/>
      <c r="H1242" s="251"/>
      <c r="I1242" s="251"/>
      <c r="J1242" s="251"/>
      <c r="K1242" s="251"/>
      <c r="L1242" s="251"/>
      <c r="M1242" s="251"/>
      <c r="N1242" s="251"/>
      <c r="O1242" s="251"/>
      <c r="P1242" s="251"/>
      <c r="Q1242" s="251"/>
      <c r="R1242" s="251"/>
      <c r="S1242" s="251"/>
      <c r="T1242" s="251"/>
      <c r="U1242" s="251"/>
      <c r="V1242" s="251"/>
      <c r="W1242" s="251"/>
      <c r="X1242" s="251"/>
      <c r="Y1242" s="251"/>
      <c r="Z1242" s="251"/>
      <c r="AA1242" s="251"/>
      <c r="AB1242" s="251"/>
      <c r="AC1242" s="251"/>
      <c r="AD1242" s="251"/>
      <c r="AE1242" s="251"/>
    </row>
    <row r="1243">
      <c r="A1243" s="251"/>
      <c r="B1243" s="251"/>
      <c r="C1243" s="251"/>
      <c r="D1243" s="251"/>
      <c r="E1243" s="251"/>
      <c r="F1243" s="251"/>
      <c r="G1243" s="251"/>
      <c r="H1243" s="251"/>
      <c r="I1243" s="251"/>
      <c r="J1243" s="251"/>
      <c r="K1243" s="251"/>
      <c r="L1243" s="251"/>
      <c r="M1243" s="251"/>
      <c r="N1243" s="251"/>
      <c r="O1243" s="251"/>
      <c r="P1243" s="251"/>
      <c r="Q1243" s="251"/>
      <c r="R1243" s="251"/>
      <c r="S1243" s="251"/>
      <c r="T1243" s="251"/>
      <c r="U1243" s="251"/>
      <c r="V1243" s="251"/>
      <c r="W1243" s="251"/>
      <c r="X1243" s="251"/>
      <c r="Y1243" s="251"/>
      <c r="Z1243" s="251"/>
      <c r="AA1243" s="251"/>
      <c r="AB1243" s="251"/>
      <c r="AC1243" s="251"/>
      <c r="AD1243" s="251"/>
      <c r="AE1243" s="251"/>
    </row>
    <row r="1244">
      <c r="A1244" s="251"/>
      <c r="B1244" s="251"/>
      <c r="C1244" s="251"/>
      <c r="D1244" s="251"/>
      <c r="E1244" s="251"/>
      <c r="F1244" s="251"/>
      <c r="G1244" s="251"/>
      <c r="H1244" s="251"/>
      <c r="I1244" s="251"/>
      <c r="J1244" s="251"/>
      <c r="K1244" s="251"/>
      <c r="L1244" s="251"/>
      <c r="M1244" s="251"/>
      <c r="N1244" s="251"/>
      <c r="O1244" s="251"/>
      <c r="P1244" s="251"/>
      <c r="Q1244" s="251"/>
      <c r="R1244" s="251"/>
      <c r="S1244" s="251"/>
      <c r="T1244" s="251"/>
      <c r="U1244" s="251"/>
      <c r="V1244" s="251"/>
      <c r="W1244" s="251"/>
      <c r="X1244" s="251"/>
      <c r="Y1244" s="251"/>
      <c r="Z1244" s="251"/>
      <c r="AA1244" s="251"/>
      <c r="AB1244" s="251"/>
      <c r="AC1244" s="251"/>
      <c r="AD1244" s="251"/>
      <c r="AE1244" s="251"/>
    </row>
    <row r="1245">
      <c r="A1245" s="251"/>
      <c r="B1245" s="251"/>
      <c r="C1245" s="251"/>
      <c r="D1245" s="251"/>
      <c r="E1245" s="251"/>
      <c r="F1245" s="251"/>
      <c r="G1245" s="251"/>
      <c r="H1245" s="251"/>
      <c r="I1245" s="251"/>
      <c r="J1245" s="251"/>
      <c r="K1245" s="251"/>
      <c r="L1245" s="251"/>
      <c r="M1245" s="251"/>
      <c r="N1245" s="251"/>
      <c r="O1245" s="251"/>
      <c r="P1245" s="251"/>
      <c r="Q1245" s="251"/>
      <c r="R1245" s="251"/>
      <c r="S1245" s="251"/>
      <c r="T1245" s="251"/>
      <c r="U1245" s="251"/>
      <c r="V1245" s="251"/>
      <c r="W1245" s="251"/>
      <c r="X1245" s="251"/>
      <c r="Y1245" s="251"/>
      <c r="Z1245" s="251"/>
      <c r="AA1245" s="251"/>
      <c r="AB1245" s="251"/>
      <c r="AC1245" s="251"/>
      <c r="AD1245" s="251"/>
      <c r="AE1245" s="251"/>
    </row>
    <row r="1246">
      <c r="A1246" s="251"/>
      <c r="B1246" s="251"/>
      <c r="C1246" s="251"/>
      <c r="D1246" s="251"/>
      <c r="E1246" s="251"/>
      <c r="F1246" s="251"/>
      <c r="G1246" s="251"/>
      <c r="H1246" s="251"/>
      <c r="I1246" s="251"/>
      <c r="J1246" s="251"/>
      <c r="K1246" s="251"/>
      <c r="L1246" s="251"/>
      <c r="M1246" s="251"/>
      <c r="N1246" s="251"/>
      <c r="O1246" s="251"/>
      <c r="P1246" s="251"/>
      <c r="Q1246" s="251"/>
      <c r="R1246" s="251"/>
      <c r="S1246" s="251"/>
      <c r="T1246" s="251"/>
      <c r="U1246" s="251"/>
      <c r="V1246" s="251"/>
      <c r="W1246" s="251"/>
      <c r="X1246" s="251"/>
      <c r="Y1246" s="251"/>
      <c r="Z1246" s="251"/>
      <c r="AA1246" s="251"/>
      <c r="AB1246" s="251"/>
      <c r="AC1246" s="251"/>
      <c r="AD1246" s="251"/>
      <c r="AE1246" s="251"/>
    </row>
    <row r="1247">
      <c r="A1247" s="251"/>
      <c r="B1247" s="251"/>
      <c r="C1247" s="251"/>
      <c r="D1247" s="251"/>
      <c r="E1247" s="251"/>
      <c r="F1247" s="251"/>
      <c r="G1247" s="251"/>
      <c r="H1247" s="251"/>
      <c r="I1247" s="251"/>
      <c r="J1247" s="251"/>
      <c r="K1247" s="251"/>
      <c r="L1247" s="251"/>
      <c r="M1247" s="251"/>
      <c r="N1247" s="251"/>
      <c r="O1247" s="251"/>
      <c r="P1247" s="251"/>
      <c r="Q1247" s="251"/>
      <c r="R1247" s="251"/>
      <c r="S1247" s="251"/>
      <c r="T1247" s="251"/>
      <c r="U1247" s="251"/>
      <c r="V1247" s="251"/>
      <c r="W1247" s="251"/>
      <c r="X1247" s="251"/>
      <c r="Y1247" s="251"/>
      <c r="Z1247" s="251"/>
      <c r="AA1247" s="251"/>
      <c r="AB1247" s="251"/>
      <c r="AC1247" s="251"/>
      <c r="AD1247" s="251"/>
      <c r="AE1247" s="251"/>
    </row>
    <row r="1248">
      <c r="A1248" s="251"/>
      <c r="B1248" s="251"/>
      <c r="C1248" s="251"/>
      <c r="D1248" s="251"/>
      <c r="E1248" s="251"/>
      <c r="F1248" s="251"/>
      <c r="G1248" s="251"/>
      <c r="H1248" s="251"/>
      <c r="I1248" s="251"/>
      <c r="J1248" s="251"/>
      <c r="K1248" s="251"/>
      <c r="L1248" s="251"/>
      <c r="M1248" s="251"/>
      <c r="N1248" s="251"/>
      <c r="O1248" s="251"/>
      <c r="P1248" s="251"/>
      <c r="Q1248" s="251"/>
      <c r="R1248" s="251"/>
      <c r="S1248" s="251"/>
      <c r="T1248" s="251"/>
      <c r="U1248" s="251"/>
      <c r="V1248" s="251"/>
      <c r="W1248" s="251"/>
      <c r="X1248" s="251"/>
      <c r="Y1248" s="251"/>
      <c r="Z1248" s="251"/>
      <c r="AA1248" s="251"/>
      <c r="AB1248" s="251"/>
      <c r="AC1248" s="251"/>
      <c r="AD1248" s="251"/>
      <c r="AE1248" s="251"/>
    </row>
    <row r="1249">
      <c r="A1249" s="251"/>
      <c r="B1249" s="251"/>
      <c r="C1249" s="251"/>
      <c r="D1249" s="251"/>
      <c r="E1249" s="251"/>
      <c r="F1249" s="251"/>
      <c r="G1249" s="251"/>
      <c r="H1249" s="251"/>
      <c r="I1249" s="251"/>
      <c r="J1249" s="251"/>
      <c r="K1249" s="251"/>
      <c r="L1249" s="251"/>
      <c r="M1249" s="251"/>
      <c r="N1249" s="251"/>
      <c r="O1249" s="251"/>
      <c r="P1249" s="251"/>
      <c r="Q1249" s="251"/>
      <c r="R1249" s="251"/>
      <c r="S1249" s="251"/>
      <c r="T1249" s="251"/>
      <c r="U1249" s="251"/>
      <c r="V1249" s="251"/>
      <c r="W1249" s="251"/>
      <c r="X1249" s="251"/>
      <c r="Y1249" s="251"/>
      <c r="Z1249" s="251"/>
      <c r="AA1249" s="251"/>
      <c r="AB1249" s="251"/>
      <c r="AC1249" s="251"/>
      <c r="AD1249" s="251"/>
      <c r="AE1249" s="251"/>
    </row>
    <row r="1250">
      <c r="A1250" s="251"/>
      <c r="B1250" s="251"/>
      <c r="C1250" s="251"/>
      <c r="D1250" s="251"/>
      <c r="E1250" s="251"/>
      <c r="F1250" s="251"/>
      <c r="G1250" s="251"/>
      <c r="H1250" s="251"/>
      <c r="I1250" s="251"/>
      <c r="J1250" s="251"/>
      <c r="K1250" s="251"/>
      <c r="L1250" s="251"/>
      <c r="M1250" s="251"/>
      <c r="N1250" s="251"/>
      <c r="O1250" s="251"/>
      <c r="P1250" s="251"/>
      <c r="Q1250" s="251"/>
      <c r="R1250" s="251"/>
      <c r="S1250" s="251"/>
      <c r="T1250" s="251"/>
      <c r="U1250" s="251"/>
      <c r="V1250" s="251"/>
      <c r="W1250" s="251"/>
      <c r="X1250" s="251"/>
      <c r="Y1250" s="251"/>
      <c r="Z1250" s="251"/>
      <c r="AA1250" s="251"/>
      <c r="AB1250" s="251"/>
      <c r="AC1250" s="251"/>
      <c r="AD1250" s="251"/>
      <c r="AE1250" s="251"/>
    </row>
    <row r="1251">
      <c r="A1251" s="251"/>
      <c r="B1251" s="251"/>
      <c r="C1251" s="251"/>
      <c r="D1251" s="251"/>
      <c r="E1251" s="251"/>
      <c r="F1251" s="251"/>
      <c r="G1251" s="251"/>
      <c r="H1251" s="251"/>
      <c r="I1251" s="251"/>
      <c r="J1251" s="251"/>
      <c r="K1251" s="251"/>
      <c r="L1251" s="251"/>
      <c r="M1251" s="251"/>
      <c r="N1251" s="251"/>
      <c r="O1251" s="251"/>
      <c r="P1251" s="251"/>
      <c r="Q1251" s="251"/>
      <c r="R1251" s="251"/>
      <c r="S1251" s="251"/>
      <c r="T1251" s="251"/>
      <c r="U1251" s="251"/>
      <c r="V1251" s="251"/>
      <c r="W1251" s="251"/>
      <c r="X1251" s="251"/>
      <c r="Y1251" s="251"/>
      <c r="Z1251" s="251"/>
      <c r="AA1251" s="251"/>
      <c r="AB1251" s="251"/>
      <c r="AC1251" s="251"/>
      <c r="AD1251" s="251"/>
      <c r="AE1251" s="251"/>
    </row>
    <row r="1252">
      <c r="A1252" s="251"/>
      <c r="B1252" s="251"/>
      <c r="C1252" s="251"/>
      <c r="D1252" s="251"/>
      <c r="E1252" s="251"/>
      <c r="F1252" s="251"/>
      <c r="G1252" s="251"/>
      <c r="H1252" s="251"/>
      <c r="I1252" s="251"/>
      <c r="J1252" s="251"/>
      <c r="K1252" s="251"/>
      <c r="L1252" s="251"/>
      <c r="M1252" s="251"/>
      <c r="N1252" s="251"/>
      <c r="O1252" s="251"/>
      <c r="P1252" s="251"/>
      <c r="Q1252" s="251"/>
      <c r="R1252" s="251"/>
      <c r="S1252" s="251"/>
      <c r="T1252" s="251"/>
      <c r="U1252" s="251"/>
      <c r="V1252" s="251"/>
      <c r="W1252" s="251"/>
      <c r="X1252" s="251"/>
      <c r="Y1252" s="251"/>
      <c r="Z1252" s="251"/>
      <c r="AA1252" s="251"/>
      <c r="AB1252" s="251"/>
      <c r="AC1252" s="251"/>
      <c r="AD1252" s="251"/>
      <c r="AE1252" s="251"/>
    </row>
    <row r="1253">
      <c r="A1253" s="251"/>
      <c r="B1253" s="251"/>
      <c r="C1253" s="251"/>
      <c r="D1253" s="251"/>
      <c r="E1253" s="251"/>
      <c r="F1253" s="251"/>
      <c r="G1253" s="251"/>
      <c r="H1253" s="251"/>
      <c r="I1253" s="251"/>
      <c r="J1253" s="251"/>
      <c r="K1253" s="251"/>
      <c r="L1253" s="251"/>
      <c r="M1253" s="251"/>
      <c r="N1253" s="251"/>
      <c r="O1253" s="251"/>
      <c r="P1253" s="251"/>
      <c r="Q1253" s="251"/>
      <c r="R1253" s="251"/>
      <c r="S1253" s="251"/>
      <c r="T1253" s="251"/>
      <c r="U1253" s="251"/>
      <c r="V1253" s="251"/>
      <c r="W1253" s="251"/>
      <c r="X1253" s="251"/>
      <c r="Y1253" s="251"/>
      <c r="Z1253" s="251"/>
      <c r="AA1253" s="251"/>
      <c r="AB1253" s="251"/>
      <c r="AC1253" s="251"/>
      <c r="AD1253" s="251"/>
      <c r="AE1253" s="251"/>
    </row>
    <row r="1254">
      <c r="A1254" s="251"/>
      <c r="B1254" s="251"/>
      <c r="C1254" s="251"/>
      <c r="D1254" s="251"/>
      <c r="E1254" s="251"/>
      <c r="F1254" s="251"/>
      <c r="G1254" s="251"/>
      <c r="H1254" s="251"/>
      <c r="I1254" s="251"/>
      <c r="J1254" s="251"/>
      <c r="K1254" s="251"/>
      <c r="L1254" s="251"/>
      <c r="M1254" s="251"/>
      <c r="N1254" s="251"/>
      <c r="O1254" s="251"/>
      <c r="P1254" s="251"/>
      <c r="Q1254" s="251"/>
      <c r="R1254" s="251"/>
      <c r="S1254" s="251"/>
      <c r="T1254" s="251"/>
      <c r="U1254" s="251"/>
      <c r="V1254" s="251"/>
      <c r="W1254" s="251"/>
      <c r="X1254" s="251"/>
      <c r="Y1254" s="251"/>
      <c r="Z1254" s="251"/>
      <c r="AA1254" s="251"/>
      <c r="AB1254" s="251"/>
      <c r="AC1254" s="251"/>
      <c r="AD1254" s="251"/>
      <c r="AE1254" s="251"/>
    </row>
    <row r="1255">
      <c r="A1255" s="251"/>
      <c r="B1255" s="251"/>
      <c r="C1255" s="251"/>
      <c r="D1255" s="251"/>
      <c r="E1255" s="251"/>
      <c r="F1255" s="251"/>
      <c r="G1255" s="251"/>
      <c r="H1255" s="251"/>
      <c r="I1255" s="251"/>
      <c r="J1255" s="251"/>
      <c r="K1255" s="251"/>
      <c r="L1255" s="251"/>
      <c r="M1255" s="251"/>
      <c r="N1255" s="251"/>
      <c r="O1255" s="251"/>
      <c r="P1255" s="251"/>
      <c r="Q1255" s="251"/>
      <c r="R1255" s="251"/>
      <c r="S1255" s="251"/>
      <c r="T1255" s="251"/>
      <c r="U1255" s="251"/>
      <c r="V1255" s="251"/>
      <c r="W1255" s="251"/>
      <c r="X1255" s="251"/>
      <c r="Y1255" s="251"/>
      <c r="Z1255" s="251"/>
      <c r="AA1255" s="251"/>
      <c r="AB1255" s="251"/>
      <c r="AC1255" s="251"/>
      <c r="AD1255" s="251"/>
      <c r="AE1255" s="251"/>
    </row>
    <row r="1256">
      <c r="A1256" s="251"/>
      <c r="B1256" s="251"/>
      <c r="C1256" s="251"/>
      <c r="D1256" s="251"/>
      <c r="E1256" s="251"/>
      <c r="F1256" s="251"/>
      <c r="G1256" s="251"/>
      <c r="H1256" s="251"/>
      <c r="I1256" s="251"/>
      <c r="J1256" s="251"/>
      <c r="K1256" s="251"/>
      <c r="L1256" s="251"/>
      <c r="M1256" s="251"/>
      <c r="N1256" s="251"/>
      <c r="O1256" s="251"/>
      <c r="P1256" s="251"/>
      <c r="Q1256" s="251"/>
      <c r="R1256" s="251"/>
      <c r="S1256" s="251"/>
      <c r="T1256" s="251"/>
      <c r="U1256" s="251"/>
      <c r="V1256" s="251"/>
      <c r="W1256" s="251"/>
      <c r="X1256" s="251"/>
      <c r="Y1256" s="251"/>
      <c r="Z1256" s="251"/>
      <c r="AA1256" s="251"/>
      <c r="AB1256" s="251"/>
      <c r="AC1256" s="251"/>
      <c r="AD1256" s="251"/>
      <c r="AE1256" s="251"/>
    </row>
    <row r="1257">
      <c r="A1257" s="251"/>
      <c r="B1257" s="251"/>
      <c r="C1257" s="251"/>
      <c r="D1257" s="251"/>
      <c r="E1257" s="251"/>
      <c r="F1257" s="251"/>
      <c r="G1257" s="251"/>
      <c r="H1257" s="251"/>
      <c r="I1257" s="251"/>
      <c r="J1257" s="251"/>
      <c r="K1257" s="251"/>
      <c r="L1257" s="251"/>
      <c r="M1257" s="251"/>
      <c r="N1257" s="251"/>
      <c r="O1257" s="251"/>
      <c r="P1257" s="251"/>
      <c r="Q1257" s="251"/>
      <c r="R1257" s="251"/>
      <c r="S1257" s="251"/>
      <c r="T1257" s="251"/>
      <c r="U1257" s="251"/>
      <c r="V1257" s="251"/>
      <c r="W1257" s="251"/>
      <c r="X1257" s="251"/>
      <c r="Y1257" s="251"/>
      <c r="Z1257" s="251"/>
      <c r="AA1257" s="251"/>
      <c r="AB1257" s="251"/>
      <c r="AC1257" s="251"/>
      <c r="AD1257" s="251"/>
      <c r="AE1257" s="251"/>
    </row>
    <row r="1258">
      <c r="A1258" s="251"/>
      <c r="B1258" s="251"/>
      <c r="C1258" s="251"/>
      <c r="D1258" s="251"/>
      <c r="E1258" s="251"/>
      <c r="F1258" s="251"/>
      <c r="G1258" s="251"/>
      <c r="H1258" s="251"/>
      <c r="I1258" s="251"/>
      <c r="J1258" s="251"/>
      <c r="K1258" s="251"/>
      <c r="L1258" s="251"/>
      <c r="M1258" s="251"/>
      <c r="N1258" s="251"/>
      <c r="O1258" s="251"/>
      <c r="P1258" s="251"/>
      <c r="Q1258" s="251"/>
      <c r="R1258" s="251"/>
      <c r="S1258" s="251"/>
      <c r="T1258" s="251"/>
      <c r="U1258" s="251"/>
      <c r="V1258" s="251"/>
      <c r="W1258" s="251"/>
      <c r="X1258" s="251"/>
      <c r="Y1258" s="251"/>
      <c r="Z1258" s="251"/>
      <c r="AA1258" s="251"/>
      <c r="AB1258" s="251"/>
      <c r="AC1258" s="251"/>
      <c r="AD1258" s="251"/>
      <c r="AE1258" s="251"/>
    </row>
    <row r="1259">
      <c r="A1259" s="251"/>
      <c r="B1259" s="251"/>
      <c r="C1259" s="251"/>
      <c r="D1259" s="251"/>
      <c r="E1259" s="251"/>
      <c r="F1259" s="251"/>
      <c r="G1259" s="251"/>
      <c r="H1259" s="251"/>
      <c r="I1259" s="251"/>
      <c r="J1259" s="251"/>
      <c r="K1259" s="251"/>
      <c r="L1259" s="251"/>
      <c r="M1259" s="251"/>
      <c r="N1259" s="251"/>
      <c r="O1259" s="251"/>
      <c r="P1259" s="251"/>
      <c r="Q1259" s="251"/>
      <c r="R1259" s="251"/>
      <c r="S1259" s="251"/>
      <c r="T1259" s="251"/>
      <c r="U1259" s="251"/>
      <c r="V1259" s="251"/>
      <c r="W1259" s="251"/>
      <c r="X1259" s="251"/>
      <c r="Y1259" s="251"/>
      <c r="Z1259" s="251"/>
      <c r="AA1259" s="251"/>
      <c r="AB1259" s="251"/>
      <c r="AC1259" s="251"/>
      <c r="AD1259" s="251"/>
      <c r="AE1259" s="251"/>
    </row>
    <row r="1260">
      <c r="A1260" s="251"/>
      <c r="B1260" s="251"/>
      <c r="C1260" s="251"/>
      <c r="D1260" s="251"/>
      <c r="E1260" s="251"/>
      <c r="F1260" s="251"/>
      <c r="G1260" s="251"/>
      <c r="H1260" s="251"/>
      <c r="I1260" s="251"/>
      <c r="J1260" s="251"/>
      <c r="K1260" s="251"/>
      <c r="L1260" s="251"/>
      <c r="M1260" s="251"/>
      <c r="N1260" s="251"/>
      <c r="O1260" s="251"/>
      <c r="P1260" s="251"/>
      <c r="Q1260" s="251"/>
      <c r="R1260" s="251"/>
      <c r="S1260" s="251"/>
      <c r="T1260" s="251"/>
      <c r="U1260" s="251"/>
      <c r="V1260" s="251"/>
      <c r="W1260" s="251"/>
      <c r="X1260" s="251"/>
      <c r="Y1260" s="251"/>
      <c r="Z1260" s="251"/>
      <c r="AA1260" s="251"/>
      <c r="AB1260" s="251"/>
      <c r="AC1260" s="251"/>
      <c r="AD1260" s="251"/>
      <c r="AE1260" s="251"/>
    </row>
    <row r="1261">
      <c r="A1261" s="251"/>
      <c r="B1261" s="251"/>
      <c r="C1261" s="251"/>
      <c r="D1261" s="251"/>
      <c r="E1261" s="251"/>
      <c r="F1261" s="251"/>
      <c r="G1261" s="251"/>
      <c r="H1261" s="251"/>
      <c r="I1261" s="251"/>
      <c r="J1261" s="251"/>
      <c r="K1261" s="251"/>
      <c r="L1261" s="251"/>
      <c r="M1261" s="251"/>
      <c r="N1261" s="251"/>
      <c r="O1261" s="251"/>
      <c r="P1261" s="251"/>
      <c r="Q1261" s="251"/>
      <c r="R1261" s="251"/>
      <c r="S1261" s="251"/>
      <c r="T1261" s="251"/>
      <c r="U1261" s="251"/>
      <c r="V1261" s="251"/>
      <c r="W1261" s="251"/>
      <c r="X1261" s="251"/>
      <c r="Y1261" s="251"/>
      <c r="Z1261" s="251"/>
      <c r="AA1261" s="251"/>
      <c r="AB1261" s="251"/>
      <c r="AC1261" s="251"/>
      <c r="AD1261" s="251"/>
      <c r="AE1261" s="251"/>
    </row>
    <row r="1262">
      <c r="A1262" s="251"/>
      <c r="B1262" s="251"/>
      <c r="C1262" s="251"/>
      <c r="D1262" s="251"/>
      <c r="E1262" s="251"/>
      <c r="F1262" s="251"/>
      <c r="G1262" s="251"/>
      <c r="H1262" s="251"/>
      <c r="I1262" s="251"/>
      <c r="J1262" s="251"/>
      <c r="K1262" s="251"/>
      <c r="L1262" s="251"/>
      <c r="M1262" s="251"/>
      <c r="N1262" s="251"/>
      <c r="O1262" s="251"/>
      <c r="P1262" s="251"/>
      <c r="Q1262" s="251"/>
      <c r="R1262" s="251"/>
      <c r="S1262" s="251"/>
      <c r="T1262" s="251"/>
      <c r="U1262" s="251"/>
      <c r="V1262" s="251"/>
      <c r="W1262" s="251"/>
      <c r="X1262" s="251"/>
      <c r="Y1262" s="251"/>
      <c r="Z1262" s="251"/>
      <c r="AA1262" s="251"/>
      <c r="AB1262" s="251"/>
      <c r="AC1262" s="251"/>
      <c r="AD1262" s="251"/>
      <c r="AE1262" s="251"/>
    </row>
    <row r="1263">
      <c r="A1263" s="251"/>
      <c r="B1263" s="251"/>
      <c r="C1263" s="251"/>
      <c r="D1263" s="251"/>
      <c r="E1263" s="251"/>
      <c r="F1263" s="251"/>
      <c r="G1263" s="251"/>
      <c r="H1263" s="251"/>
      <c r="I1263" s="251"/>
      <c r="J1263" s="251"/>
      <c r="K1263" s="251"/>
      <c r="L1263" s="251"/>
      <c r="M1263" s="251"/>
      <c r="N1263" s="251"/>
      <c r="O1263" s="251"/>
      <c r="P1263" s="251"/>
      <c r="Q1263" s="251"/>
      <c r="R1263" s="251"/>
      <c r="S1263" s="251"/>
      <c r="T1263" s="251"/>
      <c r="U1263" s="251"/>
      <c r="V1263" s="251"/>
      <c r="W1263" s="251"/>
      <c r="X1263" s="251"/>
      <c r="Y1263" s="251"/>
      <c r="Z1263" s="251"/>
      <c r="AA1263" s="251"/>
      <c r="AB1263" s="251"/>
      <c r="AC1263" s="251"/>
      <c r="AD1263" s="251"/>
      <c r="AE1263" s="251"/>
    </row>
    <row r="1264">
      <c r="A1264" s="251"/>
      <c r="B1264" s="251"/>
      <c r="C1264" s="251"/>
      <c r="D1264" s="251"/>
      <c r="E1264" s="251"/>
      <c r="F1264" s="251"/>
      <c r="G1264" s="251"/>
      <c r="H1264" s="251"/>
      <c r="I1264" s="251"/>
      <c r="J1264" s="251"/>
      <c r="K1264" s="251"/>
      <c r="L1264" s="251"/>
      <c r="M1264" s="251"/>
      <c r="N1264" s="251"/>
      <c r="O1264" s="251"/>
      <c r="P1264" s="251"/>
      <c r="Q1264" s="251"/>
      <c r="R1264" s="251"/>
      <c r="S1264" s="251"/>
      <c r="T1264" s="251"/>
      <c r="U1264" s="251"/>
      <c r="V1264" s="251"/>
      <c r="W1264" s="251"/>
      <c r="X1264" s="251"/>
      <c r="Y1264" s="251"/>
      <c r="Z1264" s="251"/>
      <c r="AA1264" s="251"/>
      <c r="AB1264" s="251"/>
      <c r="AC1264" s="251"/>
      <c r="AD1264" s="251"/>
      <c r="AE1264" s="251"/>
    </row>
    <row r="1265">
      <c r="A1265" s="251"/>
      <c r="B1265" s="251"/>
      <c r="C1265" s="251"/>
      <c r="D1265" s="251"/>
      <c r="E1265" s="251"/>
      <c r="F1265" s="251"/>
      <c r="G1265" s="251"/>
      <c r="H1265" s="251"/>
      <c r="I1265" s="251"/>
      <c r="J1265" s="251"/>
      <c r="K1265" s="251"/>
      <c r="L1265" s="251"/>
      <c r="M1265" s="251"/>
      <c r="N1265" s="251"/>
      <c r="O1265" s="251"/>
      <c r="P1265" s="251"/>
      <c r="Q1265" s="251"/>
      <c r="R1265" s="251"/>
      <c r="S1265" s="251"/>
      <c r="T1265" s="251"/>
      <c r="U1265" s="251"/>
      <c r="V1265" s="251"/>
      <c r="W1265" s="251"/>
      <c r="X1265" s="251"/>
      <c r="Y1265" s="251"/>
      <c r="Z1265" s="251"/>
      <c r="AA1265" s="251"/>
      <c r="AB1265" s="251"/>
      <c r="AC1265" s="251"/>
      <c r="AD1265" s="251"/>
      <c r="AE1265" s="251"/>
    </row>
    <row r="1266">
      <c r="A1266" s="251"/>
      <c r="B1266" s="251"/>
      <c r="C1266" s="251"/>
      <c r="D1266" s="251"/>
      <c r="E1266" s="251"/>
      <c r="F1266" s="251"/>
      <c r="G1266" s="251"/>
      <c r="H1266" s="251"/>
      <c r="I1266" s="251"/>
      <c r="J1266" s="251"/>
      <c r="K1266" s="251"/>
      <c r="L1266" s="251"/>
      <c r="M1266" s="251"/>
      <c r="N1266" s="251"/>
      <c r="O1266" s="251"/>
      <c r="P1266" s="251"/>
      <c r="Q1266" s="251"/>
      <c r="R1266" s="251"/>
      <c r="S1266" s="251"/>
      <c r="T1266" s="251"/>
      <c r="U1266" s="251"/>
      <c r="V1266" s="251"/>
      <c r="W1266" s="251"/>
      <c r="X1266" s="251"/>
      <c r="Y1266" s="251"/>
      <c r="Z1266" s="251"/>
      <c r="AA1266" s="251"/>
      <c r="AB1266" s="251"/>
      <c r="AC1266" s="251"/>
      <c r="AD1266" s="251"/>
      <c r="AE1266" s="251"/>
    </row>
    <row r="1267">
      <c r="A1267" s="251"/>
      <c r="B1267" s="251"/>
      <c r="C1267" s="251"/>
      <c r="D1267" s="251"/>
      <c r="E1267" s="251"/>
      <c r="F1267" s="251"/>
      <c r="G1267" s="251"/>
      <c r="H1267" s="251"/>
      <c r="I1267" s="251"/>
      <c r="J1267" s="251"/>
      <c r="K1267" s="251"/>
      <c r="L1267" s="251"/>
      <c r="M1267" s="251"/>
      <c r="N1267" s="251"/>
      <c r="O1267" s="251"/>
      <c r="P1267" s="251"/>
      <c r="Q1267" s="251"/>
      <c r="R1267" s="251"/>
      <c r="S1267" s="251"/>
      <c r="T1267" s="251"/>
      <c r="U1267" s="251"/>
      <c r="V1267" s="251"/>
      <c r="W1267" s="251"/>
      <c r="X1267" s="251"/>
      <c r="Y1267" s="251"/>
      <c r="Z1267" s="251"/>
      <c r="AA1267" s="251"/>
      <c r="AB1267" s="251"/>
      <c r="AC1267" s="251"/>
      <c r="AD1267" s="251"/>
      <c r="AE1267" s="251"/>
    </row>
    <row r="1268">
      <c r="A1268" s="251"/>
      <c r="B1268" s="251"/>
      <c r="C1268" s="251"/>
      <c r="D1268" s="251"/>
      <c r="E1268" s="251"/>
      <c r="F1268" s="251"/>
      <c r="G1268" s="251"/>
      <c r="H1268" s="251"/>
      <c r="I1268" s="251"/>
      <c r="J1268" s="251"/>
      <c r="K1268" s="251"/>
      <c r="L1268" s="251"/>
      <c r="M1268" s="251"/>
      <c r="N1268" s="251"/>
      <c r="O1268" s="251"/>
      <c r="P1268" s="251"/>
      <c r="Q1268" s="251"/>
      <c r="R1268" s="251"/>
      <c r="S1268" s="251"/>
      <c r="T1268" s="251"/>
      <c r="U1268" s="251"/>
      <c r="V1268" s="251"/>
      <c r="W1268" s="251"/>
      <c r="X1268" s="251"/>
      <c r="Y1268" s="251"/>
      <c r="Z1268" s="251"/>
      <c r="AA1268" s="251"/>
      <c r="AB1268" s="251"/>
      <c r="AC1268" s="251"/>
      <c r="AD1268" s="251"/>
      <c r="AE1268" s="251"/>
    </row>
    <row r="1269">
      <c r="A1269" s="251"/>
      <c r="B1269" s="251"/>
      <c r="C1269" s="251"/>
      <c r="D1269" s="251"/>
      <c r="E1269" s="251"/>
      <c r="F1269" s="251"/>
      <c r="G1269" s="251"/>
      <c r="H1269" s="251"/>
      <c r="I1269" s="251"/>
      <c r="J1269" s="251"/>
      <c r="K1269" s="251"/>
      <c r="L1269" s="251"/>
      <c r="M1269" s="251"/>
      <c r="N1269" s="251"/>
      <c r="O1269" s="251"/>
      <c r="P1269" s="251"/>
      <c r="Q1269" s="251"/>
      <c r="R1269" s="251"/>
      <c r="S1269" s="251"/>
      <c r="T1269" s="251"/>
      <c r="U1269" s="251"/>
      <c r="V1269" s="251"/>
      <c r="W1269" s="251"/>
      <c r="X1269" s="251"/>
      <c r="Y1269" s="251"/>
      <c r="Z1269" s="251"/>
      <c r="AA1269" s="251"/>
      <c r="AB1269" s="251"/>
      <c r="AC1269" s="251"/>
      <c r="AD1269" s="251"/>
      <c r="AE1269" s="251"/>
    </row>
    <row r="1270">
      <c r="A1270" s="251"/>
      <c r="B1270" s="251"/>
      <c r="C1270" s="251"/>
      <c r="D1270" s="251"/>
      <c r="E1270" s="251"/>
      <c r="F1270" s="251"/>
      <c r="G1270" s="251"/>
      <c r="H1270" s="251"/>
      <c r="I1270" s="251"/>
      <c r="J1270" s="251"/>
      <c r="K1270" s="251"/>
      <c r="L1270" s="251"/>
      <c r="M1270" s="251"/>
      <c r="N1270" s="251"/>
      <c r="O1270" s="251"/>
      <c r="P1270" s="251"/>
      <c r="Q1270" s="251"/>
      <c r="R1270" s="251"/>
      <c r="S1270" s="251"/>
      <c r="T1270" s="251"/>
      <c r="U1270" s="251"/>
      <c r="V1270" s="251"/>
      <c r="W1270" s="251"/>
      <c r="X1270" s="251"/>
      <c r="Y1270" s="251"/>
      <c r="Z1270" s="251"/>
      <c r="AA1270" s="251"/>
      <c r="AB1270" s="251"/>
      <c r="AC1270" s="251"/>
      <c r="AD1270" s="251"/>
      <c r="AE1270" s="251"/>
    </row>
    <row r="1271">
      <c r="A1271" s="251"/>
      <c r="B1271" s="251"/>
      <c r="C1271" s="251"/>
      <c r="D1271" s="251"/>
      <c r="E1271" s="251"/>
      <c r="F1271" s="251"/>
      <c r="G1271" s="251"/>
      <c r="H1271" s="251"/>
      <c r="I1271" s="251"/>
      <c r="J1271" s="251"/>
      <c r="K1271" s="251"/>
      <c r="L1271" s="251"/>
      <c r="M1271" s="251"/>
      <c r="N1271" s="251"/>
      <c r="O1271" s="251"/>
      <c r="P1271" s="251"/>
      <c r="Q1271" s="251"/>
      <c r="R1271" s="251"/>
      <c r="S1271" s="251"/>
      <c r="T1271" s="251"/>
      <c r="U1271" s="251"/>
      <c r="V1271" s="251"/>
      <c r="W1271" s="251"/>
      <c r="X1271" s="251"/>
      <c r="Y1271" s="251"/>
      <c r="Z1271" s="251"/>
      <c r="AA1271" s="251"/>
      <c r="AB1271" s="251"/>
      <c r="AC1271" s="251"/>
      <c r="AD1271" s="251"/>
      <c r="AE1271" s="251"/>
    </row>
    <row r="1272">
      <c r="A1272" s="251"/>
      <c r="B1272" s="251"/>
      <c r="C1272" s="251"/>
      <c r="D1272" s="251"/>
      <c r="E1272" s="251"/>
      <c r="F1272" s="251"/>
      <c r="G1272" s="251"/>
      <c r="H1272" s="251"/>
      <c r="I1272" s="251"/>
      <c r="J1272" s="251"/>
      <c r="K1272" s="251"/>
      <c r="L1272" s="251"/>
      <c r="M1272" s="251"/>
      <c r="N1272" s="251"/>
      <c r="O1272" s="251"/>
      <c r="P1272" s="251"/>
      <c r="Q1272" s="251"/>
      <c r="R1272" s="251"/>
      <c r="S1272" s="251"/>
      <c r="T1272" s="251"/>
      <c r="U1272" s="251"/>
      <c r="V1272" s="251"/>
      <c r="W1272" s="251"/>
      <c r="X1272" s="251"/>
      <c r="Y1272" s="251"/>
      <c r="Z1272" s="251"/>
      <c r="AA1272" s="251"/>
      <c r="AB1272" s="251"/>
      <c r="AC1272" s="251"/>
      <c r="AD1272" s="251"/>
      <c r="AE1272" s="251"/>
    </row>
    <row r="1273">
      <c r="A1273" s="251"/>
      <c r="B1273" s="251"/>
      <c r="C1273" s="251"/>
      <c r="D1273" s="251"/>
      <c r="E1273" s="251"/>
      <c r="F1273" s="251"/>
      <c r="G1273" s="251"/>
      <c r="H1273" s="251"/>
      <c r="I1273" s="251"/>
      <c r="J1273" s="251"/>
      <c r="K1273" s="251"/>
      <c r="L1273" s="251"/>
      <c r="M1273" s="251"/>
      <c r="N1273" s="251"/>
      <c r="O1273" s="251"/>
      <c r="P1273" s="251"/>
      <c r="Q1273" s="251"/>
      <c r="R1273" s="251"/>
      <c r="S1273" s="251"/>
      <c r="T1273" s="251"/>
      <c r="U1273" s="251"/>
      <c r="V1273" s="251"/>
      <c r="W1273" s="251"/>
      <c r="X1273" s="251"/>
      <c r="Y1273" s="251"/>
      <c r="Z1273" s="251"/>
      <c r="AA1273" s="251"/>
      <c r="AB1273" s="251"/>
      <c r="AC1273" s="251"/>
      <c r="AD1273" s="251"/>
      <c r="AE1273" s="251"/>
    </row>
    <row r="1274">
      <c r="A1274" s="251"/>
      <c r="B1274" s="251"/>
      <c r="C1274" s="251"/>
      <c r="D1274" s="251"/>
      <c r="E1274" s="251"/>
      <c r="F1274" s="251"/>
      <c r="G1274" s="251"/>
      <c r="H1274" s="251"/>
      <c r="I1274" s="251"/>
      <c r="J1274" s="251"/>
      <c r="K1274" s="251"/>
      <c r="L1274" s="251"/>
      <c r="M1274" s="251"/>
      <c r="N1274" s="251"/>
      <c r="O1274" s="251"/>
      <c r="P1274" s="251"/>
      <c r="Q1274" s="251"/>
      <c r="R1274" s="251"/>
      <c r="S1274" s="251"/>
      <c r="T1274" s="251"/>
      <c r="U1274" s="251"/>
      <c r="V1274" s="251"/>
      <c r="W1274" s="251"/>
      <c r="X1274" s="251"/>
      <c r="Y1274" s="251"/>
      <c r="Z1274" s="251"/>
      <c r="AA1274" s="251"/>
      <c r="AB1274" s="251"/>
      <c r="AC1274" s="251"/>
      <c r="AD1274" s="251"/>
      <c r="AE1274" s="251"/>
    </row>
    <row r="1275">
      <c r="A1275" s="251"/>
      <c r="B1275" s="251"/>
      <c r="C1275" s="251"/>
      <c r="D1275" s="251"/>
      <c r="E1275" s="251"/>
      <c r="F1275" s="251"/>
      <c r="G1275" s="251"/>
      <c r="H1275" s="251"/>
      <c r="I1275" s="251"/>
      <c r="J1275" s="251"/>
      <c r="K1275" s="251"/>
      <c r="L1275" s="251"/>
      <c r="M1275" s="251"/>
      <c r="N1275" s="251"/>
      <c r="O1275" s="251"/>
      <c r="P1275" s="251"/>
      <c r="Q1275" s="251"/>
      <c r="R1275" s="251"/>
      <c r="S1275" s="251"/>
      <c r="T1275" s="251"/>
      <c r="U1275" s="251"/>
      <c r="V1275" s="251"/>
      <c r="W1275" s="251"/>
      <c r="X1275" s="251"/>
      <c r="Y1275" s="251"/>
      <c r="Z1275" s="251"/>
      <c r="AA1275" s="251"/>
      <c r="AB1275" s="251"/>
      <c r="AC1275" s="251"/>
      <c r="AD1275" s="251"/>
      <c r="AE1275" s="251"/>
    </row>
    <row r="1276">
      <c r="A1276" s="251"/>
      <c r="B1276" s="251"/>
      <c r="C1276" s="251"/>
      <c r="D1276" s="251"/>
      <c r="E1276" s="251"/>
      <c r="F1276" s="251"/>
      <c r="G1276" s="251"/>
      <c r="H1276" s="251"/>
      <c r="I1276" s="251"/>
      <c r="J1276" s="251"/>
      <c r="K1276" s="251"/>
      <c r="L1276" s="251"/>
      <c r="M1276" s="251"/>
      <c r="N1276" s="251"/>
      <c r="O1276" s="251"/>
      <c r="P1276" s="251"/>
      <c r="Q1276" s="251"/>
      <c r="R1276" s="251"/>
      <c r="S1276" s="251"/>
      <c r="T1276" s="251"/>
      <c r="U1276" s="251"/>
      <c r="V1276" s="251"/>
      <c r="W1276" s="251"/>
      <c r="X1276" s="251"/>
      <c r="Y1276" s="251"/>
      <c r="Z1276" s="251"/>
      <c r="AA1276" s="251"/>
      <c r="AB1276" s="251"/>
      <c r="AC1276" s="251"/>
      <c r="AD1276" s="251"/>
      <c r="AE1276" s="251"/>
    </row>
    <row r="1277">
      <c r="A1277" s="251"/>
      <c r="B1277" s="251"/>
      <c r="C1277" s="251"/>
      <c r="D1277" s="251"/>
      <c r="E1277" s="251"/>
      <c r="F1277" s="251"/>
      <c r="G1277" s="251"/>
      <c r="H1277" s="251"/>
      <c r="I1277" s="251"/>
      <c r="J1277" s="251"/>
      <c r="K1277" s="251"/>
      <c r="L1277" s="251"/>
      <c r="M1277" s="251"/>
      <c r="N1277" s="251"/>
      <c r="O1277" s="251"/>
      <c r="P1277" s="251"/>
      <c r="Q1277" s="251"/>
      <c r="R1277" s="251"/>
      <c r="S1277" s="251"/>
      <c r="T1277" s="251"/>
      <c r="U1277" s="251"/>
      <c r="V1277" s="251"/>
      <c r="W1277" s="251"/>
      <c r="X1277" s="251"/>
      <c r="Y1277" s="251"/>
      <c r="Z1277" s="251"/>
      <c r="AA1277" s="251"/>
      <c r="AB1277" s="251"/>
      <c r="AC1277" s="251"/>
      <c r="AD1277" s="251"/>
      <c r="AE1277" s="251"/>
    </row>
    <row r="1278">
      <c r="A1278" s="251"/>
      <c r="B1278" s="251"/>
      <c r="C1278" s="251"/>
      <c r="D1278" s="251"/>
      <c r="E1278" s="251"/>
      <c r="F1278" s="251"/>
      <c r="G1278" s="251"/>
      <c r="H1278" s="251"/>
      <c r="I1278" s="251"/>
      <c r="J1278" s="251"/>
      <c r="K1278" s="251"/>
      <c r="L1278" s="251"/>
      <c r="M1278" s="251"/>
      <c r="N1278" s="251"/>
      <c r="O1278" s="251"/>
      <c r="P1278" s="251"/>
      <c r="Q1278" s="251"/>
      <c r="R1278" s="251"/>
      <c r="S1278" s="251"/>
      <c r="T1278" s="251"/>
      <c r="U1278" s="251"/>
      <c r="V1278" s="251"/>
      <c r="W1278" s="251"/>
      <c r="X1278" s="251"/>
      <c r="Y1278" s="251"/>
      <c r="Z1278" s="251"/>
      <c r="AA1278" s="251"/>
      <c r="AB1278" s="251"/>
      <c r="AC1278" s="251"/>
      <c r="AD1278" s="251"/>
      <c r="AE1278" s="251"/>
    </row>
    <row r="1279">
      <c r="A1279" s="251"/>
      <c r="B1279" s="251"/>
      <c r="C1279" s="251"/>
      <c r="D1279" s="251"/>
      <c r="E1279" s="251"/>
      <c r="F1279" s="251"/>
      <c r="G1279" s="251"/>
      <c r="H1279" s="251"/>
      <c r="I1279" s="251"/>
      <c r="J1279" s="251"/>
      <c r="K1279" s="251"/>
      <c r="L1279" s="251"/>
      <c r="M1279" s="251"/>
      <c r="N1279" s="251"/>
      <c r="O1279" s="251"/>
      <c r="P1279" s="251"/>
      <c r="Q1279" s="251"/>
      <c r="R1279" s="251"/>
      <c r="S1279" s="251"/>
      <c r="T1279" s="251"/>
      <c r="U1279" s="251"/>
      <c r="V1279" s="251"/>
      <c r="W1279" s="251"/>
      <c r="X1279" s="251"/>
      <c r="Y1279" s="251"/>
      <c r="Z1279" s="251"/>
      <c r="AA1279" s="251"/>
      <c r="AB1279" s="251"/>
      <c r="AC1279" s="251"/>
      <c r="AD1279" s="251"/>
      <c r="AE1279" s="251"/>
    </row>
    <row r="1280">
      <c r="A1280" s="251"/>
      <c r="B1280" s="251"/>
      <c r="C1280" s="251"/>
      <c r="D1280" s="251"/>
      <c r="E1280" s="251"/>
      <c r="F1280" s="251"/>
      <c r="G1280" s="251"/>
      <c r="H1280" s="251"/>
      <c r="I1280" s="251"/>
      <c r="J1280" s="251"/>
      <c r="K1280" s="251"/>
      <c r="L1280" s="251"/>
      <c r="M1280" s="251"/>
      <c r="N1280" s="251"/>
      <c r="O1280" s="251"/>
      <c r="P1280" s="251"/>
      <c r="Q1280" s="251"/>
      <c r="R1280" s="251"/>
      <c r="S1280" s="251"/>
      <c r="T1280" s="251"/>
      <c r="U1280" s="251"/>
      <c r="V1280" s="251"/>
      <c r="W1280" s="251"/>
      <c r="X1280" s="251"/>
      <c r="Y1280" s="251"/>
      <c r="Z1280" s="251"/>
      <c r="AA1280" s="251"/>
      <c r="AB1280" s="251"/>
      <c r="AC1280" s="251"/>
      <c r="AD1280" s="251"/>
      <c r="AE1280" s="251"/>
    </row>
    <row r="1281">
      <c r="A1281" s="251"/>
      <c r="B1281" s="251"/>
      <c r="C1281" s="251"/>
      <c r="D1281" s="251"/>
      <c r="E1281" s="251"/>
      <c r="F1281" s="251"/>
      <c r="G1281" s="251"/>
      <c r="H1281" s="251"/>
      <c r="I1281" s="251"/>
      <c r="J1281" s="251"/>
      <c r="K1281" s="251"/>
      <c r="L1281" s="251"/>
      <c r="M1281" s="251"/>
      <c r="N1281" s="251"/>
      <c r="O1281" s="251"/>
      <c r="P1281" s="251"/>
      <c r="Q1281" s="251"/>
      <c r="R1281" s="251"/>
      <c r="S1281" s="251"/>
      <c r="T1281" s="251"/>
      <c r="U1281" s="251"/>
      <c r="V1281" s="251"/>
      <c r="W1281" s="251"/>
      <c r="X1281" s="251"/>
      <c r="Y1281" s="251"/>
      <c r="Z1281" s="251"/>
      <c r="AA1281" s="251"/>
      <c r="AB1281" s="251"/>
      <c r="AC1281" s="251"/>
      <c r="AD1281" s="251"/>
      <c r="AE1281" s="251"/>
    </row>
    <row r="1282">
      <c r="A1282" s="251"/>
      <c r="B1282" s="251"/>
      <c r="C1282" s="251"/>
      <c r="D1282" s="251"/>
      <c r="E1282" s="251"/>
      <c r="F1282" s="251"/>
      <c r="G1282" s="251"/>
      <c r="H1282" s="251"/>
      <c r="I1282" s="251"/>
      <c r="J1282" s="251"/>
      <c r="K1282" s="251"/>
      <c r="L1282" s="251"/>
      <c r="M1282" s="251"/>
      <c r="N1282" s="251"/>
      <c r="O1282" s="251"/>
      <c r="P1282" s="251"/>
      <c r="Q1282" s="251"/>
      <c r="R1282" s="251"/>
      <c r="S1282" s="251"/>
      <c r="T1282" s="251"/>
      <c r="U1282" s="251"/>
      <c r="V1282" s="251"/>
      <c r="W1282" s="251"/>
      <c r="X1282" s="251"/>
      <c r="Y1282" s="251"/>
      <c r="Z1282" s="251"/>
      <c r="AA1282" s="251"/>
      <c r="AB1282" s="251"/>
      <c r="AC1282" s="251"/>
      <c r="AD1282" s="251"/>
      <c r="AE1282" s="251"/>
    </row>
    <row r="1283">
      <c r="A1283" s="251"/>
      <c r="B1283" s="251"/>
      <c r="C1283" s="251"/>
      <c r="D1283" s="251"/>
      <c r="E1283" s="251"/>
      <c r="F1283" s="251"/>
      <c r="G1283" s="251"/>
      <c r="H1283" s="251"/>
      <c r="I1283" s="251"/>
      <c r="J1283" s="251"/>
      <c r="K1283" s="251"/>
      <c r="L1283" s="251"/>
      <c r="M1283" s="251"/>
      <c r="N1283" s="251"/>
      <c r="O1283" s="251"/>
      <c r="P1283" s="251"/>
      <c r="Q1283" s="251"/>
      <c r="R1283" s="251"/>
      <c r="S1283" s="251"/>
      <c r="T1283" s="251"/>
      <c r="U1283" s="251"/>
      <c r="V1283" s="251"/>
      <c r="W1283" s="251"/>
      <c r="X1283" s="251"/>
      <c r="Y1283" s="251"/>
      <c r="Z1283" s="251"/>
      <c r="AA1283" s="251"/>
      <c r="AB1283" s="251"/>
      <c r="AC1283" s="251"/>
      <c r="AD1283" s="251"/>
      <c r="AE1283" s="251"/>
    </row>
    <row r="1284">
      <c r="A1284" s="251"/>
      <c r="B1284" s="251"/>
      <c r="C1284" s="251"/>
      <c r="D1284" s="251"/>
      <c r="E1284" s="251"/>
      <c r="F1284" s="251"/>
      <c r="G1284" s="251"/>
      <c r="H1284" s="251"/>
      <c r="I1284" s="251"/>
      <c r="J1284" s="251"/>
      <c r="K1284" s="251"/>
      <c r="L1284" s="251"/>
      <c r="M1284" s="251"/>
      <c r="N1284" s="251"/>
      <c r="O1284" s="251"/>
      <c r="P1284" s="251"/>
      <c r="Q1284" s="251"/>
      <c r="R1284" s="251"/>
      <c r="S1284" s="251"/>
      <c r="T1284" s="251"/>
      <c r="U1284" s="251"/>
      <c r="V1284" s="251"/>
      <c r="W1284" s="251"/>
      <c r="X1284" s="251"/>
      <c r="Y1284" s="251"/>
      <c r="Z1284" s="251"/>
      <c r="AA1284" s="251"/>
      <c r="AB1284" s="251"/>
      <c r="AC1284" s="251"/>
      <c r="AD1284" s="251"/>
      <c r="AE1284" s="251"/>
    </row>
    <row r="1285">
      <c r="A1285" s="251"/>
      <c r="B1285" s="251"/>
      <c r="C1285" s="251"/>
      <c r="D1285" s="251"/>
      <c r="E1285" s="251"/>
      <c r="F1285" s="251"/>
      <c r="G1285" s="251"/>
      <c r="H1285" s="251"/>
      <c r="I1285" s="251"/>
      <c r="J1285" s="251"/>
      <c r="K1285" s="251"/>
      <c r="L1285" s="251"/>
      <c r="M1285" s="251"/>
      <c r="N1285" s="251"/>
      <c r="O1285" s="251"/>
      <c r="P1285" s="251"/>
      <c r="Q1285" s="251"/>
      <c r="R1285" s="251"/>
      <c r="S1285" s="251"/>
      <c r="T1285" s="251"/>
      <c r="U1285" s="251"/>
      <c r="V1285" s="251"/>
      <c r="W1285" s="251"/>
      <c r="X1285" s="251"/>
      <c r="Y1285" s="251"/>
      <c r="Z1285" s="251"/>
      <c r="AA1285" s="251"/>
      <c r="AB1285" s="251"/>
      <c r="AC1285" s="251"/>
      <c r="AD1285" s="251"/>
      <c r="AE1285" s="251"/>
    </row>
    <row r="1286">
      <c r="A1286" s="251"/>
      <c r="B1286" s="251"/>
      <c r="C1286" s="251"/>
      <c r="D1286" s="251"/>
      <c r="E1286" s="251"/>
      <c r="F1286" s="251"/>
      <c r="G1286" s="251"/>
      <c r="H1286" s="251"/>
      <c r="I1286" s="251"/>
      <c r="J1286" s="251"/>
      <c r="K1286" s="251"/>
      <c r="L1286" s="251"/>
      <c r="M1286" s="251"/>
      <c r="N1286" s="251"/>
      <c r="O1286" s="251"/>
      <c r="P1286" s="251"/>
      <c r="Q1286" s="251"/>
      <c r="R1286" s="251"/>
      <c r="S1286" s="251"/>
      <c r="T1286" s="251"/>
      <c r="U1286" s="251"/>
      <c r="V1286" s="251"/>
      <c r="W1286" s="251"/>
      <c r="X1286" s="251"/>
      <c r="Y1286" s="251"/>
      <c r="Z1286" s="251"/>
      <c r="AA1286" s="251"/>
      <c r="AB1286" s="251"/>
      <c r="AC1286" s="251"/>
      <c r="AD1286" s="251"/>
      <c r="AE1286" s="251"/>
    </row>
    <row r="1287">
      <c r="A1287" s="251"/>
      <c r="B1287" s="251"/>
      <c r="C1287" s="251"/>
      <c r="D1287" s="251"/>
      <c r="E1287" s="251"/>
      <c r="F1287" s="251"/>
      <c r="G1287" s="251"/>
      <c r="H1287" s="251"/>
      <c r="I1287" s="251"/>
      <c r="J1287" s="251"/>
      <c r="K1287" s="251"/>
      <c r="L1287" s="251"/>
      <c r="M1287" s="251"/>
      <c r="N1287" s="251"/>
      <c r="O1287" s="251"/>
      <c r="P1287" s="251"/>
      <c r="Q1287" s="251"/>
      <c r="R1287" s="251"/>
      <c r="S1287" s="251"/>
      <c r="T1287" s="251"/>
      <c r="U1287" s="251"/>
      <c r="V1287" s="251"/>
      <c r="W1287" s="251"/>
      <c r="X1287" s="251"/>
      <c r="Y1287" s="251"/>
      <c r="Z1287" s="251"/>
      <c r="AA1287" s="251"/>
      <c r="AB1287" s="251"/>
      <c r="AC1287" s="251"/>
      <c r="AD1287" s="251"/>
      <c r="AE1287" s="251"/>
    </row>
    <row r="1288">
      <c r="A1288" s="251"/>
      <c r="B1288" s="251"/>
      <c r="C1288" s="251"/>
      <c r="D1288" s="251"/>
      <c r="E1288" s="251"/>
      <c r="F1288" s="251"/>
      <c r="G1288" s="251"/>
      <c r="H1288" s="251"/>
      <c r="I1288" s="251"/>
      <c r="J1288" s="251"/>
      <c r="K1288" s="251"/>
      <c r="L1288" s="251"/>
      <c r="M1288" s="251"/>
      <c r="N1288" s="251"/>
      <c r="O1288" s="251"/>
      <c r="P1288" s="251"/>
      <c r="Q1288" s="251"/>
      <c r="R1288" s="251"/>
      <c r="S1288" s="251"/>
      <c r="T1288" s="251"/>
      <c r="U1288" s="251"/>
      <c r="V1288" s="251"/>
      <c r="W1288" s="251"/>
      <c r="X1288" s="251"/>
      <c r="Y1288" s="251"/>
      <c r="Z1288" s="251"/>
      <c r="AA1288" s="251"/>
      <c r="AB1288" s="251"/>
      <c r="AC1288" s="251"/>
      <c r="AD1288" s="251"/>
      <c r="AE1288" s="251"/>
    </row>
    <row r="1289">
      <c r="A1289" s="251"/>
      <c r="B1289" s="251"/>
      <c r="C1289" s="251"/>
      <c r="D1289" s="251"/>
      <c r="E1289" s="251"/>
      <c r="F1289" s="251"/>
      <c r="G1289" s="251"/>
      <c r="H1289" s="251"/>
      <c r="I1289" s="251"/>
      <c r="J1289" s="251"/>
      <c r="K1289" s="251"/>
      <c r="L1289" s="251"/>
      <c r="M1289" s="251"/>
      <c r="N1289" s="251"/>
      <c r="O1289" s="251"/>
      <c r="P1289" s="251"/>
      <c r="Q1289" s="251"/>
      <c r="R1289" s="251"/>
      <c r="S1289" s="251"/>
      <c r="T1289" s="251"/>
      <c r="U1289" s="251"/>
      <c r="V1289" s="251"/>
      <c r="W1289" s="251"/>
      <c r="X1289" s="251"/>
      <c r="Y1289" s="251"/>
      <c r="Z1289" s="251"/>
      <c r="AA1289" s="251"/>
      <c r="AB1289" s="251"/>
      <c r="AC1289" s="251"/>
      <c r="AD1289" s="251"/>
      <c r="AE1289" s="251"/>
    </row>
    <row r="1290">
      <c r="A1290" s="251"/>
      <c r="B1290" s="251"/>
      <c r="C1290" s="251"/>
      <c r="D1290" s="251"/>
      <c r="E1290" s="251"/>
      <c r="F1290" s="251"/>
      <c r="G1290" s="251"/>
      <c r="H1290" s="251"/>
      <c r="I1290" s="251"/>
      <c r="J1290" s="251"/>
      <c r="K1290" s="251"/>
      <c r="L1290" s="251"/>
      <c r="M1290" s="251"/>
      <c r="N1290" s="251"/>
      <c r="O1290" s="251"/>
      <c r="P1290" s="251"/>
      <c r="Q1290" s="251"/>
      <c r="R1290" s="251"/>
      <c r="S1290" s="251"/>
      <c r="T1290" s="251"/>
      <c r="U1290" s="251"/>
      <c r="V1290" s="251"/>
      <c r="W1290" s="251"/>
      <c r="X1290" s="251"/>
      <c r="Y1290" s="251"/>
      <c r="Z1290" s="251"/>
      <c r="AA1290" s="251"/>
      <c r="AB1290" s="251"/>
      <c r="AC1290" s="251"/>
      <c r="AD1290" s="251"/>
      <c r="AE1290" s="251"/>
    </row>
    <row r="1291">
      <c r="A1291" s="251"/>
      <c r="B1291" s="251"/>
      <c r="C1291" s="251"/>
      <c r="D1291" s="251"/>
      <c r="E1291" s="251"/>
      <c r="F1291" s="251"/>
      <c r="G1291" s="251"/>
      <c r="H1291" s="251"/>
      <c r="I1291" s="251"/>
      <c r="J1291" s="251"/>
      <c r="K1291" s="251"/>
      <c r="L1291" s="251"/>
      <c r="M1291" s="251"/>
      <c r="N1291" s="251"/>
      <c r="O1291" s="251"/>
      <c r="P1291" s="251"/>
      <c r="Q1291" s="251"/>
      <c r="R1291" s="251"/>
      <c r="S1291" s="251"/>
      <c r="T1291" s="251"/>
      <c r="U1291" s="251"/>
      <c r="V1291" s="251"/>
      <c r="W1291" s="251"/>
      <c r="X1291" s="251"/>
      <c r="Y1291" s="251"/>
      <c r="Z1291" s="251"/>
      <c r="AA1291" s="251"/>
      <c r="AB1291" s="251"/>
      <c r="AC1291" s="251"/>
      <c r="AD1291" s="251"/>
      <c r="AE1291" s="251"/>
    </row>
    <row r="1292">
      <c r="A1292" s="251"/>
      <c r="B1292" s="251"/>
      <c r="C1292" s="251"/>
      <c r="D1292" s="251"/>
      <c r="E1292" s="251"/>
      <c r="F1292" s="251"/>
      <c r="G1292" s="251"/>
      <c r="H1292" s="251"/>
      <c r="I1292" s="251"/>
      <c r="J1292" s="251"/>
      <c r="K1292" s="251"/>
      <c r="L1292" s="251"/>
      <c r="M1292" s="251"/>
      <c r="N1292" s="251"/>
      <c r="O1292" s="251"/>
      <c r="P1292" s="251"/>
      <c r="Q1292" s="251"/>
      <c r="R1292" s="251"/>
      <c r="S1292" s="251"/>
      <c r="T1292" s="251"/>
      <c r="U1292" s="251"/>
      <c r="V1292" s="251"/>
      <c r="W1292" s="251"/>
      <c r="X1292" s="251"/>
      <c r="Y1292" s="251"/>
      <c r="Z1292" s="251"/>
      <c r="AA1292" s="251"/>
      <c r="AB1292" s="251"/>
      <c r="AC1292" s="251"/>
      <c r="AD1292" s="251"/>
      <c r="AE1292" s="251"/>
    </row>
    <row r="1293">
      <c r="A1293" s="251"/>
      <c r="B1293" s="251"/>
      <c r="C1293" s="251"/>
      <c r="D1293" s="251"/>
      <c r="E1293" s="251"/>
      <c r="F1293" s="251"/>
      <c r="G1293" s="251"/>
      <c r="H1293" s="251"/>
      <c r="I1293" s="251"/>
      <c r="J1293" s="251"/>
      <c r="K1293" s="251"/>
      <c r="L1293" s="251"/>
      <c r="M1293" s="251"/>
      <c r="N1293" s="251"/>
      <c r="O1293" s="251"/>
      <c r="P1293" s="251"/>
      <c r="Q1293" s="251"/>
      <c r="R1293" s="251"/>
      <c r="S1293" s="251"/>
      <c r="T1293" s="251"/>
      <c r="U1293" s="251"/>
      <c r="V1293" s="251"/>
      <c r="W1293" s="251"/>
      <c r="X1293" s="251"/>
      <c r="Y1293" s="251"/>
      <c r="Z1293" s="251"/>
      <c r="AA1293" s="251"/>
      <c r="AB1293" s="251"/>
      <c r="AC1293" s="251"/>
      <c r="AD1293" s="251"/>
      <c r="AE1293" s="251"/>
    </row>
    <row r="1294">
      <c r="A1294" s="251"/>
      <c r="B1294" s="251"/>
      <c r="C1294" s="251"/>
      <c r="D1294" s="251"/>
      <c r="E1294" s="251"/>
      <c r="F1294" s="251"/>
      <c r="G1294" s="251"/>
      <c r="H1294" s="251"/>
      <c r="I1294" s="251"/>
      <c r="J1294" s="251"/>
      <c r="K1294" s="251"/>
      <c r="L1294" s="251"/>
      <c r="M1294" s="251"/>
      <c r="N1294" s="251"/>
      <c r="O1294" s="251"/>
      <c r="P1294" s="251"/>
      <c r="Q1294" s="251"/>
      <c r="R1294" s="251"/>
      <c r="S1294" s="251"/>
      <c r="T1294" s="251"/>
      <c r="U1294" s="251"/>
      <c r="V1294" s="251"/>
      <c r="W1294" s="251"/>
      <c r="X1294" s="251"/>
      <c r="Y1294" s="251"/>
      <c r="Z1294" s="251"/>
      <c r="AA1294" s="251"/>
      <c r="AB1294" s="251"/>
      <c r="AC1294" s="251"/>
      <c r="AD1294" s="251"/>
      <c r="AE1294" s="251"/>
    </row>
    <row r="1295">
      <c r="A1295" s="251"/>
      <c r="B1295" s="251"/>
      <c r="C1295" s="251"/>
      <c r="D1295" s="251"/>
      <c r="E1295" s="251"/>
      <c r="F1295" s="251"/>
      <c r="G1295" s="251"/>
      <c r="H1295" s="251"/>
      <c r="I1295" s="251"/>
      <c r="J1295" s="251"/>
      <c r="K1295" s="251"/>
      <c r="L1295" s="251"/>
      <c r="M1295" s="251"/>
      <c r="N1295" s="251"/>
      <c r="O1295" s="251"/>
      <c r="P1295" s="251"/>
      <c r="Q1295" s="251"/>
      <c r="R1295" s="251"/>
      <c r="S1295" s="251"/>
      <c r="T1295" s="251"/>
      <c r="U1295" s="251"/>
      <c r="V1295" s="251"/>
      <c r="W1295" s="251"/>
      <c r="X1295" s="251"/>
      <c r="Y1295" s="251"/>
      <c r="Z1295" s="251"/>
      <c r="AA1295" s="251"/>
      <c r="AB1295" s="251"/>
      <c r="AC1295" s="251"/>
      <c r="AD1295" s="251"/>
      <c r="AE1295" s="251"/>
    </row>
    <row r="1296">
      <c r="A1296" s="251"/>
      <c r="B1296" s="251"/>
      <c r="C1296" s="251"/>
      <c r="D1296" s="251"/>
      <c r="E1296" s="251"/>
      <c r="F1296" s="251"/>
      <c r="G1296" s="251"/>
      <c r="H1296" s="251"/>
      <c r="I1296" s="251"/>
      <c r="J1296" s="251"/>
      <c r="K1296" s="251"/>
      <c r="L1296" s="251"/>
      <c r="M1296" s="251"/>
      <c r="N1296" s="251"/>
      <c r="O1296" s="251"/>
      <c r="P1296" s="251"/>
      <c r="Q1296" s="251"/>
      <c r="R1296" s="251"/>
      <c r="S1296" s="251"/>
      <c r="T1296" s="251"/>
      <c r="U1296" s="251"/>
      <c r="V1296" s="251"/>
      <c r="W1296" s="251"/>
      <c r="X1296" s="251"/>
      <c r="Y1296" s="251"/>
      <c r="Z1296" s="251"/>
      <c r="AA1296" s="251"/>
      <c r="AB1296" s="251"/>
      <c r="AC1296" s="251"/>
      <c r="AD1296" s="251"/>
      <c r="AE1296" s="251"/>
    </row>
    <row r="1297">
      <c r="A1297" s="251"/>
      <c r="B1297" s="251"/>
      <c r="C1297" s="251"/>
      <c r="D1297" s="251"/>
      <c r="E1297" s="251"/>
      <c r="F1297" s="251"/>
      <c r="G1297" s="251"/>
      <c r="H1297" s="251"/>
      <c r="I1297" s="251"/>
      <c r="J1297" s="251"/>
      <c r="K1297" s="251"/>
      <c r="L1297" s="251"/>
      <c r="M1297" s="251"/>
      <c r="N1297" s="251"/>
      <c r="O1297" s="251"/>
      <c r="P1297" s="251"/>
      <c r="Q1297" s="251"/>
      <c r="R1297" s="251"/>
      <c r="S1297" s="251"/>
      <c r="T1297" s="251"/>
      <c r="U1297" s="251"/>
      <c r="V1297" s="251"/>
      <c r="W1297" s="251"/>
      <c r="X1297" s="251"/>
      <c r="Y1297" s="251"/>
      <c r="Z1297" s="251"/>
      <c r="AA1297" s="251"/>
      <c r="AB1297" s="251"/>
      <c r="AC1297" s="251"/>
      <c r="AD1297" s="251"/>
      <c r="AE1297" s="251"/>
    </row>
    <row r="1298">
      <c r="A1298" s="251"/>
      <c r="B1298" s="251"/>
      <c r="C1298" s="251"/>
      <c r="D1298" s="251"/>
      <c r="E1298" s="251"/>
      <c r="F1298" s="251"/>
      <c r="G1298" s="251"/>
      <c r="H1298" s="251"/>
      <c r="I1298" s="251"/>
      <c r="J1298" s="251"/>
      <c r="K1298" s="251"/>
      <c r="L1298" s="251"/>
      <c r="M1298" s="251"/>
      <c r="N1298" s="251"/>
      <c r="O1298" s="251"/>
      <c r="P1298" s="251"/>
      <c r="Q1298" s="251"/>
      <c r="R1298" s="251"/>
      <c r="S1298" s="251"/>
      <c r="T1298" s="251"/>
      <c r="U1298" s="251"/>
      <c r="V1298" s="251"/>
      <c r="W1298" s="251"/>
      <c r="X1298" s="251"/>
      <c r="Y1298" s="251"/>
      <c r="Z1298" s="251"/>
      <c r="AA1298" s="251"/>
      <c r="AB1298" s="251"/>
      <c r="AC1298" s="251"/>
      <c r="AD1298" s="251"/>
      <c r="AE1298" s="251"/>
    </row>
    <row r="1299">
      <c r="A1299" s="251"/>
      <c r="B1299" s="251"/>
      <c r="C1299" s="251"/>
      <c r="D1299" s="251"/>
      <c r="E1299" s="251"/>
      <c r="F1299" s="251"/>
      <c r="G1299" s="251"/>
      <c r="H1299" s="251"/>
      <c r="I1299" s="251"/>
      <c r="J1299" s="251"/>
      <c r="K1299" s="251"/>
      <c r="L1299" s="251"/>
      <c r="M1299" s="251"/>
      <c r="N1299" s="251"/>
      <c r="O1299" s="251"/>
      <c r="P1299" s="251"/>
      <c r="Q1299" s="251"/>
      <c r="R1299" s="251"/>
      <c r="S1299" s="251"/>
      <c r="T1299" s="251"/>
      <c r="U1299" s="251"/>
      <c r="V1299" s="251"/>
      <c r="W1299" s="251"/>
      <c r="X1299" s="251"/>
      <c r="Y1299" s="251"/>
      <c r="Z1299" s="251"/>
      <c r="AA1299" s="251"/>
      <c r="AB1299" s="251"/>
      <c r="AC1299" s="251"/>
      <c r="AD1299" s="251"/>
      <c r="AE1299" s="251"/>
    </row>
    <row r="1300">
      <c r="A1300" s="251"/>
      <c r="B1300" s="251"/>
      <c r="C1300" s="251"/>
      <c r="D1300" s="251"/>
      <c r="E1300" s="251"/>
      <c r="F1300" s="251"/>
      <c r="G1300" s="251"/>
      <c r="H1300" s="251"/>
      <c r="I1300" s="251"/>
      <c r="J1300" s="251"/>
      <c r="K1300" s="251"/>
      <c r="L1300" s="251"/>
      <c r="M1300" s="251"/>
      <c r="N1300" s="251"/>
      <c r="O1300" s="251"/>
      <c r="P1300" s="251"/>
      <c r="Q1300" s="251"/>
      <c r="R1300" s="251"/>
      <c r="S1300" s="251"/>
      <c r="T1300" s="251"/>
      <c r="U1300" s="251"/>
      <c r="V1300" s="251"/>
      <c r="W1300" s="251"/>
      <c r="X1300" s="251"/>
      <c r="Y1300" s="251"/>
      <c r="Z1300" s="251"/>
      <c r="AA1300" s="251"/>
      <c r="AB1300" s="251"/>
      <c r="AC1300" s="251"/>
      <c r="AD1300" s="251"/>
      <c r="AE1300" s="251"/>
    </row>
    <row r="1301">
      <c r="A1301" s="251"/>
      <c r="B1301" s="251"/>
      <c r="C1301" s="251"/>
      <c r="D1301" s="251"/>
      <c r="E1301" s="251"/>
      <c r="F1301" s="251"/>
      <c r="G1301" s="251"/>
      <c r="H1301" s="251"/>
      <c r="I1301" s="251"/>
      <c r="J1301" s="251"/>
      <c r="K1301" s="251"/>
      <c r="L1301" s="251"/>
      <c r="M1301" s="251"/>
      <c r="N1301" s="251"/>
      <c r="O1301" s="251"/>
      <c r="P1301" s="251"/>
      <c r="Q1301" s="251"/>
      <c r="R1301" s="251"/>
      <c r="S1301" s="251"/>
      <c r="T1301" s="251"/>
      <c r="U1301" s="251"/>
      <c r="V1301" s="251"/>
      <c r="W1301" s="251"/>
      <c r="X1301" s="251"/>
      <c r="Y1301" s="251"/>
      <c r="Z1301" s="251"/>
      <c r="AA1301" s="251"/>
      <c r="AB1301" s="251"/>
      <c r="AC1301" s="251"/>
      <c r="AD1301" s="251"/>
      <c r="AE1301" s="251"/>
    </row>
    <row r="1302">
      <c r="A1302" s="251"/>
      <c r="B1302" s="251"/>
      <c r="C1302" s="251"/>
      <c r="D1302" s="251"/>
      <c r="E1302" s="251"/>
      <c r="F1302" s="251"/>
      <c r="G1302" s="251"/>
      <c r="H1302" s="251"/>
      <c r="I1302" s="251"/>
      <c r="J1302" s="251"/>
      <c r="K1302" s="251"/>
      <c r="L1302" s="251"/>
      <c r="M1302" s="251"/>
      <c r="N1302" s="251"/>
      <c r="O1302" s="251"/>
      <c r="P1302" s="251"/>
      <c r="Q1302" s="251"/>
      <c r="R1302" s="251"/>
      <c r="S1302" s="251"/>
      <c r="T1302" s="251"/>
      <c r="U1302" s="251"/>
      <c r="V1302" s="251"/>
      <c r="W1302" s="251"/>
      <c r="X1302" s="251"/>
      <c r="Y1302" s="251"/>
      <c r="Z1302" s="251"/>
      <c r="AA1302" s="251"/>
      <c r="AB1302" s="251"/>
      <c r="AC1302" s="251"/>
      <c r="AD1302" s="251"/>
      <c r="AE1302" s="251"/>
    </row>
    <row r="1303">
      <c r="A1303" s="251"/>
      <c r="B1303" s="251"/>
      <c r="C1303" s="251"/>
      <c r="D1303" s="251"/>
      <c r="E1303" s="251"/>
      <c r="F1303" s="251"/>
      <c r="G1303" s="251"/>
      <c r="H1303" s="251"/>
      <c r="I1303" s="251"/>
      <c r="J1303" s="251"/>
      <c r="K1303" s="251"/>
      <c r="L1303" s="251"/>
      <c r="M1303" s="251"/>
      <c r="N1303" s="251"/>
      <c r="O1303" s="251"/>
      <c r="P1303" s="251"/>
      <c r="Q1303" s="251"/>
      <c r="R1303" s="251"/>
      <c r="S1303" s="251"/>
      <c r="T1303" s="251"/>
      <c r="U1303" s="251"/>
      <c r="V1303" s="251"/>
      <c r="W1303" s="251"/>
      <c r="X1303" s="251"/>
      <c r="Y1303" s="251"/>
      <c r="Z1303" s="251"/>
      <c r="AA1303" s="251"/>
      <c r="AB1303" s="251"/>
      <c r="AC1303" s="251"/>
      <c r="AD1303" s="251"/>
      <c r="AE1303" s="251"/>
    </row>
    <row r="1304">
      <c r="A1304" s="251"/>
      <c r="B1304" s="251"/>
      <c r="C1304" s="251"/>
      <c r="D1304" s="251"/>
      <c r="E1304" s="251"/>
      <c r="F1304" s="251"/>
      <c r="G1304" s="251"/>
      <c r="H1304" s="251"/>
      <c r="I1304" s="251"/>
      <c r="J1304" s="251"/>
      <c r="K1304" s="251"/>
      <c r="L1304" s="251"/>
      <c r="M1304" s="251"/>
      <c r="N1304" s="251"/>
      <c r="O1304" s="251"/>
      <c r="P1304" s="251"/>
      <c r="Q1304" s="251"/>
      <c r="R1304" s="251"/>
      <c r="S1304" s="251"/>
      <c r="T1304" s="251"/>
      <c r="U1304" s="251"/>
      <c r="V1304" s="251"/>
      <c r="W1304" s="251"/>
      <c r="X1304" s="251"/>
      <c r="Y1304" s="251"/>
      <c r="Z1304" s="251"/>
      <c r="AA1304" s="251"/>
      <c r="AB1304" s="251"/>
      <c r="AC1304" s="251"/>
      <c r="AD1304" s="251"/>
      <c r="AE1304" s="251"/>
    </row>
    <row r="1305">
      <c r="A1305" s="251"/>
      <c r="B1305" s="251"/>
      <c r="C1305" s="251"/>
      <c r="D1305" s="251"/>
      <c r="E1305" s="251"/>
      <c r="F1305" s="251"/>
      <c r="G1305" s="251"/>
      <c r="H1305" s="251"/>
      <c r="I1305" s="251"/>
      <c r="J1305" s="251"/>
      <c r="K1305" s="251"/>
      <c r="L1305" s="251"/>
      <c r="M1305" s="251"/>
      <c r="N1305" s="251"/>
      <c r="O1305" s="251"/>
      <c r="P1305" s="251"/>
      <c r="Q1305" s="251"/>
      <c r="R1305" s="251"/>
      <c r="S1305" s="251"/>
      <c r="T1305" s="251"/>
      <c r="U1305" s="251"/>
      <c r="V1305" s="251"/>
      <c r="W1305" s="251"/>
      <c r="X1305" s="251"/>
      <c r="Y1305" s="251"/>
      <c r="Z1305" s="251"/>
      <c r="AA1305" s="251"/>
      <c r="AB1305" s="251"/>
      <c r="AC1305" s="251"/>
      <c r="AD1305" s="251"/>
      <c r="AE1305" s="251"/>
    </row>
    <row r="1306">
      <c r="A1306" s="251"/>
      <c r="B1306" s="251"/>
      <c r="C1306" s="251"/>
      <c r="D1306" s="251"/>
      <c r="E1306" s="251"/>
      <c r="F1306" s="251"/>
      <c r="G1306" s="251"/>
      <c r="H1306" s="251"/>
      <c r="I1306" s="251"/>
      <c r="J1306" s="251"/>
      <c r="K1306" s="251"/>
      <c r="L1306" s="251"/>
      <c r="M1306" s="251"/>
      <c r="N1306" s="251"/>
      <c r="O1306" s="251"/>
      <c r="P1306" s="251"/>
      <c r="Q1306" s="251"/>
      <c r="R1306" s="251"/>
      <c r="S1306" s="251"/>
      <c r="T1306" s="251"/>
      <c r="U1306" s="251"/>
      <c r="V1306" s="251"/>
      <c r="W1306" s="251"/>
      <c r="X1306" s="251"/>
      <c r="Y1306" s="251"/>
      <c r="Z1306" s="251"/>
      <c r="AA1306" s="251"/>
      <c r="AB1306" s="251"/>
      <c r="AC1306" s="251"/>
      <c r="AD1306" s="251"/>
      <c r="AE1306" s="251"/>
    </row>
    <row r="1307">
      <c r="A1307" s="251"/>
      <c r="B1307" s="251"/>
      <c r="C1307" s="251"/>
      <c r="D1307" s="251"/>
      <c r="E1307" s="251"/>
      <c r="F1307" s="251"/>
      <c r="G1307" s="251"/>
      <c r="H1307" s="251"/>
      <c r="I1307" s="251"/>
      <c r="J1307" s="251"/>
      <c r="K1307" s="251"/>
      <c r="L1307" s="251"/>
      <c r="M1307" s="251"/>
      <c r="N1307" s="251"/>
      <c r="O1307" s="251"/>
      <c r="P1307" s="251"/>
      <c r="Q1307" s="251"/>
      <c r="R1307" s="251"/>
      <c r="S1307" s="251"/>
      <c r="T1307" s="251"/>
      <c r="U1307" s="251"/>
      <c r="V1307" s="251"/>
      <c r="W1307" s="251"/>
      <c r="X1307" s="251"/>
      <c r="Y1307" s="251"/>
      <c r="Z1307" s="251"/>
      <c r="AA1307" s="251"/>
      <c r="AB1307" s="251"/>
      <c r="AC1307" s="251"/>
      <c r="AD1307" s="251"/>
      <c r="AE1307" s="251"/>
    </row>
    <row r="1308">
      <c r="A1308" s="251"/>
      <c r="B1308" s="251"/>
      <c r="C1308" s="251"/>
      <c r="D1308" s="251"/>
      <c r="E1308" s="251"/>
      <c r="F1308" s="251"/>
      <c r="G1308" s="251"/>
      <c r="H1308" s="251"/>
      <c r="I1308" s="251"/>
      <c r="J1308" s="251"/>
      <c r="K1308" s="251"/>
      <c r="L1308" s="251"/>
      <c r="M1308" s="251"/>
      <c r="N1308" s="251"/>
      <c r="O1308" s="251"/>
      <c r="P1308" s="251"/>
      <c r="Q1308" s="251"/>
      <c r="R1308" s="251"/>
      <c r="S1308" s="251"/>
      <c r="T1308" s="251"/>
      <c r="U1308" s="251"/>
      <c r="V1308" s="251"/>
      <c r="W1308" s="251"/>
      <c r="X1308" s="251"/>
      <c r="Y1308" s="251"/>
      <c r="Z1308" s="251"/>
      <c r="AA1308" s="251"/>
      <c r="AB1308" s="251"/>
      <c r="AC1308" s="251"/>
      <c r="AD1308" s="251"/>
      <c r="AE1308" s="251"/>
    </row>
    <row r="1309">
      <c r="A1309" s="251"/>
      <c r="B1309" s="251"/>
      <c r="C1309" s="251"/>
      <c r="D1309" s="251"/>
      <c r="E1309" s="251"/>
      <c r="F1309" s="251"/>
      <c r="G1309" s="251"/>
      <c r="H1309" s="251"/>
      <c r="I1309" s="251"/>
      <c r="J1309" s="251"/>
      <c r="K1309" s="251"/>
      <c r="L1309" s="251"/>
      <c r="M1309" s="251"/>
      <c r="N1309" s="251"/>
      <c r="O1309" s="251"/>
      <c r="P1309" s="251"/>
      <c r="Q1309" s="251"/>
      <c r="R1309" s="251"/>
      <c r="S1309" s="251"/>
      <c r="T1309" s="251"/>
      <c r="U1309" s="251"/>
      <c r="V1309" s="251"/>
      <c r="W1309" s="251"/>
      <c r="X1309" s="251"/>
      <c r="Y1309" s="251"/>
      <c r="Z1309" s="251"/>
      <c r="AA1309" s="251"/>
      <c r="AB1309" s="251"/>
      <c r="AC1309" s="251"/>
      <c r="AD1309" s="251"/>
      <c r="AE1309" s="251"/>
    </row>
    <row r="1310">
      <c r="A1310" s="251"/>
      <c r="B1310" s="251"/>
      <c r="C1310" s="251"/>
      <c r="D1310" s="251"/>
      <c r="E1310" s="251"/>
      <c r="F1310" s="251"/>
      <c r="G1310" s="251"/>
      <c r="H1310" s="251"/>
      <c r="I1310" s="251"/>
      <c r="J1310" s="251"/>
      <c r="K1310" s="251"/>
      <c r="L1310" s="251"/>
      <c r="M1310" s="251"/>
      <c r="N1310" s="251"/>
      <c r="O1310" s="251"/>
      <c r="P1310" s="251"/>
      <c r="Q1310" s="251"/>
      <c r="R1310" s="251"/>
      <c r="S1310" s="251"/>
      <c r="T1310" s="251"/>
      <c r="U1310" s="251"/>
      <c r="V1310" s="251"/>
      <c r="W1310" s="251"/>
      <c r="X1310" s="251"/>
      <c r="Y1310" s="251"/>
      <c r="Z1310" s="251"/>
      <c r="AA1310" s="251"/>
      <c r="AB1310" s="251"/>
      <c r="AC1310" s="251"/>
      <c r="AD1310" s="251"/>
      <c r="AE1310" s="251"/>
    </row>
    <row r="1311">
      <c r="A1311" s="251"/>
      <c r="B1311" s="251"/>
      <c r="C1311" s="251"/>
      <c r="D1311" s="251"/>
      <c r="E1311" s="251"/>
      <c r="F1311" s="251"/>
      <c r="G1311" s="251"/>
      <c r="H1311" s="251"/>
      <c r="I1311" s="251"/>
      <c r="J1311" s="251"/>
      <c r="K1311" s="251"/>
      <c r="L1311" s="251"/>
      <c r="M1311" s="251"/>
      <c r="N1311" s="251"/>
      <c r="O1311" s="251"/>
      <c r="P1311" s="251"/>
      <c r="Q1311" s="251"/>
      <c r="R1311" s="251"/>
      <c r="S1311" s="251"/>
      <c r="T1311" s="251"/>
      <c r="U1311" s="251"/>
      <c r="V1311" s="251"/>
      <c r="W1311" s="251"/>
      <c r="X1311" s="251"/>
      <c r="Y1311" s="251"/>
      <c r="Z1311" s="251"/>
      <c r="AA1311" s="251"/>
      <c r="AB1311" s="251"/>
      <c r="AC1311" s="251"/>
      <c r="AD1311" s="251"/>
      <c r="AE1311" s="251"/>
    </row>
    <row r="1312">
      <c r="A1312" s="251"/>
      <c r="B1312" s="251"/>
      <c r="C1312" s="251"/>
      <c r="D1312" s="251"/>
      <c r="E1312" s="251"/>
      <c r="F1312" s="251"/>
      <c r="G1312" s="251"/>
      <c r="H1312" s="251"/>
      <c r="I1312" s="251"/>
      <c r="J1312" s="251"/>
      <c r="K1312" s="251"/>
      <c r="L1312" s="251"/>
      <c r="M1312" s="251"/>
      <c r="N1312" s="251"/>
      <c r="O1312" s="251"/>
      <c r="P1312" s="251"/>
      <c r="Q1312" s="251"/>
      <c r="R1312" s="251"/>
      <c r="S1312" s="251"/>
      <c r="T1312" s="251"/>
      <c r="U1312" s="251"/>
      <c r="V1312" s="251"/>
      <c r="W1312" s="251"/>
      <c r="X1312" s="251"/>
      <c r="Y1312" s="251"/>
      <c r="Z1312" s="251"/>
      <c r="AA1312" s="251"/>
      <c r="AB1312" s="251"/>
      <c r="AC1312" s="251"/>
      <c r="AD1312" s="251"/>
      <c r="AE1312" s="251"/>
    </row>
    <row r="1313">
      <c r="A1313" s="251"/>
      <c r="B1313" s="251"/>
      <c r="C1313" s="251"/>
      <c r="D1313" s="251"/>
      <c r="E1313" s="251"/>
      <c r="F1313" s="251"/>
      <c r="G1313" s="251"/>
      <c r="H1313" s="251"/>
      <c r="I1313" s="251"/>
      <c r="J1313" s="251"/>
      <c r="K1313" s="251"/>
      <c r="L1313" s="251"/>
      <c r="M1313" s="251"/>
      <c r="N1313" s="251"/>
      <c r="O1313" s="251"/>
      <c r="P1313" s="251"/>
      <c r="Q1313" s="251"/>
      <c r="R1313" s="251"/>
      <c r="S1313" s="251"/>
      <c r="T1313" s="251"/>
      <c r="U1313" s="251"/>
      <c r="V1313" s="251"/>
      <c r="W1313" s="251"/>
      <c r="X1313" s="251"/>
      <c r="Y1313" s="251"/>
      <c r="Z1313" s="251"/>
      <c r="AA1313" s="251"/>
      <c r="AB1313" s="251"/>
      <c r="AC1313" s="251"/>
      <c r="AD1313" s="251"/>
      <c r="AE1313" s="251"/>
    </row>
    <row r="1314">
      <c r="A1314" s="251"/>
      <c r="B1314" s="251"/>
      <c r="C1314" s="251"/>
      <c r="D1314" s="251"/>
      <c r="E1314" s="251"/>
      <c r="F1314" s="251"/>
      <c r="G1314" s="251"/>
      <c r="H1314" s="251"/>
      <c r="I1314" s="251"/>
      <c r="J1314" s="251"/>
      <c r="K1314" s="251"/>
      <c r="L1314" s="251"/>
      <c r="M1314" s="251"/>
      <c r="N1314" s="251"/>
      <c r="O1314" s="251"/>
      <c r="P1314" s="251"/>
      <c r="Q1314" s="251"/>
      <c r="R1314" s="251"/>
      <c r="S1314" s="251"/>
      <c r="T1314" s="251"/>
      <c r="U1314" s="251"/>
      <c r="V1314" s="251"/>
      <c r="W1314" s="251"/>
      <c r="X1314" s="251"/>
      <c r="Y1314" s="251"/>
      <c r="Z1314" s="251"/>
      <c r="AA1314" s="251"/>
      <c r="AB1314" s="251"/>
      <c r="AC1314" s="251"/>
      <c r="AD1314" s="251"/>
      <c r="AE1314" s="251"/>
    </row>
    <row r="1315">
      <c r="A1315" s="251"/>
      <c r="B1315" s="251"/>
      <c r="C1315" s="251"/>
      <c r="D1315" s="251"/>
      <c r="E1315" s="251"/>
      <c r="F1315" s="251"/>
      <c r="G1315" s="251"/>
      <c r="H1315" s="251"/>
      <c r="I1315" s="251"/>
      <c r="J1315" s="251"/>
      <c r="K1315" s="251"/>
      <c r="L1315" s="251"/>
      <c r="M1315" s="251"/>
      <c r="N1315" s="251"/>
      <c r="O1315" s="251"/>
      <c r="P1315" s="251"/>
      <c r="Q1315" s="251"/>
      <c r="R1315" s="251"/>
      <c r="S1315" s="251"/>
      <c r="T1315" s="251"/>
      <c r="U1315" s="251"/>
      <c r="V1315" s="251"/>
      <c r="W1315" s="251"/>
      <c r="X1315" s="251"/>
      <c r="Y1315" s="251"/>
      <c r="Z1315" s="251"/>
      <c r="AA1315" s="251"/>
      <c r="AB1315" s="251"/>
      <c r="AC1315" s="251"/>
      <c r="AD1315" s="251"/>
      <c r="AE1315" s="251"/>
    </row>
    <row r="1316">
      <c r="A1316" s="251"/>
      <c r="B1316" s="251"/>
      <c r="C1316" s="251"/>
      <c r="D1316" s="251"/>
      <c r="E1316" s="251"/>
      <c r="F1316" s="251"/>
      <c r="G1316" s="251"/>
      <c r="H1316" s="251"/>
      <c r="I1316" s="251"/>
      <c r="J1316" s="251"/>
      <c r="K1316" s="251"/>
      <c r="L1316" s="251"/>
      <c r="M1316" s="251"/>
      <c r="N1316" s="251"/>
      <c r="O1316" s="251"/>
      <c r="P1316" s="251"/>
      <c r="Q1316" s="251"/>
      <c r="R1316" s="251"/>
      <c r="S1316" s="251"/>
      <c r="T1316" s="251"/>
      <c r="U1316" s="251"/>
      <c r="V1316" s="251"/>
      <c r="W1316" s="251"/>
      <c r="X1316" s="251"/>
      <c r="Y1316" s="251"/>
      <c r="Z1316" s="251"/>
      <c r="AA1316" s="251"/>
      <c r="AB1316" s="251"/>
      <c r="AC1316" s="251"/>
      <c r="AD1316" s="251"/>
      <c r="AE1316" s="251"/>
    </row>
    <row r="1317">
      <c r="A1317" s="251"/>
      <c r="B1317" s="251"/>
      <c r="C1317" s="251"/>
      <c r="D1317" s="251"/>
      <c r="E1317" s="251"/>
      <c r="F1317" s="251"/>
      <c r="G1317" s="251"/>
      <c r="H1317" s="251"/>
      <c r="I1317" s="251"/>
      <c r="J1317" s="251"/>
      <c r="K1317" s="251"/>
      <c r="L1317" s="251"/>
      <c r="M1317" s="251"/>
      <c r="N1317" s="251"/>
      <c r="O1317" s="251"/>
      <c r="P1317" s="251"/>
      <c r="Q1317" s="251"/>
      <c r="R1317" s="251"/>
      <c r="S1317" s="251"/>
      <c r="T1317" s="251"/>
      <c r="U1317" s="251"/>
      <c r="V1317" s="251"/>
      <c r="W1317" s="251"/>
      <c r="X1317" s="251"/>
      <c r="Y1317" s="251"/>
      <c r="Z1317" s="251"/>
      <c r="AA1317" s="251"/>
      <c r="AB1317" s="251"/>
      <c r="AC1317" s="251"/>
      <c r="AD1317" s="251"/>
      <c r="AE1317" s="251"/>
    </row>
    <row r="1318">
      <c r="A1318" s="251"/>
      <c r="B1318" s="251"/>
      <c r="C1318" s="251"/>
      <c r="D1318" s="251"/>
      <c r="E1318" s="251"/>
      <c r="F1318" s="251"/>
      <c r="G1318" s="251"/>
      <c r="H1318" s="251"/>
      <c r="I1318" s="251"/>
      <c r="J1318" s="251"/>
      <c r="K1318" s="251"/>
      <c r="L1318" s="251"/>
      <c r="M1318" s="251"/>
      <c r="N1318" s="251"/>
      <c r="O1318" s="251"/>
      <c r="P1318" s="251"/>
      <c r="Q1318" s="251"/>
      <c r="R1318" s="251"/>
      <c r="S1318" s="251"/>
      <c r="T1318" s="251"/>
      <c r="U1318" s="251"/>
      <c r="V1318" s="251"/>
      <c r="W1318" s="251"/>
      <c r="X1318" s="251"/>
      <c r="Y1318" s="251"/>
      <c r="Z1318" s="251"/>
      <c r="AA1318" s="251"/>
      <c r="AB1318" s="251"/>
      <c r="AC1318" s="251"/>
      <c r="AD1318" s="251"/>
      <c r="AE1318" s="251"/>
    </row>
    <row r="1319">
      <c r="A1319" s="251"/>
      <c r="B1319" s="251"/>
      <c r="C1319" s="251"/>
      <c r="D1319" s="251"/>
      <c r="E1319" s="251"/>
      <c r="F1319" s="251"/>
      <c r="G1319" s="251"/>
      <c r="H1319" s="251"/>
      <c r="I1319" s="251"/>
      <c r="J1319" s="251"/>
      <c r="K1319" s="251"/>
      <c r="L1319" s="251"/>
      <c r="M1319" s="251"/>
      <c r="N1319" s="251"/>
      <c r="O1319" s="251"/>
      <c r="P1319" s="251"/>
      <c r="Q1319" s="251"/>
      <c r="R1319" s="251"/>
      <c r="S1319" s="251"/>
      <c r="T1319" s="251"/>
      <c r="U1319" s="251"/>
      <c r="V1319" s="251"/>
      <c r="W1319" s="251"/>
      <c r="X1319" s="251"/>
      <c r="Y1319" s="251"/>
      <c r="Z1319" s="251"/>
      <c r="AA1319" s="251"/>
      <c r="AB1319" s="251"/>
      <c r="AC1319" s="251"/>
      <c r="AD1319" s="251"/>
      <c r="AE1319" s="251"/>
    </row>
    <row r="1320">
      <c r="A1320" s="251"/>
      <c r="B1320" s="251"/>
      <c r="C1320" s="251"/>
      <c r="D1320" s="251"/>
      <c r="E1320" s="251"/>
      <c r="F1320" s="251"/>
      <c r="G1320" s="251"/>
      <c r="H1320" s="251"/>
      <c r="I1320" s="251"/>
      <c r="J1320" s="251"/>
      <c r="K1320" s="251"/>
      <c r="L1320" s="251"/>
      <c r="M1320" s="251"/>
      <c r="N1320" s="251"/>
      <c r="O1320" s="251"/>
      <c r="P1320" s="251"/>
      <c r="Q1320" s="251"/>
      <c r="R1320" s="251"/>
      <c r="S1320" s="251"/>
      <c r="T1320" s="251"/>
      <c r="U1320" s="251"/>
      <c r="V1320" s="251"/>
      <c r="W1320" s="251"/>
      <c r="X1320" s="251"/>
      <c r="Y1320" s="251"/>
      <c r="Z1320" s="251"/>
      <c r="AA1320" s="251"/>
      <c r="AB1320" s="251"/>
      <c r="AC1320" s="251"/>
      <c r="AD1320" s="251"/>
      <c r="AE1320" s="251"/>
    </row>
    <row r="1321">
      <c r="A1321" s="251"/>
      <c r="B1321" s="251"/>
      <c r="C1321" s="251"/>
      <c r="D1321" s="251"/>
      <c r="E1321" s="251"/>
      <c r="F1321" s="251"/>
      <c r="G1321" s="251"/>
      <c r="H1321" s="251"/>
      <c r="I1321" s="251"/>
      <c r="J1321" s="251"/>
      <c r="K1321" s="251"/>
      <c r="L1321" s="251"/>
      <c r="M1321" s="251"/>
      <c r="N1321" s="251"/>
      <c r="O1321" s="251"/>
      <c r="P1321" s="251"/>
      <c r="Q1321" s="251"/>
      <c r="R1321" s="251"/>
      <c r="S1321" s="251"/>
      <c r="T1321" s="251"/>
      <c r="U1321" s="251"/>
      <c r="V1321" s="251"/>
      <c r="W1321" s="251"/>
      <c r="X1321" s="251"/>
      <c r="Y1321" s="251"/>
      <c r="Z1321" s="251"/>
      <c r="AA1321" s="251"/>
      <c r="AB1321" s="251"/>
      <c r="AC1321" s="251"/>
      <c r="AD1321" s="251"/>
      <c r="AE1321" s="251"/>
    </row>
    <row r="1322">
      <c r="A1322" s="251"/>
      <c r="B1322" s="251"/>
      <c r="C1322" s="251"/>
      <c r="D1322" s="251"/>
      <c r="E1322" s="251"/>
      <c r="F1322" s="251"/>
      <c r="G1322" s="251"/>
      <c r="H1322" s="251"/>
      <c r="I1322" s="251"/>
      <c r="J1322" s="251"/>
      <c r="K1322" s="251"/>
      <c r="L1322" s="251"/>
      <c r="M1322" s="251"/>
      <c r="N1322" s="251"/>
      <c r="O1322" s="251"/>
      <c r="P1322" s="251"/>
      <c r="Q1322" s="251"/>
      <c r="R1322" s="251"/>
      <c r="S1322" s="251"/>
      <c r="T1322" s="251"/>
      <c r="U1322" s="251"/>
      <c r="V1322" s="251"/>
      <c r="W1322" s="251"/>
      <c r="X1322" s="251"/>
      <c r="Y1322" s="251"/>
      <c r="Z1322" s="251"/>
      <c r="AA1322" s="251"/>
      <c r="AB1322" s="251"/>
      <c r="AC1322" s="251"/>
      <c r="AD1322" s="251"/>
      <c r="AE1322" s="251"/>
    </row>
  </sheetData>
  <mergeCells count="3">
    <mergeCell ref="N1:Q1"/>
    <mergeCell ref="R1:U1"/>
    <mergeCell ref="V1:AC1"/>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53" t="s">
        <v>227</v>
      </c>
      <c r="B1" s="254" t="s">
        <v>228</v>
      </c>
      <c r="C1" s="254" t="s">
        <v>229</v>
      </c>
      <c r="D1" s="254" t="s">
        <v>230</v>
      </c>
      <c r="E1" s="254" t="s">
        <v>231</v>
      </c>
      <c r="F1" s="254" t="s">
        <v>232</v>
      </c>
      <c r="G1" s="254" t="s">
        <v>233</v>
      </c>
      <c r="H1" s="254" t="s">
        <v>234</v>
      </c>
      <c r="I1" s="254" t="s">
        <v>235</v>
      </c>
      <c r="J1" s="254" t="s">
        <v>236</v>
      </c>
      <c r="K1" s="254" t="s">
        <v>237</v>
      </c>
      <c r="L1" s="254" t="s">
        <v>238</v>
      </c>
      <c r="M1" s="254" t="s">
        <v>239</v>
      </c>
      <c r="N1" s="254" t="s">
        <v>240</v>
      </c>
      <c r="O1" s="254" t="s">
        <v>241</v>
      </c>
      <c r="P1" s="254" t="s">
        <v>242</v>
      </c>
      <c r="Q1" s="254" t="s">
        <v>243</v>
      </c>
      <c r="R1" s="254" t="s">
        <v>244</v>
      </c>
    </row>
    <row r="2">
      <c r="A2" s="255" t="str">
        <f>IFERROR(__xludf.DUMMYFUNCTION("IMPORTRANGE('Homebrew Sheet'!$A$6,""'Poke Skills'!$A$2:$R$201"")"),"")</f>
        <v/>
      </c>
      <c r="B2" s="174"/>
      <c r="C2" s="174"/>
      <c r="D2" s="174"/>
      <c r="E2" s="174"/>
      <c r="F2" s="174"/>
      <c r="G2" s="174"/>
      <c r="H2" s="174"/>
      <c r="I2" s="174"/>
      <c r="J2" s="174"/>
      <c r="K2" s="174"/>
      <c r="L2" s="174"/>
      <c r="M2" s="174"/>
      <c r="N2" s="174"/>
      <c r="O2" s="174"/>
      <c r="P2" s="174"/>
      <c r="Q2" s="174"/>
      <c r="R2" s="174"/>
    </row>
    <row r="3">
      <c r="A3" s="255"/>
      <c r="B3" s="174"/>
      <c r="C3" s="174"/>
      <c r="D3" s="174"/>
      <c r="E3" s="174"/>
      <c r="F3" s="174"/>
      <c r="G3" s="174"/>
      <c r="H3" s="174"/>
      <c r="I3" s="174"/>
      <c r="J3" s="174"/>
      <c r="K3" s="174"/>
      <c r="L3" s="174"/>
      <c r="M3" s="174"/>
      <c r="N3" s="174"/>
      <c r="O3" s="174"/>
      <c r="P3" s="174"/>
      <c r="Q3" s="174"/>
      <c r="R3" s="174"/>
    </row>
    <row r="4">
      <c r="A4" s="255"/>
      <c r="B4" s="174"/>
      <c r="C4" s="174"/>
      <c r="D4" s="174"/>
      <c r="E4" s="174"/>
      <c r="F4" s="174"/>
      <c r="G4" s="174"/>
      <c r="H4" s="174"/>
      <c r="I4" s="174"/>
      <c r="J4" s="174"/>
      <c r="K4" s="174"/>
      <c r="L4" s="174"/>
      <c r="M4" s="174"/>
      <c r="N4" s="174"/>
      <c r="O4" s="174"/>
      <c r="P4" s="174"/>
      <c r="Q4" s="174"/>
      <c r="R4" s="174"/>
    </row>
    <row r="5">
      <c r="A5" s="255"/>
      <c r="B5" s="174"/>
      <c r="C5" s="174"/>
      <c r="D5" s="174"/>
      <c r="E5" s="174"/>
      <c r="F5" s="174"/>
      <c r="G5" s="174"/>
      <c r="H5" s="174"/>
      <c r="I5" s="174"/>
      <c r="J5" s="174"/>
      <c r="K5" s="174"/>
      <c r="L5" s="174"/>
      <c r="M5" s="174"/>
      <c r="N5" s="174"/>
      <c r="O5" s="174"/>
      <c r="P5" s="174"/>
      <c r="Q5" s="174"/>
      <c r="R5" s="174"/>
    </row>
    <row r="6">
      <c r="A6" s="255"/>
      <c r="B6" s="174"/>
      <c r="C6" s="174"/>
      <c r="D6" s="174"/>
      <c r="E6" s="174"/>
      <c r="F6" s="174"/>
      <c r="G6" s="174"/>
      <c r="H6" s="174"/>
      <c r="I6" s="174"/>
      <c r="J6" s="174"/>
      <c r="K6" s="174"/>
      <c r="L6" s="174"/>
      <c r="M6" s="174"/>
      <c r="N6" s="174"/>
      <c r="O6" s="174"/>
      <c r="P6" s="174"/>
      <c r="Q6" s="174"/>
      <c r="R6" s="174"/>
    </row>
    <row r="7">
      <c r="A7" s="255"/>
      <c r="B7" s="174"/>
      <c r="C7" s="174"/>
      <c r="D7" s="174"/>
      <c r="E7" s="174"/>
      <c r="F7" s="174"/>
      <c r="G7" s="174"/>
      <c r="H7" s="174"/>
      <c r="I7" s="174"/>
      <c r="J7" s="174"/>
      <c r="K7" s="174"/>
      <c r="L7" s="174"/>
      <c r="M7" s="174"/>
      <c r="N7" s="174"/>
      <c r="O7" s="174"/>
      <c r="P7" s="174"/>
      <c r="Q7" s="174"/>
      <c r="R7" s="174"/>
    </row>
    <row r="8">
      <c r="A8" s="255"/>
      <c r="B8" s="174"/>
      <c r="C8" s="174"/>
      <c r="D8" s="174"/>
      <c r="E8" s="174"/>
      <c r="F8" s="174"/>
      <c r="G8" s="174"/>
      <c r="H8" s="174"/>
      <c r="I8" s="174"/>
      <c r="J8" s="174"/>
      <c r="K8" s="174"/>
      <c r="L8" s="174"/>
      <c r="M8" s="174"/>
      <c r="N8" s="174"/>
      <c r="O8" s="174"/>
      <c r="P8" s="174"/>
      <c r="Q8" s="174"/>
      <c r="R8" s="174"/>
    </row>
    <row r="9">
      <c r="A9" s="255"/>
      <c r="B9" s="174"/>
      <c r="C9" s="174"/>
      <c r="D9" s="174"/>
      <c r="E9" s="174"/>
      <c r="F9" s="174"/>
      <c r="G9" s="174"/>
      <c r="H9" s="174"/>
      <c r="I9" s="174"/>
      <c r="J9" s="174"/>
      <c r="K9" s="174"/>
      <c r="L9" s="174"/>
      <c r="M9" s="174"/>
      <c r="N9" s="174"/>
      <c r="O9" s="174"/>
      <c r="P9" s="174"/>
      <c r="Q9" s="174"/>
      <c r="R9" s="174"/>
    </row>
    <row r="10">
      <c r="A10" s="255"/>
      <c r="B10" s="174"/>
      <c r="C10" s="174"/>
      <c r="D10" s="174"/>
      <c r="E10" s="174"/>
      <c r="F10" s="174"/>
      <c r="G10" s="174"/>
      <c r="H10" s="174"/>
      <c r="I10" s="174"/>
      <c r="J10" s="174"/>
      <c r="K10" s="174"/>
      <c r="L10" s="174"/>
      <c r="M10" s="174"/>
      <c r="N10" s="174"/>
      <c r="O10" s="174"/>
      <c r="P10" s="174"/>
      <c r="Q10" s="174"/>
      <c r="R10" s="174"/>
    </row>
    <row r="11">
      <c r="A11" s="255"/>
      <c r="B11" s="174"/>
      <c r="C11" s="174"/>
      <c r="D11" s="174"/>
      <c r="E11" s="174"/>
      <c r="F11" s="174"/>
      <c r="G11" s="174"/>
      <c r="H11" s="174"/>
      <c r="I11" s="174"/>
      <c r="J11" s="174"/>
      <c r="K11" s="174"/>
      <c r="L11" s="174"/>
      <c r="M11" s="174"/>
      <c r="N11" s="174"/>
      <c r="O11" s="174"/>
      <c r="P11" s="174"/>
      <c r="Q11" s="174"/>
      <c r="R11" s="174"/>
    </row>
    <row r="12">
      <c r="A12" s="255"/>
      <c r="B12" s="174"/>
      <c r="C12" s="174"/>
      <c r="D12" s="174"/>
      <c r="E12" s="174"/>
      <c r="F12" s="174"/>
      <c r="G12" s="174"/>
      <c r="H12" s="174"/>
      <c r="I12" s="174"/>
      <c r="J12" s="174"/>
      <c r="K12" s="174"/>
      <c r="L12" s="174"/>
      <c r="M12" s="174"/>
      <c r="N12" s="174"/>
      <c r="O12" s="174"/>
      <c r="P12" s="174"/>
      <c r="Q12" s="174"/>
      <c r="R12" s="174"/>
    </row>
    <row r="13">
      <c r="A13" s="255"/>
      <c r="B13" s="174"/>
      <c r="C13" s="174"/>
      <c r="D13" s="174"/>
      <c r="E13" s="174"/>
      <c r="F13" s="174"/>
      <c r="G13" s="174"/>
      <c r="H13" s="174"/>
      <c r="I13" s="174"/>
      <c r="J13" s="174"/>
      <c r="K13" s="174"/>
      <c r="L13" s="174"/>
      <c r="M13" s="174"/>
      <c r="N13" s="174"/>
      <c r="O13" s="174"/>
      <c r="P13" s="174"/>
      <c r="Q13" s="174"/>
      <c r="R13" s="174"/>
    </row>
    <row r="14">
      <c r="A14" s="255"/>
      <c r="B14" s="174"/>
      <c r="C14" s="174"/>
      <c r="D14" s="174"/>
      <c r="E14" s="174"/>
      <c r="F14" s="174"/>
      <c r="G14" s="174"/>
      <c r="H14" s="174"/>
      <c r="I14" s="174"/>
      <c r="J14" s="174"/>
      <c r="K14" s="174"/>
      <c r="L14" s="174"/>
      <c r="M14" s="174"/>
      <c r="N14" s="174"/>
      <c r="O14" s="174"/>
      <c r="P14" s="174"/>
      <c r="Q14" s="174"/>
      <c r="R14" s="174"/>
    </row>
    <row r="15">
      <c r="A15" s="255"/>
      <c r="B15" s="174"/>
      <c r="C15" s="174"/>
      <c r="D15" s="174"/>
      <c r="E15" s="174"/>
      <c r="F15" s="174"/>
      <c r="G15" s="174"/>
      <c r="H15" s="174"/>
      <c r="I15" s="174"/>
      <c r="J15" s="174"/>
      <c r="K15" s="174"/>
      <c r="L15" s="174"/>
      <c r="M15" s="174"/>
      <c r="N15" s="174"/>
      <c r="O15" s="174"/>
      <c r="P15" s="174"/>
      <c r="Q15" s="174"/>
      <c r="R15" s="174"/>
    </row>
    <row r="16">
      <c r="A16" s="255"/>
      <c r="B16" s="174"/>
      <c r="C16" s="174"/>
      <c r="D16" s="174"/>
      <c r="E16" s="174"/>
      <c r="F16" s="174"/>
      <c r="G16" s="174"/>
      <c r="H16" s="174"/>
      <c r="I16" s="174"/>
      <c r="J16" s="174"/>
      <c r="K16" s="174"/>
      <c r="L16" s="174"/>
      <c r="M16" s="174"/>
      <c r="N16" s="174"/>
      <c r="O16" s="174"/>
      <c r="P16" s="174"/>
      <c r="Q16" s="174"/>
      <c r="R16" s="174"/>
    </row>
    <row r="17">
      <c r="A17" s="255"/>
      <c r="B17" s="174"/>
      <c r="C17" s="174"/>
      <c r="D17" s="174"/>
      <c r="E17" s="174"/>
      <c r="F17" s="174"/>
      <c r="G17" s="174"/>
      <c r="H17" s="174"/>
      <c r="I17" s="174"/>
      <c r="J17" s="174"/>
      <c r="K17" s="174"/>
      <c r="L17" s="174"/>
      <c r="M17" s="174"/>
      <c r="N17" s="174"/>
      <c r="O17" s="174"/>
      <c r="P17" s="174"/>
      <c r="Q17" s="174"/>
      <c r="R17" s="174"/>
    </row>
    <row r="18">
      <c r="A18" s="255"/>
      <c r="B18" s="174"/>
      <c r="C18" s="174"/>
      <c r="D18" s="174"/>
      <c r="E18" s="174"/>
      <c r="F18" s="174"/>
      <c r="G18" s="174"/>
      <c r="H18" s="174"/>
      <c r="I18" s="174"/>
      <c r="J18" s="174"/>
      <c r="K18" s="174"/>
      <c r="L18" s="174"/>
      <c r="M18" s="174"/>
      <c r="N18" s="174"/>
      <c r="O18" s="174"/>
      <c r="P18" s="174"/>
      <c r="Q18" s="174"/>
      <c r="R18" s="174"/>
    </row>
    <row r="19">
      <c r="A19" s="255"/>
      <c r="B19" s="174"/>
      <c r="C19" s="174"/>
      <c r="D19" s="174"/>
      <c r="E19" s="174"/>
      <c r="F19" s="174"/>
      <c r="G19" s="174"/>
      <c r="H19" s="174"/>
      <c r="I19" s="174"/>
      <c r="J19" s="174"/>
      <c r="K19" s="174"/>
      <c r="L19" s="174"/>
      <c r="M19" s="174"/>
      <c r="N19" s="174"/>
      <c r="O19" s="174"/>
      <c r="P19" s="174"/>
      <c r="Q19" s="174"/>
      <c r="R19" s="174"/>
    </row>
    <row r="20">
      <c r="A20" s="255"/>
      <c r="B20" s="174"/>
      <c r="C20" s="174"/>
      <c r="D20" s="174"/>
      <c r="E20" s="174"/>
      <c r="F20" s="174"/>
      <c r="G20" s="174"/>
      <c r="H20" s="174"/>
      <c r="I20" s="174"/>
      <c r="J20" s="174"/>
      <c r="K20" s="174"/>
      <c r="L20" s="174"/>
      <c r="M20" s="174"/>
      <c r="N20" s="174"/>
      <c r="O20" s="174"/>
      <c r="P20" s="174"/>
      <c r="Q20" s="174"/>
      <c r="R20" s="174"/>
    </row>
    <row r="21">
      <c r="A21" s="255"/>
      <c r="B21" s="174"/>
      <c r="C21" s="174"/>
      <c r="D21" s="174"/>
      <c r="E21" s="174"/>
      <c r="F21" s="174"/>
      <c r="G21" s="174"/>
      <c r="H21" s="174"/>
      <c r="I21" s="174"/>
      <c r="J21" s="174"/>
      <c r="K21" s="174"/>
      <c r="L21" s="174"/>
      <c r="M21" s="174"/>
      <c r="N21" s="174"/>
      <c r="O21" s="174"/>
      <c r="P21" s="174"/>
      <c r="Q21" s="174"/>
      <c r="R21" s="174"/>
    </row>
    <row r="22">
      <c r="A22" s="255"/>
      <c r="B22" s="174"/>
      <c r="C22" s="174"/>
      <c r="D22" s="174"/>
      <c r="E22" s="174"/>
      <c r="F22" s="174"/>
      <c r="G22" s="174"/>
      <c r="H22" s="174"/>
      <c r="I22" s="174"/>
      <c r="J22" s="174"/>
      <c r="K22" s="174"/>
      <c r="L22" s="174"/>
      <c r="M22" s="174"/>
      <c r="N22" s="174"/>
      <c r="O22" s="174"/>
      <c r="P22" s="174"/>
      <c r="Q22" s="174"/>
      <c r="R22" s="174"/>
    </row>
    <row r="23">
      <c r="A23" s="255"/>
      <c r="B23" s="174"/>
      <c r="C23" s="174"/>
      <c r="D23" s="174"/>
      <c r="E23" s="174"/>
      <c r="F23" s="174"/>
      <c r="G23" s="174"/>
      <c r="H23" s="174"/>
      <c r="I23" s="174"/>
      <c r="J23" s="174"/>
      <c r="K23" s="174"/>
      <c r="L23" s="174"/>
      <c r="M23" s="174"/>
      <c r="N23" s="174"/>
      <c r="O23" s="174"/>
      <c r="P23" s="174"/>
      <c r="Q23" s="174"/>
      <c r="R23" s="174"/>
    </row>
    <row r="24">
      <c r="A24" s="255"/>
      <c r="B24" s="174"/>
      <c r="C24" s="174"/>
      <c r="D24" s="174"/>
      <c r="E24" s="174"/>
      <c r="F24" s="174"/>
      <c r="G24" s="174"/>
      <c r="H24" s="174"/>
      <c r="I24" s="174"/>
      <c r="J24" s="174"/>
      <c r="K24" s="174"/>
      <c r="L24" s="174"/>
      <c r="M24" s="174"/>
      <c r="N24" s="174"/>
      <c r="O24" s="174"/>
      <c r="P24" s="174"/>
      <c r="Q24" s="174"/>
      <c r="R24" s="174"/>
    </row>
    <row r="25">
      <c r="A25" s="255"/>
      <c r="B25" s="174"/>
      <c r="C25" s="174"/>
      <c r="D25" s="174"/>
      <c r="E25" s="174"/>
      <c r="F25" s="174"/>
      <c r="G25" s="174"/>
      <c r="H25" s="174"/>
      <c r="I25" s="174"/>
      <c r="J25" s="174"/>
      <c r="K25" s="174"/>
      <c r="L25" s="174"/>
      <c r="M25" s="174"/>
      <c r="N25" s="174"/>
      <c r="O25" s="174"/>
      <c r="P25" s="174"/>
      <c r="Q25" s="174"/>
      <c r="R25" s="174"/>
    </row>
    <row r="26">
      <c r="A26" s="255"/>
      <c r="B26" s="174"/>
      <c r="C26" s="174"/>
      <c r="D26" s="174"/>
      <c r="E26" s="174"/>
      <c r="F26" s="174"/>
      <c r="G26" s="174"/>
      <c r="H26" s="174"/>
      <c r="I26" s="174"/>
      <c r="J26" s="174"/>
      <c r="K26" s="174"/>
      <c r="L26" s="174"/>
      <c r="M26" s="174"/>
      <c r="N26" s="174"/>
      <c r="O26" s="174"/>
      <c r="P26" s="174"/>
      <c r="Q26" s="174"/>
      <c r="R26" s="174"/>
    </row>
    <row r="27">
      <c r="A27" s="255"/>
      <c r="B27" s="174"/>
      <c r="C27" s="174"/>
      <c r="D27" s="174"/>
      <c r="E27" s="174"/>
      <c r="F27" s="174"/>
      <c r="G27" s="174"/>
      <c r="H27" s="174"/>
      <c r="I27" s="174"/>
      <c r="J27" s="174"/>
      <c r="K27" s="174"/>
      <c r="L27" s="174"/>
      <c r="M27" s="174"/>
      <c r="N27" s="174"/>
      <c r="O27" s="174"/>
      <c r="P27" s="174"/>
      <c r="Q27" s="174"/>
      <c r="R27" s="174"/>
    </row>
    <row r="28">
      <c r="A28" s="255"/>
      <c r="B28" s="174"/>
      <c r="C28" s="174"/>
      <c r="D28" s="174"/>
      <c r="E28" s="174"/>
      <c r="F28" s="174"/>
      <c r="G28" s="174"/>
      <c r="H28" s="174"/>
      <c r="I28" s="174"/>
      <c r="J28" s="174"/>
      <c r="K28" s="174"/>
      <c r="L28" s="174"/>
      <c r="M28" s="174"/>
      <c r="N28" s="174"/>
      <c r="O28" s="174"/>
      <c r="P28" s="174"/>
      <c r="Q28" s="174"/>
      <c r="R28" s="174"/>
    </row>
    <row r="29">
      <c r="A29" s="255"/>
      <c r="B29" s="174"/>
      <c r="C29" s="174"/>
      <c r="D29" s="174"/>
      <c r="E29" s="174"/>
      <c r="F29" s="174"/>
      <c r="G29" s="174"/>
      <c r="H29" s="174"/>
      <c r="I29" s="174"/>
      <c r="J29" s="174"/>
      <c r="K29" s="174"/>
      <c r="L29" s="174"/>
      <c r="M29" s="174"/>
      <c r="N29" s="174"/>
      <c r="O29" s="174"/>
      <c r="P29" s="174"/>
      <c r="Q29" s="174"/>
      <c r="R29" s="174"/>
    </row>
    <row r="30">
      <c r="A30" s="255"/>
      <c r="B30" s="174"/>
      <c r="C30" s="174"/>
      <c r="D30" s="174"/>
      <c r="E30" s="174"/>
      <c r="F30" s="174"/>
      <c r="G30" s="174"/>
      <c r="H30" s="174"/>
      <c r="I30" s="174"/>
      <c r="J30" s="174"/>
      <c r="K30" s="174"/>
      <c r="L30" s="174"/>
      <c r="M30" s="174"/>
      <c r="N30" s="174"/>
      <c r="O30" s="174"/>
      <c r="P30" s="174"/>
      <c r="Q30" s="174"/>
      <c r="R30" s="174"/>
    </row>
    <row r="31">
      <c r="A31" s="255"/>
      <c r="B31" s="174"/>
      <c r="C31" s="174"/>
      <c r="D31" s="174"/>
      <c r="E31" s="174"/>
      <c r="F31" s="174"/>
      <c r="G31" s="174"/>
      <c r="H31" s="174"/>
      <c r="I31" s="174"/>
      <c r="J31" s="174"/>
      <c r="K31" s="174"/>
      <c r="L31" s="174"/>
      <c r="M31" s="174"/>
      <c r="N31" s="174"/>
      <c r="O31" s="174"/>
      <c r="P31" s="174"/>
      <c r="Q31" s="174"/>
      <c r="R31" s="174"/>
    </row>
    <row r="32">
      <c r="A32" s="255"/>
      <c r="B32" s="174"/>
      <c r="C32" s="174"/>
      <c r="D32" s="174"/>
      <c r="E32" s="174"/>
      <c r="F32" s="174"/>
      <c r="G32" s="174"/>
      <c r="H32" s="174"/>
      <c r="I32" s="174"/>
      <c r="J32" s="174"/>
      <c r="K32" s="174"/>
      <c r="L32" s="174"/>
      <c r="M32" s="174"/>
      <c r="N32" s="174"/>
      <c r="O32" s="174"/>
      <c r="P32" s="174"/>
      <c r="Q32" s="174"/>
      <c r="R32" s="174"/>
    </row>
    <row r="33">
      <c r="A33" s="255"/>
      <c r="B33" s="174"/>
      <c r="C33" s="174"/>
      <c r="D33" s="174"/>
      <c r="E33" s="174"/>
      <c r="F33" s="174"/>
      <c r="G33" s="174"/>
      <c r="H33" s="174"/>
      <c r="I33" s="174"/>
      <c r="J33" s="174"/>
      <c r="K33" s="174"/>
      <c r="L33" s="174"/>
      <c r="M33" s="174"/>
      <c r="N33" s="174"/>
      <c r="O33" s="174"/>
      <c r="P33" s="174"/>
      <c r="Q33" s="174"/>
      <c r="R33" s="174"/>
    </row>
    <row r="34">
      <c r="A34" s="255"/>
      <c r="B34" s="174"/>
      <c r="C34" s="174"/>
      <c r="D34" s="174"/>
      <c r="E34" s="174"/>
      <c r="F34" s="174"/>
      <c r="G34" s="174"/>
      <c r="H34" s="174"/>
      <c r="I34" s="174"/>
      <c r="J34" s="174"/>
      <c r="K34" s="174"/>
      <c r="L34" s="174"/>
      <c r="M34" s="174"/>
      <c r="N34" s="174"/>
      <c r="O34" s="174"/>
      <c r="P34" s="174"/>
      <c r="Q34" s="174"/>
      <c r="R34" s="174"/>
    </row>
    <row r="35">
      <c r="A35" s="255"/>
      <c r="B35" s="174"/>
      <c r="C35" s="174"/>
      <c r="D35" s="174"/>
      <c r="E35" s="174"/>
      <c r="F35" s="174"/>
      <c r="G35" s="174"/>
      <c r="H35" s="174"/>
      <c r="I35" s="174"/>
      <c r="J35" s="174"/>
      <c r="K35" s="174"/>
      <c r="L35" s="174"/>
      <c r="M35" s="174"/>
      <c r="N35" s="174"/>
      <c r="O35" s="174"/>
      <c r="P35" s="174"/>
      <c r="Q35" s="174"/>
      <c r="R35" s="174"/>
    </row>
    <row r="36">
      <c r="A36" s="255"/>
      <c r="B36" s="174"/>
      <c r="C36" s="174"/>
      <c r="D36" s="174"/>
      <c r="E36" s="174"/>
      <c r="F36" s="174"/>
      <c r="G36" s="174"/>
      <c r="H36" s="174"/>
      <c r="I36" s="174"/>
      <c r="J36" s="174"/>
      <c r="K36" s="174"/>
      <c r="L36" s="174"/>
      <c r="M36" s="174"/>
      <c r="N36" s="174"/>
      <c r="O36" s="174"/>
      <c r="P36" s="174"/>
      <c r="Q36" s="174"/>
      <c r="R36" s="174"/>
    </row>
    <row r="37">
      <c r="A37" s="255"/>
      <c r="B37" s="174"/>
      <c r="C37" s="174"/>
      <c r="D37" s="174"/>
      <c r="E37" s="174"/>
      <c r="F37" s="174"/>
      <c r="G37" s="174"/>
      <c r="H37" s="174"/>
      <c r="I37" s="174"/>
      <c r="J37" s="174"/>
      <c r="K37" s="174"/>
      <c r="L37" s="174"/>
      <c r="M37" s="174"/>
      <c r="N37" s="174"/>
      <c r="O37" s="174"/>
      <c r="P37" s="174"/>
      <c r="Q37" s="174"/>
      <c r="R37" s="174"/>
    </row>
    <row r="38">
      <c r="A38" s="255"/>
      <c r="B38" s="174"/>
      <c r="C38" s="174"/>
      <c r="D38" s="174"/>
      <c r="E38" s="174"/>
      <c r="F38" s="174"/>
      <c r="G38" s="174"/>
      <c r="H38" s="174"/>
      <c r="I38" s="174"/>
      <c r="J38" s="174"/>
      <c r="K38" s="174"/>
      <c r="L38" s="174"/>
      <c r="M38" s="174"/>
      <c r="N38" s="174"/>
      <c r="O38" s="174"/>
      <c r="P38" s="174"/>
      <c r="Q38" s="174"/>
      <c r="R38" s="174"/>
    </row>
    <row r="39">
      <c r="A39" s="255"/>
      <c r="B39" s="174"/>
      <c r="C39" s="174"/>
      <c r="D39" s="174"/>
      <c r="E39" s="174"/>
      <c r="F39" s="174"/>
      <c r="G39" s="174"/>
      <c r="H39" s="174"/>
      <c r="I39" s="174"/>
      <c r="J39" s="174"/>
      <c r="K39" s="174"/>
      <c r="L39" s="174"/>
      <c r="M39" s="174"/>
      <c r="N39" s="174"/>
      <c r="O39" s="174"/>
      <c r="P39" s="174"/>
      <c r="Q39" s="174"/>
      <c r="R39" s="174"/>
    </row>
    <row r="40">
      <c r="A40" s="255"/>
      <c r="B40" s="174"/>
      <c r="C40" s="174"/>
      <c r="D40" s="174"/>
      <c r="E40" s="174"/>
      <c r="F40" s="174"/>
      <c r="G40" s="174"/>
      <c r="H40" s="174"/>
      <c r="I40" s="174"/>
      <c r="J40" s="174"/>
      <c r="K40" s="174"/>
      <c r="L40" s="174"/>
      <c r="M40" s="174"/>
      <c r="N40" s="174"/>
      <c r="O40" s="174"/>
      <c r="P40" s="174"/>
      <c r="Q40" s="174"/>
      <c r="R40" s="174"/>
    </row>
    <row r="41">
      <c r="A41" s="255"/>
      <c r="B41" s="174"/>
      <c r="C41" s="174"/>
      <c r="D41" s="174"/>
      <c r="E41" s="174"/>
      <c r="F41" s="174"/>
      <c r="G41" s="174"/>
      <c r="H41" s="174"/>
      <c r="I41" s="174"/>
      <c r="J41" s="174"/>
      <c r="K41" s="174"/>
      <c r="L41" s="174"/>
      <c r="M41" s="174"/>
      <c r="N41" s="174"/>
      <c r="O41" s="174"/>
      <c r="P41" s="174"/>
      <c r="Q41" s="174"/>
      <c r="R41" s="174"/>
    </row>
    <row r="42">
      <c r="A42" s="255"/>
      <c r="B42" s="174"/>
      <c r="C42" s="174"/>
      <c r="D42" s="174"/>
      <c r="E42" s="174"/>
      <c r="F42" s="174"/>
      <c r="G42" s="174"/>
      <c r="H42" s="174"/>
      <c r="I42" s="174"/>
      <c r="J42" s="174"/>
      <c r="K42" s="174"/>
      <c r="L42" s="174"/>
      <c r="M42" s="174"/>
      <c r="N42" s="174"/>
      <c r="O42" s="174"/>
      <c r="P42" s="174"/>
      <c r="Q42" s="174"/>
      <c r="R42" s="174"/>
    </row>
    <row r="43">
      <c r="A43" s="255"/>
      <c r="B43" s="174"/>
      <c r="C43" s="174"/>
      <c r="D43" s="174"/>
      <c r="E43" s="174"/>
      <c r="F43" s="174"/>
      <c r="G43" s="174"/>
      <c r="H43" s="174"/>
      <c r="I43" s="174"/>
      <c r="J43" s="174"/>
      <c r="K43" s="174"/>
      <c r="L43" s="174"/>
      <c r="M43" s="174"/>
      <c r="N43" s="174"/>
      <c r="O43" s="174"/>
      <c r="P43" s="174"/>
      <c r="Q43" s="174"/>
      <c r="R43" s="174"/>
    </row>
    <row r="44">
      <c r="A44" s="255"/>
      <c r="B44" s="174"/>
      <c r="C44" s="174"/>
      <c r="D44" s="174"/>
      <c r="E44" s="174"/>
      <c r="F44" s="174"/>
      <c r="G44" s="174"/>
      <c r="H44" s="174"/>
      <c r="I44" s="174"/>
      <c r="J44" s="174"/>
      <c r="K44" s="174"/>
      <c r="L44" s="174"/>
      <c r="M44" s="174"/>
      <c r="N44" s="174"/>
      <c r="O44" s="174"/>
      <c r="P44" s="174"/>
      <c r="Q44" s="174"/>
      <c r="R44" s="174"/>
    </row>
    <row r="45">
      <c r="A45" s="255"/>
      <c r="B45" s="174"/>
      <c r="C45" s="174"/>
      <c r="D45" s="174"/>
      <c r="E45" s="174"/>
      <c r="F45" s="174"/>
      <c r="G45" s="174"/>
      <c r="H45" s="174"/>
      <c r="I45" s="174"/>
      <c r="J45" s="174"/>
      <c r="K45" s="174"/>
      <c r="L45" s="174"/>
      <c r="M45" s="174"/>
      <c r="N45" s="174"/>
      <c r="O45" s="174"/>
      <c r="P45" s="174"/>
      <c r="Q45" s="174"/>
      <c r="R45" s="174"/>
    </row>
    <row r="46">
      <c r="A46" s="255"/>
      <c r="B46" s="174"/>
      <c r="C46" s="174"/>
      <c r="D46" s="174"/>
      <c r="E46" s="174"/>
      <c r="F46" s="174"/>
      <c r="G46" s="174"/>
      <c r="H46" s="174"/>
      <c r="I46" s="174"/>
      <c r="J46" s="174"/>
      <c r="K46" s="174"/>
      <c r="L46" s="174"/>
      <c r="M46" s="174"/>
      <c r="N46" s="174"/>
      <c r="O46" s="174"/>
      <c r="P46" s="174"/>
      <c r="Q46" s="174"/>
      <c r="R46" s="174"/>
    </row>
    <row r="47">
      <c r="A47" s="255"/>
      <c r="B47" s="174"/>
      <c r="C47" s="174"/>
      <c r="D47" s="174"/>
      <c r="E47" s="174"/>
      <c r="F47" s="174"/>
      <c r="G47" s="174"/>
      <c r="H47" s="174"/>
      <c r="I47" s="174"/>
      <c r="J47" s="174"/>
      <c r="K47" s="174"/>
      <c r="L47" s="174"/>
      <c r="M47" s="174"/>
      <c r="N47" s="174"/>
      <c r="O47" s="174"/>
      <c r="P47" s="174"/>
      <c r="Q47" s="174"/>
      <c r="R47" s="174"/>
    </row>
    <row r="48">
      <c r="A48" s="255"/>
      <c r="B48" s="174"/>
      <c r="C48" s="174"/>
      <c r="D48" s="174"/>
      <c r="E48" s="174"/>
      <c r="F48" s="174"/>
      <c r="G48" s="174"/>
      <c r="H48" s="174"/>
      <c r="I48" s="174"/>
      <c r="J48" s="174"/>
      <c r="K48" s="174"/>
      <c r="L48" s="174"/>
      <c r="M48" s="174"/>
      <c r="N48" s="174"/>
      <c r="O48" s="174"/>
      <c r="P48" s="174"/>
      <c r="Q48" s="174"/>
      <c r="R48" s="174"/>
    </row>
    <row r="49">
      <c r="A49" s="255"/>
      <c r="B49" s="174"/>
      <c r="C49" s="174"/>
      <c r="D49" s="174"/>
      <c r="E49" s="174"/>
      <c r="F49" s="174"/>
      <c r="G49" s="174"/>
      <c r="H49" s="174"/>
      <c r="I49" s="174"/>
      <c r="J49" s="174"/>
      <c r="K49" s="174"/>
      <c r="L49" s="174"/>
      <c r="M49" s="174"/>
      <c r="N49" s="174"/>
      <c r="O49" s="174"/>
      <c r="P49" s="174"/>
      <c r="Q49" s="174"/>
      <c r="R49" s="174"/>
    </row>
    <row r="50">
      <c r="A50" s="255"/>
      <c r="B50" s="174"/>
      <c r="C50" s="174"/>
      <c r="D50" s="174"/>
      <c r="E50" s="174"/>
      <c r="F50" s="174"/>
      <c r="G50" s="174"/>
      <c r="H50" s="174"/>
      <c r="I50" s="174"/>
      <c r="J50" s="174"/>
      <c r="K50" s="174"/>
      <c r="L50" s="174"/>
      <c r="M50" s="174"/>
      <c r="N50" s="174"/>
      <c r="O50" s="174"/>
      <c r="P50" s="174"/>
      <c r="Q50" s="174"/>
      <c r="R50" s="174"/>
    </row>
    <row r="51">
      <c r="A51" s="255"/>
      <c r="B51" s="174"/>
      <c r="C51" s="174"/>
      <c r="D51" s="174"/>
      <c r="E51" s="174"/>
      <c r="F51" s="174"/>
      <c r="G51" s="174"/>
      <c r="H51" s="174"/>
      <c r="I51" s="174"/>
      <c r="J51" s="174"/>
      <c r="K51" s="174"/>
      <c r="L51" s="174"/>
      <c r="M51" s="174"/>
      <c r="N51" s="174"/>
      <c r="O51" s="174"/>
      <c r="P51" s="174"/>
      <c r="Q51" s="174"/>
      <c r="R51" s="174"/>
    </row>
    <row r="52">
      <c r="A52" s="255"/>
      <c r="B52" s="174"/>
      <c r="C52" s="174"/>
      <c r="D52" s="174"/>
      <c r="E52" s="174"/>
      <c r="F52" s="174"/>
      <c r="G52" s="174"/>
      <c r="H52" s="174"/>
      <c r="I52" s="174"/>
      <c r="J52" s="174"/>
      <c r="K52" s="174"/>
      <c r="L52" s="174"/>
      <c r="M52" s="174"/>
      <c r="N52" s="174"/>
      <c r="O52" s="174"/>
      <c r="P52" s="174"/>
      <c r="Q52" s="174"/>
      <c r="R52" s="174"/>
    </row>
    <row r="53">
      <c r="A53" s="255"/>
      <c r="B53" s="174"/>
      <c r="C53" s="174"/>
      <c r="D53" s="174"/>
      <c r="E53" s="174"/>
      <c r="F53" s="174"/>
      <c r="G53" s="174"/>
      <c r="H53" s="174"/>
      <c r="I53" s="174"/>
      <c r="J53" s="174"/>
      <c r="K53" s="174"/>
      <c r="L53" s="174"/>
      <c r="M53" s="174"/>
      <c r="N53" s="174"/>
      <c r="O53" s="174"/>
      <c r="P53" s="174"/>
      <c r="Q53" s="174"/>
      <c r="R53" s="174"/>
    </row>
    <row r="54">
      <c r="A54" s="255"/>
      <c r="B54" s="174"/>
      <c r="C54" s="174"/>
      <c r="D54" s="174"/>
      <c r="E54" s="174"/>
      <c r="F54" s="174"/>
      <c r="G54" s="174"/>
      <c r="H54" s="174"/>
      <c r="I54" s="174"/>
      <c r="J54" s="174"/>
      <c r="K54" s="174"/>
      <c r="L54" s="174"/>
      <c r="M54" s="174"/>
      <c r="N54" s="174"/>
      <c r="O54" s="174"/>
      <c r="P54" s="174"/>
      <c r="Q54" s="174"/>
      <c r="R54" s="174"/>
    </row>
    <row r="55">
      <c r="A55" s="255"/>
      <c r="B55" s="174"/>
      <c r="C55" s="174"/>
      <c r="D55" s="174"/>
      <c r="E55" s="174"/>
      <c r="F55" s="174"/>
      <c r="G55" s="174"/>
      <c r="H55" s="174"/>
      <c r="I55" s="174"/>
      <c r="J55" s="174"/>
      <c r="K55" s="174"/>
      <c r="L55" s="174"/>
      <c r="M55" s="174"/>
      <c r="N55" s="174"/>
      <c r="O55" s="174"/>
      <c r="P55" s="174"/>
      <c r="Q55" s="174"/>
      <c r="R55" s="174"/>
    </row>
    <row r="56">
      <c r="A56" s="255"/>
      <c r="B56" s="174"/>
      <c r="C56" s="174"/>
      <c r="D56" s="174"/>
      <c r="E56" s="174"/>
      <c r="F56" s="174"/>
      <c r="G56" s="174"/>
      <c r="H56" s="174"/>
      <c r="I56" s="174"/>
      <c r="J56" s="174"/>
      <c r="K56" s="174"/>
      <c r="L56" s="174"/>
      <c r="M56" s="174"/>
      <c r="N56" s="174"/>
      <c r="O56" s="174"/>
      <c r="P56" s="174"/>
      <c r="Q56" s="174"/>
      <c r="R56" s="174"/>
    </row>
    <row r="57">
      <c r="A57" s="255"/>
      <c r="B57" s="174"/>
      <c r="C57" s="174"/>
      <c r="D57" s="174"/>
      <c r="E57" s="174"/>
      <c r="F57" s="174"/>
      <c r="G57" s="174"/>
      <c r="H57" s="174"/>
      <c r="I57" s="174"/>
      <c r="J57" s="174"/>
      <c r="K57" s="174"/>
      <c r="L57" s="174"/>
      <c r="M57" s="174"/>
      <c r="N57" s="174"/>
      <c r="O57" s="174"/>
      <c r="P57" s="174"/>
      <c r="Q57" s="174"/>
      <c r="R57" s="174"/>
    </row>
    <row r="58">
      <c r="A58" s="255"/>
      <c r="B58" s="174"/>
      <c r="C58" s="174"/>
      <c r="D58" s="174"/>
      <c r="E58" s="174"/>
      <c r="F58" s="174"/>
      <c r="G58" s="174"/>
      <c r="H58" s="174"/>
      <c r="I58" s="174"/>
      <c r="J58" s="174"/>
      <c r="K58" s="174"/>
      <c r="L58" s="174"/>
      <c r="M58" s="174"/>
      <c r="N58" s="174"/>
      <c r="O58" s="174"/>
      <c r="P58" s="174"/>
      <c r="Q58" s="174"/>
      <c r="R58" s="174"/>
    </row>
    <row r="59">
      <c r="A59" s="255"/>
      <c r="B59" s="174"/>
      <c r="C59" s="174"/>
      <c r="D59" s="174"/>
      <c r="E59" s="174"/>
      <c r="F59" s="174"/>
      <c r="G59" s="174"/>
      <c r="H59" s="174"/>
      <c r="I59" s="174"/>
      <c r="J59" s="174"/>
      <c r="K59" s="174"/>
      <c r="L59" s="174"/>
      <c r="M59" s="174"/>
      <c r="N59" s="174"/>
      <c r="O59" s="174"/>
      <c r="P59" s="174"/>
      <c r="Q59" s="174"/>
      <c r="R59" s="174"/>
    </row>
    <row r="60">
      <c r="A60" s="255"/>
      <c r="B60" s="174"/>
      <c r="C60" s="174"/>
      <c r="D60" s="174"/>
      <c r="E60" s="174"/>
      <c r="F60" s="174"/>
      <c r="G60" s="174"/>
      <c r="H60" s="174"/>
      <c r="I60" s="174"/>
      <c r="J60" s="174"/>
      <c r="K60" s="174"/>
      <c r="L60" s="174"/>
      <c r="M60" s="174"/>
      <c r="N60" s="174"/>
      <c r="O60" s="174"/>
      <c r="P60" s="174"/>
      <c r="Q60" s="174"/>
      <c r="R60" s="174"/>
    </row>
    <row r="61">
      <c r="A61" s="255"/>
      <c r="B61" s="174"/>
      <c r="C61" s="174"/>
      <c r="D61" s="174"/>
      <c r="E61" s="174"/>
      <c r="F61" s="174"/>
      <c r="G61" s="174"/>
      <c r="H61" s="174"/>
      <c r="I61" s="174"/>
      <c r="J61" s="174"/>
      <c r="K61" s="174"/>
      <c r="L61" s="174"/>
      <c r="M61" s="174"/>
      <c r="N61" s="174"/>
      <c r="O61" s="174"/>
      <c r="P61" s="174"/>
      <c r="Q61" s="174"/>
      <c r="R61" s="174"/>
    </row>
    <row r="62">
      <c r="A62" s="255"/>
      <c r="B62" s="174"/>
      <c r="C62" s="174"/>
      <c r="D62" s="174"/>
      <c r="E62" s="174"/>
      <c r="F62" s="174"/>
      <c r="G62" s="174"/>
      <c r="H62" s="174"/>
      <c r="I62" s="174"/>
      <c r="J62" s="174"/>
      <c r="K62" s="174"/>
      <c r="L62" s="174"/>
      <c r="M62" s="174"/>
      <c r="N62" s="174"/>
      <c r="O62" s="174"/>
      <c r="P62" s="174"/>
      <c r="Q62" s="174"/>
      <c r="R62" s="174"/>
    </row>
    <row r="63">
      <c r="A63" s="255"/>
      <c r="B63" s="174"/>
      <c r="C63" s="174"/>
      <c r="D63" s="174"/>
      <c r="E63" s="174"/>
      <c r="F63" s="174"/>
      <c r="G63" s="174"/>
      <c r="H63" s="174"/>
      <c r="I63" s="174"/>
      <c r="J63" s="174"/>
      <c r="K63" s="174"/>
      <c r="L63" s="174"/>
      <c r="M63" s="174"/>
      <c r="N63" s="174"/>
      <c r="O63" s="174"/>
      <c r="P63" s="174"/>
      <c r="Q63" s="174"/>
      <c r="R63" s="174"/>
    </row>
    <row r="64">
      <c r="A64" s="255"/>
      <c r="B64" s="174"/>
      <c r="C64" s="174"/>
      <c r="D64" s="174"/>
      <c r="E64" s="174"/>
      <c r="F64" s="174"/>
      <c r="G64" s="174"/>
      <c r="H64" s="174"/>
      <c r="I64" s="174"/>
      <c r="J64" s="174"/>
      <c r="K64" s="174"/>
      <c r="L64" s="174"/>
      <c r="M64" s="174"/>
      <c r="N64" s="174"/>
      <c r="O64" s="174"/>
      <c r="P64" s="174"/>
      <c r="Q64" s="174"/>
      <c r="R64" s="174"/>
    </row>
    <row r="65">
      <c r="A65" s="255"/>
      <c r="B65" s="174"/>
      <c r="C65" s="174"/>
      <c r="D65" s="174"/>
      <c r="E65" s="174"/>
      <c r="F65" s="174"/>
      <c r="G65" s="174"/>
      <c r="H65" s="174"/>
      <c r="I65" s="174"/>
      <c r="J65" s="174"/>
      <c r="K65" s="174"/>
      <c r="L65" s="174"/>
      <c r="M65" s="174"/>
      <c r="N65" s="174"/>
      <c r="O65" s="174"/>
      <c r="P65" s="174"/>
      <c r="Q65" s="174"/>
      <c r="R65" s="174"/>
    </row>
    <row r="66">
      <c r="A66" s="255"/>
      <c r="B66" s="174"/>
      <c r="C66" s="174"/>
      <c r="D66" s="174"/>
      <c r="E66" s="174"/>
      <c r="F66" s="174"/>
      <c r="G66" s="174"/>
      <c r="H66" s="174"/>
      <c r="I66" s="174"/>
      <c r="J66" s="174"/>
      <c r="K66" s="174"/>
      <c r="L66" s="174"/>
      <c r="M66" s="174"/>
      <c r="N66" s="174"/>
      <c r="O66" s="174"/>
      <c r="P66" s="174"/>
      <c r="Q66" s="174"/>
      <c r="R66" s="174"/>
    </row>
    <row r="67">
      <c r="A67" s="255"/>
      <c r="B67" s="174"/>
      <c r="C67" s="174"/>
      <c r="D67" s="174"/>
      <c r="E67" s="174"/>
      <c r="F67" s="174"/>
      <c r="G67" s="174"/>
      <c r="H67" s="174"/>
      <c r="I67" s="174"/>
      <c r="J67" s="174"/>
      <c r="K67" s="174"/>
      <c r="L67" s="174"/>
      <c r="M67" s="174"/>
      <c r="N67" s="174"/>
      <c r="O67" s="174"/>
      <c r="P67" s="174"/>
      <c r="Q67" s="174"/>
      <c r="R67" s="174"/>
    </row>
    <row r="68">
      <c r="A68" s="255"/>
      <c r="B68" s="174"/>
      <c r="C68" s="174"/>
      <c r="D68" s="174"/>
      <c r="E68" s="174"/>
      <c r="F68" s="174"/>
      <c r="G68" s="174"/>
      <c r="H68" s="174"/>
      <c r="I68" s="174"/>
      <c r="J68" s="174"/>
      <c r="K68" s="174"/>
      <c r="L68" s="174"/>
      <c r="M68" s="174"/>
      <c r="N68" s="174"/>
      <c r="O68" s="174"/>
      <c r="P68" s="174"/>
      <c r="Q68" s="174"/>
      <c r="R68" s="174"/>
    </row>
    <row r="69">
      <c r="A69" s="255"/>
      <c r="B69" s="174"/>
      <c r="C69" s="174"/>
      <c r="D69" s="174"/>
      <c r="E69" s="174"/>
      <c r="F69" s="174"/>
      <c r="G69" s="174"/>
      <c r="H69" s="174"/>
      <c r="I69" s="174"/>
      <c r="J69" s="174"/>
      <c r="K69" s="174"/>
      <c r="L69" s="174"/>
      <c r="M69" s="174"/>
      <c r="N69" s="174"/>
      <c r="O69" s="174"/>
      <c r="P69" s="174"/>
      <c r="Q69" s="174"/>
      <c r="R69" s="174"/>
    </row>
    <row r="70">
      <c r="A70" s="255"/>
      <c r="B70" s="174"/>
      <c r="C70" s="174"/>
      <c r="D70" s="174"/>
      <c r="E70" s="174"/>
      <c r="F70" s="174"/>
      <c r="G70" s="174"/>
      <c r="H70" s="174"/>
      <c r="I70" s="174"/>
      <c r="J70" s="174"/>
      <c r="K70" s="174"/>
      <c r="L70" s="174"/>
      <c r="M70" s="174"/>
      <c r="N70" s="174"/>
      <c r="O70" s="174"/>
      <c r="P70" s="174"/>
      <c r="Q70" s="174"/>
      <c r="R70" s="174"/>
    </row>
    <row r="71">
      <c r="A71" s="255"/>
      <c r="B71" s="174"/>
      <c r="C71" s="174"/>
      <c r="D71" s="174"/>
      <c r="E71" s="174"/>
      <c r="F71" s="174"/>
      <c r="G71" s="174"/>
      <c r="H71" s="174"/>
      <c r="I71" s="174"/>
      <c r="J71" s="174"/>
      <c r="K71" s="174"/>
      <c r="L71" s="174"/>
      <c r="M71" s="174"/>
      <c r="N71" s="174"/>
      <c r="O71" s="174"/>
      <c r="P71" s="174"/>
      <c r="Q71" s="174"/>
      <c r="R71" s="174"/>
    </row>
    <row r="72">
      <c r="A72" s="255"/>
      <c r="B72" s="174"/>
      <c r="C72" s="174"/>
      <c r="D72" s="174"/>
      <c r="E72" s="174"/>
      <c r="F72" s="174"/>
      <c r="G72" s="174"/>
      <c r="H72" s="174"/>
      <c r="I72" s="174"/>
      <c r="J72" s="174"/>
      <c r="K72" s="174"/>
      <c r="L72" s="174"/>
      <c r="M72" s="174"/>
      <c r="N72" s="174"/>
      <c r="O72" s="174"/>
      <c r="P72" s="174"/>
      <c r="Q72" s="174"/>
      <c r="R72" s="174"/>
    </row>
    <row r="73">
      <c r="A73" s="255"/>
      <c r="B73" s="174"/>
      <c r="C73" s="174"/>
      <c r="D73" s="174"/>
      <c r="E73" s="174"/>
      <c r="F73" s="174"/>
      <c r="G73" s="174"/>
      <c r="H73" s="174"/>
      <c r="I73" s="174"/>
      <c r="J73" s="174"/>
      <c r="K73" s="174"/>
      <c r="L73" s="174"/>
      <c r="M73" s="174"/>
      <c r="N73" s="174"/>
      <c r="O73" s="174"/>
      <c r="P73" s="174"/>
      <c r="Q73" s="174"/>
      <c r="R73" s="174"/>
    </row>
    <row r="74">
      <c r="A74" s="255"/>
      <c r="B74" s="174"/>
      <c r="C74" s="174"/>
      <c r="D74" s="174"/>
      <c r="E74" s="174"/>
      <c r="F74" s="174"/>
      <c r="G74" s="174"/>
      <c r="H74" s="174"/>
      <c r="I74" s="174"/>
      <c r="J74" s="174"/>
      <c r="K74" s="174"/>
      <c r="L74" s="174"/>
      <c r="M74" s="174"/>
      <c r="N74" s="174"/>
      <c r="O74" s="174"/>
      <c r="P74" s="174"/>
      <c r="Q74" s="174"/>
      <c r="R74" s="174"/>
    </row>
    <row r="75">
      <c r="A75" s="255"/>
      <c r="B75" s="174"/>
      <c r="C75" s="174"/>
      <c r="D75" s="174"/>
      <c r="E75" s="174"/>
      <c r="F75" s="174"/>
      <c r="G75" s="174"/>
      <c r="H75" s="174"/>
      <c r="I75" s="174"/>
      <c r="J75" s="174"/>
      <c r="K75" s="174"/>
      <c r="L75" s="174"/>
      <c r="M75" s="174"/>
      <c r="N75" s="174"/>
      <c r="O75" s="174"/>
      <c r="P75" s="174"/>
      <c r="Q75" s="174"/>
      <c r="R75" s="174"/>
    </row>
    <row r="76">
      <c r="A76" s="255"/>
      <c r="B76" s="174"/>
      <c r="C76" s="174"/>
      <c r="D76" s="174"/>
      <c r="E76" s="174"/>
      <c r="F76" s="174"/>
      <c r="G76" s="174"/>
      <c r="H76" s="174"/>
      <c r="I76" s="174"/>
      <c r="J76" s="174"/>
      <c r="K76" s="174"/>
      <c r="L76" s="174"/>
      <c r="M76" s="174"/>
      <c r="N76" s="174"/>
      <c r="O76" s="174"/>
      <c r="P76" s="174"/>
      <c r="Q76" s="174"/>
      <c r="R76" s="174"/>
    </row>
    <row r="77">
      <c r="A77" s="255"/>
      <c r="B77" s="174"/>
      <c r="C77" s="174"/>
      <c r="D77" s="174"/>
      <c r="E77" s="174"/>
      <c r="F77" s="174"/>
      <c r="G77" s="174"/>
      <c r="H77" s="174"/>
      <c r="I77" s="174"/>
      <c r="J77" s="174"/>
      <c r="K77" s="174"/>
      <c r="L77" s="174"/>
      <c r="M77" s="174"/>
      <c r="N77" s="174"/>
      <c r="O77" s="174"/>
      <c r="P77" s="174"/>
      <c r="Q77" s="174"/>
      <c r="R77" s="174"/>
    </row>
    <row r="78">
      <c r="A78" s="255"/>
      <c r="B78" s="174"/>
      <c r="C78" s="174"/>
      <c r="D78" s="174"/>
      <c r="E78" s="174"/>
      <c r="F78" s="174"/>
      <c r="G78" s="174"/>
      <c r="H78" s="174"/>
      <c r="I78" s="174"/>
      <c r="J78" s="174"/>
      <c r="K78" s="174"/>
      <c r="L78" s="174"/>
      <c r="M78" s="174"/>
      <c r="N78" s="174"/>
      <c r="O78" s="174"/>
      <c r="P78" s="174"/>
      <c r="Q78" s="174"/>
      <c r="R78" s="174"/>
    </row>
    <row r="79">
      <c r="A79" s="255"/>
      <c r="B79" s="174"/>
      <c r="C79" s="174"/>
      <c r="D79" s="174"/>
      <c r="E79" s="174"/>
      <c r="F79" s="174"/>
      <c r="G79" s="174"/>
      <c r="H79" s="174"/>
      <c r="I79" s="174"/>
      <c r="J79" s="174"/>
      <c r="K79" s="174"/>
      <c r="L79" s="174"/>
      <c r="M79" s="174"/>
      <c r="N79" s="174"/>
      <c r="O79" s="174"/>
      <c r="P79" s="174"/>
      <c r="Q79" s="174"/>
      <c r="R79" s="174"/>
    </row>
    <row r="80">
      <c r="A80" s="255"/>
      <c r="B80" s="174"/>
      <c r="C80" s="174"/>
      <c r="D80" s="174"/>
      <c r="E80" s="174"/>
      <c r="F80" s="174"/>
      <c r="G80" s="174"/>
      <c r="H80" s="174"/>
      <c r="I80" s="174"/>
      <c r="J80" s="174"/>
      <c r="K80" s="174"/>
      <c r="L80" s="174"/>
      <c r="M80" s="174"/>
      <c r="N80" s="174"/>
      <c r="O80" s="174"/>
      <c r="P80" s="174"/>
      <c r="Q80" s="174"/>
      <c r="R80" s="174"/>
    </row>
    <row r="81">
      <c r="A81" s="255"/>
      <c r="B81" s="174"/>
      <c r="C81" s="174"/>
      <c r="D81" s="174"/>
      <c r="E81" s="174"/>
      <c r="F81" s="174"/>
      <c r="G81" s="174"/>
      <c r="H81" s="174"/>
      <c r="I81" s="174"/>
      <c r="J81" s="174"/>
      <c r="K81" s="174"/>
      <c r="L81" s="174"/>
      <c r="M81" s="174"/>
      <c r="N81" s="174"/>
      <c r="O81" s="174"/>
      <c r="P81" s="174"/>
      <c r="Q81" s="174"/>
      <c r="R81" s="174"/>
    </row>
    <row r="82">
      <c r="A82" s="255"/>
      <c r="B82" s="174"/>
      <c r="C82" s="174"/>
      <c r="D82" s="174"/>
      <c r="E82" s="174"/>
      <c r="F82" s="174"/>
      <c r="G82" s="174"/>
      <c r="H82" s="174"/>
      <c r="I82" s="174"/>
      <c r="J82" s="174"/>
      <c r="K82" s="174"/>
      <c r="L82" s="174"/>
      <c r="M82" s="174"/>
      <c r="N82" s="174"/>
      <c r="O82" s="174"/>
      <c r="P82" s="174"/>
      <c r="Q82" s="174"/>
      <c r="R82" s="174"/>
    </row>
    <row r="83">
      <c r="A83" s="255"/>
      <c r="B83" s="174"/>
      <c r="C83" s="174"/>
      <c r="D83" s="174"/>
      <c r="E83" s="174"/>
      <c r="F83" s="174"/>
      <c r="G83" s="174"/>
      <c r="H83" s="174"/>
      <c r="I83" s="174"/>
      <c r="J83" s="174"/>
      <c r="K83" s="174"/>
      <c r="L83" s="174"/>
      <c r="M83" s="174"/>
      <c r="N83" s="174"/>
      <c r="O83" s="174"/>
      <c r="P83" s="174"/>
      <c r="Q83" s="174"/>
      <c r="R83" s="174"/>
    </row>
    <row r="84">
      <c r="A84" s="255"/>
      <c r="B84" s="174"/>
      <c r="C84" s="174"/>
      <c r="D84" s="174"/>
      <c r="E84" s="174"/>
      <c r="F84" s="174"/>
      <c r="G84" s="174"/>
      <c r="H84" s="174"/>
      <c r="I84" s="174"/>
      <c r="J84" s="174"/>
      <c r="K84" s="174"/>
      <c r="L84" s="174"/>
      <c r="M84" s="174"/>
      <c r="N84" s="174"/>
      <c r="O84" s="174"/>
      <c r="P84" s="174"/>
      <c r="Q84" s="174"/>
      <c r="R84" s="174"/>
    </row>
    <row r="85">
      <c r="A85" s="255"/>
      <c r="B85" s="174"/>
      <c r="C85" s="174"/>
      <c r="D85" s="174"/>
      <c r="E85" s="174"/>
      <c r="F85" s="174"/>
      <c r="G85" s="174"/>
      <c r="H85" s="174"/>
      <c r="I85" s="174"/>
      <c r="J85" s="174"/>
      <c r="K85" s="174"/>
      <c r="L85" s="174"/>
      <c r="M85" s="174"/>
      <c r="N85" s="174"/>
      <c r="O85" s="174"/>
      <c r="P85" s="174"/>
      <c r="Q85" s="174"/>
      <c r="R85" s="174"/>
    </row>
    <row r="86">
      <c r="A86" s="255"/>
      <c r="B86" s="174"/>
      <c r="C86" s="174"/>
      <c r="D86" s="174"/>
      <c r="E86" s="174"/>
      <c r="F86" s="174"/>
      <c r="G86" s="174"/>
      <c r="H86" s="174"/>
      <c r="I86" s="174"/>
      <c r="J86" s="174"/>
      <c r="K86" s="174"/>
      <c r="L86" s="174"/>
      <c r="M86" s="174"/>
      <c r="N86" s="174"/>
      <c r="O86" s="174"/>
      <c r="P86" s="174"/>
      <c r="Q86" s="174"/>
      <c r="R86" s="174"/>
    </row>
    <row r="87">
      <c r="A87" s="255"/>
      <c r="B87" s="174"/>
      <c r="C87" s="174"/>
      <c r="D87" s="174"/>
      <c r="E87" s="174"/>
      <c r="F87" s="174"/>
      <c r="G87" s="174"/>
      <c r="H87" s="174"/>
      <c r="I87" s="174"/>
      <c r="J87" s="174"/>
      <c r="K87" s="174"/>
      <c r="L87" s="174"/>
      <c r="M87" s="174"/>
      <c r="N87" s="174"/>
      <c r="O87" s="174"/>
      <c r="P87" s="174"/>
      <c r="Q87" s="174"/>
      <c r="R87" s="174"/>
    </row>
    <row r="88">
      <c r="A88" s="255"/>
      <c r="B88" s="174"/>
      <c r="C88" s="174"/>
      <c r="D88" s="174"/>
      <c r="E88" s="174"/>
      <c r="F88" s="174"/>
      <c r="G88" s="174"/>
      <c r="H88" s="174"/>
      <c r="I88" s="174"/>
      <c r="J88" s="174"/>
      <c r="K88" s="174"/>
      <c r="L88" s="174"/>
      <c r="M88" s="174"/>
      <c r="N88" s="174"/>
      <c r="O88" s="174"/>
      <c r="P88" s="174"/>
      <c r="Q88" s="174"/>
      <c r="R88" s="174"/>
    </row>
    <row r="89">
      <c r="A89" s="255"/>
      <c r="B89" s="174"/>
      <c r="C89" s="174"/>
      <c r="D89" s="174"/>
      <c r="E89" s="174"/>
      <c r="F89" s="174"/>
      <c r="G89" s="174"/>
      <c r="H89" s="174"/>
      <c r="I89" s="174"/>
      <c r="J89" s="174"/>
      <c r="K89" s="174"/>
      <c r="L89" s="174"/>
      <c r="M89" s="174"/>
      <c r="N89" s="174"/>
      <c r="O89" s="174"/>
      <c r="P89" s="174"/>
      <c r="Q89" s="174"/>
      <c r="R89" s="174"/>
    </row>
    <row r="90">
      <c r="A90" s="255"/>
      <c r="B90" s="174"/>
      <c r="C90" s="174"/>
      <c r="D90" s="174"/>
      <c r="E90" s="174"/>
      <c r="F90" s="174"/>
      <c r="G90" s="174"/>
      <c r="H90" s="174"/>
      <c r="I90" s="174"/>
      <c r="J90" s="174"/>
      <c r="K90" s="174"/>
      <c r="L90" s="174"/>
      <c r="M90" s="174"/>
      <c r="N90" s="174"/>
      <c r="O90" s="174"/>
      <c r="P90" s="174"/>
      <c r="Q90" s="174"/>
      <c r="R90" s="174"/>
    </row>
    <row r="91">
      <c r="A91" s="255"/>
      <c r="B91" s="174"/>
      <c r="C91" s="174"/>
      <c r="D91" s="174"/>
      <c r="E91" s="174"/>
      <c r="F91" s="174"/>
      <c r="G91" s="174"/>
      <c r="H91" s="174"/>
      <c r="I91" s="174"/>
      <c r="J91" s="174"/>
      <c r="K91" s="174"/>
      <c r="L91" s="174"/>
      <c r="M91" s="174"/>
      <c r="N91" s="174"/>
      <c r="O91" s="174"/>
      <c r="P91" s="174"/>
      <c r="Q91" s="174"/>
      <c r="R91" s="174"/>
    </row>
    <row r="92">
      <c r="A92" s="255"/>
      <c r="B92" s="174"/>
      <c r="C92" s="174"/>
      <c r="D92" s="174"/>
      <c r="E92" s="174"/>
      <c r="F92" s="174"/>
      <c r="G92" s="174"/>
      <c r="H92" s="174"/>
      <c r="I92" s="174"/>
      <c r="J92" s="174"/>
      <c r="K92" s="174"/>
      <c r="L92" s="174"/>
      <c r="M92" s="174"/>
      <c r="N92" s="174"/>
      <c r="O92" s="174"/>
      <c r="P92" s="174"/>
      <c r="Q92" s="174"/>
      <c r="R92" s="174"/>
    </row>
    <row r="93">
      <c r="A93" s="255"/>
      <c r="B93" s="174"/>
      <c r="C93" s="174"/>
      <c r="D93" s="174"/>
      <c r="E93" s="174"/>
      <c r="F93" s="174"/>
      <c r="G93" s="174"/>
      <c r="H93" s="174"/>
      <c r="I93" s="174"/>
      <c r="J93" s="174"/>
      <c r="K93" s="174"/>
      <c r="L93" s="174"/>
      <c r="M93" s="174"/>
      <c r="N93" s="174"/>
      <c r="O93" s="174"/>
      <c r="P93" s="174"/>
      <c r="Q93" s="174"/>
      <c r="R93" s="174"/>
    </row>
    <row r="94">
      <c r="A94" s="255"/>
      <c r="B94" s="174"/>
      <c r="C94" s="174"/>
      <c r="D94" s="174"/>
      <c r="E94" s="174"/>
      <c r="F94" s="174"/>
      <c r="G94" s="174"/>
      <c r="H94" s="174"/>
      <c r="I94" s="174"/>
      <c r="J94" s="174"/>
      <c r="K94" s="174"/>
      <c r="L94" s="174"/>
      <c r="M94" s="174"/>
      <c r="N94" s="174"/>
      <c r="O94" s="174"/>
      <c r="P94" s="174"/>
      <c r="Q94" s="174"/>
      <c r="R94" s="174"/>
    </row>
    <row r="95">
      <c r="A95" s="255"/>
      <c r="B95" s="174"/>
      <c r="C95" s="174"/>
      <c r="D95" s="174"/>
      <c r="E95" s="174"/>
      <c r="F95" s="174"/>
      <c r="G95" s="174"/>
      <c r="H95" s="174"/>
      <c r="I95" s="174"/>
      <c r="J95" s="174"/>
      <c r="K95" s="174"/>
      <c r="L95" s="174"/>
      <c r="M95" s="174"/>
      <c r="N95" s="174"/>
      <c r="O95" s="174"/>
      <c r="P95" s="174"/>
      <c r="Q95" s="174"/>
      <c r="R95" s="174"/>
    </row>
    <row r="96">
      <c r="A96" s="255"/>
      <c r="B96" s="174"/>
      <c r="C96" s="174"/>
      <c r="D96" s="174"/>
      <c r="E96" s="174"/>
      <c r="F96" s="174"/>
      <c r="G96" s="174"/>
      <c r="H96" s="174"/>
      <c r="I96" s="174"/>
      <c r="J96" s="174"/>
      <c r="K96" s="174"/>
      <c r="L96" s="174"/>
      <c r="M96" s="174"/>
      <c r="N96" s="174"/>
      <c r="O96" s="174"/>
      <c r="P96" s="174"/>
      <c r="Q96" s="174"/>
      <c r="R96" s="174"/>
    </row>
    <row r="97">
      <c r="A97" s="255"/>
      <c r="B97" s="174"/>
      <c r="C97" s="174"/>
      <c r="D97" s="174"/>
      <c r="E97" s="174"/>
      <c r="F97" s="174"/>
      <c r="G97" s="174"/>
      <c r="H97" s="174"/>
      <c r="I97" s="174"/>
      <c r="J97" s="174"/>
      <c r="K97" s="174"/>
      <c r="L97" s="174"/>
      <c r="M97" s="174"/>
      <c r="N97" s="174"/>
      <c r="O97" s="174"/>
      <c r="P97" s="174"/>
      <c r="Q97" s="174"/>
      <c r="R97" s="174"/>
    </row>
    <row r="98">
      <c r="A98" s="255"/>
      <c r="B98" s="174"/>
      <c r="C98" s="174"/>
      <c r="D98" s="174"/>
      <c r="E98" s="174"/>
      <c r="F98" s="174"/>
      <c r="G98" s="174"/>
      <c r="H98" s="174"/>
      <c r="I98" s="174"/>
      <c r="J98" s="174"/>
      <c r="K98" s="174"/>
      <c r="L98" s="174"/>
      <c r="M98" s="174"/>
      <c r="N98" s="174"/>
      <c r="O98" s="174"/>
      <c r="P98" s="174"/>
      <c r="Q98" s="174"/>
      <c r="R98" s="174"/>
    </row>
    <row r="99">
      <c r="A99" s="255"/>
      <c r="B99" s="174"/>
      <c r="C99" s="174"/>
      <c r="D99" s="174"/>
      <c r="E99" s="174"/>
      <c r="F99" s="174"/>
      <c r="G99" s="174"/>
      <c r="H99" s="174"/>
      <c r="I99" s="174"/>
      <c r="J99" s="174"/>
      <c r="K99" s="174"/>
      <c r="L99" s="174"/>
      <c r="M99" s="174"/>
      <c r="N99" s="174"/>
      <c r="O99" s="174"/>
      <c r="P99" s="174"/>
      <c r="Q99" s="174"/>
      <c r="R99" s="174"/>
    </row>
    <row r="100">
      <c r="A100" s="255"/>
      <c r="B100" s="174"/>
      <c r="C100" s="174"/>
      <c r="D100" s="174"/>
      <c r="E100" s="174"/>
      <c r="F100" s="174"/>
      <c r="G100" s="174"/>
      <c r="H100" s="174"/>
      <c r="I100" s="174"/>
      <c r="J100" s="174"/>
      <c r="K100" s="174"/>
      <c r="L100" s="174"/>
      <c r="M100" s="174"/>
      <c r="N100" s="174"/>
      <c r="O100" s="174"/>
      <c r="P100" s="174"/>
      <c r="Q100" s="174"/>
      <c r="R100" s="174"/>
    </row>
    <row r="101">
      <c r="A101" s="255"/>
      <c r="B101" s="174"/>
      <c r="C101" s="174"/>
      <c r="D101" s="174"/>
      <c r="E101" s="174"/>
      <c r="F101" s="174"/>
      <c r="G101" s="174"/>
      <c r="H101" s="174"/>
      <c r="I101" s="174"/>
      <c r="J101" s="174"/>
      <c r="K101" s="174"/>
      <c r="L101" s="174"/>
      <c r="M101" s="174"/>
      <c r="N101" s="174"/>
      <c r="O101" s="174"/>
      <c r="P101" s="174"/>
      <c r="Q101" s="174"/>
      <c r="R101" s="174"/>
    </row>
    <row r="102">
      <c r="A102" s="255"/>
      <c r="B102" s="174"/>
      <c r="C102" s="174"/>
      <c r="D102" s="174"/>
      <c r="E102" s="174"/>
      <c r="F102" s="174"/>
      <c r="G102" s="174"/>
      <c r="H102" s="174"/>
      <c r="I102" s="174"/>
      <c r="J102" s="174"/>
      <c r="K102" s="174"/>
      <c r="L102" s="174"/>
      <c r="M102" s="174"/>
      <c r="N102" s="174"/>
      <c r="O102" s="174"/>
      <c r="P102" s="174"/>
      <c r="Q102" s="174"/>
      <c r="R102" s="174"/>
    </row>
    <row r="103">
      <c r="A103" s="255"/>
      <c r="B103" s="174"/>
      <c r="C103" s="174"/>
      <c r="D103" s="174"/>
      <c r="E103" s="174"/>
      <c r="F103" s="174"/>
      <c r="G103" s="174"/>
      <c r="H103" s="174"/>
      <c r="I103" s="174"/>
      <c r="J103" s="174"/>
      <c r="K103" s="174"/>
      <c r="L103" s="174"/>
      <c r="M103" s="174"/>
      <c r="N103" s="174"/>
      <c r="O103" s="174"/>
      <c r="P103" s="174"/>
      <c r="Q103" s="174"/>
      <c r="R103" s="174"/>
    </row>
    <row r="104">
      <c r="A104" s="255"/>
      <c r="B104" s="174"/>
      <c r="C104" s="174"/>
      <c r="D104" s="174"/>
      <c r="E104" s="174"/>
      <c r="F104" s="174"/>
      <c r="G104" s="174"/>
      <c r="H104" s="174"/>
      <c r="I104" s="174"/>
      <c r="J104" s="174"/>
      <c r="K104" s="174"/>
      <c r="L104" s="174"/>
      <c r="M104" s="174"/>
      <c r="N104" s="174"/>
      <c r="O104" s="174"/>
      <c r="P104" s="174"/>
      <c r="Q104" s="174"/>
      <c r="R104" s="174"/>
    </row>
    <row r="105">
      <c r="A105" s="255"/>
      <c r="B105" s="174"/>
      <c r="C105" s="174"/>
      <c r="D105" s="174"/>
      <c r="E105" s="174"/>
      <c r="F105" s="174"/>
      <c r="G105" s="174"/>
      <c r="H105" s="174"/>
      <c r="I105" s="174"/>
      <c r="J105" s="174"/>
      <c r="K105" s="174"/>
      <c r="L105" s="174"/>
      <c r="M105" s="174"/>
      <c r="N105" s="174"/>
      <c r="O105" s="174"/>
      <c r="P105" s="174"/>
      <c r="Q105" s="174"/>
      <c r="R105" s="174"/>
    </row>
    <row r="106">
      <c r="A106" s="255"/>
      <c r="B106" s="174"/>
      <c r="C106" s="174"/>
      <c r="D106" s="174"/>
      <c r="E106" s="174"/>
      <c r="F106" s="174"/>
      <c r="G106" s="174"/>
      <c r="H106" s="174"/>
      <c r="I106" s="174"/>
      <c r="J106" s="174"/>
      <c r="K106" s="174"/>
      <c r="L106" s="174"/>
      <c r="M106" s="174"/>
      <c r="N106" s="174"/>
      <c r="O106" s="174"/>
      <c r="P106" s="174"/>
      <c r="Q106" s="174"/>
      <c r="R106" s="174"/>
    </row>
    <row r="107">
      <c r="A107" s="255"/>
      <c r="B107" s="174"/>
      <c r="C107" s="174"/>
      <c r="D107" s="174"/>
      <c r="E107" s="174"/>
      <c r="F107" s="174"/>
      <c r="G107" s="174"/>
      <c r="H107" s="174"/>
      <c r="I107" s="174"/>
      <c r="J107" s="174"/>
      <c r="K107" s="174"/>
      <c r="L107" s="174"/>
      <c r="M107" s="174"/>
      <c r="N107" s="174"/>
      <c r="O107" s="174"/>
      <c r="P107" s="174"/>
      <c r="Q107" s="174"/>
      <c r="R107" s="174"/>
    </row>
    <row r="108">
      <c r="A108" s="255"/>
      <c r="B108" s="174"/>
      <c r="C108" s="174"/>
      <c r="D108" s="174"/>
      <c r="E108" s="174"/>
      <c r="F108" s="174"/>
      <c r="G108" s="174"/>
      <c r="H108" s="174"/>
      <c r="I108" s="174"/>
      <c r="J108" s="174"/>
      <c r="K108" s="174"/>
      <c r="L108" s="174"/>
      <c r="M108" s="174"/>
      <c r="N108" s="174"/>
      <c r="O108" s="174"/>
      <c r="P108" s="174"/>
      <c r="Q108" s="174"/>
      <c r="R108" s="174"/>
    </row>
    <row r="109">
      <c r="A109" s="255"/>
      <c r="B109" s="174"/>
      <c r="C109" s="174"/>
      <c r="D109" s="174"/>
      <c r="E109" s="174"/>
      <c r="F109" s="174"/>
      <c r="G109" s="174"/>
      <c r="H109" s="174"/>
      <c r="I109" s="174"/>
      <c r="J109" s="174"/>
      <c r="K109" s="174"/>
      <c r="L109" s="174"/>
      <c r="M109" s="174"/>
      <c r="N109" s="174"/>
      <c r="O109" s="174"/>
      <c r="P109" s="174"/>
      <c r="Q109" s="174"/>
      <c r="R109" s="174"/>
    </row>
    <row r="110">
      <c r="A110" s="255"/>
      <c r="B110" s="174"/>
      <c r="C110" s="174"/>
      <c r="D110" s="174"/>
      <c r="E110" s="174"/>
      <c r="F110" s="174"/>
      <c r="G110" s="174"/>
      <c r="H110" s="174"/>
      <c r="I110" s="174"/>
      <c r="J110" s="174"/>
      <c r="K110" s="174"/>
      <c r="L110" s="174"/>
      <c r="M110" s="174"/>
      <c r="N110" s="174"/>
      <c r="O110" s="174"/>
      <c r="P110" s="174"/>
      <c r="Q110" s="174"/>
      <c r="R110" s="174"/>
    </row>
    <row r="111">
      <c r="A111" s="255"/>
      <c r="B111" s="174"/>
      <c r="C111" s="174"/>
      <c r="D111" s="174"/>
      <c r="E111" s="174"/>
      <c r="F111" s="174"/>
      <c r="G111" s="174"/>
      <c r="H111" s="174"/>
      <c r="I111" s="174"/>
      <c r="J111" s="174"/>
      <c r="K111" s="174"/>
      <c r="L111" s="174"/>
      <c r="M111" s="174"/>
      <c r="N111" s="174"/>
      <c r="O111" s="174"/>
      <c r="P111" s="174"/>
      <c r="Q111" s="174"/>
      <c r="R111" s="174"/>
    </row>
    <row r="112">
      <c r="A112" s="255"/>
      <c r="B112" s="174"/>
      <c r="C112" s="174"/>
      <c r="D112" s="174"/>
      <c r="E112" s="174"/>
      <c r="F112" s="174"/>
      <c r="G112" s="174"/>
      <c r="H112" s="174"/>
      <c r="I112" s="174"/>
      <c r="J112" s="174"/>
      <c r="K112" s="174"/>
      <c r="L112" s="174"/>
      <c r="M112" s="174"/>
      <c r="N112" s="174"/>
      <c r="O112" s="174"/>
      <c r="P112" s="174"/>
      <c r="Q112" s="174"/>
      <c r="R112" s="174"/>
    </row>
    <row r="113">
      <c r="A113" s="255"/>
      <c r="B113" s="174"/>
      <c r="C113" s="174"/>
      <c r="D113" s="174"/>
      <c r="E113" s="174"/>
      <c r="F113" s="174"/>
      <c r="G113" s="174"/>
      <c r="H113" s="174"/>
      <c r="I113" s="174"/>
      <c r="J113" s="174"/>
      <c r="K113" s="174"/>
      <c r="L113" s="174"/>
      <c r="M113" s="174"/>
      <c r="N113" s="174"/>
      <c r="O113" s="174"/>
      <c r="P113" s="174"/>
      <c r="Q113" s="174"/>
      <c r="R113" s="174"/>
    </row>
    <row r="114">
      <c r="A114" s="255"/>
      <c r="B114" s="174"/>
      <c r="C114" s="174"/>
      <c r="D114" s="174"/>
      <c r="E114" s="174"/>
      <c r="F114" s="174"/>
      <c r="G114" s="174"/>
      <c r="H114" s="174"/>
      <c r="I114" s="174"/>
      <c r="J114" s="174"/>
      <c r="K114" s="174"/>
      <c r="L114" s="174"/>
      <c r="M114" s="174"/>
      <c r="N114" s="174"/>
      <c r="O114" s="174"/>
      <c r="P114" s="174"/>
      <c r="Q114" s="174"/>
      <c r="R114" s="174"/>
    </row>
    <row r="115">
      <c r="A115" s="255"/>
      <c r="B115" s="174"/>
      <c r="C115" s="174"/>
      <c r="D115" s="174"/>
      <c r="E115" s="174"/>
      <c r="F115" s="174"/>
      <c r="G115" s="174"/>
      <c r="H115" s="174"/>
      <c r="I115" s="174"/>
      <c r="J115" s="174"/>
      <c r="K115" s="174"/>
      <c r="L115" s="174"/>
      <c r="M115" s="174"/>
      <c r="N115" s="174"/>
      <c r="O115" s="174"/>
      <c r="P115" s="174"/>
      <c r="Q115" s="174"/>
      <c r="R115" s="174"/>
    </row>
    <row r="116">
      <c r="A116" s="255"/>
      <c r="B116" s="174"/>
      <c r="C116" s="174"/>
      <c r="D116" s="174"/>
      <c r="E116" s="174"/>
      <c r="F116" s="174"/>
      <c r="G116" s="174"/>
      <c r="H116" s="174"/>
      <c r="I116" s="174"/>
      <c r="J116" s="174"/>
      <c r="K116" s="174"/>
      <c r="L116" s="174"/>
      <c r="M116" s="174"/>
      <c r="N116" s="174"/>
      <c r="O116" s="174"/>
      <c r="P116" s="174"/>
      <c r="Q116" s="174"/>
      <c r="R116" s="174"/>
    </row>
    <row r="117">
      <c r="A117" s="255"/>
      <c r="B117" s="174"/>
      <c r="C117" s="174"/>
      <c r="D117" s="174"/>
      <c r="E117" s="174"/>
      <c r="F117" s="174"/>
      <c r="G117" s="174"/>
      <c r="H117" s="174"/>
      <c r="I117" s="174"/>
      <c r="J117" s="174"/>
      <c r="K117" s="174"/>
      <c r="L117" s="174"/>
      <c r="M117" s="174"/>
      <c r="N117" s="174"/>
      <c r="O117" s="174"/>
      <c r="P117" s="174"/>
      <c r="Q117" s="174"/>
      <c r="R117" s="174"/>
    </row>
    <row r="118">
      <c r="A118" s="255"/>
      <c r="B118" s="174"/>
      <c r="C118" s="174"/>
      <c r="D118" s="174"/>
      <c r="E118" s="174"/>
      <c r="F118" s="174"/>
      <c r="G118" s="174"/>
      <c r="H118" s="174"/>
      <c r="I118" s="174"/>
      <c r="J118" s="174"/>
      <c r="K118" s="174"/>
      <c r="L118" s="174"/>
      <c r="M118" s="174"/>
      <c r="N118" s="174"/>
      <c r="O118" s="174"/>
      <c r="P118" s="174"/>
      <c r="Q118" s="174"/>
      <c r="R118" s="174"/>
    </row>
    <row r="119">
      <c r="A119" s="255"/>
      <c r="B119" s="174"/>
      <c r="C119" s="174"/>
      <c r="D119" s="174"/>
      <c r="E119" s="174"/>
      <c r="F119" s="174"/>
      <c r="G119" s="174"/>
      <c r="H119" s="174"/>
      <c r="I119" s="174"/>
      <c r="J119" s="174"/>
      <c r="K119" s="174"/>
      <c r="L119" s="174"/>
      <c r="M119" s="174"/>
      <c r="N119" s="174"/>
      <c r="O119" s="174"/>
      <c r="P119" s="174"/>
      <c r="Q119" s="174"/>
      <c r="R119" s="174"/>
    </row>
    <row r="120">
      <c r="A120" s="255"/>
      <c r="B120" s="174"/>
      <c r="C120" s="174"/>
      <c r="D120" s="174"/>
      <c r="E120" s="174"/>
      <c r="F120" s="174"/>
      <c r="G120" s="174"/>
      <c r="H120" s="174"/>
      <c r="I120" s="174"/>
      <c r="J120" s="174"/>
      <c r="K120" s="174"/>
      <c r="L120" s="174"/>
      <c r="M120" s="174"/>
      <c r="N120" s="174"/>
      <c r="O120" s="174"/>
      <c r="P120" s="174"/>
      <c r="Q120" s="174"/>
      <c r="R120" s="174"/>
    </row>
    <row r="121">
      <c r="A121" s="255"/>
      <c r="B121" s="174"/>
      <c r="C121" s="174"/>
      <c r="D121" s="174"/>
      <c r="E121" s="174"/>
      <c r="F121" s="174"/>
      <c r="G121" s="174"/>
      <c r="H121" s="174"/>
      <c r="I121" s="174"/>
      <c r="J121" s="174"/>
      <c r="K121" s="174"/>
      <c r="L121" s="174"/>
      <c r="M121" s="174"/>
      <c r="N121" s="174"/>
      <c r="O121" s="174"/>
      <c r="P121" s="174"/>
      <c r="Q121" s="174"/>
      <c r="R121" s="174"/>
    </row>
    <row r="122">
      <c r="A122" s="255"/>
      <c r="B122" s="174"/>
      <c r="C122" s="174"/>
      <c r="D122" s="174"/>
      <c r="E122" s="174"/>
      <c r="F122" s="174"/>
      <c r="G122" s="174"/>
      <c r="H122" s="174"/>
      <c r="I122" s="174"/>
      <c r="J122" s="174"/>
      <c r="K122" s="174"/>
      <c r="L122" s="174"/>
      <c r="M122" s="174"/>
      <c r="N122" s="174"/>
      <c r="O122" s="174"/>
      <c r="P122" s="174"/>
      <c r="Q122" s="174"/>
      <c r="R122" s="174"/>
    </row>
    <row r="123">
      <c r="A123" s="255"/>
      <c r="B123" s="174"/>
      <c r="C123" s="174"/>
      <c r="D123" s="174"/>
      <c r="E123" s="174"/>
      <c r="F123" s="174"/>
      <c r="G123" s="174"/>
      <c r="H123" s="174"/>
      <c r="I123" s="174"/>
      <c r="J123" s="174"/>
      <c r="K123" s="174"/>
      <c r="L123" s="174"/>
      <c r="M123" s="174"/>
      <c r="N123" s="174"/>
      <c r="O123" s="174"/>
      <c r="P123" s="174"/>
      <c r="Q123" s="174"/>
      <c r="R123" s="174"/>
    </row>
    <row r="124">
      <c r="A124" s="255"/>
      <c r="B124" s="174"/>
      <c r="C124" s="174"/>
      <c r="D124" s="174"/>
      <c r="E124" s="174"/>
      <c r="F124" s="174"/>
      <c r="G124" s="174"/>
      <c r="H124" s="174"/>
      <c r="I124" s="174"/>
      <c r="J124" s="174"/>
      <c r="K124" s="174"/>
      <c r="L124" s="174"/>
      <c r="M124" s="174"/>
      <c r="N124" s="174"/>
      <c r="O124" s="174"/>
      <c r="P124" s="174"/>
      <c r="Q124" s="174"/>
      <c r="R124" s="174"/>
    </row>
    <row r="125">
      <c r="A125" s="255"/>
      <c r="B125" s="174"/>
      <c r="C125" s="174"/>
      <c r="D125" s="174"/>
      <c r="E125" s="174"/>
      <c r="F125" s="174"/>
      <c r="G125" s="174"/>
      <c r="H125" s="174"/>
      <c r="I125" s="174"/>
      <c r="J125" s="174"/>
      <c r="K125" s="174"/>
      <c r="L125" s="174"/>
      <c r="M125" s="174"/>
      <c r="N125" s="174"/>
      <c r="O125" s="174"/>
      <c r="P125" s="174"/>
      <c r="Q125" s="174"/>
      <c r="R125" s="174"/>
    </row>
    <row r="126">
      <c r="A126" s="255"/>
      <c r="B126" s="174"/>
      <c r="C126" s="174"/>
      <c r="D126" s="174"/>
      <c r="E126" s="174"/>
      <c r="F126" s="174"/>
      <c r="G126" s="174"/>
      <c r="H126" s="174"/>
      <c r="I126" s="174"/>
      <c r="J126" s="174"/>
      <c r="K126" s="174"/>
      <c r="L126" s="174"/>
      <c r="M126" s="174"/>
      <c r="N126" s="174"/>
      <c r="O126" s="174"/>
      <c r="P126" s="174"/>
      <c r="Q126" s="174"/>
      <c r="R126" s="174"/>
    </row>
    <row r="127">
      <c r="A127" s="255"/>
      <c r="B127" s="174"/>
      <c r="C127" s="174"/>
      <c r="D127" s="174"/>
      <c r="E127" s="174"/>
      <c r="F127" s="174"/>
      <c r="G127" s="174"/>
      <c r="H127" s="174"/>
      <c r="I127" s="174"/>
      <c r="J127" s="174"/>
      <c r="K127" s="174"/>
      <c r="L127" s="174"/>
      <c r="M127" s="174"/>
      <c r="N127" s="174"/>
      <c r="O127" s="174"/>
      <c r="P127" s="174"/>
      <c r="Q127" s="174"/>
      <c r="R127" s="174"/>
    </row>
    <row r="128">
      <c r="A128" s="255"/>
      <c r="B128" s="174"/>
      <c r="C128" s="174"/>
      <c r="D128" s="174"/>
      <c r="E128" s="174"/>
      <c r="F128" s="174"/>
      <c r="G128" s="174"/>
      <c r="H128" s="174"/>
      <c r="I128" s="174"/>
      <c r="J128" s="174"/>
      <c r="K128" s="174"/>
      <c r="L128" s="174"/>
      <c r="M128" s="174"/>
      <c r="N128" s="174"/>
      <c r="O128" s="174"/>
      <c r="P128" s="174"/>
      <c r="Q128" s="174"/>
      <c r="R128" s="174"/>
    </row>
    <row r="129">
      <c r="A129" s="255"/>
      <c r="B129" s="174"/>
      <c r="C129" s="174"/>
      <c r="D129" s="174"/>
      <c r="E129" s="174"/>
      <c r="F129" s="174"/>
      <c r="G129" s="174"/>
      <c r="H129" s="174"/>
      <c r="I129" s="174"/>
      <c r="J129" s="174"/>
      <c r="K129" s="174"/>
      <c r="L129" s="174"/>
      <c r="M129" s="174"/>
      <c r="N129" s="174"/>
      <c r="O129" s="174"/>
      <c r="P129" s="174"/>
      <c r="Q129" s="174"/>
      <c r="R129" s="174"/>
    </row>
    <row r="130">
      <c r="A130" s="255"/>
      <c r="B130" s="174"/>
      <c r="C130" s="174"/>
      <c r="D130" s="174"/>
      <c r="E130" s="174"/>
      <c r="F130" s="174"/>
      <c r="G130" s="174"/>
      <c r="H130" s="174"/>
      <c r="I130" s="174"/>
      <c r="J130" s="174"/>
      <c r="K130" s="174"/>
      <c r="L130" s="174"/>
      <c r="M130" s="174"/>
      <c r="N130" s="174"/>
      <c r="O130" s="174"/>
      <c r="P130" s="174"/>
      <c r="Q130" s="174"/>
      <c r="R130" s="174"/>
    </row>
    <row r="131">
      <c r="A131" s="255"/>
      <c r="B131" s="174"/>
      <c r="C131" s="174"/>
      <c r="D131" s="174"/>
      <c r="E131" s="174"/>
      <c r="F131" s="174"/>
      <c r="G131" s="174"/>
      <c r="H131" s="174"/>
      <c r="I131" s="174"/>
      <c r="J131" s="174"/>
      <c r="K131" s="174"/>
      <c r="L131" s="174"/>
      <c r="M131" s="174"/>
      <c r="N131" s="174"/>
      <c r="O131" s="174"/>
      <c r="P131" s="174"/>
      <c r="Q131" s="174"/>
      <c r="R131" s="174"/>
    </row>
    <row r="132">
      <c r="A132" s="255"/>
      <c r="B132" s="174"/>
      <c r="C132" s="174"/>
      <c r="D132" s="174"/>
      <c r="E132" s="174"/>
      <c r="F132" s="174"/>
      <c r="G132" s="174"/>
      <c r="H132" s="174"/>
      <c r="I132" s="174"/>
      <c r="J132" s="174"/>
      <c r="K132" s="174"/>
      <c r="L132" s="174"/>
      <c r="M132" s="174"/>
      <c r="N132" s="174"/>
      <c r="O132" s="174"/>
      <c r="P132" s="174"/>
      <c r="Q132" s="174"/>
      <c r="R132" s="174"/>
    </row>
    <row r="133">
      <c r="A133" s="255"/>
      <c r="B133" s="174"/>
      <c r="C133" s="174"/>
      <c r="D133" s="174"/>
      <c r="E133" s="174"/>
      <c r="F133" s="174"/>
      <c r="G133" s="174"/>
      <c r="H133" s="174"/>
      <c r="I133" s="174"/>
      <c r="J133" s="174"/>
      <c r="K133" s="174"/>
      <c r="L133" s="174"/>
      <c r="M133" s="174"/>
      <c r="N133" s="174"/>
      <c r="O133" s="174"/>
      <c r="P133" s="174"/>
      <c r="Q133" s="174"/>
      <c r="R133" s="174"/>
    </row>
    <row r="134">
      <c r="A134" s="255"/>
      <c r="B134" s="174"/>
      <c r="C134" s="174"/>
      <c r="D134" s="174"/>
      <c r="E134" s="174"/>
      <c r="F134" s="174"/>
      <c r="G134" s="174"/>
      <c r="H134" s="174"/>
      <c r="I134" s="174"/>
      <c r="J134" s="174"/>
      <c r="K134" s="174"/>
      <c r="L134" s="174"/>
      <c r="M134" s="174"/>
      <c r="N134" s="174"/>
      <c r="O134" s="174"/>
      <c r="P134" s="174"/>
      <c r="Q134" s="174"/>
      <c r="R134" s="174"/>
    </row>
    <row r="135">
      <c r="A135" s="255"/>
      <c r="B135" s="174"/>
      <c r="C135" s="174"/>
      <c r="D135" s="174"/>
      <c r="E135" s="174"/>
      <c r="F135" s="174"/>
      <c r="G135" s="174"/>
      <c r="H135" s="174"/>
      <c r="I135" s="174"/>
      <c r="J135" s="174"/>
      <c r="K135" s="174"/>
      <c r="L135" s="174"/>
      <c r="M135" s="174"/>
      <c r="N135" s="174"/>
      <c r="O135" s="174"/>
      <c r="P135" s="174"/>
      <c r="Q135" s="174"/>
      <c r="R135" s="174"/>
    </row>
    <row r="136">
      <c r="A136" s="255"/>
      <c r="B136" s="174"/>
      <c r="C136" s="174"/>
      <c r="D136" s="174"/>
      <c r="E136" s="174"/>
      <c r="F136" s="174"/>
      <c r="G136" s="174"/>
      <c r="H136" s="174"/>
      <c r="I136" s="174"/>
      <c r="J136" s="174"/>
      <c r="K136" s="174"/>
      <c r="L136" s="174"/>
      <c r="M136" s="174"/>
      <c r="N136" s="174"/>
      <c r="O136" s="174"/>
      <c r="P136" s="174"/>
      <c r="Q136" s="174"/>
      <c r="R136" s="174"/>
    </row>
    <row r="137">
      <c r="A137" s="255"/>
      <c r="B137" s="174"/>
      <c r="C137" s="174"/>
      <c r="D137" s="174"/>
      <c r="E137" s="174"/>
      <c r="F137" s="174"/>
      <c r="G137" s="174"/>
      <c r="H137" s="174"/>
      <c r="I137" s="174"/>
      <c r="J137" s="174"/>
      <c r="K137" s="174"/>
      <c r="L137" s="174"/>
      <c r="M137" s="174"/>
      <c r="N137" s="174"/>
      <c r="O137" s="174"/>
      <c r="P137" s="174"/>
      <c r="Q137" s="174"/>
      <c r="R137" s="174"/>
    </row>
    <row r="138">
      <c r="A138" s="255"/>
      <c r="B138" s="174"/>
      <c r="C138" s="174"/>
      <c r="D138" s="174"/>
      <c r="E138" s="174"/>
      <c r="F138" s="174"/>
      <c r="G138" s="174"/>
      <c r="H138" s="174"/>
      <c r="I138" s="174"/>
      <c r="J138" s="174"/>
      <c r="K138" s="174"/>
      <c r="L138" s="174"/>
      <c r="M138" s="174"/>
      <c r="N138" s="174"/>
      <c r="O138" s="174"/>
      <c r="P138" s="174"/>
      <c r="Q138" s="174"/>
      <c r="R138" s="174"/>
    </row>
    <row r="139">
      <c r="A139" s="255"/>
      <c r="B139" s="174"/>
      <c r="C139" s="174"/>
      <c r="D139" s="174"/>
      <c r="E139" s="174"/>
      <c r="F139" s="174"/>
      <c r="G139" s="174"/>
      <c r="H139" s="174"/>
      <c r="I139" s="174"/>
      <c r="J139" s="174"/>
      <c r="K139" s="174"/>
      <c r="L139" s="174"/>
      <c r="M139" s="174"/>
      <c r="N139" s="174"/>
      <c r="O139" s="174"/>
      <c r="P139" s="174"/>
      <c r="Q139" s="174"/>
      <c r="R139" s="174"/>
    </row>
    <row r="140">
      <c r="A140" s="255"/>
      <c r="B140" s="174"/>
      <c r="C140" s="174"/>
      <c r="D140" s="174"/>
      <c r="E140" s="174"/>
      <c r="F140" s="174"/>
      <c r="G140" s="174"/>
      <c r="H140" s="174"/>
      <c r="I140" s="174"/>
      <c r="J140" s="174"/>
      <c r="K140" s="174"/>
      <c r="L140" s="174"/>
      <c r="M140" s="174"/>
      <c r="N140" s="174"/>
      <c r="O140" s="174"/>
      <c r="P140" s="174"/>
      <c r="Q140" s="174"/>
      <c r="R140" s="174"/>
    </row>
    <row r="141">
      <c r="A141" s="255"/>
      <c r="B141" s="174"/>
      <c r="C141" s="174"/>
      <c r="D141" s="174"/>
      <c r="E141" s="174"/>
      <c r="F141" s="174"/>
      <c r="G141" s="174"/>
      <c r="H141" s="174"/>
      <c r="I141" s="174"/>
      <c r="J141" s="174"/>
      <c r="K141" s="174"/>
      <c r="L141" s="174"/>
      <c r="M141" s="174"/>
      <c r="N141" s="174"/>
      <c r="O141" s="174"/>
      <c r="P141" s="174"/>
      <c r="Q141" s="174"/>
      <c r="R141" s="174"/>
    </row>
    <row r="142">
      <c r="A142" s="255"/>
      <c r="B142" s="174"/>
      <c r="C142" s="174"/>
      <c r="D142" s="174"/>
      <c r="E142" s="174"/>
      <c r="F142" s="174"/>
      <c r="G142" s="174"/>
      <c r="H142" s="174"/>
      <c r="I142" s="174"/>
      <c r="J142" s="174"/>
      <c r="K142" s="174"/>
      <c r="L142" s="174"/>
      <c r="M142" s="174"/>
      <c r="N142" s="174"/>
      <c r="O142" s="174"/>
      <c r="P142" s="174"/>
      <c r="Q142" s="174"/>
      <c r="R142" s="174"/>
    </row>
    <row r="143">
      <c r="A143" s="255"/>
      <c r="B143" s="174"/>
      <c r="C143" s="174"/>
      <c r="D143" s="174"/>
      <c r="E143" s="174"/>
      <c r="F143" s="174"/>
      <c r="G143" s="174"/>
      <c r="H143" s="174"/>
      <c r="I143" s="174"/>
      <c r="J143" s="174"/>
      <c r="K143" s="174"/>
      <c r="L143" s="174"/>
      <c r="M143" s="174"/>
      <c r="N143" s="174"/>
      <c r="O143" s="174"/>
      <c r="P143" s="174"/>
      <c r="Q143" s="174"/>
      <c r="R143" s="174"/>
    </row>
    <row r="144">
      <c r="A144" s="255"/>
      <c r="B144" s="174"/>
      <c r="C144" s="174"/>
      <c r="D144" s="174"/>
      <c r="E144" s="174"/>
      <c r="F144" s="174"/>
      <c r="G144" s="174"/>
      <c r="H144" s="174"/>
      <c r="I144" s="174"/>
      <c r="J144" s="174"/>
      <c r="K144" s="174"/>
      <c r="L144" s="174"/>
      <c r="M144" s="174"/>
      <c r="N144" s="174"/>
      <c r="O144" s="174"/>
      <c r="P144" s="174"/>
      <c r="Q144" s="174"/>
      <c r="R144" s="174"/>
    </row>
    <row r="145">
      <c r="A145" s="255"/>
      <c r="B145" s="174"/>
      <c r="C145" s="174"/>
      <c r="D145" s="174"/>
      <c r="E145" s="174"/>
      <c r="F145" s="174"/>
      <c r="G145" s="174"/>
      <c r="H145" s="174"/>
      <c r="I145" s="174"/>
      <c r="J145" s="174"/>
      <c r="K145" s="174"/>
      <c r="L145" s="174"/>
      <c r="M145" s="174"/>
      <c r="N145" s="174"/>
      <c r="O145" s="174"/>
      <c r="P145" s="174"/>
      <c r="Q145" s="174"/>
      <c r="R145" s="174"/>
    </row>
    <row r="146">
      <c r="A146" s="255"/>
      <c r="B146" s="174"/>
      <c r="C146" s="174"/>
      <c r="D146" s="174"/>
      <c r="E146" s="174"/>
      <c r="F146" s="174"/>
      <c r="G146" s="174"/>
      <c r="H146" s="174"/>
      <c r="I146" s="174"/>
      <c r="J146" s="174"/>
      <c r="K146" s="174"/>
      <c r="L146" s="174"/>
      <c r="M146" s="174"/>
      <c r="N146" s="174"/>
      <c r="O146" s="174"/>
      <c r="P146" s="174"/>
      <c r="Q146" s="174"/>
      <c r="R146" s="174"/>
    </row>
    <row r="147">
      <c r="A147" s="255"/>
      <c r="B147" s="174"/>
      <c r="C147" s="174"/>
      <c r="D147" s="174"/>
      <c r="E147" s="174"/>
      <c r="F147" s="174"/>
      <c r="G147" s="174"/>
      <c r="H147" s="174"/>
      <c r="I147" s="174"/>
      <c r="J147" s="174"/>
      <c r="K147" s="174"/>
      <c r="L147" s="174"/>
      <c r="M147" s="174"/>
      <c r="N147" s="174"/>
      <c r="O147" s="174"/>
      <c r="P147" s="174"/>
      <c r="Q147" s="174"/>
      <c r="R147" s="174"/>
    </row>
    <row r="148">
      <c r="A148" s="255"/>
      <c r="B148" s="174"/>
      <c r="C148" s="174"/>
      <c r="D148" s="174"/>
      <c r="E148" s="174"/>
      <c r="F148" s="174"/>
      <c r="G148" s="174"/>
      <c r="H148" s="174"/>
      <c r="I148" s="174"/>
      <c r="J148" s="174"/>
      <c r="K148" s="174"/>
      <c r="L148" s="174"/>
      <c r="M148" s="174"/>
      <c r="N148" s="174"/>
      <c r="O148" s="174"/>
      <c r="P148" s="174"/>
      <c r="Q148" s="174"/>
      <c r="R148" s="174"/>
    </row>
    <row r="149">
      <c r="A149" s="255"/>
      <c r="B149" s="174"/>
      <c r="C149" s="174"/>
      <c r="D149" s="174"/>
      <c r="E149" s="174"/>
      <c r="F149" s="174"/>
      <c r="G149" s="174"/>
      <c r="H149" s="174"/>
      <c r="I149" s="174"/>
      <c r="J149" s="174"/>
      <c r="K149" s="174"/>
      <c r="L149" s="174"/>
      <c r="M149" s="174"/>
      <c r="N149" s="174"/>
      <c r="O149" s="174"/>
      <c r="P149" s="174"/>
      <c r="Q149" s="174"/>
      <c r="R149" s="174"/>
    </row>
    <row r="150">
      <c r="A150" s="255"/>
      <c r="B150" s="174"/>
      <c r="C150" s="174"/>
      <c r="D150" s="174"/>
      <c r="E150" s="174"/>
      <c r="F150" s="174"/>
      <c r="G150" s="174"/>
      <c r="H150" s="174"/>
      <c r="I150" s="174"/>
      <c r="J150" s="174"/>
      <c r="K150" s="174"/>
      <c r="L150" s="174"/>
      <c r="M150" s="174"/>
      <c r="N150" s="174"/>
      <c r="O150" s="174"/>
      <c r="P150" s="174"/>
      <c r="Q150" s="174"/>
      <c r="R150" s="174"/>
    </row>
    <row r="151">
      <c r="A151" s="255"/>
      <c r="B151" s="174"/>
      <c r="C151" s="174"/>
      <c r="D151" s="174"/>
      <c r="E151" s="174"/>
      <c r="F151" s="174"/>
      <c r="G151" s="174"/>
      <c r="H151" s="174"/>
      <c r="I151" s="174"/>
      <c r="J151" s="174"/>
      <c r="K151" s="174"/>
      <c r="L151" s="174"/>
      <c r="M151" s="174"/>
      <c r="N151" s="174"/>
      <c r="O151" s="174"/>
      <c r="P151" s="174"/>
      <c r="Q151" s="174"/>
      <c r="R151" s="174"/>
    </row>
    <row r="152">
      <c r="A152" s="255"/>
      <c r="B152" s="174"/>
      <c r="C152" s="174"/>
      <c r="D152" s="174"/>
      <c r="E152" s="174"/>
      <c r="F152" s="174"/>
      <c r="G152" s="174"/>
      <c r="H152" s="174"/>
      <c r="I152" s="174"/>
      <c r="J152" s="174"/>
      <c r="K152" s="174"/>
      <c r="L152" s="174"/>
      <c r="M152" s="174"/>
      <c r="N152" s="174"/>
      <c r="O152" s="174"/>
      <c r="P152" s="174"/>
      <c r="Q152" s="174"/>
      <c r="R152" s="174"/>
    </row>
    <row r="153">
      <c r="A153" s="255"/>
      <c r="B153" s="174"/>
      <c r="C153" s="174"/>
      <c r="D153" s="174"/>
      <c r="E153" s="174"/>
      <c r="F153" s="174"/>
      <c r="G153" s="174"/>
      <c r="H153" s="174"/>
      <c r="I153" s="174"/>
      <c r="J153" s="174"/>
      <c r="K153" s="174"/>
      <c r="L153" s="174"/>
      <c r="M153" s="174"/>
      <c r="N153" s="174"/>
      <c r="O153" s="174"/>
      <c r="P153" s="174"/>
      <c r="Q153" s="174"/>
      <c r="R153" s="174"/>
    </row>
    <row r="154">
      <c r="A154" s="255"/>
      <c r="B154" s="174"/>
      <c r="C154" s="174"/>
      <c r="D154" s="174"/>
      <c r="E154" s="174"/>
      <c r="F154" s="174"/>
      <c r="G154" s="174"/>
      <c r="H154" s="174"/>
      <c r="I154" s="174"/>
      <c r="J154" s="174"/>
      <c r="K154" s="174"/>
      <c r="L154" s="174"/>
      <c r="M154" s="174"/>
      <c r="N154" s="174"/>
      <c r="O154" s="174"/>
      <c r="P154" s="174"/>
      <c r="Q154" s="174"/>
      <c r="R154" s="174"/>
    </row>
    <row r="155">
      <c r="A155" s="255"/>
      <c r="B155" s="174"/>
      <c r="C155" s="174"/>
      <c r="D155" s="174"/>
      <c r="E155" s="174"/>
      <c r="F155" s="174"/>
      <c r="G155" s="174"/>
      <c r="H155" s="174"/>
      <c r="I155" s="174"/>
      <c r="J155" s="174"/>
      <c r="K155" s="174"/>
      <c r="L155" s="174"/>
      <c r="M155" s="174"/>
      <c r="N155" s="174"/>
      <c r="O155" s="174"/>
      <c r="P155" s="174"/>
      <c r="Q155" s="174"/>
      <c r="R155" s="174"/>
    </row>
    <row r="156">
      <c r="A156" s="255"/>
      <c r="B156" s="174"/>
      <c r="C156" s="174"/>
      <c r="D156" s="174"/>
      <c r="E156" s="174"/>
      <c r="F156" s="174"/>
      <c r="G156" s="174"/>
      <c r="H156" s="174"/>
      <c r="I156" s="174"/>
      <c r="J156" s="174"/>
      <c r="K156" s="174"/>
      <c r="L156" s="174"/>
      <c r="M156" s="174"/>
      <c r="N156" s="174"/>
      <c r="O156" s="174"/>
      <c r="P156" s="174"/>
      <c r="Q156" s="174"/>
      <c r="R156" s="174"/>
    </row>
    <row r="157">
      <c r="A157" s="255"/>
      <c r="B157" s="174"/>
      <c r="C157" s="174"/>
      <c r="D157" s="174"/>
      <c r="E157" s="174"/>
      <c r="F157" s="174"/>
      <c r="G157" s="174"/>
      <c r="H157" s="174"/>
      <c r="I157" s="174"/>
      <c r="J157" s="174"/>
      <c r="K157" s="174"/>
      <c r="L157" s="174"/>
      <c r="M157" s="174"/>
      <c r="N157" s="174"/>
      <c r="O157" s="174"/>
      <c r="P157" s="174"/>
      <c r="Q157" s="174"/>
      <c r="R157" s="174"/>
    </row>
    <row r="158">
      <c r="A158" s="255"/>
      <c r="B158" s="174"/>
      <c r="C158" s="174"/>
      <c r="D158" s="174"/>
      <c r="E158" s="174"/>
      <c r="F158" s="174"/>
      <c r="G158" s="174"/>
      <c r="H158" s="174"/>
      <c r="I158" s="174"/>
      <c r="J158" s="174"/>
      <c r="K158" s="174"/>
      <c r="L158" s="174"/>
      <c r="M158" s="174"/>
      <c r="N158" s="174"/>
      <c r="O158" s="174"/>
      <c r="P158" s="174"/>
      <c r="Q158" s="174"/>
      <c r="R158" s="174"/>
    </row>
    <row r="159">
      <c r="A159" s="255"/>
      <c r="B159" s="174"/>
      <c r="C159" s="174"/>
      <c r="D159" s="174"/>
      <c r="E159" s="174"/>
      <c r="F159" s="174"/>
      <c r="G159" s="174"/>
      <c r="H159" s="174"/>
      <c r="I159" s="174"/>
      <c r="J159" s="174"/>
      <c r="K159" s="174"/>
      <c r="L159" s="174"/>
      <c r="M159" s="174"/>
      <c r="N159" s="174"/>
      <c r="O159" s="174"/>
      <c r="P159" s="174"/>
      <c r="Q159" s="174"/>
      <c r="R159" s="174"/>
    </row>
    <row r="160">
      <c r="A160" s="255"/>
      <c r="B160" s="174"/>
      <c r="C160" s="174"/>
      <c r="D160" s="174"/>
      <c r="E160" s="174"/>
      <c r="F160" s="174"/>
      <c r="G160" s="174"/>
      <c r="H160" s="174"/>
      <c r="I160" s="174"/>
      <c r="J160" s="174"/>
      <c r="K160" s="174"/>
      <c r="L160" s="174"/>
      <c r="M160" s="174"/>
      <c r="N160" s="174"/>
      <c r="O160" s="174"/>
      <c r="P160" s="174"/>
      <c r="Q160" s="174"/>
      <c r="R160" s="174"/>
    </row>
    <row r="161">
      <c r="A161" s="255"/>
      <c r="B161" s="174"/>
      <c r="C161" s="174"/>
      <c r="D161" s="174"/>
      <c r="E161" s="174"/>
      <c r="F161" s="174"/>
      <c r="G161" s="174"/>
      <c r="H161" s="174"/>
      <c r="I161" s="174"/>
      <c r="J161" s="174"/>
      <c r="K161" s="174"/>
      <c r="L161" s="174"/>
      <c r="M161" s="174"/>
      <c r="N161" s="174"/>
      <c r="O161" s="174"/>
      <c r="P161" s="174"/>
      <c r="Q161" s="174"/>
      <c r="R161" s="174"/>
    </row>
    <row r="162">
      <c r="A162" s="255"/>
      <c r="B162" s="174"/>
      <c r="C162" s="174"/>
      <c r="D162" s="174"/>
      <c r="E162" s="174"/>
      <c r="F162" s="174"/>
      <c r="G162" s="174"/>
      <c r="H162" s="174"/>
      <c r="I162" s="174"/>
      <c r="J162" s="174"/>
      <c r="K162" s="174"/>
      <c r="L162" s="174"/>
      <c r="M162" s="174"/>
      <c r="N162" s="174"/>
      <c r="O162" s="174"/>
      <c r="P162" s="174"/>
      <c r="Q162" s="174"/>
      <c r="R162" s="174"/>
    </row>
    <row r="163">
      <c r="A163" s="255"/>
      <c r="B163" s="174"/>
      <c r="C163" s="174"/>
      <c r="D163" s="174"/>
      <c r="E163" s="174"/>
      <c r="F163" s="174"/>
      <c r="G163" s="174"/>
      <c r="H163" s="174"/>
      <c r="I163" s="174"/>
      <c r="J163" s="174"/>
      <c r="K163" s="174"/>
      <c r="L163" s="174"/>
      <c r="M163" s="174"/>
      <c r="N163" s="174"/>
      <c r="O163" s="174"/>
      <c r="P163" s="174"/>
      <c r="Q163" s="174"/>
      <c r="R163" s="174"/>
    </row>
    <row r="164">
      <c r="A164" s="255"/>
      <c r="B164" s="174"/>
      <c r="C164" s="174"/>
      <c r="D164" s="174"/>
      <c r="E164" s="174"/>
      <c r="F164" s="174"/>
      <c r="G164" s="174"/>
      <c r="H164" s="174"/>
      <c r="I164" s="174"/>
      <c r="J164" s="174"/>
      <c r="K164" s="174"/>
      <c r="L164" s="174"/>
      <c r="M164" s="174"/>
      <c r="N164" s="174"/>
      <c r="O164" s="174"/>
      <c r="P164" s="174"/>
      <c r="Q164" s="174"/>
      <c r="R164" s="174"/>
    </row>
    <row r="165">
      <c r="A165" s="255"/>
      <c r="B165" s="174"/>
      <c r="C165" s="174"/>
      <c r="D165" s="174"/>
      <c r="E165" s="174"/>
      <c r="F165" s="174"/>
      <c r="G165" s="174"/>
      <c r="H165" s="174"/>
      <c r="I165" s="174"/>
      <c r="J165" s="174"/>
      <c r="K165" s="174"/>
      <c r="L165" s="174"/>
      <c r="M165" s="174"/>
      <c r="N165" s="174"/>
      <c r="O165" s="174"/>
      <c r="P165" s="174"/>
      <c r="Q165" s="174"/>
      <c r="R165" s="174"/>
    </row>
    <row r="166">
      <c r="A166" s="255"/>
      <c r="B166" s="174"/>
      <c r="C166" s="174"/>
      <c r="D166" s="174"/>
      <c r="E166" s="174"/>
      <c r="F166" s="174"/>
      <c r="G166" s="174"/>
      <c r="H166" s="174"/>
      <c r="I166" s="174"/>
      <c r="J166" s="174"/>
      <c r="K166" s="174"/>
      <c r="L166" s="174"/>
      <c r="M166" s="174"/>
      <c r="N166" s="174"/>
      <c r="O166" s="174"/>
      <c r="P166" s="174"/>
      <c r="Q166" s="174"/>
      <c r="R166" s="174"/>
    </row>
    <row r="167">
      <c r="A167" s="255"/>
      <c r="B167" s="174"/>
      <c r="C167" s="174"/>
      <c r="D167" s="174"/>
      <c r="E167" s="174"/>
      <c r="F167" s="174"/>
      <c r="G167" s="174"/>
      <c r="H167" s="174"/>
      <c r="I167" s="174"/>
      <c r="J167" s="174"/>
      <c r="K167" s="174"/>
      <c r="L167" s="174"/>
      <c r="M167" s="174"/>
      <c r="N167" s="174"/>
      <c r="O167" s="174"/>
      <c r="P167" s="174"/>
      <c r="Q167" s="174"/>
      <c r="R167" s="174"/>
    </row>
    <row r="168">
      <c r="A168" s="255"/>
      <c r="B168" s="174"/>
      <c r="C168" s="174"/>
      <c r="D168" s="174"/>
      <c r="E168" s="174"/>
      <c r="F168" s="174"/>
      <c r="G168" s="174"/>
      <c r="H168" s="174"/>
      <c r="I168" s="174"/>
      <c r="J168" s="174"/>
      <c r="K168" s="174"/>
      <c r="L168" s="174"/>
      <c r="M168" s="174"/>
      <c r="N168" s="174"/>
      <c r="O168" s="174"/>
      <c r="P168" s="174"/>
      <c r="Q168" s="174"/>
      <c r="R168" s="174"/>
    </row>
    <row r="169">
      <c r="A169" s="255"/>
      <c r="B169" s="174"/>
      <c r="C169" s="174"/>
      <c r="D169" s="174"/>
      <c r="E169" s="174"/>
      <c r="F169" s="174"/>
      <c r="G169" s="174"/>
      <c r="H169" s="174"/>
      <c r="I169" s="174"/>
      <c r="J169" s="174"/>
      <c r="K169" s="174"/>
      <c r="L169" s="174"/>
      <c r="M169" s="174"/>
      <c r="N169" s="174"/>
      <c r="O169" s="174"/>
      <c r="P169" s="174"/>
      <c r="Q169" s="174"/>
      <c r="R169" s="174"/>
    </row>
    <row r="170">
      <c r="A170" s="255"/>
      <c r="B170" s="174"/>
      <c r="C170" s="174"/>
      <c r="D170" s="174"/>
      <c r="E170" s="174"/>
      <c r="F170" s="174"/>
      <c r="G170" s="174"/>
      <c r="H170" s="174"/>
      <c r="I170" s="174"/>
      <c r="J170" s="174"/>
      <c r="K170" s="174"/>
      <c r="L170" s="174"/>
      <c r="M170" s="174"/>
      <c r="N170" s="174"/>
      <c r="O170" s="174"/>
      <c r="P170" s="174"/>
      <c r="Q170" s="174"/>
      <c r="R170" s="174"/>
    </row>
    <row r="171">
      <c r="A171" s="255"/>
      <c r="B171" s="174"/>
      <c r="C171" s="174"/>
      <c r="D171" s="174"/>
      <c r="E171" s="174"/>
      <c r="F171" s="174"/>
      <c r="G171" s="174"/>
      <c r="H171" s="174"/>
      <c r="I171" s="174"/>
      <c r="J171" s="174"/>
      <c r="K171" s="174"/>
      <c r="L171" s="174"/>
      <c r="M171" s="174"/>
      <c r="N171" s="174"/>
      <c r="O171" s="174"/>
      <c r="P171" s="174"/>
      <c r="Q171" s="174"/>
      <c r="R171" s="174"/>
    </row>
    <row r="172">
      <c r="A172" s="255"/>
      <c r="B172" s="174"/>
      <c r="C172" s="174"/>
      <c r="D172" s="174"/>
      <c r="E172" s="174"/>
      <c r="F172" s="174"/>
      <c r="G172" s="174"/>
      <c r="H172" s="174"/>
      <c r="I172" s="174"/>
      <c r="J172" s="174"/>
      <c r="K172" s="174"/>
      <c r="L172" s="174"/>
      <c r="M172" s="174"/>
      <c r="N172" s="174"/>
      <c r="O172" s="174"/>
      <c r="P172" s="174"/>
      <c r="Q172" s="174"/>
      <c r="R172" s="174"/>
    </row>
    <row r="173">
      <c r="A173" s="255"/>
      <c r="B173" s="174"/>
      <c r="C173" s="174"/>
      <c r="D173" s="174"/>
      <c r="E173" s="174"/>
      <c r="F173" s="174"/>
      <c r="G173" s="174"/>
      <c r="H173" s="174"/>
      <c r="I173" s="174"/>
      <c r="J173" s="174"/>
      <c r="K173" s="174"/>
      <c r="L173" s="174"/>
      <c r="M173" s="174"/>
      <c r="N173" s="174"/>
      <c r="O173" s="174"/>
      <c r="P173" s="174"/>
      <c r="Q173" s="174"/>
      <c r="R173" s="174"/>
    </row>
    <row r="174">
      <c r="A174" s="255"/>
      <c r="B174" s="174"/>
      <c r="C174" s="174"/>
      <c r="D174" s="174"/>
      <c r="E174" s="174"/>
      <c r="F174" s="174"/>
      <c r="G174" s="174"/>
      <c r="H174" s="174"/>
      <c r="I174" s="174"/>
      <c r="J174" s="174"/>
      <c r="K174" s="174"/>
      <c r="L174" s="174"/>
      <c r="M174" s="174"/>
      <c r="N174" s="174"/>
      <c r="O174" s="174"/>
      <c r="P174" s="174"/>
      <c r="Q174" s="174"/>
      <c r="R174" s="174"/>
    </row>
    <row r="175">
      <c r="A175" s="255"/>
      <c r="B175" s="174"/>
      <c r="C175" s="174"/>
      <c r="D175" s="174"/>
      <c r="E175" s="174"/>
      <c r="F175" s="174"/>
      <c r="G175" s="174"/>
      <c r="H175" s="174"/>
      <c r="I175" s="174"/>
      <c r="J175" s="174"/>
      <c r="K175" s="174"/>
      <c r="L175" s="174"/>
      <c r="M175" s="174"/>
      <c r="N175" s="174"/>
      <c r="O175" s="174"/>
      <c r="P175" s="174"/>
      <c r="Q175" s="174"/>
      <c r="R175" s="174"/>
    </row>
    <row r="176">
      <c r="A176" s="255"/>
      <c r="B176" s="174"/>
      <c r="C176" s="174"/>
      <c r="D176" s="174"/>
      <c r="E176" s="174"/>
      <c r="F176" s="174"/>
      <c r="G176" s="174"/>
      <c r="H176" s="174"/>
      <c r="I176" s="174"/>
      <c r="J176" s="174"/>
      <c r="K176" s="174"/>
      <c r="L176" s="174"/>
      <c r="M176" s="174"/>
      <c r="N176" s="174"/>
      <c r="O176" s="174"/>
      <c r="P176" s="174"/>
      <c r="Q176" s="174"/>
      <c r="R176" s="174"/>
    </row>
    <row r="177">
      <c r="A177" s="255"/>
      <c r="B177" s="174"/>
      <c r="C177" s="174"/>
      <c r="D177" s="174"/>
      <c r="E177" s="174"/>
      <c r="F177" s="174"/>
      <c r="G177" s="174"/>
      <c r="H177" s="174"/>
      <c r="I177" s="174"/>
      <c r="J177" s="174"/>
      <c r="K177" s="174"/>
      <c r="L177" s="174"/>
      <c r="M177" s="174"/>
      <c r="N177" s="174"/>
      <c r="O177" s="174"/>
      <c r="P177" s="174"/>
      <c r="Q177" s="174"/>
      <c r="R177" s="174"/>
    </row>
    <row r="178">
      <c r="A178" s="255"/>
      <c r="B178" s="174"/>
      <c r="C178" s="174"/>
      <c r="D178" s="174"/>
      <c r="E178" s="174"/>
      <c r="F178" s="174"/>
      <c r="G178" s="174"/>
      <c r="H178" s="174"/>
      <c r="I178" s="174"/>
      <c r="J178" s="174"/>
      <c r="K178" s="174"/>
      <c r="L178" s="174"/>
      <c r="M178" s="174"/>
      <c r="N178" s="174"/>
      <c r="O178" s="174"/>
      <c r="P178" s="174"/>
      <c r="Q178" s="174"/>
      <c r="R178" s="174"/>
    </row>
    <row r="179">
      <c r="A179" s="255"/>
      <c r="B179" s="174"/>
      <c r="C179" s="174"/>
      <c r="D179" s="174"/>
      <c r="E179" s="174"/>
      <c r="F179" s="174"/>
      <c r="G179" s="174"/>
      <c r="H179" s="174"/>
      <c r="I179" s="174"/>
      <c r="J179" s="174"/>
      <c r="K179" s="174"/>
      <c r="L179" s="174"/>
      <c r="M179" s="174"/>
      <c r="N179" s="174"/>
      <c r="O179" s="174"/>
      <c r="P179" s="174"/>
      <c r="Q179" s="174"/>
      <c r="R179" s="174"/>
    </row>
    <row r="180">
      <c r="A180" s="255"/>
      <c r="B180" s="174"/>
      <c r="C180" s="174"/>
      <c r="D180" s="174"/>
      <c r="E180" s="174"/>
      <c r="F180" s="174"/>
      <c r="G180" s="174"/>
      <c r="H180" s="174"/>
      <c r="I180" s="174"/>
      <c r="J180" s="174"/>
      <c r="K180" s="174"/>
      <c r="L180" s="174"/>
      <c r="M180" s="174"/>
      <c r="N180" s="174"/>
      <c r="O180" s="174"/>
      <c r="P180" s="174"/>
      <c r="Q180" s="174"/>
      <c r="R180" s="174"/>
    </row>
    <row r="181">
      <c r="A181" s="255"/>
      <c r="B181" s="174"/>
      <c r="C181" s="174"/>
      <c r="D181" s="174"/>
      <c r="E181" s="174"/>
      <c r="F181" s="174"/>
      <c r="G181" s="174"/>
      <c r="H181" s="174"/>
      <c r="I181" s="174"/>
      <c r="J181" s="174"/>
      <c r="K181" s="174"/>
      <c r="L181" s="174"/>
      <c r="M181" s="174"/>
      <c r="N181" s="174"/>
      <c r="O181" s="174"/>
      <c r="P181" s="174"/>
      <c r="Q181" s="174"/>
      <c r="R181" s="174"/>
    </row>
    <row r="182">
      <c r="A182" s="255"/>
      <c r="B182" s="174"/>
      <c r="C182" s="174"/>
      <c r="D182" s="174"/>
      <c r="E182" s="174"/>
      <c r="F182" s="174"/>
      <c r="G182" s="174"/>
      <c r="H182" s="174"/>
      <c r="I182" s="174"/>
      <c r="J182" s="174"/>
      <c r="K182" s="174"/>
      <c r="L182" s="174"/>
      <c r="M182" s="174"/>
      <c r="N182" s="174"/>
      <c r="O182" s="174"/>
      <c r="P182" s="174"/>
      <c r="Q182" s="174"/>
      <c r="R182" s="174"/>
    </row>
    <row r="183">
      <c r="A183" s="255"/>
      <c r="B183" s="174"/>
      <c r="C183" s="174"/>
      <c r="D183" s="174"/>
      <c r="E183" s="174"/>
      <c r="F183" s="174"/>
      <c r="G183" s="174"/>
      <c r="H183" s="174"/>
      <c r="I183" s="174"/>
      <c r="J183" s="174"/>
      <c r="K183" s="174"/>
      <c r="L183" s="174"/>
      <c r="M183" s="174"/>
      <c r="N183" s="174"/>
      <c r="O183" s="174"/>
      <c r="P183" s="174"/>
      <c r="Q183" s="174"/>
      <c r="R183" s="174"/>
    </row>
    <row r="184">
      <c r="A184" s="255"/>
      <c r="B184" s="174"/>
      <c r="C184" s="174"/>
      <c r="D184" s="174"/>
      <c r="E184" s="174"/>
      <c r="F184" s="174"/>
      <c r="G184" s="174"/>
      <c r="H184" s="174"/>
      <c r="I184" s="174"/>
      <c r="J184" s="174"/>
      <c r="K184" s="174"/>
      <c r="L184" s="174"/>
      <c r="M184" s="174"/>
      <c r="N184" s="174"/>
      <c r="O184" s="174"/>
      <c r="P184" s="174"/>
      <c r="Q184" s="174"/>
      <c r="R184" s="174"/>
    </row>
    <row r="185">
      <c r="A185" s="255"/>
      <c r="B185" s="174"/>
      <c r="C185" s="174"/>
      <c r="D185" s="174"/>
      <c r="E185" s="174"/>
      <c r="F185" s="174"/>
      <c r="G185" s="174"/>
      <c r="H185" s="174"/>
      <c r="I185" s="174"/>
      <c r="J185" s="174"/>
      <c r="K185" s="174"/>
      <c r="L185" s="174"/>
      <c r="M185" s="174"/>
      <c r="N185" s="174"/>
      <c r="O185" s="174"/>
      <c r="P185" s="174"/>
      <c r="Q185" s="174"/>
      <c r="R185" s="174"/>
    </row>
    <row r="186">
      <c r="A186" s="255"/>
      <c r="B186" s="174"/>
      <c r="C186" s="174"/>
      <c r="D186" s="174"/>
      <c r="E186" s="174"/>
      <c r="F186" s="174"/>
      <c r="G186" s="174"/>
      <c r="H186" s="174"/>
      <c r="I186" s="174"/>
      <c r="J186" s="174"/>
      <c r="K186" s="174"/>
      <c r="L186" s="174"/>
      <c r="M186" s="174"/>
      <c r="N186" s="174"/>
      <c r="O186" s="174"/>
      <c r="P186" s="174"/>
      <c r="Q186" s="174"/>
      <c r="R186" s="174"/>
    </row>
    <row r="187">
      <c r="A187" s="255"/>
      <c r="B187" s="174"/>
      <c r="C187" s="174"/>
      <c r="D187" s="174"/>
      <c r="E187" s="174"/>
      <c r="F187" s="174"/>
      <c r="G187" s="174"/>
      <c r="H187" s="174"/>
      <c r="I187" s="174"/>
      <c r="J187" s="174"/>
      <c r="K187" s="174"/>
      <c r="L187" s="174"/>
      <c r="M187" s="174"/>
      <c r="N187" s="174"/>
      <c r="O187" s="174"/>
      <c r="P187" s="174"/>
      <c r="Q187" s="174"/>
      <c r="R187" s="174"/>
    </row>
    <row r="188">
      <c r="A188" s="255"/>
      <c r="B188" s="174"/>
      <c r="C188" s="174"/>
      <c r="D188" s="174"/>
      <c r="E188" s="174"/>
      <c r="F188" s="174"/>
      <c r="G188" s="174"/>
      <c r="H188" s="174"/>
      <c r="I188" s="174"/>
      <c r="J188" s="174"/>
      <c r="K188" s="174"/>
      <c r="L188" s="174"/>
      <c r="M188" s="174"/>
      <c r="N188" s="174"/>
      <c r="O188" s="174"/>
      <c r="P188" s="174"/>
      <c r="Q188" s="174"/>
      <c r="R188" s="174"/>
    </row>
    <row r="189">
      <c r="A189" s="255"/>
      <c r="B189" s="174"/>
      <c r="C189" s="174"/>
      <c r="D189" s="174"/>
      <c r="E189" s="174"/>
      <c r="F189" s="174"/>
      <c r="G189" s="174"/>
      <c r="H189" s="174"/>
      <c r="I189" s="174"/>
      <c r="J189" s="174"/>
      <c r="K189" s="174"/>
      <c r="L189" s="174"/>
      <c r="M189" s="174"/>
      <c r="N189" s="174"/>
      <c r="O189" s="174"/>
      <c r="P189" s="174"/>
      <c r="Q189" s="174"/>
      <c r="R189" s="174"/>
    </row>
    <row r="190">
      <c r="A190" s="255"/>
      <c r="B190" s="174"/>
      <c r="C190" s="174"/>
      <c r="D190" s="174"/>
      <c r="E190" s="174"/>
      <c r="F190" s="174"/>
      <c r="G190" s="174"/>
      <c r="H190" s="174"/>
      <c r="I190" s="174"/>
      <c r="J190" s="174"/>
      <c r="K190" s="174"/>
      <c r="L190" s="174"/>
      <c r="M190" s="174"/>
      <c r="N190" s="174"/>
      <c r="O190" s="174"/>
      <c r="P190" s="174"/>
      <c r="Q190" s="174"/>
      <c r="R190" s="174"/>
    </row>
    <row r="191">
      <c r="A191" s="255"/>
      <c r="B191" s="174"/>
      <c r="C191" s="174"/>
      <c r="D191" s="174"/>
      <c r="E191" s="174"/>
      <c r="F191" s="174"/>
      <c r="G191" s="174"/>
      <c r="H191" s="174"/>
      <c r="I191" s="174"/>
      <c r="J191" s="174"/>
      <c r="K191" s="174"/>
      <c r="L191" s="174"/>
      <c r="M191" s="174"/>
      <c r="N191" s="174"/>
      <c r="O191" s="174"/>
      <c r="P191" s="174"/>
      <c r="Q191" s="174"/>
      <c r="R191" s="174"/>
    </row>
    <row r="192">
      <c r="A192" s="255"/>
      <c r="B192" s="174"/>
      <c r="C192" s="174"/>
      <c r="D192" s="174"/>
      <c r="E192" s="174"/>
      <c r="F192" s="174"/>
      <c r="G192" s="174"/>
      <c r="H192" s="174"/>
      <c r="I192" s="174"/>
      <c r="J192" s="174"/>
      <c r="K192" s="174"/>
      <c r="L192" s="174"/>
      <c r="M192" s="174"/>
      <c r="N192" s="174"/>
      <c r="O192" s="174"/>
      <c r="P192" s="174"/>
      <c r="Q192" s="174"/>
      <c r="R192" s="174"/>
    </row>
    <row r="193">
      <c r="A193" s="255"/>
      <c r="B193" s="174"/>
      <c r="C193" s="174"/>
      <c r="D193" s="174"/>
      <c r="E193" s="174"/>
      <c r="F193" s="174"/>
      <c r="G193" s="174"/>
      <c r="H193" s="174"/>
      <c r="I193" s="174"/>
      <c r="J193" s="174"/>
      <c r="K193" s="174"/>
      <c r="L193" s="174"/>
      <c r="M193" s="174"/>
      <c r="N193" s="174"/>
      <c r="O193" s="174"/>
      <c r="P193" s="174"/>
      <c r="Q193" s="174"/>
      <c r="R193" s="174"/>
    </row>
    <row r="194">
      <c r="A194" s="255"/>
      <c r="B194" s="174"/>
      <c r="C194" s="174"/>
      <c r="D194" s="174"/>
      <c r="E194" s="174"/>
      <c r="F194" s="174"/>
      <c r="G194" s="174"/>
      <c r="H194" s="174"/>
      <c r="I194" s="174"/>
      <c r="J194" s="174"/>
      <c r="K194" s="174"/>
      <c r="L194" s="174"/>
      <c r="M194" s="174"/>
      <c r="N194" s="174"/>
      <c r="O194" s="174"/>
      <c r="P194" s="174"/>
      <c r="Q194" s="174"/>
      <c r="R194" s="174"/>
    </row>
    <row r="195">
      <c r="A195" s="255"/>
      <c r="B195" s="174"/>
      <c r="C195" s="174"/>
      <c r="D195" s="174"/>
      <c r="E195" s="174"/>
      <c r="F195" s="174"/>
      <c r="G195" s="174"/>
      <c r="H195" s="174"/>
      <c r="I195" s="174"/>
      <c r="J195" s="174"/>
      <c r="K195" s="174"/>
      <c r="L195" s="174"/>
      <c r="M195" s="174"/>
      <c r="N195" s="174"/>
      <c r="O195" s="174"/>
      <c r="P195" s="174"/>
      <c r="Q195" s="174"/>
      <c r="R195" s="174"/>
    </row>
    <row r="196">
      <c r="A196" s="255"/>
      <c r="B196" s="174"/>
      <c r="C196" s="174"/>
      <c r="D196" s="174"/>
      <c r="E196" s="174"/>
      <c r="F196" s="174"/>
      <c r="G196" s="174"/>
      <c r="H196" s="174"/>
      <c r="I196" s="174"/>
      <c r="J196" s="174"/>
      <c r="K196" s="174"/>
      <c r="L196" s="174"/>
      <c r="M196" s="174"/>
      <c r="N196" s="174"/>
      <c r="O196" s="174"/>
      <c r="P196" s="174"/>
      <c r="Q196" s="174"/>
      <c r="R196" s="174"/>
    </row>
    <row r="197">
      <c r="A197" s="255"/>
      <c r="B197" s="174"/>
      <c r="C197" s="174"/>
      <c r="D197" s="174"/>
      <c r="E197" s="174"/>
      <c r="F197" s="174"/>
      <c r="G197" s="174"/>
      <c r="H197" s="174"/>
      <c r="I197" s="174"/>
      <c r="J197" s="174"/>
      <c r="K197" s="174"/>
      <c r="L197" s="174"/>
      <c r="M197" s="174"/>
      <c r="N197" s="174"/>
      <c r="O197" s="174"/>
      <c r="P197" s="174"/>
      <c r="Q197" s="174"/>
      <c r="R197" s="174"/>
    </row>
    <row r="198">
      <c r="A198" s="255"/>
      <c r="B198" s="174"/>
      <c r="C198" s="174"/>
      <c r="D198" s="174"/>
      <c r="E198" s="174"/>
      <c r="F198" s="174"/>
      <c r="G198" s="174"/>
      <c r="H198" s="174"/>
      <c r="I198" s="174"/>
      <c r="J198" s="174"/>
      <c r="K198" s="174"/>
      <c r="L198" s="174"/>
      <c r="M198" s="174"/>
      <c r="N198" s="174"/>
      <c r="O198" s="174"/>
      <c r="P198" s="174"/>
      <c r="Q198" s="174"/>
      <c r="R198" s="174"/>
    </row>
    <row r="199">
      <c r="A199" s="255"/>
      <c r="B199" s="174"/>
      <c r="C199" s="174"/>
      <c r="D199" s="174"/>
      <c r="E199" s="174"/>
      <c r="F199" s="174"/>
      <c r="G199" s="174"/>
      <c r="H199" s="174"/>
      <c r="I199" s="174"/>
      <c r="J199" s="174"/>
      <c r="K199" s="174"/>
      <c r="L199" s="174"/>
      <c r="M199" s="174"/>
      <c r="N199" s="174"/>
      <c r="O199" s="174"/>
      <c r="P199" s="174"/>
      <c r="Q199" s="174"/>
      <c r="R199" s="174"/>
    </row>
    <row r="200">
      <c r="A200" s="255"/>
      <c r="B200" s="174"/>
      <c r="C200" s="174"/>
      <c r="D200" s="174"/>
      <c r="E200" s="174"/>
      <c r="F200" s="174"/>
      <c r="G200" s="174"/>
      <c r="H200" s="174"/>
      <c r="I200" s="174"/>
      <c r="J200" s="174"/>
      <c r="K200" s="174"/>
      <c r="L200" s="174"/>
      <c r="M200" s="174"/>
      <c r="N200" s="174"/>
      <c r="O200" s="174"/>
      <c r="P200" s="174"/>
      <c r="Q200" s="174"/>
      <c r="R200" s="174"/>
    </row>
    <row r="201">
      <c r="A201" s="256"/>
      <c r="B201" s="188"/>
      <c r="C201" s="188"/>
      <c r="D201" s="188"/>
      <c r="E201" s="188"/>
      <c r="F201" s="188"/>
      <c r="G201" s="188"/>
      <c r="H201" s="188"/>
      <c r="I201" s="188"/>
      <c r="J201" s="188"/>
      <c r="K201" s="188"/>
      <c r="L201" s="188"/>
      <c r="M201" s="188"/>
      <c r="N201" s="188"/>
      <c r="O201" s="188"/>
      <c r="P201" s="188"/>
      <c r="Q201" s="188"/>
      <c r="R201" s="188"/>
    </row>
    <row r="202">
      <c r="A202" s="257" t="str">
        <f>IFERROR(__xludf.DUMMYFUNCTION("IMPORTRANGE(""https://docs.google.com/spreadsheets/d/1OWqz0Kj63DvuK16jiKGSn_Hv_N2mbyV2QAdHjKdcrpw"", ""'Poke Skills'!$A$2:$R"")"),"Bulbasaur")</f>
        <v>Bulbasaur</v>
      </c>
      <c r="B202" s="174" t="str">
        <f>IFERROR(__xludf.DUMMYFUNCTION("""COMPUTED_VALUE"""),"Inept")</f>
        <v>Inept</v>
      </c>
      <c r="C202" s="174" t="str">
        <f>IFERROR(__xludf.DUMMYFUNCTION("""COMPUTED_VALUE"""),"Mastered")</f>
        <v>Mastered</v>
      </c>
      <c r="D202" s="174" t="str">
        <f>IFERROR(__xludf.DUMMYFUNCTION("""COMPUTED_VALUE"""),"Unlisted")</f>
        <v>Unlisted</v>
      </c>
      <c r="E202" s="174" t="str">
        <f>IFERROR(__xludf.DUMMYFUNCTION("""COMPUTED_VALUE"""),"Unlisted")</f>
        <v>Unlisted</v>
      </c>
      <c r="F202" s="174" t="str">
        <f>IFERROR(__xludf.DUMMYFUNCTION("""COMPUTED_VALUE"""),"Unlisted")</f>
        <v>Unlisted</v>
      </c>
      <c r="G202" s="174" t="str">
        <f>IFERROR(__xludf.DUMMYFUNCTION("""COMPUTED_VALUE"""),"Proficient")</f>
        <v>Proficient</v>
      </c>
      <c r="H202" s="174" t="str">
        <f>IFERROR(__xludf.DUMMYFUNCTION("""COMPUTED_VALUE"""),"Unlisted")</f>
        <v>Unlisted</v>
      </c>
      <c r="I202" s="174" t="str">
        <f>IFERROR(__xludf.DUMMYFUNCTION("""COMPUTED_VALUE"""),"Unlisted")</f>
        <v>Unlisted</v>
      </c>
      <c r="J202" s="174" t="str">
        <f>IFERROR(__xludf.DUMMYFUNCTION("""COMPUTED_VALUE"""),"Unlisted")</f>
        <v>Unlisted</v>
      </c>
      <c r="K202" s="174" t="str">
        <f>IFERROR(__xludf.DUMMYFUNCTION("""COMPUTED_VALUE"""),"Proficient")</f>
        <v>Proficient</v>
      </c>
      <c r="L202" s="174" t="str">
        <f>IFERROR(__xludf.DUMMYFUNCTION("""COMPUTED_VALUE"""),"Unlisted")</f>
        <v>Unlisted</v>
      </c>
      <c r="M202" s="174" t="str">
        <f>IFERROR(__xludf.DUMMYFUNCTION("""COMPUTED_VALUE"""),"Unlisted")</f>
        <v>Unlisted</v>
      </c>
      <c r="N202" s="174" t="str">
        <f>IFERROR(__xludf.DUMMYFUNCTION("""COMPUTED_VALUE"""),"Unlisted")</f>
        <v>Unlisted</v>
      </c>
      <c r="O202" s="174" t="str">
        <f>IFERROR(__xludf.DUMMYFUNCTION("""COMPUTED_VALUE"""),"Proficient")</f>
        <v>Proficient</v>
      </c>
      <c r="P202" s="174" t="str">
        <f>IFERROR(__xludf.DUMMYFUNCTION("""COMPUTED_VALUE"""),"Unlisted")</f>
        <v>Unlisted</v>
      </c>
      <c r="Q202" s="174" t="str">
        <f>IFERROR(__xludf.DUMMYFUNCTION("""COMPUTED_VALUE"""),"Unlisted")</f>
        <v>Unlisted</v>
      </c>
      <c r="R202" s="174" t="str">
        <f>IFERROR(__xludf.DUMMYFUNCTION("""COMPUTED_VALUE"""),"Unlisted")</f>
        <v>Unlisted</v>
      </c>
    </row>
    <row r="203">
      <c r="A203" s="255" t="str">
        <f>IFERROR(__xludf.DUMMYFUNCTION("""COMPUTED_VALUE"""),"Ivysaur")</f>
        <v>Ivysaur</v>
      </c>
      <c r="B203" s="174" t="str">
        <f>IFERROR(__xludf.DUMMYFUNCTION("""COMPUTED_VALUE"""),"Inept")</f>
        <v>Inept</v>
      </c>
      <c r="C203" s="174" t="str">
        <f>IFERROR(__xludf.DUMMYFUNCTION("""COMPUTED_VALUE"""),"Mastered")</f>
        <v>Mastered</v>
      </c>
      <c r="D203" s="174" t="str">
        <f>IFERROR(__xludf.DUMMYFUNCTION("""COMPUTED_VALUE"""),"Unlisted")</f>
        <v>Unlisted</v>
      </c>
      <c r="E203" s="174" t="str">
        <f>IFERROR(__xludf.DUMMYFUNCTION("""COMPUTED_VALUE"""),"Unlisted")</f>
        <v>Unlisted</v>
      </c>
      <c r="F203" s="174" t="str">
        <f>IFERROR(__xludf.DUMMYFUNCTION("""COMPUTED_VALUE"""),"Unlisted")</f>
        <v>Unlisted</v>
      </c>
      <c r="G203" s="174" t="str">
        <f>IFERROR(__xludf.DUMMYFUNCTION("""COMPUTED_VALUE"""),"Proficient")</f>
        <v>Proficient</v>
      </c>
      <c r="H203" s="174" t="str">
        <f>IFERROR(__xludf.DUMMYFUNCTION("""COMPUTED_VALUE"""),"Unlisted")</f>
        <v>Unlisted</v>
      </c>
      <c r="I203" s="174" t="str">
        <f>IFERROR(__xludf.DUMMYFUNCTION("""COMPUTED_VALUE"""),"Unlisted")</f>
        <v>Unlisted</v>
      </c>
      <c r="J203" s="174" t="str">
        <f>IFERROR(__xludf.DUMMYFUNCTION("""COMPUTED_VALUE"""),"Unlisted")</f>
        <v>Unlisted</v>
      </c>
      <c r="K203" s="174" t="str">
        <f>IFERROR(__xludf.DUMMYFUNCTION("""COMPUTED_VALUE"""),"Proficient")</f>
        <v>Proficient</v>
      </c>
      <c r="L203" s="174" t="str">
        <f>IFERROR(__xludf.DUMMYFUNCTION("""COMPUTED_VALUE"""),"Unlisted")</f>
        <v>Unlisted</v>
      </c>
      <c r="M203" s="174" t="str">
        <f>IFERROR(__xludf.DUMMYFUNCTION("""COMPUTED_VALUE"""),"Unlisted")</f>
        <v>Unlisted</v>
      </c>
      <c r="N203" s="174" t="str">
        <f>IFERROR(__xludf.DUMMYFUNCTION("""COMPUTED_VALUE"""),"Unlisted")</f>
        <v>Unlisted</v>
      </c>
      <c r="O203" s="174" t="str">
        <f>IFERROR(__xludf.DUMMYFUNCTION("""COMPUTED_VALUE"""),"Proficient")</f>
        <v>Proficient</v>
      </c>
      <c r="P203" s="174" t="str">
        <f>IFERROR(__xludf.DUMMYFUNCTION("""COMPUTED_VALUE"""),"Unlisted")</f>
        <v>Unlisted</v>
      </c>
      <c r="Q203" s="174" t="str">
        <f>IFERROR(__xludf.DUMMYFUNCTION("""COMPUTED_VALUE"""),"Unlisted")</f>
        <v>Unlisted</v>
      </c>
      <c r="R203" s="174" t="str">
        <f>IFERROR(__xludf.DUMMYFUNCTION("""COMPUTED_VALUE"""),"Unlisted")</f>
        <v>Unlisted</v>
      </c>
    </row>
    <row r="204">
      <c r="A204" s="255" t="str">
        <f>IFERROR(__xludf.DUMMYFUNCTION("""COMPUTED_VALUE"""),"Venusaur")</f>
        <v>Venusaur</v>
      </c>
      <c r="B204" s="174" t="str">
        <f>IFERROR(__xludf.DUMMYFUNCTION("""COMPUTED_VALUE"""),"Inept")</f>
        <v>Inept</v>
      </c>
      <c r="C204" s="174" t="str">
        <f>IFERROR(__xludf.DUMMYFUNCTION("""COMPUTED_VALUE"""),"Mastered")</f>
        <v>Mastered</v>
      </c>
      <c r="D204" s="174" t="str">
        <f>IFERROR(__xludf.DUMMYFUNCTION("""COMPUTED_VALUE"""),"Unlisted")</f>
        <v>Unlisted</v>
      </c>
      <c r="E204" s="174" t="str">
        <f>IFERROR(__xludf.DUMMYFUNCTION("""COMPUTED_VALUE"""),"Unlisted")</f>
        <v>Unlisted</v>
      </c>
      <c r="F204" s="174" t="str">
        <f>IFERROR(__xludf.DUMMYFUNCTION("""COMPUTED_VALUE"""),"Unlisted")</f>
        <v>Unlisted</v>
      </c>
      <c r="G204" s="174" t="str">
        <f>IFERROR(__xludf.DUMMYFUNCTION("""COMPUTED_VALUE"""),"Proficient")</f>
        <v>Proficient</v>
      </c>
      <c r="H204" s="174" t="str">
        <f>IFERROR(__xludf.DUMMYFUNCTION("""COMPUTED_VALUE"""),"Unlisted")</f>
        <v>Unlisted</v>
      </c>
      <c r="I204" s="174" t="str">
        <f>IFERROR(__xludf.DUMMYFUNCTION("""COMPUTED_VALUE"""),"Unlisted")</f>
        <v>Unlisted</v>
      </c>
      <c r="J204" s="174" t="str">
        <f>IFERROR(__xludf.DUMMYFUNCTION("""COMPUTED_VALUE"""),"Unlisted")</f>
        <v>Unlisted</v>
      </c>
      <c r="K204" s="174" t="str">
        <f>IFERROR(__xludf.DUMMYFUNCTION("""COMPUTED_VALUE"""),"Proficient")</f>
        <v>Proficient</v>
      </c>
      <c r="L204" s="174" t="str">
        <f>IFERROR(__xludf.DUMMYFUNCTION("""COMPUTED_VALUE"""),"Unlisted")</f>
        <v>Unlisted</v>
      </c>
      <c r="M204" s="174" t="str">
        <f>IFERROR(__xludf.DUMMYFUNCTION("""COMPUTED_VALUE"""),"Unlisted")</f>
        <v>Unlisted</v>
      </c>
      <c r="N204" s="174" t="str">
        <f>IFERROR(__xludf.DUMMYFUNCTION("""COMPUTED_VALUE"""),"Unlisted")</f>
        <v>Unlisted</v>
      </c>
      <c r="O204" s="174" t="str">
        <f>IFERROR(__xludf.DUMMYFUNCTION("""COMPUTED_VALUE"""),"Proficient")</f>
        <v>Proficient</v>
      </c>
      <c r="P204" s="174" t="str">
        <f>IFERROR(__xludf.DUMMYFUNCTION("""COMPUTED_VALUE"""),"Unlisted")</f>
        <v>Unlisted</v>
      </c>
      <c r="Q204" s="174" t="str">
        <f>IFERROR(__xludf.DUMMYFUNCTION("""COMPUTED_VALUE"""),"Unlisted")</f>
        <v>Unlisted</v>
      </c>
      <c r="R204" s="174" t="str">
        <f>IFERROR(__xludf.DUMMYFUNCTION("""COMPUTED_VALUE"""),"Unlisted")</f>
        <v>Unlisted</v>
      </c>
    </row>
    <row r="205">
      <c r="A205" s="255" t="str">
        <f>IFERROR(__xludf.DUMMYFUNCTION("""COMPUTED_VALUE"""),"Chikorita")</f>
        <v>Chikorita</v>
      </c>
      <c r="B205" s="174" t="str">
        <f>IFERROR(__xludf.DUMMYFUNCTION("""COMPUTED_VALUE"""),"Proficient")</f>
        <v>Proficient</v>
      </c>
      <c r="C205" s="174" t="str">
        <f>IFERROR(__xludf.DUMMYFUNCTION("""COMPUTED_VALUE"""),"Proficient")</f>
        <v>Proficient</v>
      </c>
      <c r="D205" s="174" t="str">
        <f>IFERROR(__xludf.DUMMYFUNCTION("""COMPUTED_VALUE"""),"Unlisted")</f>
        <v>Unlisted</v>
      </c>
      <c r="E205" s="174" t="str">
        <f>IFERROR(__xludf.DUMMYFUNCTION("""COMPUTED_VALUE"""),"Unlisted")</f>
        <v>Unlisted</v>
      </c>
      <c r="F205" s="174" t="str">
        <f>IFERROR(__xludf.DUMMYFUNCTION("""COMPUTED_VALUE"""),"Unlisted")</f>
        <v>Unlisted</v>
      </c>
      <c r="G205" s="174" t="str">
        <f>IFERROR(__xludf.DUMMYFUNCTION("""COMPUTED_VALUE"""),"Unlisted")</f>
        <v>Unlisted</v>
      </c>
      <c r="H205" s="174" t="str">
        <f>IFERROR(__xludf.DUMMYFUNCTION("""COMPUTED_VALUE"""),"Unlisted")</f>
        <v>Unlisted</v>
      </c>
      <c r="I205" s="174" t="str">
        <f>IFERROR(__xludf.DUMMYFUNCTION("""COMPUTED_VALUE"""),"Unlisted")</f>
        <v>Unlisted</v>
      </c>
      <c r="J205" s="174" t="str">
        <f>IFERROR(__xludf.DUMMYFUNCTION("""COMPUTED_VALUE"""),"Unlisted")</f>
        <v>Unlisted</v>
      </c>
      <c r="K205" s="174" t="str">
        <f>IFERROR(__xludf.DUMMYFUNCTION("""COMPUTED_VALUE"""),"Proficient")</f>
        <v>Proficient</v>
      </c>
      <c r="L205" s="174" t="str">
        <f>IFERROR(__xludf.DUMMYFUNCTION("""COMPUTED_VALUE"""),"Unlisted")</f>
        <v>Unlisted</v>
      </c>
      <c r="M205" s="174" t="str">
        <f>IFERROR(__xludf.DUMMYFUNCTION("""COMPUTED_VALUE"""),"Unlisted")</f>
        <v>Unlisted</v>
      </c>
      <c r="N205" s="174" t="str">
        <f>IFERROR(__xludf.DUMMYFUNCTION("""COMPUTED_VALUE"""),"Unlisted")</f>
        <v>Unlisted</v>
      </c>
      <c r="O205" s="174" t="str">
        <f>IFERROR(__xludf.DUMMYFUNCTION("""COMPUTED_VALUE"""),"Unlisted")</f>
        <v>Unlisted</v>
      </c>
      <c r="P205" s="174" t="str">
        <f>IFERROR(__xludf.DUMMYFUNCTION("""COMPUTED_VALUE"""),"Unlisted")</f>
        <v>Unlisted</v>
      </c>
      <c r="Q205" s="174" t="str">
        <f>IFERROR(__xludf.DUMMYFUNCTION("""COMPUTED_VALUE"""),"Unlisted")</f>
        <v>Unlisted</v>
      </c>
      <c r="R205" s="174" t="str">
        <f>IFERROR(__xludf.DUMMYFUNCTION("""COMPUTED_VALUE"""),"Unlisted")</f>
        <v>Unlisted</v>
      </c>
    </row>
    <row r="206">
      <c r="A206" s="255" t="str">
        <f>IFERROR(__xludf.DUMMYFUNCTION("""COMPUTED_VALUE"""),"Bayleef")</f>
        <v>Bayleef</v>
      </c>
      <c r="B206" s="174" t="str">
        <f>IFERROR(__xludf.DUMMYFUNCTION("""COMPUTED_VALUE"""),"Proficient")</f>
        <v>Proficient</v>
      </c>
      <c r="C206" s="174" t="str">
        <f>IFERROR(__xludf.DUMMYFUNCTION("""COMPUTED_VALUE"""),"Proficient")</f>
        <v>Proficient</v>
      </c>
      <c r="D206" s="174" t="str">
        <f>IFERROR(__xludf.DUMMYFUNCTION("""COMPUTED_VALUE"""),"Unlisted")</f>
        <v>Unlisted</v>
      </c>
      <c r="E206" s="174" t="str">
        <f>IFERROR(__xludf.DUMMYFUNCTION("""COMPUTED_VALUE"""),"Unlisted")</f>
        <v>Unlisted</v>
      </c>
      <c r="F206" s="174" t="str">
        <f>IFERROR(__xludf.DUMMYFUNCTION("""COMPUTED_VALUE"""),"Unlisted")</f>
        <v>Unlisted</v>
      </c>
      <c r="G206" s="174" t="str">
        <f>IFERROR(__xludf.DUMMYFUNCTION("""COMPUTED_VALUE"""),"Unlisted")</f>
        <v>Unlisted</v>
      </c>
      <c r="H206" s="174" t="str">
        <f>IFERROR(__xludf.DUMMYFUNCTION("""COMPUTED_VALUE"""),"Unlisted")</f>
        <v>Unlisted</v>
      </c>
      <c r="I206" s="174" t="str">
        <f>IFERROR(__xludf.DUMMYFUNCTION("""COMPUTED_VALUE"""),"Unlisted")</f>
        <v>Unlisted</v>
      </c>
      <c r="J206" s="174" t="str">
        <f>IFERROR(__xludf.DUMMYFUNCTION("""COMPUTED_VALUE"""),"Unlisted")</f>
        <v>Unlisted</v>
      </c>
      <c r="K206" s="174" t="str">
        <f>IFERROR(__xludf.DUMMYFUNCTION("""COMPUTED_VALUE"""),"Proficient")</f>
        <v>Proficient</v>
      </c>
      <c r="L206" s="174" t="str">
        <f>IFERROR(__xludf.DUMMYFUNCTION("""COMPUTED_VALUE"""),"Unlisted")</f>
        <v>Unlisted</v>
      </c>
      <c r="M206" s="174" t="str">
        <f>IFERROR(__xludf.DUMMYFUNCTION("""COMPUTED_VALUE"""),"Unlisted")</f>
        <v>Unlisted</v>
      </c>
      <c r="N206" s="174" t="str">
        <f>IFERROR(__xludf.DUMMYFUNCTION("""COMPUTED_VALUE"""),"Unlisted")</f>
        <v>Unlisted</v>
      </c>
      <c r="O206" s="174" t="str">
        <f>IFERROR(__xludf.DUMMYFUNCTION("""COMPUTED_VALUE"""),"Unlisted")</f>
        <v>Unlisted</v>
      </c>
      <c r="P206" s="174" t="str">
        <f>IFERROR(__xludf.DUMMYFUNCTION("""COMPUTED_VALUE"""),"Unlisted")</f>
        <v>Unlisted</v>
      </c>
      <c r="Q206" s="174" t="str">
        <f>IFERROR(__xludf.DUMMYFUNCTION("""COMPUTED_VALUE"""),"Unlisted")</f>
        <v>Unlisted</v>
      </c>
      <c r="R206" s="174" t="str">
        <f>IFERROR(__xludf.DUMMYFUNCTION("""COMPUTED_VALUE"""),"Unlisted")</f>
        <v>Unlisted</v>
      </c>
    </row>
    <row r="207">
      <c r="A207" s="255" t="str">
        <f>IFERROR(__xludf.DUMMYFUNCTION("""COMPUTED_VALUE"""),"Meganium")</f>
        <v>Meganium</v>
      </c>
      <c r="B207" s="174" t="str">
        <f>IFERROR(__xludf.DUMMYFUNCTION("""COMPUTED_VALUE"""),"Proficient")</f>
        <v>Proficient</v>
      </c>
      <c r="C207" s="174" t="str">
        <f>IFERROR(__xludf.DUMMYFUNCTION("""COMPUTED_VALUE"""),"Proficient")</f>
        <v>Proficient</v>
      </c>
      <c r="D207" s="174" t="str">
        <f>IFERROR(__xludf.DUMMYFUNCTION("""COMPUTED_VALUE"""),"Unlisted")</f>
        <v>Unlisted</v>
      </c>
      <c r="E207" s="174" t="str">
        <f>IFERROR(__xludf.DUMMYFUNCTION("""COMPUTED_VALUE"""),"Unlisted")</f>
        <v>Unlisted</v>
      </c>
      <c r="F207" s="174" t="str">
        <f>IFERROR(__xludf.DUMMYFUNCTION("""COMPUTED_VALUE"""),"Unlisted")</f>
        <v>Unlisted</v>
      </c>
      <c r="G207" s="174" t="str">
        <f>IFERROR(__xludf.DUMMYFUNCTION("""COMPUTED_VALUE"""),"Unlisted")</f>
        <v>Unlisted</v>
      </c>
      <c r="H207" s="174" t="str">
        <f>IFERROR(__xludf.DUMMYFUNCTION("""COMPUTED_VALUE"""),"Unlisted")</f>
        <v>Unlisted</v>
      </c>
      <c r="I207" s="174" t="str">
        <f>IFERROR(__xludf.DUMMYFUNCTION("""COMPUTED_VALUE"""),"Unlisted")</f>
        <v>Unlisted</v>
      </c>
      <c r="J207" s="174" t="str">
        <f>IFERROR(__xludf.DUMMYFUNCTION("""COMPUTED_VALUE"""),"Unlisted")</f>
        <v>Unlisted</v>
      </c>
      <c r="K207" s="174" t="str">
        <f>IFERROR(__xludf.DUMMYFUNCTION("""COMPUTED_VALUE"""),"Proficient")</f>
        <v>Proficient</v>
      </c>
      <c r="L207" s="174" t="str">
        <f>IFERROR(__xludf.DUMMYFUNCTION("""COMPUTED_VALUE"""),"Unlisted")</f>
        <v>Unlisted</v>
      </c>
      <c r="M207" s="174" t="str">
        <f>IFERROR(__xludf.DUMMYFUNCTION("""COMPUTED_VALUE"""),"Unlisted")</f>
        <v>Unlisted</v>
      </c>
      <c r="N207" s="174" t="str">
        <f>IFERROR(__xludf.DUMMYFUNCTION("""COMPUTED_VALUE"""),"Unlisted")</f>
        <v>Unlisted</v>
      </c>
      <c r="O207" s="174" t="str">
        <f>IFERROR(__xludf.DUMMYFUNCTION("""COMPUTED_VALUE"""),"Unlisted")</f>
        <v>Unlisted</v>
      </c>
      <c r="P207" s="174" t="str">
        <f>IFERROR(__xludf.DUMMYFUNCTION("""COMPUTED_VALUE"""),"Unlisted")</f>
        <v>Unlisted</v>
      </c>
      <c r="Q207" s="174" t="str">
        <f>IFERROR(__xludf.DUMMYFUNCTION("""COMPUTED_VALUE"""),"Unlisted")</f>
        <v>Unlisted</v>
      </c>
      <c r="R207" s="174" t="str">
        <f>IFERROR(__xludf.DUMMYFUNCTION("""COMPUTED_VALUE"""),"Unlisted")</f>
        <v>Unlisted</v>
      </c>
    </row>
    <row r="208">
      <c r="A208" s="255" t="str">
        <f>IFERROR(__xludf.DUMMYFUNCTION("""COMPUTED_VALUE"""),"Treecko")</f>
        <v>Treecko</v>
      </c>
      <c r="B208" s="174" t="str">
        <f>IFERROR(__xludf.DUMMYFUNCTION("""COMPUTED_VALUE"""),"Mastered")</f>
        <v>Mastered</v>
      </c>
      <c r="C208" s="174" t="str">
        <f>IFERROR(__xludf.DUMMYFUNCTION("""COMPUTED_VALUE"""),"Unlisted")</f>
        <v>Unlisted</v>
      </c>
      <c r="D208" s="174" t="str">
        <f>IFERROR(__xludf.DUMMYFUNCTION("""COMPUTED_VALUE"""),"Unlisted")</f>
        <v>Unlisted</v>
      </c>
      <c r="E208" s="174" t="str">
        <f>IFERROR(__xludf.DUMMYFUNCTION("""COMPUTED_VALUE"""),"Unlisted")</f>
        <v>Unlisted</v>
      </c>
      <c r="F208" s="174" t="str">
        <f>IFERROR(__xludf.DUMMYFUNCTION("""COMPUTED_VALUE"""),"Unlisted")</f>
        <v>Unlisted</v>
      </c>
      <c r="G208" s="174" t="str">
        <f>IFERROR(__xludf.DUMMYFUNCTION("""COMPUTED_VALUE"""),"Unlisted")</f>
        <v>Unlisted</v>
      </c>
      <c r="H208" s="174" t="str">
        <f>IFERROR(__xludf.DUMMYFUNCTION("""COMPUTED_VALUE"""),"Unlisted")</f>
        <v>Unlisted</v>
      </c>
      <c r="I208" s="174" t="str">
        <f>IFERROR(__xludf.DUMMYFUNCTION("""COMPUTED_VALUE"""),"Unlisted")</f>
        <v>Unlisted</v>
      </c>
      <c r="J208" s="174" t="str">
        <f>IFERROR(__xludf.DUMMYFUNCTION("""COMPUTED_VALUE"""),"Unlisted")</f>
        <v>Unlisted</v>
      </c>
      <c r="K208" s="174" t="str">
        <f>IFERROR(__xludf.DUMMYFUNCTION("""COMPUTED_VALUE"""),"Proficient")</f>
        <v>Proficient</v>
      </c>
      <c r="L208" s="174" t="str">
        <f>IFERROR(__xludf.DUMMYFUNCTION("""COMPUTED_VALUE"""),"Proficient")</f>
        <v>Proficient</v>
      </c>
      <c r="M208" s="174" t="str">
        <f>IFERROR(__xludf.DUMMYFUNCTION("""COMPUTED_VALUE"""),"Unlisted")</f>
        <v>Unlisted</v>
      </c>
      <c r="N208" s="174" t="str">
        <f>IFERROR(__xludf.DUMMYFUNCTION("""COMPUTED_VALUE"""),"Unlisted")</f>
        <v>Unlisted</v>
      </c>
      <c r="O208" s="174" t="str">
        <f>IFERROR(__xludf.DUMMYFUNCTION("""COMPUTED_VALUE"""),"Unlisted")</f>
        <v>Unlisted</v>
      </c>
      <c r="P208" s="174" t="str">
        <f>IFERROR(__xludf.DUMMYFUNCTION("""COMPUTED_VALUE"""),"Unlisted")</f>
        <v>Unlisted</v>
      </c>
      <c r="Q208" s="174" t="str">
        <f>IFERROR(__xludf.DUMMYFUNCTION("""COMPUTED_VALUE"""),"Unlisted")</f>
        <v>Unlisted</v>
      </c>
      <c r="R208" s="174" t="str">
        <f>IFERROR(__xludf.DUMMYFUNCTION("""COMPUTED_VALUE"""),"Unlisted")</f>
        <v>Unlisted</v>
      </c>
    </row>
    <row r="209">
      <c r="A209" s="255" t="str">
        <f>IFERROR(__xludf.DUMMYFUNCTION("""COMPUTED_VALUE"""),"Grovyle")</f>
        <v>Grovyle</v>
      </c>
      <c r="B209" s="174" t="str">
        <f>IFERROR(__xludf.DUMMYFUNCTION("""COMPUTED_VALUE"""),"Mastered")</f>
        <v>Mastered</v>
      </c>
      <c r="C209" s="174" t="str">
        <f>IFERROR(__xludf.DUMMYFUNCTION("""COMPUTED_VALUE"""),"Unlisted")</f>
        <v>Unlisted</v>
      </c>
      <c r="D209" s="174" t="str">
        <f>IFERROR(__xludf.DUMMYFUNCTION("""COMPUTED_VALUE"""),"Unlisted")</f>
        <v>Unlisted</v>
      </c>
      <c r="E209" s="174" t="str">
        <f>IFERROR(__xludf.DUMMYFUNCTION("""COMPUTED_VALUE"""),"Unlisted")</f>
        <v>Unlisted</v>
      </c>
      <c r="F209" s="174" t="str">
        <f>IFERROR(__xludf.DUMMYFUNCTION("""COMPUTED_VALUE"""),"Unlisted")</f>
        <v>Unlisted</v>
      </c>
      <c r="G209" s="174" t="str">
        <f>IFERROR(__xludf.DUMMYFUNCTION("""COMPUTED_VALUE"""),"Unlisted")</f>
        <v>Unlisted</v>
      </c>
      <c r="H209" s="174" t="str">
        <f>IFERROR(__xludf.DUMMYFUNCTION("""COMPUTED_VALUE"""),"Unlisted")</f>
        <v>Unlisted</v>
      </c>
      <c r="I209" s="174" t="str">
        <f>IFERROR(__xludf.DUMMYFUNCTION("""COMPUTED_VALUE"""),"Unlisted")</f>
        <v>Unlisted</v>
      </c>
      <c r="J209" s="174" t="str">
        <f>IFERROR(__xludf.DUMMYFUNCTION("""COMPUTED_VALUE"""),"Unlisted")</f>
        <v>Unlisted</v>
      </c>
      <c r="K209" s="174" t="str">
        <f>IFERROR(__xludf.DUMMYFUNCTION("""COMPUTED_VALUE"""),"Proficient")</f>
        <v>Proficient</v>
      </c>
      <c r="L209" s="174" t="str">
        <f>IFERROR(__xludf.DUMMYFUNCTION("""COMPUTED_VALUE"""),"Proficient")</f>
        <v>Proficient</v>
      </c>
      <c r="M209" s="174" t="str">
        <f>IFERROR(__xludf.DUMMYFUNCTION("""COMPUTED_VALUE"""),"Unlisted")</f>
        <v>Unlisted</v>
      </c>
      <c r="N209" s="174" t="str">
        <f>IFERROR(__xludf.DUMMYFUNCTION("""COMPUTED_VALUE"""),"Unlisted")</f>
        <v>Unlisted</v>
      </c>
      <c r="O209" s="174" t="str">
        <f>IFERROR(__xludf.DUMMYFUNCTION("""COMPUTED_VALUE"""),"Unlisted")</f>
        <v>Unlisted</v>
      </c>
      <c r="P209" s="174" t="str">
        <f>IFERROR(__xludf.DUMMYFUNCTION("""COMPUTED_VALUE"""),"Unlisted")</f>
        <v>Unlisted</v>
      </c>
      <c r="Q209" s="174" t="str">
        <f>IFERROR(__xludf.DUMMYFUNCTION("""COMPUTED_VALUE"""),"Unlisted")</f>
        <v>Unlisted</v>
      </c>
      <c r="R209" s="174" t="str">
        <f>IFERROR(__xludf.DUMMYFUNCTION("""COMPUTED_VALUE"""),"Unlisted")</f>
        <v>Unlisted</v>
      </c>
    </row>
    <row r="210">
      <c r="A210" s="255" t="str">
        <f>IFERROR(__xludf.DUMMYFUNCTION("""COMPUTED_VALUE"""),"Sceptile")</f>
        <v>Sceptile</v>
      </c>
      <c r="B210" s="174" t="str">
        <f>IFERROR(__xludf.DUMMYFUNCTION("""COMPUTED_VALUE"""),"Mastered")</f>
        <v>Mastered</v>
      </c>
      <c r="C210" s="174" t="str">
        <f>IFERROR(__xludf.DUMMYFUNCTION("""COMPUTED_VALUE"""),"Unlisted")</f>
        <v>Unlisted</v>
      </c>
      <c r="D210" s="174" t="str">
        <f>IFERROR(__xludf.DUMMYFUNCTION("""COMPUTED_VALUE"""),"Unlisted")</f>
        <v>Unlisted</v>
      </c>
      <c r="E210" s="174" t="str">
        <f>IFERROR(__xludf.DUMMYFUNCTION("""COMPUTED_VALUE"""),"Unlisted")</f>
        <v>Unlisted</v>
      </c>
      <c r="F210" s="174" t="str">
        <f>IFERROR(__xludf.DUMMYFUNCTION("""COMPUTED_VALUE"""),"Unlisted")</f>
        <v>Unlisted</v>
      </c>
      <c r="G210" s="174" t="str">
        <f>IFERROR(__xludf.DUMMYFUNCTION("""COMPUTED_VALUE"""),"Unlisted")</f>
        <v>Unlisted</v>
      </c>
      <c r="H210" s="174" t="str">
        <f>IFERROR(__xludf.DUMMYFUNCTION("""COMPUTED_VALUE"""),"Unlisted")</f>
        <v>Unlisted</v>
      </c>
      <c r="I210" s="174" t="str">
        <f>IFERROR(__xludf.DUMMYFUNCTION("""COMPUTED_VALUE"""),"Unlisted")</f>
        <v>Unlisted</v>
      </c>
      <c r="J210" s="174" t="str">
        <f>IFERROR(__xludf.DUMMYFUNCTION("""COMPUTED_VALUE"""),"Unlisted")</f>
        <v>Unlisted</v>
      </c>
      <c r="K210" s="174" t="str">
        <f>IFERROR(__xludf.DUMMYFUNCTION("""COMPUTED_VALUE"""),"Proficient")</f>
        <v>Proficient</v>
      </c>
      <c r="L210" s="174" t="str">
        <f>IFERROR(__xludf.DUMMYFUNCTION("""COMPUTED_VALUE"""),"Proficient")</f>
        <v>Proficient</v>
      </c>
      <c r="M210" s="174" t="str">
        <f>IFERROR(__xludf.DUMMYFUNCTION("""COMPUTED_VALUE"""),"Unlisted")</f>
        <v>Unlisted</v>
      </c>
      <c r="N210" s="174" t="str">
        <f>IFERROR(__xludf.DUMMYFUNCTION("""COMPUTED_VALUE"""),"Unlisted")</f>
        <v>Unlisted</v>
      </c>
      <c r="O210" s="174" t="str">
        <f>IFERROR(__xludf.DUMMYFUNCTION("""COMPUTED_VALUE"""),"Unlisted")</f>
        <v>Unlisted</v>
      </c>
      <c r="P210" s="174" t="str">
        <f>IFERROR(__xludf.DUMMYFUNCTION("""COMPUTED_VALUE"""),"Unlisted")</f>
        <v>Unlisted</v>
      </c>
      <c r="Q210" s="174" t="str">
        <f>IFERROR(__xludf.DUMMYFUNCTION("""COMPUTED_VALUE"""),"Unlisted")</f>
        <v>Unlisted</v>
      </c>
      <c r="R210" s="174" t="str">
        <f>IFERROR(__xludf.DUMMYFUNCTION("""COMPUTED_VALUE"""),"Unlisted")</f>
        <v>Unlisted</v>
      </c>
    </row>
    <row r="211">
      <c r="A211" s="255" t="str">
        <f>IFERROR(__xludf.DUMMYFUNCTION("""COMPUTED_VALUE"""),"Turtwig")</f>
        <v>Turtwig</v>
      </c>
      <c r="B211" s="174" t="str">
        <f>IFERROR(__xludf.DUMMYFUNCTION("""COMPUTED_VALUE"""),"Inept")</f>
        <v>Inept</v>
      </c>
      <c r="C211" s="174" t="str">
        <f>IFERROR(__xludf.DUMMYFUNCTION("""COMPUTED_VALUE"""),"Unlisted")</f>
        <v>Unlisted</v>
      </c>
      <c r="D211" s="174" t="str">
        <f>IFERROR(__xludf.DUMMYFUNCTION("""COMPUTED_VALUE"""),"Unlisted")</f>
        <v>Unlisted</v>
      </c>
      <c r="E211" s="174" t="str">
        <f>IFERROR(__xludf.DUMMYFUNCTION("""COMPUTED_VALUE"""),"Unlisted")</f>
        <v>Unlisted</v>
      </c>
      <c r="F211" s="174" t="str">
        <f>IFERROR(__xludf.DUMMYFUNCTION("""COMPUTED_VALUE"""),"Unlisted")</f>
        <v>Unlisted</v>
      </c>
      <c r="G211" s="174" t="str">
        <f>IFERROR(__xludf.DUMMYFUNCTION("""COMPUTED_VALUE"""),"Mastered")</f>
        <v>Mastered</v>
      </c>
      <c r="H211" s="174" t="str">
        <f>IFERROR(__xludf.DUMMYFUNCTION("""COMPUTED_VALUE"""),"Unlisted")</f>
        <v>Unlisted</v>
      </c>
      <c r="I211" s="174" t="str">
        <f>IFERROR(__xludf.DUMMYFUNCTION("""COMPUTED_VALUE"""),"Unlisted")</f>
        <v>Unlisted</v>
      </c>
      <c r="J211" s="174" t="str">
        <f>IFERROR(__xludf.DUMMYFUNCTION("""COMPUTED_VALUE"""),"Unlisted")</f>
        <v>Unlisted</v>
      </c>
      <c r="K211" s="174" t="str">
        <f>IFERROR(__xludf.DUMMYFUNCTION("""COMPUTED_VALUE"""),"Proficient")</f>
        <v>Proficient</v>
      </c>
      <c r="L211" s="174" t="str">
        <f>IFERROR(__xludf.DUMMYFUNCTION("""COMPUTED_VALUE"""),"Unlisted")</f>
        <v>Unlisted</v>
      </c>
      <c r="M211" s="174" t="str">
        <f>IFERROR(__xludf.DUMMYFUNCTION("""COMPUTED_VALUE"""),"Unlisted")</f>
        <v>Unlisted</v>
      </c>
      <c r="N211" s="174" t="str">
        <f>IFERROR(__xludf.DUMMYFUNCTION("""COMPUTED_VALUE"""),"Unlisted")</f>
        <v>Unlisted</v>
      </c>
      <c r="O211" s="174" t="str">
        <f>IFERROR(__xludf.DUMMYFUNCTION("""COMPUTED_VALUE"""),"Proficient")</f>
        <v>Proficient</v>
      </c>
      <c r="P211" s="174" t="str">
        <f>IFERROR(__xludf.DUMMYFUNCTION("""COMPUTED_VALUE"""),"Unlisted")</f>
        <v>Unlisted</v>
      </c>
      <c r="Q211" s="174" t="str">
        <f>IFERROR(__xludf.DUMMYFUNCTION("""COMPUTED_VALUE"""),"Unlisted")</f>
        <v>Unlisted</v>
      </c>
      <c r="R211" s="174" t="str">
        <f>IFERROR(__xludf.DUMMYFUNCTION("""COMPUTED_VALUE"""),"Unlisted")</f>
        <v>Unlisted</v>
      </c>
    </row>
    <row r="212">
      <c r="A212" s="255" t="str">
        <f>IFERROR(__xludf.DUMMYFUNCTION("""COMPUTED_VALUE"""),"Grotle")</f>
        <v>Grotle</v>
      </c>
      <c r="B212" s="174" t="str">
        <f>IFERROR(__xludf.DUMMYFUNCTION("""COMPUTED_VALUE"""),"Inept")</f>
        <v>Inept</v>
      </c>
      <c r="C212" s="174" t="str">
        <f>IFERROR(__xludf.DUMMYFUNCTION("""COMPUTED_VALUE"""),"Proficient")</f>
        <v>Proficient</v>
      </c>
      <c r="D212" s="174" t="str">
        <f>IFERROR(__xludf.DUMMYFUNCTION("""COMPUTED_VALUE"""),"Unlisted")</f>
        <v>Unlisted</v>
      </c>
      <c r="E212" s="174" t="str">
        <f>IFERROR(__xludf.DUMMYFUNCTION("""COMPUTED_VALUE"""),"Unlisted")</f>
        <v>Unlisted</v>
      </c>
      <c r="F212" s="174" t="str">
        <f>IFERROR(__xludf.DUMMYFUNCTION("""COMPUTED_VALUE"""),"Unlisted")</f>
        <v>Unlisted</v>
      </c>
      <c r="G212" s="174" t="str">
        <f>IFERROR(__xludf.DUMMYFUNCTION("""COMPUTED_VALUE"""),"Mastered")</f>
        <v>Mastered</v>
      </c>
      <c r="H212" s="174" t="str">
        <f>IFERROR(__xludf.DUMMYFUNCTION("""COMPUTED_VALUE"""),"Unlisted")</f>
        <v>Unlisted</v>
      </c>
      <c r="I212" s="174" t="str">
        <f>IFERROR(__xludf.DUMMYFUNCTION("""COMPUTED_VALUE"""),"Unlisted")</f>
        <v>Unlisted</v>
      </c>
      <c r="J212" s="174" t="str">
        <f>IFERROR(__xludf.DUMMYFUNCTION("""COMPUTED_VALUE"""),"Unlisted")</f>
        <v>Unlisted</v>
      </c>
      <c r="K212" s="174" t="str">
        <f>IFERROR(__xludf.DUMMYFUNCTION("""COMPUTED_VALUE"""),"Proficient")</f>
        <v>Proficient</v>
      </c>
      <c r="L212" s="174" t="str">
        <f>IFERROR(__xludf.DUMMYFUNCTION("""COMPUTED_VALUE"""),"Unlisted")</f>
        <v>Unlisted</v>
      </c>
      <c r="M212" s="174" t="str">
        <f>IFERROR(__xludf.DUMMYFUNCTION("""COMPUTED_VALUE"""),"Unlisted")</f>
        <v>Unlisted</v>
      </c>
      <c r="N212" s="174" t="str">
        <f>IFERROR(__xludf.DUMMYFUNCTION("""COMPUTED_VALUE"""),"Unlisted")</f>
        <v>Unlisted</v>
      </c>
      <c r="O212" s="174" t="str">
        <f>IFERROR(__xludf.DUMMYFUNCTION("""COMPUTED_VALUE"""),"Proficient")</f>
        <v>Proficient</v>
      </c>
      <c r="P212" s="174" t="str">
        <f>IFERROR(__xludf.DUMMYFUNCTION("""COMPUTED_VALUE"""),"Unlisted")</f>
        <v>Unlisted</v>
      </c>
      <c r="Q212" s="174" t="str">
        <f>IFERROR(__xludf.DUMMYFUNCTION("""COMPUTED_VALUE"""),"Unlisted")</f>
        <v>Unlisted</v>
      </c>
      <c r="R212" s="174" t="str">
        <f>IFERROR(__xludf.DUMMYFUNCTION("""COMPUTED_VALUE"""),"Unlisted")</f>
        <v>Unlisted</v>
      </c>
    </row>
    <row r="213">
      <c r="A213" s="255" t="str">
        <f>IFERROR(__xludf.DUMMYFUNCTION("""COMPUTED_VALUE"""),"Torterra")</f>
        <v>Torterra</v>
      </c>
      <c r="B213" s="174" t="str">
        <f>IFERROR(__xludf.DUMMYFUNCTION("""COMPUTED_VALUE"""),"Inept")</f>
        <v>Inept</v>
      </c>
      <c r="C213" s="174" t="str">
        <f>IFERROR(__xludf.DUMMYFUNCTION("""COMPUTED_VALUE"""),"Proficient")</f>
        <v>Proficient</v>
      </c>
      <c r="D213" s="174" t="str">
        <f>IFERROR(__xludf.DUMMYFUNCTION("""COMPUTED_VALUE"""),"Unlisted")</f>
        <v>Unlisted</v>
      </c>
      <c r="E213" s="174" t="str">
        <f>IFERROR(__xludf.DUMMYFUNCTION("""COMPUTED_VALUE"""),"Unlisted")</f>
        <v>Unlisted</v>
      </c>
      <c r="F213" s="174" t="str">
        <f>IFERROR(__xludf.DUMMYFUNCTION("""COMPUTED_VALUE"""),"Unlisted")</f>
        <v>Unlisted</v>
      </c>
      <c r="G213" s="174" t="str">
        <f>IFERROR(__xludf.DUMMYFUNCTION("""COMPUTED_VALUE"""),"Mastered")</f>
        <v>Mastered</v>
      </c>
      <c r="H213" s="174" t="str">
        <f>IFERROR(__xludf.DUMMYFUNCTION("""COMPUTED_VALUE"""),"Unlisted")</f>
        <v>Unlisted</v>
      </c>
      <c r="I213" s="174" t="str">
        <f>IFERROR(__xludf.DUMMYFUNCTION("""COMPUTED_VALUE"""),"Unlisted")</f>
        <v>Unlisted</v>
      </c>
      <c r="J213" s="174" t="str">
        <f>IFERROR(__xludf.DUMMYFUNCTION("""COMPUTED_VALUE"""),"Unlisted")</f>
        <v>Unlisted</v>
      </c>
      <c r="K213" s="174" t="str">
        <f>IFERROR(__xludf.DUMMYFUNCTION("""COMPUTED_VALUE"""),"Proficient")</f>
        <v>Proficient</v>
      </c>
      <c r="L213" s="174" t="str">
        <f>IFERROR(__xludf.DUMMYFUNCTION("""COMPUTED_VALUE"""),"Unlisted")</f>
        <v>Unlisted</v>
      </c>
      <c r="M213" s="174" t="str">
        <f>IFERROR(__xludf.DUMMYFUNCTION("""COMPUTED_VALUE"""),"Unlisted")</f>
        <v>Unlisted</v>
      </c>
      <c r="N213" s="174" t="str">
        <f>IFERROR(__xludf.DUMMYFUNCTION("""COMPUTED_VALUE"""),"Unlisted")</f>
        <v>Unlisted</v>
      </c>
      <c r="O213" s="174" t="str">
        <f>IFERROR(__xludf.DUMMYFUNCTION("""COMPUTED_VALUE"""),"Proficient")</f>
        <v>Proficient</v>
      </c>
      <c r="P213" s="174" t="str">
        <f>IFERROR(__xludf.DUMMYFUNCTION("""COMPUTED_VALUE"""),"Unlisted")</f>
        <v>Unlisted</v>
      </c>
      <c r="Q213" s="174" t="str">
        <f>IFERROR(__xludf.DUMMYFUNCTION("""COMPUTED_VALUE"""),"Unlisted")</f>
        <v>Unlisted</v>
      </c>
      <c r="R213" s="174" t="str">
        <f>IFERROR(__xludf.DUMMYFUNCTION("""COMPUTED_VALUE"""),"Unlisted")</f>
        <v>Unlisted</v>
      </c>
    </row>
    <row r="214">
      <c r="A214" s="255" t="str">
        <f>IFERROR(__xludf.DUMMYFUNCTION("""COMPUTED_VALUE"""),"Snivy")</f>
        <v>Snivy</v>
      </c>
      <c r="B214" s="174" t="str">
        <f>IFERROR(__xludf.DUMMYFUNCTION("""COMPUTED_VALUE"""),"Proficient")</f>
        <v>Proficient</v>
      </c>
      <c r="C214" s="174" t="str">
        <f>IFERROR(__xludf.DUMMYFUNCTION("""COMPUTED_VALUE"""),"Inept")</f>
        <v>Inept</v>
      </c>
      <c r="D214" s="174" t="str">
        <f>IFERROR(__xludf.DUMMYFUNCTION("""COMPUTED_VALUE"""),"Unlisted")</f>
        <v>Unlisted</v>
      </c>
      <c r="E214" s="174" t="str">
        <f>IFERROR(__xludf.DUMMYFUNCTION("""COMPUTED_VALUE"""),"Unlisted")</f>
        <v>Unlisted</v>
      </c>
      <c r="F214" s="174" t="str">
        <f>IFERROR(__xludf.DUMMYFUNCTION("""COMPUTED_VALUE"""),"Unlisted")</f>
        <v>Unlisted</v>
      </c>
      <c r="G214" s="174" t="str">
        <f>IFERROR(__xludf.DUMMYFUNCTION("""COMPUTED_VALUE"""),"Mastered")</f>
        <v>Mastered</v>
      </c>
      <c r="H214" s="174" t="str">
        <f>IFERROR(__xludf.DUMMYFUNCTION("""COMPUTED_VALUE"""),"Unlisted")</f>
        <v>Unlisted</v>
      </c>
      <c r="I214" s="174" t="str">
        <f>IFERROR(__xludf.DUMMYFUNCTION("""COMPUTED_VALUE"""),"Unlisted")</f>
        <v>Unlisted</v>
      </c>
      <c r="J214" s="174" t="str">
        <f>IFERROR(__xludf.DUMMYFUNCTION("""COMPUTED_VALUE"""),"Unlisted")</f>
        <v>Unlisted</v>
      </c>
      <c r="K214" s="174" t="str">
        <f>IFERROR(__xludf.DUMMYFUNCTION("""COMPUTED_VALUE"""),"Proficient")</f>
        <v>Proficient</v>
      </c>
      <c r="L214" s="174" t="str">
        <f>IFERROR(__xludf.DUMMYFUNCTION("""COMPUTED_VALUE"""),"Proficient")</f>
        <v>Proficient</v>
      </c>
      <c r="M214" s="174" t="str">
        <f>IFERROR(__xludf.DUMMYFUNCTION("""COMPUTED_VALUE"""),"Unlisted")</f>
        <v>Unlisted</v>
      </c>
      <c r="N214" s="174" t="str">
        <f>IFERROR(__xludf.DUMMYFUNCTION("""COMPUTED_VALUE"""),"Unlisted")</f>
        <v>Unlisted</v>
      </c>
      <c r="O214" s="174" t="str">
        <f>IFERROR(__xludf.DUMMYFUNCTION("""COMPUTED_VALUE"""),"Unlisted")</f>
        <v>Unlisted</v>
      </c>
      <c r="P214" s="174" t="str">
        <f>IFERROR(__xludf.DUMMYFUNCTION("""COMPUTED_VALUE"""),"Unlisted")</f>
        <v>Unlisted</v>
      </c>
      <c r="Q214" s="174" t="str">
        <f>IFERROR(__xludf.DUMMYFUNCTION("""COMPUTED_VALUE"""),"Unlisted")</f>
        <v>Unlisted</v>
      </c>
      <c r="R214" s="174" t="str">
        <f>IFERROR(__xludf.DUMMYFUNCTION("""COMPUTED_VALUE"""),"Unlisted")</f>
        <v>Unlisted</v>
      </c>
    </row>
    <row r="215">
      <c r="A215" s="255" t="str">
        <f>IFERROR(__xludf.DUMMYFUNCTION("""COMPUTED_VALUE"""),"Servine")</f>
        <v>Servine</v>
      </c>
      <c r="B215" s="174" t="str">
        <f>IFERROR(__xludf.DUMMYFUNCTION("""COMPUTED_VALUE"""),"Proficient")</f>
        <v>Proficient</v>
      </c>
      <c r="C215" s="174" t="str">
        <f>IFERROR(__xludf.DUMMYFUNCTION("""COMPUTED_VALUE"""),"Inept")</f>
        <v>Inept</v>
      </c>
      <c r="D215" s="174" t="str">
        <f>IFERROR(__xludf.DUMMYFUNCTION("""COMPUTED_VALUE"""),"Unlisted")</f>
        <v>Unlisted</v>
      </c>
      <c r="E215" s="174" t="str">
        <f>IFERROR(__xludf.DUMMYFUNCTION("""COMPUTED_VALUE"""),"Unlisted")</f>
        <v>Unlisted</v>
      </c>
      <c r="F215" s="174" t="str">
        <f>IFERROR(__xludf.DUMMYFUNCTION("""COMPUTED_VALUE"""),"Unlisted")</f>
        <v>Unlisted</v>
      </c>
      <c r="G215" s="174" t="str">
        <f>IFERROR(__xludf.DUMMYFUNCTION("""COMPUTED_VALUE"""),"Mastered")</f>
        <v>Mastered</v>
      </c>
      <c r="H215" s="174" t="str">
        <f>IFERROR(__xludf.DUMMYFUNCTION("""COMPUTED_VALUE"""),"Unlisted")</f>
        <v>Unlisted</v>
      </c>
      <c r="I215" s="174" t="str">
        <f>IFERROR(__xludf.DUMMYFUNCTION("""COMPUTED_VALUE"""),"Unlisted")</f>
        <v>Unlisted</v>
      </c>
      <c r="J215" s="174" t="str">
        <f>IFERROR(__xludf.DUMMYFUNCTION("""COMPUTED_VALUE"""),"Unlisted")</f>
        <v>Unlisted</v>
      </c>
      <c r="K215" s="174" t="str">
        <f>IFERROR(__xludf.DUMMYFUNCTION("""COMPUTED_VALUE"""),"Proficient")</f>
        <v>Proficient</v>
      </c>
      <c r="L215" s="174" t="str">
        <f>IFERROR(__xludf.DUMMYFUNCTION("""COMPUTED_VALUE"""),"Proficient")</f>
        <v>Proficient</v>
      </c>
      <c r="M215" s="174" t="str">
        <f>IFERROR(__xludf.DUMMYFUNCTION("""COMPUTED_VALUE"""),"Unlisted")</f>
        <v>Unlisted</v>
      </c>
      <c r="N215" s="174" t="str">
        <f>IFERROR(__xludf.DUMMYFUNCTION("""COMPUTED_VALUE"""),"Unlisted")</f>
        <v>Unlisted</v>
      </c>
      <c r="O215" s="174" t="str">
        <f>IFERROR(__xludf.DUMMYFUNCTION("""COMPUTED_VALUE"""),"Unlisted")</f>
        <v>Unlisted</v>
      </c>
      <c r="P215" s="174" t="str">
        <f>IFERROR(__xludf.DUMMYFUNCTION("""COMPUTED_VALUE"""),"Unlisted")</f>
        <v>Unlisted</v>
      </c>
      <c r="Q215" s="174" t="str">
        <f>IFERROR(__xludf.DUMMYFUNCTION("""COMPUTED_VALUE"""),"Unlisted")</f>
        <v>Unlisted</v>
      </c>
      <c r="R215" s="174" t="str">
        <f>IFERROR(__xludf.DUMMYFUNCTION("""COMPUTED_VALUE"""),"Unlisted")</f>
        <v>Unlisted</v>
      </c>
    </row>
    <row r="216">
      <c r="A216" s="255" t="str">
        <f>IFERROR(__xludf.DUMMYFUNCTION("""COMPUTED_VALUE"""),"Serperior")</f>
        <v>Serperior</v>
      </c>
      <c r="B216" s="174" t="str">
        <f>IFERROR(__xludf.DUMMYFUNCTION("""COMPUTED_VALUE"""),"Proficient")</f>
        <v>Proficient</v>
      </c>
      <c r="C216" s="174" t="str">
        <f>IFERROR(__xludf.DUMMYFUNCTION("""COMPUTED_VALUE"""),"Inept")</f>
        <v>Inept</v>
      </c>
      <c r="D216" s="174" t="str">
        <f>IFERROR(__xludf.DUMMYFUNCTION("""COMPUTED_VALUE"""),"Unlisted")</f>
        <v>Unlisted</v>
      </c>
      <c r="E216" s="174" t="str">
        <f>IFERROR(__xludf.DUMMYFUNCTION("""COMPUTED_VALUE"""),"Unlisted")</f>
        <v>Unlisted</v>
      </c>
      <c r="F216" s="174" t="str">
        <f>IFERROR(__xludf.DUMMYFUNCTION("""COMPUTED_VALUE"""),"Unlisted")</f>
        <v>Unlisted</v>
      </c>
      <c r="G216" s="174" t="str">
        <f>IFERROR(__xludf.DUMMYFUNCTION("""COMPUTED_VALUE"""),"Mastered")</f>
        <v>Mastered</v>
      </c>
      <c r="H216" s="174" t="str">
        <f>IFERROR(__xludf.DUMMYFUNCTION("""COMPUTED_VALUE"""),"Unlisted")</f>
        <v>Unlisted</v>
      </c>
      <c r="I216" s="174" t="str">
        <f>IFERROR(__xludf.DUMMYFUNCTION("""COMPUTED_VALUE"""),"Unlisted")</f>
        <v>Unlisted</v>
      </c>
      <c r="J216" s="174" t="str">
        <f>IFERROR(__xludf.DUMMYFUNCTION("""COMPUTED_VALUE"""),"Unlisted")</f>
        <v>Unlisted</v>
      </c>
      <c r="K216" s="174" t="str">
        <f>IFERROR(__xludf.DUMMYFUNCTION("""COMPUTED_VALUE"""),"Proficient")</f>
        <v>Proficient</v>
      </c>
      <c r="L216" s="174" t="str">
        <f>IFERROR(__xludf.DUMMYFUNCTION("""COMPUTED_VALUE"""),"Proficient")</f>
        <v>Proficient</v>
      </c>
      <c r="M216" s="174" t="str">
        <f>IFERROR(__xludf.DUMMYFUNCTION("""COMPUTED_VALUE"""),"Unlisted")</f>
        <v>Unlisted</v>
      </c>
      <c r="N216" s="174" t="str">
        <f>IFERROR(__xludf.DUMMYFUNCTION("""COMPUTED_VALUE"""),"Unlisted")</f>
        <v>Unlisted</v>
      </c>
      <c r="O216" s="174" t="str">
        <f>IFERROR(__xludf.DUMMYFUNCTION("""COMPUTED_VALUE"""),"Unlisted")</f>
        <v>Unlisted</v>
      </c>
      <c r="P216" s="174" t="str">
        <f>IFERROR(__xludf.DUMMYFUNCTION("""COMPUTED_VALUE"""),"Unlisted")</f>
        <v>Unlisted</v>
      </c>
      <c r="Q216" s="174" t="str">
        <f>IFERROR(__xludf.DUMMYFUNCTION("""COMPUTED_VALUE"""),"Unlisted")</f>
        <v>Unlisted</v>
      </c>
      <c r="R216" s="174" t="str">
        <f>IFERROR(__xludf.DUMMYFUNCTION("""COMPUTED_VALUE"""),"Unlisted")</f>
        <v>Unlisted</v>
      </c>
    </row>
    <row r="217">
      <c r="A217" s="255" t="str">
        <f>IFERROR(__xludf.DUMMYFUNCTION("""COMPUTED_VALUE"""),"Chespin")</f>
        <v>Chespin</v>
      </c>
      <c r="B217" s="174" t="str">
        <f>IFERROR(__xludf.DUMMYFUNCTION("""COMPUTED_VALUE"""),"Unlisted")</f>
        <v>Unlisted</v>
      </c>
      <c r="C217" s="174" t="str">
        <f>IFERROR(__xludf.DUMMYFUNCTION("""COMPUTED_VALUE"""),"Mastered")</f>
        <v>Mastered</v>
      </c>
      <c r="D217" s="174" t="str">
        <f>IFERROR(__xludf.DUMMYFUNCTION("""COMPUTED_VALUE"""),"Unlisted")</f>
        <v>Unlisted</v>
      </c>
      <c r="E217" s="174" t="str">
        <f>IFERROR(__xludf.DUMMYFUNCTION("""COMPUTED_VALUE"""),"Proficient")</f>
        <v>Proficient</v>
      </c>
      <c r="F217" s="174" t="str">
        <f>IFERROR(__xludf.DUMMYFUNCTION("""COMPUTED_VALUE"""),"Unlisted")</f>
        <v>Unlisted</v>
      </c>
      <c r="G217" s="174" t="str">
        <f>IFERROR(__xludf.DUMMYFUNCTION("""COMPUTED_VALUE"""),"Proficient")</f>
        <v>Proficient</v>
      </c>
      <c r="H217" s="174" t="str">
        <f>IFERROR(__xludf.DUMMYFUNCTION("""COMPUTED_VALUE"""),"Unlisted")</f>
        <v>Unlisted</v>
      </c>
      <c r="I217" s="174" t="str">
        <f>IFERROR(__xludf.DUMMYFUNCTION("""COMPUTED_VALUE"""),"Unlisted")</f>
        <v>Unlisted</v>
      </c>
      <c r="J217" s="174" t="str">
        <f>IFERROR(__xludf.DUMMYFUNCTION("""COMPUTED_VALUE"""),"Unlisted")</f>
        <v>Unlisted</v>
      </c>
      <c r="K217" s="174" t="str">
        <f>IFERROR(__xludf.DUMMYFUNCTION("""COMPUTED_VALUE"""),"Unlisted")</f>
        <v>Unlisted</v>
      </c>
      <c r="L217" s="174" t="str">
        <f>IFERROR(__xludf.DUMMYFUNCTION("""COMPUTED_VALUE"""),"Unlisted")</f>
        <v>Unlisted</v>
      </c>
      <c r="M217" s="174" t="str">
        <f>IFERROR(__xludf.DUMMYFUNCTION("""COMPUTED_VALUE"""),"Unlisted")</f>
        <v>Unlisted</v>
      </c>
      <c r="N217" s="174" t="str">
        <f>IFERROR(__xludf.DUMMYFUNCTION("""COMPUTED_VALUE"""),"Unlisted")</f>
        <v>Unlisted</v>
      </c>
      <c r="O217" s="174" t="str">
        <f>IFERROR(__xludf.DUMMYFUNCTION("""COMPUTED_VALUE"""),"Unlisted")</f>
        <v>Unlisted</v>
      </c>
      <c r="P217" s="174" t="str">
        <f>IFERROR(__xludf.DUMMYFUNCTION("""COMPUTED_VALUE"""),"Unlisted")</f>
        <v>Unlisted</v>
      </c>
      <c r="Q217" s="174" t="str">
        <f>IFERROR(__xludf.DUMMYFUNCTION("""COMPUTED_VALUE"""),"Unlisted")</f>
        <v>Unlisted</v>
      </c>
      <c r="R217" s="174" t="str">
        <f>IFERROR(__xludf.DUMMYFUNCTION("""COMPUTED_VALUE"""),"Unlisted")</f>
        <v>Unlisted</v>
      </c>
    </row>
    <row r="218">
      <c r="A218" s="255" t="str">
        <f>IFERROR(__xludf.DUMMYFUNCTION("""COMPUTED_VALUE"""),"Quilladin")</f>
        <v>Quilladin</v>
      </c>
      <c r="B218" s="174" t="str">
        <f>IFERROR(__xludf.DUMMYFUNCTION("""COMPUTED_VALUE"""),"Unlisted")</f>
        <v>Unlisted</v>
      </c>
      <c r="C218" s="174" t="str">
        <f>IFERROR(__xludf.DUMMYFUNCTION("""COMPUTED_VALUE"""),"Mastered")</f>
        <v>Mastered</v>
      </c>
      <c r="D218" s="174" t="str">
        <f>IFERROR(__xludf.DUMMYFUNCTION("""COMPUTED_VALUE"""),"Unlisted")</f>
        <v>Unlisted</v>
      </c>
      <c r="E218" s="174" t="str">
        <f>IFERROR(__xludf.DUMMYFUNCTION("""COMPUTED_VALUE"""),"Proficient")</f>
        <v>Proficient</v>
      </c>
      <c r="F218" s="174" t="str">
        <f>IFERROR(__xludf.DUMMYFUNCTION("""COMPUTED_VALUE"""),"Unlisted")</f>
        <v>Unlisted</v>
      </c>
      <c r="G218" s="174" t="str">
        <f>IFERROR(__xludf.DUMMYFUNCTION("""COMPUTED_VALUE"""),"Proficient")</f>
        <v>Proficient</v>
      </c>
      <c r="H218" s="174" t="str">
        <f>IFERROR(__xludf.DUMMYFUNCTION("""COMPUTED_VALUE"""),"Unlisted")</f>
        <v>Unlisted</v>
      </c>
      <c r="I218" s="174" t="str">
        <f>IFERROR(__xludf.DUMMYFUNCTION("""COMPUTED_VALUE"""),"Unlisted")</f>
        <v>Unlisted</v>
      </c>
      <c r="J218" s="174" t="str">
        <f>IFERROR(__xludf.DUMMYFUNCTION("""COMPUTED_VALUE"""),"Unlisted")</f>
        <v>Unlisted</v>
      </c>
      <c r="K218" s="174" t="str">
        <f>IFERROR(__xludf.DUMMYFUNCTION("""COMPUTED_VALUE"""),"Unlisted")</f>
        <v>Unlisted</v>
      </c>
      <c r="L218" s="174" t="str">
        <f>IFERROR(__xludf.DUMMYFUNCTION("""COMPUTED_VALUE"""),"Unlisted")</f>
        <v>Unlisted</v>
      </c>
      <c r="M218" s="174" t="str">
        <f>IFERROR(__xludf.DUMMYFUNCTION("""COMPUTED_VALUE"""),"Unlisted")</f>
        <v>Unlisted</v>
      </c>
      <c r="N218" s="174" t="str">
        <f>IFERROR(__xludf.DUMMYFUNCTION("""COMPUTED_VALUE"""),"Unlisted")</f>
        <v>Unlisted</v>
      </c>
      <c r="O218" s="174" t="str">
        <f>IFERROR(__xludf.DUMMYFUNCTION("""COMPUTED_VALUE"""),"Unlisted")</f>
        <v>Unlisted</v>
      </c>
      <c r="P218" s="174" t="str">
        <f>IFERROR(__xludf.DUMMYFUNCTION("""COMPUTED_VALUE"""),"Unlisted")</f>
        <v>Unlisted</v>
      </c>
      <c r="Q218" s="174" t="str">
        <f>IFERROR(__xludf.DUMMYFUNCTION("""COMPUTED_VALUE"""),"Unlisted")</f>
        <v>Unlisted</v>
      </c>
      <c r="R218" s="174" t="str">
        <f>IFERROR(__xludf.DUMMYFUNCTION("""COMPUTED_VALUE"""),"Unlisted")</f>
        <v>Unlisted</v>
      </c>
    </row>
    <row r="219">
      <c r="A219" s="255" t="str">
        <f>IFERROR(__xludf.DUMMYFUNCTION("""COMPUTED_VALUE"""),"Chesnaught")</f>
        <v>Chesnaught</v>
      </c>
      <c r="B219" s="174" t="str">
        <f>IFERROR(__xludf.DUMMYFUNCTION("""COMPUTED_VALUE"""),"Unlisted")</f>
        <v>Unlisted</v>
      </c>
      <c r="C219" s="174" t="str">
        <f>IFERROR(__xludf.DUMMYFUNCTION("""COMPUTED_VALUE"""),"Mastered")</f>
        <v>Mastered</v>
      </c>
      <c r="D219" s="174" t="str">
        <f>IFERROR(__xludf.DUMMYFUNCTION("""COMPUTED_VALUE"""),"Unlisted")</f>
        <v>Unlisted</v>
      </c>
      <c r="E219" s="174" t="str">
        <f>IFERROR(__xludf.DUMMYFUNCTION("""COMPUTED_VALUE"""),"Proficient")</f>
        <v>Proficient</v>
      </c>
      <c r="F219" s="174" t="str">
        <f>IFERROR(__xludf.DUMMYFUNCTION("""COMPUTED_VALUE"""),"Unlisted")</f>
        <v>Unlisted</v>
      </c>
      <c r="G219" s="174" t="str">
        <f>IFERROR(__xludf.DUMMYFUNCTION("""COMPUTED_VALUE"""),"Proficient")</f>
        <v>Proficient</v>
      </c>
      <c r="H219" s="174" t="str">
        <f>IFERROR(__xludf.DUMMYFUNCTION("""COMPUTED_VALUE"""),"Unlisted")</f>
        <v>Unlisted</v>
      </c>
      <c r="I219" s="174" t="str">
        <f>IFERROR(__xludf.DUMMYFUNCTION("""COMPUTED_VALUE"""),"Unlisted")</f>
        <v>Unlisted</v>
      </c>
      <c r="J219" s="174" t="str">
        <f>IFERROR(__xludf.DUMMYFUNCTION("""COMPUTED_VALUE"""),"Unlisted")</f>
        <v>Unlisted</v>
      </c>
      <c r="K219" s="174" t="str">
        <f>IFERROR(__xludf.DUMMYFUNCTION("""COMPUTED_VALUE"""),"Unlisted")</f>
        <v>Unlisted</v>
      </c>
      <c r="L219" s="174" t="str">
        <f>IFERROR(__xludf.DUMMYFUNCTION("""COMPUTED_VALUE"""),"Unlisted")</f>
        <v>Unlisted</v>
      </c>
      <c r="M219" s="174" t="str">
        <f>IFERROR(__xludf.DUMMYFUNCTION("""COMPUTED_VALUE"""),"Unlisted")</f>
        <v>Unlisted</v>
      </c>
      <c r="N219" s="174" t="str">
        <f>IFERROR(__xludf.DUMMYFUNCTION("""COMPUTED_VALUE"""),"Unlisted")</f>
        <v>Unlisted</v>
      </c>
      <c r="O219" s="174" t="str">
        <f>IFERROR(__xludf.DUMMYFUNCTION("""COMPUTED_VALUE"""),"Unlisted")</f>
        <v>Unlisted</v>
      </c>
      <c r="P219" s="174" t="str">
        <f>IFERROR(__xludf.DUMMYFUNCTION("""COMPUTED_VALUE"""),"Unlisted")</f>
        <v>Unlisted</v>
      </c>
      <c r="Q219" s="174" t="str">
        <f>IFERROR(__xludf.DUMMYFUNCTION("""COMPUTED_VALUE"""),"Unlisted")</f>
        <v>Unlisted</v>
      </c>
      <c r="R219" s="174" t="str">
        <f>IFERROR(__xludf.DUMMYFUNCTION("""COMPUTED_VALUE"""),"Unlisted")</f>
        <v>Unlisted</v>
      </c>
    </row>
    <row r="220">
      <c r="A220" s="255" t="str">
        <f>IFERROR(__xludf.DUMMYFUNCTION("""COMPUTED_VALUE"""),"Rowlet")</f>
        <v>Rowlet</v>
      </c>
      <c r="B220" s="174" t="str">
        <f>IFERROR(__xludf.DUMMYFUNCTION("""COMPUTED_VALUE"""),"Proficient")</f>
        <v>Proficient</v>
      </c>
      <c r="C220" s="174" t="str">
        <f>IFERROR(__xludf.DUMMYFUNCTION("""COMPUTED_VALUE"""),"Unlisted")</f>
        <v>Unlisted</v>
      </c>
      <c r="D220" s="174" t="str">
        <f>IFERROR(__xludf.DUMMYFUNCTION("""COMPUTED_VALUE"""),"Unlisted")</f>
        <v>Unlisted</v>
      </c>
      <c r="E220" s="174" t="str">
        <f>IFERROR(__xludf.DUMMYFUNCTION("""COMPUTED_VALUE"""),"Unlisted")</f>
        <v>Unlisted</v>
      </c>
      <c r="F220" s="174" t="str">
        <f>IFERROR(__xludf.DUMMYFUNCTION("""COMPUTED_VALUE"""),"Unlisted")</f>
        <v>Unlisted</v>
      </c>
      <c r="G220" s="174" t="str">
        <f>IFERROR(__xludf.DUMMYFUNCTION("""COMPUTED_VALUE"""),"Unlisted")</f>
        <v>Unlisted</v>
      </c>
      <c r="H220" s="174" t="str">
        <f>IFERROR(__xludf.DUMMYFUNCTION("""COMPUTED_VALUE"""),"Unlisted")</f>
        <v>Unlisted</v>
      </c>
      <c r="I220" s="174" t="str">
        <f>IFERROR(__xludf.DUMMYFUNCTION("""COMPUTED_VALUE"""),"Unlisted")</f>
        <v>Unlisted</v>
      </c>
      <c r="J220" s="174" t="str">
        <f>IFERROR(__xludf.DUMMYFUNCTION("""COMPUTED_VALUE"""),"Unlisted")</f>
        <v>Unlisted</v>
      </c>
      <c r="K220" s="174" t="str">
        <f>IFERROR(__xludf.DUMMYFUNCTION("""COMPUTED_VALUE"""),"Mastered")</f>
        <v>Mastered</v>
      </c>
      <c r="L220" s="174" t="str">
        <f>IFERROR(__xludf.DUMMYFUNCTION("""COMPUTED_VALUE"""),"Proficient")</f>
        <v>Proficient</v>
      </c>
      <c r="M220" s="174" t="str">
        <f>IFERROR(__xludf.DUMMYFUNCTION("""COMPUTED_VALUE"""),"Unlisted")</f>
        <v>Unlisted</v>
      </c>
      <c r="N220" s="174" t="str">
        <f>IFERROR(__xludf.DUMMYFUNCTION("""COMPUTED_VALUE"""),"Unlisted")</f>
        <v>Unlisted</v>
      </c>
      <c r="O220" s="174" t="str">
        <f>IFERROR(__xludf.DUMMYFUNCTION("""COMPUTED_VALUE"""),"Unlisted")</f>
        <v>Unlisted</v>
      </c>
      <c r="P220" s="174" t="str">
        <f>IFERROR(__xludf.DUMMYFUNCTION("""COMPUTED_VALUE"""),"Unlisted")</f>
        <v>Unlisted</v>
      </c>
      <c r="Q220" s="174" t="str">
        <f>IFERROR(__xludf.DUMMYFUNCTION("""COMPUTED_VALUE"""),"Unlisted")</f>
        <v>Unlisted</v>
      </c>
      <c r="R220" s="174" t="str">
        <f>IFERROR(__xludf.DUMMYFUNCTION("""COMPUTED_VALUE"""),"Unlisted")</f>
        <v>Unlisted</v>
      </c>
    </row>
    <row r="221">
      <c r="A221" s="255" t="str">
        <f>IFERROR(__xludf.DUMMYFUNCTION("""COMPUTED_VALUE"""),"Dartrix")</f>
        <v>Dartrix</v>
      </c>
      <c r="B221" s="174" t="str">
        <f>IFERROR(__xludf.DUMMYFUNCTION("""COMPUTED_VALUE"""),"Proficient")</f>
        <v>Proficient</v>
      </c>
      <c r="C221" s="174" t="str">
        <f>IFERROR(__xludf.DUMMYFUNCTION("""COMPUTED_VALUE"""),"Unlisted")</f>
        <v>Unlisted</v>
      </c>
      <c r="D221" s="174" t="str">
        <f>IFERROR(__xludf.DUMMYFUNCTION("""COMPUTED_VALUE"""),"Unlisted")</f>
        <v>Unlisted</v>
      </c>
      <c r="E221" s="174" t="str">
        <f>IFERROR(__xludf.DUMMYFUNCTION("""COMPUTED_VALUE"""),"Unlisted")</f>
        <v>Unlisted</v>
      </c>
      <c r="F221" s="174" t="str">
        <f>IFERROR(__xludf.DUMMYFUNCTION("""COMPUTED_VALUE"""),"Unlisted")</f>
        <v>Unlisted</v>
      </c>
      <c r="G221" s="174" t="str">
        <f>IFERROR(__xludf.DUMMYFUNCTION("""COMPUTED_VALUE"""),"Unlisted")</f>
        <v>Unlisted</v>
      </c>
      <c r="H221" s="174" t="str">
        <f>IFERROR(__xludf.DUMMYFUNCTION("""COMPUTED_VALUE"""),"Unlisted")</f>
        <v>Unlisted</v>
      </c>
      <c r="I221" s="174" t="str">
        <f>IFERROR(__xludf.DUMMYFUNCTION("""COMPUTED_VALUE"""),"Unlisted")</f>
        <v>Unlisted</v>
      </c>
      <c r="J221" s="174" t="str">
        <f>IFERROR(__xludf.DUMMYFUNCTION("""COMPUTED_VALUE"""),"Unlisted")</f>
        <v>Unlisted</v>
      </c>
      <c r="K221" s="174" t="str">
        <f>IFERROR(__xludf.DUMMYFUNCTION("""COMPUTED_VALUE"""),"Mastered")</f>
        <v>Mastered</v>
      </c>
      <c r="L221" s="174" t="str">
        <f>IFERROR(__xludf.DUMMYFUNCTION("""COMPUTED_VALUE"""),"Proficient")</f>
        <v>Proficient</v>
      </c>
      <c r="M221" s="174" t="str">
        <f>IFERROR(__xludf.DUMMYFUNCTION("""COMPUTED_VALUE"""),"Unlisted")</f>
        <v>Unlisted</v>
      </c>
      <c r="N221" s="174" t="str">
        <f>IFERROR(__xludf.DUMMYFUNCTION("""COMPUTED_VALUE"""),"Unlisted")</f>
        <v>Unlisted</v>
      </c>
      <c r="O221" s="174" t="str">
        <f>IFERROR(__xludf.DUMMYFUNCTION("""COMPUTED_VALUE"""),"Unlisted")</f>
        <v>Unlisted</v>
      </c>
      <c r="P221" s="174" t="str">
        <f>IFERROR(__xludf.DUMMYFUNCTION("""COMPUTED_VALUE"""),"Unlisted")</f>
        <v>Unlisted</v>
      </c>
      <c r="Q221" s="174" t="str">
        <f>IFERROR(__xludf.DUMMYFUNCTION("""COMPUTED_VALUE"""),"Unlisted")</f>
        <v>Unlisted</v>
      </c>
      <c r="R221" s="174" t="str">
        <f>IFERROR(__xludf.DUMMYFUNCTION("""COMPUTED_VALUE"""),"Unlisted")</f>
        <v>Unlisted</v>
      </c>
    </row>
    <row r="222">
      <c r="A222" s="255" t="str">
        <f>IFERROR(__xludf.DUMMYFUNCTION("""COMPUTED_VALUE"""),"Decidueye")</f>
        <v>Decidueye</v>
      </c>
      <c r="B222" s="174" t="str">
        <f>IFERROR(__xludf.DUMMYFUNCTION("""COMPUTED_VALUE"""),"Proficient")</f>
        <v>Proficient</v>
      </c>
      <c r="C222" s="174" t="str">
        <f>IFERROR(__xludf.DUMMYFUNCTION("""COMPUTED_VALUE"""),"Inept")</f>
        <v>Inept</v>
      </c>
      <c r="D222" s="174" t="str">
        <f>IFERROR(__xludf.DUMMYFUNCTION("""COMPUTED_VALUE"""),"Unlisted")</f>
        <v>Unlisted</v>
      </c>
      <c r="E222" s="174" t="str">
        <f>IFERROR(__xludf.DUMMYFUNCTION("""COMPUTED_VALUE"""),"Unlisted")</f>
        <v>Unlisted</v>
      </c>
      <c r="F222" s="174" t="str">
        <f>IFERROR(__xludf.DUMMYFUNCTION("""COMPUTED_VALUE"""),"Unlisted")</f>
        <v>Unlisted</v>
      </c>
      <c r="G222" s="174" t="str">
        <f>IFERROR(__xludf.DUMMYFUNCTION("""COMPUTED_VALUE"""),"Proficient")</f>
        <v>Proficient</v>
      </c>
      <c r="H222" s="174" t="str">
        <f>IFERROR(__xludf.DUMMYFUNCTION("""COMPUTED_VALUE"""),"Unlisted")</f>
        <v>Unlisted</v>
      </c>
      <c r="I222" s="174" t="str">
        <f>IFERROR(__xludf.DUMMYFUNCTION("""COMPUTED_VALUE"""),"Unlisted")</f>
        <v>Unlisted</v>
      </c>
      <c r="J222" s="174" t="str">
        <f>IFERROR(__xludf.DUMMYFUNCTION("""COMPUTED_VALUE"""),"Unlisted")</f>
        <v>Unlisted</v>
      </c>
      <c r="K222" s="174" t="str">
        <f>IFERROR(__xludf.DUMMYFUNCTION("""COMPUTED_VALUE"""),"Mastered")</f>
        <v>Mastered</v>
      </c>
      <c r="L222" s="174" t="str">
        <f>IFERROR(__xludf.DUMMYFUNCTION("""COMPUTED_VALUE"""),"Proficient")</f>
        <v>Proficient</v>
      </c>
      <c r="M222" s="174" t="str">
        <f>IFERROR(__xludf.DUMMYFUNCTION("""COMPUTED_VALUE"""),"Unlisted")</f>
        <v>Unlisted</v>
      </c>
      <c r="N222" s="174" t="str">
        <f>IFERROR(__xludf.DUMMYFUNCTION("""COMPUTED_VALUE"""),"Unlisted")</f>
        <v>Unlisted</v>
      </c>
      <c r="O222" s="174" t="str">
        <f>IFERROR(__xludf.DUMMYFUNCTION("""COMPUTED_VALUE"""),"Unlisted")</f>
        <v>Unlisted</v>
      </c>
      <c r="P222" s="174" t="str">
        <f>IFERROR(__xludf.DUMMYFUNCTION("""COMPUTED_VALUE"""),"Unlisted")</f>
        <v>Unlisted</v>
      </c>
      <c r="Q222" s="174" t="str">
        <f>IFERROR(__xludf.DUMMYFUNCTION("""COMPUTED_VALUE"""),"Unlisted")</f>
        <v>Unlisted</v>
      </c>
      <c r="R222" s="174" t="str">
        <f>IFERROR(__xludf.DUMMYFUNCTION("""COMPUTED_VALUE"""),"Unlisted")</f>
        <v>Unlisted</v>
      </c>
    </row>
    <row r="223">
      <c r="A223" s="255" t="str">
        <f>IFERROR(__xludf.DUMMYFUNCTION("""COMPUTED_VALUE"""),"Hisuian Decidueye")</f>
        <v>Hisuian Decidueye</v>
      </c>
      <c r="B223" s="174" t="str">
        <f>IFERROR(__xludf.DUMMYFUNCTION("""COMPUTED_VALUE"""),"Proficient")</f>
        <v>Proficient</v>
      </c>
      <c r="C223" s="174" t="str">
        <f>IFERROR(__xludf.DUMMYFUNCTION("""COMPUTED_VALUE"""),"Unlisted")</f>
        <v>Unlisted</v>
      </c>
      <c r="D223" s="174" t="str">
        <f>IFERROR(__xludf.DUMMYFUNCTION("""COMPUTED_VALUE"""),"Unlisted")</f>
        <v>Unlisted</v>
      </c>
      <c r="E223" s="174" t="str">
        <f>IFERROR(__xludf.DUMMYFUNCTION("""COMPUTED_VALUE"""),"Unlisted")</f>
        <v>Unlisted</v>
      </c>
      <c r="F223" s="174" t="str">
        <f>IFERROR(__xludf.DUMMYFUNCTION("""COMPUTED_VALUE"""),"Unlisted")</f>
        <v>Unlisted</v>
      </c>
      <c r="G223" s="174" t="str">
        <f>IFERROR(__xludf.DUMMYFUNCTION("""COMPUTED_VALUE"""),"Proficient")</f>
        <v>Proficient</v>
      </c>
      <c r="H223" s="174" t="str">
        <f>IFERROR(__xludf.DUMMYFUNCTION("""COMPUTED_VALUE"""),"Unlisted")</f>
        <v>Unlisted</v>
      </c>
      <c r="I223" s="174" t="str">
        <f>IFERROR(__xludf.DUMMYFUNCTION("""COMPUTED_VALUE"""),"Unlisted")</f>
        <v>Unlisted</v>
      </c>
      <c r="J223" s="174" t="str">
        <f>IFERROR(__xludf.DUMMYFUNCTION("""COMPUTED_VALUE"""),"Unlisted")</f>
        <v>Unlisted</v>
      </c>
      <c r="K223" s="174" t="str">
        <f>IFERROR(__xludf.DUMMYFUNCTION("""COMPUTED_VALUE"""),"Mastered")</f>
        <v>Mastered</v>
      </c>
      <c r="L223" s="174" t="str">
        <f>IFERROR(__xludf.DUMMYFUNCTION("""COMPUTED_VALUE"""),"Unlisted")</f>
        <v>Unlisted</v>
      </c>
      <c r="M223" s="174" t="str">
        <f>IFERROR(__xludf.DUMMYFUNCTION("""COMPUTED_VALUE"""),"Unlisted")</f>
        <v>Unlisted</v>
      </c>
      <c r="N223" s="174" t="str">
        <f>IFERROR(__xludf.DUMMYFUNCTION("""COMPUTED_VALUE"""),"Unlisted")</f>
        <v>Unlisted</v>
      </c>
      <c r="O223" s="174" t="str">
        <f>IFERROR(__xludf.DUMMYFUNCTION("""COMPUTED_VALUE"""),"Unlisted")</f>
        <v>Unlisted</v>
      </c>
      <c r="P223" s="174" t="str">
        <f>IFERROR(__xludf.DUMMYFUNCTION("""COMPUTED_VALUE"""),"Unlisted")</f>
        <v>Unlisted</v>
      </c>
      <c r="Q223" s="174" t="str">
        <f>IFERROR(__xludf.DUMMYFUNCTION("""COMPUTED_VALUE"""),"Unlisted")</f>
        <v>Unlisted</v>
      </c>
      <c r="R223" s="174" t="str">
        <f>IFERROR(__xludf.DUMMYFUNCTION("""COMPUTED_VALUE"""),"Unlisted")</f>
        <v>Unlisted</v>
      </c>
    </row>
    <row r="224">
      <c r="A224" s="255" t="str">
        <f>IFERROR(__xludf.DUMMYFUNCTION("""COMPUTED_VALUE"""),"Grookey")</f>
        <v>Grookey</v>
      </c>
      <c r="B224" s="174" t="str">
        <f>IFERROR(__xludf.DUMMYFUNCTION("""COMPUTED_VALUE"""),"Proficient")</f>
        <v>Proficient</v>
      </c>
      <c r="C224" s="174" t="str">
        <f>IFERROR(__xludf.DUMMYFUNCTION("""COMPUTED_VALUE"""),"Proficient")</f>
        <v>Proficient</v>
      </c>
      <c r="D224" s="174" t="str">
        <f>IFERROR(__xludf.DUMMYFUNCTION("""COMPUTED_VALUE"""),"Unlisted")</f>
        <v>Unlisted</v>
      </c>
      <c r="E224" s="174" t="str">
        <f>IFERROR(__xludf.DUMMYFUNCTION("""COMPUTED_VALUE"""),"Unlisted")</f>
        <v>Unlisted</v>
      </c>
      <c r="F224" s="174" t="str">
        <f>IFERROR(__xludf.DUMMYFUNCTION("""COMPUTED_VALUE"""),"Unlisted")</f>
        <v>Unlisted</v>
      </c>
      <c r="G224" s="174" t="str">
        <f>IFERROR(__xludf.DUMMYFUNCTION("""COMPUTED_VALUE"""),"Unlisted")</f>
        <v>Unlisted</v>
      </c>
      <c r="H224" s="174" t="str">
        <f>IFERROR(__xludf.DUMMYFUNCTION("""COMPUTED_VALUE"""),"Unlisted")</f>
        <v>Unlisted</v>
      </c>
      <c r="I224" s="174" t="str">
        <f>IFERROR(__xludf.DUMMYFUNCTION("""COMPUTED_VALUE"""),"Unlisted")</f>
        <v>Unlisted</v>
      </c>
      <c r="J224" s="174" t="str">
        <f>IFERROR(__xludf.DUMMYFUNCTION("""COMPUTED_VALUE"""),"Unlisted")</f>
        <v>Unlisted</v>
      </c>
      <c r="K224" s="174" t="str">
        <f>IFERROR(__xludf.DUMMYFUNCTION("""COMPUTED_VALUE"""),"Unlisted")</f>
        <v>Unlisted</v>
      </c>
      <c r="L224" s="174" t="str">
        <f>IFERROR(__xludf.DUMMYFUNCTION("""COMPUTED_VALUE"""),"Proficient")</f>
        <v>Proficient</v>
      </c>
      <c r="M224" s="174" t="str">
        <f>IFERROR(__xludf.DUMMYFUNCTION("""COMPUTED_VALUE"""),"Unlisted")</f>
        <v>Unlisted</v>
      </c>
      <c r="N224" s="174" t="str">
        <f>IFERROR(__xludf.DUMMYFUNCTION("""COMPUTED_VALUE"""),"Unlisted")</f>
        <v>Unlisted</v>
      </c>
      <c r="O224" s="174" t="str">
        <f>IFERROR(__xludf.DUMMYFUNCTION("""COMPUTED_VALUE"""),"Unlisted")</f>
        <v>Unlisted</v>
      </c>
      <c r="P224" s="174" t="str">
        <f>IFERROR(__xludf.DUMMYFUNCTION("""COMPUTED_VALUE"""),"Unlisted")</f>
        <v>Unlisted</v>
      </c>
      <c r="Q224" s="174" t="str">
        <f>IFERROR(__xludf.DUMMYFUNCTION("""COMPUTED_VALUE"""),"Unlisted")</f>
        <v>Unlisted</v>
      </c>
      <c r="R224" s="174" t="str">
        <f>IFERROR(__xludf.DUMMYFUNCTION("""COMPUTED_VALUE"""),"Unlisted")</f>
        <v>Unlisted</v>
      </c>
    </row>
    <row r="225">
      <c r="A225" s="255" t="str">
        <f>IFERROR(__xludf.DUMMYFUNCTION("""COMPUTED_VALUE"""),"Thwackey")</f>
        <v>Thwackey</v>
      </c>
      <c r="B225" s="174" t="str">
        <f>IFERROR(__xludf.DUMMYFUNCTION("""COMPUTED_VALUE"""),"Proficient")</f>
        <v>Proficient</v>
      </c>
      <c r="C225" s="174" t="str">
        <f>IFERROR(__xludf.DUMMYFUNCTION("""COMPUTED_VALUE"""),"Proficient")</f>
        <v>Proficient</v>
      </c>
      <c r="D225" s="174" t="str">
        <f>IFERROR(__xludf.DUMMYFUNCTION("""COMPUTED_VALUE"""),"Unlisted")</f>
        <v>Unlisted</v>
      </c>
      <c r="E225" s="174" t="str">
        <f>IFERROR(__xludf.DUMMYFUNCTION("""COMPUTED_VALUE"""),"Unlisted")</f>
        <v>Unlisted</v>
      </c>
      <c r="F225" s="174" t="str">
        <f>IFERROR(__xludf.DUMMYFUNCTION("""COMPUTED_VALUE"""),"Unlisted")</f>
        <v>Unlisted</v>
      </c>
      <c r="G225" s="174" t="str">
        <f>IFERROR(__xludf.DUMMYFUNCTION("""COMPUTED_VALUE"""),"Proficient")</f>
        <v>Proficient</v>
      </c>
      <c r="H225" s="174" t="str">
        <f>IFERROR(__xludf.DUMMYFUNCTION("""COMPUTED_VALUE"""),"Unlisted")</f>
        <v>Unlisted</v>
      </c>
      <c r="I225" s="174" t="str">
        <f>IFERROR(__xludf.DUMMYFUNCTION("""COMPUTED_VALUE"""),"Unlisted")</f>
        <v>Unlisted</v>
      </c>
      <c r="J225" s="174" t="str">
        <f>IFERROR(__xludf.DUMMYFUNCTION("""COMPUTED_VALUE"""),"Unlisted")</f>
        <v>Unlisted</v>
      </c>
      <c r="K225" s="174" t="str">
        <f>IFERROR(__xludf.DUMMYFUNCTION("""COMPUTED_VALUE"""),"Unlisted")</f>
        <v>Unlisted</v>
      </c>
      <c r="L225" s="174" t="str">
        <f>IFERROR(__xludf.DUMMYFUNCTION("""COMPUTED_VALUE"""),"Unlisted")</f>
        <v>Unlisted</v>
      </c>
      <c r="M225" s="174" t="str">
        <f>IFERROR(__xludf.DUMMYFUNCTION("""COMPUTED_VALUE"""),"Unlisted")</f>
        <v>Unlisted</v>
      </c>
      <c r="N225" s="174" t="str">
        <f>IFERROR(__xludf.DUMMYFUNCTION("""COMPUTED_VALUE"""),"Unlisted")</f>
        <v>Unlisted</v>
      </c>
      <c r="O225" s="174" t="str">
        <f>IFERROR(__xludf.DUMMYFUNCTION("""COMPUTED_VALUE"""),"Unlisted")</f>
        <v>Unlisted</v>
      </c>
      <c r="P225" s="174" t="str">
        <f>IFERROR(__xludf.DUMMYFUNCTION("""COMPUTED_VALUE"""),"Unlisted")</f>
        <v>Unlisted</v>
      </c>
      <c r="Q225" s="174" t="str">
        <f>IFERROR(__xludf.DUMMYFUNCTION("""COMPUTED_VALUE"""),"Unlisted")</f>
        <v>Unlisted</v>
      </c>
      <c r="R225" s="174" t="str">
        <f>IFERROR(__xludf.DUMMYFUNCTION("""COMPUTED_VALUE"""),"Unlisted")</f>
        <v>Unlisted</v>
      </c>
    </row>
    <row r="226">
      <c r="A226" s="255" t="str">
        <f>IFERROR(__xludf.DUMMYFUNCTION("""COMPUTED_VALUE"""),"Rillaboom")</f>
        <v>Rillaboom</v>
      </c>
      <c r="B226" s="174" t="str">
        <f>IFERROR(__xludf.DUMMYFUNCTION("""COMPUTED_VALUE"""),"Unlisted")</f>
        <v>Unlisted</v>
      </c>
      <c r="C226" s="174" t="str">
        <f>IFERROR(__xludf.DUMMYFUNCTION("""COMPUTED_VALUE"""),"Mastered")</f>
        <v>Mastered</v>
      </c>
      <c r="D226" s="174" t="str">
        <f>IFERROR(__xludf.DUMMYFUNCTION("""COMPUTED_VALUE"""),"Unlisted")</f>
        <v>Unlisted</v>
      </c>
      <c r="E226" s="174" t="str">
        <f>IFERROR(__xludf.DUMMYFUNCTION("""COMPUTED_VALUE"""),"Proficient")</f>
        <v>Proficient</v>
      </c>
      <c r="F226" s="174" t="str">
        <f>IFERROR(__xludf.DUMMYFUNCTION("""COMPUTED_VALUE"""),"Unlisted")</f>
        <v>Unlisted</v>
      </c>
      <c r="G226" s="174" t="str">
        <f>IFERROR(__xludf.DUMMYFUNCTION("""COMPUTED_VALUE"""),"Proficient")</f>
        <v>Proficient</v>
      </c>
      <c r="H226" s="174" t="str">
        <f>IFERROR(__xludf.DUMMYFUNCTION("""COMPUTED_VALUE"""),"Unlisted")</f>
        <v>Unlisted</v>
      </c>
      <c r="I226" s="174" t="str">
        <f>IFERROR(__xludf.DUMMYFUNCTION("""COMPUTED_VALUE"""),"Unlisted")</f>
        <v>Unlisted</v>
      </c>
      <c r="J226" s="174" t="str">
        <f>IFERROR(__xludf.DUMMYFUNCTION("""COMPUTED_VALUE"""),"Unlisted")</f>
        <v>Unlisted</v>
      </c>
      <c r="K226" s="174" t="str">
        <f>IFERROR(__xludf.DUMMYFUNCTION("""COMPUTED_VALUE"""),"Unlisted")</f>
        <v>Unlisted</v>
      </c>
      <c r="L226" s="174" t="str">
        <f>IFERROR(__xludf.DUMMYFUNCTION("""COMPUTED_VALUE"""),"Unlisted")</f>
        <v>Unlisted</v>
      </c>
      <c r="M226" s="174" t="str">
        <f>IFERROR(__xludf.DUMMYFUNCTION("""COMPUTED_VALUE"""),"Unlisted")</f>
        <v>Unlisted</v>
      </c>
      <c r="N226" s="174" t="str">
        <f>IFERROR(__xludf.DUMMYFUNCTION("""COMPUTED_VALUE"""),"Unlisted")</f>
        <v>Unlisted</v>
      </c>
      <c r="O226" s="174" t="str">
        <f>IFERROR(__xludf.DUMMYFUNCTION("""COMPUTED_VALUE"""),"Unlisted")</f>
        <v>Unlisted</v>
      </c>
      <c r="P226" s="174" t="str">
        <f>IFERROR(__xludf.DUMMYFUNCTION("""COMPUTED_VALUE"""),"Unlisted")</f>
        <v>Unlisted</v>
      </c>
      <c r="Q226" s="174" t="str">
        <f>IFERROR(__xludf.DUMMYFUNCTION("""COMPUTED_VALUE"""),"Unlisted")</f>
        <v>Unlisted</v>
      </c>
      <c r="R226" s="174" t="str">
        <f>IFERROR(__xludf.DUMMYFUNCTION("""COMPUTED_VALUE"""),"Unlisted")</f>
        <v>Unlisted</v>
      </c>
    </row>
    <row r="227">
      <c r="A227" s="255" t="str">
        <f>IFERROR(__xludf.DUMMYFUNCTION("""COMPUTED_VALUE"""),"Sprigatito")</f>
        <v>Sprigatito</v>
      </c>
      <c r="B227" s="174" t="str">
        <f>IFERROR(__xludf.DUMMYFUNCTION("""COMPUTED_VALUE"""),"Proficient")</f>
        <v>Proficient</v>
      </c>
      <c r="C227" s="174" t="str">
        <f>IFERROR(__xludf.DUMMYFUNCTION("""COMPUTED_VALUE"""),"Unlisted")</f>
        <v>Unlisted</v>
      </c>
      <c r="D227" s="174" t="str">
        <f>IFERROR(__xludf.DUMMYFUNCTION("""COMPUTED_VALUE"""),"Unlisted")</f>
        <v>Unlisted</v>
      </c>
      <c r="E227" s="174" t="str">
        <f>IFERROR(__xludf.DUMMYFUNCTION("""COMPUTED_VALUE"""),"Unlisted")</f>
        <v>Unlisted</v>
      </c>
      <c r="F227" s="174" t="str">
        <f>IFERROR(__xludf.DUMMYFUNCTION("""COMPUTED_VALUE"""),"Unlisted")</f>
        <v>Unlisted</v>
      </c>
      <c r="G227" s="174" t="str">
        <f>IFERROR(__xludf.DUMMYFUNCTION("""COMPUTED_VALUE"""),"Unlisted")</f>
        <v>Unlisted</v>
      </c>
      <c r="H227" s="174" t="str">
        <f>IFERROR(__xludf.DUMMYFUNCTION("""COMPUTED_VALUE"""),"Proficient")</f>
        <v>Proficient</v>
      </c>
      <c r="I227" s="174" t="str">
        <f>IFERROR(__xludf.DUMMYFUNCTION("""COMPUTED_VALUE"""),"Unlisted")</f>
        <v>Unlisted</v>
      </c>
      <c r="J227" s="174" t="str">
        <f>IFERROR(__xludf.DUMMYFUNCTION("""COMPUTED_VALUE"""),"Unlisted")</f>
        <v>Unlisted</v>
      </c>
      <c r="K227" s="174" t="str">
        <f>IFERROR(__xludf.DUMMYFUNCTION("""COMPUTED_VALUE"""),"Unlisted")</f>
        <v>Unlisted</v>
      </c>
      <c r="L227" s="174" t="str">
        <f>IFERROR(__xludf.DUMMYFUNCTION("""COMPUTED_VALUE"""),"Proficient")</f>
        <v>Proficient</v>
      </c>
      <c r="M227" s="174" t="str">
        <f>IFERROR(__xludf.DUMMYFUNCTION("""COMPUTED_VALUE"""),"Unlisted")</f>
        <v>Unlisted</v>
      </c>
      <c r="N227" s="174" t="str">
        <f>IFERROR(__xludf.DUMMYFUNCTION("""COMPUTED_VALUE"""),"Unlisted")</f>
        <v>Unlisted</v>
      </c>
      <c r="O227" s="174" t="str">
        <f>IFERROR(__xludf.DUMMYFUNCTION("""COMPUTED_VALUE"""),"Unlisted")</f>
        <v>Unlisted</v>
      </c>
      <c r="P227" s="174" t="str">
        <f>IFERROR(__xludf.DUMMYFUNCTION("""COMPUTED_VALUE"""),"Unlisted")</f>
        <v>Unlisted</v>
      </c>
      <c r="Q227" s="174" t="str">
        <f>IFERROR(__xludf.DUMMYFUNCTION("""COMPUTED_VALUE"""),"Unlisted")</f>
        <v>Unlisted</v>
      </c>
      <c r="R227" s="174" t="str">
        <f>IFERROR(__xludf.DUMMYFUNCTION("""COMPUTED_VALUE"""),"Unlisted")</f>
        <v>Unlisted</v>
      </c>
    </row>
    <row r="228">
      <c r="A228" s="255" t="str">
        <f>IFERROR(__xludf.DUMMYFUNCTION("""COMPUTED_VALUE"""),"Floragato")</f>
        <v>Floragato</v>
      </c>
      <c r="B228" s="174" t="str">
        <f>IFERROR(__xludf.DUMMYFUNCTION("""COMPUTED_VALUE"""),"Proficient")</f>
        <v>Proficient</v>
      </c>
      <c r="C228" s="174" t="str">
        <f>IFERROR(__xludf.DUMMYFUNCTION("""COMPUTED_VALUE"""),"Unlisted")</f>
        <v>Unlisted</v>
      </c>
      <c r="D228" s="174" t="str">
        <f>IFERROR(__xludf.DUMMYFUNCTION("""COMPUTED_VALUE"""),"Unlisted")</f>
        <v>Unlisted</v>
      </c>
      <c r="E228" s="174" t="str">
        <f>IFERROR(__xludf.DUMMYFUNCTION("""COMPUTED_VALUE"""),"Unlisted")</f>
        <v>Unlisted</v>
      </c>
      <c r="F228" s="174" t="str">
        <f>IFERROR(__xludf.DUMMYFUNCTION("""COMPUTED_VALUE"""),"Unlisted")</f>
        <v>Unlisted</v>
      </c>
      <c r="G228" s="174" t="str">
        <f>IFERROR(__xludf.DUMMYFUNCTION("""COMPUTED_VALUE"""),"Unlisted")</f>
        <v>Unlisted</v>
      </c>
      <c r="H228" s="174" t="str">
        <f>IFERROR(__xludf.DUMMYFUNCTION("""COMPUTED_VALUE"""),"Proficient")</f>
        <v>Proficient</v>
      </c>
      <c r="I228" s="174" t="str">
        <f>IFERROR(__xludf.DUMMYFUNCTION("""COMPUTED_VALUE"""),"Unlisted")</f>
        <v>Unlisted</v>
      </c>
      <c r="J228" s="174" t="str">
        <f>IFERROR(__xludf.DUMMYFUNCTION("""COMPUTED_VALUE"""),"Unlisted")</f>
        <v>Unlisted</v>
      </c>
      <c r="K228" s="174" t="str">
        <f>IFERROR(__xludf.DUMMYFUNCTION("""COMPUTED_VALUE"""),"Unlisted")</f>
        <v>Unlisted</v>
      </c>
      <c r="L228" s="174" t="str">
        <f>IFERROR(__xludf.DUMMYFUNCTION("""COMPUTED_VALUE"""),"Proficient")</f>
        <v>Proficient</v>
      </c>
      <c r="M228" s="174" t="str">
        <f>IFERROR(__xludf.DUMMYFUNCTION("""COMPUTED_VALUE"""),"Unlisted")</f>
        <v>Unlisted</v>
      </c>
      <c r="N228" s="174" t="str">
        <f>IFERROR(__xludf.DUMMYFUNCTION("""COMPUTED_VALUE"""),"Unlisted")</f>
        <v>Unlisted</v>
      </c>
      <c r="O228" s="174" t="str">
        <f>IFERROR(__xludf.DUMMYFUNCTION("""COMPUTED_VALUE"""),"Unlisted")</f>
        <v>Unlisted</v>
      </c>
      <c r="P228" s="174" t="str">
        <f>IFERROR(__xludf.DUMMYFUNCTION("""COMPUTED_VALUE"""),"Unlisted")</f>
        <v>Unlisted</v>
      </c>
      <c r="Q228" s="174" t="str">
        <f>IFERROR(__xludf.DUMMYFUNCTION("""COMPUTED_VALUE"""),"Unlisted")</f>
        <v>Unlisted</v>
      </c>
      <c r="R228" s="174" t="str">
        <f>IFERROR(__xludf.DUMMYFUNCTION("""COMPUTED_VALUE"""),"Unlisted")</f>
        <v>Unlisted</v>
      </c>
    </row>
    <row r="229">
      <c r="A229" s="255" t="str">
        <f>IFERROR(__xludf.DUMMYFUNCTION("""COMPUTED_VALUE"""),"Meowscarada")</f>
        <v>Meowscarada</v>
      </c>
      <c r="B229" s="174" t="str">
        <f>IFERROR(__xludf.DUMMYFUNCTION("""COMPUTED_VALUE"""),"Proficient")</f>
        <v>Proficient</v>
      </c>
      <c r="C229" s="174" t="str">
        <f>IFERROR(__xludf.DUMMYFUNCTION("""COMPUTED_VALUE"""),"Unlisted")</f>
        <v>Unlisted</v>
      </c>
      <c r="D229" s="174" t="str">
        <f>IFERROR(__xludf.DUMMYFUNCTION("""COMPUTED_VALUE"""),"Unlisted")</f>
        <v>Unlisted</v>
      </c>
      <c r="E229" s="174" t="str">
        <f>IFERROR(__xludf.DUMMYFUNCTION("""COMPUTED_VALUE"""),"Unlisted")</f>
        <v>Unlisted</v>
      </c>
      <c r="F229" s="174" t="str">
        <f>IFERROR(__xludf.DUMMYFUNCTION("""COMPUTED_VALUE"""),"Unlisted")</f>
        <v>Unlisted</v>
      </c>
      <c r="G229" s="174" t="str">
        <f>IFERROR(__xludf.DUMMYFUNCTION("""COMPUTED_VALUE"""),"Unlisted")</f>
        <v>Unlisted</v>
      </c>
      <c r="H229" s="174" t="str">
        <f>IFERROR(__xludf.DUMMYFUNCTION("""COMPUTED_VALUE"""),"Proficient")</f>
        <v>Proficient</v>
      </c>
      <c r="I229" s="174" t="str">
        <f>IFERROR(__xludf.DUMMYFUNCTION("""COMPUTED_VALUE"""),"Unlisted")</f>
        <v>Unlisted</v>
      </c>
      <c r="J229" s="174" t="str">
        <f>IFERROR(__xludf.DUMMYFUNCTION("""COMPUTED_VALUE"""),"Unlisted")</f>
        <v>Unlisted</v>
      </c>
      <c r="K229" s="174" t="str">
        <f>IFERROR(__xludf.DUMMYFUNCTION("""COMPUTED_VALUE"""),"Unlisted")</f>
        <v>Unlisted</v>
      </c>
      <c r="L229" s="174" t="str">
        <f>IFERROR(__xludf.DUMMYFUNCTION("""COMPUTED_VALUE"""),"Proficient")</f>
        <v>Proficient</v>
      </c>
      <c r="M229" s="174" t="str">
        <f>IFERROR(__xludf.DUMMYFUNCTION("""COMPUTED_VALUE"""),"Unlisted")</f>
        <v>Unlisted</v>
      </c>
      <c r="N229" s="174" t="str">
        <f>IFERROR(__xludf.DUMMYFUNCTION("""COMPUTED_VALUE"""),"Unlisted")</f>
        <v>Unlisted</v>
      </c>
      <c r="O229" s="174" t="str">
        <f>IFERROR(__xludf.DUMMYFUNCTION("""COMPUTED_VALUE"""),"Unlisted")</f>
        <v>Unlisted</v>
      </c>
      <c r="P229" s="174" t="str">
        <f>IFERROR(__xludf.DUMMYFUNCTION("""COMPUTED_VALUE"""),"Unlisted")</f>
        <v>Unlisted</v>
      </c>
      <c r="Q229" s="174" t="str">
        <f>IFERROR(__xludf.DUMMYFUNCTION("""COMPUTED_VALUE"""),"Unlisted")</f>
        <v>Unlisted</v>
      </c>
      <c r="R229" s="174" t="str">
        <f>IFERROR(__xludf.DUMMYFUNCTION("""COMPUTED_VALUE"""),"Unlisted")</f>
        <v>Unlisted</v>
      </c>
    </row>
    <row r="230">
      <c r="A230" s="255" t="str">
        <f>IFERROR(__xludf.DUMMYFUNCTION("""COMPUTED_VALUE"""),"Charmander")</f>
        <v>Charmander</v>
      </c>
      <c r="B230" s="174" t="str">
        <f>IFERROR(__xludf.DUMMYFUNCTION("""COMPUTED_VALUE"""),"Proficient")</f>
        <v>Proficient</v>
      </c>
      <c r="C230" s="174" t="str">
        <f>IFERROR(__xludf.DUMMYFUNCTION("""COMPUTED_VALUE"""),"Mastered")</f>
        <v>Mastered</v>
      </c>
      <c r="D230" s="174" t="str">
        <f>IFERROR(__xludf.DUMMYFUNCTION("""COMPUTED_VALUE"""),"Unlisted")</f>
        <v>Unlisted</v>
      </c>
      <c r="E230" s="174" t="str">
        <f>IFERROR(__xludf.DUMMYFUNCTION("""COMPUTED_VALUE"""),"Unlisted")</f>
        <v>Unlisted</v>
      </c>
      <c r="F230" s="174" t="str">
        <f>IFERROR(__xludf.DUMMYFUNCTION("""COMPUTED_VALUE"""),"Unlisted")</f>
        <v>Unlisted</v>
      </c>
      <c r="G230" s="174" t="str">
        <f>IFERROR(__xludf.DUMMYFUNCTION("""COMPUTED_VALUE"""),"Proficient")</f>
        <v>Proficient</v>
      </c>
      <c r="H230" s="174" t="str">
        <f>IFERROR(__xludf.DUMMYFUNCTION("""COMPUTED_VALUE"""),"Unlisted")</f>
        <v>Unlisted</v>
      </c>
      <c r="I230" s="174" t="str">
        <f>IFERROR(__xludf.DUMMYFUNCTION("""COMPUTED_VALUE"""),"Unlisted")</f>
        <v>Unlisted</v>
      </c>
      <c r="J230" s="174" t="str">
        <f>IFERROR(__xludf.DUMMYFUNCTION("""COMPUTED_VALUE"""),"Unlisted")</f>
        <v>Unlisted</v>
      </c>
      <c r="K230" s="174" t="str">
        <f>IFERROR(__xludf.DUMMYFUNCTION("""COMPUTED_VALUE"""),"Unlisted")</f>
        <v>Unlisted</v>
      </c>
      <c r="L230" s="174" t="str">
        <f>IFERROR(__xludf.DUMMYFUNCTION("""COMPUTED_VALUE"""),"Unlisted")</f>
        <v>Unlisted</v>
      </c>
      <c r="M230" s="174" t="str">
        <f>IFERROR(__xludf.DUMMYFUNCTION("""COMPUTED_VALUE"""),"Unlisted")</f>
        <v>Unlisted</v>
      </c>
      <c r="N230" s="174" t="str">
        <f>IFERROR(__xludf.DUMMYFUNCTION("""COMPUTED_VALUE"""),"Unlisted")</f>
        <v>Unlisted</v>
      </c>
      <c r="O230" s="174" t="str">
        <f>IFERROR(__xludf.DUMMYFUNCTION("""COMPUTED_VALUE"""),"Unlisted")</f>
        <v>Unlisted</v>
      </c>
      <c r="P230" s="174" t="str">
        <f>IFERROR(__xludf.DUMMYFUNCTION("""COMPUTED_VALUE"""),"Unlisted")</f>
        <v>Unlisted</v>
      </c>
      <c r="Q230" s="174" t="str">
        <f>IFERROR(__xludf.DUMMYFUNCTION("""COMPUTED_VALUE"""),"Unlisted")</f>
        <v>Unlisted</v>
      </c>
      <c r="R230" s="174" t="str">
        <f>IFERROR(__xludf.DUMMYFUNCTION("""COMPUTED_VALUE"""),"Unlisted")</f>
        <v>Unlisted</v>
      </c>
    </row>
    <row r="231">
      <c r="A231" s="255" t="str">
        <f>IFERROR(__xludf.DUMMYFUNCTION("""COMPUTED_VALUE"""),"Charmeleon")</f>
        <v>Charmeleon</v>
      </c>
      <c r="B231" s="174" t="str">
        <f>IFERROR(__xludf.DUMMYFUNCTION("""COMPUTED_VALUE"""),"Unlisted")</f>
        <v>Unlisted</v>
      </c>
      <c r="C231" s="174" t="str">
        <f>IFERROR(__xludf.DUMMYFUNCTION("""COMPUTED_VALUE"""),"Mastered")</f>
        <v>Mastered</v>
      </c>
      <c r="D231" s="174" t="str">
        <f>IFERROR(__xludf.DUMMYFUNCTION("""COMPUTED_VALUE"""),"Unlisted")</f>
        <v>Unlisted</v>
      </c>
      <c r="E231" s="174" t="str">
        <f>IFERROR(__xludf.DUMMYFUNCTION("""COMPUTED_VALUE"""),"Proficient")</f>
        <v>Proficient</v>
      </c>
      <c r="F231" s="174" t="str">
        <f>IFERROR(__xludf.DUMMYFUNCTION("""COMPUTED_VALUE"""),"Unlisted")</f>
        <v>Unlisted</v>
      </c>
      <c r="G231" s="174" t="str">
        <f>IFERROR(__xludf.DUMMYFUNCTION("""COMPUTED_VALUE"""),"Unlisted")</f>
        <v>Unlisted</v>
      </c>
      <c r="H231" s="174" t="str">
        <f>IFERROR(__xludf.DUMMYFUNCTION("""COMPUTED_VALUE"""),"Unlisted")</f>
        <v>Unlisted</v>
      </c>
      <c r="I231" s="174" t="str">
        <f>IFERROR(__xludf.DUMMYFUNCTION("""COMPUTED_VALUE"""),"Proficient")</f>
        <v>Proficient</v>
      </c>
      <c r="J231" s="174" t="str">
        <f>IFERROR(__xludf.DUMMYFUNCTION("""COMPUTED_VALUE"""),"Unlisted")</f>
        <v>Unlisted</v>
      </c>
      <c r="K231" s="174" t="str">
        <f>IFERROR(__xludf.DUMMYFUNCTION("""COMPUTED_VALUE"""),"Unlisted")</f>
        <v>Unlisted</v>
      </c>
      <c r="L231" s="174" t="str">
        <f>IFERROR(__xludf.DUMMYFUNCTION("""COMPUTED_VALUE"""),"Unlisted")</f>
        <v>Unlisted</v>
      </c>
      <c r="M231" s="174" t="str">
        <f>IFERROR(__xludf.DUMMYFUNCTION("""COMPUTED_VALUE"""),"Unlisted")</f>
        <v>Unlisted</v>
      </c>
      <c r="N231" s="174" t="str">
        <f>IFERROR(__xludf.DUMMYFUNCTION("""COMPUTED_VALUE"""),"Unlisted")</f>
        <v>Unlisted</v>
      </c>
      <c r="O231" s="174" t="str">
        <f>IFERROR(__xludf.DUMMYFUNCTION("""COMPUTED_VALUE"""),"Unlisted")</f>
        <v>Unlisted</v>
      </c>
      <c r="P231" s="174" t="str">
        <f>IFERROR(__xludf.DUMMYFUNCTION("""COMPUTED_VALUE"""),"Unlisted")</f>
        <v>Unlisted</v>
      </c>
      <c r="Q231" s="174" t="str">
        <f>IFERROR(__xludf.DUMMYFUNCTION("""COMPUTED_VALUE"""),"Unlisted")</f>
        <v>Unlisted</v>
      </c>
      <c r="R231" s="174" t="str">
        <f>IFERROR(__xludf.DUMMYFUNCTION("""COMPUTED_VALUE"""),"Unlisted")</f>
        <v>Unlisted</v>
      </c>
    </row>
    <row r="232">
      <c r="A232" s="255" t="str">
        <f>IFERROR(__xludf.DUMMYFUNCTION("""COMPUTED_VALUE"""),"Charizard")</f>
        <v>Charizard</v>
      </c>
      <c r="B232" s="174" t="str">
        <f>IFERROR(__xludf.DUMMYFUNCTION("""COMPUTED_VALUE"""),"Unlisted")</f>
        <v>Unlisted</v>
      </c>
      <c r="C232" s="174" t="str">
        <f>IFERROR(__xludf.DUMMYFUNCTION("""COMPUTED_VALUE"""),"Mastered")</f>
        <v>Mastered</v>
      </c>
      <c r="D232" s="174" t="str">
        <f>IFERROR(__xludf.DUMMYFUNCTION("""COMPUTED_VALUE"""),"Unlisted")</f>
        <v>Unlisted</v>
      </c>
      <c r="E232" s="174" t="str">
        <f>IFERROR(__xludf.DUMMYFUNCTION("""COMPUTED_VALUE"""),"Proficient")</f>
        <v>Proficient</v>
      </c>
      <c r="F232" s="174" t="str">
        <f>IFERROR(__xludf.DUMMYFUNCTION("""COMPUTED_VALUE"""),"Unlisted")</f>
        <v>Unlisted</v>
      </c>
      <c r="G232" s="174" t="str">
        <f>IFERROR(__xludf.DUMMYFUNCTION("""COMPUTED_VALUE"""),"Proficient")</f>
        <v>Proficient</v>
      </c>
      <c r="H232" s="174" t="str">
        <f>IFERROR(__xludf.DUMMYFUNCTION("""COMPUTED_VALUE"""),"Unlisted")</f>
        <v>Unlisted</v>
      </c>
      <c r="I232" s="174" t="str">
        <f>IFERROR(__xludf.DUMMYFUNCTION("""COMPUTED_VALUE"""),"Proficient")</f>
        <v>Proficient</v>
      </c>
      <c r="J232" s="174" t="str">
        <f>IFERROR(__xludf.DUMMYFUNCTION("""COMPUTED_VALUE"""),"Unlisted")</f>
        <v>Unlisted</v>
      </c>
      <c r="K232" s="174" t="str">
        <f>IFERROR(__xludf.DUMMYFUNCTION("""COMPUTED_VALUE"""),"Unlisted")</f>
        <v>Unlisted</v>
      </c>
      <c r="L232" s="174" t="str">
        <f>IFERROR(__xludf.DUMMYFUNCTION("""COMPUTED_VALUE"""),"Inept")</f>
        <v>Inept</v>
      </c>
      <c r="M232" s="174" t="str">
        <f>IFERROR(__xludf.DUMMYFUNCTION("""COMPUTED_VALUE"""),"Unlisted")</f>
        <v>Unlisted</v>
      </c>
      <c r="N232" s="174" t="str">
        <f>IFERROR(__xludf.DUMMYFUNCTION("""COMPUTED_VALUE"""),"Unlisted")</f>
        <v>Unlisted</v>
      </c>
      <c r="O232" s="174" t="str">
        <f>IFERROR(__xludf.DUMMYFUNCTION("""COMPUTED_VALUE"""),"Unlisted")</f>
        <v>Unlisted</v>
      </c>
      <c r="P232" s="174" t="str">
        <f>IFERROR(__xludf.DUMMYFUNCTION("""COMPUTED_VALUE"""),"Unlisted")</f>
        <v>Unlisted</v>
      </c>
      <c r="Q232" s="174" t="str">
        <f>IFERROR(__xludf.DUMMYFUNCTION("""COMPUTED_VALUE"""),"Unlisted")</f>
        <v>Unlisted</v>
      </c>
      <c r="R232" s="174" t="str">
        <f>IFERROR(__xludf.DUMMYFUNCTION("""COMPUTED_VALUE"""),"Unlisted")</f>
        <v>Unlisted</v>
      </c>
    </row>
    <row r="233">
      <c r="A233" s="255" t="str">
        <f>IFERROR(__xludf.DUMMYFUNCTION("""COMPUTED_VALUE"""),"Cyndaquil")</f>
        <v>Cyndaquil</v>
      </c>
      <c r="B233" s="174" t="str">
        <f>IFERROR(__xludf.DUMMYFUNCTION("""COMPUTED_VALUE"""),"Mastered")</f>
        <v>Mastered</v>
      </c>
      <c r="C233" s="174" t="str">
        <f>IFERROR(__xludf.DUMMYFUNCTION("""COMPUTED_VALUE"""),"Unlisted")</f>
        <v>Unlisted</v>
      </c>
      <c r="D233" s="174" t="str">
        <f>IFERROR(__xludf.DUMMYFUNCTION("""COMPUTED_VALUE"""),"Unlisted")</f>
        <v>Unlisted</v>
      </c>
      <c r="E233" s="174" t="str">
        <f>IFERROR(__xludf.DUMMYFUNCTION("""COMPUTED_VALUE"""),"Unlisted")</f>
        <v>Unlisted</v>
      </c>
      <c r="F233" s="174" t="str">
        <f>IFERROR(__xludf.DUMMYFUNCTION("""COMPUTED_VALUE"""),"Unlisted")</f>
        <v>Unlisted</v>
      </c>
      <c r="G233" s="174" t="str">
        <f>IFERROR(__xludf.DUMMYFUNCTION("""COMPUTED_VALUE"""),"Unlisted")</f>
        <v>Unlisted</v>
      </c>
      <c r="H233" s="174" t="str">
        <f>IFERROR(__xludf.DUMMYFUNCTION("""COMPUTED_VALUE"""),"Unlisted")</f>
        <v>Unlisted</v>
      </c>
      <c r="I233" s="174" t="str">
        <f>IFERROR(__xludf.DUMMYFUNCTION("""COMPUTED_VALUE"""),"Unlisted")</f>
        <v>Unlisted</v>
      </c>
      <c r="J233" s="174" t="str">
        <f>IFERROR(__xludf.DUMMYFUNCTION("""COMPUTED_VALUE"""),"Unlisted")</f>
        <v>Unlisted</v>
      </c>
      <c r="K233" s="174" t="str">
        <f>IFERROR(__xludf.DUMMYFUNCTION("""COMPUTED_VALUE"""),"Proficient")</f>
        <v>Proficient</v>
      </c>
      <c r="L233" s="174" t="str">
        <f>IFERROR(__xludf.DUMMYFUNCTION("""COMPUTED_VALUE"""),"Proficient")</f>
        <v>Proficient</v>
      </c>
      <c r="M233" s="174" t="str">
        <f>IFERROR(__xludf.DUMMYFUNCTION("""COMPUTED_VALUE"""),"Unlisted")</f>
        <v>Unlisted</v>
      </c>
      <c r="N233" s="174" t="str">
        <f>IFERROR(__xludf.DUMMYFUNCTION("""COMPUTED_VALUE"""),"Unlisted")</f>
        <v>Unlisted</v>
      </c>
      <c r="O233" s="174" t="str">
        <f>IFERROR(__xludf.DUMMYFUNCTION("""COMPUTED_VALUE"""),"Unlisted")</f>
        <v>Unlisted</v>
      </c>
      <c r="P233" s="174" t="str">
        <f>IFERROR(__xludf.DUMMYFUNCTION("""COMPUTED_VALUE"""),"Unlisted")</f>
        <v>Unlisted</v>
      </c>
      <c r="Q233" s="174" t="str">
        <f>IFERROR(__xludf.DUMMYFUNCTION("""COMPUTED_VALUE"""),"Unlisted")</f>
        <v>Unlisted</v>
      </c>
      <c r="R233" s="174" t="str">
        <f>IFERROR(__xludf.DUMMYFUNCTION("""COMPUTED_VALUE"""),"Unlisted")</f>
        <v>Unlisted</v>
      </c>
    </row>
    <row r="234">
      <c r="A234" s="255" t="str">
        <f>IFERROR(__xludf.DUMMYFUNCTION("""COMPUTED_VALUE"""),"Quilava")</f>
        <v>Quilava</v>
      </c>
      <c r="B234" s="174" t="str">
        <f>IFERROR(__xludf.DUMMYFUNCTION("""COMPUTED_VALUE"""),"Mastered")</f>
        <v>Mastered</v>
      </c>
      <c r="C234" s="174" t="str">
        <f>IFERROR(__xludf.DUMMYFUNCTION("""COMPUTED_VALUE"""),"Proficient")</f>
        <v>Proficient</v>
      </c>
      <c r="D234" s="174" t="str">
        <f>IFERROR(__xludf.DUMMYFUNCTION("""COMPUTED_VALUE"""),"Unlisted")</f>
        <v>Unlisted</v>
      </c>
      <c r="E234" s="174" t="str">
        <f>IFERROR(__xludf.DUMMYFUNCTION("""COMPUTED_VALUE"""),"Unlisted")</f>
        <v>Unlisted</v>
      </c>
      <c r="F234" s="174" t="str">
        <f>IFERROR(__xludf.DUMMYFUNCTION("""COMPUTED_VALUE"""),"Unlisted")</f>
        <v>Unlisted</v>
      </c>
      <c r="G234" s="174" t="str">
        <f>IFERROR(__xludf.DUMMYFUNCTION("""COMPUTED_VALUE"""),"Unlisted")</f>
        <v>Unlisted</v>
      </c>
      <c r="H234" s="174" t="str">
        <f>IFERROR(__xludf.DUMMYFUNCTION("""COMPUTED_VALUE"""),"Unlisted")</f>
        <v>Unlisted</v>
      </c>
      <c r="I234" s="174" t="str">
        <f>IFERROR(__xludf.DUMMYFUNCTION("""COMPUTED_VALUE"""),"Unlisted")</f>
        <v>Unlisted</v>
      </c>
      <c r="J234" s="174" t="str">
        <f>IFERROR(__xludf.DUMMYFUNCTION("""COMPUTED_VALUE"""),"Inept")</f>
        <v>Inept</v>
      </c>
      <c r="K234" s="174" t="str">
        <f>IFERROR(__xludf.DUMMYFUNCTION("""COMPUTED_VALUE"""),"Proficient")</f>
        <v>Proficient</v>
      </c>
      <c r="L234" s="174" t="str">
        <f>IFERROR(__xludf.DUMMYFUNCTION("""COMPUTED_VALUE"""),"Proficient")</f>
        <v>Proficient</v>
      </c>
      <c r="M234" s="174" t="str">
        <f>IFERROR(__xludf.DUMMYFUNCTION("""COMPUTED_VALUE"""),"Unlisted")</f>
        <v>Unlisted</v>
      </c>
      <c r="N234" s="174" t="str">
        <f>IFERROR(__xludf.DUMMYFUNCTION("""COMPUTED_VALUE"""),"Unlisted")</f>
        <v>Unlisted</v>
      </c>
      <c r="O234" s="174" t="str">
        <f>IFERROR(__xludf.DUMMYFUNCTION("""COMPUTED_VALUE"""),"Unlisted")</f>
        <v>Unlisted</v>
      </c>
      <c r="P234" s="174" t="str">
        <f>IFERROR(__xludf.DUMMYFUNCTION("""COMPUTED_VALUE"""),"Unlisted")</f>
        <v>Unlisted</v>
      </c>
      <c r="Q234" s="174" t="str">
        <f>IFERROR(__xludf.DUMMYFUNCTION("""COMPUTED_VALUE"""),"Unlisted")</f>
        <v>Unlisted</v>
      </c>
      <c r="R234" s="174" t="str">
        <f>IFERROR(__xludf.DUMMYFUNCTION("""COMPUTED_VALUE"""),"Unlisted")</f>
        <v>Unlisted</v>
      </c>
    </row>
    <row r="235">
      <c r="A235" s="255" t="str">
        <f>IFERROR(__xludf.DUMMYFUNCTION("""COMPUTED_VALUE"""),"Typhlosion")</f>
        <v>Typhlosion</v>
      </c>
      <c r="B235" s="174" t="str">
        <f>IFERROR(__xludf.DUMMYFUNCTION("""COMPUTED_VALUE"""),"Mastered")</f>
        <v>Mastered</v>
      </c>
      <c r="C235" s="174" t="str">
        <f>IFERROR(__xludf.DUMMYFUNCTION("""COMPUTED_VALUE"""),"Proficient")</f>
        <v>Proficient</v>
      </c>
      <c r="D235" s="174" t="str">
        <f>IFERROR(__xludf.DUMMYFUNCTION("""COMPUTED_VALUE"""),"Unlisted")</f>
        <v>Unlisted</v>
      </c>
      <c r="E235" s="174" t="str">
        <f>IFERROR(__xludf.DUMMYFUNCTION("""COMPUTED_VALUE"""),"Unlisted")</f>
        <v>Unlisted</v>
      </c>
      <c r="F235" s="174" t="str">
        <f>IFERROR(__xludf.DUMMYFUNCTION("""COMPUTED_VALUE"""),"Unlisted")</f>
        <v>Unlisted</v>
      </c>
      <c r="G235" s="174" t="str">
        <f>IFERROR(__xludf.DUMMYFUNCTION("""COMPUTED_VALUE"""),"Unlisted")</f>
        <v>Unlisted</v>
      </c>
      <c r="H235" s="174" t="str">
        <f>IFERROR(__xludf.DUMMYFUNCTION("""COMPUTED_VALUE"""),"Unlisted")</f>
        <v>Unlisted</v>
      </c>
      <c r="I235" s="174" t="str">
        <f>IFERROR(__xludf.DUMMYFUNCTION("""COMPUTED_VALUE"""),"Unlisted")</f>
        <v>Unlisted</v>
      </c>
      <c r="J235" s="174" t="str">
        <f>IFERROR(__xludf.DUMMYFUNCTION("""COMPUTED_VALUE"""),"Inept")</f>
        <v>Inept</v>
      </c>
      <c r="K235" s="174" t="str">
        <f>IFERROR(__xludf.DUMMYFUNCTION("""COMPUTED_VALUE"""),"Proficient")</f>
        <v>Proficient</v>
      </c>
      <c r="L235" s="174" t="str">
        <f>IFERROR(__xludf.DUMMYFUNCTION("""COMPUTED_VALUE"""),"Proficient")</f>
        <v>Proficient</v>
      </c>
      <c r="M235" s="174" t="str">
        <f>IFERROR(__xludf.DUMMYFUNCTION("""COMPUTED_VALUE"""),"Unlisted")</f>
        <v>Unlisted</v>
      </c>
      <c r="N235" s="174" t="str">
        <f>IFERROR(__xludf.DUMMYFUNCTION("""COMPUTED_VALUE"""),"Unlisted")</f>
        <v>Unlisted</v>
      </c>
      <c r="O235" s="174" t="str">
        <f>IFERROR(__xludf.DUMMYFUNCTION("""COMPUTED_VALUE"""),"Unlisted")</f>
        <v>Unlisted</v>
      </c>
      <c r="P235" s="174" t="str">
        <f>IFERROR(__xludf.DUMMYFUNCTION("""COMPUTED_VALUE"""),"Unlisted")</f>
        <v>Unlisted</v>
      </c>
      <c r="Q235" s="174" t="str">
        <f>IFERROR(__xludf.DUMMYFUNCTION("""COMPUTED_VALUE"""),"Unlisted")</f>
        <v>Unlisted</v>
      </c>
      <c r="R235" s="174" t="str">
        <f>IFERROR(__xludf.DUMMYFUNCTION("""COMPUTED_VALUE"""),"Unlisted")</f>
        <v>Unlisted</v>
      </c>
    </row>
    <row r="236">
      <c r="A236" s="255" t="str">
        <f>IFERROR(__xludf.DUMMYFUNCTION("""COMPUTED_VALUE"""),"Hisuian Typhlosion")</f>
        <v>Hisuian Typhlosion</v>
      </c>
      <c r="B236" s="174" t="str">
        <f>IFERROR(__xludf.DUMMYFUNCTION("""COMPUTED_VALUE"""),"Unlisted")</f>
        <v>Unlisted</v>
      </c>
      <c r="C236" s="174" t="str">
        <f>IFERROR(__xludf.DUMMYFUNCTION("""COMPUTED_VALUE"""),"Unlisted")</f>
        <v>Unlisted</v>
      </c>
      <c r="D236" s="174" t="str">
        <f>IFERROR(__xludf.DUMMYFUNCTION("""COMPUTED_VALUE"""),"Unlisted")</f>
        <v>Unlisted</v>
      </c>
      <c r="E236" s="174" t="str">
        <f>IFERROR(__xludf.DUMMYFUNCTION("""COMPUTED_VALUE"""),"Unlisted")</f>
        <v>Unlisted</v>
      </c>
      <c r="F236" s="174" t="str">
        <f>IFERROR(__xludf.DUMMYFUNCTION("""COMPUTED_VALUE"""),"Unlisted")</f>
        <v>Unlisted</v>
      </c>
      <c r="G236" s="174" t="str">
        <f>IFERROR(__xludf.DUMMYFUNCTION("""COMPUTED_VALUE"""),"Unlisted")</f>
        <v>Unlisted</v>
      </c>
      <c r="H236" s="174" t="str">
        <f>IFERROR(__xludf.DUMMYFUNCTION("""COMPUTED_VALUE"""),"Unlisted")</f>
        <v>Unlisted</v>
      </c>
      <c r="I236" s="174" t="str">
        <f>IFERROR(__xludf.DUMMYFUNCTION("""COMPUTED_VALUE"""),"Unlisted")</f>
        <v>Unlisted</v>
      </c>
      <c r="J236" s="174" t="str">
        <f>IFERROR(__xludf.DUMMYFUNCTION("""COMPUTED_VALUE"""),"Mastered")</f>
        <v>Mastered</v>
      </c>
      <c r="K236" s="174" t="str">
        <f>IFERROR(__xludf.DUMMYFUNCTION("""COMPUTED_VALUE"""),"Proficient")</f>
        <v>Proficient</v>
      </c>
      <c r="L236" s="174" t="str">
        <f>IFERROR(__xludf.DUMMYFUNCTION("""COMPUTED_VALUE"""),"Proficient")</f>
        <v>Proficient</v>
      </c>
      <c r="M236" s="174" t="str">
        <f>IFERROR(__xludf.DUMMYFUNCTION("""COMPUTED_VALUE"""),"Unlisted")</f>
        <v>Unlisted</v>
      </c>
      <c r="N236" s="174" t="str">
        <f>IFERROR(__xludf.DUMMYFUNCTION("""COMPUTED_VALUE"""),"Unlisted")</f>
        <v>Unlisted</v>
      </c>
      <c r="O236" s="174" t="str">
        <f>IFERROR(__xludf.DUMMYFUNCTION("""COMPUTED_VALUE"""),"Unlisted")</f>
        <v>Unlisted</v>
      </c>
      <c r="P236" s="174" t="str">
        <f>IFERROR(__xludf.DUMMYFUNCTION("""COMPUTED_VALUE"""),"Unlisted")</f>
        <v>Unlisted</v>
      </c>
      <c r="Q236" s="174" t="str">
        <f>IFERROR(__xludf.DUMMYFUNCTION("""COMPUTED_VALUE"""),"Unlisted")</f>
        <v>Unlisted</v>
      </c>
      <c r="R236" s="174" t="str">
        <f>IFERROR(__xludf.DUMMYFUNCTION("""COMPUTED_VALUE"""),"Unlisted")</f>
        <v>Unlisted</v>
      </c>
    </row>
    <row r="237">
      <c r="A237" s="255" t="str">
        <f>IFERROR(__xludf.DUMMYFUNCTION("""COMPUTED_VALUE"""),"Torchic")</f>
        <v>Torchic</v>
      </c>
      <c r="B237" s="174" t="str">
        <f>IFERROR(__xludf.DUMMYFUNCTION("""COMPUTED_VALUE"""),"Mastered")</f>
        <v>Mastered</v>
      </c>
      <c r="C237" s="174" t="str">
        <f>IFERROR(__xludf.DUMMYFUNCTION("""COMPUTED_VALUE"""),"Inept")</f>
        <v>Inept</v>
      </c>
      <c r="D237" s="174" t="str">
        <f>IFERROR(__xludf.DUMMYFUNCTION("""COMPUTED_VALUE"""),"Unlisted")</f>
        <v>Unlisted</v>
      </c>
      <c r="E237" s="174" t="str">
        <f>IFERROR(__xludf.DUMMYFUNCTION("""COMPUTED_VALUE"""),"Inept")</f>
        <v>Inept</v>
      </c>
      <c r="F237" s="174" t="str">
        <f>IFERROR(__xludf.DUMMYFUNCTION("""COMPUTED_VALUE"""),"Unlisted")</f>
        <v>Unlisted</v>
      </c>
      <c r="G237" s="174" t="str">
        <f>IFERROR(__xludf.DUMMYFUNCTION("""COMPUTED_VALUE"""),"Unlisted")</f>
        <v>Unlisted</v>
      </c>
      <c r="H237" s="174" t="str">
        <f>IFERROR(__xludf.DUMMYFUNCTION("""COMPUTED_VALUE"""),"Unlisted")</f>
        <v>Unlisted</v>
      </c>
      <c r="I237" s="174" t="str">
        <f>IFERROR(__xludf.DUMMYFUNCTION("""COMPUTED_VALUE"""),"Unlisted")</f>
        <v>Unlisted</v>
      </c>
      <c r="J237" s="174" t="str">
        <f>IFERROR(__xludf.DUMMYFUNCTION("""COMPUTED_VALUE"""),"Unlisted")</f>
        <v>Unlisted</v>
      </c>
      <c r="K237" s="174" t="str">
        <f>IFERROR(__xludf.DUMMYFUNCTION("""COMPUTED_VALUE"""),"Unlisted")</f>
        <v>Unlisted</v>
      </c>
      <c r="L237" s="174" t="str">
        <f>IFERROR(__xludf.DUMMYFUNCTION("""COMPUTED_VALUE"""),"Unlisted")</f>
        <v>Unlisted</v>
      </c>
      <c r="M237" s="174" t="str">
        <f>IFERROR(__xludf.DUMMYFUNCTION("""COMPUTED_VALUE"""),"Unlisted")</f>
        <v>Unlisted</v>
      </c>
      <c r="N237" s="174" t="str">
        <f>IFERROR(__xludf.DUMMYFUNCTION("""COMPUTED_VALUE"""),"Unlisted")</f>
        <v>Unlisted</v>
      </c>
      <c r="O237" s="174" t="str">
        <f>IFERROR(__xludf.DUMMYFUNCTION("""COMPUTED_VALUE"""),"Unlisted")</f>
        <v>Unlisted</v>
      </c>
      <c r="P237" s="174" t="str">
        <f>IFERROR(__xludf.DUMMYFUNCTION("""COMPUTED_VALUE"""),"Unlisted")</f>
        <v>Unlisted</v>
      </c>
      <c r="Q237" s="174" t="str">
        <f>IFERROR(__xludf.DUMMYFUNCTION("""COMPUTED_VALUE"""),"Unlisted")</f>
        <v>Unlisted</v>
      </c>
      <c r="R237" s="174" t="str">
        <f>IFERROR(__xludf.DUMMYFUNCTION("""COMPUTED_VALUE"""),"Unlisted")</f>
        <v>Unlisted</v>
      </c>
    </row>
    <row r="238">
      <c r="A238" s="255" t="str">
        <f>IFERROR(__xludf.DUMMYFUNCTION("""COMPUTED_VALUE"""),"Combusken")</f>
        <v>Combusken</v>
      </c>
      <c r="B238" s="174" t="str">
        <f>IFERROR(__xludf.DUMMYFUNCTION("""COMPUTED_VALUE"""),"Mastered")</f>
        <v>Mastered</v>
      </c>
      <c r="C238" s="174" t="str">
        <f>IFERROR(__xludf.DUMMYFUNCTION("""COMPUTED_VALUE"""),"Proficient")</f>
        <v>Proficient</v>
      </c>
      <c r="D238" s="174" t="str">
        <f>IFERROR(__xludf.DUMMYFUNCTION("""COMPUTED_VALUE"""),"Unlisted")</f>
        <v>Unlisted</v>
      </c>
      <c r="E238" s="174" t="str">
        <f>IFERROR(__xludf.DUMMYFUNCTION("""COMPUTED_VALUE"""),"Proficient")</f>
        <v>Proficient</v>
      </c>
      <c r="F238" s="174" t="str">
        <f>IFERROR(__xludf.DUMMYFUNCTION("""COMPUTED_VALUE"""),"Unlisted")</f>
        <v>Unlisted</v>
      </c>
      <c r="G238" s="174" t="str">
        <f>IFERROR(__xludf.DUMMYFUNCTION("""COMPUTED_VALUE"""),"Unlisted")</f>
        <v>Unlisted</v>
      </c>
      <c r="H238" s="174" t="str">
        <f>IFERROR(__xludf.DUMMYFUNCTION("""COMPUTED_VALUE"""),"Unlisted")</f>
        <v>Unlisted</v>
      </c>
      <c r="I238" s="174" t="str">
        <f>IFERROR(__xludf.DUMMYFUNCTION("""COMPUTED_VALUE"""),"Unlisted")</f>
        <v>Unlisted</v>
      </c>
      <c r="J238" s="174" t="str">
        <f>IFERROR(__xludf.DUMMYFUNCTION("""COMPUTED_VALUE"""),"Unlisted")</f>
        <v>Unlisted</v>
      </c>
      <c r="K238" s="174" t="str">
        <f>IFERROR(__xludf.DUMMYFUNCTION("""COMPUTED_VALUE"""),"Unlisted")</f>
        <v>Unlisted</v>
      </c>
      <c r="L238" s="174" t="str">
        <f>IFERROR(__xludf.DUMMYFUNCTION("""COMPUTED_VALUE"""),"Unlisted")</f>
        <v>Unlisted</v>
      </c>
      <c r="M238" s="174" t="str">
        <f>IFERROR(__xludf.DUMMYFUNCTION("""COMPUTED_VALUE"""),"Unlisted")</f>
        <v>Unlisted</v>
      </c>
      <c r="N238" s="174" t="str">
        <f>IFERROR(__xludf.DUMMYFUNCTION("""COMPUTED_VALUE"""),"Unlisted")</f>
        <v>Unlisted</v>
      </c>
      <c r="O238" s="174" t="str">
        <f>IFERROR(__xludf.DUMMYFUNCTION("""COMPUTED_VALUE"""),"Unlisted")</f>
        <v>Unlisted</v>
      </c>
      <c r="P238" s="174" t="str">
        <f>IFERROR(__xludf.DUMMYFUNCTION("""COMPUTED_VALUE"""),"Unlisted")</f>
        <v>Unlisted</v>
      </c>
      <c r="Q238" s="174" t="str">
        <f>IFERROR(__xludf.DUMMYFUNCTION("""COMPUTED_VALUE"""),"Unlisted")</f>
        <v>Unlisted</v>
      </c>
      <c r="R238" s="174" t="str">
        <f>IFERROR(__xludf.DUMMYFUNCTION("""COMPUTED_VALUE"""),"Unlisted")</f>
        <v>Unlisted</v>
      </c>
    </row>
    <row r="239">
      <c r="A239" s="255" t="str">
        <f>IFERROR(__xludf.DUMMYFUNCTION("""COMPUTED_VALUE"""),"Blaziken")</f>
        <v>Blaziken</v>
      </c>
      <c r="B239" s="174" t="str">
        <f>IFERROR(__xludf.DUMMYFUNCTION("""COMPUTED_VALUE"""),"Mastered")</f>
        <v>Mastered</v>
      </c>
      <c r="C239" s="174" t="str">
        <f>IFERROR(__xludf.DUMMYFUNCTION("""COMPUTED_VALUE"""),"Proficient")</f>
        <v>Proficient</v>
      </c>
      <c r="D239" s="174" t="str">
        <f>IFERROR(__xludf.DUMMYFUNCTION("""COMPUTED_VALUE"""),"Unlisted")</f>
        <v>Unlisted</v>
      </c>
      <c r="E239" s="174" t="str">
        <f>IFERROR(__xludf.DUMMYFUNCTION("""COMPUTED_VALUE"""),"Proficient")</f>
        <v>Proficient</v>
      </c>
      <c r="F239" s="174" t="str">
        <f>IFERROR(__xludf.DUMMYFUNCTION("""COMPUTED_VALUE"""),"Unlisted")</f>
        <v>Unlisted</v>
      </c>
      <c r="G239" s="174" t="str">
        <f>IFERROR(__xludf.DUMMYFUNCTION("""COMPUTED_VALUE"""),"Unlisted")</f>
        <v>Unlisted</v>
      </c>
      <c r="H239" s="174" t="str">
        <f>IFERROR(__xludf.DUMMYFUNCTION("""COMPUTED_VALUE"""),"Unlisted")</f>
        <v>Unlisted</v>
      </c>
      <c r="I239" s="174" t="str">
        <f>IFERROR(__xludf.DUMMYFUNCTION("""COMPUTED_VALUE"""),"Unlisted")</f>
        <v>Unlisted</v>
      </c>
      <c r="J239" s="174" t="str">
        <f>IFERROR(__xludf.DUMMYFUNCTION("""COMPUTED_VALUE"""),"Unlisted")</f>
        <v>Unlisted</v>
      </c>
      <c r="K239" s="174" t="str">
        <f>IFERROR(__xludf.DUMMYFUNCTION("""COMPUTED_VALUE"""),"Unlisted")</f>
        <v>Unlisted</v>
      </c>
      <c r="L239" s="174" t="str">
        <f>IFERROR(__xludf.DUMMYFUNCTION("""COMPUTED_VALUE"""),"Unlisted")</f>
        <v>Unlisted</v>
      </c>
      <c r="M239" s="174" t="str">
        <f>IFERROR(__xludf.DUMMYFUNCTION("""COMPUTED_VALUE"""),"Unlisted")</f>
        <v>Unlisted</v>
      </c>
      <c r="N239" s="174" t="str">
        <f>IFERROR(__xludf.DUMMYFUNCTION("""COMPUTED_VALUE"""),"Unlisted")</f>
        <v>Unlisted</v>
      </c>
      <c r="O239" s="174" t="str">
        <f>IFERROR(__xludf.DUMMYFUNCTION("""COMPUTED_VALUE"""),"Unlisted")</f>
        <v>Unlisted</v>
      </c>
      <c r="P239" s="174" t="str">
        <f>IFERROR(__xludf.DUMMYFUNCTION("""COMPUTED_VALUE"""),"Unlisted")</f>
        <v>Unlisted</v>
      </c>
      <c r="Q239" s="174" t="str">
        <f>IFERROR(__xludf.DUMMYFUNCTION("""COMPUTED_VALUE"""),"Unlisted")</f>
        <v>Unlisted</v>
      </c>
      <c r="R239" s="174" t="str">
        <f>IFERROR(__xludf.DUMMYFUNCTION("""COMPUTED_VALUE"""),"Unlisted")</f>
        <v>Unlisted</v>
      </c>
    </row>
    <row r="240">
      <c r="A240" s="255" t="str">
        <f>IFERROR(__xludf.DUMMYFUNCTION("""COMPUTED_VALUE"""),"Chimchar")</f>
        <v>Chimchar</v>
      </c>
      <c r="B240" s="174" t="str">
        <f>IFERROR(__xludf.DUMMYFUNCTION("""COMPUTED_VALUE"""),"Mastered")</f>
        <v>Mastered</v>
      </c>
      <c r="C240" s="174" t="str">
        <f>IFERROR(__xludf.DUMMYFUNCTION("""COMPUTED_VALUE"""),"Proficient")</f>
        <v>Proficient</v>
      </c>
      <c r="D240" s="174" t="str">
        <f>IFERROR(__xludf.DUMMYFUNCTION("""COMPUTED_VALUE"""),"Unlisted")</f>
        <v>Unlisted</v>
      </c>
      <c r="E240" s="174" t="str">
        <f>IFERROR(__xludf.DUMMYFUNCTION("""COMPUTED_VALUE"""),"Unlisted")</f>
        <v>Unlisted</v>
      </c>
      <c r="F240" s="174" t="str">
        <f>IFERROR(__xludf.DUMMYFUNCTION("""COMPUTED_VALUE"""),"Unlisted")</f>
        <v>Unlisted</v>
      </c>
      <c r="G240" s="174" t="str">
        <f>IFERROR(__xludf.DUMMYFUNCTION("""COMPUTED_VALUE"""),"Unlisted")</f>
        <v>Unlisted</v>
      </c>
      <c r="H240" s="174" t="str">
        <f>IFERROR(__xludf.DUMMYFUNCTION("""COMPUTED_VALUE"""),"Unlisted")</f>
        <v>Unlisted</v>
      </c>
      <c r="I240" s="174" t="str">
        <f>IFERROR(__xludf.DUMMYFUNCTION("""COMPUTED_VALUE"""),"Unlisted")</f>
        <v>Unlisted</v>
      </c>
      <c r="J240" s="174" t="str">
        <f>IFERROR(__xludf.DUMMYFUNCTION("""COMPUTED_VALUE"""),"Unlisted")</f>
        <v>Unlisted</v>
      </c>
      <c r="K240" s="174" t="str">
        <f>IFERROR(__xludf.DUMMYFUNCTION("""COMPUTED_VALUE"""),"Unlisted")</f>
        <v>Unlisted</v>
      </c>
      <c r="L240" s="174" t="str">
        <f>IFERROR(__xludf.DUMMYFUNCTION("""COMPUTED_VALUE"""),"Proficient")</f>
        <v>Proficient</v>
      </c>
      <c r="M240" s="174" t="str">
        <f>IFERROR(__xludf.DUMMYFUNCTION("""COMPUTED_VALUE"""),"Unlisted")</f>
        <v>Unlisted</v>
      </c>
      <c r="N240" s="174" t="str">
        <f>IFERROR(__xludf.DUMMYFUNCTION("""COMPUTED_VALUE"""),"Unlisted")</f>
        <v>Unlisted</v>
      </c>
      <c r="O240" s="174" t="str">
        <f>IFERROR(__xludf.DUMMYFUNCTION("""COMPUTED_VALUE"""),"Unlisted")</f>
        <v>Unlisted</v>
      </c>
      <c r="P240" s="174" t="str">
        <f>IFERROR(__xludf.DUMMYFUNCTION("""COMPUTED_VALUE"""),"Unlisted")</f>
        <v>Unlisted</v>
      </c>
      <c r="Q240" s="174" t="str">
        <f>IFERROR(__xludf.DUMMYFUNCTION("""COMPUTED_VALUE"""),"Unlisted")</f>
        <v>Unlisted</v>
      </c>
      <c r="R240" s="174" t="str">
        <f>IFERROR(__xludf.DUMMYFUNCTION("""COMPUTED_VALUE"""),"Unlisted")</f>
        <v>Unlisted</v>
      </c>
    </row>
    <row r="241">
      <c r="A241" s="255" t="str">
        <f>IFERROR(__xludf.DUMMYFUNCTION("""COMPUTED_VALUE"""),"Monferno")</f>
        <v>Monferno</v>
      </c>
      <c r="B241" s="174" t="str">
        <f>IFERROR(__xludf.DUMMYFUNCTION("""COMPUTED_VALUE"""),"Mastered")</f>
        <v>Mastered</v>
      </c>
      <c r="C241" s="174" t="str">
        <f>IFERROR(__xludf.DUMMYFUNCTION("""COMPUTED_VALUE"""),"Proficient")</f>
        <v>Proficient</v>
      </c>
      <c r="D241" s="174" t="str">
        <f>IFERROR(__xludf.DUMMYFUNCTION("""COMPUTED_VALUE"""),"Unlisted")</f>
        <v>Unlisted</v>
      </c>
      <c r="E241" s="174" t="str">
        <f>IFERROR(__xludf.DUMMYFUNCTION("""COMPUTED_VALUE"""),"Proficient")</f>
        <v>Proficient</v>
      </c>
      <c r="F241" s="174" t="str">
        <f>IFERROR(__xludf.DUMMYFUNCTION("""COMPUTED_VALUE"""),"Unlisted")</f>
        <v>Unlisted</v>
      </c>
      <c r="G241" s="174" t="str">
        <f>IFERROR(__xludf.DUMMYFUNCTION("""COMPUTED_VALUE"""),"Unlisted")</f>
        <v>Unlisted</v>
      </c>
      <c r="H241" s="174" t="str">
        <f>IFERROR(__xludf.DUMMYFUNCTION("""COMPUTED_VALUE"""),"Unlisted")</f>
        <v>Unlisted</v>
      </c>
      <c r="I241" s="174" t="str">
        <f>IFERROR(__xludf.DUMMYFUNCTION("""COMPUTED_VALUE"""),"Unlisted")</f>
        <v>Unlisted</v>
      </c>
      <c r="J241" s="174" t="str">
        <f>IFERROR(__xludf.DUMMYFUNCTION("""COMPUTED_VALUE"""),"Unlisted")</f>
        <v>Unlisted</v>
      </c>
      <c r="K241" s="174" t="str">
        <f>IFERROR(__xludf.DUMMYFUNCTION("""COMPUTED_VALUE"""),"Unlisted")</f>
        <v>Unlisted</v>
      </c>
      <c r="L241" s="174" t="str">
        <f>IFERROR(__xludf.DUMMYFUNCTION("""COMPUTED_VALUE"""),"Unlisted")</f>
        <v>Unlisted</v>
      </c>
      <c r="M241" s="174" t="str">
        <f>IFERROR(__xludf.DUMMYFUNCTION("""COMPUTED_VALUE"""),"Unlisted")</f>
        <v>Unlisted</v>
      </c>
      <c r="N241" s="174" t="str">
        <f>IFERROR(__xludf.DUMMYFUNCTION("""COMPUTED_VALUE"""),"Unlisted")</f>
        <v>Unlisted</v>
      </c>
      <c r="O241" s="174" t="str">
        <f>IFERROR(__xludf.DUMMYFUNCTION("""COMPUTED_VALUE"""),"Unlisted")</f>
        <v>Unlisted</v>
      </c>
      <c r="P241" s="174" t="str">
        <f>IFERROR(__xludf.DUMMYFUNCTION("""COMPUTED_VALUE"""),"Unlisted")</f>
        <v>Unlisted</v>
      </c>
      <c r="Q241" s="174" t="str">
        <f>IFERROR(__xludf.DUMMYFUNCTION("""COMPUTED_VALUE"""),"Unlisted")</f>
        <v>Unlisted</v>
      </c>
      <c r="R241" s="174" t="str">
        <f>IFERROR(__xludf.DUMMYFUNCTION("""COMPUTED_VALUE"""),"Unlisted")</f>
        <v>Unlisted</v>
      </c>
    </row>
    <row r="242">
      <c r="A242" s="255" t="str">
        <f>IFERROR(__xludf.DUMMYFUNCTION("""COMPUTED_VALUE"""),"Infernape")</f>
        <v>Infernape</v>
      </c>
      <c r="B242" s="174" t="str">
        <f>IFERROR(__xludf.DUMMYFUNCTION("""COMPUTED_VALUE"""),"Mastered")</f>
        <v>Mastered</v>
      </c>
      <c r="C242" s="174" t="str">
        <f>IFERROR(__xludf.DUMMYFUNCTION("""COMPUTED_VALUE"""),"Proficient")</f>
        <v>Proficient</v>
      </c>
      <c r="D242" s="174" t="str">
        <f>IFERROR(__xludf.DUMMYFUNCTION("""COMPUTED_VALUE"""),"Unlisted")</f>
        <v>Unlisted</v>
      </c>
      <c r="E242" s="174" t="str">
        <f>IFERROR(__xludf.DUMMYFUNCTION("""COMPUTED_VALUE"""),"Proficient")</f>
        <v>Proficient</v>
      </c>
      <c r="F242" s="174" t="str">
        <f>IFERROR(__xludf.DUMMYFUNCTION("""COMPUTED_VALUE"""),"Unlisted")</f>
        <v>Unlisted</v>
      </c>
      <c r="G242" s="174" t="str">
        <f>IFERROR(__xludf.DUMMYFUNCTION("""COMPUTED_VALUE"""),"Unlisted")</f>
        <v>Unlisted</v>
      </c>
      <c r="H242" s="174" t="str">
        <f>IFERROR(__xludf.DUMMYFUNCTION("""COMPUTED_VALUE"""),"Unlisted")</f>
        <v>Unlisted</v>
      </c>
      <c r="I242" s="174" t="str">
        <f>IFERROR(__xludf.DUMMYFUNCTION("""COMPUTED_VALUE"""),"Unlisted")</f>
        <v>Unlisted</v>
      </c>
      <c r="J242" s="174" t="str">
        <f>IFERROR(__xludf.DUMMYFUNCTION("""COMPUTED_VALUE"""),"Unlisted")</f>
        <v>Unlisted</v>
      </c>
      <c r="K242" s="174" t="str">
        <f>IFERROR(__xludf.DUMMYFUNCTION("""COMPUTED_VALUE"""),"Unlisted")</f>
        <v>Unlisted</v>
      </c>
      <c r="L242" s="174" t="str">
        <f>IFERROR(__xludf.DUMMYFUNCTION("""COMPUTED_VALUE"""),"Unlisted")</f>
        <v>Unlisted</v>
      </c>
      <c r="M242" s="174" t="str">
        <f>IFERROR(__xludf.DUMMYFUNCTION("""COMPUTED_VALUE"""),"Unlisted")</f>
        <v>Unlisted</v>
      </c>
      <c r="N242" s="174" t="str">
        <f>IFERROR(__xludf.DUMMYFUNCTION("""COMPUTED_VALUE"""),"Unlisted")</f>
        <v>Unlisted</v>
      </c>
      <c r="O242" s="174" t="str">
        <f>IFERROR(__xludf.DUMMYFUNCTION("""COMPUTED_VALUE"""),"Unlisted")</f>
        <v>Unlisted</v>
      </c>
      <c r="P242" s="174" t="str">
        <f>IFERROR(__xludf.DUMMYFUNCTION("""COMPUTED_VALUE"""),"Unlisted")</f>
        <v>Unlisted</v>
      </c>
      <c r="Q242" s="174" t="str">
        <f>IFERROR(__xludf.DUMMYFUNCTION("""COMPUTED_VALUE"""),"Unlisted")</f>
        <v>Unlisted</v>
      </c>
      <c r="R242" s="174" t="str">
        <f>IFERROR(__xludf.DUMMYFUNCTION("""COMPUTED_VALUE"""),"Unlisted")</f>
        <v>Unlisted</v>
      </c>
    </row>
    <row r="243">
      <c r="A243" s="255" t="str">
        <f>IFERROR(__xludf.DUMMYFUNCTION("""COMPUTED_VALUE"""),"Tepig")</f>
        <v>Tepig</v>
      </c>
      <c r="B243" s="174" t="str">
        <f>IFERROR(__xludf.DUMMYFUNCTION("""COMPUTED_VALUE"""),"Unlisted")</f>
        <v>Unlisted</v>
      </c>
      <c r="C243" s="174" t="str">
        <f>IFERROR(__xludf.DUMMYFUNCTION("""COMPUTED_VALUE"""),"Mastered")</f>
        <v>Mastered</v>
      </c>
      <c r="D243" s="174" t="str">
        <f>IFERROR(__xludf.DUMMYFUNCTION("""COMPUTED_VALUE"""),"Unlisted")</f>
        <v>Unlisted</v>
      </c>
      <c r="E243" s="174" t="str">
        <f>IFERROR(__xludf.DUMMYFUNCTION("""COMPUTED_VALUE"""),"Proficient")</f>
        <v>Proficient</v>
      </c>
      <c r="F243" s="174" t="str">
        <f>IFERROR(__xludf.DUMMYFUNCTION("""COMPUTED_VALUE"""),"Unlisted")</f>
        <v>Unlisted</v>
      </c>
      <c r="G243" s="174" t="str">
        <f>IFERROR(__xludf.DUMMYFUNCTION("""COMPUTED_VALUE"""),"Proficient")</f>
        <v>Proficient</v>
      </c>
      <c r="H243" s="174" t="str">
        <f>IFERROR(__xludf.DUMMYFUNCTION("""COMPUTED_VALUE"""),"Unlisted")</f>
        <v>Unlisted</v>
      </c>
      <c r="I243" s="174" t="str">
        <f>IFERROR(__xludf.DUMMYFUNCTION("""COMPUTED_VALUE"""),"Unlisted")</f>
        <v>Unlisted</v>
      </c>
      <c r="J243" s="174" t="str">
        <f>IFERROR(__xludf.DUMMYFUNCTION("""COMPUTED_VALUE"""),"Unlisted")</f>
        <v>Unlisted</v>
      </c>
      <c r="K243" s="174" t="str">
        <f>IFERROR(__xludf.DUMMYFUNCTION("""COMPUTED_VALUE"""),"Unlisted")</f>
        <v>Unlisted</v>
      </c>
      <c r="L243" s="174" t="str">
        <f>IFERROR(__xludf.DUMMYFUNCTION("""COMPUTED_VALUE"""),"Unlisted")</f>
        <v>Unlisted</v>
      </c>
      <c r="M243" s="174" t="str">
        <f>IFERROR(__xludf.DUMMYFUNCTION("""COMPUTED_VALUE"""),"Unlisted")</f>
        <v>Unlisted</v>
      </c>
      <c r="N243" s="174" t="str">
        <f>IFERROR(__xludf.DUMMYFUNCTION("""COMPUTED_VALUE"""),"Unlisted")</f>
        <v>Unlisted</v>
      </c>
      <c r="O243" s="174" t="str">
        <f>IFERROR(__xludf.DUMMYFUNCTION("""COMPUTED_VALUE"""),"Unlisted")</f>
        <v>Unlisted</v>
      </c>
      <c r="P243" s="174" t="str">
        <f>IFERROR(__xludf.DUMMYFUNCTION("""COMPUTED_VALUE"""),"Unlisted")</f>
        <v>Unlisted</v>
      </c>
      <c r="Q243" s="174" t="str">
        <f>IFERROR(__xludf.DUMMYFUNCTION("""COMPUTED_VALUE"""),"Unlisted")</f>
        <v>Unlisted</v>
      </c>
      <c r="R243" s="174" t="str">
        <f>IFERROR(__xludf.DUMMYFUNCTION("""COMPUTED_VALUE"""),"Unlisted")</f>
        <v>Unlisted</v>
      </c>
    </row>
    <row r="244">
      <c r="A244" s="255" t="str">
        <f>IFERROR(__xludf.DUMMYFUNCTION("""COMPUTED_VALUE"""),"Pignite")</f>
        <v>Pignite</v>
      </c>
      <c r="B244" s="174" t="str">
        <f>IFERROR(__xludf.DUMMYFUNCTION("""COMPUTED_VALUE"""),"Unlisted")</f>
        <v>Unlisted</v>
      </c>
      <c r="C244" s="174" t="str">
        <f>IFERROR(__xludf.DUMMYFUNCTION("""COMPUTED_VALUE"""),"Mastered")</f>
        <v>Mastered</v>
      </c>
      <c r="D244" s="174" t="str">
        <f>IFERROR(__xludf.DUMMYFUNCTION("""COMPUTED_VALUE"""),"Unlisted")</f>
        <v>Unlisted</v>
      </c>
      <c r="E244" s="174" t="str">
        <f>IFERROR(__xludf.DUMMYFUNCTION("""COMPUTED_VALUE"""),"Proficient")</f>
        <v>Proficient</v>
      </c>
      <c r="F244" s="174" t="str">
        <f>IFERROR(__xludf.DUMMYFUNCTION("""COMPUTED_VALUE"""),"Unlisted")</f>
        <v>Unlisted</v>
      </c>
      <c r="G244" s="174" t="str">
        <f>IFERROR(__xludf.DUMMYFUNCTION("""COMPUTED_VALUE"""),"Proficient")</f>
        <v>Proficient</v>
      </c>
      <c r="H244" s="174" t="str">
        <f>IFERROR(__xludf.DUMMYFUNCTION("""COMPUTED_VALUE"""),"Unlisted")</f>
        <v>Unlisted</v>
      </c>
      <c r="I244" s="174" t="str">
        <f>IFERROR(__xludf.DUMMYFUNCTION("""COMPUTED_VALUE"""),"Unlisted")</f>
        <v>Unlisted</v>
      </c>
      <c r="J244" s="174" t="str">
        <f>IFERROR(__xludf.DUMMYFUNCTION("""COMPUTED_VALUE"""),"Unlisted")</f>
        <v>Unlisted</v>
      </c>
      <c r="K244" s="174" t="str">
        <f>IFERROR(__xludf.DUMMYFUNCTION("""COMPUTED_VALUE"""),"Unlisted")</f>
        <v>Unlisted</v>
      </c>
      <c r="L244" s="174" t="str">
        <f>IFERROR(__xludf.DUMMYFUNCTION("""COMPUTED_VALUE"""),"Unlisted")</f>
        <v>Unlisted</v>
      </c>
      <c r="M244" s="174" t="str">
        <f>IFERROR(__xludf.DUMMYFUNCTION("""COMPUTED_VALUE"""),"Unlisted")</f>
        <v>Unlisted</v>
      </c>
      <c r="N244" s="174" t="str">
        <f>IFERROR(__xludf.DUMMYFUNCTION("""COMPUTED_VALUE"""),"Unlisted")</f>
        <v>Unlisted</v>
      </c>
      <c r="O244" s="174" t="str">
        <f>IFERROR(__xludf.DUMMYFUNCTION("""COMPUTED_VALUE"""),"Unlisted")</f>
        <v>Unlisted</v>
      </c>
      <c r="P244" s="174" t="str">
        <f>IFERROR(__xludf.DUMMYFUNCTION("""COMPUTED_VALUE"""),"Unlisted")</f>
        <v>Unlisted</v>
      </c>
      <c r="Q244" s="174" t="str">
        <f>IFERROR(__xludf.DUMMYFUNCTION("""COMPUTED_VALUE"""),"Unlisted")</f>
        <v>Unlisted</v>
      </c>
      <c r="R244" s="174" t="str">
        <f>IFERROR(__xludf.DUMMYFUNCTION("""COMPUTED_VALUE"""),"Unlisted")</f>
        <v>Unlisted</v>
      </c>
    </row>
    <row r="245">
      <c r="A245" s="255" t="str">
        <f>IFERROR(__xludf.DUMMYFUNCTION("""COMPUTED_VALUE"""),"Emboar")</f>
        <v>Emboar</v>
      </c>
      <c r="B245" s="174" t="str">
        <f>IFERROR(__xludf.DUMMYFUNCTION("""COMPUTED_VALUE"""),"Unlisted")</f>
        <v>Unlisted</v>
      </c>
      <c r="C245" s="174" t="str">
        <f>IFERROR(__xludf.DUMMYFUNCTION("""COMPUTED_VALUE"""),"Mastered")</f>
        <v>Mastered</v>
      </c>
      <c r="D245" s="174" t="str">
        <f>IFERROR(__xludf.DUMMYFUNCTION("""COMPUTED_VALUE"""),"Unlisted")</f>
        <v>Unlisted</v>
      </c>
      <c r="E245" s="174" t="str">
        <f>IFERROR(__xludf.DUMMYFUNCTION("""COMPUTED_VALUE"""),"Proficient")</f>
        <v>Proficient</v>
      </c>
      <c r="F245" s="174" t="str">
        <f>IFERROR(__xludf.DUMMYFUNCTION("""COMPUTED_VALUE"""),"Unlisted")</f>
        <v>Unlisted</v>
      </c>
      <c r="G245" s="174" t="str">
        <f>IFERROR(__xludf.DUMMYFUNCTION("""COMPUTED_VALUE"""),"Proficient")</f>
        <v>Proficient</v>
      </c>
      <c r="H245" s="174" t="str">
        <f>IFERROR(__xludf.DUMMYFUNCTION("""COMPUTED_VALUE"""),"Unlisted")</f>
        <v>Unlisted</v>
      </c>
      <c r="I245" s="174" t="str">
        <f>IFERROR(__xludf.DUMMYFUNCTION("""COMPUTED_VALUE"""),"Unlisted")</f>
        <v>Unlisted</v>
      </c>
      <c r="J245" s="174" t="str">
        <f>IFERROR(__xludf.DUMMYFUNCTION("""COMPUTED_VALUE"""),"Unlisted")</f>
        <v>Unlisted</v>
      </c>
      <c r="K245" s="174" t="str">
        <f>IFERROR(__xludf.DUMMYFUNCTION("""COMPUTED_VALUE"""),"Unlisted")</f>
        <v>Unlisted</v>
      </c>
      <c r="L245" s="174" t="str">
        <f>IFERROR(__xludf.DUMMYFUNCTION("""COMPUTED_VALUE"""),"Unlisted")</f>
        <v>Unlisted</v>
      </c>
      <c r="M245" s="174" t="str">
        <f>IFERROR(__xludf.DUMMYFUNCTION("""COMPUTED_VALUE"""),"Unlisted")</f>
        <v>Unlisted</v>
      </c>
      <c r="N245" s="174" t="str">
        <f>IFERROR(__xludf.DUMMYFUNCTION("""COMPUTED_VALUE"""),"Unlisted")</f>
        <v>Unlisted</v>
      </c>
      <c r="O245" s="174" t="str">
        <f>IFERROR(__xludf.DUMMYFUNCTION("""COMPUTED_VALUE"""),"Unlisted")</f>
        <v>Unlisted</v>
      </c>
      <c r="P245" s="174" t="str">
        <f>IFERROR(__xludf.DUMMYFUNCTION("""COMPUTED_VALUE"""),"Unlisted")</f>
        <v>Unlisted</v>
      </c>
      <c r="Q245" s="174" t="str">
        <f>IFERROR(__xludf.DUMMYFUNCTION("""COMPUTED_VALUE"""),"Unlisted")</f>
        <v>Unlisted</v>
      </c>
      <c r="R245" s="174" t="str">
        <f>IFERROR(__xludf.DUMMYFUNCTION("""COMPUTED_VALUE"""),"Unlisted")</f>
        <v>Unlisted</v>
      </c>
    </row>
    <row r="246">
      <c r="A246" s="255" t="str">
        <f>IFERROR(__xludf.DUMMYFUNCTION("""COMPUTED_VALUE"""),"Fennekin")</f>
        <v>Fennekin</v>
      </c>
      <c r="B246" s="174" t="str">
        <f>IFERROR(__xludf.DUMMYFUNCTION("""COMPUTED_VALUE"""),"Unlisted")</f>
        <v>Unlisted</v>
      </c>
      <c r="C246" s="174" t="str">
        <f>IFERROR(__xludf.DUMMYFUNCTION("""COMPUTED_VALUE"""),"Unlisted")</f>
        <v>Unlisted</v>
      </c>
      <c r="D246" s="174" t="str">
        <f>IFERROR(__xludf.DUMMYFUNCTION("""COMPUTED_VALUE"""),"Unlisted")</f>
        <v>Unlisted</v>
      </c>
      <c r="E246" s="174" t="str">
        <f>IFERROR(__xludf.DUMMYFUNCTION("""COMPUTED_VALUE"""),"Unlisted")</f>
        <v>Unlisted</v>
      </c>
      <c r="F246" s="174" t="str">
        <f>IFERROR(__xludf.DUMMYFUNCTION("""COMPUTED_VALUE"""),"Unlisted")</f>
        <v>Unlisted</v>
      </c>
      <c r="G246" s="174" t="str">
        <f>IFERROR(__xludf.DUMMYFUNCTION("""COMPUTED_VALUE"""),"Mastered")</f>
        <v>Mastered</v>
      </c>
      <c r="H246" s="174" t="str">
        <f>IFERROR(__xludf.DUMMYFUNCTION("""COMPUTED_VALUE"""),"Unlisted")</f>
        <v>Unlisted</v>
      </c>
      <c r="I246" s="174" t="str">
        <f>IFERROR(__xludf.DUMMYFUNCTION("""COMPUTED_VALUE"""),"Unlisted")</f>
        <v>Unlisted</v>
      </c>
      <c r="J246" s="174" t="str">
        <f>IFERROR(__xludf.DUMMYFUNCTION("""COMPUTED_VALUE"""),"Proficient")</f>
        <v>Proficient</v>
      </c>
      <c r="K246" s="174" t="str">
        <f>IFERROR(__xludf.DUMMYFUNCTION("""COMPUTED_VALUE"""),"Proficient")</f>
        <v>Proficient</v>
      </c>
      <c r="L246" s="174" t="str">
        <f>IFERROR(__xludf.DUMMYFUNCTION("""COMPUTED_VALUE"""),"Unlisted")</f>
        <v>Unlisted</v>
      </c>
      <c r="M246" s="174" t="str">
        <f>IFERROR(__xludf.DUMMYFUNCTION("""COMPUTED_VALUE"""),"Unlisted")</f>
        <v>Unlisted</v>
      </c>
      <c r="N246" s="174" t="str">
        <f>IFERROR(__xludf.DUMMYFUNCTION("""COMPUTED_VALUE"""),"Unlisted")</f>
        <v>Unlisted</v>
      </c>
      <c r="O246" s="174" t="str">
        <f>IFERROR(__xludf.DUMMYFUNCTION("""COMPUTED_VALUE"""),"Unlisted")</f>
        <v>Unlisted</v>
      </c>
      <c r="P246" s="174" t="str">
        <f>IFERROR(__xludf.DUMMYFUNCTION("""COMPUTED_VALUE"""),"Unlisted")</f>
        <v>Unlisted</v>
      </c>
      <c r="Q246" s="174" t="str">
        <f>IFERROR(__xludf.DUMMYFUNCTION("""COMPUTED_VALUE"""),"Unlisted")</f>
        <v>Unlisted</v>
      </c>
      <c r="R246" s="174" t="str">
        <f>IFERROR(__xludf.DUMMYFUNCTION("""COMPUTED_VALUE"""),"Unlisted")</f>
        <v>Unlisted</v>
      </c>
    </row>
    <row r="247">
      <c r="A247" s="255" t="str">
        <f>IFERROR(__xludf.DUMMYFUNCTION("""COMPUTED_VALUE"""),"Braixen")</f>
        <v>Braixen</v>
      </c>
      <c r="B247" s="174" t="str">
        <f>IFERROR(__xludf.DUMMYFUNCTION("""COMPUTED_VALUE"""),"Unlisted")</f>
        <v>Unlisted</v>
      </c>
      <c r="C247" s="174" t="str">
        <f>IFERROR(__xludf.DUMMYFUNCTION("""COMPUTED_VALUE"""),"Unlisted")</f>
        <v>Unlisted</v>
      </c>
      <c r="D247" s="174" t="str">
        <f>IFERROR(__xludf.DUMMYFUNCTION("""COMPUTED_VALUE"""),"Unlisted")</f>
        <v>Unlisted</v>
      </c>
      <c r="E247" s="174" t="str">
        <f>IFERROR(__xludf.DUMMYFUNCTION("""COMPUTED_VALUE"""),"Unlisted")</f>
        <v>Unlisted</v>
      </c>
      <c r="F247" s="174" t="str">
        <f>IFERROR(__xludf.DUMMYFUNCTION("""COMPUTED_VALUE"""),"Unlisted")</f>
        <v>Unlisted</v>
      </c>
      <c r="G247" s="174" t="str">
        <f>IFERROR(__xludf.DUMMYFUNCTION("""COMPUTED_VALUE"""),"Mastered")</f>
        <v>Mastered</v>
      </c>
      <c r="H247" s="174" t="str">
        <f>IFERROR(__xludf.DUMMYFUNCTION("""COMPUTED_VALUE"""),"Unlisted")</f>
        <v>Unlisted</v>
      </c>
      <c r="I247" s="174" t="str">
        <f>IFERROR(__xludf.DUMMYFUNCTION("""COMPUTED_VALUE"""),"Unlisted")</f>
        <v>Unlisted</v>
      </c>
      <c r="J247" s="174" t="str">
        <f>IFERROR(__xludf.DUMMYFUNCTION("""COMPUTED_VALUE"""),"Proficient")</f>
        <v>Proficient</v>
      </c>
      <c r="K247" s="174" t="str">
        <f>IFERROR(__xludf.DUMMYFUNCTION("""COMPUTED_VALUE"""),"Proficient")</f>
        <v>Proficient</v>
      </c>
      <c r="L247" s="174" t="str">
        <f>IFERROR(__xludf.DUMMYFUNCTION("""COMPUTED_VALUE"""),"Unlisted")</f>
        <v>Unlisted</v>
      </c>
      <c r="M247" s="174" t="str">
        <f>IFERROR(__xludf.DUMMYFUNCTION("""COMPUTED_VALUE"""),"Unlisted")</f>
        <v>Unlisted</v>
      </c>
      <c r="N247" s="174" t="str">
        <f>IFERROR(__xludf.DUMMYFUNCTION("""COMPUTED_VALUE"""),"Unlisted")</f>
        <v>Unlisted</v>
      </c>
      <c r="O247" s="174" t="str">
        <f>IFERROR(__xludf.DUMMYFUNCTION("""COMPUTED_VALUE"""),"Unlisted")</f>
        <v>Unlisted</v>
      </c>
      <c r="P247" s="174" t="str">
        <f>IFERROR(__xludf.DUMMYFUNCTION("""COMPUTED_VALUE"""),"Unlisted")</f>
        <v>Unlisted</v>
      </c>
      <c r="Q247" s="174" t="str">
        <f>IFERROR(__xludf.DUMMYFUNCTION("""COMPUTED_VALUE"""),"Unlisted")</f>
        <v>Unlisted</v>
      </c>
      <c r="R247" s="174" t="str">
        <f>IFERROR(__xludf.DUMMYFUNCTION("""COMPUTED_VALUE"""),"Unlisted")</f>
        <v>Unlisted</v>
      </c>
    </row>
    <row r="248">
      <c r="A248" s="255" t="str">
        <f>IFERROR(__xludf.DUMMYFUNCTION("""COMPUTED_VALUE"""),"Delphox")</f>
        <v>Delphox</v>
      </c>
      <c r="B248" s="174" t="str">
        <f>IFERROR(__xludf.DUMMYFUNCTION("""COMPUTED_VALUE"""),"Unlisted")</f>
        <v>Unlisted</v>
      </c>
      <c r="C248" s="174" t="str">
        <f>IFERROR(__xludf.DUMMYFUNCTION("""COMPUTED_VALUE"""),"Unlisted")</f>
        <v>Unlisted</v>
      </c>
      <c r="D248" s="174" t="str">
        <f>IFERROR(__xludf.DUMMYFUNCTION("""COMPUTED_VALUE"""),"Unlisted")</f>
        <v>Unlisted</v>
      </c>
      <c r="E248" s="174" t="str">
        <f>IFERROR(__xludf.DUMMYFUNCTION("""COMPUTED_VALUE"""),"Unlisted")</f>
        <v>Unlisted</v>
      </c>
      <c r="F248" s="174" t="str">
        <f>IFERROR(__xludf.DUMMYFUNCTION("""COMPUTED_VALUE"""),"Unlisted")</f>
        <v>Unlisted</v>
      </c>
      <c r="G248" s="174" t="str">
        <f>IFERROR(__xludf.DUMMYFUNCTION("""COMPUTED_VALUE"""),"Mastered")</f>
        <v>Mastered</v>
      </c>
      <c r="H248" s="174" t="str">
        <f>IFERROR(__xludf.DUMMYFUNCTION("""COMPUTED_VALUE"""),"Unlisted")</f>
        <v>Unlisted</v>
      </c>
      <c r="I248" s="174" t="str">
        <f>IFERROR(__xludf.DUMMYFUNCTION("""COMPUTED_VALUE"""),"Unlisted")</f>
        <v>Unlisted</v>
      </c>
      <c r="J248" s="174" t="str">
        <f>IFERROR(__xludf.DUMMYFUNCTION("""COMPUTED_VALUE"""),"Proficient")</f>
        <v>Proficient</v>
      </c>
      <c r="K248" s="174" t="str">
        <f>IFERROR(__xludf.DUMMYFUNCTION("""COMPUTED_VALUE"""),"Proficient")</f>
        <v>Proficient</v>
      </c>
      <c r="L248" s="174" t="str">
        <f>IFERROR(__xludf.DUMMYFUNCTION("""COMPUTED_VALUE"""),"Unlisted")</f>
        <v>Unlisted</v>
      </c>
      <c r="M248" s="174" t="str">
        <f>IFERROR(__xludf.DUMMYFUNCTION("""COMPUTED_VALUE"""),"Unlisted")</f>
        <v>Unlisted</v>
      </c>
      <c r="N248" s="174" t="str">
        <f>IFERROR(__xludf.DUMMYFUNCTION("""COMPUTED_VALUE"""),"Unlisted")</f>
        <v>Unlisted</v>
      </c>
      <c r="O248" s="174" t="str">
        <f>IFERROR(__xludf.DUMMYFUNCTION("""COMPUTED_VALUE"""),"Unlisted")</f>
        <v>Unlisted</v>
      </c>
      <c r="P248" s="174" t="str">
        <f>IFERROR(__xludf.DUMMYFUNCTION("""COMPUTED_VALUE"""),"Unlisted")</f>
        <v>Unlisted</v>
      </c>
      <c r="Q248" s="174" t="str">
        <f>IFERROR(__xludf.DUMMYFUNCTION("""COMPUTED_VALUE"""),"Unlisted")</f>
        <v>Unlisted</v>
      </c>
      <c r="R248" s="174" t="str">
        <f>IFERROR(__xludf.DUMMYFUNCTION("""COMPUTED_VALUE"""),"Unlisted")</f>
        <v>Unlisted</v>
      </c>
    </row>
    <row r="249">
      <c r="A249" s="255" t="str">
        <f>IFERROR(__xludf.DUMMYFUNCTION("""COMPUTED_VALUE"""),"Litten")</f>
        <v>Litten</v>
      </c>
      <c r="B249" s="174" t="str">
        <f>IFERROR(__xludf.DUMMYFUNCTION("""COMPUTED_VALUE"""),"Proficient")</f>
        <v>Proficient</v>
      </c>
      <c r="C249" s="174" t="str">
        <f>IFERROR(__xludf.DUMMYFUNCTION("""COMPUTED_VALUE"""),"Mastered")</f>
        <v>Mastered</v>
      </c>
      <c r="D249" s="174" t="str">
        <f>IFERROR(__xludf.DUMMYFUNCTION("""COMPUTED_VALUE"""),"Unlisted")</f>
        <v>Unlisted</v>
      </c>
      <c r="E249" s="174" t="str">
        <f>IFERROR(__xludf.DUMMYFUNCTION("""COMPUTED_VALUE"""),"Proficient")</f>
        <v>Proficient</v>
      </c>
      <c r="F249" s="174" t="str">
        <f>IFERROR(__xludf.DUMMYFUNCTION("""COMPUTED_VALUE"""),"Unlisted")</f>
        <v>Unlisted</v>
      </c>
      <c r="G249" s="174" t="str">
        <f>IFERROR(__xludf.DUMMYFUNCTION("""COMPUTED_VALUE"""),"Unlisted")</f>
        <v>Unlisted</v>
      </c>
      <c r="H249" s="174" t="str">
        <f>IFERROR(__xludf.DUMMYFUNCTION("""COMPUTED_VALUE"""),"Unlisted")</f>
        <v>Unlisted</v>
      </c>
      <c r="I249" s="174" t="str">
        <f>IFERROR(__xludf.DUMMYFUNCTION("""COMPUTED_VALUE"""),"Unlisted")</f>
        <v>Unlisted</v>
      </c>
      <c r="J249" s="174" t="str">
        <f>IFERROR(__xludf.DUMMYFUNCTION("""COMPUTED_VALUE"""),"Unlisted")</f>
        <v>Unlisted</v>
      </c>
      <c r="K249" s="174" t="str">
        <f>IFERROR(__xludf.DUMMYFUNCTION("""COMPUTED_VALUE"""),"Unlisted")</f>
        <v>Unlisted</v>
      </c>
      <c r="L249" s="174" t="str">
        <f>IFERROR(__xludf.DUMMYFUNCTION("""COMPUTED_VALUE"""),"Unlisted")</f>
        <v>Unlisted</v>
      </c>
      <c r="M249" s="174" t="str">
        <f>IFERROR(__xludf.DUMMYFUNCTION("""COMPUTED_VALUE"""),"Unlisted")</f>
        <v>Unlisted</v>
      </c>
      <c r="N249" s="174" t="str">
        <f>IFERROR(__xludf.DUMMYFUNCTION("""COMPUTED_VALUE"""),"Unlisted")</f>
        <v>Unlisted</v>
      </c>
      <c r="O249" s="174" t="str">
        <f>IFERROR(__xludf.DUMMYFUNCTION("""COMPUTED_VALUE"""),"Unlisted")</f>
        <v>Unlisted</v>
      </c>
      <c r="P249" s="174" t="str">
        <f>IFERROR(__xludf.DUMMYFUNCTION("""COMPUTED_VALUE"""),"Unlisted")</f>
        <v>Unlisted</v>
      </c>
      <c r="Q249" s="174" t="str">
        <f>IFERROR(__xludf.DUMMYFUNCTION("""COMPUTED_VALUE"""),"Unlisted")</f>
        <v>Unlisted</v>
      </c>
      <c r="R249" s="174" t="str">
        <f>IFERROR(__xludf.DUMMYFUNCTION("""COMPUTED_VALUE"""),"Unlisted")</f>
        <v>Unlisted</v>
      </c>
    </row>
    <row r="250">
      <c r="A250" s="255" t="str">
        <f>IFERROR(__xludf.DUMMYFUNCTION("""COMPUTED_VALUE"""),"Torracat")</f>
        <v>Torracat</v>
      </c>
      <c r="B250" s="174" t="str">
        <f>IFERROR(__xludf.DUMMYFUNCTION("""COMPUTED_VALUE"""),"Proficient")</f>
        <v>Proficient</v>
      </c>
      <c r="C250" s="174" t="str">
        <f>IFERROR(__xludf.DUMMYFUNCTION("""COMPUTED_VALUE"""),"Mastered")</f>
        <v>Mastered</v>
      </c>
      <c r="D250" s="174" t="str">
        <f>IFERROR(__xludf.DUMMYFUNCTION("""COMPUTED_VALUE"""),"Unlisted")</f>
        <v>Unlisted</v>
      </c>
      <c r="E250" s="174" t="str">
        <f>IFERROR(__xludf.DUMMYFUNCTION("""COMPUTED_VALUE"""),"Proficient")</f>
        <v>Proficient</v>
      </c>
      <c r="F250" s="174" t="str">
        <f>IFERROR(__xludf.DUMMYFUNCTION("""COMPUTED_VALUE"""),"Unlisted")</f>
        <v>Unlisted</v>
      </c>
      <c r="G250" s="174" t="str">
        <f>IFERROR(__xludf.DUMMYFUNCTION("""COMPUTED_VALUE"""),"Unlisted")</f>
        <v>Unlisted</v>
      </c>
      <c r="H250" s="174" t="str">
        <f>IFERROR(__xludf.DUMMYFUNCTION("""COMPUTED_VALUE"""),"Unlisted")</f>
        <v>Unlisted</v>
      </c>
      <c r="I250" s="174" t="str">
        <f>IFERROR(__xludf.DUMMYFUNCTION("""COMPUTED_VALUE"""),"Unlisted")</f>
        <v>Unlisted</v>
      </c>
      <c r="J250" s="174" t="str">
        <f>IFERROR(__xludf.DUMMYFUNCTION("""COMPUTED_VALUE"""),"Unlisted")</f>
        <v>Unlisted</v>
      </c>
      <c r="K250" s="174" t="str">
        <f>IFERROR(__xludf.DUMMYFUNCTION("""COMPUTED_VALUE"""),"Unlisted")</f>
        <v>Unlisted</v>
      </c>
      <c r="L250" s="174" t="str">
        <f>IFERROR(__xludf.DUMMYFUNCTION("""COMPUTED_VALUE"""),"Unlisted")</f>
        <v>Unlisted</v>
      </c>
      <c r="M250" s="174" t="str">
        <f>IFERROR(__xludf.DUMMYFUNCTION("""COMPUTED_VALUE"""),"Unlisted")</f>
        <v>Unlisted</v>
      </c>
      <c r="N250" s="174" t="str">
        <f>IFERROR(__xludf.DUMMYFUNCTION("""COMPUTED_VALUE"""),"Unlisted")</f>
        <v>Unlisted</v>
      </c>
      <c r="O250" s="174" t="str">
        <f>IFERROR(__xludf.DUMMYFUNCTION("""COMPUTED_VALUE"""),"Unlisted")</f>
        <v>Unlisted</v>
      </c>
      <c r="P250" s="174" t="str">
        <f>IFERROR(__xludf.DUMMYFUNCTION("""COMPUTED_VALUE"""),"Unlisted")</f>
        <v>Unlisted</v>
      </c>
      <c r="Q250" s="174" t="str">
        <f>IFERROR(__xludf.DUMMYFUNCTION("""COMPUTED_VALUE"""),"Unlisted")</f>
        <v>Unlisted</v>
      </c>
      <c r="R250" s="174" t="str">
        <f>IFERROR(__xludf.DUMMYFUNCTION("""COMPUTED_VALUE"""),"Unlisted")</f>
        <v>Unlisted</v>
      </c>
    </row>
    <row r="251">
      <c r="A251" s="255" t="str">
        <f>IFERROR(__xludf.DUMMYFUNCTION("""COMPUTED_VALUE"""),"Incineroar")</f>
        <v>Incineroar</v>
      </c>
      <c r="B251" s="174" t="str">
        <f>IFERROR(__xludf.DUMMYFUNCTION("""COMPUTED_VALUE"""),"Proficient")</f>
        <v>Proficient</v>
      </c>
      <c r="C251" s="174" t="str">
        <f>IFERROR(__xludf.DUMMYFUNCTION("""COMPUTED_VALUE"""),"Mastered")</f>
        <v>Mastered</v>
      </c>
      <c r="D251" s="174" t="str">
        <f>IFERROR(__xludf.DUMMYFUNCTION("""COMPUTED_VALUE"""),"Unlisted")</f>
        <v>Unlisted</v>
      </c>
      <c r="E251" s="174" t="str">
        <f>IFERROR(__xludf.DUMMYFUNCTION("""COMPUTED_VALUE"""),"Proficient")</f>
        <v>Proficient</v>
      </c>
      <c r="F251" s="174" t="str">
        <f>IFERROR(__xludf.DUMMYFUNCTION("""COMPUTED_VALUE"""),"Unlisted")</f>
        <v>Unlisted</v>
      </c>
      <c r="G251" s="174" t="str">
        <f>IFERROR(__xludf.DUMMYFUNCTION("""COMPUTED_VALUE"""),"Unlisted")</f>
        <v>Unlisted</v>
      </c>
      <c r="H251" s="174" t="str">
        <f>IFERROR(__xludf.DUMMYFUNCTION("""COMPUTED_VALUE"""),"Unlisted")</f>
        <v>Unlisted</v>
      </c>
      <c r="I251" s="174" t="str">
        <f>IFERROR(__xludf.DUMMYFUNCTION("""COMPUTED_VALUE"""),"Unlisted")</f>
        <v>Unlisted</v>
      </c>
      <c r="J251" s="174" t="str">
        <f>IFERROR(__xludf.DUMMYFUNCTION("""COMPUTED_VALUE"""),"Unlisted")</f>
        <v>Unlisted</v>
      </c>
      <c r="K251" s="174" t="str">
        <f>IFERROR(__xludf.DUMMYFUNCTION("""COMPUTED_VALUE"""),"Unlisted")</f>
        <v>Unlisted</v>
      </c>
      <c r="L251" s="174" t="str">
        <f>IFERROR(__xludf.DUMMYFUNCTION("""COMPUTED_VALUE"""),"Unlisted")</f>
        <v>Unlisted</v>
      </c>
      <c r="M251" s="174" t="str">
        <f>IFERROR(__xludf.DUMMYFUNCTION("""COMPUTED_VALUE"""),"Unlisted")</f>
        <v>Unlisted</v>
      </c>
      <c r="N251" s="174" t="str">
        <f>IFERROR(__xludf.DUMMYFUNCTION("""COMPUTED_VALUE"""),"Unlisted")</f>
        <v>Unlisted</v>
      </c>
      <c r="O251" s="174" t="str">
        <f>IFERROR(__xludf.DUMMYFUNCTION("""COMPUTED_VALUE"""),"Unlisted")</f>
        <v>Unlisted</v>
      </c>
      <c r="P251" s="174" t="str">
        <f>IFERROR(__xludf.DUMMYFUNCTION("""COMPUTED_VALUE"""),"Unlisted")</f>
        <v>Unlisted</v>
      </c>
      <c r="Q251" s="174" t="str">
        <f>IFERROR(__xludf.DUMMYFUNCTION("""COMPUTED_VALUE"""),"Unlisted")</f>
        <v>Unlisted</v>
      </c>
      <c r="R251" s="174" t="str">
        <f>IFERROR(__xludf.DUMMYFUNCTION("""COMPUTED_VALUE"""),"Unlisted")</f>
        <v>Unlisted</v>
      </c>
    </row>
    <row r="252">
      <c r="A252" s="255" t="str">
        <f>IFERROR(__xludf.DUMMYFUNCTION("""COMPUTED_VALUE"""),"Scorbunny")</f>
        <v>Scorbunny</v>
      </c>
      <c r="B252" s="174" t="str">
        <f>IFERROR(__xludf.DUMMYFUNCTION("""COMPUTED_VALUE"""),"Mastered")</f>
        <v>Mastered</v>
      </c>
      <c r="C252" s="174" t="str">
        <f>IFERROR(__xludf.DUMMYFUNCTION("""COMPUTED_VALUE"""),"Proficient")</f>
        <v>Proficient</v>
      </c>
      <c r="D252" s="174" t="str">
        <f>IFERROR(__xludf.DUMMYFUNCTION("""COMPUTED_VALUE"""),"Unlisted")</f>
        <v>Unlisted</v>
      </c>
      <c r="E252" s="174" t="str">
        <f>IFERROR(__xludf.DUMMYFUNCTION("""COMPUTED_VALUE"""),"Proficient")</f>
        <v>Proficient</v>
      </c>
      <c r="F252" s="174" t="str">
        <f>IFERROR(__xludf.DUMMYFUNCTION("""COMPUTED_VALUE"""),"Unlisted")</f>
        <v>Unlisted</v>
      </c>
      <c r="G252" s="174" t="str">
        <f>IFERROR(__xludf.DUMMYFUNCTION("""COMPUTED_VALUE"""),"Inept")</f>
        <v>Inept</v>
      </c>
      <c r="H252" s="174" t="str">
        <f>IFERROR(__xludf.DUMMYFUNCTION("""COMPUTED_VALUE"""),"Unlisted")</f>
        <v>Unlisted</v>
      </c>
      <c r="I252" s="174" t="str">
        <f>IFERROR(__xludf.DUMMYFUNCTION("""COMPUTED_VALUE"""),"Unlisted")</f>
        <v>Unlisted</v>
      </c>
      <c r="J252" s="174" t="str">
        <f>IFERROR(__xludf.DUMMYFUNCTION("""COMPUTED_VALUE"""),"Unlisted")</f>
        <v>Unlisted</v>
      </c>
      <c r="K252" s="174" t="str">
        <f>IFERROR(__xludf.DUMMYFUNCTION("""COMPUTED_VALUE"""),"Proficient")</f>
        <v>Proficient</v>
      </c>
      <c r="L252" s="174" t="str">
        <f>IFERROR(__xludf.DUMMYFUNCTION("""COMPUTED_VALUE"""),"Unlisted")</f>
        <v>Unlisted</v>
      </c>
      <c r="M252" s="174" t="str">
        <f>IFERROR(__xludf.DUMMYFUNCTION("""COMPUTED_VALUE"""),"Unlisted")</f>
        <v>Unlisted</v>
      </c>
      <c r="N252" s="174" t="str">
        <f>IFERROR(__xludf.DUMMYFUNCTION("""COMPUTED_VALUE"""),"Unlisted")</f>
        <v>Unlisted</v>
      </c>
      <c r="O252" s="174" t="str">
        <f>IFERROR(__xludf.DUMMYFUNCTION("""COMPUTED_VALUE"""),"Unlisted")</f>
        <v>Unlisted</v>
      </c>
      <c r="P252" s="174" t="str">
        <f>IFERROR(__xludf.DUMMYFUNCTION("""COMPUTED_VALUE"""),"Unlisted")</f>
        <v>Unlisted</v>
      </c>
      <c r="Q252" s="174" t="str">
        <f>IFERROR(__xludf.DUMMYFUNCTION("""COMPUTED_VALUE"""),"Unlisted")</f>
        <v>Unlisted</v>
      </c>
      <c r="R252" s="174" t="str">
        <f>IFERROR(__xludf.DUMMYFUNCTION("""COMPUTED_VALUE"""),"Unlisted")</f>
        <v>Unlisted</v>
      </c>
    </row>
    <row r="253">
      <c r="A253" s="255" t="str">
        <f>IFERROR(__xludf.DUMMYFUNCTION("""COMPUTED_VALUE"""),"Raboot")</f>
        <v>Raboot</v>
      </c>
      <c r="B253" s="174" t="str">
        <f>IFERROR(__xludf.DUMMYFUNCTION("""COMPUTED_VALUE"""),"Mastered")</f>
        <v>Mastered</v>
      </c>
      <c r="C253" s="174" t="str">
        <f>IFERROR(__xludf.DUMMYFUNCTION("""COMPUTED_VALUE"""),"Proficient")</f>
        <v>Proficient</v>
      </c>
      <c r="D253" s="174" t="str">
        <f>IFERROR(__xludf.DUMMYFUNCTION("""COMPUTED_VALUE"""),"Unlisted")</f>
        <v>Unlisted</v>
      </c>
      <c r="E253" s="174" t="str">
        <f>IFERROR(__xludf.DUMMYFUNCTION("""COMPUTED_VALUE"""),"Proficient")</f>
        <v>Proficient</v>
      </c>
      <c r="F253" s="174" t="str">
        <f>IFERROR(__xludf.DUMMYFUNCTION("""COMPUTED_VALUE"""),"Unlisted")</f>
        <v>Unlisted</v>
      </c>
      <c r="G253" s="174" t="str">
        <f>IFERROR(__xludf.DUMMYFUNCTION("""COMPUTED_VALUE"""),"Inept")</f>
        <v>Inept</v>
      </c>
      <c r="H253" s="174" t="str">
        <f>IFERROR(__xludf.DUMMYFUNCTION("""COMPUTED_VALUE"""),"Unlisted")</f>
        <v>Unlisted</v>
      </c>
      <c r="I253" s="174" t="str">
        <f>IFERROR(__xludf.DUMMYFUNCTION("""COMPUTED_VALUE"""),"Unlisted")</f>
        <v>Unlisted</v>
      </c>
      <c r="J253" s="174" t="str">
        <f>IFERROR(__xludf.DUMMYFUNCTION("""COMPUTED_VALUE"""),"Unlisted")</f>
        <v>Unlisted</v>
      </c>
      <c r="K253" s="174" t="str">
        <f>IFERROR(__xludf.DUMMYFUNCTION("""COMPUTED_VALUE"""),"Proficient")</f>
        <v>Proficient</v>
      </c>
      <c r="L253" s="174" t="str">
        <f>IFERROR(__xludf.DUMMYFUNCTION("""COMPUTED_VALUE"""),"Unlisted")</f>
        <v>Unlisted</v>
      </c>
      <c r="M253" s="174" t="str">
        <f>IFERROR(__xludf.DUMMYFUNCTION("""COMPUTED_VALUE"""),"Unlisted")</f>
        <v>Unlisted</v>
      </c>
      <c r="N253" s="174" t="str">
        <f>IFERROR(__xludf.DUMMYFUNCTION("""COMPUTED_VALUE"""),"Unlisted")</f>
        <v>Unlisted</v>
      </c>
      <c r="O253" s="174" t="str">
        <f>IFERROR(__xludf.DUMMYFUNCTION("""COMPUTED_VALUE"""),"Unlisted")</f>
        <v>Unlisted</v>
      </c>
      <c r="P253" s="174" t="str">
        <f>IFERROR(__xludf.DUMMYFUNCTION("""COMPUTED_VALUE"""),"Unlisted")</f>
        <v>Unlisted</v>
      </c>
      <c r="Q253" s="174" t="str">
        <f>IFERROR(__xludf.DUMMYFUNCTION("""COMPUTED_VALUE"""),"Unlisted")</f>
        <v>Unlisted</v>
      </c>
      <c r="R253" s="174" t="str">
        <f>IFERROR(__xludf.DUMMYFUNCTION("""COMPUTED_VALUE"""),"Unlisted")</f>
        <v>Unlisted</v>
      </c>
    </row>
    <row r="254">
      <c r="A254" s="255" t="str">
        <f>IFERROR(__xludf.DUMMYFUNCTION("""COMPUTED_VALUE"""),"Cinderace")</f>
        <v>Cinderace</v>
      </c>
      <c r="B254" s="174" t="str">
        <f>IFERROR(__xludf.DUMMYFUNCTION("""COMPUTED_VALUE"""),"Mastered")</f>
        <v>Mastered</v>
      </c>
      <c r="C254" s="174" t="str">
        <f>IFERROR(__xludf.DUMMYFUNCTION("""COMPUTED_VALUE"""),"Proficient")</f>
        <v>Proficient</v>
      </c>
      <c r="D254" s="174" t="str">
        <f>IFERROR(__xludf.DUMMYFUNCTION("""COMPUTED_VALUE"""),"Unlisted")</f>
        <v>Unlisted</v>
      </c>
      <c r="E254" s="174" t="str">
        <f>IFERROR(__xludf.DUMMYFUNCTION("""COMPUTED_VALUE"""),"Proficient")</f>
        <v>Proficient</v>
      </c>
      <c r="F254" s="174" t="str">
        <f>IFERROR(__xludf.DUMMYFUNCTION("""COMPUTED_VALUE"""),"Unlisted")</f>
        <v>Unlisted</v>
      </c>
      <c r="G254" s="174" t="str">
        <f>IFERROR(__xludf.DUMMYFUNCTION("""COMPUTED_VALUE"""),"Inept")</f>
        <v>Inept</v>
      </c>
      <c r="H254" s="174" t="str">
        <f>IFERROR(__xludf.DUMMYFUNCTION("""COMPUTED_VALUE"""),"Unlisted")</f>
        <v>Unlisted</v>
      </c>
      <c r="I254" s="174" t="str">
        <f>IFERROR(__xludf.DUMMYFUNCTION("""COMPUTED_VALUE"""),"Unlisted")</f>
        <v>Unlisted</v>
      </c>
      <c r="J254" s="174" t="str">
        <f>IFERROR(__xludf.DUMMYFUNCTION("""COMPUTED_VALUE"""),"Unlisted")</f>
        <v>Unlisted</v>
      </c>
      <c r="K254" s="174" t="str">
        <f>IFERROR(__xludf.DUMMYFUNCTION("""COMPUTED_VALUE"""),"Proficient")</f>
        <v>Proficient</v>
      </c>
      <c r="L254" s="174" t="str">
        <f>IFERROR(__xludf.DUMMYFUNCTION("""COMPUTED_VALUE"""),"Unlisted")</f>
        <v>Unlisted</v>
      </c>
      <c r="M254" s="174" t="str">
        <f>IFERROR(__xludf.DUMMYFUNCTION("""COMPUTED_VALUE"""),"Unlisted")</f>
        <v>Unlisted</v>
      </c>
      <c r="N254" s="174" t="str">
        <f>IFERROR(__xludf.DUMMYFUNCTION("""COMPUTED_VALUE"""),"Unlisted")</f>
        <v>Unlisted</v>
      </c>
      <c r="O254" s="174" t="str">
        <f>IFERROR(__xludf.DUMMYFUNCTION("""COMPUTED_VALUE"""),"Unlisted")</f>
        <v>Unlisted</v>
      </c>
      <c r="P254" s="174" t="str">
        <f>IFERROR(__xludf.DUMMYFUNCTION("""COMPUTED_VALUE"""),"Unlisted")</f>
        <v>Unlisted</v>
      </c>
      <c r="Q254" s="174" t="str">
        <f>IFERROR(__xludf.DUMMYFUNCTION("""COMPUTED_VALUE"""),"Unlisted")</f>
        <v>Unlisted</v>
      </c>
      <c r="R254" s="174" t="str">
        <f>IFERROR(__xludf.DUMMYFUNCTION("""COMPUTED_VALUE"""),"Unlisted")</f>
        <v>Unlisted</v>
      </c>
    </row>
    <row r="255">
      <c r="A255" s="255" t="str">
        <f>IFERROR(__xludf.DUMMYFUNCTION("""COMPUTED_VALUE"""),"Fuecoco")</f>
        <v>Fuecoco</v>
      </c>
      <c r="B255" s="174" t="str">
        <f>IFERROR(__xludf.DUMMYFUNCTION("""COMPUTED_VALUE"""),"Unlisted")</f>
        <v>Unlisted</v>
      </c>
      <c r="C255" s="174" t="str">
        <f>IFERROR(__xludf.DUMMYFUNCTION("""COMPUTED_VALUE"""),"Proficient")</f>
        <v>Proficient</v>
      </c>
      <c r="D255" s="174" t="str">
        <f>IFERROR(__xludf.DUMMYFUNCTION("""COMPUTED_VALUE"""),"Unlisted")</f>
        <v>Unlisted</v>
      </c>
      <c r="E255" s="174" t="str">
        <f>IFERROR(__xludf.DUMMYFUNCTION("""COMPUTED_VALUE"""),"Unlisted")</f>
        <v>Unlisted</v>
      </c>
      <c r="F255" s="174" t="str">
        <f>IFERROR(__xludf.DUMMYFUNCTION("""COMPUTED_VALUE"""),"Unlisted")</f>
        <v>Unlisted</v>
      </c>
      <c r="G255" s="174" t="str">
        <f>IFERROR(__xludf.DUMMYFUNCTION("""COMPUTED_VALUE"""),"Unlisted")</f>
        <v>Unlisted</v>
      </c>
      <c r="H255" s="174" t="str">
        <f>IFERROR(__xludf.DUMMYFUNCTION("""COMPUTED_VALUE"""),"Unlisted")</f>
        <v>Unlisted</v>
      </c>
      <c r="I255" s="174" t="str">
        <f>IFERROR(__xludf.DUMMYFUNCTION("""COMPUTED_VALUE"""),"Inept")</f>
        <v>Inept</v>
      </c>
      <c r="J255" s="174" t="str">
        <f>IFERROR(__xludf.DUMMYFUNCTION("""COMPUTED_VALUE"""),"Unlisted")</f>
        <v>Unlisted</v>
      </c>
      <c r="K255" s="174" t="str">
        <f>IFERROR(__xludf.DUMMYFUNCTION("""COMPUTED_VALUE"""),"Proficient")</f>
        <v>Proficient</v>
      </c>
      <c r="L255" s="174" t="str">
        <f>IFERROR(__xludf.DUMMYFUNCTION("""COMPUTED_VALUE"""),"Unlisted")</f>
        <v>Unlisted</v>
      </c>
      <c r="M255" s="174" t="str">
        <f>IFERROR(__xludf.DUMMYFUNCTION("""COMPUTED_VALUE"""),"Unlisted")</f>
        <v>Unlisted</v>
      </c>
      <c r="N255" s="174" t="str">
        <f>IFERROR(__xludf.DUMMYFUNCTION("""COMPUTED_VALUE"""),"Unlisted")</f>
        <v>Unlisted</v>
      </c>
      <c r="O255" s="174" t="str">
        <f>IFERROR(__xludf.DUMMYFUNCTION("""COMPUTED_VALUE"""),"Unlisted")</f>
        <v>Unlisted</v>
      </c>
      <c r="P255" s="174" t="str">
        <f>IFERROR(__xludf.DUMMYFUNCTION("""COMPUTED_VALUE"""),"Unlisted")</f>
        <v>Unlisted</v>
      </c>
      <c r="Q255" s="174" t="str">
        <f>IFERROR(__xludf.DUMMYFUNCTION("""COMPUTED_VALUE"""),"Unlisted")</f>
        <v>Unlisted</v>
      </c>
      <c r="R255" s="174" t="str">
        <f>IFERROR(__xludf.DUMMYFUNCTION("""COMPUTED_VALUE"""),"Unlisted")</f>
        <v>Unlisted</v>
      </c>
    </row>
    <row r="256">
      <c r="A256" s="255" t="str">
        <f>IFERROR(__xludf.DUMMYFUNCTION("""COMPUTED_VALUE"""),"Crocalor")</f>
        <v>Crocalor</v>
      </c>
      <c r="B256" s="174" t="str">
        <f>IFERROR(__xludf.DUMMYFUNCTION("""COMPUTED_VALUE"""),"Unlisted")</f>
        <v>Unlisted</v>
      </c>
      <c r="C256" s="174" t="str">
        <f>IFERROR(__xludf.DUMMYFUNCTION("""COMPUTED_VALUE"""),"Proficient")</f>
        <v>Proficient</v>
      </c>
      <c r="D256" s="174" t="str">
        <f>IFERROR(__xludf.DUMMYFUNCTION("""COMPUTED_VALUE"""),"Unlisted")</f>
        <v>Unlisted</v>
      </c>
      <c r="E256" s="174" t="str">
        <f>IFERROR(__xludf.DUMMYFUNCTION("""COMPUTED_VALUE"""),"Unlisted")</f>
        <v>Unlisted</v>
      </c>
      <c r="F256" s="174" t="str">
        <f>IFERROR(__xludf.DUMMYFUNCTION("""COMPUTED_VALUE"""),"Unlisted")</f>
        <v>Unlisted</v>
      </c>
      <c r="G256" s="174" t="str">
        <f>IFERROR(__xludf.DUMMYFUNCTION("""COMPUTED_VALUE"""),"Unlisted")</f>
        <v>Unlisted</v>
      </c>
      <c r="H256" s="174" t="str">
        <f>IFERROR(__xludf.DUMMYFUNCTION("""COMPUTED_VALUE"""),"Unlisted")</f>
        <v>Unlisted</v>
      </c>
      <c r="I256" s="174" t="str">
        <f>IFERROR(__xludf.DUMMYFUNCTION("""COMPUTED_VALUE"""),"Inept")</f>
        <v>Inept</v>
      </c>
      <c r="J256" s="174" t="str">
        <f>IFERROR(__xludf.DUMMYFUNCTION("""COMPUTED_VALUE"""),"Unlisted")</f>
        <v>Unlisted</v>
      </c>
      <c r="K256" s="174" t="str">
        <f>IFERROR(__xludf.DUMMYFUNCTION("""COMPUTED_VALUE"""),"Proficient")</f>
        <v>Proficient</v>
      </c>
      <c r="L256" s="174" t="str">
        <f>IFERROR(__xludf.DUMMYFUNCTION("""COMPUTED_VALUE"""),"Unlisted")</f>
        <v>Unlisted</v>
      </c>
      <c r="M256" s="174" t="str">
        <f>IFERROR(__xludf.DUMMYFUNCTION("""COMPUTED_VALUE"""),"Unlisted")</f>
        <v>Unlisted</v>
      </c>
      <c r="N256" s="174" t="str">
        <f>IFERROR(__xludf.DUMMYFUNCTION("""COMPUTED_VALUE"""),"Unlisted")</f>
        <v>Unlisted</v>
      </c>
      <c r="O256" s="174" t="str">
        <f>IFERROR(__xludf.DUMMYFUNCTION("""COMPUTED_VALUE"""),"Unlisted")</f>
        <v>Unlisted</v>
      </c>
      <c r="P256" s="174" t="str">
        <f>IFERROR(__xludf.DUMMYFUNCTION("""COMPUTED_VALUE"""),"Unlisted")</f>
        <v>Unlisted</v>
      </c>
      <c r="Q256" s="174" t="str">
        <f>IFERROR(__xludf.DUMMYFUNCTION("""COMPUTED_VALUE"""),"Unlisted")</f>
        <v>Unlisted</v>
      </c>
      <c r="R256" s="174" t="str">
        <f>IFERROR(__xludf.DUMMYFUNCTION("""COMPUTED_VALUE"""),"Unlisted")</f>
        <v>Unlisted</v>
      </c>
    </row>
    <row r="257">
      <c r="A257" s="255" t="str">
        <f>IFERROR(__xludf.DUMMYFUNCTION("""COMPUTED_VALUE"""),"Skeledirge")</f>
        <v>Skeledirge</v>
      </c>
      <c r="B257" s="174" t="str">
        <f>IFERROR(__xludf.DUMMYFUNCTION("""COMPUTED_VALUE"""),"Unlisted")</f>
        <v>Unlisted</v>
      </c>
      <c r="C257" s="174" t="str">
        <f>IFERROR(__xludf.DUMMYFUNCTION("""COMPUTED_VALUE"""),"Proficient")</f>
        <v>Proficient</v>
      </c>
      <c r="D257" s="174" t="str">
        <f>IFERROR(__xludf.DUMMYFUNCTION("""COMPUTED_VALUE"""),"Unlisted")</f>
        <v>Unlisted</v>
      </c>
      <c r="E257" s="174" t="str">
        <f>IFERROR(__xludf.DUMMYFUNCTION("""COMPUTED_VALUE"""),"Proficient")</f>
        <v>Proficient</v>
      </c>
      <c r="F257" s="174" t="str">
        <f>IFERROR(__xludf.DUMMYFUNCTION("""COMPUTED_VALUE"""),"Unlisted")</f>
        <v>Unlisted</v>
      </c>
      <c r="G257" s="174" t="str">
        <f>IFERROR(__xludf.DUMMYFUNCTION("""COMPUTED_VALUE"""),"Unlisted")</f>
        <v>Unlisted</v>
      </c>
      <c r="H257" s="174" t="str">
        <f>IFERROR(__xludf.DUMMYFUNCTION("""COMPUTED_VALUE"""),"Unlisted")</f>
        <v>Unlisted</v>
      </c>
      <c r="I257" s="174" t="str">
        <f>IFERROR(__xludf.DUMMYFUNCTION("""COMPUTED_VALUE"""),"Inept")</f>
        <v>Inept</v>
      </c>
      <c r="J257" s="174" t="str">
        <f>IFERROR(__xludf.DUMMYFUNCTION("""COMPUTED_VALUE"""),"Unlisted")</f>
        <v>Unlisted</v>
      </c>
      <c r="K257" s="174" t="str">
        <f>IFERROR(__xludf.DUMMYFUNCTION("""COMPUTED_VALUE"""),"Proficient")</f>
        <v>Proficient</v>
      </c>
      <c r="L257" s="174" t="str">
        <f>IFERROR(__xludf.DUMMYFUNCTION("""COMPUTED_VALUE"""),"Unlisted")</f>
        <v>Unlisted</v>
      </c>
      <c r="M257" s="174" t="str">
        <f>IFERROR(__xludf.DUMMYFUNCTION("""COMPUTED_VALUE"""),"Unlisted")</f>
        <v>Unlisted</v>
      </c>
      <c r="N257" s="174" t="str">
        <f>IFERROR(__xludf.DUMMYFUNCTION("""COMPUTED_VALUE"""),"Unlisted")</f>
        <v>Unlisted</v>
      </c>
      <c r="O257" s="174" t="str">
        <f>IFERROR(__xludf.DUMMYFUNCTION("""COMPUTED_VALUE"""),"Unlisted")</f>
        <v>Unlisted</v>
      </c>
      <c r="P257" s="174" t="str">
        <f>IFERROR(__xludf.DUMMYFUNCTION("""COMPUTED_VALUE"""),"Unlisted")</f>
        <v>Unlisted</v>
      </c>
      <c r="Q257" s="174" t="str">
        <f>IFERROR(__xludf.DUMMYFUNCTION("""COMPUTED_VALUE"""),"Unlisted")</f>
        <v>Unlisted</v>
      </c>
      <c r="R257" s="174" t="str">
        <f>IFERROR(__xludf.DUMMYFUNCTION("""COMPUTED_VALUE"""),"Unlisted")</f>
        <v>Unlisted</v>
      </c>
    </row>
    <row r="258">
      <c r="A258" s="255" t="str">
        <f>IFERROR(__xludf.DUMMYFUNCTION("""COMPUTED_VALUE"""),"Squirtle")</f>
        <v>Squirtle</v>
      </c>
      <c r="B258" s="174" t="str">
        <f>IFERROR(__xludf.DUMMYFUNCTION("""COMPUTED_VALUE"""),"Unlisted")</f>
        <v>Unlisted</v>
      </c>
      <c r="C258" s="174" t="str">
        <f>IFERROR(__xludf.DUMMYFUNCTION("""COMPUTED_VALUE"""),"Proficient")</f>
        <v>Proficient</v>
      </c>
      <c r="D258" s="174" t="str">
        <f>IFERROR(__xludf.DUMMYFUNCTION("""COMPUTED_VALUE"""),"Unlisted")</f>
        <v>Unlisted</v>
      </c>
      <c r="E258" s="174" t="str">
        <f>IFERROR(__xludf.DUMMYFUNCTION("""COMPUTED_VALUE"""),"Proficient")</f>
        <v>Proficient</v>
      </c>
      <c r="F258" s="174" t="str">
        <f>IFERROR(__xludf.DUMMYFUNCTION("""COMPUTED_VALUE"""),"Proficient")</f>
        <v>Proficient</v>
      </c>
      <c r="G258" s="174" t="str">
        <f>IFERROR(__xludf.DUMMYFUNCTION("""COMPUTED_VALUE"""),"Unlisted")</f>
        <v>Unlisted</v>
      </c>
      <c r="H258" s="174" t="str">
        <f>IFERROR(__xludf.DUMMYFUNCTION("""COMPUTED_VALUE"""),"Unlisted")</f>
        <v>Unlisted</v>
      </c>
      <c r="I258" s="174" t="str">
        <f>IFERROR(__xludf.DUMMYFUNCTION("""COMPUTED_VALUE"""),"Unlisted")</f>
        <v>Unlisted</v>
      </c>
      <c r="J258" s="174" t="str">
        <f>IFERROR(__xludf.DUMMYFUNCTION("""COMPUTED_VALUE"""),"Unlisted")</f>
        <v>Unlisted</v>
      </c>
      <c r="K258" s="174" t="str">
        <f>IFERROR(__xludf.DUMMYFUNCTION("""COMPUTED_VALUE"""),"Unlisted")</f>
        <v>Unlisted</v>
      </c>
      <c r="L258" s="174" t="str">
        <f>IFERROR(__xludf.DUMMYFUNCTION("""COMPUTED_VALUE"""),"Unlisted")</f>
        <v>Unlisted</v>
      </c>
      <c r="M258" s="174" t="str">
        <f>IFERROR(__xludf.DUMMYFUNCTION("""COMPUTED_VALUE"""),"Unlisted")</f>
        <v>Unlisted</v>
      </c>
      <c r="N258" s="174" t="str">
        <f>IFERROR(__xludf.DUMMYFUNCTION("""COMPUTED_VALUE"""),"Unlisted")</f>
        <v>Unlisted</v>
      </c>
      <c r="O258" s="174" t="str">
        <f>IFERROR(__xludf.DUMMYFUNCTION("""COMPUTED_VALUE"""),"Unlisted")</f>
        <v>Unlisted</v>
      </c>
      <c r="P258" s="174" t="str">
        <f>IFERROR(__xludf.DUMMYFUNCTION("""COMPUTED_VALUE"""),"Unlisted")</f>
        <v>Unlisted</v>
      </c>
      <c r="Q258" s="174" t="str">
        <f>IFERROR(__xludf.DUMMYFUNCTION("""COMPUTED_VALUE"""),"Unlisted")</f>
        <v>Unlisted</v>
      </c>
      <c r="R258" s="174" t="str">
        <f>IFERROR(__xludf.DUMMYFUNCTION("""COMPUTED_VALUE"""),"Unlisted")</f>
        <v>Unlisted</v>
      </c>
    </row>
    <row r="259">
      <c r="A259" s="255" t="str">
        <f>IFERROR(__xludf.DUMMYFUNCTION("""COMPUTED_VALUE"""),"Wartortle")</f>
        <v>Wartortle</v>
      </c>
      <c r="B259" s="174" t="str">
        <f>IFERROR(__xludf.DUMMYFUNCTION("""COMPUTED_VALUE"""),"Unlisted")</f>
        <v>Unlisted</v>
      </c>
      <c r="C259" s="174" t="str">
        <f>IFERROR(__xludf.DUMMYFUNCTION("""COMPUTED_VALUE"""),"Proficient")</f>
        <v>Proficient</v>
      </c>
      <c r="D259" s="174" t="str">
        <f>IFERROR(__xludf.DUMMYFUNCTION("""COMPUTED_VALUE"""),"Unlisted")</f>
        <v>Unlisted</v>
      </c>
      <c r="E259" s="174" t="str">
        <f>IFERROR(__xludf.DUMMYFUNCTION("""COMPUTED_VALUE"""),"Proficient")</f>
        <v>Proficient</v>
      </c>
      <c r="F259" s="174" t="str">
        <f>IFERROR(__xludf.DUMMYFUNCTION("""COMPUTED_VALUE"""),"Proficient")</f>
        <v>Proficient</v>
      </c>
      <c r="G259" s="174" t="str">
        <f>IFERROR(__xludf.DUMMYFUNCTION("""COMPUTED_VALUE"""),"Unlisted")</f>
        <v>Unlisted</v>
      </c>
      <c r="H259" s="174" t="str">
        <f>IFERROR(__xludf.DUMMYFUNCTION("""COMPUTED_VALUE"""),"Unlisted")</f>
        <v>Unlisted</v>
      </c>
      <c r="I259" s="174" t="str">
        <f>IFERROR(__xludf.DUMMYFUNCTION("""COMPUTED_VALUE"""),"Unlisted")</f>
        <v>Unlisted</v>
      </c>
      <c r="J259" s="174" t="str">
        <f>IFERROR(__xludf.DUMMYFUNCTION("""COMPUTED_VALUE"""),"Unlisted")</f>
        <v>Unlisted</v>
      </c>
      <c r="K259" s="174" t="str">
        <f>IFERROR(__xludf.DUMMYFUNCTION("""COMPUTED_VALUE"""),"Unlisted")</f>
        <v>Unlisted</v>
      </c>
      <c r="L259" s="174" t="str">
        <f>IFERROR(__xludf.DUMMYFUNCTION("""COMPUTED_VALUE"""),"Unlisted")</f>
        <v>Unlisted</v>
      </c>
      <c r="M259" s="174" t="str">
        <f>IFERROR(__xludf.DUMMYFUNCTION("""COMPUTED_VALUE"""),"Unlisted")</f>
        <v>Unlisted</v>
      </c>
      <c r="N259" s="174" t="str">
        <f>IFERROR(__xludf.DUMMYFUNCTION("""COMPUTED_VALUE"""),"Unlisted")</f>
        <v>Unlisted</v>
      </c>
      <c r="O259" s="174" t="str">
        <f>IFERROR(__xludf.DUMMYFUNCTION("""COMPUTED_VALUE"""),"Unlisted")</f>
        <v>Unlisted</v>
      </c>
      <c r="P259" s="174" t="str">
        <f>IFERROR(__xludf.DUMMYFUNCTION("""COMPUTED_VALUE"""),"Unlisted")</f>
        <v>Unlisted</v>
      </c>
      <c r="Q259" s="174" t="str">
        <f>IFERROR(__xludf.DUMMYFUNCTION("""COMPUTED_VALUE"""),"Unlisted")</f>
        <v>Unlisted</v>
      </c>
      <c r="R259" s="174" t="str">
        <f>IFERROR(__xludf.DUMMYFUNCTION("""COMPUTED_VALUE"""),"Unlisted")</f>
        <v>Unlisted</v>
      </c>
    </row>
    <row r="260">
      <c r="A260" s="255" t="str">
        <f>IFERROR(__xludf.DUMMYFUNCTION("""COMPUTED_VALUE"""),"Blastoise")</f>
        <v>Blastoise</v>
      </c>
      <c r="B260" s="174" t="str">
        <f>IFERROR(__xludf.DUMMYFUNCTION("""COMPUTED_VALUE"""),"Inept")</f>
        <v>Inept</v>
      </c>
      <c r="C260" s="174" t="str">
        <f>IFERROR(__xludf.DUMMYFUNCTION("""COMPUTED_VALUE"""),"Proficient")</f>
        <v>Proficient</v>
      </c>
      <c r="D260" s="174" t="str">
        <f>IFERROR(__xludf.DUMMYFUNCTION("""COMPUTED_VALUE"""),"Unlisted")</f>
        <v>Unlisted</v>
      </c>
      <c r="E260" s="174" t="str">
        <f>IFERROR(__xludf.DUMMYFUNCTION("""COMPUTED_VALUE"""),"Proficient")</f>
        <v>Proficient</v>
      </c>
      <c r="F260" s="174" t="str">
        <f>IFERROR(__xludf.DUMMYFUNCTION("""COMPUTED_VALUE"""),"Unlisted")</f>
        <v>Unlisted</v>
      </c>
      <c r="G260" s="174" t="str">
        <f>IFERROR(__xludf.DUMMYFUNCTION("""COMPUTED_VALUE"""),"Proficient")</f>
        <v>Proficient</v>
      </c>
      <c r="H260" s="174" t="str">
        <f>IFERROR(__xludf.DUMMYFUNCTION("""COMPUTED_VALUE"""),"Unlisted")</f>
        <v>Unlisted</v>
      </c>
      <c r="I260" s="174" t="str">
        <f>IFERROR(__xludf.DUMMYFUNCTION("""COMPUTED_VALUE"""),"Unlisted")</f>
        <v>Unlisted</v>
      </c>
      <c r="J260" s="174" t="str">
        <f>IFERROR(__xludf.DUMMYFUNCTION("""COMPUTED_VALUE"""),"Unlisted")</f>
        <v>Unlisted</v>
      </c>
      <c r="K260" s="174" t="str">
        <f>IFERROR(__xludf.DUMMYFUNCTION("""COMPUTED_VALUE"""),"Unlisted")</f>
        <v>Unlisted</v>
      </c>
      <c r="L260" s="174" t="str">
        <f>IFERROR(__xludf.DUMMYFUNCTION("""COMPUTED_VALUE"""),"Unlisted")</f>
        <v>Unlisted</v>
      </c>
      <c r="M260" s="174" t="str">
        <f>IFERROR(__xludf.DUMMYFUNCTION("""COMPUTED_VALUE"""),"Unlisted")</f>
        <v>Unlisted</v>
      </c>
      <c r="N260" s="174" t="str">
        <f>IFERROR(__xludf.DUMMYFUNCTION("""COMPUTED_VALUE"""),"Unlisted")</f>
        <v>Unlisted</v>
      </c>
      <c r="O260" s="174" t="str">
        <f>IFERROR(__xludf.DUMMYFUNCTION("""COMPUTED_VALUE"""),"Proficient")</f>
        <v>Proficient</v>
      </c>
      <c r="P260" s="174" t="str">
        <f>IFERROR(__xludf.DUMMYFUNCTION("""COMPUTED_VALUE"""),"Unlisted")</f>
        <v>Unlisted</v>
      </c>
      <c r="Q260" s="174" t="str">
        <f>IFERROR(__xludf.DUMMYFUNCTION("""COMPUTED_VALUE"""),"Unlisted")</f>
        <v>Unlisted</v>
      </c>
      <c r="R260" s="174" t="str">
        <f>IFERROR(__xludf.DUMMYFUNCTION("""COMPUTED_VALUE"""),"Unlisted")</f>
        <v>Unlisted</v>
      </c>
    </row>
    <row r="261">
      <c r="A261" s="255" t="str">
        <f>IFERROR(__xludf.DUMMYFUNCTION("""COMPUTED_VALUE"""),"Totodile")</f>
        <v>Totodile</v>
      </c>
      <c r="B261" s="174" t="str">
        <f>IFERROR(__xludf.DUMMYFUNCTION("""COMPUTED_VALUE"""),"Unlisted")</f>
        <v>Unlisted</v>
      </c>
      <c r="C261" s="174" t="str">
        <f>IFERROR(__xludf.DUMMYFUNCTION("""COMPUTED_VALUE"""),"Proficient")</f>
        <v>Proficient</v>
      </c>
      <c r="D261" s="174" t="str">
        <f>IFERROR(__xludf.DUMMYFUNCTION("""COMPUTED_VALUE"""),"Proficient")</f>
        <v>Proficient</v>
      </c>
      <c r="E261" s="174" t="str">
        <f>IFERROR(__xludf.DUMMYFUNCTION("""COMPUTED_VALUE"""),"Mastered")</f>
        <v>Mastered</v>
      </c>
      <c r="F261" s="174" t="str">
        <f>IFERROR(__xludf.DUMMYFUNCTION("""COMPUTED_VALUE"""),"Unlisted")</f>
        <v>Unlisted</v>
      </c>
      <c r="G261" s="174" t="str">
        <f>IFERROR(__xludf.DUMMYFUNCTION("""COMPUTED_VALUE"""),"Inept")</f>
        <v>Inept</v>
      </c>
      <c r="H261" s="174" t="str">
        <f>IFERROR(__xludf.DUMMYFUNCTION("""COMPUTED_VALUE"""),"Unlisted")</f>
        <v>Unlisted</v>
      </c>
      <c r="I261" s="174" t="str">
        <f>IFERROR(__xludf.DUMMYFUNCTION("""COMPUTED_VALUE"""),"Unlisted")</f>
        <v>Unlisted</v>
      </c>
      <c r="J261" s="174" t="str">
        <f>IFERROR(__xludf.DUMMYFUNCTION("""COMPUTED_VALUE"""),"Unlisted")</f>
        <v>Unlisted</v>
      </c>
      <c r="K261" s="174" t="str">
        <f>IFERROR(__xludf.DUMMYFUNCTION("""COMPUTED_VALUE"""),"Unlisted")</f>
        <v>Unlisted</v>
      </c>
      <c r="L261" s="174" t="str">
        <f>IFERROR(__xludf.DUMMYFUNCTION("""COMPUTED_VALUE"""),"Proficient")</f>
        <v>Proficient</v>
      </c>
      <c r="M261" s="174" t="str">
        <f>IFERROR(__xludf.DUMMYFUNCTION("""COMPUTED_VALUE"""),"Unlisted")</f>
        <v>Unlisted</v>
      </c>
      <c r="N261" s="174" t="str">
        <f>IFERROR(__xludf.DUMMYFUNCTION("""COMPUTED_VALUE"""),"Unlisted")</f>
        <v>Unlisted</v>
      </c>
      <c r="O261" s="174" t="str">
        <f>IFERROR(__xludf.DUMMYFUNCTION("""COMPUTED_VALUE"""),"Unlisted")</f>
        <v>Unlisted</v>
      </c>
      <c r="P261" s="174" t="str">
        <f>IFERROR(__xludf.DUMMYFUNCTION("""COMPUTED_VALUE"""),"Unlisted")</f>
        <v>Unlisted</v>
      </c>
      <c r="Q261" s="174" t="str">
        <f>IFERROR(__xludf.DUMMYFUNCTION("""COMPUTED_VALUE"""),"Unlisted")</f>
        <v>Unlisted</v>
      </c>
      <c r="R261" s="174" t="str">
        <f>IFERROR(__xludf.DUMMYFUNCTION("""COMPUTED_VALUE"""),"Unlisted")</f>
        <v>Unlisted</v>
      </c>
    </row>
    <row r="262">
      <c r="A262" s="255" t="str">
        <f>IFERROR(__xludf.DUMMYFUNCTION("""COMPUTED_VALUE"""),"Croconaw")</f>
        <v>Croconaw</v>
      </c>
      <c r="B262" s="174" t="str">
        <f>IFERROR(__xludf.DUMMYFUNCTION("""COMPUTED_VALUE"""),"Unlisted")</f>
        <v>Unlisted</v>
      </c>
      <c r="C262" s="174" t="str">
        <f>IFERROR(__xludf.DUMMYFUNCTION("""COMPUTED_VALUE"""),"Proficient")</f>
        <v>Proficient</v>
      </c>
      <c r="D262" s="174" t="str">
        <f>IFERROR(__xludf.DUMMYFUNCTION("""COMPUTED_VALUE"""),"Unlisted")</f>
        <v>Unlisted</v>
      </c>
      <c r="E262" s="174" t="str">
        <f>IFERROR(__xludf.DUMMYFUNCTION("""COMPUTED_VALUE"""),"Mastered")</f>
        <v>Mastered</v>
      </c>
      <c r="F262" s="174" t="str">
        <f>IFERROR(__xludf.DUMMYFUNCTION("""COMPUTED_VALUE"""),"Unlisted")</f>
        <v>Unlisted</v>
      </c>
      <c r="G262" s="174" t="str">
        <f>IFERROR(__xludf.DUMMYFUNCTION("""COMPUTED_VALUE"""),"Inept")</f>
        <v>Inept</v>
      </c>
      <c r="H262" s="174" t="str">
        <f>IFERROR(__xludf.DUMMYFUNCTION("""COMPUTED_VALUE"""),"Unlisted")</f>
        <v>Unlisted</v>
      </c>
      <c r="I262" s="174" t="str">
        <f>IFERROR(__xludf.DUMMYFUNCTION("""COMPUTED_VALUE"""),"Proficient")</f>
        <v>Proficient</v>
      </c>
      <c r="J262" s="174" t="str">
        <f>IFERROR(__xludf.DUMMYFUNCTION("""COMPUTED_VALUE"""),"Unlisted")</f>
        <v>Unlisted</v>
      </c>
      <c r="K262" s="174" t="str">
        <f>IFERROR(__xludf.DUMMYFUNCTION("""COMPUTED_VALUE"""),"Unlisted")</f>
        <v>Unlisted</v>
      </c>
      <c r="L262" s="174" t="str">
        <f>IFERROR(__xludf.DUMMYFUNCTION("""COMPUTED_VALUE"""),"Proficient")</f>
        <v>Proficient</v>
      </c>
      <c r="M262" s="174" t="str">
        <f>IFERROR(__xludf.DUMMYFUNCTION("""COMPUTED_VALUE"""),"Unlisted")</f>
        <v>Unlisted</v>
      </c>
      <c r="N262" s="174" t="str">
        <f>IFERROR(__xludf.DUMMYFUNCTION("""COMPUTED_VALUE"""),"Unlisted")</f>
        <v>Unlisted</v>
      </c>
      <c r="O262" s="174" t="str">
        <f>IFERROR(__xludf.DUMMYFUNCTION("""COMPUTED_VALUE"""),"Unlisted")</f>
        <v>Unlisted</v>
      </c>
      <c r="P262" s="174" t="str">
        <f>IFERROR(__xludf.DUMMYFUNCTION("""COMPUTED_VALUE"""),"Unlisted")</f>
        <v>Unlisted</v>
      </c>
      <c r="Q262" s="174" t="str">
        <f>IFERROR(__xludf.DUMMYFUNCTION("""COMPUTED_VALUE"""),"Unlisted")</f>
        <v>Unlisted</v>
      </c>
      <c r="R262" s="174" t="str">
        <f>IFERROR(__xludf.DUMMYFUNCTION("""COMPUTED_VALUE"""),"Unlisted")</f>
        <v>Unlisted</v>
      </c>
    </row>
    <row r="263">
      <c r="A263" s="255" t="str">
        <f>IFERROR(__xludf.DUMMYFUNCTION("""COMPUTED_VALUE"""),"Feraligatr")</f>
        <v>Feraligatr</v>
      </c>
      <c r="B263" s="174" t="str">
        <f>IFERROR(__xludf.DUMMYFUNCTION("""COMPUTED_VALUE"""),"Unlisted")</f>
        <v>Unlisted</v>
      </c>
      <c r="C263" s="174" t="str">
        <f>IFERROR(__xludf.DUMMYFUNCTION("""COMPUTED_VALUE"""),"Proficient")</f>
        <v>Proficient</v>
      </c>
      <c r="D263" s="174" t="str">
        <f>IFERROR(__xludf.DUMMYFUNCTION("""COMPUTED_VALUE"""),"Unlisted")</f>
        <v>Unlisted</v>
      </c>
      <c r="E263" s="174" t="str">
        <f>IFERROR(__xludf.DUMMYFUNCTION("""COMPUTED_VALUE"""),"Mastered")</f>
        <v>Mastered</v>
      </c>
      <c r="F263" s="174" t="str">
        <f>IFERROR(__xludf.DUMMYFUNCTION("""COMPUTED_VALUE"""),"Unlisted")</f>
        <v>Unlisted</v>
      </c>
      <c r="G263" s="174" t="str">
        <f>IFERROR(__xludf.DUMMYFUNCTION("""COMPUTED_VALUE"""),"Inept")</f>
        <v>Inept</v>
      </c>
      <c r="H263" s="174" t="str">
        <f>IFERROR(__xludf.DUMMYFUNCTION("""COMPUTED_VALUE"""),"Unlisted")</f>
        <v>Unlisted</v>
      </c>
      <c r="I263" s="174" t="str">
        <f>IFERROR(__xludf.DUMMYFUNCTION("""COMPUTED_VALUE"""),"Proficient")</f>
        <v>Proficient</v>
      </c>
      <c r="J263" s="174" t="str">
        <f>IFERROR(__xludf.DUMMYFUNCTION("""COMPUTED_VALUE"""),"Unlisted")</f>
        <v>Unlisted</v>
      </c>
      <c r="K263" s="174" t="str">
        <f>IFERROR(__xludf.DUMMYFUNCTION("""COMPUTED_VALUE"""),"Unlisted")</f>
        <v>Unlisted</v>
      </c>
      <c r="L263" s="174" t="str">
        <f>IFERROR(__xludf.DUMMYFUNCTION("""COMPUTED_VALUE"""),"Proficient")</f>
        <v>Proficient</v>
      </c>
      <c r="M263" s="174" t="str">
        <f>IFERROR(__xludf.DUMMYFUNCTION("""COMPUTED_VALUE"""),"Unlisted")</f>
        <v>Unlisted</v>
      </c>
      <c r="N263" s="174" t="str">
        <f>IFERROR(__xludf.DUMMYFUNCTION("""COMPUTED_VALUE"""),"Unlisted")</f>
        <v>Unlisted</v>
      </c>
      <c r="O263" s="174" t="str">
        <f>IFERROR(__xludf.DUMMYFUNCTION("""COMPUTED_VALUE"""),"Unlisted")</f>
        <v>Unlisted</v>
      </c>
      <c r="P263" s="174" t="str">
        <f>IFERROR(__xludf.DUMMYFUNCTION("""COMPUTED_VALUE"""),"Unlisted")</f>
        <v>Unlisted</v>
      </c>
      <c r="Q263" s="174" t="str">
        <f>IFERROR(__xludf.DUMMYFUNCTION("""COMPUTED_VALUE"""),"Unlisted")</f>
        <v>Unlisted</v>
      </c>
      <c r="R263" s="174" t="str">
        <f>IFERROR(__xludf.DUMMYFUNCTION("""COMPUTED_VALUE"""),"Unlisted")</f>
        <v>Unlisted</v>
      </c>
    </row>
    <row r="264">
      <c r="A264" s="255" t="str">
        <f>IFERROR(__xludf.DUMMYFUNCTION("""COMPUTED_VALUE"""),"Mudkip")</f>
        <v>Mudkip</v>
      </c>
      <c r="B264" s="174" t="str">
        <f>IFERROR(__xludf.DUMMYFUNCTION("""COMPUTED_VALUE"""),"Proficient")</f>
        <v>Proficient</v>
      </c>
      <c r="C264" s="174" t="str">
        <f>IFERROR(__xludf.DUMMYFUNCTION("""COMPUTED_VALUE"""),"Unlisted")</f>
        <v>Unlisted</v>
      </c>
      <c r="D264" s="174" t="str">
        <f>IFERROR(__xludf.DUMMYFUNCTION("""COMPUTED_VALUE"""),"Unlisted")</f>
        <v>Unlisted</v>
      </c>
      <c r="E264" s="174" t="str">
        <f>IFERROR(__xludf.DUMMYFUNCTION("""COMPUTED_VALUE"""),"Unlisted")</f>
        <v>Unlisted</v>
      </c>
      <c r="F264" s="174" t="str">
        <f>IFERROR(__xludf.DUMMYFUNCTION("""COMPUTED_VALUE"""),"Unlisted")</f>
        <v>Unlisted</v>
      </c>
      <c r="G264" s="174" t="str">
        <f>IFERROR(__xludf.DUMMYFUNCTION("""COMPUTED_VALUE"""),"Unlisted")</f>
        <v>Unlisted</v>
      </c>
      <c r="H264" s="174" t="str">
        <f>IFERROR(__xludf.DUMMYFUNCTION("""COMPUTED_VALUE"""),"Unlisted")</f>
        <v>Unlisted</v>
      </c>
      <c r="I264" s="174" t="str">
        <f>IFERROR(__xludf.DUMMYFUNCTION("""COMPUTED_VALUE"""),"Unlisted")</f>
        <v>Unlisted</v>
      </c>
      <c r="J264" s="174" t="str">
        <f>IFERROR(__xludf.DUMMYFUNCTION("""COMPUTED_VALUE"""),"Unlisted")</f>
        <v>Unlisted</v>
      </c>
      <c r="K264" s="174" t="str">
        <f>IFERROR(__xludf.DUMMYFUNCTION("""COMPUTED_VALUE"""),"Unlisted")</f>
        <v>Unlisted</v>
      </c>
      <c r="L264" s="174" t="str">
        <f>IFERROR(__xludf.DUMMYFUNCTION("""COMPUTED_VALUE"""),"Proficient")</f>
        <v>Proficient</v>
      </c>
      <c r="M264" s="174" t="str">
        <f>IFERROR(__xludf.DUMMYFUNCTION("""COMPUTED_VALUE"""),"Unlisted")</f>
        <v>Unlisted</v>
      </c>
      <c r="N264" s="174" t="str">
        <f>IFERROR(__xludf.DUMMYFUNCTION("""COMPUTED_VALUE"""),"Unlisted")</f>
        <v>Unlisted</v>
      </c>
      <c r="O264" s="174" t="str">
        <f>IFERROR(__xludf.DUMMYFUNCTION("""COMPUTED_VALUE"""),"Unlisted")</f>
        <v>Unlisted</v>
      </c>
      <c r="P264" s="174" t="str">
        <f>IFERROR(__xludf.DUMMYFUNCTION("""COMPUTED_VALUE"""),"Unlisted")</f>
        <v>Unlisted</v>
      </c>
      <c r="Q264" s="174" t="str">
        <f>IFERROR(__xludf.DUMMYFUNCTION("""COMPUTED_VALUE"""),"Unlisted")</f>
        <v>Unlisted</v>
      </c>
      <c r="R264" s="174" t="str">
        <f>IFERROR(__xludf.DUMMYFUNCTION("""COMPUTED_VALUE"""),"Unlisted")</f>
        <v>Unlisted</v>
      </c>
    </row>
    <row r="265">
      <c r="A265" s="255" t="str">
        <f>IFERROR(__xludf.DUMMYFUNCTION("""COMPUTED_VALUE"""),"Marshtomp")</f>
        <v>Marshtomp</v>
      </c>
      <c r="B265" s="174" t="str">
        <f>IFERROR(__xludf.DUMMYFUNCTION("""COMPUTED_VALUE"""),"Unlisted")</f>
        <v>Unlisted</v>
      </c>
      <c r="C265" s="174" t="str">
        <f>IFERROR(__xludf.DUMMYFUNCTION("""COMPUTED_VALUE"""),"Mastered")</f>
        <v>Mastered</v>
      </c>
      <c r="D265" s="174" t="str">
        <f>IFERROR(__xludf.DUMMYFUNCTION("""COMPUTED_VALUE"""),"Unlisted")</f>
        <v>Unlisted</v>
      </c>
      <c r="E265" s="174" t="str">
        <f>IFERROR(__xludf.DUMMYFUNCTION("""COMPUTED_VALUE"""),"Proficient")</f>
        <v>Proficient</v>
      </c>
      <c r="F265" s="174" t="str">
        <f>IFERROR(__xludf.DUMMYFUNCTION("""COMPUTED_VALUE"""),"Unlisted")</f>
        <v>Unlisted</v>
      </c>
      <c r="G265" s="174" t="str">
        <f>IFERROR(__xludf.DUMMYFUNCTION("""COMPUTED_VALUE"""),"Proficient")</f>
        <v>Proficient</v>
      </c>
      <c r="H265" s="174" t="str">
        <f>IFERROR(__xludf.DUMMYFUNCTION("""COMPUTED_VALUE"""),"Unlisted")</f>
        <v>Unlisted</v>
      </c>
      <c r="I265" s="174" t="str">
        <f>IFERROR(__xludf.DUMMYFUNCTION("""COMPUTED_VALUE"""),"Unlisted")</f>
        <v>Unlisted</v>
      </c>
      <c r="J265" s="174" t="str">
        <f>IFERROR(__xludf.DUMMYFUNCTION("""COMPUTED_VALUE"""),"Unlisted")</f>
        <v>Unlisted</v>
      </c>
      <c r="K265" s="174" t="str">
        <f>IFERROR(__xludf.DUMMYFUNCTION("""COMPUTED_VALUE"""),"Unlisted")</f>
        <v>Unlisted</v>
      </c>
      <c r="L265" s="174" t="str">
        <f>IFERROR(__xludf.DUMMYFUNCTION("""COMPUTED_VALUE"""),"Unlisted")</f>
        <v>Unlisted</v>
      </c>
      <c r="M265" s="174" t="str">
        <f>IFERROR(__xludf.DUMMYFUNCTION("""COMPUTED_VALUE"""),"Unlisted")</f>
        <v>Unlisted</v>
      </c>
      <c r="N265" s="174" t="str">
        <f>IFERROR(__xludf.DUMMYFUNCTION("""COMPUTED_VALUE"""),"Unlisted")</f>
        <v>Unlisted</v>
      </c>
      <c r="O265" s="174" t="str">
        <f>IFERROR(__xludf.DUMMYFUNCTION("""COMPUTED_VALUE"""),"Unlisted")</f>
        <v>Unlisted</v>
      </c>
      <c r="P265" s="174" t="str">
        <f>IFERROR(__xludf.DUMMYFUNCTION("""COMPUTED_VALUE"""),"Unlisted")</f>
        <v>Unlisted</v>
      </c>
      <c r="Q265" s="174" t="str">
        <f>IFERROR(__xludf.DUMMYFUNCTION("""COMPUTED_VALUE"""),"Unlisted")</f>
        <v>Unlisted</v>
      </c>
      <c r="R265" s="174" t="str">
        <f>IFERROR(__xludf.DUMMYFUNCTION("""COMPUTED_VALUE"""),"Unlisted")</f>
        <v>Unlisted</v>
      </c>
    </row>
    <row r="266">
      <c r="A266" s="255" t="str">
        <f>IFERROR(__xludf.DUMMYFUNCTION("""COMPUTED_VALUE"""),"Swampert")</f>
        <v>Swampert</v>
      </c>
      <c r="B266" s="174" t="str">
        <f>IFERROR(__xludf.DUMMYFUNCTION("""COMPUTED_VALUE"""),"Unlisted")</f>
        <v>Unlisted</v>
      </c>
      <c r="C266" s="174" t="str">
        <f>IFERROR(__xludf.DUMMYFUNCTION("""COMPUTED_VALUE"""),"Mastered")</f>
        <v>Mastered</v>
      </c>
      <c r="D266" s="174" t="str">
        <f>IFERROR(__xludf.DUMMYFUNCTION("""COMPUTED_VALUE"""),"Unlisted")</f>
        <v>Unlisted</v>
      </c>
      <c r="E266" s="174" t="str">
        <f>IFERROR(__xludf.DUMMYFUNCTION("""COMPUTED_VALUE"""),"Proficient")</f>
        <v>Proficient</v>
      </c>
      <c r="F266" s="174" t="str">
        <f>IFERROR(__xludf.DUMMYFUNCTION("""COMPUTED_VALUE"""),"Unlisted")</f>
        <v>Unlisted</v>
      </c>
      <c r="G266" s="174" t="str">
        <f>IFERROR(__xludf.DUMMYFUNCTION("""COMPUTED_VALUE"""),"Proficient")</f>
        <v>Proficient</v>
      </c>
      <c r="H266" s="174" t="str">
        <f>IFERROR(__xludf.DUMMYFUNCTION("""COMPUTED_VALUE"""),"Unlisted")</f>
        <v>Unlisted</v>
      </c>
      <c r="I266" s="174" t="str">
        <f>IFERROR(__xludf.DUMMYFUNCTION("""COMPUTED_VALUE"""),"Unlisted")</f>
        <v>Unlisted</v>
      </c>
      <c r="J266" s="174" t="str">
        <f>IFERROR(__xludf.DUMMYFUNCTION("""COMPUTED_VALUE"""),"Unlisted")</f>
        <v>Unlisted</v>
      </c>
      <c r="K266" s="174" t="str">
        <f>IFERROR(__xludf.DUMMYFUNCTION("""COMPUTED_VALUE"""),"Unlisted")</f>
        <v>Unlisted</v>
      </c>
      <c r="L266" s="174" t="str">
        <f>IFERROR(__xludf.DUMMYFUNCTION("""COMPUTED_VALUE"""),"Unlisted")</f>
        <v>Unlisted</v>
      </c>
      <c r="M266" s="174" t="str">
        <f>IFERROR(__xludf.DUMMYFUNCTION("""COMPUTED_VALUE"""),"Unlisted")</f>
        <v>Unlisted</v>
      </c>
      <c r="N266" s="174" t="str">
        <f>IFERROR(__xludf.DUMMYFUNCTION("""COMPUTED_VALUE"""),"Unlisted")</f>
        <v>Unlisted</v>
      </c>
      <c r="O266" s="174" t="str">
        <f>IFERROR(__xludf.DUMMYFUNCTION("""COMPUTED_VALUE"""),"Unlisted")</f>
        <v>Unlisted</v>
      </c>
      <c r="P266" s="174" t="str">
        <f>IFERROR(__xludf.DUMMYFUNCTION("""COMPUTED_VALUE"""),"Unlisted")</f>
        <v>Unlisted</v>
      </c>
      <c r="Q266" s="174" t="str">
        <f>IFERROR(__xludf.DUMMYFUNCTION("""COMPUTED_VALUE"""),"Unlisted")</f>
        <v>Unlisted</v>
      </c>
      <c r="R266" s="174" t="str">
        <f>IFERROR(__xludf.DUMMYFUNCTION("""COMPUTED_VALUE"""),"Unlisted")</f>
        <v>Unlisted</v>
      </c>
    </row>
    <row r="267">
      <c r="A267" s="255" t="str">
        <f>IFERROR(__xludf.DUMMYFUNCTION("""COMPUTED_VALUE"""),"Piplup")</f>
        <v>Piplup</v>
      </c>
      <c r="B267" s="174" t="str">
        <f>IFERROR(__xludf.DUMMYFUNCTION("""COMPUTED_VALUE"""),"Proficient")</f>
        <v>Proficient</v>
      </c>
      <c r="C267" s="174" t="str">
        <f>IFERROR(__xludf.DUMMYFUNCTION("""COMPUTED_VALUE"""),"Proficient")</f>
        <v>Proficient</v>
      </c>
      <c r="D267" s="174" t="str">
        <f>IFERROR(__xludf.DUMMYFUNCTION("""COMPUTED_VALUE"""),"Unlisted")</f>
        <v>Unlisted</v>
      </c>
      <c r="E267" s="174" t="str">
        <f>IFERROR(__xludf.DUMMYFUNCTION("""COMPUTED_VALUE"""),"Unlisted")</f>
        <v>Unlisted</v>
      </c>
      <c r="F267" s="174" t="str">
        <f>IFERROR(__xludf.DUMMYFUNCTION("""COMPUTED_VALUE"""),"Unlisted")</f>
        <v>Unlisted</v>
      </c>
      <c r="G267" s="174" t="str">
        <f>IFERROR(__xludf.DUMMYFUNCTION("""COMPUTED_VALUE"""),"Proficient")</f>
        <v>Proficient</v>
      </c>
      <c r="H267" s="174" t="str">
        <f>IFERROR(__xludf.DUMMYFUNCTION("""COMPUTED_VALUE"""),"Unlisted")</f>
        <v>Unlisted</v>
      </c>
      <c r="I267" s="174" t="str">
        <f>IFERROR(__xludf.DUMMYFUNCTION("""COMPUTED_VALUE"""),"Unlisted")</f>
        <v>Unlisted</v>
      </c>
      <c r="J267" s="174" t="str">
        <f>IFERROR(__xludf.DUMMYFUNCTION("""COMPUTED_VALUE"""),"Unlisted")</f>
        <v>Unlisted</v>
      </c>
      <c r="K267" s="174" t="str">
        <f>IFERROR(__xludf.DUMMYFUNCTION("""COMPUTED_VALUE"""),"Unlisted")</f>
        <v>Unlisted</v>
      </c>
      <c r="L267" s="174" t="str">
        <f>IFERROR(__xludf.DUMMYFUNCTION("""COMPUTED_VALUE"""),"Unlisted")</f>
        <v>Unlisted</v>
      </c>
      <c r="M267" s="174" t="str">
        <f>IFERROR(__xludf.DUMMYFUNCTION("""COMPUTED_VALUE"""),"Unlisted")</f>
        <v>Unlisted</v>
      </c>
      <c r="N267" s="174" t="str">
        <f>IFERROR(__xludf.DUMMYFUNCTION("""COMPUTED_VALUE"""),"Unlisted")</f>
        <v>Unlisted</v>
      </c>
      <c r="O267" s="174" t="str">
        <f>IFERROR(__xludf.DUMMYFUNCTION("""COMPUTED_VALUE"""),"Unlisted")</f>
        <v>Unlisted</v>
      </c>
      <c r="P267" s="174" t="str">
        <f>IFERROR(__xludf.DUMMYFUNCTION("""COMPUTED_VALUE"""),"Unlisted")</f>
        <v>Unlisted</v>
      </c>
      <c r="Q267" s="174" t="str">
        <f>IFERROR(__xludf.DUMMYFUNCTION("""COMPUTED_VALUE"""),"Unlisted")</f>
        <v>Unlisted</v>
      </c>
      <c r="R267" s="174" t="str">
        <f>IFERROR(__xludf.DUMMYFUNCTION("""COMPUTED_VALUE"""),"Unlisted")</f>
        <v>Unlisted</v>
      </c>
    </row>
    <row r="268">
      <c r="A268" s="255" t="str">
        <f>IFERROR(__xludf.DUMMYFUNCTION("""COMPUTED_VALUE"""),"Prinplup")</f>
        <v>Prinplup</v>
      </c>
      <c r="B268" s="174" t="str">
        <f>IFERROR(__xludf.DUMMYFUNCTION("""COMPUTED_VALUE"""),"Proficient")</f>
        <v>Proficient</v>
      </c>
      <c r="C268" s="174" t="str">
        <f>IFERROR(__xludf.DUMMYFUNCTION("""COMPUTED_VALUE"""),"Proficient")</f>
        <v>Proficient</v>
      </c>
      <c r="D268" s="174" t="str">
        <f>IFERROR(__xludf.DUMMYFUNCTION("""COMPUTED_VALUE"""),"Unlisted")</f>
        <v>Unlisted</v>
      </c>
      <c r="E268" s="174" t="str">
        <f>IFERROR(__xludf.DUMMYFUNCTION("""COMPUTED_VALUE"""),"Unlisted")</f>
        <v>Unlisted</v>
      </c>
      <c r="F268" s="174" t="str">
        <f>IFERROR(__xludf.DUMMYFUNCTION("""COMPUTED_VALUE"""),"Unlisted")</f>
        <v>Unlisted</v>
      </c>
      <c r="G268" s="174" t="str">
        <f>IFERROR(__xludf.DUMMYFUNCTION("""COMPUTED_VALUE"""),"Proficient")</f>
        <v>Proficient</v>
      </c>
      <c r="H268" s="174" t="str">
        <f>IFERROR(__xludf.DUMMYFUNCTION("""COMPUTED_VALUE"""),"Unlisted")</f>
        <v>Unlisted</v>
      </c>
      <c r="I268" s="174" t="str">
        <f>IFERROR(__xludf.DUMMYFUNCTION("""COMPUTED_VALUE"""),"Unlisted")</f>
        <v>Unlisted</v>
      </c>
      <c r="J268" s="174" t="str">
        <f>IFERROR(__xludf.DUMMYFUNCTION("""COMPUTED_VALUE"""),"Unlisted")</f>
        <v>Unlisted</v>
      </c>
      <c r="K268" s="174" t="str">
        <f>IFERROR(__xludf.DUMMYFUNCTION("""COMPUTED_VALUE"""),"Unlisted")</f>
        <v>Unlisted</v>
      </c>
      <c r="L268" s="174" t="str">
        <f>IFERROR(__xludf.DUMMYFUNCTION("""COMPUTED_VALUE"""),"Unlisted")</f>
        <v>Unlisted</v>
      </c>
      <c r="M268" s="174" t="str">
        <f>IFERROR(__xludf.DUMMYFUNCTION("""COMPUTED_VALUE"""),"Unlisted")</f>
        <v>Unlisted</v>
      </c>
      <c r="N268" s="174" t="str">
        <f>IFERROR(__xludf.DUMMYFUNCTION("""COMPUTED_VALUE"""),"Unlisted")</f>
        <v>Unlisted</v>
      </c>
      <c r="O268" s="174" t="str">
        <f>IFERROR(__xludf.DUMMYFUNCTION("""COMPUTED_VALUE"""),"Unlisted")</f>
        <v>Unlisted</v>
      </c>
      <c r="P268" s="174" t="str">
        <f>IFERROR(__xludf.DUMMYFUNCTION("""COMPUTED_VALUE"""),"Unlisted")</f>
        <v>Unlisted</v>
      </c>
      <c r="Q268" s="174" t="str">
        <f>IFERROR(__xludf.DUMMYFUNCTION("""COMPUTED_VALUE"""),"Unlisted")</f>
        <v>Unlisted</v>
      </c>
      <c r="R268" s="174" t="str">
        <f>IFERROR(__xludf.DUMMYFUNCTION("""COMPUTED_VALUE"""),"Unlisted")</f>
        <v>Unlisted</v>
      </c>
    </row>
    <row r="269">
      <c r="A269" s="255" t="str">
        <f>IFERROR(__xludf.DUMMYFUNCTION("""COMPUTED_VALUE"""),"Empoleon")</f>
        <v>Empoleon</v>
      </c>
      <c r="B269" s="174" t="str">
        <f>IFERROR(__xludf.DUMMYFUNCTION("""COMPUTED_VALUE"""),"Proficient")</f>
        <v>Proficient</v>
      </c>
      <c r="C269" s="174" t="str">
        <f>IFERROR(__xludf.DUMMYFUNCTION("""COMPUTED_VALUE"""),"Proficient")</f>
        <v>Proficient</v>
      </c>
      <c r="D269" s="174" t="str">
        <f>IFERROR(__xludf.DUMMYFUNCTION("""COMPUTED_VALUE"""),"Unlisted")</f>
        <v>Unlisted</v>
      </c>
      <c r="E269" s="174" t="str">
        <f>IFERROR(__xludf.DUMMYFUNCTION("""COMPUTED_VALUE"""),"Unlisted")</f>
        <v>Unlisted</v>
      </c>
      <c r="F269" s="174" t="str">
        <f>IFERROR(__xludf.DUMMYFUNCTION("""COMPUTED_VALUE"""),"Proficient")</f>
        <v>Proficient</v>
      </c>
      <c r="G269" s="174" t="str">
        <f>IFERROR(__xludf.DUMMYFUNCTION("""COMPUTED_VALUE"""),"Proficient")</f>
        <v>Proficient</v>
      </c>
      <c r="H269" s="174" t="str">
        <f>IFERROR(__xludf.DUMMYFUNCTION("""COMPUTED_VALUE"""),"Unlisted")</f>
        <v>Unlisted</v>
      </c>
      <c r="I269" s="174" t="str">
        <f>IFERROR(__xludf.DUMMYFUNCTION("""COMPUTED_VALUE"""),"Unlisted")</f>
        <v>Unlisted</v>
      </c>
      <c r="J269" s="174" t="str">
        <f>IFERROR(__xludf.DUMMYFUNCTION("""COMPUTED_VALUE"""),"Unlisted")</f>
        <v>Unlisted</v>
      </c>
      <c r="K269" s="174" t="str">
        <f>IFERROR(__xludf.DUMMYFUNCTION("""COMPUTED_VALUE"""),"Unlisted")</f>
        <v>Unlisted</v>
      </c>
      <c r="L269" s="174" t="str">
        <f>IFERROR(__xludf.DUMMYFUNCTION("""COMPUTED_VALUE"""),"Unlisted")</f>
        <v>Unlisted</v>
      </c>
      <c r="M269" s="174" t="str">
        <f>IFERROR(__xludf.DUMMYFUNCTION("""COMPUTED_VALUE"""),"Unlisted")</f>
        <v>Unlisted</v>
      </c>
      <c r="N269" s="174" t="str">
        <f>IFERROR(__xludf.DUMMYFUNCTION("""COMPUTED_VALUE"""),"Unlisted")</f>
        <v>Unlisted</v>
      </c>
      <c r="O269" s="174" t="str">
        <f>IFERROR(__xludf.DUMMYFUNCTION("""COMPUTED_VALUE"""),"Unlisted")</f>
        <v>Unlisted</v>
      </c>
      <c r="P269" s="174" t="str">
        <f>IFERROR(__xludf.DUMMYFUNCTION("""COMPUTED_VALUE"""),"Unlisted")</f>
        <v>Unlisted</v>
      </c>
      <c r="Q269" s="174" t="str">
        <f>IFERROR(__xludf.DUMMYFUNCTION("""COMPUTED_VALUE"""),"Unlisted")</f>
        <v>Unlisted</v>
      </c>
      <c r="R269" s="174" t="str">
        <f>IFERROR(__xludf.DUMMYFUNCTION("""COMPUTED_VALUE"""),"Unlisted")</f>
        <v>Unlisted</v>
      </c>
    </row>
    <row r="270">
      <c r="A270" s="255" t="str">
        <f>IFERROR(__xludf.DUMMYFUNCTION("""COMPUTED_VALUE"""),"Oshawott")</f>
        <v>Oshawott</v>
      </c>
      <c r="B270" s="174" t="str">
        <f>IFERROR(__xludf.DUMMYFUNCTION("""COMPUTED_VALUE"""),"Unlisted")</f>
        <v>Unlisted</v>
      </c>
      <c r="C270" s="174" t="str">
        <f>IFERROR(__xludf.DUMMYFUNCTION("""COMPUTED_VALUE"""),"Proficient")</f>
        <v>Proficient</v>
      </c>
      <c r="D270" s="174" t="str">
        <f>IFERROR(__xludf.DUMMYFUNCTION("""COMPUTED_VALUE"""),"Unlisted")</f>
        <v>Unlisted</v>
      </c>
      <c r="E270" s="174" t="str">
        <f>IFERROR(__xludf.DUMMYFUNCTION("""COMPUTED_VALUE"""),"Proficient")</f>
        <v>Proficient</v>
      </c>
      <c r="F270" s="174" t="str">
        <f>IFERROR(__xludf.DUMMYFUNCTION("""COMPUTED_VALUE"""),"Unlisted")</f>
        <v>Unlisted</v>
      </c>
      <c r="G270" s="174" t="str">
        <f>IFERROR(__xludf.DUMMYFUNCTION("""COMPUTED_VALUE"""),"Unlisted")</f>
        <v>Unlisted</v>
      </c>
      <c r="H270" s="174" t="str">
        <f>IFERROR(__xludf.DUMMYFUNCTION("""COMPUTED_VALUE"""),"Unlisted")</f>
        <v>Unlisted</v>
      </c>
      <c r="I270" s="174" t="str">
        <f>IFERROR(__xludf.DUMMYFUNCTION("""COMPUTED_VALUE"""),"Unlisted")</f>
        <v>Unlisted</v>
      </c>
      <c r="J270" s="174" t="str">
        <f>IFERROR(__xludf.DUMMYFUNCTION("""COMPUTED_VALUE"""),"Proficient")</f>
        <v>Proficient</v>
      </c>
      <c r="K270" s="174" t="str">
        <f>IFERROR(__xludf.DUMMYFUNCTION("""COMPUTED_VALUE"""),"Unlisted")</f>
        <v>Unlisted</v>
      </c>
      <c r="L270" s="174" t="str">
        <f>IFERROR(__xludf.DUMMYFUNCTION("""COMPUTED_VALUE"""),"Unlisted")</f>
        <v>Unlisted</v>
      </c>
      <c r="M270" s="174" t="str">
        <f>IFERROR(__xludf.DUMMYFUNCTION("""COMPUTED_VALUE"""),"Unlisted")</f>
        <v>Unlisted</v>
      </c>
      <c r="N270" s="174" t="str">
        <f>IFERROR(__xludf.DUMMYFUNCTION("""COMPUTED_VALUE"""),"Unlisted")</f>
        <v>Unlisted</v>
      </c>
      <c r="O270" s="174" t="str">
        <f>IFERROR(__xludf.DUMMYFUNCTION("""COMPUTED_VALUE"""),"Unlisted")</f>
        <v>Unlisted</v>
      </c>
      <c r="P270" s="174" t="str">
        <f>IFERROR(__xludf.DUMMYFUNCTION("""COMPUTED_VALUE"""),"Unlisted")</f>
        <v>Unlisted</v>
      </c>
      <c r="Q270" s="174" t="str">
        <f>IFERROR(__xludf.DUMMYFUNCTION("""COMPUTED_VALUE"""),"Unlisted")</f>
        <v>Unlisted</v>
      </c>
      <c r="R270" s="174" t="str">
        <f>IFERROR(__xludf.DUMMYFUNCTION("""COMPUTED_VALUE"""),"Unlisted")</f>
        <v>Unlisted</v>
      </c>
    </row>
    <row r="271">
      <c r="A271" s="255" t="str">
        <f>IFERROR(__xludf.DUMMYFUNCTION("""COMPUTED_VALUE"""),"Dewott")</f>
        <v>Dewott</v>
      </c>
      <c r="B271" s="174" t="str">
        <f>IFERROR(__xludf.DUMMYFUNCTION("""COMPUTED_VALUE"""),"Unlisted")</f>
        <v>Unlisted</v>
      </c>
      <c r="C271" s="174" t="str">
        <f>IFERROR(__xludf.DUMMYFUNCTION("""COMPUTED_VALUE"""),"Proficient")</f>
        <v>Proficient</v>
      </c>
      <c r="D271" s="174" t="str">
        <f>IFERROR(__xludf.DUMMYFUNCTION("""COMPUTED_VALUE"""),"Unlisted")</f>
        <v>Unlisted</v>
      </c>
      <c r="E271" s="174" t="str">
        <f>IFERROR(__xludf.DUMMYFUNCTION("""COMPUTED_VALUE"""),"Mastered")</f>
        <v>Mastered</v>
      </c>
      <c r="F271" s="174" t="str">
        <f>IFERROR(__xludf.DUMMYFUNCTION("""COMPUTED_VALUE"""),"Unlisted")</f>
        <v>Unlisted</v>
      </c>
      <c r="G271" s="174" t="str">
        <f>IFERROR(__xludf.DUMMYFUNCTION("""COMPUTED_VALUE"""),"Proficient")</f>
        <v>Proficient</v>
      </c>
      <c r="H271" s="174" t="str">
        <f>IFERROR(__xludf.DUMMYFUNCTION("""COMPUTED_VALUE"""),"Inept")</f>
        <v>Inept</v>
      </c>
      <c r="I271" s="174" t="str">
        <f>IFERROR(__xludf.DUMMYFUNCTION("""COMPUTED_VALUE"""),"Unlisted")</f>
        <v>Unlisted</v>
      </c>
      <c r="J271" s="174" t="str">
        <f>IFERROR(__xludf.DUMMYFUNCTION("""COMPUTED_VALUE"""),"Proficient")</f>
        <v>Proficient</v>
      </c>
      <c r="K271" s="174" t="str">
        <f>IFERROR(__xludf.DUMMYFUNCTION("""COMPUTED_VALUE"""),"Unlisted")</f>
        <v>Unlisted</v>
      </c>
      <c r="L271" s="174" t="str">
        <f>IFERROR(__xludf.DUMMYFUNCTION("""COMPUTED_VALUE"""),"Unlisted")</f>
        <v>Unlisted</v>
      </c>
      <c r="M271" s="174" t="str">
        <f>IFERROR(__xludf.DUMMYFUNCTION("""COMPUTED_VALUE"""),"Unlisted")</f>
        <v>Unlisted</v>
      </c>
      <c r="N271" s="174" t="str">
        <f>IFERROR(__xludf.DUMMYFUNCTION("""COMPUTED_VALUE"""),"Unlisted")</f>
        <v>Unlisted</v>
      </c>
      <c r="O271" s="174" t="str">
        <f>IFERROR(__xludf.DUMMYFUNCTION("""COMPUTED_VALUE"""),"Unlisted")</f>
        <v>Unlisted</v>
      </c>
      <c r="P271" s="174" t="str">
        <f>IFERROR(__xludf.DUMMYFUNCTION("""COMPUTED_VALUE"""),"Unlisted")</f>
        <v>Unlisted</v>
      </c>
      <c r="Q271" s="174" t="str">
        <f>IFERROR(__xludf.DUMMYFUNCTION("""COMPUTED_VALUE"""),"Unlisted")</f>
        <v>Unlisted</v>
      </c>
      <c r="R271" s="174" t="str">
        <f>IFERROR(__xludf.DUMMYFUNCTION("""COMPUTED_VALUE"""),"Unlisted")</f>
        <v>Unlisted</v>
      </c>
    </row>
    <row r="272">
      <c r="A272" s="255" t="str">
        <f>IFERROR(__xludf.DUMMYFUNCTION("""COMPUTED_VALUE"""),"Samurott")</f>
        <v>Samurott</v>
      </c>
      <c r="B272" s="174" t="str">
        <f>IFERROR(__xludf.DUMMYFUNCTION("""COMPUTED_VALUE"""),"Unlisted")</f>
        <v>Unlisted</v>
      </c>
      <c r="C272" s="174" t="str">
        <f>IFERROR(__xludf.DUMMYFUNCTION("""COMPUTED_VALUE"""),"Proficient")</f>
        <v>Proficient</v>
      </c>
      <c r="D272" s="174" t="str">
        <f>IFERROR(__xludf.DUMMYFUNCTION("""COMPUTED_VALUE"""),"Unlisted")</f>
        <v>Unlisted</v>
      </c>
      <c r="E272" s="174" t="str">
        <f>IFERROR(__xludf.DUMMYFUNCTION("""COMPUTED_VALUE"""),"Mastered")</f>
        <v>Mastered</v>
      </c>
      <c r="F272" s="174" t="str">
        <f>IFERROR(__xludf.DUMMYFUNCTION("""COMPUTED_VALUE"""),"Unlisted")</f>
        <v>Unlisted</v>
      </c>
      <c r="G272" s="174" t="str">
        <f>IFERROR(__xludf.DUMMYFUNCTION("""COMPUTED_VALUE"""),"Proficient")</f>
        <v>Proficient</v>
      </c>
      <c r="H272" s="174" t="str">
        <f>IFERROR(__xludf.DUMMYFUNCTION("""COMPUTED_VALUE"""),"Inept")</f>
        <v>Inept</v>
      </c>
      <c r="I272" s="174" t="str">
        <f>IFERROR(__xludf.DUMMYFUNCTION("""COMPUTED_VALUE"""),"Unlisted")</f>
        <v>Unlisted</v>
      </c>
      <c r="J272" s="174" t="str">
        <f>IFERROR(__xludf.DUMMYFUNCTION("""COMPUTED_VALUE"""),"Proficient")</f>
        <v>Proficient</v>
      </c>
      <c r="K272" s="174" t="str">
        <f>IFERROR(__xludf.DUMMYFUNCTION("""COMPUTED_VALUE"""),"Unlisted")</f>
        <v>Unlisted</v>
      </c>
      <c r="L272" s="174" t="str">
        <f>IFERROR(__xludf.DUMMYFUNCTION("""COMPUTED_VALUE"""),"Unlisted")</f>
        <v>Unlisted</v>
      </c>
      <c r="M272" s="174" t="str">
        <f>IFERROR(__xludf.DUMMYFUNCTION("""COMPUTED_VALUE"""),"Unlisted")</f>
        <v>Unlisted</v>
      </c>
      <c r="N272" s="174" t="str">
        <f>IFERROR(__xludf.DUMMYFUNCTION("""COMPUTED_VALUE"""),"Unlisted")</f>
        <v>Unlisted</v>
      </c>
      <c r="O272" s="174" t="str">
        <f>IFERROR(__xludf.DUMMYFUNCTION("""COMPUTED_VALUE"""),"Unlisted")</f>
        <v>Unlisted</v>
      </c>
      <c r="P272" s="174" t="str">
        <f>IFERROR(__xludf.DUMMYFUNCTION("""COMPUTED_VALUE"""),"Unlisted")</f>
        <v>Unlisted</v>
      </c>
      <c r="Q272" s="174" t="str">
        <f>IFERROR(__xludf.DUMMYFUNCTION("""COMPUTED_VALUE"""),"Unlisted")</f>
        <v>Unlisted</v>
      </c>
      <c r="R272" s="174" t="str">
        <f>IFERROR(__xludf.DUMMYFUNCTION("""COMPUTED_VALUE"""),"Unlisted")</f>
        <v>Unlisted</v>
      </c>
    </row>
    <row r="273">
      <c r="A273" s="255" t="str">
        <f>IFERROR(__xludf.DUMMYFUNCTION("""COMPUTED_VALUE"""),"Hisuian Samurott")</f>
        <v>Hisuian Samurott</v>
      </c>
      <c r="B273" s="174" t="str">
        <f>IFERROR(__xludf.DUMMYFUNCTION("""COMPUTED_VALUE"""),"Unlisted")</f>
        <v>Unlisted</v>
      </c>
      <c r="C273" s="174" t="str">
        <f>IFERROR(__xludf.DUMMYFUNCTION("""COMPUTED_VALUE"""),"Proficient")</f>
        <v>Proficient</v>
      </c>
      <c r="D273" s="174" t="str">
        <f>IFERROR(__xludf.DUMMYFUNCTION("""COMPUTED_VALUE"""),"Unlisted")</f>
        <v>Unlisted</v>
      </c>
      <c r="E273" s="174" t="str">
        <f>IFERROR(__xludf.DUMMYFUNCTION("""COMPUTED_VALUE"""),"Mastered")</f>
        <v>Mastered</v>
      </c>
      <c r="F273" s="174" t="str">
        <f>IFERROR(__xludf.DUMMYFUNCTION("""COMPUTED_VALUE"""),"Unlisted")</f>
        <v>Unlisted</v>
      </c>
      <c r="G273" s="174" t="str">
        <f>IFERROR(__xludf.DUMMYFUNCTION("""COMPUTED_VALUE"""),"Proficient")</f>
        <v>Proficient</v>
      </c>
      <c r="H273" s="174" t="str">
        <f>IFERROR(__xludf.DUMMYFUNCTION("""COMPUTED_VALUE"""),"Unlisted")</f>
        <v>Unlisted</v>
      </c>
      <c r="I273" s="174" t="str">
        <f>IFERROR(__xludf.DUMMYFUNCTION("""COMPUTED_VALUE"""),"Unlisted")</f>
        <v>Unlisted</v>
      </c>
      <c r="J273" s="174" t="str">
        <f>IFERROR(__xludf.DUMMYFUNCTION("""COMPUTED_VALUE"""),"Unlisted")</f>
        <v>Unlisted</v>
      </c>
      <c r="K273" s="174" t="str">
        <f>IFERROR(__xludf.DUMMYFUNCTION("""COMPUTED_VALUE"""),"Unlisted")</f>
        <v>Unlisted</v>
      </c>
      <c r="L273" s="174" t="str">
        <f>IFERROR(__xludf.DUMMYFUNCTION("""COMPUTED_VALUE"""),"Unlisted")</f>
        <v>Unlisted</v>
      </c>
      <c r="M273" s="174" t="str">
        <f>IFERROR(__xludf.DUMMYFUNCTION("""COMPUTED_VALUE"""),"Unlisted")</f>
        <v>Unlisted</v>
      </c>
      <c r="N273" s="174" t="str">
        <f>IFERROR(__xludf.DUMMYFUNCTION("""COMPUTED_VALUE"""),"Unlisted")</f>
        <v>Unlisted</v>
      </c>
      <c r="O273" s="174" t="str">
        <f>IFERROR(__xludf.DUMMYFUNCTION("""COMPUTED_VALUE"""),"Unlisted")</f>
        <v>Unlisted</v>
      </c>
      <c r="P273" s="174" t="str">
        <f>IFERROR(__xludf.DUMMYFUNCTION("""COMPUTED_VALUE"""),"Unlisted")</f>
        <v>Unlisted</v>
      </c>
      <c r="Q273" s="174" t="str">
        <f>IFERROR(__xludf.DUMMYFUNCTION("""COMPUTED_VALUE"""),"Unlisted")</f>
        <v>Unlisted</v>
      </c>
      <c r="R273" s="174" t="str">
        <f>IFERROR(__xludf.DUMMYFUNCTION("""COMPUTED_VALUE"""),"Unlisted")</f>
        <v>Unlisted</v>
      </c>
    </row>
    <row r="274">
      <c r="A274" s="255" t="str">
        <f>IFERROR(__xludf.DUMMYFUNCTION("""COMPUTED_VALUE"""),"Froakie")</f>
        <v>Froakie</v>
      </c>
      <c r="B274" s="174" t="str">
        <f>IFERROR(__xludf.DUMMYFUNCTION("""COMPUTED_VALUE"""),"Proficient")</f>
        <v>Proficient</v>
      </c>
      <c r="C274" s="174" t="str">
        <f>IFERROR(__xludf.DUMMYFUNCTION("""COMPUTED_VALUE"""),"Unlisted")</f>
        <v>Unlisted</v>
      </c>
      <c r="D274" s="174" t="str">
        <f>IFERROR(__xludf.DUMMYFUNCTION("""COMPUTED_VALUE"""),"Unlisted")</f>
        <v>Unlisted</v>
      </c>
      <c r="E274" s="174" t="str">
        <f>IFERROR(__xludf.DUMMYFUNCTION("""COMPUTED_VALUE"""),"Unlisted")</f>
        <v>Unlisted</v>
      </c>
      <c r="F274" s="174" t="str">
        <f>IFERROR(__xludf.DUMMYFUNCTION("""COMPUTED_VALUE"""),"Unlisted")</f>
        <v>Unlisted</v>
      </c>
      <c r="G274" s="174" t="str">
        <f>IFERROR(__xludf.DUMMYFUNCTION("""COMPUTED_VALUE"""),"Proficient")</f>
        <v>Proficient</v>
      </c>
      <c r="H274" s="174" t="str">
        <f>IFERROR(__xludf.DUMMYFUNCTION("""COMPUTED_VALUE"""),"Unlisted")</f>
        <v>Unlisted</v>
      </c>
      <c r="I274" s="174" t="str">
        <f>IFERROR(__xludf.DUMMYFUNCTION("""COMPUTED_VALUE"""),"Unlisted")</f>
        <v>Unlisted</v>
      </c>
      <c r="J274" s="174" t="str">
        <f>IFERROR(__xludf.DUMMYFUNCTION("""COMPUTED_VALUE"""),"Unlisted")</f>
        <v>Unlisted</v>
      </c>
      <c r="K274" s="174" t="str">
        <f>IFERROR(__xludf.DUMMYFUNCTION("""COMPUTED_VALUE"""),"Unlisted")</f>
        <v>Unlisted</v>
      </c>
      <c r="L274" s="174" t="str">
        <f>IFERROR(__xludf.DUMMYFUNCTION("""COMPUTED_VALUE"""),"Proficient")</f>
        <v>Proficient</v>
      </c>
      <c r="M274" s="174" t="str">
        <f>IFERROR(__xludf.DUMMYFUNCTION("""COMPUTED_VALUE"""),"Unlisted")</f>
        <v>Unlisted</v>
      </c>
      <c r="N274" s="174" t="str">
        <f>IFERROR(__xludf.DUMMYFUNCTION("""COMPUTED_VALUE"""),"Unlisted")</f>
        <v>Unlisted</v>
      </c>
      <c r="O274" s="174" t="str">
        <f>IFERROR(__xludf.DUMMYFUNCTION("""COMPUTED_VALUE"""),"Unlisted")</f>
        <v>Unlisted</v>
      </c>
      <c r="P274" s="174" t="str">
        <f>IFERROR(__xludf.DUMMYFUNCTION("""COMPUTED_VALUE"""),"Unlisted")</f>
        <v>Unlisted</v>
      </c>
      <c r="Q274" s="174" t="str">
        <f>IFERROR(__xludf.DUMMYFUNCTION("""COMPUTED_VALUE"""),"Unlisted")</f>
        <v>Unlisted</v>
      </c>
      <c r="R274" s="174" t="str">
        <f>IFERROR(__xludf.DUMMYFUNCTION("""COMPUTED_VALUE"""),"Unlisted")</f>
        <v>Unlisted</v>
      </c>
    </row>
    <row r="275">
      <c r="A275" s="255" t="str">
        <f>IFERROR(__xludf.DUMMYFUNCTION("""COMPUTED_VALUE"""),"Frogadier")</f>
        <v>Frogadier</v>
      </c>
      <c r="B275" s="174" t="str">
        <f>IFERROR(__xludf.DUMMYFUNCTION("""COMPUTED_VALUE"""),"Proficient")</f>
        <v>Proficient</v>
      </c>
      <c r="C275" s="174" t="str">
        <f>IFERROR(__xludf.DUMMYFUNCTION("""COMPUTED_VALUE"""),"Unlisted")</f>
        <v>Unlisted</v>
      </c>
      <c r="D275" s="174" t="str">
        <f>IFERROR(__xludf.DUMMYFUNCTION("""COMPUTED_VALUE"""),"Unlisted")</f>
        <v>Unlisted</v>
      </c>
      <c r="E275" s="174" t="str">
        <f>IFERROR(__xludf.DUMMYFUNCTION("""COMPUTED_VALUE"""),"Unlisted")</f>
        <v>Unlisted</v>
      </c>
      <c r="F275" s="174" t="str">
        <f>IFERROR(__xludf.DUMMYFUNCTION("""COMPUTED_VALUE"""),"Unlisted")</f>
        <v>Unlisted</v>
      </c>
      <c r="G275" s="174" t="str">
        <f>IFERROR(__xludf.DUMMYFUNCTION("""COMPUTED_VALUE"""),"Proficient")</f>
        <v>Proficient</v>
      </c>
      <c r="H275" s="174" t="str">
        <f>IFERROR(__xludf.DUMMYFUNCTION("""COMPUTED_VALUE"""),"Unlisted")</f>
        <v>Unlisted</v>
      </c>
      <c r="I275" s="174" t="str">
        <f>IFERROR(__xludf.DUMMYFUNCTION("""COMPUTED_VALUE"""),"Unlisted")</f>
        <v>Unlisted</v>
      </c>
      <c r="J275" s="174" t="str">
        <f>IFERROR(__xludf.DUMMYFUNCTION("""COMPUTED_VALUE"""),"Unlisted")</f>
        <v>Unlisted</v>
      </c>
      <c r="K275" s="174" t="str">
        <f>IFERROR(__xludf.DUMMYFUNCTION("""COMPUTED_VALUE"""),"Unlisted")</f>
        <v>Unlisted</v>
      </c>
      <c r="L275" s="174" t="str">
        <f>IFERROR(__xludf.DUMMYFUNCTION("""COMPUTED_VALUE"""),"Proficient")</f>
        <v>Proficient</v>
      </c>
      <c r="M275" s="174" t="str">
        <f>IFERROR(__xludf.DUMMYFUNCTION("""COMPUTED_VALUE"""),"Unlisted")</f>
        <v>Unlisted</v>
      </c>
      <c r="N275" s="174" t="str">
        <f>IFERROR(__xludf.DUMMYFUNCTION("""COMPUTED_VALUE"""),"Unlisted")</f>
        <v>Unlisted</v>
      </c>
      <c r="O275" s="174" t="str">
        <f>IFERROR(__xludf.DUMMYFUNCTION("""COMPUTED_VALUE"""),"Unlisted")</f>
        <v>Unlisted</v>
      </c>
      <c r="P275" s="174" t="str">
        <f>IFERROR(__xludf.DUMMYFUNCTION("""COMPUTED_VALUE"""),"Unlisted")</f>
        <v>Unlisted</v>
      </c>
      <c r="Q275" s="174" t="str">
        <f>IFERROR(__xludf.DUMMYFUNCTION("""COMPUTED_VALUE"""),"Unlisted")</f>
        <v>Unlisted</v>
      </c>
      <c r="R275" s="174" t="str">
        <f>IFERROR(__xludf.DUMMYFUNCTION("""COMPUTED_VALUE"""),"Unlisted")</f>
        <v>Unlisted</v>
      </c>
    </row>
    <row r="276">
      <c r="A276" s="255" t="str">
        <f>IFERROR(__xludf.DUMMYFUNCTION("""COMPUTED_VALUE"""),"Greninja")</f>
        <v>Greninja</v>
      </c>
      <c r="B276" s="174" t="str">
        <f>IFERROR(__xludf.DUMMYFUNCTION("""COMPUTED_VALUE"""),"Mastered")</f>
        <v>Mastered</v>
      </c>
      <c r="C276" s="174" t="str">
        <f>IFERROR(__xludf.DUMMYFUNCTION("""COMPUTED_VALUE"""),"Unlisted")</f>
        <v>Unlisted</v>
      </c>
      <c r="D276" s="174" t="str">
        <f>IFERROR(__xludf.DUMMYFUNCTION("""COMPUTED_VALUE"""),"Unlisted")</f>
        <v>Unlisted</v>
      </c>
      <c r="E276" s="174" t="str">
        <f>IFERROR(__xludf.DUMMYFUNCTION("""COMPUTED_VALUE"""),"Unlisted")</f>
        <v>Unlisted</v>
      </c>
      <c r="F276" s="174" t="str">
        <f>IFERROR(__xludf.DUMMYFUNCTION("""COMPUTED_VALUE"""),"Unlisted")</f>
        <v>Unlisted</v>
      </c>
      <c r="G276" s="174" t="str">
        <f>IFERROR(__xludf.DUMMYFUNCTION("""COMPUTED_VALUE"""),"Proficient")</f>
        <v>Proficient</v>
      </c>
      <c r="H276" s="174" t="str">
        <f>IFERROR(__xludf.DUMMYFUNCTION("""COMPUTED_VALUE"""),"Unlisted")</f>
        <v>Unlisted</v>
      </c>
      <c r="I276" s="174" t="str">
        <f>IFERROR(__xludf.DUMMYFUNCTION("""COMPUTED_VALUE"""),"Unlisted")</f>
        <v>Unlisted</v>
      </c>
      <c r="J276" s="174" t="str">
        <f>IFERROR(__xludf.DUMMYFUNCTION("""COMPUTED_VALUE"""),"Unlisted")</f>
        <v>Unlisted</v>
      </c>
      <c r="K276" s="174" t="str">
        <f>IFERROR(__xludf.DUMMYFUNCTION("""COMPUTED_VALUE"""),"Unlisted")</f>
        <v>Unlisted</v>
      </c>
      <c r="L276" s="174" t="str">
        <f>IFERROR(__xludf.DUMMYFUNCTION("""COMPUTED_VALUE"""),"Proficient")</f>
        <v>Proficient</v>
      </c>
      <c r="M276" s="174" t="str">
        <f>IFERROR(__xludf.DUMMYFUNCTION("""COMPUTED_VALUE"""),"Unlisted")</f>
        <v>Unlisted</v>
      </c>
      <c r="N276" s="174" t="str">
        <f>IFERROR(__xludf.DUMMYFUNCTION("""COMPUTED_VALUE"""),"Unlisted")</f>
        <v>Unlisted</v>
      </c>
      <c r="O276" s="174" t="str">
        <f>IFERROR(__xludf.DUMMYFUNCTION("""COMPUTED_VALUE"""),"Unlisted")</f>
        <v>Unlisted</v>
      </c>
      <c r="P276" s="174" t="str">
        <f>IFERROR(__xludf.DUMMYFUNCTION("""COMPUTED_VALUE"""),"Unlisted")</f>
        <v>Unlisted</v>
      </c>
      <c r="Q276" s="174" t="str">
        <f>IFERROR(__xludf.DUMMYFUNCTION("""COMPUTED_VALUE"""),"Unlisted")</f>
        <v>Unlisted</v>
      </c>
      <c r="R276" s="174" t="str">
        <f>IFERROR(__xludf.DUMMYFUNCTION("""COMPUTED_VALUE"""),"Unlisted")</f>
        <v>Unlisted</v>
      </c>
    </row>
    <row r="277">
      <c r="A277" s="255" t="str">
        <f>IFERROR(__xludf.DUMMYFUNCTION("""COMPUTED_VALUE"""),"Popplio")</f>
        <v>Popplio</v>
      </c>
      <c r="B277" s="174" t="str">
        <f>IFERROR(__xludf.DUMMYFUNCTION("""COMPUTED_VALUE"""),"Proficient")</f>
        <v>Proficient</v>
      </c>
      <c r="C277" s="174" t="str">
        <f>IFERROR(__xludf.DUMMYFUNCTION("""COMPUTED_VALUE"""),"Unlisted")</f>
        <v>Unlisted</v>
      </c>
      <c r="D277" s="174" t="str">
        <f>IFERROR(__xludf.DUMMYFUNCTION("""COMPUTED_VALUE"""),"Proficient")</f>
        <v>Proficient</v>
      </c>
      <c r="E277" s="174" t="str">
        <f>IFERROR(__xludf.DUMMYFUNCTION("""COMPUTED_VALUE"""),"Unlisted")</f>
        <v>Unlisted</v>
      </c>
      <c r="F277" s="174" t="str">
        <f>IFERROR(__xludf.DUMMYFUNCTION("""COMPUTED_VALUE"""),"Unlisted")</f>
        <v>Unlisted</v>
      </c>
      <c r="G277" s="174" t="str">
        <f>IFERROR(__xludf.DUMMYFUNCTION("""COMPUTED_VALUE"""),"Proficient")</f>
        <v>Proficient</v>
      </c>
      <c r="H277" s="174" t="str">
        <f>IFERROR(__xludf.DUMMYFUNCTION("""COMPUTED_VALUE"""),"Unlisted")</f>
        <v>Unlisted</v>
      </c>
      <c r="I277" s="174" t="str">
        <f>IFERROR(__xludf.DUMMYFUNCTION("""COMPUTED_VALUE"""),"Unlisted")</f>
        <v>Unlisted</v>
      </c>
      <c r="J277" s="174" t="str">
        <f>IFERROR(__xludf.DUMMYFUNCTION("""COMPUTED_VALUE"""),"Unlisted")</f>
        <v>Unlisted</v>
      </c>
      <c r="K277" s="174" t="str">
        <f>IFERROR(__xludf.DUMMYFUNCTION("""COMPUTED_VALUE"""),"Unlisted")</f>
        <v>Unlisted</v>
      </c>
      <c r="L277" s="174" t="str">
        <f>IFERROR(__xludf.DUMMYFUNCTION("""COMPUTED_VALUE"""),"Unlisted")</f>
        <v>Unlisted</v>
      </c>
      <c r="M277" s="174" t="str">
        <f>IFERROR(__xludf.DUMMYFUNCTION("""COMPUTED_VALUE"""),"Unlisted")</f>
        <v>Unlisted</v>
      </c>
      <c r="N277" s="174" t="str">
        <f>IFERROR(__xludf.DUMMYFUNCTION("""COMPUTED_VALUE"""),"Unlisted")</f>
        <v>Unlisted</v>
      </c>
      <c r="O277" s="174" t="str">
        <f>IFERROR(__xludf.DUMMYFUNCTION("""COMPUTED_VALUE"""),"Unlisted")</f>
        <v>Unlisted</v>
      </c>
      <c r="P277" s="174" t="str">
        <f>IFERROR(__xludf.DUMMYFUNCTION("""COMPUTED_VALUE"""),"Unlisted")</f>
        <v>Unlisted</v>
      </c>
      <c r="Q277" s="174" t="str">
        <f>IFERROR(__xludf.DUMMYFUNCTION("""COMPUTED_VALUE"""),"Unlisted")</f>
        <v>Unlisted</v>
      </c>
      <c r="R277" s="174" t="str">
        <f>IFERROR(__xludf.DUMMYFUNCTION("""COMPUTED_VALUE"""),"Unlisted")</f>
        <v>Unlisted</v>
      </c>
    </row>
    <row r="278">
      <c r="A278" s="255" t="str">
        <f>IFERROR(__xludf.DUMMYFUNCTION("""COMPUTED_VALUE"""),"Brionne")</f>
        <v>Brionne</v>
      </c>
      <c r="B278" s="174" t="str">
        <f>IFERROR(__xludf.DUMMYFUNCTION("""COMPUTED_VALUE"""),"Proficient")</f>
        <v>Proficient</v>
      </c>
      <c r="C278" s="174" t="str">
        <f>IFERROR(__xludf.DUMMYFUNCTION("""COMPUTED_VALUE"""),"Unlisted")</f>
        <v>Unlisted</v>
      </c>
      <c r="D278" s="174" t="str">
        <f>IFERROR(__xludf.DUMMYFUNCTION("""COMPUTED_VALUE"""),"Proficient")</f>
        <v>Proficient</v>
      </c>
      <c r="E278" s="174" t="str">
        <f>IFERROR(__xludf.DUMMYFUNCTION("""COMPUTED_VALUE"""),"Unlisted")</f>
        <v>Unlisted</v>
      </c>
      <c r="F278" s="174" t="str">
        <f>IFERROR(__xludf.DUMMYFUNCTION("""COMPUTED_VALUE"""),"Unlisted")</f>
        <v>Unlisted</v>
      </c>
      <c r="G278" s="174" t="str">
        <f>IFERROR(__xludf.DUMMYFUNCTION("""COMPUTED_VALUE"""),"Proficient")</f>
        <v>Proficient</v>
      </c>
      <c r="H278" s="174" t="str">
        <f>IFERROR(__xludf.DUMMYFUNCTION("""COMPUTED_VALUE"""),"Unlisted")</f>
        <v>Unlisted</v>
      </c>
      <c r="I278" s="174" t="str">
        <f>IFERROR(__xludf.DUMMYFUNCTION("""COMPUTED_VALUE"""),"Unlisted")</f>
        <v>Unlisted</v>
      </c>
      <c r="J278" s="174" t="str">
        <f>IFERROR(__xludf.DUMMYFUNCTION("""COMPUTED_VALUE"""),"Unlisted")</f>
        <v>Unlisted</v>
      </c>
      <c r="K278" s="174" t="str">
        <f>IFERROR(__xludf.DUMMYFUNCTION("""COMPUTED_VALUE"""),"Unlisted")</f>
        <v>Unlisted</v>
      </c>
      <c r="L278" s="174" t="str">
        <f>IFERROR(__xludf.DUMMYFUNCTION("""COMPUTED_VALUE"""),"Unlisted")</f>
        <v>Unlisted</v>
      </c>
      <c r="M278" s="174" t="str">
        <f>IFERROR(__xludf.DUMMYFUNCTION("""COMPUTED_VALUE"""),"Unlisted")</f>
        <v>Unlisted</v>
      </c>
      <c r="N278" s="174" t="str">
        <f>IFERROR(__xludf.DUMMYFUNCTION("""COMPUTED_VALUE"""),"Unlisted")</f>
        <v>Unlisted</v>
      </c>
      <c r="O278" s="174" t="str">
        <f>IFERROR(__xludf.DUMMYFUNCTION("""COMPUTED_VALUE"""),"Unlisted")</f>
        <v>Unlisted</v>
      </c>
      <c r="P278" s="174" t="str">
        <f>IFERROR(__xludf.DUMMYFUNCTION("""COMPUTED_VALUE"""),"Unlisted")</f>
        <v>Unlisted</v>
      </c>
      <c r="Q278" s="174" t="str">
        <f>IFERROR(__xludf.DUMMYFUNCTION("""COMPUTED_VALUE"""),"Unlisted")</f>
        <v>Unlisted</v>
      </c>
      <c r="R278" s="174" t="str">
        <f>IFERROR(__xludf.DUMMYFUNCTION("""COMPUTED_VALUE"""),"Unlisted")</f>
        <v>Unlisted</v>
      </c>
    </row>
    <row r="279">
      <c r="A279" s="255" t="str">
        <f>IFERROR(__xludf.DUMMYFUNCTION("""COMPUTED_VALUE"""),"Primarina")</f>
        <v>Primarina</v>
      </c>
      <c r="B279" s="174" t="str">
        <f>IFERROR(__xludf.DUMMYFUNCTION("""COMPUTED_VALUE"""),"Proficient")</f>
        <v>Proficient</v>
      </c>
      <c r="C279" s="174" t="str">
        <f>IFERROR(__xludf.DUMMYFUNCTION("""COMPUTED_VALUE"""),"Unlisted")</f>
        <v>Unlisted</v>
      </c>
      <c r="D279" s="174" t="str">
        <f>IFERROR(__xludf.DUMMYFUNCTION("""COMPUTED_VALUE"""),"Proficient")</f>
        <v>Proficient</v>
      </c>
      <c r="E279" s="174" t="str">
        <f>IFERROR(__xludf.DUMMYFUNCTION("""COMPUTED_VALUE"""),"Unlisted")</f>
        <v>Unlisted</v>
      </c>
      <c r="F279" s="174" t="str">
        <f>IFERROR(__xludf.DUMMYFUNCTION("""COMPUTED_VALUE"""),"Unlisted")</f>
        <v>Unlisted</v>
      </c>
      <c r="G279" s="174" t="str">
        <f>IFERROR(__xludf.DUMMYFUNCTION("""COMPUTED_VALUE"""),"Proficient")</f>
        <v>Proficient</v>
      </c>
      <c r="H279" s="174" t="str">
        <f>IFERROR(__xludf.DUMMYFUNCTION("""COMPUTED_VALUE"""),"Unlisted")</f>
        <v>Unlisted</v>
      </c>
      <c r="I279" s="174" t="str">
        <f>IFERROR(__xludf.DUMMYFUNCTION("""COMPUTED_VALUE"""),"Unlisted")</f>
        <v>Unlisted</v>
      </c>
      <c r="J279" s="174" t="str">
        <f>IFERROR(__xludf.DUMMYFUNCTION("""COMPUTED_VALUE"""),"Unlisted")</f>
        <v>Unlisted</v>
      </c>
      <c r="K279" s="174" t="str">
        <f>IFERROR(__xludf.DUMMYFUNCTION("""COMPUTED_VALUE"""),"Unlisted")</f>
        <v>Unlisted</v>
      </c>
      <c r="L279" s="174" t="str">
        <f>IFERROR(__xludf.DUMMYFUNCTION("""COMPUTED_VALUE"""),"Unlisted")</f>
        <v>Unlisted</v>
      </c>
      <c r="M279" s="174" t="str">
        <f>IFERROR(__xludf.DUMMYFUNCTION("""COMPUTED_VALUE"""),"Unlisted")</f>
        <v>Unlisted</v>
      </c>
      <c r="N279" s="174" t="str">
        <f>IFERROR(__xludf.DUMMYFUNCTION("""COMPUTED_VALUE"""),"Unlisted")</f>
        <v>Unlisted</v>
      </c>
      <c r="O279" s="174" t="str">
        <f>IFERROR(__xludf.DUMMYFUNCTION("""COMPUTED_VALUE"""),"Unlisted")</f>
        <v>Unlisted</v>
      </c>
      <c r="P279" s="174" t="str">
        <f>IFERROR(__xludf.DUMMYFUNCTION("""COMPUTED_VALUE"""),"Unlisted")</f>
        <v>Unlisted</v>
      </c>
      <c r="Q279" s="174" t="str">
        <f>IFERROR(__xludf.DUMMYFUNCTION("""COMPUTED_VALUE"""),"Unlisted")</f>
        <v>Unlisted</v>
      </c>
      <c r="R279" s="174" t="str">
        <f>IFERROR(__xludf.DUMMYFUNCTION("""COMPUTED_VALUE"""),"Unlisted")</f>
        <v>Unlisted</v>
      </c>
    </row>
    <row r="280">
      <c r="A280" s="255" t="str">
        <f>IFERROR(__xludf.DUMMYFUNCTION("""COMPUTED_VALUE"""),"Sobble")</f>
        <v>Sobble</v>
      </c>
      <c r="B280" s="174" t="str">
        <f>IFERROR(__xludf.DUMMYFUNCTION("""COMPUTED_VALUE"""),"Proficient")</f>
        <v>Proficient</v>
      </c>
      <c r="C280" s="174" t="str">
        <f>IFERROR(__xludf.DUMMYFUNCTION("""COMPUTED_VALUE"""),"Inept")</f>
        <v>Inept</v>
      </c>
      <c r="D280" s="174" t="str">
        <f>IFERROR(__xludf.DUMMYFUNCTION("""COMPUTED_VALUE"""),"Unlisted")</f>
        <v>Unlisted</v>
      </c>
      <c r="E280" s="174" t="str">
        <f>IFERROR(__xludf.DUMMYFUNCTION("""COMPUTED_VALUE"""),"Unlisted")</f>
        <v>Unlisted</v>
      </c>
      <c r="F280" s="174" t="str">
        <f>IFERROR(__xludf.DUMMYFUNCTION("""COMPUTED_VALUE"""),"Unlisted")</f>
        <v>Unlisted</v>
      </c>
      <c r="G280" s="174" t="str">
        <f>IFERROR(__xludf.DUMMYFUNCTION("""COMPUTED_VALUE"""),"Proficient")</f>
        <v>Proficient</v>
      </c>
      <c r="H280" s="174" t="str">
        <f>IFERROR(__xludf.DUMMYFUNCTION("""COMPUTED_VALUE"""),"Unlisted")</f>
        <v>Unlisted</v>
      </c>
      <c r="I280" s="174" t="str">
        <f>IFERROR(__xludf.DUMMYFUNCTION("""COMPUTED_VALUE"""),"Unlisted")</f>
        <v>Unlisted</v>
      </c>
      <c r="J280" s="174" t="str">
        <f>IFERROR(__xludf.DUMMYFUNCTION("""COMPUTED_VALUE"""),"Unlisted")</f>
        <v>Unlisted</v>
      </c>
      <c r="K280" s="174" t="str">
        <f>IFERROR(__xludf.DUMMYFUNCTION("""COMPUTED_VALUE"""),"Mastered")</f>
        <v>Mastered</v>
      </c>
      <c r="L280" s="174" t="str">
        <f>IFERROR(__xludf.DUMMYFUNCTION("""COMPUTED_VALUE"""),"Proficient")</f>
        <v>Proficient</v>
      </c>
      <c r="M280" s="174" t="str">
        <f>IFERROR(__xludf.DUMMYFUNCTION("""COMPUTED_VALUE"""),"Unlisted")</f>
        <v>Unlisted</v>
      </c>
      <c r="N280" s="174" t="str">
        <f>IFERROR(__xludf.DUMMYFUNCTION("""COMPUTED_VALUE"""),"Unlisted")</f>
        <v>Unlisted</v>
      </c>
      <c r="O280" s="174" t="str">
        <f>IFERROR(__xludf.DUMMYFUNCTION("""COMPUTED_VALUE"""),"Unlisted")</f>
        <v>Unlisted</v>
      </c>
      <c r="P280" s="174" t="str">
        <f>IFERROR(__xludf.DUMMYFUNCTION("""COMPUTED_VALUE"""),"Unlisted")</f>
        <v>Unlisted</v>
      </c>
      <c r="Q280" s="174" t="str">
        <f>IFERROR(__xludf.DUMMYFUNCTION("""COMPUTED_VALUE"""),"Unlisted")</f>
        <v>Unlisted</v>
      </c>
      <c r="R280" s="174" t="str">
        <f>IFERROR(__xludf.DUMMYFUNCTION("""COMPUTED_VALUE"""),"Unlisted")</f>
        <v>Unlisted</v>
      </c>
    </row>
    <row r="281">
      <c r="A281" s="255" t="str">
        <f>IFERROR(__xludf.DUMMYFUNCTION("""COMPUTED_VALUE"""),"Drizzile")</f>
        <v>Drizzile</v>
      </c>
      <c r="B281" s="174" t="str">
        <f>IFERROR(__xludf.DUMMYFUNCTION("""COMPUTED_VALUE"""),"Proficient")</f>
        <v>Proficient</v>
      </c>
      <c r="C281" s="174" t="str">
        <f>IFERROR(__xludf.DUMMYFUNCTION("""COMPUTED_VALUE"""),"Inept")</f>
        <v>Inept</v>
      </c>
      <c r="D281" s="174" t="str">
        <f>IFERROR(__xludf.DUMMYFUNCTION("""COMPUTED_VALUE"""),"Unlisted")</f>
        <v>Unlisted</v>
      </c>
      <c r="E281" s="174" t="str">
        <f>IFERROR(__xludf.DUMMYFUNCTION("""COMPUTED_VALUE"""),"Unlisted")</f>
        <v>Unlisted</v>
      </c>
      <c r="F281" s="174" t="str">
        <f>IFERROR(__xludf.DUMMYFUNCTION("""COMPUTED_VALUE"""),"Unlisted")</f>
        <v>Unlisted</v>
      </c>
      <c r="G281" s="174" t="str">
        <f>IFERROR(__xludf.DUMMYFUNCTION("""COMPUTED_VALUE"""),"Proficient")</f>
        <v>Proficient</v>
      </c>
      <c r="H281" s="174" t="str">
        <f>IFERROR(__xludf.DUMMYFUNCTION("""COMPUTED_VALUE"""),"Unlisted")</f>
        <v>Unlisted</v>
      </c>
      <c r="I281" s="174" t="str">
        <f>IFERROR(__xludf.DUMMYFUNCTION("""COMPUTED_VALUE"""),"Unlisted")</f>
        <v>Unlisted</v>
      </c>
      <c r="J281" s="174" t="str">
        <f>IFERROR(__xludf.DUMMYFUNCTION("""COMPUTED_VALUE"""),"Unlisted")</f>
        <v>Unlisted</v>
      </c>
      <c r="K281" s="174" t="str">
        <f>IFERROR(__xludf.DUMMYFUNCTION("""COMPUTED_VALUE"""),"Mastered")</f>
        <v>Mastered</v>
      </c>
      <c r="L281" s="174" t="str">
        <f>IFERROR(__xludf.DUMMYFUNCTION("""COMPUTED_VALUE"""),"Proficient")</f>
        <v>Proficient</v>
      </c>
      <c r="M281" s="174" t="str">
        <f>IFERROR(__xludf.DUMMYFUNCTION("""COMPUTED_VALUE"""),"Unlisted")</f>
        <v>Unlisted</v>
      </c>
      <c r="N281" s="174" t="str">
        <f>IFERROR(__xludf.DUMMYFUNCTION("""COMPUTED_VALUE"""),"Unlisted")</f>
        <v>Unlisted</v>
      </c>
      <c r="O281" s="174" t="str">
        <f>IFERROR(__xludf.DUMMYFUNCTION("""COMPUTED_VALUE"""),"Unlisted")</f>
        <v>Unlisted</v>
      </c>
      <c r="P281" s="174" t="str">
        <f>IFERROR(__xludf.DUMMYFUNCTION("""COMPUTED_VALUE"""),"Unlisted")</f>
        <v>Unlisted</v>
      </c>
      <c r="Q281" s="174" t="str">
        <f>IFERROR(__xludf.DUMMYFUNCTION("""COMPUTED_VALUE"""),"Unlisted")</f>
        <v>Unlisted</v>
      </c>
      <c r="R281" s="174" t="str">
        <f>IFERROR(__xludf.DUMMYFUNCTION("""COMPUTED_VALUE"""),"Unlisted")</f>
        <v>Unlisted</v>
      </c>
    </row>
    <row r="282">
      <c r="A282" s="255" t="str">
        <f>IFERROR(__xludf.DUMMYFUNCTION("""COMPUTED_VALUE"""),"Inteleon")</f>
        <v>Inteleon</v>
      </c>
      <c r="B282" s="174" t="str">
        <f>IFERROR(__xludf.DUMMYFUNCTION("""COMPUTED_VALUE"""),"Proficient")</f>
        <v>Proficient</v>
      </c>
      <c r="C282" s="174" t="str">
        <f>IFERROR(__xludf.DUMMYFUNCTION("""COMPUTED_VALUE"""),"Inept")</f>
        <v>Inept</v>
      </c>
      <c r="D282" s="174" t="str">
        <f>IFERROR(__xludf.DUMMYFUNCTION("""COMPUTED_VALUE"""),"Unlisted")</f>
        <v>Unlisted</v>
      </c>
      <c r="E282" s="174" t="str">
        <f>IFERROR(__xludf.DUMMYFUNCTION("""COMPUTED_VALUE"""),"Unlisted")</f>
        <v>Unlisted</v>
      </c>
      <c r="F282" s="174" t="str">
        <f>IFERROR(__xludf.DUMMYFUNCTION("""COMPUTED_VALUE"""),"Unlisted")</f>
        <v>Unlisted</v>
      </c>
      <c r="G282" s="174" t="str">
        <f>IFERROR(__xludf.DUMMYFUNCTION("""COMPUTED_VALUE"""),"Proficient")</f>
        <v>Proficient</v>
      </c>
      <c r="H282" s="174" t="str">
        <f>IFERROR(__xludf.DUMMYFUNCTION("""COMPUTED_VALUE"""),"Unlisted")</f>
        <v>Unlisted</v>
      </c>
      <c r="I282" s="174" t="str">
        <f>IFERROR(__xludf.DUMMYFUNCTION("""COMPUTED_VALUE"""),"Unlisted")</f>
        <v>Unlisted</v>
      </c>
      <c r="J282" s="174" t="str">
        <f>IFERROR(__xludf.DUMMYFUNCTION("""COMPUTED_VALUE"""),"Unlisted")</f>
        <v>Unlisted</v>
      </c>
      <c r="K282" s="174" t="str">
        <f>IFERROR(__xludf.DUMMYFUNCTION("""COMPUTED_VALUE"""),"Mastered")</f>
        <v>Mastered</v>
      </c>
      <c r="L282" s="174" t="str">
        <f>IFERROR(__xludf.DUMMYFUNCTION("""COMPUTED_VALUE"""),"Proficient")</f>
        <v>Proficient</v>
      </c>
      <c r="M282" s="174" t="str">
        <f>IFERROR(__xludf.DUMMYFUNCTION("""COMPUTED_VALUE"""),"Unlisted")</f>
        <v>Unlisted</v>
      </c>
      <c r="N282" s="174" t="str">
        <f>IFERROR(__xludf.DUMMYFUNCTION("""COMPUTED_VALUE"""),"Unlisted")</f>
        <v>Unlisted</v>
      </c>
      <c r="O282" s="174" t="str">
        <f>IFERROR(__xludf.DUMMYFUNCTION("""COMPUTED_VALUE"""),"Unlisted")</f>
        <v>Unlisted</v>
      </c>
      <c r="P282" s="174" t="str">
        <f>IFERROR(__xludf.DUMMYFUNCTION("""COMPUTED_VALUE"""),"Unlisted")</f>
        <v>Unlisted</v>
      </c>
      <c r="Q282" s="174" t="str">
        <f>IFERROR(__xludf.DUMMYFUNCTION("""COMPUTED_VALUE"""),"Unlisted")</f>
        <v>Unlisted</v>
      </c>
      <c r="R282" s="174" t="str">
        <f>IFERROR(__xludf.DUMMYFUNCTION("""COMPUTED_VALUE"""),"Unlisted")</f>
        <v>Unlisted</v>
      </c>
    </row>
    <row r="283">
      <c r="A283" s="255" t="str">
        <f>IFERROR(__xludf.DUMMYFUNCTION("""COMPUTED_VALUE"""),"Quaxly")</f>
        <v>Quaxly</v>
      </c>
      <c r="B283" s="174" t="str">
        <f>IFERROR(__xludf.DUMMYFUNCTION("""COMPUTED_VALUE"""),"Mastered")</f>
        <v>Mastered</v>
      </c>
      <c r="C283" s="174" t="str">
        <f>IFERROR(__xludf.DUMMYFUNCTION("""COMPUTED_VALUE"""),"Unlisted")</f>
        <v>Unlisted</v>
      </c>
      <c r="D283" s="174" t="str">
        <f>IFERROR(__xludf.DUMMYFUNCTION("""COMPUTED_VALUE"""),"Unlisted")</f>
        <v>Unlisted</v>
      </c>
      <c r="E283" s="174" t="str">
        <f>IFERROR(__xludf.DUMMYFUNCTION("""COMPUTED_VALUE"""),"Proficient")</f>
        <v>Proficient</v>
      </c>
      <c r="F283" s="174" t="str">
        <f>IFERROR(__xludf.DUMMYFUNCTION("""COMPUTED_VALUE"""),"Proficient")</f>
        <v>Proficient</v>
      </c>
      <c r="G283" s="174" t="str">
        <f>IFERROR(__xludf.DUMMYFUNCTION("""COMPUTED_VALUE"""),"Unlisted")</f>
        <v>Unlisted</v>
      </c>
      <c r="H283" s="174" t="str">
        <f>IFERROR(__xludf.DUMMYFUNCTION("""COMPUTED_VALUE"""),"Unlisted")</f>
        <v>Unlisted</v>
      </c>
      <c r="I283" s="174" t="str">
        <f>IFERROR(__xludf.DUMMYFUNCTION("""COMPUTED_VALUE"""),"Unlisted")</f>
        <v>Unlisted</v>
      </c>
      <c r="J283" s="174" t="str">
        <f>IFERROR(__xludf.DUMMYFUNCTION("""COMPUTED_VALUE"""),"Unlisted")</f>
        <v>Unlisted</v>
      </c>
      <c r="K283" s="174" t="str">
        <f>IFERROR(__xludf.DUMMYFUNCTION("""COMPUTED_VALUE"""),"Unlisted")</f>
        <v>Unlisted</v>
      </c>
      <c r="L283" s="174" t="str">
        <f>IFERROR(__xludf.DUMMYFUNCTION("""COMPUTED_VALUE"""),"Unlisted")</f>
        <v>Unlisted</v>
      </c>
      <c r="M283" s="174" t="str">
        <f>IFERROR(__xludf.DUMMYFUNCTION("""COMPUTED_VALUE"""),"Unlisted")</f>
        <v>Unlisted</v>
      </c>
      <c r="N283" s="174" t="str">
        <f>IFERROR(__xludf.DUMMYFUNCTION("""COMPUTED_VALUE"""),"Unlisted")</f>
        <v>Unlisted</v>
      </c>
      <c r="O283" s="174" t="str">
        <f>IFERROR(__xludf.DUMMYFUNCTION("""COMPUTED_VALUE"""),"Unlisted")</f>
        <v>Unlisted</v>
      </c>
      <c r="P283" s="174" t="str">
        <f>IFERROR(__xludf.DUMMYFUNCTION("""COMPUTED_VALUE"""),"Unlisted")</f>
        <v>Unlisted</v>
      </c>
      <c r="Q283" s="174" t="str">
        <f>IFERROR(__xludf.DUMMYFUNCTION("""COMPUTED_VALUE"""),"Unlisted")</f>
        <v>Unlisted</v>
      </c>
      <c r="R283" s="174" t="str">
        <f>IFERROR(__xludf.DUMMYFUNCTION("""COMPUTED_VALUE"""),"Unlisted")</f>
        <v>Unlisted</v>
      </c>
    </row>
    <row r="284">
      <c r="A284" s="255" t="str">
        <f>IFERROR(__xludf.DUMMYFUNCTION("""COMPUTED_VALUE"""),"Quaxwell")</f>
        <v>Quaxwell</v>
      </c>
      <c r="B284" s="174" t="str">
        <f>IFERROR(__xludf.DUMMYFUNCTION("""COMPUTED_VALUE"""),"Mastered")</f>
        <v>Mastered</v>
      </c>
      <c r="C284" s="174" t="str">
        <f>IFERROR(__xludf.DUMMYFUNCTION("""COMPUTED_VALUE"""),"Unlisted")</f>
        <v>Unlisted</v>
      </c>
      <c r="D284" s="174" t="str">
        <f>IFERROR(__xludf.DUMMYFUNCTION("""COMPUTED_VALUE"""),"Unlisted")</f>
        <v>Unlisted</v>
      </c>
      <c r="E284" s="174" t="str">
        <f>IFERROR(__xludf.DUMMYFUNCTION("""COMPUTED_VALUE"""),"Proficient")</f>
        <v>Proficient</v>
      </c>
      <c r="F284" s="174" t="str">
        <f>IFERROR(__xludf.DUMMYFUNCTION("""COMPUTED_VALUE"""),"Proficient")</f>
        <v>Proficient</v>
      </c>
      <c r="G284" s="174" t="str">
        <f>IFERROR(__xludf.DUMMYFUNCTION("""COMPUTED_VALUE"""),"Unlisted")</f>
        <v>Unlisted</v>
      </c>
      <c r="H284" s="174" t="str">
        <f>IFERROR(__xludf.DUMMYFUNCTION("""COMPUTED_VALUE"""),"Unlisted")</f>
        <v>Unlisted</v>
      </c>
      <c r="I284" s="174" t="str">
        <f>IFERROR(__xludf.DUMMYFUNCTION("""COMPUTED_VALUE"""),"Unlisted")</f>
        <v>Unlisted</v>
      </c>
      <c r="J284" s="174" t="str">
        <f>IFERROR(__xludf.DUMMYFUNCTION("""COMPUTED_VALUE"""),"Unlisted")</f>
        <v>Unlisted</v>
      </c>
      <c r="K284" s="174" t="str">
        <f>IFERROR(__xludf.DUMMYFUNCTION("""COMPUTED_VALUE"""),"Unlisted")</f>
        <v>Unlisted</v>
      </c>
      <c r="L284" s="174" t="str">
        <f>IFERROR(__xludf.DUMMYFUNCTION("""COMPUTED_VALUE"""),"Unlisted")</f>
        <v>Unlisted</v>
      </c>
      <c r="M284" s="174" t="str">
        <f>IFERROR(__xludf.DUMMYFUNCTION("""COMPUTED_VALUE"""),"Unlisted")</f>
        <v>Unlisted</v>
      </c>
      <c r="N284" s="174" t="str">
        <f>IFERROR(__xludf.DUMMYFUNCTION("""COMPUTED_VALUE"""),"Unlisted")</f>
        <v>Unlisted</v>
      </c>
      <c r="O284" s="174" t="str">
        <f>IFERROR(__xludf.DUMMYFUNCTION("""COMPUTED_VALUE"""),"Unlisted")</f>
        <v>Unlisted</v>
      </c>
      <c r="P284" s="174" t="str">
        <f>IFERROR(__xludf.DUMMYFUNCTION("""COMPUTED_VALUE"""),"Unlisted")</f>
        <v>Unlisted</v>
      </c>
      <c r="Q284" s="174" t="str">
        <f>IFERROR(__xludf.DUMMYFUNCTION("""COMPUTED_VALUE"""),"Unlisted")</f>
        <v>Unlisted</v>
      </c>
      <c r="R284" s="174" t="str">
        <f>IFERROR(__xludf.DUMMYFUNCTION("""COMPUTED_VALUE"""),"Unlisted")</f>
        <v>Unlisted</v>
      </c>
    </row>
    <row r="285">
      <c r="A285" s="255" t="str">
        <f>IFERROR(__xludf.DUMMYFUNCTION("""COMPUTED_VALUE"""),"Quaquaval")</f>
        <v>Quaquaval</v>
      </c>
      <c r="B285" s="174" t="str">
        <f>IFERROR(__xludf.DUMMYFUNCTION("""COMPUTED_VALUE"""),"Mastered")</f>
        <v>Mastered</v>
      </c>
      <c r="C285" s="174" t="str">
        <f>IFERROR(__xludf.DUMMYFUNCTION("""COMPUTED_VALUE"""),"Unlisted")</f>
        <v>Unlisted</v>
      </c>
      <c r="D285" s="174" t="str">
        <f>IFERROR(__xludf.DUMMYFUNCTION("""COMPUTED_VALUE"""),"Unlisted")</f>
        <v>Unlisted</v>
      </c>
      <c r="E285" s="174" t="str">
        <f>IFERROR(__xludf.DUMMYFUNCTION("""COMPUTED_VALUE"""),"Proficient")</f>
        <v>Proficient</v>
      </c>
      <c r="F285" s="174" t="str">
        <f>IFERROR(__xludf.DUMMYFUNCTION("""COMPUTED_VALUE"""),"Proficient")</f>
        <v>Proficient</v>
      </c>
      <c r="G285" s="174" t="str">
        <f>IFERROR(__xludf.DUMMYFUNCTION("""COMPUTED_VALUE"""),"Unlisted")</f>
        <v>Unlisted</v>
      </c>
      <c r="H285" s="174" t="str">
        <f>IFERROR(__xludf.DUMMYFUNCTION("""COMPUTED_VALUE"""),"Unlisted")</f>
        <v>Unlisted</v>
      </c>
      <c r="I285" s="174" t="str">
        <f>IFERROR(__xludf.DUMMYFUNCTION("""COMPUTED_VALUE"""),"Unlisted")</f>
        <v>Unlisted</v>
      </c>
      <c r="J285" s="174" t="str">
        <f>IFERROR(__xludf.DUMMYFUNCTION("""COMPUTED_VALUE"""),"Unlisted")</f>
        <v>Unlisted</v>
      </c>
      <c r="K285" s="174" t="str">
        <f>IFERROR(__xludf.DUMMYFUNCTION("""COMPUTED_VALUE"""),"Unlisted")</f>
        <v>Unlisted</v>
      </c>
      <c r="L285" s="174" t="str">
        <f>IFERROR(__xludf.DUMMYFUNCTION("""COMPUTED_VALUE"""),"Unlisted")</f>
        <v>Unlisted</v>
      </c>
      <c r="M285" s="174" t="str">
        <f>IFERROR(__xludf.DUMMYFUNCTION("""COMPUTED_VALUE"""),"Unlisted")</f>
        <v>Unlisted</v>
      </c>
      <c r="N285" s="174" t="str">
        <f>IFERROR(__xludf.DUMMYFUNCTION("""COMPUTED_VALUE"""),"Unlisted")</f>
        <v>Unlisted</v>
      </c>
      <c r="O285" s="174" t="str">
        <f>IFERROR(__xludf.DUMMYFUNCTION("""COMPUTED_VALUE"""),"Unlisted")</f>
        <v>Unlisted</v>
      </c>
      <c r="P285" s="174" t="str">
        <f>IFERROR(__xludf.DUMMYFUNCTION("""COMPUTED_VALUE"""),"Unlisted")</f>
        <v>Unlisted</v>
      </c>
      <c r="Q285" s="174" t="str">
        <f>IFERROR(__xludf.DUMMYFUNCTION("""COMPUTED_VALUE"""),"Unlisted")</f>
        <v>Unlisted</v>
      </c>
      <c r="R285" s="174" t="str">
        <f>IFERROR(__xludf.DUMMYFUNCTION("""COMPUTED_VALUE"""),"Unlisted")</f>
        <v>Unlisted</v>
      </c>
    </row>
    <row r="286">
      <c r="A286" s="255" t="str">
        <f>IFERROR(__xludf.DUMMYFUNCTION("""COMPUTED_VALUE"""),"Caterpie")</f>
        <v>Caterpie</v>
      </c>
      <c r="B286" s="174" t="str">
        <f>IFERROR(__xludf.DUMMYFUNCTION("""COMPUTED_VALUE"""),"Inept")</f>
        <v>Inept</v>
      </c>
      <c r="C286" s="174" t="str">
        <f>IFERROR(__xludf.DUMMYFUNCTION("""COMPUTED_VALUE"""),"Inept")</f>
        <v>Inept</v>
      </c>
      <c r="D286" s="174" t="str">
        <f>IFERROR(__xludf.DUMMYFUNCTION("""COMPUTED_VALUE"""),"Unlisted")</f>
        <v>Unlisted</v>
      </c>
      <c r="E286" s="174" t="str">
        <f>IFERROR(__xludf.DUMMYFUNCTION("""COMPUTED_VALUE"""),"Inept")</f>
        <v>Inept</v>
      </c>
      <c r="F286" s="174" t="str">
        <f>IFERROR(__xludf.DUMMYFUNCTION("""COMPUTED_VALUE"""),"Unlisted")</f>
        <v>Unlisted</v>
      </c>
      <c r="G286" s="174" t="str">
        <f>IFERROR(__xludf.DUMMYFUNCTION("""COMPUTED_VALUE"""),"Proficient")</f>
        <v>Proficient</v>
      </c>
      <c r="H286" s="174" t="str">
        <f>IFERROR(__xludf.DUMMYFUNCTION("""COMPUTED_VALUE"""),"Unlisted")</f>
        <v>Unlisted</v>
      </c>
      <c r="I286" s="174" t="str">
        <f>IFERROR(__xludf.DUMMYFUNCTION("""COMPUTED_VALUE"""),"Unlisted")</f>
        <v>Unlisted</v>
      </c>
      <c r="J286" s="174" t="str">
        <f>IFERROR(__xludf.DUMMYFUNCTION("""COMPUTED_VALUE"""),"Unlisted")</f>
        <v>Unlisted</v>
      </c>
      <c r="K286" s="174" t="str">
        <f>IFERROR(__xludf.DUMMYFUNCTION("""COMPUTED_VALUE"""),"Proficient")</f>
        <v>Proficient</v>
      </c>
      <c r="L286" s="174" t="str">
        <f>IFERROR(__xludf.DUMMYFUNCTION("""COMPUTED_VALUE"""),"Proficient")</f>
        <v>Proficient</v>
      </c>
      <c r="M286" s="174" t="str">
        <f>IFERROR(__xludf.DUMMYFUNCTION("""COMPUTED_VALUE"""),"Unlisted")</f>
        <v>Unlisted</v>
      </c>
      <c r="N286" s="174" t="str">
        <f>IFERROR(__xludf.DUMMYFUNCTION("""COMPUTED_VALUE"""),"Unlisted")</f>
        <v>Unlisted</v>
      </c>
      <c r="O286" s="174" t="str">
        <f>IFERROR(__xludf.DUMMYFUNCTION("""COMPUTED_VALUE"""),"Unlisted")</f>
        <v>Unlisted</v>
      </c>
      <c r="P286" s="174" t="str">
        <f>IFERROR(__xludf.DUMMYFUNCTION("""COMPUTED_VALUE"""),"Unlisted")</f>
        <v>Unlisted</v>
      </c>
      <c r="Q286" s="174" t="str">
        <f>IFERROR(__xludf.DUMMYFUNCTION("""COMPUTED_VALUE"""),"Unlisted")</f>
        <v>Unlisted</v>
      </c>
      <c r="R286" s="174" t="str">
        <f>IFERROR(__xludf.DUMMYFUNCTION("""COMPUTED_VALUE"""),"Unlisted")</f>
        <v>Unlisted</v>
      </c>
    </row>
    <row r="287">
      <c r="A287" s="255" t="str">
        <f>IFERROR(__xludf.DUMMYFUNCTION("""COMPUTED_VALUE"""),"Metapod")</f>
        <v>Metapod</v>
      </c>
      <c r="B287" s="174" t="str">
        <f>IFERROR(__xludf.DUMMYFUNCTION("""COMPUTED_VALUE"""),"Inept")</f>
        <v>Inept</v>
      </c>
      <c r="C287" s="174" t="str">
        <f>IFERROR(__xludf.DUMMYFUNCTION("""COMPUTED_VALUE"""),"Inept")</f>
        <v>Inept</v>
      </c>
      <c r="D287" s="174" t="str">
        <f>IFERROR(__xludf.DUMMYFUNCTION("""COMPUTED_VALUE"""),"Unlisted")</f>
        <v>Unlisted</v>
      </c>
      <c r="E287" s="174" t="str">
        <f>IFERROR(__xludf.DUMMYFUNCTION("""COMPUTED_VALUE"""),"Inept")</f>
        <v>Inept</v>
      </c>
      <c r="F287" s="174" t="str">
        <f>IFERROR(__xludf.DUMMYFUNCTION("""COMPUTED_VALUE"""),"Unlisted")</f>
        <v>Unlisted</v>
      </c>
      <c r="G287" s="174" t="str">
        <f>IFERROR(__xludf.DUMMYFUNCTION("""COMPUTED_VALUE"""),"Proficient")</f>
        <v>Proficient</v>
      </c>
      <c r="H287" s="174" t="str">
        <f>IFERROR(__xludf.DUMMYFUNCTION("""COMPUTED_VALUE"""),"Unlisted")</f>
        <v>Unlisted</v>
      </c>
      <c r="I287" s="174" t="str">
        <f>IFERROR(__xludf.DUMMYFUNCTION("""COMPUTED_VALUE"""),"Unlisted")</f>
        <v>Unlisted</v>
      </c>
      <c r="J287" s="174" t="str">
        <f>IFERROR(__xludf.DUMMYFUNCTION("""COMPUTED_VALUE"""),"Unlisted")</f>
        <v>Unlisted</v>
      </c>
      <c r="K287" s="174" t="str">
        <f>IFERROR(__xludf.DUMMYFUNCTION("""COMPUTED_VALUE"""),"Proficient")</f>
        <v>Proficient</v>
      </c>
      <c r="L287" s="174" t="str">
        <f>IFERROR(__xludf.DUMMYFUNCTION("""COMPUTED_VALUE"""),"Proficient")</f>
        <v>Proficient</v>
      </c>
      <c r="M287" s="174" t="str">
        <f>IFERROR(__xludf.DUMMYFUNCTION("""COMPUTED_VALUE"""),"Unlisted")</f>
        <v>Unlisted</v>
      </c>
      <c r="N287" s="174" t="str">
        <f>IFERROR(__xludf.DUMMYFUNCTION("""COMPUTED_VALUE"""),"Unlisted")</f>
        <v>Unlisted</v>
      </c>
      <c r="O287" s="174" t="str">
        <f>IFERROR(__xludf.DUMMYFUNCTION("""COMPUTED_VALUE"""),"Unlisted")</f>
        <v>Unlisted</v>
      </c>
      <c r="P287" s="174" t="str">
        <f>IFERROR(__xludf.DUMMYFUNCTION("""COMPUTED_VALUE"""),"Unlisted")</f>
        <v>Unlisted</v>
      </c>
      <c r="Q287" s="174" t="str">
        <f>IFERROR(__xludf.DUMMYFUNCTION("""COMPUTED_VALUE"""),"Unlisted")</f>
        <v>Unlisted</v>
      </c>
      <c r="R287" s="174" t="str">
        <f>IFERROR(__xludf.DUMMYFUNCTION("""COMPUTED_VALUE"""),"Unlisted")</f>
        <v>Unlisted</v>
      </c>
    </row>
    <row r="288">
      <c r="A288" s="255" t="str">
        <f>IFERROR(__xludf.DUMMYFUNCTION("""COMPUTED_VALUE"""),"Butterfree")</f>
        <v>Butterfree</v>
      </c>
      <c r="B288" s="174" t="str">
        <f>IFERROR(__xludf.DUMMYFUNCTION("""COMPUTED_VALUE"""),"Proficient")</f>
        <v>Proficient</v>
      </c>
      <c r="C288" s="174" t="str">
        <f>IFERROR(__xludf.DUMMYFUNCTION("""COMPUTED_VALUE"""),"Inept")</f>
        <v>Inept</v>
      </c>
      <c r="D288" s="174" t="str">
        <f>IFERROR(__xludf.DUMMYFUNCTION("""COMPUTED_VALUE"""),"Unlisted")</f>
        <v>Unlisted</v>
      </c>
      <c r="E288" s="174" t="str">
        <f>IFERROR(__xludf.DUMMYFUNCTION("""COMPUTED_VALUE"""),"Inept")</f>
        <v>Inept</v>
      </c>
      <c r="F288" s="174" t="str">
        <f>IFERROR(__xludf.DUMMYFUNCTION("""COMPUTED_VALUE"""),"Unlisted")</f>
        <v>Unlisted</v>
      </c>
      <c r="G288" s="174" t="str">
        <f>IFERROR(__xludf.DUMMYFUNCTION("""COMPUTED_VALUE"""),"Proficient")</f>
        <v>Proficient</v>
      </c>
      <c r="H288" s="174" t="str">
        <f>IFERROR(__xludf.DUMMYFUNCTION("""COMPUTED_VALUE"""),"Unlisted")</f>
        <v>Unlisted</v>
      </c>
      <c r="I288" s="174" t="str">
        <f>IFERROR(__xludf.DUMMYFUNCTION("""COMPUTED_VALUE"""),"Unlisted")</f>
        <v>Unlisted</v>
      </c>
      <c r="J288" s="174" t="str">
        <f>IFERROR(__xludf.DUMMYFUNCTION("""COMPUTED_VALUE"""),"Unlisted")</f>
        <v>Unlisted</v>
      </c>
      <c r="K288" s="174" t="str">
        <f>IFERROR(__xludf.DUMMYFUNCTION("""COMPUTED_VALUE"""),"Mastered")</f>
        <v>Mastered</v>
      </c>
      <c r="L288" s="174" t="str">
        <f>IFERROR(__xludf.DUMMYFUNCTION("""COMPUTED_VALUE"""),"Unlisted")</f>
        <v>Unlisted</v>
      </c>
      <c r="M288" s="174" t="str">
        <f>IFERROR(__xludf.DUMMYFUNCTION("""COMPUTED_VALUE"""),"Unlisted")</f>
        <v>Unlisted</v>
      </c>
      <c r="N288" s="174" t="str">
        <f>IFERROR(__xludf.DUMMYFUNCTION("""COMPUTED_VALUE"""),"Unlisted")</f>
        <v>Unlisted</v>
      </c>
      <c r="O288" s="174" t="str">
        <f>IFERROR(__xludf.DUMMYFUNCTION("""COMPUTED_VALUE"""),"Unlisted")</f>
        <v>Unlisted</v>
      </c>
      <c r="P288" s="174" t="str">
        <f>IFERROR(__xludf.DUMMYFUNCTION("""COMPUTED_VALUE"""),"Unlisted")</f>
        <v>Unlisted</v>
      </c>
      <c r="Q288" s="174" t="str">
        <f>IFERROR(__xludf.DUMMYFUNCTION("""COMPUTED_VALUE"""),"Unlisted")</f>
        <v>Unlisted</v>
      </c>
      <c r="R288" s="174" t="str">
        <f>IFERROR(__xludf.DUMMYFUNCTION("""COMPUTED_VALUE"""),"Unlisted")</f>
        <v>Unlisted</v>
      </c>
    </row>
    <row r="289">
      <c r="A289" s="255" t="str">
        <f>IFERROR(__xludf.DUMMYFUNCTION("""COMPUTED_VALUE"""),"Weedle")</f>
        <v>Weedle</v>
      </c>
      <c r="B289" s="174" t="str">
        <f>IFERROR(__xludf.DUMMYFUNCTION("""COMPUTED_VALUE"""),"Inept")</f>
        <v>Inept</v>
      </c>
      <c r="C289" s="174" t="str">
        <f>IFERROR(__xludf.DUMMYFUNCTION("""COMPUTED_VALUE"""),"Inept")</f>
        <v>Inept</v>
      </c>
      <c r="D289" s="174" t="str">
        <f>IFERROR(__xludf.DUMMYFUNCTION("""COMPUTED_VALUE"""),"Unlisted")</f>
        <v>Unlisted</v>
      </c>
      <c r="E289" s="174" t="str">
        <f>IFERROR(__xludf.DUMMYFUNCTION("""COMPUTED_VALUE"""),"Inept")</f>
        <v>Inept</v>
      </c>
      <c r="F289" s="174" t="str">
        <f>IFERROR(__xludf.DUMMYFUNCTION("""COMPUTED_VALUE"""),"Unlisted")</f>
        <v>Unlisted</v>
      </c>
      <c r="G289" s="174" t="str">
        <f>IFERROR(__xludf.DUMMYFUNCTION("""COMPUTED_VALUE"""),"Proficient")</f>
        <v>Proficient</v>
      </c>
      <c r="H289" s="174" t="str">
        <f>IFERROR(__xludf.DUMMYFUNCTION("""COMPUTED_VALUE"""),"Unlisted")</f>
        <v>Unlisted</v>
      </c>
      <c r="I289" s="174" t="str">
        <f>IFERROR(__xludf.DUMMYFUNCTION("""COMPUTED_VALUE"""),"Unlisted")</f>
        <v>Unlisted</v>
      </c>
      <c r="J289" s="174" t="str">
        <f>IFERROR(__xludf.DUMMYFUNCTION("""COMPUTED_VALUE"""),"Unlisted")</f>
        <v>Unlisted</v>
      </c>
      <c r="K289" s="174" t="str">
        <f>IFERROR(__xludf.DUMMYFUNCTION("""COMPUTED_VALUE"""),"Proficient")</f>
        <v>Proficient</v>
      </c>
      <c r="L289" s="174" t="str">
        <f>IFERROR(__xludf.DUMMYFUNCTION("""COMPUTED_VALUE"""),"Proficient")</f>
        <v>Proficient</v>
      </c>
      <c r="M289" s="174" t="str">
        <f>IFERROR(__xludf.DUMMYFUNCTION("""COMPUTED_VALUE"""),"Unlisted")</f>
        <v>Unlisted</v>
      </c>
      <c r="N289" s="174" t="str">
        <f>IFERROR(__xludf.DUMMYFUNCTION("""COMPUTED_VALUE"""),"Unlisted")</f>
        <v>Unlisted</v>
      </c>
      <c r="O289" s="174" t="str">
        <f>IFERROR(__xludf.DUMMYFUNCTION("""COMPUTED_VALUE"""),"Unlisted")</f>
        <v>Unlisted</v>
      </c>
      <c r="P289" s="174" t="str">
        <f>IFERROR(__xludf.DUMMYFUNCTION("""COMPUTED_VALUE"""),"Unlisted")</f>
        <v>Unlisted</v>
      </c>
      <c r="Q289" s="174" t="str">
        <f>IFERROR(__xludf.DUMMYFUNCTION("""COMPUTED_VALUE"""),"Unlisted")</f>
        <v>Unlisted</v>
      </c>
      <c r="R289" s="174" t="str">
        <f>IFERROR(__xludf.DUMMYFUNCTION("""COMPUTED_VALUE"""),"Unlisted")</f>
        <v>Unlisted</v>
      </c>
    </row>
    <row r="290">
      <c r="A290" s="255" t="str">
        <f>IFERROR(__xludf.DUMMYFUNCTION("""COMPUTED_VALUE"""),"Kakuna")</f>
        <v>Kakuna</v>
      </c>
      <c r="B290" s="174" t="str">
        <f>IFERROR(__xludf.DUMMYFUNCTION("""COMPUTED_VALUE"""),"Inept")</f>
        <v>Inept</v>
      </c>
      <c r="C290" s="174" t="str">
        <f>IFERROR(__xludf.DUMMYFUNCTION("""COMPUTED_VALUE"""),"Inept")</f>
        <v>Inept</v>
      </c>
      <c r="D290" s="174" t="str">
        <f>IFERROR(__xludf.DUMMYFUNCTION("""COMPUTED_VALUE"""),"Unlisted")</f>
        <v>Unlisted</v>
      </c>
      <c r="E290" s="174" t="str">
        <f>IFERROR(__xludf.DUMMYFUNCTION("""COMPUTED_VALUE"""),"Inept")</f>
        <v>Inept</v>
      </c>
      <c r="F290" s="174" t="str">
        <f>IFERROR(__xludf.DUMMYFUNCTION("""COMPUTED_VALUE"""),"Unlisted")</f>
        <v>Unlisted</v>
      </c>
      <c r="G290" s="174" t="str">
        <f>IFERROR(__xludf.DUMMYFUNCTION("""COMPUTED_VALUE"""),"Proficient")</f>
        <v>Proficient</v>
      </c>
      <c r="H290" s="174" t="str">
        <f>IFERROR(__xludf.DUMMYFUNCTION("""COMPUTED_VALUE"""),"Unlisted")</f>
        <v>Unlisted</v>
      </c>
      <c r="I290" s="174" t="str">
        <f>IFERROR(__xludf.DUMMYFUNCTION("""COMPUTED_VALUE"""),"Unlisted")</f>
        <v>Unlisted</v>
      </c>
      <c r="J290" s="174" t="str">
        <f>IFERROR(__xludf.DUMMYFUNCTION("""COMPUTED_VALUE"""),"Unlisted")</f>
        <v>Unlisted</v>
      </c>
      <c r="K290" s="174" t="str">
        <f>IFERROR(__xludf.DUMMYFUNCTION("""COMPUTED_VALUE"""),"Proficient")</f>
        <v>Proficient</v>
      </c>
      <c r="L290" s="174" t="str">
        <f>IFERROR(__xludf.DUMMYFUNCTION("""COMPUTED_VALUE"""),"Proficient")</f>
        <v>Proficient</v>
      </c>
      <c r="M290" s="174" t="str">
        <f>IFERROR(__xludf.DUMMYFUNCTION("""COMPUTED_VALUE"""),"Unlisted")</f>
        <v>Unlisted</v>
      </c>
      <c r="N290" s="174" t="str">
        <f>IFERROR(__xludf.DUMMYFUNCTION("""COMPUTED_VALUE"""),"Unlisted")</f>
        <v>Unlisted</v>
      </c>
      <c r="O290" s="174" t="str">
        <f>IFERROR(__xludf.DUMMYFUNCTION("""COMPUTED_VALUE"""),"Unlisted")</f>
        <v>Unlisted</v>
      </c>
      <c r="P290" s="174" t="str">
        <f>IFERROR(__xludf.DUMMYFUNCTION("""COMPUTED_VALUE"""),"Unlisted")</f>
        <v>Unlisted</v>
      </c>
      <c r="Q290" s="174" t="str">
        <f>IFERROR(__xludf.DUMMYFUNCTION("""COMPUTED_VALUE"""),"Unlisted")</f>
        <v>Unlisted</v>
      </c>
      <c r="R290" s="174" t="str">
        <f>IFERROR(__xludf.DUMMYFUNCTION("""COMPUTED_VALUE"""),"Unlisted")</f>
        <v>Unlisted</v>
      </c>
    </row>
    <row r="291">
      <c r="A291" s="255" t="str">
        <f>IFERROR(__xludf.DUMMYFUNCTION("""COMPUTED_VALUE"""),"Beedrill")</f>
        <v>Beedrill</v>
      </c>
      <c r="B291" s="174" t="str">
        <f>IFERROR(__xludf.DUMMYFUNCTION("""COMPUTED_VALUE"""),"Mastered")</f>
        <v>Mastered</v>
      </c>
      <c r="C291" s="174" t="str">
        <f>IFERROR(__xludf.DUMMYFUNCTION("""COMPUTED_VALUE"""),"Unlisted")</f>
        <v>Unlisted</v>
      </c>
      <c r="D291" s="174" t="str">
        <f>IFERROR(__xludf.DUMMYFUNCTION("""COMPUTED_VALUE"""),"Unlisted")</f>
        <v>Unlisted</v>
      </c>
      <c r="E291" s="174" t="str">
        <f>IFERROR(__xludf.DUMMYFUNCTION("""COMPUTED_VALUE"""),"Proficient")</f>
        <v>Proficient</v>
      </c>
      <c r="F291" s="174" t="str">
        <f>IFERROR(__xludf.DUMMYFUNCTION("""COMPUTED_VALUE"""),"Unlisted")</f>
        <v>Unlisted</v>
      </c>
      <c r="G291" s="174" t="str">
        <f>IFERROR(__xludf.DUMMYFUNCTION("""COMPUTED_VALUE"""),"Unlisted")</f>
        <v>Unlisted</v>
      </c>
      <c r="H291" s="174" t="str">
        <f>IFERROR(__xludf.DUMMYFUNCTION("""COMPUTED_VALUE"""),"Unlisted")</f>
        <v>Unlisted</v>
      </c>
      <c r="I291" s="174" t="str">
        <f>IFERROR(__xludf.DUMMYFUNCTION("""COMPUTED_VALUE"""),"Unlisted")</f>
        <v>Unlisted</v>
      </c>
      <c r="J291" s="174" t="str">
        <f>IFERROR(__xludf.DUMMYFUNCTION("""COMPUTED_VALUE"""),"Unlisted")</f>
        <v>Unlisted</v>
      </c>
      <c r="K291" s="174" t="str">
        <f>IFERROR(__xludf.DUMMYFUNCTION("""COMPUTED_VALUE"""),"Unlisted")</f>
        <v>Unlisted</v>
      </c>
      <c r="L291" s="174" t="str">
        <f>IFERROR(__xludf.DUMMYFUNCTION("""COMPUTED_VALUE"""),"Proficient")</f>
        <v>Proficient</v>
      </c>
      <c r="M291" s="174" t="str">
        <f>IFERROR(__xludf.DUMMYFUNCTION("""COMPUTED_VALUE"""),"Unlisted")</f>
        <v>Unlisted</v>
      </c>
      <c r="N291" s="174" t="str">
        <f>IFERROR(__xludf.DUMMYFUNCTION("""COMPUTED_VALUE"""),"Unlisted")</f>
        <v>Unlisted</v>
      </c>
      <c r="O291" s="174" t="str">
        <f>IFERROR(__xludf.DUMMYFUNCTION("""COMPUTED_VALUE"""),"Unlisted")</f>
        <v>Unlisted</v>
      </c>
      <c r="P291" s="174" t="str">
        <f>IFERROR(__xludf.DUMMYFUNCTION("""COMPUTED_VALUE"""),"Unlisted")</f>
        <v>Unlisted</v>
      </c>
      <c r="Q291" s="174" t="str">
        <f>IFERROR(__xludf.DUMMYFUNCTION("""COMPUTED_VALUE"""),"Unlisted")</f>
        <v>Unlisted</v>
      </c>
      <c r="R291" s="174" t="str">
        <f>IFERROR(__xludf.DUMMYFUNCTION("""COMPUTED_VALUE"""),"Unlisted")</f>
        <v>Unlisted</v>
      </c>
    </row>
    <row r="292">
      <c r="A292" s="255" t="str">
        <f>IFERROR(__xludf.DUMMYFUNCTION("""COMPUTED_VALUE"""),"Wurmple")</f>
        <v>Wurmple</v>
      </c>
      <c r="B292" s="174" t="str">
        <f>IFERROR(__xludf.DUMMYFUNCTION("""COMPUTED_VALUE"""),"Inept")</f>
        <v>Inept</v>
      </c>
      <c r="C292" s="174" t="str">
        <f>IFERROR(__xludf.DUMMYFUNCTION("""COMPUTED_VALUE"""),"Inept")</f>
        <v>Inept</v>
      </c>
      <c r="D292" s="174" t="str">
        <f>IFERROR(__xludf.DUMMYFUNCTION("""COMPUTED_VALUE"""),"Unlisted")</f>
        <v>Unlisted</v>
      </c>
      <c r="E292" s="174" t="str">
        <f>IFERROR(__xludf.DUMMYFUNCTION("""COMPUTED_VALUE"""),"Inept")</f>
        <v>Inept</v>
      </c>
      <c r="F292" s="174" t="str">
        <f>IFERROR(__xludf.DUMMYFUNCTION("""COMPUTED_VALUE"""),"Unlisted")</f>
        <v>Unlisted</v>
      </c>
      <c r="G292" s="174" t="str">
        <f>IFERROR(__xludf.DUMMYFUNCTION("""COMPUTED_VALUE"""),"Proficient")</f>
        <v>Proficient</v>
      </c>
      <c r="H292" s="174" t="str">
        <f>IFERROR(__xludf.DUMMYFUNCTION("""COMPUTED_VALUE"""),"Unlisted")</f>
        <v>Unlisted</v>
      </c>
      <c r="I292" s="174" t="str">
        <f>IFERROR(__xludf.DUMMYFUNCTION("""COMPUTED_VALUE"""),"Unlisted")</f>
        <v>Unlisted</v>
      </c>
      <c r="J292" s="174" t="str">
        <f>IFERROR(__xludf.DUMMYFUNCTION("""COMPUTED_VALUE"""),"Unlisted")</f>
        <v>Unlisted</v>
      </c>
      <c r="K292" s="174" t="str">
        <f>IFERROR(__xludf.DUMMYFUNCTION("""COMPUTED_VALUE"""),"Proficient")</f>
        <v>Proficient</v>
      </c>
      <c r="L292" s="174" t="str">
        <f>IFERROR(__xludf.DUMMYFUNCTION("""COMPUTED_VALUE"""),"Proficient")</f>
        <v>Proficient</v>
      </c>
      <c r="M292" s="174" t="str">
        <f>IFERROR(__xludf.DUMMYFUNCTION("""COMPUTED_VALUE"""),"Unlisted")</f>
        <v>Unlisted</v>
      </c>
      <c r="N292" s="174" t="str">
        <f>IFERROR(__xludf.DUMMYFUNCTION("""COMPUTED_VALUE"""),"Unlisted")</f>
        <v>Unlisted</v>
      </c>
      <c r="O292" s="174" t="str">
        <f>IFERROR(__xludf.DUMMYFUNCTION("""COMPUTED_VALUE"""),"Unlisted")</f>
        <v>Unlisted</v>
      </c>
      <c r="P292" s="174" t="str">
        <f>IFERROR(__xludf.DUMMYFUNCTION("""COMPUTED_VALUE"""),"Unlisted")</f>
        <v>Unlisted</v>
      </c>
      <c r="Q292" s="174" t="str">
        <f>IFERROR(__xludf.DUMMYFUNCTION("""COMPUTED_VALUE"""),"Unlisted")</f>
        <v>Unlisted</v>
      </c>
      <c r="R292" s="174" t="str">
        <f>IFERROR(__xludf.DUMMYFUNCTION("""COMPUTED_VALUE"""),"Unlisted")</f>
        <v>Unlisted</v>
      </c>
    </row>
    <row r="293">
      <c r="A293" s="255" t="str">
        <f>IFERROR(__xludf.DUMMYFUNCTION("""COMPUTED_VALUE"""),"Silcoon")</f>
        <v>Silcoon</v>
      </c>
      <c r="B293" s="174" t="str">
        <f>IFERROR(__xludf.DUMMYFUNCTION("""COMPUTED_VALUE"""),"Inept")</f>
        <v>Inept</v>
      </c>
      <c r="C293" s="174" t="str">
        <f>IFERROR(__xludf.DUMMYFUNCTION("""COMPUTED_VALUE"""),"Inept")</f>
        <v>Inept</v>
      </c>
      <c r="D293" s="174" t="str">
        <f>IFERROR(__xludf.DUMMYFUNCTION("""COMPUTED_VALUE"""),"Unlisted")</f>
        <v>Unlisted</v>
      </c>
      <c r="E293" s="174" t="str">
        <f>IFERROR(__xludf.DUMMYFUNCTION("""COMPUTED_VALUE"""),"Inept")</f>
        <v>Inept</v>
      </c>
      <c r="F293" s="174" t="str">
        <f>IFERROR(__xludf.DUMMYFUNCTION("""COMPUTED_VALUE"""),"Unlisted")</f>
        <v>Unlisted</v>
      </c>
      <c r="G293" s="174" t="str">
        <f>IFERROR(__xludf.DUMMYFUNCTION("""COMPUTED_VALUE"""),"Proficient")</f>
        <v>Proficient</v>
      </c>
      <c r="H293" s="174" t="str">
        <f>IFERROR(__xludf.DUMMYFUNCTION("""COMPUTED_VALUE"""),"Unlisted")</f>
        <v>Unlisted</v>
      </c>
      <c r="I293" s="174" t="str">
        <f>IFERROR(__xludf.DUMMYFUNCTION("""COMPUTED_VALUE"""),"Unlisted")</f>
        <v>Unlisted</v>
      </c>
      <c r="J293" s="174" t="str">
        <f>IFERROR(__xludf.DUMMYFUNCTION("""COMPUTED_VALUE"""),"Unlisted")</f>
        <v>Unlisted</v>
      </c>
      <c r="K293" s="174" t="str">
        <f>IFERROR(__xludf.DUMMYFUNCTION("""COMPUTED_VALUE"""),"Proficient")</f>
        <v>Proficient</v>
      </c>
      <c r="L293" s="174" t="str">
        <f>IFERROR(__xludf.DUMMYFUNCTION("""COMPUTED_VALUE"""),"Proficient")</f>
        <v>Proficient</v>
      </c>
      <c r="M293" s="174" t="str">
        <f>IFERROR(__xludf.DUMMYFUNCTION("""COMPUTED_VALUE"""),"Unlisted")</f>
        <v>Unlisted</v>
      </c>
      <c r="N293" s="174" t="str">
        <f>IFERROR(__xludf.DUMMYFUNCTION("""COMPUTED_VALUE"""),"Unlisted")</f>
        <v>Unlisted</v>
      </c>
      <c r="O293" s="174" t="str">
        <f>IFERROR(__xludf.DUMMYFUNCTION("""COMPUTED_VALUE"""),"Unlisted")</f>
        <v>Unlisted</v>
      </c>
      <c r="P293" s="174" t="str">
        <f>IFERROR(__xludf.DUMMYFUNCTION("""COMPUTED_VALUE"""),"Unlisted")</f>
        <v>Unlisted</v>
      </c>
      <c r="Q293" s="174" t="str">
        <f>IFERROR(__xludf.DUMMYFUNCTION("""COMPUTED_VALUE"""),"Unlisted")</f>
        <v>Unlisted</v>
      </c>
      <c r="R293" s="174" t="str">
        <f>IFERROR(__xludf.DUMMYFUNCTION("""COMPUTED_VALUE"""),"Unlisted")</f>
        <v>Unlisted</v>
      </c>
    </row>
    <row r="294">
      <c r="A294" s="255" t="str">
        <f>IFERROR(__xludf.DUMMYFUNCTION("""COMPUTED_VALUE"""),"Beautifly")</f>
        <v>Beautifly</v>
      </c>
      <c r="B294" s="174" t="str">
        <f>IFERROR(__xludf.DUMMYFUNCTION("""COMPUTED_VALUE"""),"Unlisted")</f>
        <v>Unlisted</v>
      </c>
      <c r="C294" s="174" t="str">
        <f>IFERROR(__xludf.DUMMYFUNCTION("""COMPUTED_VALUE"""),"Unlisted")</f>
        <v>Unlisted</v>
      </c>
      <c r="D294" s="174" t="str">
        <f>IFERROR(__xludf.DUMMYFUNCTION("""COMPUTED_VALUE"""),"Proficient")</f>
        <v>Proficient</v>
      </c>
      <c r="E294" s="174" t="str">
        <f>IFERROR(__xludf.DUMMYFUNCTION("""COMPUTED_VALUE"""),"Inept")</f>
        <v>Inept</v>
      </c>
      <c r="F294" s="174" t="str">
        <f>IFERROR(__xludf.DUMMYFUNCTION("""COMPUTED_VALUE"""),"Unlisted")</f>
        <v>Unlisted</v>
      </c>
      <c r="G294" s="174" t="str">
        <f>IFERROR(__xludf.DUMMYFUNCTION("""COMPUTED_VALUE"""),"Proficient")</f>
        <v>Proficient</v>
      </c>
      <c r="H294" s="174" t="str">
        <f>IFERROR(__xludf.DUMMYFUNCTION("""COMPUTED_VALUE"""),"Unlisted")</f>
        <v>Unlisted</v>
      </c>
      <c r="I294" s="174" t="str">
        <f>IFERROR(__xludf.DUMMYFUNCTION("""COMPUTED_VALUE"""),"Unlisted")</f>
        <v>Unlisted</v>
      </c>
      <c r="J294" s="174" t="str">
        <f>IFERROR(__xludf.DUMMYFUNCTION("""COMPUTED_VALUE"""),"Unlisted")</f>
        <v>Unlisted</v>
      </c>
      <c r="K294" s="174" t="str">
        <f>IFERROR(__xludf.DUMMYFUNCTION("""COMPUTED_VALUE"""),"Mastered")</f>
        <v>Mastered</v>
      </c>
      <c r="L294" s="174" t="str">
        <f>IFERROR(__xludf.DUMMYFUNCTION("""COMPUTED_VALUE"""),"Unlisted")</f>
        <v>Unlisted</v>
      </c>
      <c r="M294" s="174" t="str">
        <f>IFERROR(__xludf.DUMMYFUNCTION("""COMPUTED_VALUE"""),"Unlisted")</f>
        <v>Unlisted</v>
      </c>
      <c r="N294" s="174" t="str">
        <f>IFERROR(__xludf.DUMMYFUNCTION("""COMPUTED_VALUE"""),"Unlisted")</f>
        <v>Unlisted</v>
      </c>
      <c r="O294" s="174" t="str">
        <f>IFERROR(__xludf.DUMMYFUNCTION("""COMPUTED_VALUE"""),"Proficient")</f>
        <v>Proficient</v>
      </c>
      <c r="P294" s="174" t="str">
        <f>IFERROR(__xludf.DUMMYFUNCTION("""COMPUTED_VALUE"""),"Unlisted")</f>
        <v>Unlisted</v>
      </c>
      <c r="Q294" s="174" t="str">
        <f>IFERROR(__xludf.DUMMYFUNCTION("""COMPUTED_VALUE"""),"Unlisted")</f>
        <v>Unlisted</v>
      </c>
      <c r="R294" s="174" t="str">
        <f>IFERROR(__xludf.DUMMYFUNCTION("""COMPUTED_VALUE"""),"Unlisted")</f>
        <v>Unlisted</v>
      </c>
    </row>
    <row r="295">
      <c r="A295" s="255" t="str">
        <f>IFERROR(__xludf.DUMMYFUNCTION("""COMPUTED_VALUE"""),"Cascoon")</f>
        <v>Cascoon</v>
      </c>
      <c r="B295" s="174" t="str">
        <f>IFERROR(__xludf.DUMMYFUNCTION("""COMPUTED_VALUE"""),"Inept")</f>
        <v>Inept</v>
      </c>
      <c r="C295" s="174" t="str">
        <f>IFERROR(__xludf.DUMMYFUNCTION("""COMPUTED_VALUE"""),"Inept")</f>
        <v>Inept</v>
      </c>
      <c r="D295" s="174" t="str">
        <f>IFERROR(__xludf.DUMMYFUNCTION("""COMPUTED_VALUE"""),"Unlisted")</f>
        <v>Unlisted</v>
      </c>
      <c r="E295" s="174" t="str">
        <f>IFERROR(__xludf.DUMMYFUNCTION("""COMPUTED_VALUE"""),"Inept")</f>
        <v>Inept</v>
      </c>
      <c r="F295" s="174" t="str">
        <f>IFERROR(__xludf.DUMMYFUNCTION("""COMPUTED_VALUE"""),"Unlisted")</f>
        <v>Unlisted</v>
      </c>
      <c r="G295" s="174" t="str">
        <f>IFERROR(__xludf.DUMMYFUNCTION("""COMPUTED_VALUE"""),"Proficient")</f>
        <v>Proficient</v>
      </c>
      <c r="H295" s="174" t="str">
        <f>IFERROR(__xludf.DUMMYFUNCTION("""COMPUTED_VALUE"""),"Unlisted")</f>
        <v>Unlisted</v>
      </c>
      <c r="I295" s="174" t="str">
        <f>IFERROR(__xludf.DUMMYFUNCTION("""COMPUTED_VALUE"""),"Unlisted")</f>
        <v>Unlisted</v>
      </c>
      <c r="J295" s="174" t="str">
        <f>IFERROR(__xludf.DUMMYFUNCTION("""COMPUTED_VALUE"""),"Unlisted")</f>
        <v>Unlisted</v>
      </c>
      <c r="K295" s="174" t="str">
        <f>IFERROR(__xludf.DUMMYFUNCTION("""COMPUTED_VALUE"""),"Proficient")</f>
        <v>Proficient</v>
      </c>
      <c r="L295" s="174" t="str">
        <f>IFERROR(__xludf.DUMMYFUNCTION("""COMPUTED_VALUE"""),"Proficient")</f>
        <v>Proficient</v>
      </c>
      <c r="M295" s="174" t="str">
        <f>IFERROR(__xludf.DUMMYFUNCTION("""COMPUTED_VALUE"""),"Unlisted")</f>
        <v>Unlisted</v>
      </c>
      <c r="N295" s="174" t="str">
        <f>IFERROR(__xludf.DUMMYFUNCTION("""COMPUTED_VALUE"""),"Unlisted")</f>
        <v>Unlisted</v>
      </c>
      <c r="O295" s="174" t="str">
        <f>IFERROR(__xludf.DUMMYFUNCTION("""COMPUTED_VALUE"""),"Unlisted")</f>
        <v>Unlisted</v>
      </c>
      <c r="P295" s="174" t="str">
        <f>IFERROR(__xludf.DUMMYFUNCTION("""COMPUTED_VALUE"""),"Unlisted")</f>
        <v>Unlisted</v>
      </c>
      <c r="Q295" s="174" t="str">
        <f>IFERROR(__xludf.DUMMYFUNCTION("""COMPUTED_VALUE"""),"Unlisted")</f>
        <v>Unlisted</v>
      </c>
      <c r="R295" s="174" t="str">
        <f>IFERROR(__xludf.DUMMYFUNCTION("""COMPUTED_VALUE"""),"Unlisted")</f>
        <v>Unlisted</v>
      </c>
    </row>
    <row r="296">
      <c r="A296" s="255" t="str">
        <f>IFERROR(__xludf.DUMMYFUNCTION("""COMPUTED_VALUE"""),"Dustox")</f>
        <v>Dustox</v>
      </c>
      <c r="B296" s="174" t="str">
        <f>IFERROR(__xludf.DUMMYFUNCTION("""COMPUTED_VALUE"""),"Unlisted")</f>
        <v>Unlisted</v>
      </c>
      <c r="C296" s="174" t="str">
        <f>IFERROR(__xludf.DUMMYFUNCTION("""COMPUTED_VALUE"""),"Unlisted")</f>
        <v>Unlisted</v>
      </c>
      <c r="D296" s="174" t="str">
        <f>IFERROR(__xludf.DUMMYFUNCTION("""COMPUTED_VALUE"""),"Unlisted")</f>
        <v>Unlisted</v>
      </c>
      <c r="E296" s="174" t="str">
        <f>IFERROR(__xludf.DUMMYFUNCTION("""COMPUTED_VALUE"""),"Inept")</f>
        <v>Inept</v>
      </c>
      <c r="F296" s="174" t="str">
        <f>IFERROR(__xludf.DUMMYFUNCTION("""COMPUTED_VALUE"""),"Unlisted")</f>
        <v>Unlisted</v>
      </c>
      <c r="G296" s="174" t="str">
        <f>IFERROR(__xludf.DUMMYFUNCTION("""COMPUTED_VALUE"""),"Proficient")</f>
        <v>Proficient</v>
      </c>
      <c r="H296" s="174" t="str">
        <f>IFERROR(__xludf.DUMMYFUNCTION("""COMPUTED_VALUE"""),"Unlisted")</f>
        <v>Unlisted</v>
      </c>
      <c r="I296" s="174" t="str">
        <f>IFERROR(__xludf.DUMMYFUNCTION("""COMPUTED_VALUE"""),"Unlisted")</f>
        <v>Unlisted</v>
      </c>
      <c r="J296" s="174" t="str">
        <f>IFERROR(__xludf.DUMMYFUNCTION("""COMPUTED_VALUE"""),"Unlisted")</f>
        <v>Unlisted</v>
      </c>
      <c r="K296" s="174" t="str">
        <f>IFERROR(__xludf.DUMMYFUNCTION("""COMPUTED_VALUE"""),"Mastered")</f>
        <v>Mastered</v>
      </c>
      <c r="L296" s="174" t="str">
        <f>IFERROR(__xludf.DUMMYFUNCTION("""COMPUTED_VALUE"""),"Unlisted")</f>
        <v>Unlisted</v>
      </c>
      <c r="M296" s="174" t="str">
        <f>IFERROR(__xludf.DUMMYFUNCTION("""COMPUTED_VALUE"""),"Unlisted")</f>
        <v>Unlisted</v>
      </c>
      <c r="N296" s="174" t="str">
        <f>IFERROR(__xludf.DUMMYFUNCTION("""COMPUTED_VALUE"""),"Unlisted")</f>
        <v>Unlisted</v>
      </c>
      <c r="O296" s="174" t="str">
        <f>IFERROR(__xludf.DUMMYFUNCTION("""COMPUTED_VALUE"""),"Proficient")</f>
        <v>Proficient</v>
      </c>
      <c r="P296" s="174" t="str">
        <f>IFERROR(__xludf.DUMMYFUNCTION("""COMPUTED_VALUE"""),"Unlisted")</f>
        <v>Unlisted</v>
      </c>
      <c r="Q296" s="174" t="str">
        <f>IFERROR(__xludf.DUMMYFUNCTION("""COMPUTED_VALUE"""),"Unlisted")</f>
        <v>Unlisted</v>
      </c>
      <c r="R296" s="174" t="str">
        <f>IFERROR(__xludf.DUMMYFUNCTION("""COMPUTED_VALUE"""),"Unlisted")</f>
        <v>Unlisted</v>
      </c>
    </row>
    <row r="297">
      <c r="A297" s="255" t="str">
        <f>IFERROR(__xludf.DUMMYFUNCTION("""COMPUTED_VALUE"""),"Sewaddle")</f>
        <v>Sewaddle</v>
      </c>
      <c r="B297" s="174" t="str">
        <f>IFERROR(__xludf.DUMMYFUNCTION("""COMPUTED_VALUE"""),"Inept")</f>
        <v>Inept</v>
      </c>
      <c r="C297" s="174" t="str">
        <f>IFERROR(__xludf.DUMMYFUNCTION("""COMPUTED_VALUE"""),"Unlisted")</f>
        <v>Unlisted</v>
      </c>
      <c r="D297" s="174" t="str">
        <f>IFERROR(__xludf.DUMMYFUNCTION("""COMPUTED_VALUE"""),"Unlisted")</f>
        <v>Unlisted</v>
      </c>
      <c r="E297" s="174" t="str">
        <f>IFERROR(__xludf.DUMMYFUNCTION("""COMPUTED_VALUE"""),"Unlisted")</f>
        <v>Unlisted</v>
      </c>
      <c r="F297" s="174" t="str">
        <f>IFERROR(__xludf.DUMMYFUNCTION("""COMPUTED_VALUE"""),"Unlisted")</f>
        <v>Unlisted</v>
      </c>
      <c r="G297" s="174" t="str">
        <f>IFERROR(__xludf.DUMMYFUNCTION("""COMPUTED_VALUE"""),"Proficient")</f>
        <v>Proficient</v>
      </c>
      <c r="H297" s="174" t="str">
        <f>IFERROR(__xludf.DUMMYFUNCTION("""COMPUTED_VALUE"""),"Unlisted")</f>
        <v>Unlisted</v>
      </c>
      <c r="I297" s="174" t="str">
        <f>IFERROR(__xludf.DUMMYFUNCTION("""COMPUTED_VALUE"""),"Unlisted")</f>
        <v>Unlisted</v>
      </c>
      <c r="J297" s="174" t="str">
        <f>IFERROR(__xludf.DUMMYFUNCTION("""COMPUTED_VALUE"""),"Unlisted")</f>
        <v>Unlisted</v>
      </c>
      <c r="K297" s="174" t="str">
        <f>IFERROR(__xludf.DUMMYFUNCTION("""COMPUTED_VALUE"""),"Unlisted")</f>
        <v>Unlisted</v>
      </c>
      <c r="L297" s="174" t="str">
        <f>IFERROR(__xludf.DUMMYFUNCTION("""COMPUTED_VALUE"""),"Proficient")</f>
        <v>Proficient</v>
      </c>
      <c r="M297" s="174" t="str">
        <f>IFERROR(__xludf.DUMMYFUNCTION("""COMPUTED_VALUE"""),"Unlisted")</f>
        <v>Unlisted</v>
      </c>
      <c r="N297" s="174" t="str">
        <f>IFERROR(__xludf.DUMMYFUNCTION("""COMPUTED_VALUE"""),"Unlisted")</f>
        <v>Unlisted</v>
      </c>
      <c r="O297" s="174" t="str">
        <f>IFERROR(__xludf.DUMMYFUNCTION("""COMPUTED_VALUE"""),"Unlisted")</f>
        <v>Unlisted</v>
      </c>
      <c r="P297" s="174" t="str">
        <f>IFERROR(__xludf.DUMMYFUNCTION("""COMPUTED_VALUE"""),"Unlisted")</f>
        <v>Unlisted</v>
      </c>
      <c r="Q297" s="174" t="str">
        <f>IFERROR(__xludf.DUMMYFUNCTION("""COMPUTED_VALUE"""),"Unlisted")</f>
        <v>Unlisted</v>
      </c>
      <c r="R297" s="174" t="str">
        <f>IFERROR(__xludf.DUMMYFUNCTION("""COMPUTED_VALUE"""),"Unlisted")</f>
        <v>Unlisted</v>
      </c>
    </row>
    <row r="298">
      <c r="A298" s="255" t="str">
        <f>IFERROR(__xludf.DUMMYFUNCTION("""COMPUTED_VALUE"""),"Swadloon")</f>
        <v>Swadloon</v>
      </c>
      <c r="B298" s="174" t="str">
        <f>IFERROR(__xludf.DUMMYFUNCTION("""COMPUTED_VALUE"""),"Inept")</f>
        <v>Inept</v>
      </c>
      <c r="C298" s="174" t="str">
        <f>IFERROR(__xludf.DUMMYFUNCTION("""COMPUTED_VALUE"""),"Unlisted")</f>
        <v>Unlisted</v>
      </c>
      <c r="D298" s="174" t="str">
        <f>IFERROR(__xludf.DUMMYFUNCTION("""COMPUTED_VALUE"""),"Unlisted")</f>
        <v>Unlisted</v>
      </c>
      <c r="E298" s="174" t="str">
        <f>IFERROR(__xludf.DUMMYFUNCTION("""COMPUTED_VALUE"""),"Unlisted")</f>
        <v>Unlisted</v>
      </c>
      <c r="F298" s="174" t="str">
        <f>IFERROR(__xludf.DUMMYFUNCTION("""COMPUTED_VALUE"""),"Unlisted")</f>
        <v>Unlisted</v>
      </c>
      <c r="G298" s="174" t="str">
        <f>IFERROR(__xludf.DUMMYFUNCTION("""COMPUTED_VALUE"""),"Proficient")</f>
        <v>Proficient</v>
      </c>
      <c r="H298" s="174" t="str">
        <f>IFERROR(__xludf.DUMMYFUNCTION("""COMPUTED_VALUE"""),"Unlisted")</f>
        <v>Unlisted</v>
      </c>
      <c r="I298" s="174" t="str">
        <f>IFERROR(__xludf.DUMMYFUNCTION("""COMPUTED_VALUE"""),"Unlisted")</f>
        <v>Unlisted</v>
      </c>
      <c r="J298" s="174" t="str">
        <f>IFERROR(__xludf.DUMMYFUNCTION("""COMPUTED_VALUE"""),"Unlisted")</f>
        <v>Unlisted</v>
      </c>
      <c r="K298" s="174" t="str">
        <f>IFERROR(__xludf.DUMMYFUNCTION("""COMPUTED_VALUE"""),"Unlisted")</f>
        <v>Unlisted</v>
      </c>
      <c r="L298" s="174" t="str">
        <f>IFERROR(__xludf.DUMMYFUNCTION("""COMPUTED_VALUE"""),"Proficient")</f>
        <v>Proficient</v>
      </c>
      <c r="M298" s="174" t="str">
        <f>IFERROR(__xludf.DUMMYFUNCTION("""COMPUTED_VALUE"""),"Unlisted")</f>
        <v>Unlisted</v>
      </c>
      <c r="N298" s="174" t="str">
        <f>IFERROR(__xludf.DUMMYFUNCTION("""COMPUTED_VALUE"""),"Unlisted")</f>
        <v>Unlisted</v>
      </c>
      <c r="O298" s="174" t="str">
        <f>IFERROR(__xludf.DUMMYFUNCTION("""COMPUTED_VALUE"""),"Unlisted")</f>
        <v>Unlisted</v>
      </c>
      <c r="P298" s="174" t="str">
        <f>IFERROR(__xludf.DUMMYFUNCTION("""COMPUTED_VALUE"""),"Unlisted")</f>
        <v>Unlisted</v>
      </c>
      <c r="Q298" s="174" t="str">
        <f>IFERROR(__xludf.DUMMYFUNCTION("""COMPUTED_VALUE"""),"Unlisted")</f>
        <v>Unlisted</v>
      </c>
      <c r="R298" s="174" t="str">
        <f>IFERROR(__xludf.DUMMYFUNCTION("""COMPUTED_VALUE"""),"Unlisted")</f>
        <v>Unlisted</v>
      </c>
    </row>
    <row r="299">
      <c r="A299" s="255" t="str">
        <f>IFERROR(__xludf.DUMMYFUNCTION("""COMPUTED_VALUE"""),"Leavanny")</f>
        <v>Leavanny</v>
      </c>
      <c r="B299" s="174" t="str">
        <f>IFERROR(__xludf.DUMMYFUNCTION("""COMPUTED_VALUE"""),"Proficient")</f>
        <v>Proficient</v>
      </c>
      <c r="C299" s="174" t="str">
        <f>IFERROR(__xludf.DUMMYFUNCTION("""COMPUTED_VALUE"""),"Unlisted")</f>
        <v>Unlisted</v>
      </c>
      <c r="D299" s="174" t="str">
        <f>IFERROR(__xludf.DUMMYFUNCTION("""COMPUTED_VALUE"""),"Unlisted")</f>
        <v>Unlisted</v>
      </c>
      <c r="E299" s="174" t="str">
        <f>IFERROR(__xludf.DUMMYFUNCTION("""COMPUTED_VALUE"""),"Unlisted")</f>
        <v>Unlisted</v>
      </c>
      <c r="F299" s="174" t="str">
        <f>IFERROR(__xludf.DUMMYFUNCTION("""COMPUTED_VALUE"""),"Unlisted")</f>
        <v>Unlisted</v>
      </c>
      <c r="G299" s="174" t="str">
        <f>IFERROR(__xludf.DUMMYFUNCTION("""COMPUTED_VALUE"""),"Proficient")</f>
        <v>Proficient</v>
      </c>
      <c r="H299" s="174" t="str">
        <f>IFERROR(__xludf.DUMMYFUNCTION("""COMPUTED_VALUE"""),"Unlisted")</f>
        <v>Unlisted</v>
      </c>
      <c r="I299" s="174" t="str">
        <f>IFERROR(__xludf.DUMMYFUNCTION("""COMPUTED_VALUE"""),"Unlisted")</f>
        <v>Unlisted</v>
      </c>
      <c r="J299" s="174" t="str">
        <f>IFERROR(__xludf.DUMMYFUNCTION("""COMPUTED_VALUE"""),"Unlisted")</f>
        <v>Unlisted</v>
      </c>
      <c r="K299" s="174" t="str">
        <f>IFERROR(__xludf.DUMMYFUNCTION("""COMPUTED_VALUE"""),"Unlisted")</f>
        <v>Unlisted</v>
      </c>
      <c r="L299" s="174" t="str">
        <f>IFERROR(__xludf.DUMMYFUNCTION("""COMPUTED_VALUE"""),"Proficient")</f>
        <v>Proficient</v>
      </c>
      <c r="M299" s="174" t="str">
        <f>IFERROR(__xludf.DUMMYFUNCTION("""COMPUTED_VALUE"""),"Unlisted")</f>
        <v>Unlisted</v>
      </c>
      <c r="N299" s="174" t="str">
        <f>IFERROR(__xludf.DUMMYFUNCTION("""COMPUTED_VALUE"""),"Unlisted")</f>
        <v>Unlisted</v>
      </c>
      <c r="O299" s="174" t="str">
        <f>IFERROR(__xludf.DUMMYFUNCTION("""COMPUTED_VALUE"""),"Unlisted")</f>
        <v>Unlisted</v>
      </c>
      <c r="P299" s="174" t="str">
        <f>IFERROR(__xludf.DUMMYFUNCTION("""COMPUTED_VALUE"""),"Unlisted")</f>
        <v>Unlisted</v>
      </c>
      <c r="Q299" s="174" t="str">
        <f>IFERROR(__xludf.DUMMYFUNCTION("""COMPUTED_VALUE"""),"Unlisted")</f>
        <v>Unlisted</v>
      </c>
      <c r="R299" s="174" t="str">
        <f>IFERROR(__xludf.DUMMYFUNCTION("""COMPUTED_VALUE"""),"Unlisted")</f>
        <v>Unlisted</v>
      </c>
    </row>
    <row r="300">
      <c r="A300" s="255" t="str">
        <f>IFERROR(__xludf.DUMMYFUNCTION("""COMPUTED_VALUE"""),"Venipede")</f>
        <v>Venipede</v>
      </c>
      <c r="B300" s="174" t="str">
        <f>IFERROR(__xludf.DUMMYFUNCTION("""COMPUTED_VALUE"""),"Proficient")</f>
        <v>Proficient</v>
      </c>
      <c r="C300" s="174" t="str">
        <f>IFERROR(__xludf.DUMMYFUNCTION("""COMPUTED_VALUE"""),"Unlisted")</f>
        <v>Unlisted</v>
      </c>
      <c r="D300" s="174" t="str">
        <f>IFERROR(__xludf.DUMMYFUNCTION("""COMPUTED_VALUE"""),"Unlisted")</f>
        <v>Unlisted</v>
      </c>
      <c r="E300" s="174" t="str">
        <f>IFERROR(__xludf.DUMMYFUNCTION("""COMPUTED_VALUE"""),"Proficient")</f>
        <v>Proficient</v>
      </c>
      <c r="F300" s="174" t="str">
        <f>IFERROR(__xludf.DUMMYFUNCTION("""COMPUTED_VALUE"""),"Unlisted")</f>
        <v>Unlisted</v>
      </c>
      <c r="G300" s="174" t="str">
        <f>IFERROR(__xludf.DUMMYFUNCTION("""COMPUTED_VALUE"""),"Unlisted")</f>
        <v>Unlisted</v>
      </c>
      <c r="H300" s="174" t="str">
        <f>IFERROR(__xludf.DUMMYFUNCTION("""COMPUTED_VALUE"""),"Unlisted")</f>
        <v>Unlisted</v>
      </c>
      <c r="I300" s="174" t="str">
        <f>IFERROR(__xludf.DUMMYFUNCTION("""COMPUTED_VALUE"""),"Unlisted")</f>
        <v>Unlisted</v>
      </c>
      <c r="J300" s="174" t="str">
        <f>IFERROR(__xludf.DUMMYFUNCTION("""COMPUTED_VALUE"""),"Unlisted")</f>
        <v>Unlisted</v>
      </c>
      <c r="K300" s="174" t="str">
        <f>IFERROR(__xludf.DUMMYFUNCTION("""COMPUTED_VALUE"""),"Unlisted")</f>
        <v>Unlisted</v>
      </c>
      <c r="L300" s="174" t="str">
        <f>IFERROR(__xludf.DUMMYFUNCTION("""COMPUTED_VALUE"""),"Proficient")</f>
        <v>Proficient</v>
      </c>
      <c r="M300" s="174" t="str">
        <f>IFERROR(__xludf.DUMMYFUNCTION("""COMPUTED_VALUE"""),"Unlisted")</f>
        <v>Unlisted</v>
      </c>
      <c r="N300" s="174" t="str">
        <f>IFERROR(__xludf.DUMMYFUNCTION("""COMPUTED_VALUE"""),"Unlisted")</f>
        <v>Unlisted</v>
      </c>
      <c r="O300" s="174" t="str">
        <f>IFERROR(__xludf.DUMMYFUNCTION("""COMPUTED_VALUE"""),"Unlisted")</f>
        <v>Unlisted</v>
      </c>
      <c r="P300" s="174" t="str">
        <f>IFERROR(__xludf.DUMMYFUNCTION("""COMPUTED_VALUE"""),"Unlisted")</f>
        <v>Unlisted</v>
      </c>
      <c r="Q300" s="174" t="str">
        <f>IFERROR(__xludf.DUMMYFUNCTION("""COMPUTED_VALUE"""),"Unlisted")</f>
        <v>Unlisted</v>
      </c>
      <c r="R300" s="174" t="str">
        <f>IFERROR(__xludf.DUMMYFUNCTION("""COMPUTED_VALUE"""),"Unlisted")</f>
        <v>Unlisted</v>
      </c>
    </row>
    <row r="301">
      <c r="A301" s="255" t="str">
        <f>IFERROR(__xludf.DUMMYFUNCTION("""COMPUTED_VALUE"""),"Whirlipede")</f>
        <v>Whirlipede</v>
      </c>
      <c r="B301" s="174" t="str">
        <f>IFERROR(__xludf.DUMMYFUNCTION("""COMPUTED_VALUE"""),"Proficient")</f>
        <v>Proficient</v>
      </c>
      <c r="C301" s="174" t="str">
        <f>IFERROR(__xludf.DUMMYFUNCTION("""COMPUTED_VALUE"""),"Unlisted")</f>
        <v>Unlisted</v>
      </c>
      <c r="D301" s="174" t="str">
        <f>IFERROR(__xludf.DUMMYFUNCTION("""COMPUTED_VALUE"""),"Unlisted")</f>
        <v>Unlisted</v>
      </c>
      <c r="E301" s="174" t="str">
        <f>IFERROR(__xludf.DUMMYFUNCTION("""COMPUTED_VALUE"""),"Proficient")</f>
        <v>Proficient</v>
      </c>
      <c r="F301" s="174" t="str">
        <f>IFERROR(__xludf.DUMMYFUNCTION("""COMPUTED_VALUE"""),"Unlisted")</f>
        <v>Unlisted</v>
      </c>
      <c r="G301" s="174" t="str">
        <f>IFERROR(__xludf.DUMMYFUNCTION("""COMPUTED_VALUE"""),"Unlisted")</f>
        <v>Unlisted</v>
      </c>
      <c r="H301" s="174" t="str">
        <f>IFERROR(__xludf.DUMMYFUNCTION("""COMPUTED_VALUE"""),"Unlisted")</f>
        <v>Unlisted</v>
      </c>
      <c r="I301" s="174" t="str">
        <f>IFERROR(__xludf.DUMMYFUNCTION("""COMPUTED_VALUE"""),"Unlisted")</f>
        <v>Unlisted</v>
      </c>
      <c r="J301" s="174" t="str">
        <f>IFERROR(__xludf.DUMMYFUNCTION("""COMPUTED_VALUE"""),"Unlisted")</f>
        <v>Unlisted</v>
      </c>
      <c r="K301" s="174" t="str">
        <f>IFERROR(__xludf.DUMMYFUNCTION("""COMPUTED_VALUE"""),"Unlisted")</f>
        <v>Unlisted</v>
      </c>
      <c r="L301" s="174" t="str">
        <f>IFERROR(__xludf.DUMMYFUNCTION("""COMPUTED_VALUE"""),"Proficient")</f>
        <v>Proficient</v>
      </c>
      <c r="M301" s="174" t="str">
        <f>IFERROR(__xludf.DUMMYFUNCTION("""COMPUTED_VALUE"""),"Unlisted")</f>
        <v>Unlisted</v>
      </c>
      <c r="N301" s="174" t="str">
        <f>IFERROR(__xludf.DUMMYFUNCTION("""COMPUTED_VALUE"""),"Unlisted")</f>
        <v>Unlisted</v>
      </c>
      <c r="O301" s="174" t="str">
        <f>IFERROR(__xludf.DUMMYFUNCTION("""COMPUTED_VALUE"""),"Unlisted")</f>
        <v>Unlisted</v>
      </c>
      <c r="P301" s="174" t="str">
        <f>IFERROR(__xludf.DUMMYFUNCTION("""COMPUTED_VALUE"""),"Unlisted")</f>
        <v>Unlisted</v>
      </c>
      <c r="Q301" s="174" t="str">
        <f>IFERROR(__xludf.DUMMYFUNCTION("""COMPUTED_VALUE"""),"Unlisted")</f>
        <v>Unlisted</v>
      </c>
      <c r="R301" s="174" t="str">
        <f>IFERROR(__xludf.DUMMYFUNCTION("""COMPUTED_VALUE"""),"Unlisted")</f>
        <v>Unlisted</v>
      </c>
    </row>
    <row r="302">
      <c r="A302" s="255" t="str">
        <f>IFERROR(__xludf.DUMMYFUNCTION("""COMPUTED_VALUE"""),"Scolipede")</f>
        <v>Scolipede</v>
      </c>
      <c r="B302" s="174" t="str">
        <f>IFERROR(__xludf.DUMMYFUNCTION("""COMPUTED_VALUE"""),"Proficient")</f>
        <v>Proficient</v>
      </c>
      <c r="C302" s="174" t="str">
        <f>IFERROR(__xludf.DUMMYFUNCTION("""COMPUTED_VALUE"""),"Unlisted")</f>
        <v>Unlisted</v>
      </c>
      <c r="D302" s="174" t="str">
        <f>IFERROR(__xludf.DUMMYFUNCTION("""COMPUTED_VALUE"""),"Unlisted")</f>
        <v>Unlisted</v>
      </c>
      <c r="E302" s="174" t="str">
        <f>IFERROR(__xludf.DUMMYFUNCTION("""COMPUTED_VALUE"""),"Proficient")</f>
        <v>Proficient</v>
      </c>
      <c r="F302" s="174" t="str">
        <f>IFERROR(__xludf.DUMMYFUNCTION("""COMPUTED_VALUE"""),"Unlisted")</f>
        <v>Unlisted</v>
      </c>
      <c r="G302" s="174" t="str">
        <f>IFERROR(__xludf.DUMMYFUNCTION("""COMPUTED_VALUE"""),"Unlisted")</f>
        <v>Unlisted</v>
      </c>
      <c r="H302" s="174" t="str">
        <f>IFERROR(__xludf.DUMMYFUNCTION("""COMPUTED_VALUE"""),"Unlisted")</f>
        <v>Unlisted</v>
      </c>
      <c r="I302" s="174" t="str">
        <f>IFERROR(__xludf.DUMMYFUNCTION("""COMPUTED_VALUE"""),"Unlisted")</f>
        <v>Unlisted</v>
      </c>
      <c r="J302" s="174" t="str">
        <f>IFERROR(__xludf.DUMMYFUNCTION("""COMPUTED_VALUE"""),"Unlisted")</f>
        <v>Unlisted</v>
      </c>
      <c r="K302" s="174" t="str">
        <f>IFERROR(__xludf.DUMMYFUNCTION("""COMPUTED_VALUE"""),"Unlisted")</f>
        <v>Unlisted</v>
      </c>
      <c r="L302" s="174" t="str">
        <f>IFERROR(__xludf.DUMMYFUNCTION("""COMPUTED_VALUE"""),"Proficient")</f>
        <v>Proficient</v>
      </c>
      <c r="M302" s="174" t="str">
        <f>IFERROR(__xludf.DUMMYFUNCTION("""COMPUTED_VALUE"""),"Unlisted")</f>
        <v>Unlisted</v>
      </c>
      <c r="N302" s="174" t="str">
        <f>IFERROR(__xludf.DUMMYFUNCTION("""COMPUTED_VALUE"""),"Unlisted")</f>
        <v>Unlisted</v>
      </c>
      <c r="O302" s="174" t="str">
        <f>IFERROR(__xludf.DUMMYFUNCTION("""COMPUTED_VALUE"""),"Unlisted")</f>
        <v>Unlisted</v>
      </c>
      <c r="P302" s="174" t="str">
        <f>IFERROR(__xludf.DUMMYFUNCTION("""COMPUTED_VALUE"""),"Unlisted")</f>
        <v>Unlisted</v>
      </c>
      <c r="Q302" s="174" t="str">
        <f>IFERROR(__xludf.DUMMYFUNCTION("""COMPUTED_VALUE"""),"Unlisted")</f>
        <v>Unlisted</v>
      </c>
      <c r="R302" s="174" t="str">
        <f>IFERROR(__xludf.DUMMYFUNCTION("""COMPUTED_VALUE"""),"Unlisted")</f>
        <v>Unlisted</v>
      </c>
    </row>
    <row r="303">
      <c r="A303" s="255" t="str">
        <f>IFERROR(__xludf.DUMMYFUNCTION("""COMPUTED_VALUE"""),"Scatterbug")</f>
        <v>Scatterbug</v>
      </c>
      <c r="B303" s="174" t="str">
        <f>IFERROR(__xludf.DUMMYFUNCTION("""COMPUTED_VALUE"""),"Inept")</f>
        <v>Inept</v>
      </c>
      <c r="C303" s="174" t="str">
        <f>IFERROR(__xludf.DUMMYFUNCTION("""COMPUTED_VALUE"""),"Inept")</f>
        <v>Inept</v>
      </c>
      <c r="D303" s="174" t="str">
        <f>IFERROR(__xludf.DUMMYFUNCTION("""COMPUTED_VALUE"""),"Unlisted")</f>
        <v>Unlisted</v>
      </c>
      <c r="E303" s="174" t="str">
        <f>IFERROR(__xludf.DUMMYFUNCTION("""COMPUTED_VALUE"""),"Inept")</f>
        <v>Inept</v>
      </c>
      <c r="F303" s="174" t="str">
        <f>IFERROR(__xludf.DUMMYFUNCTION("""COMPUTED_VALUE"""),"Unlisted")</f>
        <v>Unlisted</v>
      </c>
      <c r="G303" s="174" t="str">
        <f>IFERROR(__xludf.DUMMYFUNCTION("""COMPUTED_VALUE"""),"Proficient")</f>
        <v>Proficient</v>
      </c>
      <c r="H303" s="174" t="str">
        <f>IFERROR(__xludf.DUMMYFUNCTION("""COMPUTED_VALUE"""),"Unlisted")</f>
        <v>Unlisted</v>
      </c>
      <c r="I303" s="174" t="str">
        <f>IFERROR(__xludf.DUMMYFUNCTION("""COMPUTED_VALUE"""),"Unlisted")</f>
        <v>Unlisted</v>
      </c>
      <c r="J303" s="174" t="str">
        <f>IFERROR(__xludf.DUMMYFUNCTION("""COMPUTED_VALUE"""),"Unlisted")</f>
        <v>Unlisted</v>
      </c>
      <c r="K303" s="174" t="str">
        <f>IFERROR(__xludf.DUMMYFUNCTION("""COMPUTED_VALUE"""),"Proficient")</f>
        <v>Proficient</v>
      </c>
      <c r="L303" s="174" t="str">
        <f>IFERROR(__xludf.DUMMYFUNCTION("""COMPUTED_VALUE"""),"Proficient")</f>
        <v>Proficient</v>
      </c>
      <c r="M303" s="174" t="str">
        <f>IFERROR(__xludf.DUMMYFUNCTION("""COMPUTED_VALUE"""),"Unlisted")</f>
        <v>Unlisted</v>
      </c>
      <c r="N303" s="174" t="str">
        <f>IFERROR(__xludf.DUMMYFUNCTION("""COMPUTED_VALUE"""),"Unlisted")</f>
        <v>Unlisted</v>
      </c>
      <c r="O303" s="174" t="str">
        <f>IFERROR(__xludf.DUMMYFUNCTION("""COMPUTED_VALUE"""),"Unlisted")</f>
        <v>Unlisted</v>
      </c>
      <c r="P303" s="174" t="str">
        <f>IFERROR(__xludf.DUMMYFUNCTION("""COMPUTED_VALUE"""),"Unlisted")</f>
        <v>Unlisted</v>
      </c>
      <c r="Q303" s="174" t="str">
        <f>IFERROR(__xludf.DUMMYFUNCTION("""COMPUTED_VALUE"""),"Unlisted")</f>
        <v>Unlisted</v>
      </c>
      <c r="R303" s="174" t="str">
        <f>IFERROR(__xludf.DUMMYFUNCTION("""COMPUTED_VALUE"""),"Unlisted")</f>
        <v>Unlisted</v>
      </c>
    </row>
    <row r="304">
      <c r="A304" s="255" t="str">
        <f>IFERROR(__xludf.DUMMYFUNCTION("""COMPUTED_VALUE"""),"Spewpa")</f>
        <v>Spewpa</v>
      </c>
      <c r="B304" s="174" t="str">
        <f>IFERROR(__xludf.DUMMYFUNCTION("""COMPUTED_VALUE"""),"Inept")</f>
        <v>Inept</v>
      </c>
      <c r="C304" s="174" t="str">
        <f>IFERROR(__xludf.DUMMYFUNCTION("""COMPUTED_VALUE"""),"Inept")</f>
        <v>Inept</v>
      </c>
      <c r="D304" s="174" t="str">
        <f>IFERROR(__xludf.DUMMYFUNCTION("""COMPUTED_VALUE"""),"Unlisted")</f>
        <v>Unlisted</v>
      </c>
      <c r="E304" s="174" t="str">
        <f>IFERROR(__xludf.DUMMYFUNCTION("""COMPUTED_VALUE"""),"Inept")</f>
        <v>Inept</v>
      </c>
      <c r="F304" s="174" t="str">
        <f>IFERROR(__xludf.DUMMYFUNCTION("""COMPUTED_VALUE"""),"Unlisted")</f>
        <v>Unlisted</v>
      </c>
      <c r="G304" s="174" t="str">
        <f>IFERROR(__xludf.DUMMYFUNCTION("""COMPUTED_VALUE"""),"Proficient")</f>
        <v>Proficient</v>
      </c>
      <c r="H304" s="174" t="str">
        <f>IFERROR(__xludf.DUMMYFUNCTION("""COMPUTED_VALUE"""),"Unlisted")</f>
        <v>Unlisted</v>
      </c>
      <c r="I304" s="174" t="str">
        <f>IFERROR(__xludf.DUMMYFUNCTION("""COMPUTED_VALUE"""),"Unlisted")</f>
        <v>Unlisted</v>
      </c>
      <c r="J304" s="174" t="str">
        <f>IFERROR(__xludf.DUMMYFUNCTION("""COMPUTED_VALUE"""),"Unlisted")</f>
        <v>Unlisted</v>
      </c>
      <c r="K304" s="174" t="str">
        <f>IFERROR(__xludf.DUMMYFUNCTION("""COMPUTED_VALUE"""),"Proficient")</f>
        <v>Proficient</v>
      </c>
      <c r="L304" s="174" t="str">
        <f>IFERROR(__xludf.DUMMYFUNCTION("""COMPUTED_VALUE"""),"Proficient")</f>
        <v>Proficient</v>
      </c>
      <c r="M304" s="174" t="str">
        <f>IFERROR(__xludf.DUMMYFUNCTION("""COMPUTED_VALUE"""),"Unlisted")</f>
        <v>Unlisted</v>
      </c>
      <c r="N304" s="174" t="str">
        <f>IFERROR(__xludf.DUMMYFUNCTION("""COMPUTED_VALUE"""),"Unlisted")</f>
        <v>Unlisted</v>
      </c>
      <c r="O304" s="174" t="str">
        <f>IFERROR(__xludf.DUMMYFUNCTION("""COMPUTED_VALUE"""),"Unlisted")</f>
        <v>Unlisted</v>
      </c>
      <c r="P304" s="174" t="str">
        <f>IFERROR(__xludf.DUMMYFUNCTION("""COMPUTED_VALUE"""),"Unlisted")</f>
        <v>Unlisted</v>
      </c>
      <c r="Q304" s="174" t="str">
        <f>IFERROR(__xludf.DUMMYFUNCTION("""COMPUTED_VALUE"""),"Unlisted")</f>
        <v>Unlisted</v>
      </c>
      <c r="R304" s="174" t="str">
        <f>IFERROR(__xludf.DUMMYFUNCTION("""COMPUTED_VALUE"""),"Unlisted")</f>
        <v>Unlisted</v>
      </c>
    </row>
    <row r="305">
      <c r="A305" s="255" t="str">
        <f>IFERROR(__xludf.DUMMYFUNCTION("""COMPUTED_VALUE"""),"Vivillon")</f>
        <v>Vivillon</v>
      </c>
      <c r="B305" s="174" t="str">
        <f>IFERROR(__xludf.DUMMYFUNCTION("""COMPUTED_VALUE"""),"Proficient")</f>
        <v>Proficient</v>
      </c>
      <c r="C305" s="174" t="str">
        <f>IFERROR(__xludf.DUMMYFUNCTION("""COMPUTED_VALUE"""),"Unlisted")</f>
        <v>Unlisted</v>
      </c>
      <c r="D305" s="174" t="str">
        <f>IFERROR(__xludf.DUMMYFUNCTION("""COMPUTED_VALUE"""),"Unlisted")</f>
        <v>Unlisted</v>
      </c>
      <c r="E305" s="174" t="str">
        <f>IFERROR(__xludf.DUMMYFUNCTION("""COMPUTED_VALUE"""),"Unlisted")</f>
        <v>Unlisted</v>
      </c>
      <c r="F305" s="174" t="str">
        <f>IFERROR(__xludf.DUMMYFUNCTION("""COMPUTED_VALUE"""),"Unlisted")</f>
        <v>Unlisted</v>
      </c>
      <c r="G305" s="174" t="str">
        <f>IFERROR(__xludf.DUMMYFUNCTION("""COMPUTED_VALUE"""),"Proficient")</f>
        <v>Proficient</v>
      </c>
      <c r="H305" s="174" t="str">
        <f>IFERROR(__xludf.DUMMYFUNCTION("""COMPUTED_VALUE"""),"Unlisted")</f>
        <v>Unlisted</v>
      </c>
      <c r="I305" s="174" t="str">
        <f>IFERROR(__xludf.DUMMYFUNCTION("""COMPUTED_VALUE"""),"Unlisted")</f>
        <v>Unlisted</v>
      </c>
      <c r="J305" s="174" t="str">
        <f>IFERROR(__xludf.DUMMYFUNCTION("""COMPUTED_VALUE"""),"Unlisted")</f>
        <v>Unlisted</v>
      </c>
      <c r="K305" s="174" t="str">
        <f>IFERROR(__xludf.DUMMYFUNCTION("""COMPUTED_VALUE"""),"Proficient")</f>
        <v>Proficient</v>
      </c>
      <c r="L305" s="174" t="str">
        <f>IFERROR(__xludf.DUMMYFUNCTION("""COMPUTED_VALUE"""),"Unlisted")</f>
        <v>Unlisted</v>
      </c>
      <c r="M305" s="174" t="str">
        <f>IFERROR(__xludf.DUMMYFUNCTION("""COMPUTED_VALUE"""),"Unlisted")</f>
        <v>Unlisted</v>
      </c>
      <c r="N305" s="174" t="str">
        <f>IFERROR(__xludf.DUMMYFUNCTION("""COMPUTED_VALUE"""),"Unlisted")</f>
        <v>Unlisted</v>
      </c>
      <c r="O305" s="174" t="str">
        <f>IFERROR(__xludf.DUMMYFUNCTION("""COMPUTED_VALUE"""),"Unlisted")</f>
        <v>Unlisted</v>
      </c>
      <c r="P305" s="174" t="str">
        <f>IFERROR(__xludf.DUMMYFUNCTION("""COMPUTED_VALUE"""),"Unlisted")</f>
        <v>Unlisted</v>
      </c>
      <c r="Q305" s="174" t="str">
        <f>IFERROR(__xludf.DUMMYFUNCTION("""COMPUTED_VALUE"""),"Unlisted")</f>
        <v>Unlisted</v>
      </c>
      <c r="R305" s="174" t="str">
        <f>IFERROR(__xludf.DUMMYFUNCTION("""COMPUTED_VALUE"""),"Unlisted")</f>
        <v>Unlisted</v>
      </c>
    </row>
    <row r="306">
      <c r="A306" s="255" t="str">
        <f>IFERROR(__xludf.DUMMYFUNCTION("""COMPUTED_VALUE"""),"Grubbin")</f>
        <v>Grubbin</v>
      </c>
      <c r="B306" s="174" t="str">
        <f>IFERROR(__xludf.DUMMYFUNCTION("""COMPUTED_VALUE"""),"Inept")</f>
        <v>Inept</v>
      </c>
      <c r="C306" s="174" t="str">
        <f>IFERROR(__xludf.DUMMYFUNCTION("""COMPUTED_VALUE"""),"Unlisted")</f>
        <v>Unlisted</v>
      </c>
      <c r="D306" s="174" t="str">
        <f>IFERROR(__xludf.DUMMYFUNCTION("""COMPUTED_VALUE"""),"Unlisted")</f>
        <v>Unlisted</v>
      </c>
      <c r="E306" s="174" t="str">
        <f>IFERROR(__xludf.DUMMYFUNCTION("""COMPUTED_VALUE"""),"Unlisted")</f>
        <v>Unlisted</v>
      </c>
      <c r="F306" s="174" t="str">
        <f>IFERROR(__xludf.DUMMYFUNCTION("""COMPUTED_VALUE"""),"Unlisted")</f>
        <v>Unlisted</v>
      </c>
      <c r="G306" s="174" t="str">
        <f>IFERROR(__xludf.DUMMYFUNCTION("""COMPUTED_VALUE"""),"Proficient")</f>
        <v>Proficient</v>
      </c>
      <c r="H306" s="174" t="str">
        <f>IFERROR(__xludf.DUMMYFUNCTION("""COMPUTED_VALUE"""),"Unlisted")</f>
        <v>Unlisted</v>
      </c>
      <c r="I306" s="174" t="str">
        <f>IFERROR(__xludf.DUMMYFUNCTION("""COMPUTED_VALUE"""),"Unlisted")</f>
        <v>Unlisted</v>
      </c>
      <c r="J306" s="174" t="str">
        <f>IFERROR(__xludf.DUMMYFUNCTION("""COMPUTED_VALUE"""),"Unlisted")</f>
        <v>Unlisted</v>
      </c>
      <c r="K306" s="174" t="str">
        <f>IFERROR(__xludf.DUMMYFUNCTION("""COMPUTED_VALUE"""),"Unlisted")</f>
        <v>Unlisted</v>
      </c>
      <c r="L306" s="174" t="str">
        <f>IFERROR(__xludf.DUMMYFUNCTION("""COMPUTED_VALUE"""),"Proficient")</f>
        <v>Proficient</v>
      </c>
      <c r="M306" s="174" t="str">
        <f>IFERROR(__xludf.DUMMYFUNCTION("""COMPUTED_VALUE"""),"Unlisted")</f>
        <v>Unlisted</v>
      </c>
      <c r="N306" s="174" t="str">
        <f>IFERROR(__xludf.DUMMYFUNCTION("""COMPUTED_VALUE"""),"Unlisted")</f>
        <v>Unlisted</v>
      </c>
      <c r="O306" s="174" t="str">
        <f>IFERROR(__xludf.DUMMYFUNCTION("""COMPUTED_VALUE"""),"Proficient")</f>
        <v>Proficient</v>
      </c>
      <c r="P306" s="174" t="str">
        <f>IFERROR(__xludf.DUMMYFUNCTION("""COMPUTED_VALUE"""),"Unlisted")</f>
        <v>Unlisted</v>
      </c>
      <c r="Q306" s="174" t="str">
        <f>IFERROR(__xludf.DUMMYFUNCTION("""COMPUTED_VALUE"""),"Unlisted")</f>
        <v>Unlisted</v>
      </c>
      <c r="R306" s="174" t="str">
        <f>IFERROR(__xludf.DUMMYFUNCTION("""COMPUTED_VALUE"""),"Unlisted")</f>
        <v>Unlisted</v>
      </c>
    </row>
    <row r="307">
      <c r="A307" s="255" t="str">
        <f>IFERROR(__xludf.DUMMYFUNCTION("""COMPUTED_VALUE"""),"Charjabug")</f>
        <v>Charjabug</v>
      </c>
      <c r="B307" s="174" t="str">
        <f>IFERROR(__xludf.DUMMYFUNCTION("""COMPUTED_VALUE"""),"Inept")</f>
        <v>Inept</v>
      </c>
      <c r="C307" s="174" t="str">
        <f>IFERROR(__xludf.DUMMYFUNCTION("""COMPUTED_VALUE"""),"Unlisted")</f>
        <v>Unlisted</v>
      </c>
      <c r="D307" s="174" t="str">
        <f>IFERROR(__xludf.DUMMYFUNCTION("""COMPUTED_VALUE"""),"Unlisted")</f>
        <v>Unlisted</v>
      </c>
      <c r="E307" s="174" t="str">
        <f>IFERROR(__xludf.DUMMYFUNCTION("""COMPUTED_VALUE"""),"Unlisted")</f>
        <v>Unlisted</v>
      </c>
      <c r="F307" s="174" t="str">
        <f>IFERROR(__xludf.DUMMYFUNCTION("""COMPUTED_VALUE"""),"Unlisted")</f>
        <v>Unlisted</v>
      </c>
      <c r="G307" s="174" t="str">
        <f>IFERROR(__xludf.DUMMYFUNCTION("""COMPUTED_VALUE"""),"Proficient")</f>
        <v>Proficient</v>
      </c>
      <c r="H307" s="174" t="str">
        <f>IFERROR(__xludf.DUMMYFUNCTION("""COMPUTED_VALUE"""),"Unlisted")</f>
        <v>Unlisted</v>
      </c>
      <c r="I307" s="174" t="str">
        <f>IFERROR(__xludf.DUMMYFUNCTION("""COMPUTED_VALUE"""),"Unlisted")</f>
        <v>Unlisted</v>
      </c>
      <c r="J307" s="174" t="str">
        <f>IFERROR(__xludf.DUMMYFUNCTION("""COMPUTED_VALUE"""),"Unlisted")</f>
        <v>Unlisted</v>
      </c>
      <c r="K307" s="174" t="str">
        <f>IFERROR(__xludf.DUMMYFUNCTION("""COMPUTED_VALUE"""),"Unlisted")</f>
        <v>Unlisted</v>
      </c>
      <c r="L307" s="174" t="str">
        <f>IFERROR(__xludf.DUMMYFUNCTION("""COMPUTED_VALUE"""),"Proficient")</f>
        <v>Proficient</v>
      </c>
      <c r="M307" s="174" t="str">
        <f>IFERROR(__xludf.DUMMYFUNCTION("""COMPUTED_VALUE"""),"Unlisted")</f>
        <v>Unlisted</v>
      </c>
      <c r="N307" s="174" t="str">
        <f>IFERROR(__xludf.DUMMYFUNCTION("""COMPUTED_VALUE"""),"Unlisted")</f>
        <v>Unlisted</v>
      </c>
      <c r="O307" s="174" t="str">
        <f>IFERROR(__xludf.DUMMYFUNCTION("""COMPUTED_VALUE"""),"Proficient")</f>
        <v>Proficient</v>
      </c>
      <c r="P307" s="174" t="str">
        <f>IFERROR(__xludf.DUMMYFUNCTION("""COMPUTED_VALUE"""),"Unlisted")</f>
        <v>Unlisted</v>
      </c>
      <c r="Q307" s="174" t="str">
        <f>IFERROR(__xludf.DUMMYFUNCTION("""COMPUTED_VALUE"""),"Unlisted")</f>
        <v>Unlisted</v>
      </c>
      <c r="R307" s="174" t="str">
        <f>IFERROR(__xludf.DUMMYFUNCTION("""COMPUTED_VALUE"""),"Unlisted")</f>
        <v>Unlisted</v>
      </c>
    </row>
    <row r="308">
      <c r="A308" s="255" t="str">
        <f>IFERROR(__xludf.DUMMYFUNCTION("""COMPUTED_VALUE"""),"Vikavolt")</f>
        <v>Vikavolt</v>
      </c>
      <c r="B308" s="174" t="str">
        <f>IFERROR(__xludf.DUMMYFUNCTION("""COMPUTED_VALUE"""),"Mastered")</f>
        <v>Mastered</v>
      </c>
      <c r="C308" s="174" t="str">
        <f>IFERROR(__xludf.DUMMYFUNCTION("""COMPUTED_VALUE"""),"Unlisted")</f>
        <v>Unlisted</v>
      </c>
      <c r="D308" s="174" t="str">
        <f>IFERROR(__xludf.DUMMYFUNCTION("""COMPUTED_VALUE"""),"Unlisted")</f>
        <v>Unlisted</v>
      </c>
      <c r="E308" s="174" t="str">
        <f>IFERROR(__xludf.DUMMYFUNCTION("""COMPUTED_VALUE"""),"Proficient")</f>
        <v>Proficient</v>
      </c>
      <c r="F308" s="174" t="str">
        <f>IFERROR(__xludf.DUMMYFUNCTION("""COMPUTED_VALUE"""),"Unlisted")</f>
        <v>Unlisted</v>
      </c>
      <c r="G308" s="174" t="str">
        <f>IFERROR(__xludf.DUMMYFUNCTION("""COMPUTED_VALUE"""),"Proficient")</f>
        <v>Proficient</v>
      </c>
      <c r="H308" s="174" t="str">
        <f>IFERROR(__xludf.DUMMYFUNCTION("""COMPUTED_VALUE"""),"Unlisted")</f>
        <v>Unlisted</v>
      </c>
      <c r="I308" s="174" t="str">
        <f>IFERROR(__xludf.DUMMYFUNCTION("""COMPUTED_VALUE"""),"Unlisted")</f>
        <v>Unlisted</v>
      </c>
      <c r="J308" s="174" t="str">
        <f>IFERROR(__xludf.DUMMYFUNCTION("""COMPUTED_VALUE"""),"Unlisted")</f>
        <v>Unlisted</v>
      </c>
      <c r="K308" s="174" t="str">
        <f>IFERROR(__xludf.DUMMYFUNCTION("""COMPUTED_VALUE"""),"Unlisted")</f>
        <v>Unlisted</v>
      </c>
      <c r="L308" s="174" t="str">
        <f>IFERROR(__xludf.DUMMYFUNCTION("""COMPUTED_VALUE"""),"Unlisted")</f>
        <v>Unlisted</v>
      </c>
      <c r="M308" s="174" t="str">
        <f>IFERROR(__xludf.DUMMYFUNCTION("""COMPUTED_VALUE"""),"Unlisted")</f>
        <v>Unlisted</v>
      </c>
      <c r="N308" s="174" t="str">
        <f>IFERROR(__xludf.DUMMYFUNCTION("""COMPUTED_VALUE"""),"Unlisted")</f>
        <v>Unlisted</v>
      </c>
      <c r="O308" s="174" t="str">
        <f>IFERROR(__xludf.DUMMYFUNCTION("""COMPUTED_VALUE"""),"Unlisted")</f>
        <v>Unlisted</v>
      </c>
      <c r="P308" s="174" t="str">
        <f>IFERROR(__xludf.DUMMYFUNCTION("""COMPUTED_VALUE"""),"Unlisted")</f>
        <v>Unlisted</v>
      </c>
      <c r="Q308" s="174" t="str">
        <f>IFERROR(__xludf.DUMMYFUNCTION("""COMPUTED_VALUE"""),"Unlisted")</f>
        <v>Unlisted</v>
      </c>
      <c r="R308" s="174" t="str">
        <f>IFERROR(__xludf.DUMMYFUNCTION("""COMPUTED_VALUE"""),"Unlisted")</f>
        <v>Unlisted</v>
      </c>
    </row>
    <row r="309">
      <c r="A309" s="255" t="str">
        <f>IFERROR(__xludf.DUMMYFUNCTION("""COMPUTED_VALUE"""),"Blipbug")</f>
        <v>Blipbug</v>
      </c>
      <c r="B309" s="174" t="str">
        <f>IFERROR(__xludf.DUMMYFUNCTION("""COMPUTED_VALUE"""),"Inept")</f>
        <v>Inept</v>
      </c>
      <c r="C309" s="174" t="str">
        <f>IFERROR(__xludf.DUMMYFUNCTION("""COMPUTED_VALUE"""),"Inept")</f>
        <v>Inept</v>
      </c>
      <c r="D309" s="174" t="str">
        <f>IFERROR(__xludf.DUMMYFUNCTION("""COMPUTED_VALUE"""),"Unlisted")</f>
        <v>Unlisted</v>
      </c>
      <c r="E309" s="174" t="str">
        <f>IFERROR(__xludf.DUMMYFUNCTION("""COMPUTED_VALUE"""),"Inept")</f>
        <v>Inept</v>
      </c>
      <c r="F309" s="174" t="str">
        <f>IFERROR(__xludf.DUMMYFUNCTION("""COMPUTED_VALUE"""),"Unlisted")</f>
        <v>Unlisted</v>
      </c>
      <c r="G309" s="174" t="str">
        <f>IFERROR(__xludf.DUMMYFUNCTION("""COMPUTED_VALUE"""),"Unlisted")</f>
        <v>Unlisted</v>
      </c>
      <c r="H309" s="174" t="str">
        <f>IFERROR(__xludf.DUMMYFUNCTION("""COMPUTED_VALUE"""),"Unlisted")</f>
        <v>Unlisted</v>
      </c>
      <c r="I309" s="174" t="str">
        <f>IFERROR(__xludf.DUMMYFUNCTION("""COMPUTED_VALUE"""),"Unlisted")</f>
        <v>Unlisted</v>
      </c>
      <c r="J309" s="174" t="str">
        <f>IFERROR(__xludf.DUMMYFUNCTION("""COMPUTED_VALUE"""),"Proficient")</f>
        <v>Proficient</v>
      </c>
      <c r="K309" s="174" t="str">
        <f>IFERROR(__xludf.DUMMYFUNCTION("""COMPUTED_VALUE"""),"Proficient")</f>
        <v>Proficient</v>
      </c>
      <c r="L309" s="174" t="str">
        <f>IFERROR(__xludf.DUMMYFUNCTION("""COMPUTED_VALUE"""),"Proficient")</f>
        <v>Proficient</v>
      </c>
      <c r="M309" s="174" t="str">
        <f>IFERROR(__xludf.DUMMYFUNCTION("""COMPUTED_VALUE"""),"Unlisted")</f>
        <v>Unlisted</v>
      </c>
      <c r="N309" s="174" t="str">
        <f>IFERROR(__xludf.DUMMYFUNCTION("""COMPUTED_VALUE"""),"Unlisted")</f>
        <v>Unlisted</v>
      </c>
      <c r="O309" s="174" t="str">
        <f>IFERROR(__xludf.DUMMYFUNCTION("""COMPUTED_VALUE"""),"Unlisted")</f>
        <v>Unlisted</v>
      </c>
      <c r="P309" s="174" t="str">
        <f>IFERROR(__xludf.DUMMYFUNCTION("""COMPUTED_VALUE"""),"Unlisted")</f>
        <v>Unlisted</v>
      </c>
      <c r="Q309" s="174" t="str">
        <f>IFERROR(__xludf.DUMMYFUNCTION("""COMPUTED_VALUE"""),"Unlisted")</f>
        <v>Unlisted</v>
      </c>
      <c r="R309" s="174" t="str">
        <f>IFERROR(__xludf.DUMMYFUNCTION("""COMPUTED_VALUE"""),"Unlisted")</f>
        <v>Unlisted</v>
      </c>
    </row>
    <row r="310">
      <c r="A310" s="255" t="str">
        <f>IFERROR(__xludf.DUMMYFUNCTION("""COMPUTED_VALUE"""),"Dottler")</f>
        <v>Dottler</v>
      </c>
      <c r="B310" s="174" t="str">
        <f>IFERROR(__xludf.DUMMYFUNCTION("""COMPUTED_VALUE"""),"Inept")</f>
        <v>Inept</v>
      </c>
      <c r="C310" s="174" t="str">
        <f>IFERROR(__xludf.DUMMYFUNCTION("""COMPUTED_VALUE"""),"Inept")</f>
        <v>Inept</v>
      </c>
      <c r="D310" s="174" t="str">
        <f>IFERROR(__xludf.DUMMYFUNCTION("""COMPUTED_VALUE"""),"Unlisted")</f>
        <v>Unlisted</v>
      </c>
      <c r="E310" s="174" t="str">
        <f>IFERROR(__xludf.DUMMYFUNCTION("""COMPUTED_VALUE"""),"Inept")</f>
        <v>Inept</v>
      </c>
      <c r="F310" s="174" t="str">
        <f>IFERROR(__xludf.DUMMYFUNCTION("""COMPUTED_VALUE"""),"Unlisted")</f>
        <v>Unlisted</v>
      </c>
      <c r="G310" s="174" t="str">
        <f>IFERROR(__xludf.DUMMYFUNCTION("""COMPUTED_VALUE"""),"Unlisted")</f>
        <v>Unlisted</v>
      </c>
      <c r="H310" s="174" t="str">
        <f>IFERROR(__xludf.DUMMYFUNCTION("""COMPUTED_VALUE"""),"Unlisted")</f>
        <v>Unlisted</v>
      </c>
      <c r="I310" s="174" t="str">
        <f>IFERROR(__xludf.DUMMYFUNCTION("""COMPUTED_VALUE"""),"Unlisted")</f>
        <v>Unlisted</v>
      </c>
      <c r="J310" s="174" t="str">
        <f>IFERROR(__xludf.DUMMYFUNCTION("""COMPUTED_VALUE"""),"Proficient")</f>
        <v>Proficient</v>
      </c>
      <c r="K310" s="174" t="str">
        <f>IFERROR(__xludf.DUMMYFUNCTION("""COMPUTED_VALUE"""),"Proficient")</f>
        <v>Proficient</v>
      </c>
      <c r="L310" s="174" t="str">
        <f>IFERROR(__xludf.DUMMYFUNCTION("""COMPUTED_VALUE"""),"Proficient")</f>
        <v>Proficient</v>
      </c>
      <c r="M310" s="174" t="str">
        <f>IFERROR(__xludf.DUMMYFUNCTION("""COMPUTED_VALUE"""),"Unlisted")</f>
        <v>Unlisted</v>
      </c>
      <c r="N310" s="174" t="str">
        <f>IFERROR(__xludf.DUMMYFUNCTION("""COMPUTED_VALUE"""),"Unlisted")</f>
        <v>Unlisted</v>
      </c>
      <c r="O310" s="174" t="str">
        <f>IFERROR(__xludf.DUMMYFUNCTION("""COMPUTED_VALUE"""),"Unlisted")</f>
        <v>Unlisted</v>
      </c>
      <c r="P310" s="174" t="str">
        <f>IFERROR(__xludf.DUMMYFUNCTION("""COMPUTED_VALUE"""),"Unlisted")</f>
        <v>Unlisted</v>
      </c>
      <c r="Q310" s="174" t="str">
        <f>IFERROR(__xludf.DUMMYFUNCTION("""COMPUTED_VALUE"""),"Unlisted")</f>
        <v>Unlisted</v>
      </c>
      <c r="R310" s="174" t="str">
        <f>IFERROR(__xludf.DUMMYFUNCTION("""COMPUTED_VALUE"""),"Unlisted")</f>
        <v>Unlisted</v>
      </c>
    </row>
    <row r="311">
      <c r="A311" s="255" t="str">
        <f>IFERROR(__xludf.DUMMYFUNCTION("""COMPUTED_VALUE"""),"Orbeetle")</f>
        <v>Orbeetle</v>
      </c>
      <c r="B311" s="174" t="str">
        <f>IFERROR(__xludf.DUMMYFUNCTION("""COMPUTED_VALUE"""),"Unlisted")</f>
        <v>Unlisted</v>
      </c>
      <c r="C311" s="174" t="str">
        <f>IFERROR(__xludf.DUMMYFUNCTION("""COMPUTED_VALUE"""),"Unlisted")</f>
        <v>Unlisted</v>
      </c>
      <c r="D311" s="174" t="str">
        <f>IFERROR(__xludf.DUMMYFUNCTION("""COMPUTED_VALUE"""),"Unlisted")</f>
        <v>Unlisted</v>
      </c>
      <c r="E311" s="174" t="str">
        <f>IFERROR(__xludf.DUMMYFUNCTION("""COMPUTED_VALUE"""),"Unlisted")</f>
        <v>Unlisted</v>
      </c>
      <c r="F311" s="174" t="str">
        <f>IFERROR(__xludf.DUMMYFUNCTION("""COMPUTED_VALUE"""),"Unlisted")</f>
        <v>Unlisted</v>
      </c>
      <c r="G311" s="174" t="str">
        <f>IFERROR(__xludf.DUMMYFUNCTION("""COMPUTED_VALUE"""),"Mastered")</f>
        <v>Mastered</v>
      </c>
      <c r="H311" s="174" t="str">
        <f>IFERROR(__xludf.DUMMYFUNCTION("""COMPUTED_VALUE"""),"Unlisted")</f>
        <v>Unlisted</v>
      </c>
      <c r="I311" s="174" t="str">
        <f>IFERROR(__xludf.DUMMYFUNCTION("""COMPUTED_VALUE"""),"Unlisted")</f>
        <v>Unlisted</v>
      </c>
      <c r="J311" s="174" t="str">
        <f>IFERROR(__xludf.DUMMYFUNCTION("""COMPUTED_VALUE"""),"Proficient")</f>
        <v>Proficient</v>
      </c>
      <c r="K311" s="174" t="str">
        <f>IFERROR(__xludf.DUMMYFUNCTION("""COMPUTED_VALUE"""),"Proficient")</f>
        <v>Proficient</v>
      </c>
      <c r="L311" s="174" t="str">
        <f>IFERROR(__xludf.DUMMYFUNCTION("""COMPUTED_VALUE"""),"Unlisted")</f>
        <v>Unlisted</v>
      </c>
      <c r="M311" s="174" t="str">
        <f>IFERROR(__xludf.DUMMYFUNCTION("""COMPUTED_VALUE"""),"Unlisted")</f>
        <v>Unlisted</v>
      </c>
      <c r="N311" s="174" t="str">
        <f>IFERROR(__xludf.DUMMYFUNCTION("""COMPUTED_VALUE"""),"Unlisted")</f>
        <v>Unlisted</v>
      </c>
      <c r="O311" s="174" t="str">
        <f>IFERROR(__xludf.DUMMYFUNCTION("""COMPUTED_VALUE"""),"Unlisted")</f>
        <v>Unlisted</v>
      </c>
      <c r="P311" s="174" t="str">
        <f>IFERROR(__xludf.DUMMYFUNCTION("""COMPUTED_VALUE"""),"Unlisted")</f>
        <v>Unlisted</v>
      </c>
      <c r="Q311" s="174" t="str">
        <f>IFERROR(__xludf.DUMMYFUNCTION("""COMPUTED_VALUE"""),"Unlisted")</f>
        <v>Unlisted</v>
      </c>
      <c r="R311" s="174" t="str">
        <f>IFERROR(__xludf.DUMMYFUNCTION("""COMPUTED_VALUE"""),"Unlisted")</f>
        <v>Unlisted</v>
      </c>
    </row>
    <row r="312">
      <c r="A312" s="255" t="str">
        <f>IFERROR(__xludf.DUMMYFUNCTION("""COMPUTED_VALUE"""),"Pawniard")</f>
        <v>Pawniard</v>
      </c>
      <c r="B312" s="174" t="str">
        <f>IFERROR(__xludf.DUMMYFUNCTION("""COMPUTED_VALUE"""),"Unlisted")</f>
        <v>Unlisted</v>
      </c>
      <c r="C312" s="174" t="str">
        <f>IFERROR(__xludf.DUMMYFUNCTION("""COMPUTED_VALUE"""),"Unlisted")</f>
        <v>Unlisted</v>
      </c>
      <c r="D312" s="174" t="str">
        <f>IFERROR(__xludf.DUMMYFUNCTION("""COMPUTED_VALUE"""),"Unlisted")</f>
        <v>Unlisted</v>
      </c>
      <c r="E312" s="174" t="str">
        <f>IFERROR(__xludf.DUMMYFUNCTION("""COMPUTED_VALUE"""),"Mastered")</f>
        <v>Mastered</v>
      </c>
      <c r="F312" s="174" t="str">
        <f>IFERROR(__xludf.DUMMYFUNCTION("""COMPUTED_VALUE"""),"Unlisted")</f>
        <v>Unlisted</v>
      </c>
      <c r="G312" s="174" t="str">
        <f>IFERROR(__xludf.DUMMYFUNCTION("""COMPUTED_VALUE"""),"Unlisted")</f>
        <v>Unlisted</v>
      </c>
      <c r="H312" s="174" t="str">
        <f>IFERROR(__xludf.DUMMYFUNCTION("""COMPUTED_VALUE"""),"Unlisted")</f>
        <v>Unlisted</v>
      </c>
      <c r="I312" s="174" t="str">
        <f>IFERROR(__xludf.DUMMYFUNCTION("""COMPUTED_VALUE"""),"Unlisted")</f>
        <v>Unlisted</v>
      </c>
      <c r="J312" s="174" t="str">
        <f>IFERROR(__xludf.DUMMYFUNCTION("""COMPUTED_VALUE"""),"Unlisted")</f>
        <v>Unlisted</v>
      </c>
      <c r="K312" s="174" t="str">
        <f>IFERROR(__xludf.DUMMYFUNCTION("""COMPUTED_VALUE"""),"Proficient")</f>
        <v>Proficient</v>
      </c>
      <c r="L312" s="174" t="str">
        <f>IFERROR(__xludf.DUMMYFUNCTION("""COMPUTED_VALUE"""),"Proficient")</f>
        <v>Proficient</v>
      </c>
      <c r="M312" s="174" t="str">
        <f>IFERROR(__xludf.DUMMYFUNCTION("""COMPUTED_VALUE"""),"Unlisted")</f>
        <v>Unlisted</v>
      </c>
      <c r="N312" s="174" t="str">
        <f>IFERROR(__xludf.DUMMYFUNCTION("""COMPUTED_VALUE"""),"Unlisted")</f>
        <v>Unlisted</v>
      </c>
      <c r="O312" s="174" t="str">
        <f>IFERROR(__xludf.DUMMYFUNCTION("""COMPUTED_VALUE"""),"Unlisted")</f>
        <v>Unlisted</v>
      </c>
      <c r="P312" s="174" t="str">
        <f>IFERROR(__xludf.DUMMYFUNCTION("""COMPUTED_VALUE"""),"Unlisted")</f>
        <v>Unlisted</v>
      </c>
      <c r="Q312" s="174" t="str">
        <f>IFERROR(__xludf.DUMMYFUNCTION("""COMPUTED_VALUE"""),"Unlisted")</f>
        <v>Unlisted</v>
      </c>
      <c r="R312" s="174" t="str">
        <f>IFERROR(__xludf.DUMMYFUNCTION("""COMPUTED_VALUE"""),"Unlisted")</f>
        <v>Unlisted</v>
      </c>
    </row>
    <row r="313">
      <c r="A313" s="255" t="str">
        <f>IFERROR(__xludf.DUMMYFUNCTION("""COMPUTED_VALUE"""),"Bisharp")</f>
        <v>Bisharp</v>
      </c>
      <c r="B313" s="174" t="str">
        <f>IFERROR(__xludf.DUMMYFUNCTION("""COMPUTED_VALUE"""),"Unlisted")</f>
        <v>Unlisted</v>
      </c>
      <c r="C313" s="174" t="str">
        <f>IFERROR(__xludf.DUMMYFUNCTION("""COMPUTED_VALUE"""),"Unlisted")</f>
        <v>Unlisted</v>
      </c>
      <c r="D313" s="174" t="str">
        <f>IFERROR(__xludf.DUMMYFUNCTION("""COMPUTED_VALUE"""),"Unlisted")</f>
        <v>Unlisted</v>
      </c>
      <c r="E313" s="174" t="str">
        <f>IFERROR(__xludf.DUMMYFUNCTION("""COMPUTED_VALUE"""),"Mastered")</f>
        <v>Mastered</v>
      </c>
      <c r="F313" s="174" t="str">
        <f>IFERROR(__xludf.DUMMYFUNCTION("""COMPUTED_VALUE"""),"Unlisted")</f>
        <v>Unlisted</v>
      </c>
      <c r="G313" s="174" t="str">
        <f>IFERROR(__xludf.DUMMYFUNCTION("""COMPUTED_VALUE"""),"Unlisted")</f>
        <v>Unlisted</v>
      </c>
      <c r="H313" s="174" t="str">
        <f>IFERROR(__xludf.DUMMYFUNCTION("""COMPUTED_VALUE"""),"Unlisted")</f>
        <v>Unlisted</v>
      </c>
      <c r="I313" s="174" t="str">
        <f>IFERROR(__xludf.DUMMYFUNCTION("""COMPUTED_VALUE"""),"Unlisted")</f>
        <v>Unlisted</v>
      </c>
      <c r="J313" s="174" t="str">
        <f>IFERROR(__xludf.DUMMYFUNCTION("""COMPUTED_VALUE"""),"Unlisted")</f>
        <v>Unlisted</v>
      </c>
      <c r="K313" s="174" t="str">
        <f>IFERROR(__xludf.DUMMYFUNCTION("""COMPUTED_VALUE"""),"Proficient")</f>
        <v>Proficient</v>
      </c>
      <c r="L313" s="174" t="str">
        <f>IFERROR(__xludf.DUMMYFUNCTION("""COMPUTED_VALUE"""),"Proficient")</f>
        <v>Proficient</v>
      </c>
      <c r="M313" s="174" t="str">
        <f>IFERROR(__xludf.DUMMYFUNCTION("""COMPUTED_VALUE"""),"Unlisted")</f>
        <v>Unlisted</v>
      </c>
      <c r="N313" s="174" t="str">
        <f>IFERROR(__xludf.DUMMYFUNCTION("""COMPUTED_VALUE"""),"Unlisted")</f>
        <v>Unlisted</v>
      </c>
      <c r="O313" s="174" t="str">
        <f>IFERROR(__xludf.DUMMYFUNCTION("""COMPUTED_VALUE"""),"Unlisted")</f>
        <v>Unlisted</v>
      </c>
      <c r="P313" s="174" t="str">
        <f>IFERROR(__xludf.DUMMYFUNCTION("""COMPUTED_VALUE"""),"Unlisted")</f>
        <v>Unlisted</v>
      </c>
      <c r="Q313" s="174" t="str">
        <f>IFERROR(__xludf.DUMMYFUNCTION("""COMPUTED_VALUE"""),"Unlisted")</f>
        <v>Unlisted</v>
      </c>
      <c r="R313" s="174" t="str">
        <f>IFERROR(__xludf.DUMMYFUNCTION("""COMPUTED_VALUE"""),"Unlisted")</f>
        <v>Unlisted</v>
      </c>
    </row>
    <row r="314">
      <c r="A314" s="255" t="str">
        <f>IFERROR(__xludf.DUMMYFUNCTION("""COMPUTED_VALUE"""),"Kingambit")</f>
        <v>Kingambit</v>
      </c>
      <c r="B314" s="174" t="str">
        <f>IFERROR(__xludf.DUMMYFUNCTION("""COMPUTED_VALUE"""),"Unlisted")</f>
        <v>Unlisted</v>
      </c>
      <c r="C314" s="174" t="str">
        <f>IFERROR(__xludf.DUMMYFUNCTION("""COMPUTED_VALUE"""),"Unlisted")</f>
        <v>Unlisted</v>
      </c>
      <c r="D314" s="174" t="str">
        <f>IFERROR(__xludf.DUMMYFUNCTION("""COMPUTED_VALUE"""),"Unlisted")</f>
        <v>Unlisted</v>
      </c>
      <c r="E314" s="174" t="str">
        <f>IFERROR(__xludf.DUMMYFUNCTION("""COMPUTED_VALUE"""),"Proficient")</f>
        <v>Proficient</v>
      </c>
      <c r="F314" s="174" t="str">
        <f>IFERROR(__xludf.DUMMYFUNCTION("""COMPUTED_VALUE"""),"Mastered")</f>
        <v>Mastered</v>
      </c>
      <c r="G314" s="174" t="str">
        <f>IFERROR(__xludf.DUMMYFUNCTION("""COMPUTED_VALUE"""),"Unlisted")</f>
        <v>Unlisted</v>
      </c>
      <c r="H314" s="174" t="str">
        <f>IFERROR(__xludf.DUMMYFUNCTION("""COMPUTED_VALUE"""),"Unlisted")</f>
        <v>Unlisted</v>
      </c>
      <c r="I314" s="174" t="str">
        <f>IFERROR(__xludf.DUMMYFUNCTION("""COMPUTED_VALUE"""),"Unlisted")</f>
        <v>Unlisted</v>
      </c>
      <c r="J314" s="174" t="str">
        <f>IFERROR(__xludf.DUMMYFUNCTION("""COMPUTED_VALUE"""),"Unlisted")</f>
        <v>Unlisted</v>
      </c>
      <c r="K314" s="174" t="str">
        <f>IFERROR(__xludf.DUMMYFUNCTION("""COMPUTED_VALUE"""),"Proficient")</f>
        <v>Proficient</v>
      </c>
      <c r="L314" s="174" t="str">
        <f>IFERROR(__xludf.DUMMYFUNCTION("""COMPUTED_VALUE"""),"Proficient")</f>
        <v>Proficient</v>
      </c>
      <c r="M314" s="174" t="str">
        <f>IFERROR(__xludf.DUMMYFUNCTION("""COMPUTED_VALUE"""),"Unlisted")</f>
        <v>Unlisted</v>
      </c>
      <c r="N314" s="174" t="str">
        <f>IFERROR(__xludf.DUMMYFUNCTION("""COMPUTED_VALUE"""),"Unlisted")</f>
        <v>Unlisted</v>
      </c>
      <c r="O314" s="174" t="str">
        <f>IFERROR(__xludf.DUMMYFUNCTION("""COMPUTED_VALUE"""),"Unlisted")</f>
        <v>Unlisted</v>
      </c>
      <c r="P314" s="174" t="str">
        <f>IFERROR(__xludf.DUMMYFUNCTION("""COMPUTED_VALUE"""),"Unlisted")</f>
        <v>Unlisted</v>
      </c>
      <c r="Q314" s="174" t="str">
        <f>IFERROR(__xludf.DUMMYFUNCTION("""COMPUTED_VALUE"""),"Unlisted")</f>
        <v>Unlisted</v>
      </c>
      <c r="R314" s="174" t="str">
        <f>IFERROR(__xludf.DUMMYFUNCTION("""COMPUTED_VALUE"""),"Unlisted")</f>
        <v>Unlisted</v>
      </c>
    </row>
    <row r="315">
      <c r="A315" s="255" t="str">
        <f>IFERROR(__xludf.DUMMYFUNCTION("""COMPUTED_VALUE"""),"Deino")</f>
        <v>Deino</v>
      </c>
      <c r="B315" s="174" t="str">
        <f>IFERROR(__xludf.DUMMYFUNCTION("""COMPUTED_VALUE"""),"Unlisted")</f>
        <v>Unlisted</v>
      </c>
      <c r="C315" s="174" t="str">
        <f>IFERROR(__xludf.DUMMYFUNCTION("""COMPUTED_VALUE"""),"Proficient")</f>
        <v>Proficient</v>
      </c>
      <c r="D315" s="174" t="str">
        <f>IFERROR(__xludf.DUMMYFUNCTION("""COMPUTED_VALUE"""),"Unlisted")</f>
        <v>Unlisted</v>
      </c>
      <c r="E315" s="174" t="str">
        <f>IFERROR(__xludf.DUMMYFUNCTION("""COMPUTED_VALUE"""),"Unlisted")</f>
        <v>Unlisted</v>
      </c>
      <c r="F315" s="174" t="str">
        <f>IFERROR(__xludf.DUMMYFUNCTION("""COMPUTED_VALUE"""),"Unlisted")</f>
        <v>Unlisted</v>
      </c>
      <c r="G315" s="174" t="str">
        <f>IFERROR(__xludf.DUMMYFUNCTION("""COMPUTED_VALUE"""),"Unlisted")</f>
        <v>Unlisted</v>
      </c>
      <c r="H315" s="174" t="str">
        <f>IFERROR(__xludf.DUMMYFUNCTION("""COMPUTED_VALUE"""),"Unlisted")</f>
        <v>Unlisted</v>
      </c>
      <c r="I315" s="174" t="str">
        <f>IFERROR(__xludf.DUMMYFUNCTION("""COMPUTED_VALUE"""),"Unlisted")</f>
        <v>Unlisted</v>
      </c>
      <c r="J315" s="174" t="str">
        <f>IFERROR(__xludf.DUMMYFUNCTION("""COMPUTED_VALUE"""),"Unlisted")</f>
        <v>Unlisted</v>
      </c>
      <c r="K315" s="174" t="str">
        <f>IFERROR(__xludf.DUMMYFUNCTION("""COMPUTED_VALUE"""),"Inept")</f>
        <v>Inept</v>
      </c>
      <c r="L315" s="174" t="str">
        <f>IFERROR(__xludf.DUMMYFUNCTION("""COMPUTED_VALUE"""),"Proficient")</f>
        <v>Proficient</v>
      </c>
      <c r="M315" s="174" t="str">
        <f>IFERROR(__xludf.DUMMYFUNCTION("""COMPUTED_VALUE"""),"Unlisted")</f>
        <v>Unlisted</v>
      </c>
      <c r="N315" s="174" t="str">
        <f>IFERROR(__xludf.DUMMYFUNCTION("""COMPUTED_VALUE"""),"Unlisted")</f>
        <v>Unlisted</v>
      </c>
      <c r="O315" s="174" t="str">
        <f>IFERROR(__xludf.DUMMYFUNCTION("""COMPUTED_VALUE"""),"Unlisted")</f>
        <v>Unlisted</v>
      </c>
      <c r="P315" s="174" t="str">
        <f>IFERROR(__xludf.DUMMYFUNCTION("""COMPUTED_VALUE"""),"Unlisted")</f>
        <v>Unlisted</v>
      </c>
      <c r="Q315" s="174" t="str">
        <f>IFERROR(__xludf.DUMMYFUNCTION("""COMPUTED_VALUE"""),"Unlisted")</f>
        <v>Unlisted</v>
      </c>
      <c r="R315" s="174" t="str">
        <f>IFERROR(__xludf.DUMMYFUNCTION("""COMPUTED_VALUE"""),"Unlisted")</f>
        <v>Unlisted</v>
      </c>
    </row>
    <row r="316">
      <c r="A316" s="255" t="str">
        <f>IFERROR(__xludf.DUMMYFUNCTION("""COMPUTED_VALUE"""),"Zweilous")</f>
        <v>Zweilous</v>
      </c>
      <c r="B316" s="174" t="str">
        <f>IFERROR(__xludf.DUMMYFUNCTION("""COMPUTED_VALUE"""),"Unlisted")</f>
        <v>Unlisted</v>
      </c>
      <c r="C316" s="174" t="str">
        <f>IFERROR(__xludf.DUMMYFUNCTION("""COMPUTED_VALUE"""),"Proficient")</f>
        <v>Proficient</v>
      </c>
      <c r="D316" s="174" t="str">
        <f>IFERROR(__xludf.DUMMYFUNCTION("""COMPUTED_VALUE"""),"Unlisted")</f>
        <v>Unlisted</v>
      </c>
      <c r="E316" s="174" t="str">
        <f>IFERROR(__xludf.DUMMYFUNCTION("""COMPUTED_VALUE"""),"Proficient")</f>
        <v>Proficient</v>
      </c>
      <c r="F316" s="174" t="str">
        <f>IFERROR(__xludf.DUMMYFUNCTION("""COMPUTED_VALUE"""),"Unlisted")</f>
        <v>Unlisted</v>
      </c>
      <c r="G316" s="174" t="str">
        <f>IFERROR(__xludf.DUMMYFUNCTION("""COMPUTED_VALUE"""),"Unlisted")</f>
        <v>Unlisted</v>
      </c>
      <c r="H316" s="174" t="str">
        <f>IFERROR(__xludf.DUMMYFUNCTION("""COMPUTED_VALUE"""),"Unlisted")</f>
        <v>Unlisted</v>
      </c>
      <c r="I316" s="174" t="str">
        <f>IFERROR(__xludf.DUMMYFUNCTION("""COMPUTED_VALUE"""),"Unlisted")</f>
        <v>Unlisted</v>
      </c>
      <c r="J316" s="174" t="str">
        <f>IFERROR(__xludf.DUMMYFUNCTION("""COMPUTED_VALUE"""),"Unlisted")</f>
        <v>Unlisted</v>
      </c>
      <c r="K316" s="174" t="str">
        <f>IFERROR(__xludf.DUMMYFUNCTION("""COMPUTED_VALUE"""),"Proficient")</f>
        <v>Proficient</v>
      </c>
      <c r="L316" s="174" t="str">
        <f>IFERROR(__xludf.DUMMYFUNCTION("""COMPUTED_VALUE"""),"Unlisted")</f>
        <v>Unlisted</v>
      </c>
      <c r="M316" s="174" t="str">
        <f>IFERROR(__xludf.DUMMYFUNCTION("""COMPUTED_VALUE"""),"Unlisted")</f>
        <v>Unlisted</v>
      </c>
      <c r="N316" s="174" t="str">
        <f>IFERROR(__xludf.DUMMYFUNCTION("""COMPUTED_VALUE"""),"Unlisted")</f>
        <v>Unlisted</v>
      </c>
      <c r="O316" s="174" t="str">
        <f>IFERROR(__xludf.DUMMYFUNCTION("""COMPUTED_VALUE"""),"Unlisted")</f>
        <v>Unlisted</v>
      </c>
      <c r="P316" s="174" t="str">
        <f>IFERROR(__xludf.DUMMYFUNCTION("""COMPUTED_VALUE"""),"Unlisted")</f>
        <v>Unlisted</v>
      </c>
      <c r="Q316" s="174" t="str">
        <f>IFERROR(__xludf.DUMMYFUNCTION("""COMPUTED_VALUE"""),"Unlisted")</f>
        <v>Unlisted</v>
      </c>
      <c r="R316" s="174" t="str">
        <f>IFERROR(__xludf.DUMMYFUNCTION("""COMPUTED_VALUE"""),"Unlisted")</f>
        <v>Unlisted</v>
      </c>
    </row>
    <row r="317">
      <c r="A317" s="255" t="str">
        <f>IFERROR(__xludf.DUMMYFUNCTION("""COMPUTED_VALUE"""),"Hydreigon")</f>
        <v>Hydreigon</v>
      </c>
      <c r="B317" s="174" t="str">
        <f>IFERROR(__xludf.DUMMYFUNCTION("""COMPUTED_VALUE"""),"Unlisted")</f>
        <v>Unlisted</v>
      </c>
      <c r="C317" s="174" t="str">
        <f>IFERROR(__xludf.DUMMYFUNCTION("""COMPUTED_VALUE"""),"Proficient")</f>
        <v>Proficient</v>
      </c>
      <c r="D317" s="174" t="str">
        <f>IFERROR(__xludf.DUMMYFUNCTION("""COMPUTED_VALUE"""),"Unlisted")</f>
        <v>Unlisted</v>
      </c>
      <c r="E317" s="174" t="str">
        <f>IFERROR(__xludf.DUMMYFUNCTION("""COMPUTED_VALUE"""),"Proficient")</f>
        <v>Proficient</v>
      </c>
      <c r="F317" s="174" t="str">
        <f>IFERROR(__xludf.DUMMYFUNCTION("""COMPUTED_VALUE"""),"Unlisted")</f>
        <v>Unlisted</v>
      </c>
      <c r="G317" s="174" t="str">
        <f>IFERROR(__xludf.DUMMYFUNCTION("""COMPUTED_VALUE"""),"Unlisted")</f>
        <v>Unlisted</v>
      </c>
      <c r="H317" s="174" t="str">
        <f>IFERROR(__xludf.DUMMYFUNCTION("""COMPUTED_VALUE"""),"Unlisted")</f>
        <v>Unlisted</v>
      </c>
      <c r="I317" s="174" t="str">
        <f>IFERROR(__xludf.DUMMYFUNCTION("""COMPUTED_VALUE"""),"Unlisted")</f>
        <v>Unlisted</v>
      </c>
      <c r="J317" s="174" t="str">
        <f>IFERROR(__xludf.DUMMYFUNCTION("""COMPUTED_VALUE"""),"Unlisted")</f>
        <v>Unlisted</v>
      </c>
      <c r="K317" s="174" t="str">
        <f>IFERROR(__xludf.DUMMYFUNCTION("""COMPUTED_VALUE"""),"Mastered")</f>
        <v>Mastered</v>
      </c>
      <c r="L317" s="174" t="str">
        <f>IFERROR(__xludf.DUMMYFUNCTION("""COMPUTED_VALUE"""),"Unlisted")</f>
        <v>Unlisted</v>
      </c>
      <c r="M317" s="174" t="str">
        <f>IFERROR(__xludf.DUMMYFUNCTION("""COMPUTED_VALUE"""),"Unlisted")</f>
        <v>Unlisted</v>
      </c>
      <c r="N317" s="174" t="str">
        <f>IFERROR(__xludf.DUMMYFUNCTION("""COMPUTED_VALUE"""),"Unlisted")</f>
        <v>Unlisted</v>
      </c>
      <c r="O317" s="174" t="str">
        <f>IFERROR(__xludf.DUMMYFUNCTION("""COMPUTED_VALUE"""),"Unlisted")</f>
        <v>Unlisted</v>
      </c>
      <c r="P317" s="174" t="str">
        <f>IFERROR(__xludf.DUMMYFUNCTION("""COMPUTED_VALUE"""),"Unlisted")</f>
        <v>Unlisted</v>
      </c>
      <c r="Q317" s="174" t="str">
        <f>IFERROR(__xludf.DUMMYFUNCTION("""COMPUTED_VALUE"""),"Unlisted")</f>
        <v>Unlisted</v>
      </c>
      <c r="R317" s="174" t="str">
        <f>IFERROR(__xludf.DUMMYFUNCTION("""COMPUTED_VALUE"""),"Unlisted")</f>
        <v>Unlisted</v>
      </c>
    </row>
    <row r="318">
      <c r="A318" s="255" t="str">
        <f>IFERROR(__xludf.DUMMYFUNCTION("""COMPUTED_VALUE"""),"Impidimp")</f>
        <v>Impidimp</v>
      </c>
      <c r="B318" s="174" t="str">
        <f>IFERROR(__xludf.DUMMYFUNCTION("""COMPUTED_VALUE"""),"Unlisted")</f>
        <v>Unlisted</v>
      </c>
      <c r="C318" s="174" t="str">
        <f>IFERROR(__xludf.DUMMYFUNCTION("""COMPUTED_VALUE"""),"Unlisted")</f>
        <v>Unlisted</v>
      </c>
      <c r="D318" s="174" t="str">
        <f>IFERROR(__xludf.DUMMYFUNCTION("""COMPUTED_VALUE"""),"Unlisted")</f>
        <v>Unlisted</v>
      </c>
      <c r="E318" s="174" t="str">
        <f>IFERROR(__xludf.DUMMYFUNCTION("""COMPUTED_VALUE"""),"Unlisted")</f>
        <v>Unlisted</v>
      </c>
      <c r="F318" s="174" t="str">
        <f>IFERROR(__xludf.DUMMYFUNCTION("""COMPUTED_VALUE"""),"Unlisted")</f>
        <v>Unlisted</v>
      </c>
      <c r="G318" s="174" t="str">
        <f>IFERROR(__xludf.DUMMYFUNCTION("""COMPUTED_VALUE"""),"Unlisted")</f>
        <v>Unlisted</v>
      </c>
      <c r="H318" s="174" t="str">
        <f>IFERROR(__xludf.DUMMYFUNCTION("""COMPUTED_VALUE"""),"Proficient")</f>
        <v>Proficient</v>
      </c>
      <c r="I318" s="174" t="str">
        <f>IFERROR(__xludf.DUMMYFUNCTION("""COMPUTED_VALUE"""),"Unlisted")</f>
        <v>Unlisted</v>
      </c>
      <c r="J318" s="174" t="str">
        <f>IFERROR(__xludf.DUMMYFUNCTION("""COMPUTED_VALUE"""),"Unlisted")</f>
        <v>Unlisted</v>
      </c>
      <c r="K318" s="174" t="str">
        <f>IFERROR(__xludf.DUMMYFUNCTION("""COMPUTED_VALUE"""),"Unlisted")</f>
        <v>Unlisted</v>
      </c>
      <c r="L318" s="174" t="str">
        <f>IFERROR(__xludf.DUMMYFUNCTION("""COMPUTED_VALUE"""),"Proficient")</f>
        <v>Proficient</v>
      </c>
      <c r="M318" s="174" t="str">
        <f>IFERROR(__xludf.DUMMYFUNCTION("""COMPUTED_VALUE"""),"Unlisted")</f>
        <v>Unlisted</v>
      </c>
      <c r="N318" s="174" t="str">
        <f>IFERROR(__xludf.DUMMYFUNCTION("""COMPUTED_VALUE"""),"Unlisted")</f>
        <v>Unlisted</v>
      </c>
      <c r="O318" s="174" t="str">
        <f>IFERROR(__xludf.DUMMYFUNCTION("""COMPUTED_VALUE"""),"Unlisted")</f>
        <v>Unlisted</v>
      </c>
      <c r="P318" s="174" t="str">
        <f>IFERROR(__xludf.DUMMYFUNCTION("""COMPUTED_VALUE"""),"Unlisted")</f>
        <v>Unlisted</v>
      </c>
      <c r="Q318" s="174" t="str">
        <f>IFERROR(__xludf.DUMMYFUNCTION("""COMPUTED_VALUE"""),"Unlisted")</f>
        <v>Unlisted</v>
      </c>
      <c r="R318" s="174" t="str">
        <f>IFERROR(__xludf.DUMMYFUNCTION("""COMPUTED_VALUE"""),"Unlisted")</f>
        <v>Unlisted</v>
      </c>
    </row>
    <row r="319">
      <c r="A319" s="255" t="str">
        <f>IFERROR(__xludf.DUMMYFUNCTION("""COMPUTED_VALUE"""),"Morgrem")</f>
        <v>Morgrem</v>
      </c>
      <c r="B319" s="174" t="str">
        <f>IFERROR(__xludf.DUMMYFUNCTION("""COMPUTED_VALUE"""),"Unlisted")</f>
        <v>Unlisted</v>
      </c>
      <c r="C319" s="174" t="str">
        <f>IFERROR(__xludf.DUMMYFUNCTION("""COMPUTED_VALUE"""),"Mastered")</f>
        <v>Mastered</v>
      </c>
      <c r="D319" s="174" t="str">
        <f>IFERROR(__xludf.DUMMYFUNCTION("""COMPUTED_VALUE"""),"Unlisted")</f>
        <v>Unlisted</v>
      </c>
      <c r="E319" s="174" t="str">
        <f>IFERROR(__xludf.DUMMYFUNCTION("""COMPUTED_VALUE"""),"Unlisted")</f>
        <v>Unlisted</v>
      </c>
      <c r="F319" s="174" t="str">
        <f>IFERROR(__xludf.DUMMYFUNCTION("""COMPUTED_VALUE"""),"Unlisted")</f>
        <v>Unlisted</v>
      </c>
      <c r="G319" s="174" t="str">
        <f>IFERROR(__xludf.DUMMYFUNCTION("""COMPUTED_VALUE"""),"Unlisted")</f>
        <v>Unlisted</v>
      </c>
      <c r="H319" s="174" t="str">
        <f>IFERROR(__xludf.DUMMYFUNCTION("""COMPUTED_VALUE"""),"Proficient")</f>
        <v>Proficient</v>
      </c>
      <c r="I319" s="174" t="str">
        <f>IFERROR(__xludf.DUMMYFUNCTION("""COMPUTED_VALUE"""),"Unlisted")</f>
        <v>Unlisted</v>
      </c>
      <c r="J319" s="174" t="str">
        <f>IFERROR(__xludf.DUMMYFUNCTION("""COMPUTED_VALUE"""),"Unlisted")</f>
        <v>Unlisted</v>
      </c>
      <c r="K319" s="174" t="str">
        <f>IFERROR(__xludf.DUMMYFUNCTION("""COMPUTED_VALUE"""),"Unlisted")</f>
        <v>Unlisted</v>
      </c>
      <c r="L319" s="174" t="str">
        <f>IFERROR(__xludf.DUMMYFUNCTION("""COMPUTED_VALUE"""),"Proficient")</f>
        <v>Proficient</v>
      </c>
      <c r="M319" s="174" t="str">
        <f>IFERROR(__xludf.DUMMYFUNCTION("""COMPUTED_VALUE"""),"Unlisted")</f>
        <v>Unlisted</v>
      </c>
      <c r="N319" s="174" t="str">
        <f>IFERROR(__xludf.DUMMYFUNCTION("""COMPUTED_VALUE"""),"Unlisted")</f>
        <v>Unlisted</v>
      </c>
      <c r="O319" s="174" t="str">
        <f>IFERROR(__xludf.DUMMYFUNCTION("""COMPUTED_VALUE"""),"Unlisted")</f>
        <v>Unlisted</v>
      </c>
      <c r="P319" s="174" t="str">
        <f>IFERROR(__xludf.DUMMYFUNCTION("""COMPUTED_VALUE"""),"Unlisted")</f>
        <v>Unlisted</v>
      </c>
      <c r="Q319" s="174" t="str">
        <f>IFERROR(__xludf.DUMMYFUNCTION("""COMPUTED_VALUE"""),"Unlisted")</f>
        <v>Unlisted</v>
      </c>
      <c r="R319" s="174" t="str">
        <f>IFERROR(__xludf.DUMMYFUNCTION("""COMPUTED_VALUE"""),"Unlisted")</f>
        <v>Unlisted</v>
      </c>
    </row>
    <row r="320">
      <c r="A320" s="255" t="str">
        <f>IFERROR(__xludf.DUMMYFUNCTION("""COMPUTED_VALUE"""),"Grimmsnarl")</f>
        <v>Grimmsnarl</v>
      </c>
      <c r="B320" s="174" t="str">
        <f>IFERROR(__xludf.DUMMYFUNCTION("""COMPUTED_VALUE"""),"Unlisted")</f>
        <v>Unlisted</v>
      </c>
      <c r="C320" s="174" t="str">
        <f>IFERROR(__xludf.DUMMYFUNCTION("""COMPUTED_VALUE"""),"Mastered")</f>
        <v>Mastered</v>
      </c>
      <c r="D320" s="174" t="str">
        <f>IFERROR(__xludf.DUMMYFUNCTION("""COMPUTED_VALUE"""),"Unlisted")</f>
        <v>Unlisted</v>
      </c>
      <c r="E320" s="174" t="str">
        <f>IFERROR(__xludf.DUMMYFUNCTION("""COMPUTED_VALUE"""),"Unlisted")</f>
        <v>Unlisted</v>
      </c>
      <c r="F320" s="174" t="str">
        <f>IFERROR(__xludf.DUMMYFUNCTION("""COMPUTED_VALUE"""),"Unlisted")</f>
        <v>Unlisted</v>
      </c>
      <c r="G320" s="174" t="str">
        <f>IFERROR(__xludf.DUMMYFUNCTION("""COMPUTED_VALUE"""),"Unlisted")</f>
        <v>Unlisted</v>
      </c>
      <c r="H320" s="174" t="str">
        <f>IFERROR(__xludf.DUMMYFUNCTION("""COMPUTED_VALUE"""),"Proficient")</f>
        <v>Proficient</v>
      </c>
      <c r="I320" s="174" t="str">
        <f>IFERROR(__xludf.DUMMYFUNCTION("""COMPUTED_VALUE"""),"Unlisted")</f>
        <v>Unlisted</v>
      </c>
      <c r="J320" s="174" t="str">
        <f>IFERROR(__xludf.DUMMYFUNCTION("""COMPUTED_VALUE"""),"Unlisted")</f>
        <v>Unlisted</v>
      </c>
      <c r="K320" s="174" t="str">
        <f>IFERROR(__xludf.DUMMYFUNCTION("""COMPUTED_VALUE"""),"Unlisted")</f>
        <v>Unlisted</v>
      </c>
      <c r="L320" s="174" t="str">
        <f>IFERROR(__xludf.DUMMYFUNCTION("""COMPUTED_VALUE"""),"Proficient")</f>
        <v>Proficient</v>
      </c>
      <c r="M320" s="174" t="str">
        <f>IFERROR(__xludf.DUMMYFUNCTION("""COMPUTED_VALUE"""),"Unlisted")</f>
        <v>Unlisted</v>
      </c>
      <c r="N320" s="174" t="str">
        <f>IFERROR(__xludf.DUMMYFUNCTION("""COMPUTED_VALUE"""),"Unlisted")</f>
        <v>Unlisted</v>
      </c>
      <c r="O320" s="174" t="str">
        <f>IFERROR(__xludf.DUMMYFUNCTION("""COMPUTED_VALUE"""),"Unlisted")</f>
        <v>Unlisted</v>
      </c>
      <c r="P320" s="174" t="str">
        <f>IFERROR(__xludf.DUMMYFUNCTION("""COMPUTED_VALUE"""),"Unlisted")</f>
        <v>Unlisted</v>
      </c>
      <c r="Q320" s="174" t="str">
        <f>IFERROR(__xludf.DUMMYFUNCTION("""COMPUTED_VALUE"""),"Unlisted")</f>
        <v>Unlisted</v>
      </c>
      <c r="R320" s="174" t="str">
        <f>IFERROR(__xludf.DUMMYFUNCTION("""COMPUTED_VALUE"""),"Unlisted")</f>
        <v>Unlisted</v>
      </c>
    </row>
    <row r="321">
      <c r="A321" s="255" t="str">
        <f>IFERROR(__xludf.DUMMYFUNCTION("""COMPUTED_VALUE"""),"Dratini")</f>
        <v>Dratini</v>
      </c>
      <c r="B321" s="174" t="str">
        <f>IFERROR(__xludf.DUMMYFUNCTION("""COMPUTED_VALUE"""),"Mastered")</f>
        <v>Mastered</v>
      </c>
      <c r="C321" s="174" t="str">
        <f>IFERROR(__xludf.DUMMYFUNCTION("""COMPUTED_VALUE"""),"Proficient")</f>
        <v>Proficient</v>
      </c>
      <c r="D321" s="174" t="str">
        <f>IFERROR(__xludf.DUMMYFUNCTION("""COMPUTED_VALUE"""),"Unlisted")</f>
        <v>Unlisted</v>
      </c>
      <c r="E321" s="174" t="str">
        <f>IFERROR(__xludf.DUMMYFUNCTION("""COMPUTED_VALUE"""),"Unlisted")</f>
        <v>Unlisted</v>
      </c>
      <c r="F321" s="174" t="str">
        <f>IFERROR(__xludf.DUMMYFUNCTION("""COMPUTED_VALUE"""),"Unlisted")</f>
        <v>Unlisted</v>
      </c>
      <c r="G321" s="174" t="str">
        <f>IFERROR(__xludf.DUMMYFUNCTION("""COMPUTED_VALUE"""),"Unlisted")</f>
        <v>Unlisted</v>
      </c>
      <c r="H321" s="174" t="str">
        <f>IFERROR(__xludf.DUMMYFUNCTION("""COMPUTED_VALUE"""),"Unlisted")</f>
        <v>Unlisted</v>
      </c>
      <c r="I321" s="174" t="str">
        <f>IFERROR(__xludf.DUMMYFUNCTION("""COMPUTED_VALUE"""),"Unlisted")</f>
        <v>Unlisted</v>
      </c>
      <c r="J321" s="174" t="str">
        <f>IFERROR(__xludf.DUMMYFUNCTION("""COMPUTED_VALUE"""),"Unlisted")</f>
        <v>Unlisted</v>
      </c>
      <c r="K321" s="174" t="str">
        <f>IFERROR(__xludf.DUMMYFUNCTION("""COMPUTED_VALUE"""),"Unlisted")</f>
        <v>Unlisted</v>
      </c>
      <c r="L321" s="174" t="str">
        <f>IFERROR(__xludf.DUMMYFUNCTION("""COMPUTED_VALUE"""),"Unlisted")</f>
        <v>Unlisted</v>
      </c>
      <c r="M321" s="174" t="str">
        <f>IFERROR(__xludf.DUMMYFUNCTION("""COMPUTED_VALUE"""),"Unlisted")</f>
        <v>Unlisted</v>
      </c>
      <c r="N321" s="174" t="str">
        <f>IFERROR(__xludf.DUMMYFUNCTION("""COMPUTED_VALUE"""),"Unlisted")</f>
        <v>Unlisted</v>
      </c>
      <c r="O321" s="174" t="str">
        <f>IFERROR(__xludf.DUMMYFUNCTION("""COMPUTED_VALUE"""),"Proficient")</f>
        <v>Proficient</v>
      </c>
      <c r="P321" s="174" t="str">
        <f>IFERROR(__xludf.DUMMYFUNCTION("""COMPUTED_VALUE"""),"Unlisted")</f>
        <v>Unlisted</v>
      </c>
      <c r="Q321" s="174" t="str">
        <f>IFERROR(__xludf.DUMMYFUNCTION("""COMPUTED_VALUE"""),"Unlisted")</f>
        <v>Unlisted</v>
      </c>
      <c r="R321" s="174" t="str">
        <f>IFERROR(__xludf.DUMMYFUNCTION("""COMPUTED_VALUE"""),"Unlisted")</f>
        <v>Unlisted</v>
      </c>
    </row>
    <row r="322">
      <c r="A322" s="255" t="str">
        <f>IFERROR(__xludf.DUMMYFUNCTION("""COMPUTED_VALUE"""),"Dragonair")</f>
        <v>Dragonair</v>
      </c>
      <c r="B322" s="174" t="str">
        <f>IFERROR(__xludf.DUMMYFUNCTION("""COMPUTED_VALUE"""),"Mastered")</f>
        <v>Mastered</v>
      </c>
      <c r="C322" s="174" t="str">
        <f>IFERROR(__xludf.DUMMYFUNCTION("""COMPUTED_VALUE"""),"Proficient")</f>
        <v>Proficient</v>
      </c>
      <c r="D322" s="174" t="str">
        <f>IFERROR(__xludf.DUMMYFUNCTION("""COMPUTED_VALUE"""),"Unlisted")</f>
        <v>Unlisted</v>
      </c>
      <c r="E322" s="174" t="str">
        <f>IFERROR(__xludf.DUMMYFUNCTION("""COMPUTED_VALUE"""),"Unlisted")</f>
        <v>Unlisted</v>
      </c>
      <c r="F322" s="174" t="str">
        <f>IFERROR(__xludf.DUMMYFUNCTION("""COMPUTED_VALUE"""),"Unlisted")</f>
        <v>Unlisted</v>
      </c>
      <c r="G322" s="174" t="str">
        <f>IFERROR(__xludf.DUMMYFUNCTION("""COMPUTED_VALUE"""),"Unlisted")</f>
        <v>Unlisted</v>
      </c>
      <c r="H322" s="174" t="str">
        <f>IFERROR(__xludf.DUMMYFUNCTION("""COMPUTED_VALUE"""),"Unlisted")</f>
        <v>Unlisted</v>
      </c>
      <c r="I322" s="174" t="str">
        <f>IFERROR(__xludf.DUMMYFUNCTION("""COMPUTED_VALUE"""),"Unlisted")</f>
        <v>Unlisted</v>
      </c>
      <c r="J322" s="174" t="str">
        <f>IFERROR(__xludf.DUMMYFUNCTION("""COMPUTED_VALUE"""),"Unlisted")</f>
        <v>Unlisted</v>
      </c>
      <c r="K322" s="174" t="str">
        <f>IFERROR(__xludf.DUMMYFUNCTION("""COMPUTED_VALUE"""),"Unlisted")</f>
        <v>Unlisted</v>
      </c>
      <c r="L322" s="174" t="str">
        <f>IFERROR(__xludf.DUMMYFUNCTION("""COMPUTED_VALUE"""),"Unlisted")</f>
        <v>Unlisted</v>
      </c>
      <c r="M322" s="174" t="str">
        <f>IFERROR(__xludf.DUMMYFUNCTION("""COMPUTED_VALUE"""),"Unlisted")</f>
        <v>Unlisted</v>
      </c>
      <c r="N322" s="174" t="str">
        <f>IFERROR(__xludf.DUMMYFUNCTION("""COMPUTED_VALUE"""),"Unlisted")</f>
        <v>Unlisted</v>
      </c>
      <c r="O322" s="174" t="str">
        <f>IFERROR(__xludf.DUMMYFUNCTION("""COMPUTED_VALUE"""),"Proficient")</f>
        <v>Proficient</v>
      </c>
      <c r="P322" s="174" t="str">
        <f>IFERROR(__xludf.DUMMYFUNCTION("""COMPUTED_VALUE"""),"Unlisted")</f>
        <v>Unlisted</v>
      </c>
      <c r="Q322" s="174" t="str">
        <f>IFERROR(__xludf.DUMMYFUNCTION("""COMPUTED_VALUE"""),"Unlisted")</f>
        <v>Unlisted</v>
      </c>
      <c r="R322" s="174" t="str">
        <f>IFERROR(__xludf.DUMMYFUNCTION("""COMPUTED_VALUE"""),"Unlisted")</f>
        <v>Unlisted</v>
      </c>
    </row>
    <row r="323">
      <c r="A323" s="255" t="str">
        <f>IFERROR(__xludf.DUMMYFUNCTION("""COMPUTED_VALUE"""),"Dragonite")</f>
        <v>Dragonite</v>
      </c>
      <c r="B323" s="174" t="str">
        <f>IFERROR(__xludf.DUMMYFUNCTION("""COMPUTED_VALUE"""),"Mastered")</f>
        <v>Mastered</v>
      </c>
      <c r="C323" s="174" t="str">
        <f>IFERROR(__xludf.DUMMYFUNCTION("""COMPUTED_VALUE"""),"Proficient")</f>
        <v>Proficient</v>
      </c>
      <c r="D323" s="174" t="str">
        <f>IFERROR(__xludf.DUMMYFUNCTION("""COMPUTED_VALUE"""),"Unlisted")</f>
        <v>Unlisted</v>
      </c>
      <c r="E323" s="174" t="str">
        <f>IFERROR(__xludf.DUMMYFUNCTION("""COMPUTED_VALUE"""),"Unlisted")</f>
        <v>Unlisted</v>
      </c>
      <c r="F323" s="174" t="str">
        <f>IFERROR(__xludf.DUMMYFUNCTION("""COMPUTED_VALUE"""),"Unlisted")</f>
        <v>Unlisted</v>
      </c>
      <c r="G323" s="174" t="str">
        <f>IFERROR(__xludf.DUMMYFUNCTION("""COMPUTED_VALUE"""),"Unlisted")</f>
        <v>Unlisted</v>
      </c>
      <c r="H323" s="174" t="str">
        <f>IFERROR(__xludf.DUMMYFUNCTION("""COMPUTED_VALUE"""),"Unlisted")</f>
        <v>Unlisted</v>
      </c>
      <c r="I323" s="174" t="str">
        <f>IFERROR(__xludf.DUMMYFUNCTION("""COMPUTED_VALUE"""),"Unlisted")</f>
        <v>Unlisted</v>
      </c>
      <c r="J323" s="174" t="str">
        <f>IFERROR(__xludf.DUMMYFUNCTION("""COMPUTED_VALUE"""),"Unlisted")</f>
        <v>Unlisted</v>
      </c>
      <c r="K323" s="174" t="str">
        <f>IFERROR(__xludf.DUMMYFUNCTION("""COMPUTED_VALUE"""),"Unlisted")</f>
        <v>Unlisted</v>
      </c>
      <c r="L323" s="174" t="str">
        <f>IFERROR(__xludf.DUMMYFUNCTION("""COMPUTED_VALUE"""),"Unlisted")</f>
        <v>Unlisted</v>
      </c>
      <c r="M323" s="174" t="str">
        <f>IFERROR(__xludf.DUMMYFUNCTION("""COMPUTED_VALUE"""),"Unlisted")</f>
        <v>Unlisted</v>
      </c>
      <c r="N323" s="174" t="str">
        <f>IFERROR(__xludf.DUMMYFUNCTION("""COMPUTED_VALUE"""),"Unlisted")</f>
        <v>Unlisted</v>
      </c>
      <c r="O323" s="174" t="str">
        <f>IFERROR(__xludf.DUMMYFUNCTION("""COMPUTED_VALUE"""),"Proficient")</f>
        <v>Proficient</v>
      </c>
      <c r="P323" s="174" t="str">
        <f>IFERROR(__xludf.DUMMYFUNCTION("""COMPUTED_VALUE"""),"Unlisted")</f>
        <v>Unlisted</v>
      </c>
      <c r="Q323" s="174" t="str">
        <f>IFERROR(__xludf.DUMMYFUNCTION("""COMPUTED_VALUE"""),"Unlisted")</f>
        <v>Unlisted</v>
      </c>
      <c r="R323" s="174" t="str">
        <f>IFERROR(__xludf.DUMMYFUNCTION("""COMPUTED_VALUE"""),"Unlisted")</f>
        <v>Unlisted</v>
      </c>
    </row>
    <row r="324">
      <c r="A324" s="255" t="str">
        <f>IFERROR(__xludf.DUMMYFUNCTION("""COMPUTED_VALUE"""),"Bagon")</f>
        <v>Bagon</v>
      </c>
      <c r="B324" s="174" t="str">
        <f>IFERROR(__xludf.DUMMYFUNCTION("""COMPUTED_VALUE"""),"Unlisted")</f>
        <v>Unlisted</v>
      </c>
      <c r="C324" s="174" t="str">
        <f>IFERROR(__xludf.DUMMYFUNCTION("""COMPUTED_VALUE"""),"Proficient")</f>
        <v>Proficient</v>
      </c>
      <c r="D324" s="174" t="str">
        <f>IFERROR(__xludf.DUMMYFUNCTION("""COMPUTED_VALUE"""),"Unlisted")</f>
        <v>Unlisted</v>
      </c>
      <c r="E324" s="174" t="str">
        <f>IFERROR(__xludf.DUMMYFUNCTION("""COMPUTED_VALUE"""),"Unlisted")</f>
        <v>Unlisted</v>
      </c>
      <c r="F324" s="174" t="str">
        <f>IFERROR(__xludf.DUMMYFUNCTION("""COMPUTED_VALUE"""),"Unlisted")</f>
        <v>Unlisted</v>
      </c>
      <c r="G324" s="174" t="str">
        <f>IFERROR(__xludf.DUMMYFUNCTION("""COMPUTED_VALUE"""),"Proficient")</f>
        <v>Proficient</v>
      </c>
      <c r="H324" s="174" t="str">
        <f>IFERROR(__xludf.DUMMYFUNCTION("""COMPUTED_VALUE"""),"Unlisted")</f>
        <v>Unlisted</v>
      </c>
      <c r="I324" s="174" t="str">
        <f>IFERROR(__xludf.DUMMYFUNCTION("""COMPUTED_VALUE"""),"Proficient")</f>
        <v>Proficient</v>
      </c>
      <c r="J324" s="174" t="str">
        <f>IFERROR(__xludf.DUMMYFUNCTION("""COMPUTED_VALUE"""),"Unlisted")</f>
        <v>Unlisted</v>
      </c>
      <c r="K324" s="174" t="str">
        <f>IFERROR(__xludf.DUMMYFUNCTION("""COMPUTED_VALUE"""),"Unlisted")</f>
        <v>Unlisted</v>
      </c>
      <c r="L324" s="174" t="str">
        <f>IFERROR(__xludf.DUMMYFUNCTION("""COMPUTED_VALUE"""),"Unlisted")</f>
        <v>Unlisted</v>
      </c>
      <c r="M324" s="174" t="str">
        <f>IFERROR(__xludf.DUMMYFUNCTION("""COMPUTED_VALUE"""),"Unlisted")</f>
        <v>Unlisted</v>
      </c>
      <c r="N324" s="174" t="str">
        <f>IFERROR(__xludf.DUMMYFUNCTION("""COMPUTED_VALUE"""),"Unlisted")</f>
        <v>Unlisted</v>
      </c>
      <c r="O324" s="174" t="str">
        <f>IFERROR(__xludf.DUMMYFUNCTION("""COMPUTED_VALUE"""),"Unlisted")</f>
        <v>Unlisted</v>
      </c>
      <c r="P324" s="174" t="str">
        <f>IFERROR(__xludf.DUMMYFUNCTION("""COMPUTED_VALUE"""),"Unlisted")</f>
        <v>Unlisted</v>
      </c>
      <c r="Q324" s="174" t="str">
        <f>IFERROR(__xludf.DUMMYFUNCTION("""COMPUTED_VALUE"""),"Unlisted")</f>
        <v>Unlisted</v>
      </c>
      <c r="R324" s="174" t="str">
        <f>IFERROR(__xludf.DUMMYFUNCTION("""COMPUTED_VALUE"""),"Unlisted")</f>
        <v>Unlisted</v>
      </c>
    </row>
    <row r="325">
      <c r="A325" s="255" t="str">
        <f>IFERROR(__xludf.DUMMYFUNCTION("""COMPUTED_VALUE"""),"Shelgon")</f>
        <v>Shelgon</v>
      </c>
      <c r="B325" s="174" t="str">
        <f>IFERROR(__xludf.DUMMYFUNCTION("""COMPUTED_VALUE"""),"Unlisted")</f>
        <v>Unlisted</v>
      </c>
      <c r="C325" s="174" t="str">
        <f>IFERROR(__xludf.DUMMYFUNCTION("""COMPUTED_VALUE"""),"Proficient")</f>
        <v>Proficient</v>
      </c>
      <c r="D325" s="174" t="str">
        <f>IFERROR(__xludf.DUMMYFUNCTION("""COMPUTED_VALUE"""),"Unlisted")</f>
        <v>Unlisted</v>
      </c>
      <c r="E325" s="174" t="str">
        <f>IFERROR(__xludf.DUMMYFUNCTION("""COMPUTED_VALUE"""),"Unlisted")</f>
        <v>Unlisted</v>
      </c>
      <c r="F325" s="174" t="str">
        <f>IFERROR(__xludf.DUMMYFUNCTION("""COMPUTED_VALUE"""),"Unlisted")</f>
        <v>Unlisted</v>
      </c>
      <c r="G325" s="174" t="str">
        <f>IFERROR(__xludf.DUMMYFUNCTION("""COMPUTED_VALUE"""),"Proficient")</f>
        <v>Proficient</v>
      </c>
      <c r="H325" s="174" t="str">
        <f>IFERROR(__xludf.DUMMYFUNCTION("""COMPUTED_VALUE"""),"Unlisted")</f>
        <v>Unlisted</v>
      </c>
      <c r="I325" s="174" t="str">
        <f>IFERROR(__xludf.DUMMYFUNCTION("""COMPUTED_VALUE"""),"Proficient")</f>
        <v>Proficient</v>
      </c>
      <c r="J325" s="174" t="str">
        <f>IFERROR(__xludf.DUMMYFUNCTION("""COMPUTED_VALUE"""),"Unlisted")</f>
        <v>Unlisted</v>
      </c>
      <c r="K325" s="174" t="str">
        <f>IFERROR(__xludf.DUMMYFUNCTION("""COMPUTED_VALUE"""),"Unlisted")</f>
        <v>Unlisted</v>
      </c>
      <c r="L325" s="174" t="str">
        <f>IFERROR(__xludf.DUMMYFUNCTION("""COMPUTED_VALUE"""),"Unlisted")</f>
        <v>Unlisted</v>
      </c>
      <c r="M325" s="174" t="str">
        <f>IFERROR(__xludf.DUMMYFUNCTION("""COMPUTED_VALUE"""),"Unlisted")</f>
        <v>Unlisted</v>
      </c>
      <c r="N325" s="174" t="str">
        <f>IFERROR(__xludf.DUMMYFUNCTION("""COMPUTED_VALUE"""),"Unlisted")</f>
        <v>Unlisted</v>
      </c>
      <c r="O325" s="174" t="str">
        <f>IFERROR(__xludf.DUMMYFUNCTION("""COMPUTED_VALUE"""),"Unlisted")</f>
        <v>Unlisted</v>
      </c>
      <c r="P325" s="174" t="str">
        <f>IFERROR(__xludf.DUMMYFUNCTION("""COMPUTED_VALUE"""),"Unlisted")</f>
        <v>Unlisted</v>
      </c>
      <c r="Q325" s="174" t="str">
        <f>IFERROR(__xludf.DUMMYFUNCTION("""COMPUTED_VALUE"""),"Unlisted")</f>
        <v>Unlisted</v>
      </c>
      <c r="R325" s="174" t="str">
        <f>IFERROR(__xludf.DUMMYFUNCTION("""COMPUTED_VALUE"""),"Unlisted")</f>
        <v>Unlisted</v>
      </c>
    </row>
    <row r="326">
      <c r="A326" s="255" t="str">
        <f>IFERROR(__xludf.DUMMYFUNCTION("""COMPUTED_VALUE"""),"Salamence")</f>
        <v>Salamence</v>
      </c>
      <c r="B326" s="174" t="str">
        <f>IFERROR(__xludf.DUMMYFUNCTION("""COMPUTED_VALUE"""),"Unlisted")</f>
        <v>Unlisted</v>
      </c>
      <c r="C326" s="174" t="str">
        <f>IFERROR(__xludf.DUMMYFUNCTION("""COMPUTED_VALUE"""),"Mastered")</f>
        <v>Mastered</v>
      </c>
      <c r="D326" s="174" t="str">
        <f>IFERROR(__xludf.DUMMYFUNCTION("""COMPUTED_VALUE"""),"Unlisted")</f>
        <v>Unlisted</v>
      </c>
      <c r="E326" s="174" t="str">
        <f>IFERROR(__xludf.DUMMYFUNCTION("""COMPUTED_VALUE"""),"Unlisted")</f>
        <v>Unlisted</v>
      </c>
      <c r="F326" s="174" t="str">
        <f>IFERROR(__xludf.DUMMYFUNCTION("""COMPUTED_VALUE"""),"Unlisted")</f>
        <v>Unlisted</v>
      </c>
      <c r="G326" s="174" t="str">
        <f>IFERROR(__xludf.DUMMYFUNCTION("""COMPUTED_VALUE"""),"Proficient")</f>
        <v>Proficient</v>
      </c>
      <c r="H326" s="174" t="str">
        <f>IFERROR(__xludf.DUMMYFUNCTION("""COMPUTED_VALUE"""),"Unlisted")</f>
        <v>Unlisted</v>
      </c>
      <c r="I326" s="174" t="str">
        <f>IFERROR(__xludf.DUMMYFUNCTION("""COMPUTED_VALUE"""),"Proficient")</f>
        <v>Proficient</v>
      </c>
      <c r="J326" s="174" t="str">
        <f>IFERROR(__xludf.DUMMYFUNCTION("""COMPUTED_VALUE"""),"Unlisted")</f>
        <v>Unlisted</v>
      </c>
      <c r="K326" s="174" t="str">
        <f>IFERROR(__xludf.DUMMYFUNCTION("""COMPUTED_VALUE"""),"Unlisted")</f>
        <v>Unlisted</v>
      </c>
      <c r="L326" s="174" t="str">
        <f>IFERROR(__xludf.DUMMYFUNCTION("""COMPUTED_VALUE"""),"Unlisted")</f>
        <v>Unlisted</v>
      </c>
      <c r="M326" s="174" t="str">
        <f>IFERROR(__xludf.DUMMYFUNCTION("""COMPUTED_VALUE"""),"Unlisted")</f>
        <v>Unlisted</v>
      </c>
      <c r="N326" s="174" t="str">
        <f>IFERROR(__xludf.DUMMYFUNCTION("""COMPUTED_VALUE"""),"Unlisted")</f>
        <v>Unlisted</v>
      </c>
      <c r="O326" s="174" t="str">
        <f>IFERROR(__xludf.DUMMYFUNCTION("""COMPUTED_VALUE"""),"Unlisted")</f>
        <v>Unlisted</v>
      </c>
      <c r="P326" s="174" t="str">
        <f>IFERROR(__xludf.DUMMYFUNCTION("""COMPUTED_VALUE"""),"Unlisted")</f>
        <v>Unlisted</v>
      </c>
      <c r="Q326" s="174" t="str">
        <f>IFERROR(__xludf.DUMMYFUNCTION("""COMPUTED_VALUE"""),"Unlisted")</f>
        <v>Unlisted</v>
      </c>
      <c r="R326" s="174" t="str">
        <f>IFERROR(__xludf.DUMMYFUNCTION("""COMPUTED_VALUE"""),"Unlisted")</f>
        <v>Unlisted</v>
      </c>
    </row>
    <row r="327">
      <c r="A327" s="255" t="str">
        <f>IFERROR(__xludf.DUMMYFUNCTION("""COMPUTED_VALUE"""),"Gible")</f>
        <v>Gible</v>
      </c>
      <c r="B327" s="174" t="str">
        <f>IFERROR(__xludf.DUMMYFUNCTION("""COMPUTED_VALUE"""),"Unlisted")</f>
        <v>Unlisted</v>
      </c>
      <c r="C327" s="174" t="str">
        <f>IFERROR(__xludf.DUMMYFUNCTION("""COMPUTED_VALUE"""),"Proficient")</f>
        <v>Proficient</v>
      </c>
      <c r="D327" s="174" t="str">
        <f>IFERROR(__xludf.DUMMYFUNCTION("""COMPUTED_VALUE"""),"Unlisted")</f>
        <v>Unlisted</v>
      </c>
      <c r="E327" s="174" t="str">
        <f>IFERROR(__xludf.DUMMYFUNCTION("""COMPUTED_VALUE"""),"Mastered")</f>
        <v>Mastered</v>
      </c>
      <c r="F327" s="174" t="str">
        <f>IFERROR(__xludf.DUMMYFUNCTION("""COMPUTED_VALUE"""),"Unlisted")</f>
        <v>Unlisted</v>
      </c>
      <c r="G327" s="174" t="str">
        <f>IFERROR(__xludf.DUMMYFUNCTION("""COMPUTED_VALUE"""),"Unlisted")</f>
        <v>Unlisted</v>
      </c>
      <c r="H327" s="174" t="str">
        <f>IFERROR(__xludf.DUMMYFUNCTION("""COMPUTED_VALUE"""),"Unlisted")</f>
        <v>Unlisted</v>
      </c>
      <c r="I327" s="174" t="str">
        <f>IFERROR(__xludf.DUMMYFUNCTION("""COMPUTED_VALUE"""),"Proficient")</f>
        <v>Proficient</v>
      </c>
      <c r="J327" s="174" t="str">
        <f>IFERROR(__xludf.DUMMYFUNCTION("""COMPUTED_VALUE"""),"Inept")</f>
        <v>Inept</v>
      </c>
      <c r="K327" s="174" t="str">
        <f>IFERROR(__xludf.DUMMYFUNCTION("""COMPUTED_VALUE"""),"Proficient")</f>
        <v>Proficient</v>
      </c>
      <c r="L327" s="174" t="str">
        <f>IFERROR(__xludf.DUMMYFUNCTION("""COMPUTED_VALUE"""),"Unlisted")</f>
        <v>Unlisted</v>
      </c>
      <c r="M327" s="174" t="str">
        <f>IFERROR(__xludf.DUMMYFUNCTION("""COMPUTED_VALUE"""),"Unlisted")</f>
        <v>Unlisted</v>
      </c>
      <c r="N327" s="174" t="str">
        <f>IFERROR(__xludf.DUMMYFUNCTION("""COMPUTED_VALUE"""),"Unlisted")</f>
        <v>Unlisted</v>
      </c>
      <c r="O327" s="174" t="str">
        <f>IFERROR(__xludf.DUMMYFUNCTION("""COMPUTED_VALUE"""),"Unlisted")</f>
        <v>Unlisted</v>
      </c>
      <c r="P327" s="174" t="str">
        <f>IFERROR(__xludf.DUMMYFUNCTION("""COMPUTED_VALUE"""),"Unlisted")</f>
        <v>Unlisted</v>
      </c>
      <c r="Q327" s="174" t="str">
        <f>IFERROR(__xludf.DUMMYFUNCTION("""COMPUTED_VALUE"""),"Unlisted")</f>
        <v>Unlisted</v>
      </c>
      <c r="R327" s="174" t="str">
        <f>IFERROR(__xludf.DUMMYFUNCTION("""COMPUTED_VALUE"""),"Unlisted")</f>
        <v>Unlisted</v>
      </c>
    </row>
    <row r="328">
      <c r="A328" s="255" t="str">
        <f>IFERROR(__xludf.DUMMYFUNCTION("""COMPUTED_VALUE"""),"Gabite")</f>
        <v>Gabite</v>
      </c>
      <c r="B328" s="174" t="str">
        <f>IFERROR(__xludf.DUMMYFUNCTION("""COMPUTED_VALUE"""),"Unlisted")</f>
        <v>Unlisted</v>
      </c>
      <c r="C328" s="174" t="str">
        <f>IFERROR(__xludf.DUMMYFUNCTION("""COMPUTED_VALUE"""),"Proficient")</f>
        <v>Proficient</v>
      </c>
      <c r="D328" s="174" t="str">
        <f>IFERROR(__xludf.DUMMYFUNCTION("""COMPUTED_VALUE"""),"Unlisted")</f>
        <v>Unlisted</v>
      </c>
      <c r="E328" s="174" t="str">
        <f>IFERROR(__xludf.DUMMYFUNCTION("""COMPUTED_VALUE"""),"Mastered")</f>
        <v>Mastered</v>
      </c>
      <c r="F328" s="174" t="str">
        <f>IFERROR(__xludf.DUMMYFUNCTION("""COMPUTED_VALUE"""),"Unlisted")</f>
        <v>Unlisted</v>
      </c>
      <c r="G328" s="174" t="str">
        <f>IFERROR(__xludf.DUMMYFUNCTION("""COMPUTED_VALUE"""),"Unlisted")</f>
        <v>Unlisted</v>
      </c>
      <c r="H328" s="174" t="str">
        <f>IFERROR(__xludf.DUMMYFUNCTION("""COMPUTED_VALUE"""),"Unlisted")</f>
        <v>Unlisted</v>
      </c>
      <c r="I328" s="174" t="str">
        <f>IFERROR(__xludf.DUMMYFUNCTION("""COMPUTED_VALUE"""),"Proficient")</f>
        <v>Proficient</v>
      </c>
      <c r="J328" s="174" t="str">
        <f>IFERROR(__xludf.DUMMYFUNCTION("""COMPUTED_VALUE"""),"Inept")</f>
        <v>Inept</v>
      </c>
      <c r="K328" s="174" t="str">
        <f>IFERROR(__xludf.DUMMYFUNCTION("""COMPUTED_VALUE"""),"Proficient")</f>
        <v>Proficient</v>
      </c>
      <c r="L328" s="174" t="str">
        <f>IFERROR(__xludf.DUMMYFUNCTION("""COMPUTED_VALUE"""),"Unlisted")</f>
        <v>Unlisted</v>
      </c>
      <c r="M328" s="174" t="str">
        <f>IFERROR(__xludf.DUMMYFUNCTION("""COMPUTED_VALUE"""),"Unlisted")</f>
        <v>Unlisted</v>
      </c>
      <c r="N328" s="174" t="str">
        <f>IFERROR(__xludf.DUMMYFUNCTION("""COMPUTED_VALUE"""),"Unlisted")</f>
        <v>Unlisted</v>
      </c>
      <c r="O328" s="174" t="str">
        <f>IFERROR(__xludf.DUMMYFUNCTION("""COMPUTED_VALUE"""),"Unlisted")</f>
        <v>Unlisted</v>
      </c>
      <c r="P328" s="174" t="str">
        <f>IFERROR(__xludf.DUMMYFUNCTION("""COMPUTED_VALUE"""),"Unlisted")</f>
        <v>Unlisted</v>
      </c>
      <c r="Q328" s="174" t="str">
        <f>IFERROR(__xludf.DUMMYFUNCTION("""COMPUTED_VALUE"""),"Unlisted")</f>
        <v>Unlisted</v>
      </c>
      <c r="R328" s="174" t="str">
        <f>IFERROR(__xludf.DUMMYFUNCTION("""COMPUTED_VALUE"""),"Unlisted")</f>
        <v>Unlisted</v>
      </c>
    </row>
    <row r="329">
      <c r="A329" s="255" t="str">
        <f>IFERROR(__xludf.DUMMYFUNCTION("""COMPUTED_VALUE"""),"Garchomp")</f>
        <v>Garchomp</v>
      </c>
      <c r="B329" s="174" t="str">
        <f>IFERROR(__xludf.DUMMYFUNCTION("""COMPUTED_VALUE"""),"Unlisted")</f>
        <v>Unlisted</v>
      </c>
      <c r="C329" s="174" t="str">
        <f>IFERROR(__xludf.DUMMYFUNCTION("""COMPUTED_VALUE"""),"Proficient")</f>
        <v>Proficient</v>
      </c>
      <c r="D329" s="174" t="str">
        <f>IFERROR(__xludf.DUMMYFUNCTION("""COMPUTED_VALUE"""),"Unlisted")</f>
        <v>Unlisted</v>
      </c>
      <c r="E329" s="174" t="str">
        <f>IFERROR(__xludf.DUMMYFUNCTION("""COMPUTED_VALUE"""),"Mastered")</f>
        <v>Mastered</v>
      </c>
      <c r="F329" s="174" t="str">
        <f>IFERROR(__xludf.DUMMYFUNCTION("""COMPUTED_VALUE"""),"Unlisted")</f>
        <v>Unlisted</v>
      </c>
      <c r="G329" s="174" t="str">
        <f>IFERROR(__xludf.DUMMYFUNCTION("""COMPUTED_VALUE"""),"Unlisted")</f>
        <v>Unlisted</v>
      </c>
      <c r="H329" s="174" t="str">
        <f>IFERROR(__xludf.DUMMYFUNCTION("""COMPUTED_VALUE"""),"Unlisted")</f>
        <v>Unlisted</v>
      </c>
      <c r="I329" s="174" t="str">
        <f>IFERROR(__xludf.DUMMYFUNCTION("""COMPUTED_VALUE"""),"Proficient")</f>
        <v>Proficient</v>
      </c>
      <c r="J329" s="174" t="str">
        <f>IFERROR(__xludf.DUMMYFUNCTION("""COMPUTED_VALUE"""),"Inept")</f>
        <v>Inept</v>
      </c>
      <c r="K329" s="174" t="str">
        <f>IFERROR(__xludf.DUMMYFUNCTION("""COMPUTED_VALUE"""),"Proficient")</f>
        <v>Proficient</v>
      </c>
      <c r="L329" s="174" t="str">
        <f>IFERROR(__xludf.DUMMYFUNCTION("""COMPUTED_VALUE"""),"Unlisted")</f>
        <v>Unlisted</v>
      </c>
      <c r="M329" s="174" t="str">
        <f>IFERROR(__xludf.DUMMYFUNCTION("""COMPUTED_VALUE"""),"Unlisted")</f>
        <v>Unlisted</v>
      </c>
      <c r="N329" s="174" t="str">
        <f>IFERROR(__xludf.DUMMYFUNCTION("""COMPUTED_VALUE"""),"Unlisted")</f>
        <v>Unlisted</v>
      </c>
      <c r="O329" s="174" t="str">
        <f>IFERROR(__xludf.DUMMYFUNCTION("""COMPUTED_VALUE"""),"Unlisted")</f>
        <v>Unlisted</v>
      </c>
      <c r="P329" s="174" t="str">
        <f>IFERROR(__xludf.DUMMYFUNCTION("""COMPUTED_VALUE"""),"Unlisted")</f>
        <v>Unlisted</v>
      </c>
      <c r="Q329" s="174" t="str">
        <f>IFERROR(__xludf.DUMMYFUNCTION("""COMPUTED_VALUE"""),"Unlisted")</f>
        <v>Unlisted</v>
      </c>
      <c r="R329" s="174" t="str">
        <f>IFERROR(__xludf.DUMMYFUNCTION("""COMPUTED_VALUE"""),"Unlisted")</f>
        <v>Unlisted</v>
      </c>
    </row>
    <row r="330">
      <c r="A330" s="255" t="str">
        <f>IFERROR(__xludf.DUMMYFUNCTION("""COMPUTED_VALUE"""),"Axew")</f>
        <v>Axew</v>
      </c>
      <c r="B330" s="174" t="str">
        <f>IFERROR(__xludf.DUMMYFUNCTION("""COMPUTED_VALUE"""),"Unlisted")</f>
        <v>Unlisted</v>
      </c>
      <c r="C330" s="174" t="str">
        <f>IFERROR(__xludf.DUMMYFUNCTION("""COMPUTED_VALUE"""),"Proficient")</f>
        <v>Proficient</v>
      </c>
      <c r="D330" s="174" t="str">
        <f>IFERROR(__xludf.DUMMYFUNCTION("""COMPUTED_VALUE"""),"Unlisted")</f>
        <v>Unlisted</v>
      </c>
      <c r="E330" s="174" t="str">
        <f>IFERROR(__xludf.DUMMYFUNCTION("""COMPUTED_VALUE"""),"Proficient")</f>
        <v>Proficient</v>
      </c>
      <c r="F330" s="174" t="str">
        <f>IFERROR(__xludf.DUMMYFUNCTION("""COMPUTED_VALUE"""),"Unlisted")</f>
        <v>Unlisted</v>
      </c>
      <c r="G330" s="174" t="str">
        <f>IFERROR(__xludf.DUMMYFUNCTION("""COMPUTED_VALUE"""),"Unlisted")</f>
        <v>Unlisted</v>
      </c>
      <c r="H330" s="174" t="str">
        <f>IFERROR(__xludf.DUMMYFUNCTION("""COMPUTED_VALUE"""),"Unlisted")</f>
        <v>Unlisted</v>
      </c>
      <c r="I330" s="174" t="str">
        <f>IFERROR(__xludf.DUMMYFUNCTION("""COMPUTED_VALUE"""),"Proficient")</f>
        <v>Proficient</v>
      </c>
      <c r="J330" s="174" t="str">
        <f>IFERROR(__xludf.DUMMYFUNCTION("""COMPUTED_VALUE"""),"Unlisted")</f>
        <v>Unlisted</v>
      </c>
      <c r="K330" s="174" t="str">
        <f>IFERROR(__xludf.DUMMYFUNCTION("""COMPUTED_VALUE"""),"Unlisted")</f>
        <v>Unlisted</v>
      </c>
      <c r="L330" s="174" t="str">
        <f>IFERROR(__xludf.DUMMYFUNCTION("""COMPUTED_VALUE"""),"Unlisted")</f>
        <v>Unlisted</v>
      </c>
      <c r="M330" s="174" t="str">
        <f>IFERROR(__xludf.DUMMYFUNCTION("""COMPUTED_VALUE"""),"Unlisted")</f>
        <v>Unlisted</v>
      </c>
      <c r="N330" s="174" t="str">
        <f>IFERROR(__xludf.DUMMYFUNCTION("""COMPUTED_VALUE"""),"Unlisted")</f>
        <v>Unlisted</v>
      </c>
      <c r="O330" s="174" t="str">
        <f>IFERROR(__xludf.DUMMYFUNCTION("""COMPUTED_VALUE"""),"Unlisted")</f>
        <v>Unlisted</v>
      </c>
      <c r="P330" s="174" t="str">
        <f>IFERROR(__xludf.DUMMYFUNCTION("""COMPUTED_VALUE"""),"Unlisted")</f>
        <v>Unlisted</v>
      </c>
      <c r="Q330" s="174" t="str">
        <f>IFERROR(__xludf.DUMMYFUNCTION("""COMPUTED_VALUE"""),"Unlisted")</f>
        <v>Unlisted</v>
      </c>
      <c r="R330" s="174" t="str">
        <f>IFERROR(__xludf.DUMMYFUNCTION("""COMPUTED_VALUE"""),"Unlisted")</f>
        <v>Unlisted</v>
      </c>
    </row>
    <row r="331">
      <c r="A331" s="255" t="str">
        <f>IFERROR(__xludf.DUMMYFUNCTION("""COMPUTED_VALUE"""),"Fraxure")</f>
        <v>Fraxure</v>
      </c>
      <c r="B331" s="174" t="str">
        <f>IFERROR(__xludf.DUMMYFUNCTION("""COMPUTED_VALUE"""),"Unlisted")</f>
        <v>Unlisted</v>
      </c>
      <c r="C331" s="174" t="str">
        <f>IFERROR(__xludf.DUMMYFUNCTION("""COMPUTED_VALUE"""),"Proficient")</f>
        <v>Proficient</v>
      </c>
      <c r="D331" s="174" t="str">
        <f>IFERROR(__xludf.DUMMYFUNCTION("""COMPUTED_VALUE"""),"Unlisted")</f>
        <v>Unlisted</v>
      </c>
      <c r="E331" s="174" t="str">
        <f>IFERROR(__xludf.DUMMYFUNCTION("""COMPUTED_VALUE"""),"Mastered")</f>
        <v>Mastered</v>
      </c>
      <c r="F331" s="174" t="str">
        <f>IFERROR(__xludf.DUMMYFUNCTION("""COMPUTED_VALUE"""),"Unlisted")</f>
        <v>Unlisted</v>
      </c>
      <c r="G331" s="174" t="str">
        <f>IFERROR(__xludf.DUMMYFUNCTION("""COMPUTED_VALUE"""),"Unlisted")</f>
        <v>Unlisted</v>
      </c>
      <c r="H331" s="174" t="str">
        <f>IFERROR(__xludf.DUMMYFUNCTION("""COMPUTED_VALUE"""),"Unlisted")</f>
        <v>Unlisted</v>
      </c>
      <c r="I331" s="174" t="str">
        <f>IFERROR(__xludf.DUMMYFUNCTION("""COMPUTED_VALUE"""),"Proficient")</f>
        <v>Proficient</v>
      </c>
      <c r="J331" s="174" t="str">
        <f>IFERROR(__xludf.DUMMYFUNCTION("""COMPUTED_VALUE"""),"Unlisted")</f>
        <v>Unlisted</v>
      </c>
      <c r="K331" s="174" t="str">
        <f>IFERROR(__xludf.DUMMYFUNCTION("""COMPUTED_VALUE"""),"Unlisted")</f>
        <v>Unlisted</v>
      </c>
      <c r="L331" s="174" t="str">
        <f>IFERROR(__xludf.DUMMYFUNCTION("""COMPUTED_VALUE"""),"Unlisted")</f>
        <v>Unlisted</v>
      </c>
      <c r="M331" s="174" t="str">
        <f>IFERROR(__xludf.DUMMYFUNCTION("""COMPUTED_VALUE"""),"Unlisted")</f>
        <v>Unlisted</v>
      </c>
      <c r="N331" s="174" t="str">
        <f>IFERROR(__xludf.DUMMYFUNCTION("""COMPUTED_VALUE"""),"Unlisted")</f>
        <v>Unlisted</v>
      </c>
      <c r="O331" s="174" t="str">
        <f>IFERROR(__xludf.DUMMYFUNCTION("""COMPUTED_VALUE"""),"Unlisted")</f>
        <v>Unlisted</v>
      </c>
      <c r="P331" s="174" t="str">
        <f>IFERROR(__xludf.DUMMYFUNCTION("""COMPUTED_VALUE"""),"Unlisted")</f>
        <v>Unlisted</v>
      </c>
      <c r="Q331" s="174" t="str">
        <f>IFERROR(__xludf.DUMMYFUNCTION("""COMPUTED_VALUE"""),"Unlisted")</f>
        <v>Unlisted</v>
      </c>
      <c r="R331" s="174" t="str">
        <f>IFERROR(__xludf.DUMMYFUNCTION("""COMPUTED_VALUE"""),"Unlisted")</f>
        <v>Unlisted</v>
      </c>
    </row>
    <row r="332">
      <c r="A332" s="255" t="str">
        <f>IFERROR(__xludf.DUMMYFUNCTION("""COMPUTED_VALUE"""),"Haxorus")</f>
        <v>Haxorus</v>
      </c>
      <c r="B332" s="174" t="str">
        <f>IFERROR(__xludf.DUMMYFUNCTION("""COMPUTED_VALUE"""),"Unlisted")</f>
        <v>Unlisted</v>
      </c>
      <c r="C332" s="174" t="str">
        <f>IFERROR(__xludf.DUMMYFUNCTION("""COMPUTED_VALUE"""),"Proficient")</f>
        <v>Proficient</v>
      </c>
      <c r="D332" s="174" t="str">
        <f>IFERROR(__xludf.DUMMYFUNCTION("""COMPUTED_VALUE"""),"Unlisted")</f>
        <v>Unlisted</v>
      </c>
      <c r="E332" s="174" t="str">
        <f>IFERROR(__xludf.DUMMYFUNCTION("""COMPUTED_VALUE"""),"Mastered")</f>
        <v>Mastered</v>
      </c>
      <c r="F332" s="174" t="str">
        <f>IFERROR(__xludf.DUMMYFUNCTION("""COMPUTED_VALUE"""),"Unlisted")</f>
        <v>Unlisted</v>
      </c>
      <c r="G332" s="174" t="str">
        <f>IFERROR(__xludf.DUMMYFUNCTION("""COMPUTED_VALUE"""),"Unlisted")</f>
        <v>Unlisted</v>
      </c>
      <c r="H332" s="174" t="str">
        <f>IFERROR(__xludf.DUMMYFUNCTION("""COMPUTED_VALUE"""),"Unlisted")</f>
        <v>Unlisted</v>
      </c>
      <c r="I332" s="174" t="str">
        <f>IFERROR(__xludf.DUMMYFUNCTION("""COMPUTED_VALUE"""),"Proficient")</f>
        <v>Proficient</v>
      </c>
      <c r="J332" s="174" t="str">
        <f>IFERROR(__xludf.DUMMYFUNCTION("""COMPUTED_VALUE"""),"Unlisted")</f>
        <v>Unlisted</v>
      </c>
      <c r="K332" s="174" t="str">
        <f>IFERROR(__xludf.DUMMYFUNCTION("""COMPUTED_VALUE"""),"Unlisted")</f>
        <v>Unlisted</v>
      </c>
      <c r="L332" s="174" t="str">
        <f>IFERROR(__xludf.DUMMYFUNCTION("""COMPUTED_VALUE"""),"Unlisted")</f>
        <v>Unlisted</v>
      </c>
      <c r="M332" s="174" t="str">
        <f>IFERROR(__xludf.DUMMYFUNCTION("""COMPUTED_VALUE"""),"Unlisted")</f>
        <v>Unlisted</v>
      </c>
      <c r="N332" s="174" t="str">
        <f>IFERROR(__xludf.DUMMYFUNCTION("""COMPUTED_VALUE"""),"Unlisted")</f>
        <v>Unlisted</v>
      </c>
      <c r="O332" s="174" t="str">
        <f>IFERROR(__xludf.DUMMYFUNCTION("""COMPUTED_VALUE"""),"Unlisted")</f>
        <v>Unlisted</v>
      </c>
      <c r="P332" s="174" t="str">
        <f>IFERROR(__xludf.DUMMYFUNCTION("""COMPUTED_VALUE"""),"Unlisted")</f>
        <v>Unlisted</v>
      </c>
      <c r="Q332" s="174" t="str">
        <f>IFERROR(__xludf.DUMMYFUNCTION("""COMPUTED_VALUE"""),"Unlisted")</f>
        <v>Unlisted</v>
      </c>
      <c r="R332" s="174" t="str">
        <f>IFERROR(__xludf.DUMMYFUNCTION("""COMPUTED_VALUE"""),"Unlisted")</f>
        <v>Unlisted</v>
      </c>
    </row>
    <row r="333">
      <c r="A333" s="255" t="str">
        <f>IFERROR(__xludf.DUMMYFUNCTION("""COMPUTED_VALUE"""),"Goomy")</f>
        <v>Goomy</v>
      </c>
      <c r="B333" s="174" t="str">
        <f>IFERROR(__xludf.DUMMYFUNCTION("""COMPUTED_VALUE"""),"Inept")</f>
        <v>Inept</v>
      </c>
      <c r="C333" s="174" t="str">
        <f>IFERROR(__xludf.DUMMYFUNCTION("""COMPUTED_VALUE"""),"Unlisted")</f>
        <v>Unlisted</v>
      </c>
      <c r="D333" s="174" t="str">
        <f>IFERROR(__xludf.DUMMYFUNCTION("""COMPUTED_VALUE"""),"Unlisted")</f>
        <v>Unlisted</v>
      </c>
      <c r="E333" s="174" t="str">
        <f>IFERROR(__xludf.DUMMYFUNCTION("""COMPUTED_VALUE"""),"Unlisted")</f>
        <v>Unlisted</v>
      </c>
      <c r="F333" s="174" t="str">
        <f>IFERROR(__xludf.DUMMYFUNCTION("""COMPUTED_VALUE"""),"Unlisted")</f>
        <v>Unlisted</v>
      </c>
      <c r="G333" s="174" t="str">
        <f>IFERROR(__xludf.DUMMYFUNCTION("""COMPUTED_VALUE"""),"Proficient")</f>
        <v>Proficient</v>
      </c>
      <c r="H333" s="174" t="str">
        <f>IFERROR(__xludf.DUMMYFUNCTION("""COMPUTED_VALUE"""),"Unlisted")</f>
        <v>Unlisted</v>
      </c>
      <c r="I333" s="174" t="str">
        <f>IFERROR(__xludf.DUMMYFUNCTION("""COMPUTED_VALUE"""),"Unlisted")</f>
        <v>Unlisted</v>
      </c>
      <c r="J333" s="174" t="str">
        <f>IFERROR(__xludf.DUMMYFUNCTION("""COMPUTED_VALUE"""),"Unlisted")</f>
        <v>Unlisted</v>
      </c>
      <c r="K333" s="174" t="str">
        <f>IFERROR(__xludf.DUMMYFUNCTION("""COMPUTED_VALUE"""),"Unlisted")</f>
        <v>Unlisted</v>
      </c>
      <c r="L333" s="174" t="str">
        <f>IFERROR(__xludf.DUMMYFUNCTION("""COMPUTED_VALUE"""),"Proficient")</f>
        <v>Proficient</v>
      </c>
      <c r="M333" s="174" t="str">
        <f>IFERROR(__xludf.DUMMYFUNCTION("""COMPUTED_VALUE"""),"Unlisted")</f>
        <v>Unlisted</v>
      </c>
      <c r="N333" s="174" t="str">
        <f>IFERROR(__xludf.DUMMYFUNCTION("""COMPUTED_VALUE"""),"Unlisted")</f>
        <v>Unlisted</v>
      </c>
      <c r="O333" s="174" t="str">
        <f>IFERROR(__xludf.DUMMYFUNCTION("""COMPUTED_VALUE"""),"Unlisted")</f>
        <v>Unlisted</v>
      </c>
      <c r="P333" s="174" t="str">
        <f>IFERROR(__xludf.DUMMYFUNCTION("""COMPUTED_VALUE"""),"Unlisted")</f>
        <v>Unlisted</v>
      </c>
      <c r="Q333" s="174" t="str">
        <f>IFERROR(__xludf.DUMMYFUNCTION("""COMPUTED_VALUE"""),"Unlisted")</f>
        <v>Unlisted</v>
      </c>
      <c r="R333" s="174" t="str">
        <f>IFERROR(__xludf.DUMMYFUNCTION("""COMPUTED_VALUE"""),"Unlisted")</f>
        <v>Unlisted</v>
      </c>
    </row>
    <row r="334">
      <c r="A334" s="255" t="str">
        <f>IFERROR(__xludf.DUMMYFUNCTION("""COMPUTED_VALUE"""),"Sliggoo")</f>
        <v>Sliggoo</v>
      </c>
      <c r="B334" s="174" t="str">
        <f>IFERROR(__xludf.DUMMYFUNCTION("""COMPUTED_VALUE"""),"Inept")</f>
        <v>Inept</v>
      </c>
      <c r="C334" s="174" t="str">
        <f>IFERROR(__xludf.DUMMYFUNCTION("""COMPUTED_VALUE"""),"Unlisted")</f>
        <v>Unlisted</v>
      </c>
      <c r="D334" s="174" t="str">
        <f>IFERROR(__xludf.DUMMYFUNCTION("""COMPUTED_VALUE"""),"Unlisted")</f>
        <v>Unlisted</v>
      </c>
      <c r="E334" s="174" t="str">
        <f>IFERROR(__xludf.DUMMYFUNCTION("""COMPUTED_VALUE"""),"Unlisted")</f>
        <v>Unlisted</v>
      </c>
      <c r="F334" s="174" t="str">
        <f>IFERROR(__xludf.DUMMYFUNCTION("""COMPUTED_VALUE"""),"Unlisted")</f>
        <v>Unlisted</v>
      </c>
      <c r="G334" s="174" t="str">
        <f>IFERROR(__xludf.DUMMYFUNCTION("""COMPUTED_VALUE"""),"Proficient")</f>
        <v>Proficient</v>
      </c>
      <c r="H334" s="174" t="str">
        <f>IFERROR(__xludf.DUMMYFUNCTION("""COMPUTED_VALUE"""),"Unlisted")</f>
        <v>Unlisted</v>
      </c>
      <c r="I334" s="174" t="str">
        <f>IFERROR(__xludf.DUMMYFUNCTION("""COMPUTED_VALUE"""),"Unlisted")</f>
        <v>Unlisted</v>
      </c>
      <c r="J334" s="174" t="str">
        <f>IFERROR(__xludf.DUMMYFUNCTION("""COMPUTED_VALUE"""),"Unlisted")</f>
        <v>Unlisted</v>
      </c>
      <c r="K334" s="174" t="str">
        <f>IFERROR(__xludf.DUMMYFUNCTION("""COMPUTED_VALUE"""),"Unlisted")</f>
        <v>Unlisted</v>
      </c>
      <c r="L334" s="174" t="str">
        <f>IFERROR(__xludf.DUMMYFUNCTION("""COMPUTED_VALUE"""),"Proficient")</f>
        <v>Proficient</v>
      </c>
      <c r="M334" s="174" t="str">
        <f>IFERROR(__xludf.DUMMYFUNCTION("""COMPUTED_VALUE"""),"Unlisted")</f>
        <v>Unlisted</v>
      </c>
      <c r="N334" s="174" t="str">
        <f>IFERROR(__xludf.DUMMYFUNCTION("""COMPUTED_VALUE"""),"Unlisted")</f>
        <v>Unlisted</v>
      </c>
      <c r="O334" s="174" t="str">
        <f>IFERROR(__xludf.DUMMYFUNCTION("""COMPUTED_VALUE"""),"Unlisted")</f>
        <v>Unlisted</v>
      </c>
      <c r="P334" s="174" t="str">
        <f>IFERROR(__xludf.DUMMYFUNCTION("""COMPUTED_VALUE"""),"Unlisted")</f>
        <v>Unlisted</v>
      </c>
      <c r="Q334" s="174" t="str">
        <f>IFERROR(__xludf.DUMMYFUNCTION("""COMPUTED_VALUE"""),"Unlisted")</f>
        <v>Unlisted</v>
      </c>
      <c r="R334" s="174" t="str">
        <f>IFERROR(__xludf.DUMMYFUNCTION("""COMPUTED_VALUE"""),"Unlisted")</f>
        <v>Unlisted</v>
      </c>
    </row>
    <row r="335">
      <c r="A335" s="255" t="str">
        <f>IFERROR(__xludf.DUMMYFUNCTION("""COMPUTED_VALUE"""),"Goodra")</f>
        <v>Goodra</v>
      </c>
      <c r="B335" s="174" t="str">
        <f>IFERROR(__xludf.DUMMYFUNCTION("""COMPUTED_VALUE"""),"Unlisted")</f>
        <v>Unlisted</v>
      </c>
      <c r="C335" s="174" t="str">
        <f>IFERROR(__xludf.DUMMYFUNCTION("""COMPUTED_VALUE"""),"Proficient")</f>
        <v>Proficient</v>
      </c>
      <c r="D335" s="174" t="str">
        <f>IFERROR(__xludf.DUMMYFUNCTION("""COMPUTED_VALUE"""),"Unlisted")</f>
        <v>Unlisted</v>
      </c>
      <c r="E335" s="174" t="str">
        <f>IFERROR(__xludf.DUMMYFUNCTION("""COMPUTED_VALUE"""),"Unlisted")</f>
        <v>Unlisted</v>
      </c>
      <c r="F335" s="174" t="str">
        <f>IFERROR(__xludf.DUMMYFUNCTION("""COMPUTED_VALUE"""),"Unlisted")</f>
        <v>Unlisted</v>
      </c>
      <c r="G335" s="174" t="str">
        <f>IFERROR(__xludf.DUMMYFUNCTION("""COMPUTED_VALUE"""),"Proficient")</f>
        <v>Proficient</v>
      </c>
      <c r="H335" s="174" t="str">
        <f>IFERROR(__xludf.DUMMYFUNCTION("""COMPUTED_VALUE"""),"Unlisted")</f>
        <v>Unlisted</v>
      </c>
      <c r="I335" s="174" t="str">
        <f>IFERROR(__xludf.DUMMYFUNCTION("""COMPUTED_VALUE"""),"Unlisted")</f>
        <v>Unlisted</v>
      </c>
      <c r="J335" s="174" t="str">
        <f>IFERROR(__xludf.DUMMYFUNCTION("""COMPUTED_VALUE"""),"Unlisted")</f>
        <v>Unlisted</v>
      </c>
      <c r="K335" s="174" t="str">
        <f>IFERROR(__xludf.DUMMYFUNCTION("""COMPUTED_VALUE"""),"Unlisted")</f>
        <v>Unlisted</v>
      </c>
      <c r="L335" s="174" t="str">
        <f>IFERROR(__xludf.DUMMYFUNCTION("""COMPUTED_VALUE"""),"Proficient")</f>
        <v>Proficient</v>
      </c>
      <c r="M335" s="174" t="str">
        <f>IFERROR(__xludf.DUMMYFUNCTION("""COMPUTED_VALUE"""),"Unlisted")</f>
        <v>Unlisted</v>
      </c>
      <c r="N335" s="174" t="str">
        <f>IFERROR(__xludf.DUMMYFUNCTION("""COMPUTED_VALUE"""),"Unlisted")</f>
        <v>Unlisted</v>
      </c>
      <c r="O335" s="174" t="str">
        <f>IFERROR(__xludf.DUMMYFUNCTION("""COMPUTED_VALUE"""),"Unlisted")</f>
        <v>Unlisted</v>
      </c>
      <c r="P335" s="174" t="str">
        <f>IFERROR(__xludf.DUMMYFUNCTION("""COMPUTED_VALUE"""),"Unlisted")</f>
        <v>Unlisted</v>
      </c>
      <c r="Q335" s="174" t="str">
        <f>IFERROR(__xludf.DUMMYFUNCTION("""COMPUTED_VALUE"""),"Unlisted")</f>
        <v>Unlisted</v>
      </c>
      <c r="R335" s="174" t="str">
        <f>IFERROR(__xludf.DUMMYFUNCTION("""COMPUTED_VALUE"""),"Unlisted")</f>
        <v>Unlisted</v>
      </c>
    </row>
    <row r="336">
      <c r="A336" s="255" t="str">
        <f>IFERROR(__xludf.DUMMYFUNCTION("""COMPUTED_VALUE"""),"Hisuian Sliggoo")</f>
        <v>Hisuian Sliggoo</v>
      </c>
      <c r="B336" s="174" t="str">
        <f>IFERROR(__xludf.DUMMYFUNCTION("""COMPUTED_VALUE"""),"Inept")</f>
        <v>Inept</v>
      </c>
      <c r="C336" s="174" t="str">
        <f>IFERROR(__xludf.DUMMYFUNCTION("""COMPUTED_VALUE"""),"Unlisted")</f>
        <v>Unlisted</v>
      </c>
      <c r="D336" s="174" t="str">
        <f>IFERROR(__xludf.DUMMYFUNCTION("""COMPUTED_VALUE"""),"Unlisted")</f>
        <v>Unlisted</v>
      </c>
      <c r="E336" s="174" t="str">
        <f>IFERROR(__xludf.DUMMYFUNCTION("""COMPUTED_VALUE"""),"Unlisted")</f>
        <v>Unlisted</v>
      </c>
      <c r="F336" s="174" t="str">
        <f>IFERROR(__xludf.DUMMYFUNCTION("""COMPUTED_VALUE"""),"Unlisted")</f>
        <v>Unlisted</v>
      </c>
      <c r="G336" s="174" t="str">
        <f>IFERROR(__xludf.DUMMYFUNCTION("""COMPUTED_VALUE"""),"Proficient")</f>
        <v>Proficient</v>
      </c>
      <c r="H336" s="174" t="str">
        <f>IFERROR(__xludf.DUMMYFUNCTION("""COMPUTED_VALUE"""),"Unlisted")</f>
        <v>Unlisted</v>
      </c>
      <c r="I336" s="174" t="str">
        <f>IFERROR(__xludf.DUMMYFUNCTION("""COMPUTED_VALUE"""),"Unlisted")</f>
        <v>Unlisted</v>
      </c>
      <c r="J336" s="174" t="str">
        <f>IFERROR(__xludf.DUMMYFUNCTION("""COMPUTED_VALUE"""),"Unlisted")</f>
        <v>Unlisted</v>
      </c>
      <c r="K336" s="174" t="str">
        <f>IFERROR(__xludf.DUMMYFUNCTION("""COMPUTED_VALUE"""),"Unlisted")</f>
        <v>Unlisted</v>
      </c>
      <c r="L336" s="174" t="str">
        <f>IFERROR(__xludf.DUMMYFUNCTION("""COMPUTED_VALUE"""),"Proficient")</f>
        <v>Proficient</v>
      </c>
      <c r="M336" s="174" t="str">
        <f>IFERROR(__xludf.DUMMYFUNCTION("""COMPUTED_VALUE"""),"Unlisted")</f>
        <v>Unlisted</v>
      </c>
      <c r="N336" s="174" t="str">
        <f>IFERROR(__xludf.DUMMYFUNCTION("""COMPUTED_VALUE"""),"Unlisted")</f>
        <v>Unlisted</v>
      </c>
      <c r="O336" s="174" t="str">
        <f>IFERROR(__xludf.DUMMYFUNCTION("""COMPUTED_VALUE"""),"Unlisted")</f>
        <v>Unlisted</v>
      </c>
      <c r="P336" s="174" t="str">
        <f>IFERROR(__xludf.DUMMYFUNCTION("""COMPUTED_VALUE"""),"Unlisted")</f>
        <v>Unlisted</v>
      </c>
      <c r="Q336" s="174" t="str">
        <f>IFERROR(__xludf.DUMMYFUNCTION("""COMPUTED_VALUE"""),"Unlisted")</f>
        <v>Unlisted</v>
      </c>
      <c r="R336" s="174" t="str">
        <f>IFERROR(__xludf.DUMMYFUNCTION("""COMPUTED_VALUE"""),"Unlisted")</f>
        <v>Unlisted</v>
      </c>
    </row>
    <row r="337">
      <c r="A337" s="255" t="str">
        <f>IFERROR(__xludf.DUMMYFUNCTION("""COMPUTED_VALUE"""),"Hisuian Goodra")</f>
        <v>Hisuian Goodra</v>
      </c>
      <c r="B337" s="174" t="str">
        <f>IFERROR(__xludf.DUMMYFUNCTION("""COMPUTED_VALUE"""),"Inept")</f>
        <v>Inept</v>
      </c>
      <c r="C337" s="174" t="str">
        <f>IFERROR(__xludf.DUMMYFUNCTION("""COMPUTED_VALUE"""),"Proficient")</f>
        <v>Proficient</v>
      </c>
      <c r="D337" s="174" t="str">
        <f>IFERROR(__xludf.DUMMYFUNCTION("""COMPUTED_VALUE"""),"Unlisted")</f>
        <v>Unlisted</v>
      </c>
      <c r="E337" s="174" t="str">
        <f>IFERROR(__xludf.DUMMYFUNCTION("""COMPUTED_VALUE"""),"Unlisted")</f>
        <v>Unlisted</v>
      </c>
      <c r="F337" s="174" t="str">
        <f>IFERROR(__xludf.DUMMYFUNCTION("""COMPUTED_VALUE"""),"Unlisted")</f>
        <v>Unlisted</v>
      </c>
      <c r="G337" s="174" t="str">
        <f>IFERROR(__xludf.DUMMYFUNCTION("""COMPUTED_VALUE"""),"Proficient")</f>
        <v>Proficient</v>
      </c>
      <c r="H337" s="174" t="str">
        <f>IFERROR(__xludf.DUMMYFUNCTION("""COMPUTED_VALUE"""),"Unlisted")</f>
        <v>Unlisted</v>
      </c>
      <c r="I337" s="174" t="str">
        <f>IFERROR(__xludf.DUMMYFUNCTION("""COMPUTED_VALUE"""),"Unlisted")</f>
        <v>Unlisted</v>
      </c>
      <c r="J337" s="174" t="str">
        <f>IFERROR(__xludf.DUMMYFUNCTION("""COMPUTED_VALUE"""),"Unlisted")</f>
        <v>Unlisted</v>
      </c>
      <c r="K337" s="174" t="str">
        <f>IFERROR(__xludf.DUMMYFUNCTION("""COMPUTED_VALUE"""),"Unlisted")</f>
        <v>Unlisted</v>
      </c>
      <c r="L337" s="174" t="str">
        <f>IFERROR(__xludf.DUMMYFUNCTION("""COMPUTED_VALUE"""),"Proficient")</f>
        <v>Proficient</v>
      </c>
      <c r="M337" s="174" t="str">
        <f>IFERROR(__xludf.DUMMYFUNCTION("""COMPUTED_VALUE"""),"Unlisted")</f>
        <v>Unlisted</v>
      </c>
      <c r="N337" s="174" t="str">
        <f>IFERROR(__xludf.DUMMYFUNCTION("""COMPUTED_VALUE"""),"Unlisted")</f>
        <v>Unlisted</v>
      </c>
      <c r="O337" s="174" t="str">
        <f>IFERROR(__xludf.DUMMYFUNCTION("""COMPUTED_VALUE"""),"Unlisted")</f>
        <v>Unlisted</v>
      </c>
      <c r="P337" s="174" t="str">
        <f>IFERROR(__xludf.DUMMYFUNCTION("""COMPUTED_VALUE"""),"Unlisted")</f>
        <v>Unlisted</v>
      </c>
      <c r="Q337" s="174" t="str">
        <f>IFERROR(__xludf.DUMMYFUNCTION("""COMPUTED_VALUE"""),"Unlisted")</f>
        <v>Unlisted</v>
      </c>
      <c r="R337" s="174" t="str">
        <f>IFERROR(__xludf.DUMMYFUNCTION("""COMPUTED_VALUE"""),"Unlisted")</f>
        <v>Unlisted</v>
      </c>
    </row>
    <row r="338">
      <c r="A338" s="255" t="str">
        <f>IFERROR(__xludf.DUMMYFUNCTION("""COMPUTED_VALUE"""),"Jangmo-o")</f>
        <v>Jangmo-o</v>
      </c>
      <c r="B338" s="174" t="str">
        <f>IFERROR(__xludf.DUMMYFUNCTION("""COMPUTED_VALUE"""),"Unlisted")</f>
        <v>Unlisted</v>
      </c>
      <c r="C338" s="174" t="str">
        <f>IFERROR(__xludf.DUMMYFUNCTION("""COMPUTED_VALUE"""),"Proficient")</f>
        <v>Proficient</v>
      </c>
      <c r="D338" s="174" t="str">
        <f>IFERROR(__xludf.DUMMYFUNCTION("""COMPUTED_VALUE"""),"Unlisted")</f>
        <v>Unlisted</v>
      </c>
      <c r="E338" s="174" t="str">
        <f>IFERROR(__xludf.DUMMYFUNCTION("""COMPUTED_VALUE"""),"Mastered")</f>
        <v>Mastered</v>
      </c>
      <c r="F338" s="174" t="str">
        <f>IFERROR(__xludf.DUMMYFUNCTION("""COMPUTED_VALUE"""),"Unlisted")</f>
        <v>Unlisted</v>
      </c>
      <c r="G338" s="174" t="str">
        <f>IFERROR(__xludf.DUMMYFUNCTION("""COMPUTED_VALUE"""),"Proficient")</f>
        <v>Proficient</v>
      </c>
      <c r="H338" s="174" t="str">
        <f>IFERROR(__xludf.DUMMYFUNCTION("""COMPUTED_VALUE"""),"Unlisted")</f>
        <v>Unlisted</v>
      </c>
      <c r="I338" s="174" t="str">
        <f>IFERROR(__xludf.DUMMYFUNCTION("""COMPUTED_VALUE"""),"Unlisted")</f>
        <v>Unlisted</v>
      </c>
      <c r="J338" s="174" t="str">
        <f>IFERROR(__xludf.DUMMYFUNCTION("""COMPUTED_VALUE"""),"Unlisted")</f>
        <v>Unlisted</v>
      </c>
      <c r="K338" s="174" t="str">
        <f>IFERROR(__xludf.DUMMYFUNCTION("""COMPUTED_VALUE"""),"Unlisted")</f>
        <v>Unlisted</v>
      </c>
      <c r="L338" s="174" t="str">
        <f>IFERROR(__xludf.DUMMYFUNCTION("""COMPUTED_VALUE"""),"Inept")</f>
        <v>Inept</v>
      </c>
      <c r="M338" s="174" t="str">
        <f>IFERROR(__xludf.DUMMYFUNCTION("""COMPUTED_VALUE"""),"Unlisted")</f>
        <v>Unlisted</v>
      </c>
      <c r="N338" s="174" t="str">
        <f>IFERROR(__xludf.DUMMYFUNCTION("""COMPUTED_VALUE"""),"Unlisted")</f>
        <v>Unlisted</v>
      </c>
      <c r="O338" s="174" t="str">
        <f>IFERROR(__xludf.DUMMYFUNCTION("""COMPUTED_VALUE"""),"Unlisted")</f>
        <v>Unlisted</v>
      </c>
      <c r="P338" s="174" t="str">
        <f>IFERROR(__xludf.DUMMYFUNCTION("""COMPUTED_VALUE"""),"Unlisted")</f>
        <v>Unlisted</v>
      </c>
      <c r="Q338" s="174" t="str">
        <f>IFERROR(__xludf.DUMMYFUNCTION("""COMPUTED_VALUE"""),"Unlisted")</f>
        <v>Unlisted</v>
      </c>
      <c r="R338" s="174" t="str">
        <f>IFERROR(__xludf.DUMMYFUNCTION("""COMPUTED_VALUE"""),"Unlisted")</f>
        <v>Unlisted</v>
      </c>
    </row>
    <row r="339">
      <c r="A339" s="255" t="str">
        <f>IFERROR(__xludf.DUMMYFUNCTION("""COMPUTED_VALUE"""),"Hakamo-o")</f>
        <v>Hakamo-o</v>
      </c>
      <c r="B339" s="174" t="str">
        <f>IFERROR(__xludf.DUMMYFUNCTION("""COMPUTED_VALUE"""),"Unlisted")</f>
        <v>Unlisted</v>
      </c>
      <c r="C339" s="174" t="str">
        <f>IFERROR(__xludf.DUMMYFUNCTION("""COMPUTED_VALUE"""),"Proficient")</f>
        <v>Proficient</v>
      </c>
      <c r="D339" s="174" t="str">
        <f>IFERROR(__xludf.DUMMYFUNCTION("""COMPUTED_VALUE"""),"Unlisted")</f>
        <v>Unlisted</v>
      </c>
      <c r="E339" s="174" t="str">
        <f>IFERROR(__xludf.DUMMYFUNCTION("""COMPUTED_VALUE"""),"Mastered")</f>
        <v>Mastered</v>
      </c>
      <c r="F339" s="174" t="str">
        <f>IFERROR(__xludf.DUMMYFUNCTION("""COMPUTED_VALUE"""),"Unlisted")</f>
        <v>Unlisted</v>
      </c>
      <c r="G339" s="174" t="str">
        <f>IFERROR(__xludf.DUMMYFUNCTION("""COMPUTED_VALUE"""),"Proficient")</f>
        <v>Proficient</v>
      </c>
      <c r="H339" s="174" t="str">
        <f>IFERROR(__xludf.DUMMYFUNCTION("""COMPUTED_VALUE"""),"Unlisted")</f>
        <v>Unlisted</v>
      </c>
      <c r="I339" s="174" t="str">
        <f>IFERROR(__xludf.DUMMYFUNCTION("""COMPUTED_VALUE"""),"Unlisted")</f>
        <v>Unlisted</v>
      </c>
      <c r="J339" s="174" t="str">
        <f>IFERROR(__xludf.DUMMYFUNCTION("""COMPUTED_VALUE"""),"Unlisted")</f>
        <v>Unlisted</v>
      </c>
      <c r="K339" s="174" t="str">
        <f>IFERROR(__xludf.DUMMYFUNCTION("""COMPUTED_VALUE"""),"Unlisted")</f>
        <v>Unlisted</v>
      </c>
      <c r="L339" s="174" t="str">
        <f>IFERROR(__xludf.DUMMYFUNCTION("""COMPUTED_VALUE"""),"Inept")</f>
        <v>Inept</v>
      </c>
      <c r="M339" s="174" t="str">
        <f>IFERROR(__xludf.DUMMYFUNCTION("""COMPUTED_VALUE"""),"Unlisted")</f>
        <v>Unlisted</v>
      </c>
      <c r="N339" s="174" t="str">
        <f>IFERROR(__xludf.DUMMYFUNCTION("""COMPUTED_VALUE"""),"Unlisted")</f>
        <v>Unlisted</v>
      </c>
      <c r="O339" s="174" t="str">
        <f>IFERROR(__xludf.DUMMYFUNCTION("""COMPUTED_VALUE"""),"Unlisted")</f>
        <v>Unlisted</v>
      </c>
      <c r="P339" s="174" t="str">
        <f>IFERROR(__xludf.DUMMYFUNCTION("""COMPUTED_VALUE"""),"Unlisted")</f>
        <v>Unlisted</v>
      </c>
      <c r="Q339" s="174" t="str">
        <f>IFERROR(__xludf.DUMMYFUNCTION("""COMPUTED_VALUE"""),"Unlisted")</f>
        <v>Unlisted</v>
      </c>
      <c r="R339" s="174" t="str">
        <f>IFERROR(__xludf.DUMMYFUNCTION("""COMPUTED_VALUE"""),"Unlisted")</f>
        <v>Unlisted</v>
      </c>
    </row>
    <row r="340">
      <c r="A340" s="255" t="str">
        <f>IFERROR(__xludf.DUMMYFUNCTION("""COMPUTED_VALUE"""),"Kommo-o")</f>
        <v>Kommo-o</v>
      </c>
      <c r="B340" s="174" t="str">
        <f>IFERROR(__xludf.DUMMYFUNCTION("""COMPUTED_VALUE"""),"Unlisted")</f>
        <v>Unlisted</v>
      </c>
      <c r="C340" s="174" t="str">
        <f>IFERROR(__xludf.DUMMYFUNCTION("""COMPUTED_VALUE"""),"Proficient")</f>
        <v>Proficient</v>
      </c>
      <c r="D340" s="174" t="str">
        <f>IFERROR(__xludf.DUMMYFUNCTION("""COMPUTED_VALUE"""),"Unlisted")</f>
        <v>Unlisted</v>
      </c>
      <c r="E340" s="174" t="str">
        <f>IFERROR(__xludf.DUMMYFUNCTION("""COMPUTED_VALUE"""),"Mastered")</f>
        <v>Mastered</v>
      </c>
      <c r="F340" s="174" t="str">
        <f>IFERROR(__xludf.DUMMYFUNCTION("""COMPUTED_VALUE"""),"Unlisted")</f>
        <v>Unlisted</v>
      </c>
      <c r="G340" s="174" t="str">
        <f>IFERROR(__xludf.DUMMYFUNCTION("""COMPUTED_VALUE"""),"Proficient")</f>
        <v>Proficient</v>
      </c>
      <c r="H340" s="174" t="str">
        <f>IFERROR(__xludf.DUMMYFUNCTION("""COMPUTED_VALUE"""),"Unlisted")</f>
        <v>Unlisted</v>
      </c>
      <c r="I340" s="174" t="str">
        <f>IFERROR(__xludf.DUMMYFUNCTION("""COMPUTED_VALUE"""),"Unlisted")</f>
        <v>Unlisted</v>
      </c>
      <c r="J340" s="174" t="str">
        <f>IFERROR(__xludf.DUMMYFUNCTION("""COMPUTED_VALUE"""),"Unlisted")</f>
        <v>Unlisted</v>
      </c>
      <c r="K340" s="174" t="str">
        <f>IFERROR(__xludf.DUMMYFUNCTION("""COMPUTED_VALUE"""),"Unlisted")</f>
        <v>Unlisted</v>
      </c>
      <c r="L340" s="174" t="str">
        <f>IFERROR(__xludf.DUMMYFUNCTION("""COMPUTED_VALUE"""),"Inept")</f>
        <v>Inept</v>
      </c>
      <c r="M340" s="174" t="str">
        <f>IFERROR(__xludf.DUMMYFUNCTION("""COMPUTED_VALUE"""),"Unlisted")</f>
        <v>Unlisted</v>
      </c>
      <c r="N340" s="174" t="str">
        <f>IFERROR(__xludf.DUMMYFUNCTION("""COMPUTED_VALUE"""),"Unlisted")</f>
        <v>Unlisted</v>
      </c>
      <c r="O340" s="174" t="str">
        <f>IFERROR(__xludf.DUMMYFUNCTION("""COMPUTED_VALUE"""),"Unlisted")</f>
        <v>Unlisted</v>
      </c>
      <c r="P340" s="174" t="str">
        <f>IFERROR(__xludf.DUMMYFUNCTION("""COMPUTED_VALUE"""),"Unlisted")</f>
        <v>Unlisted</v>
      </c>
      <c r="Q340" s="174" t="str">
        <f>IFERROR(__xludf.DUMMYFUNCTION("""COMPUTED_VALUE"""),"Unlisted")</f>
        <v>Unlisted</v>
      </c>
      <c r="R340" s="174" t="str">
        <f>IFERROR(__xludf.DUMMYFUNCTION("""COMPUTED_VALUE"""),"Unlisted")</f>
        <v>Unlisted</v>
      </c>
    </row>
    <row r="341">
      <c r="A341" s="255" t="str">
        <f>IFERROR(__xludf.DUMMYFUNCTION("""COMPUTED_VALUE"""),"Dreepy")</f>
        <v>Dreepy</v>
      </c>
      <c r="B341" s="174" t="str">
        <f>IFERROR(__xludf.DUMMYFUNCTION("""COMPUTED_VALUE"""),"Proficient")</f>
        <v>Proficient</v>
      </c>
      <c r="C341" s="174" t="str">
        <f>IFERROR(__xludf.DUMMYFUNCTION("""COMPUTED_VALUE"""),"Unlisted")</f>
        <v>Unlisted</v>
      </c>
      <c r="D341" s="174" t="str">
        <f>IFERROR(__xludf.DUMMYFUNCTION("""COMPUTED_VALUE"""),"Unlisted")</f>
        <v>Unlisted</v>
      </c>
      <c r="E341" s="174" t="str">
        <f>IFERROR(__xludf.DUMMYFUNCTION("""COMPUTED_VALUE"""),"Unlisted")</f>
        <v>Unlisted</v>
      </c>
      <c r="F341" s="174" t="str">
        <f>IFERROR(__xludf.DUMMYFUNCTION("""COMPUTED_VALUE"""),"Unlisted")</f>
        <v>Unlisted</v>
      </c>
      <c r="G341" s="174" t="str">
        <f>IFERROR(__xludf.DUMMYFUNCTION("""COMPUTED_VALUE"""),"Unlisted")</f>
        <v>Unlisted</v>
      </c>
      <c r="H341" s="174" t="str">
        <f>IFERROR(__xludf.DUMMYFUNCTION("""COMPUTED_VALUE"""),"Unlisted")</f>
        <v>Unlisted</v>
      </c>
      <c r="I341" s="174" t="str">
        <f>IFERROR(__xludf.DUMMYFUNCTION("""COMPUTED_VALUE"""),"Unlisted")</f>
        <v>Unlisted</v>
      </c>
      <c r="J341" s="174" t="str">
        <f>IFERROR(__xludf.DUMMYFUNCTION("""COMPUTED_VALUE"""),"Unlisted")</f>
        <v>Unlisted</v>
      </c>
      <c r="K341" s="174" t="str">
        <f>IFERROR(__xludf.DUMMYFUNCTION("""COMPUTED_VALUE"""),"Proficient")</f>
        <v>Proficient</v>
      </c>
      <c r="L341" s="174" t="str">
        <f>IFERROR(__xludf.DUMMYFUNCTION("""COMPUTED_VALUE"""),"Proficient")</f>
        <v>Proficient</v>
      </c>
      <c r="M341" s="174" t="str">
        <f>IFERROR(__xludf.DUMMYFUNCTION("""COMPUTED_VALUE"""),"Unlisted")</f>
        <v>Unlisted</v>
      </c>
      <c r="N341" s="174" t="str">
        <f>IFERROR(__xludf.DUMMYFUNCTION("""COMPUTED_VALUE"""),"Unlisted")</f>
        <v>Unlisted</v>
      </c>
      <c r="O341" s="174" t="str">
        <f>IFERROR(__xludf.DUMMYFUNCTION("""COMPUTED_VALUE"""),"Unlisted")</f>
        <v>Unlisted</v>
      </c>
      <c r="P341" s="174" t="str">
        <f>IFERROR(__xludf.DUMMYFUNCTION("""COMPUTED_VALUE"""),"Unlisted")</f>
        <v>Unlisted</v>
      </c>
      <c r="Q341" s="174" t="str">
        <f>IFERROR(__xludf.DUMMYFUNCTION("""COMPUTED_VALUE"""),"Unlisted")</f>
        <v>Unlisted</v>
      </c>
      <c r="R341" s="174" t="str">
        <f>IFERROR(__xludf.DUMMYFUNCTION("""COMPUTED_VALUE"""),"Unlisted")</f>
        <v>Unlisted</v>
      </c>
    </row>
    <row r="342">
      <c r="A342" s="255" t="str">
        <f>IFERROR(__xludf.DUMMYFUNCTION("""COMPUTED_VALUE"""),"Drakloak")</f>
        <v>Drakloak</v>
      </c>
      <c r="B342" s="174" t="str">
        <f>IFERROR(__xludf.DUMMYFUNCTION("""COMPUTED_VALUE"""),"Proficient")</f>
        <v>Proficient</v>
      </c>
      <c r="C342" s="174" t="str">
        <f>IFERROR(__xludf.DUMMYFUNCTION("""COMPUTED_VALUE"""),"Unlisted")</f>
        <v>Unlisted</v>
      </c>
      <c r="D342" s="174" t="str">
        <f>IFERROR(__xludf.DUMMYFUNCTION("""COMPUTED_VALUE"""),"Unlisted")</f>
        <v>Unlisted</v>
      </c>
      <c r="E342" s="174" t="str">
        <f>IFERROR(__xludf.DUMMYFUNCTION("""COMPUTED_VALUE"""),"Unlisted")</f>
        <v>Unlisted</v>
      </c>
      <c r="F342" s="174" t="str">
        <f>IFERROR(__xludf.DUMMYFUNCTION("""COMPUTED_VALUE"""),"Unlisted")</f>
        <v>Unlisted</v>
      </c>
      <c r="G342" s="174" t="str">
        <f>IFERROR(__xludf.DUMMYFUNCTION("""COMPUTED_VALUE"""),"Unlisted")</f>
        <v>Unlisted</v>
      </c>
      <c r="H342" s="174" t="str">
        <f>IFERROR(__xludf.DUMMYFUNCTION("""COMPUTED_VALUE"""),"Unlisted")</f>
        <v>Unlisted</v>
      </c>
      <c r="I342" s="174" t="str">
        <f>IFERROR(__xludf.DUMMYFUNCTION("""COMPUTED_VALUE"""),"Unlisted")</f>
        <v>Unlisted</v>
      </c>
      <c r="J342" s="174" t="str">
        <f>IFERROR(__xludf.DUMMYFUNCTION("""COMPUTED_VALUE"""),"Unlisted")</f>
        <v>Unlisted</v>
      </c>
      <c r="K342" s="174" t="str">
        <f>IFERROR(__xludf.DUMMYFUNCTION("""COMPUTED_VALUE"""),"Proficient")</f>
        <v>Proficient</v>
      </c>
      <c r="L342" s="174" t="str">
        <f>IFERROR(__xludf.DUMMYFUNCTION("""COMPUTED_VALUE"""),"Proficient")</f>
        <v>Proficient</v>
      </c>
      <c r="M342" s="174" t="str">
        <f>IFERROR(__xludf.DUMMYFUNCTION("""COMPUTED_VALUE"""),"Unlisted")</f>
        <v>Unlisted</v>
      </c>
      <c r="N342" s="174" t="str">
        <f>IFERROR(__xludf.DUMMYFUNCTION("""COMPUTED_VALUE"""),"Unlisted")</f>
        <v>Unlisted</v>
      </c>
      <c r="O342" s="174" t="str">
        <f>IFERROR(__xludf.DUMMYFUNCTION("""COMPUTED_VALUE"""),"Unlisted")</f>
        <v>Unlisted</v>
      </c>
      <c r="P342" s="174" t="str">
        <f>IFERROR(__xludf.DUMMYFUNCTION("""COMPUTED_VALUE"""),"Unlisted")</f>
        <v>Unlisted</v>
      </c>
      <c r="Q342" s="174" t="str">
        <f>IFERROR(__xludf.DUMMYFUNCTION("""COMPUTED_VALUE"""),"Unlisted")</f>
        <v>Unlisted</v>
      </c>
      <c r="R342" s="174" t="str">
        <f>IFERROR(__xludf.DUMMYFUNCTION("""COMPUTED_VALUE"""),"Unlisted")</f>
        <v>Unlisted</v>
      </c>
    </row>
    <row r="343">
      <c r="A343" s="255" t="str">
        <f>IFERROR(__xludf.DUMMYFUNCTION("""COMPUTED_VALUE"""),"Dragapult")</f>
        <v>Dragapult</v>
      </c>
      <c r="B343" s="174" t="str">
        <f>IFERROR(__xludf.DUMMYFUNCTION("""COMPUTED_VALUE"""),"Proficient")</f>
        <v>Proficient</v>
      </c>
      <c r="C343" s="174" t="str">
        <f>IFERROR(__xludf.DUMMYFUNCTION("""COMPUTED_VALUE"""),"Unlisted")</f>
        <v>Unlisted</v>
      </c>
      <c r="D343" s="174" t="str">
        <f>IFERROR(__xludf.DUMMYFUNCTION("""COMPUTED_VALUE"""),"Unlisted")</f>
        <v>Unlisted</v>
      </c>
      <c r="E343" s="174" t="str">
        <f>IFERROR(__xludf.DUMMYFUNCTION("""COMPUTED_VALUE"""),"Unlisted")</f>
        <v>Unlisted</v>
      </c>
      <c r="F343" s="174" t="str">
        <f>IFERROR(__xludf.DUMMYFUNCTION("""COMPUTED_VALUE"""),"Unlisted")</f>
        <v>Unlisted</v>
      </c>
      <c r="G343" s="174" t="str">
        <f>IFERROR(__xludf.DUMMYFUNCTION("""COMPUTED_VALUE"""),"Unlisted")</f>
        <v>Unlisted</v>
      </c>
      <c r="H343" s="174" t="str">
        <f>IFERROR(__xludf.DUMMYFUNCTION("""COMPUTED_VALUE"""),"Unlisted")</f>
        <v>Unlisted</v>
      </c>
      <c r="I343" s="174" t="str">
        <f>IFERROR(__xludf.DUMMYFUNCTION("""COMPUTED_VALUE"""),"Unlisted")</f>
        <v>Unlisted</v>
      </c>
      <c r="J343" s="174" t="str">
        <f>IFERROR(__xludf.DUMMYFUNCTION("""COMPUTED_VALUE"""),"Unlisted")</f>
        <v>Unlisted</v>
      </c>
      <c r="K343" s="174" t="str">
        <f>IFERROR(__xludf.DUMMYFUNCTION("""COMPUTED_VALUE"""),"Proficient")</f>
        <v>Proficient</v>
      </c>
      <c r="L343" s="174" t="str">
        <f>IFERROR(__xludf.DUMMYFUNCTION("""COMPUTED_VALUE"""),"Proficient")</f>
        <v>Proficient</v>
      </c>
      <c r="M343" s="174" t="str">
        <f>IFERROR(__xludf.DUMMYFUNCTION("""COMPUTED_VALUE"""),"Unlisted")</f>
        <v>Unlisted</v>
      </c>
      <c r="N343" s="174" t="str">
        <f>IFERROR(__xludf.DUMMYFUNCTION("""COMPUTED_VALUE"""),"Unlisted")</f>
        <v>Unlisted</v>
      </c>
      <c r="O343" s="174" t="str">
        <f>IFERROR(__xludf.DUMMYFUNCTION("""COMPUTED_VALUE"""),"Unlisted")</f>
        <v>Unlisted</v>
      </c>
      <c r="P343" s="174" t="str">
        <f>IFERROR(__xludf.DUMMYFUNCTION("""COMPUTED_VALUE"""),"Unlisted")</f>
        <v>Unlisted</v>
      </c>
      <c r="Q343" s="174" t="str">
        <f>IFERROR(__xludf.DUMMYFUNCTION("""COMPUTED_VALUE"""),"Unlisted")</f>
        <v>Unlisted</v>
      </c>
      <c r="R343" s="174" t="str">
        <f>IFERROR(__xludf.DUMMYFUNCTION("""COMPUTED_VALUE"""),"Unlisted")</f>
        <v>Unlisted</v>
      </c>
    </row>
    <row r="344">
      <c r="A344" s="255" t="str">
        <f>IFERROR(__xludf.DUMMYFUNCTION("""COMPUTED_VALUE"""),"Frigibax")</f>
        <v>Frigibax</v>
      </c>
      <c r="B344" s="174" t="str">
        <f>IFERROR(__xludf.DUMMYFUNCTION("""COMPUTED_VALUE"""),"Unlisted")</f>
        <v>Unlisted</v>
      </c>
      <c r="C344" s="174" t="str">
        <f>IFERROR(__xludf.DUMMYFUNCTION("""COMPUTED_VALUE"""),"Proficient")</f>
        <v>Proficient</v>
      </c>
      <c r="D344" s="174" t="str">
        <f>IFERROR(__xludf.DUMMYFUNCTION("""COMPUTED_VALUE"""),"Unlisted")</f>
        <v>Unlisted</v>
      </c>
      <c r="E344" s="174" t="str">
        <f>IFERROR(__xludf.DUMMYFUNCTION("""COMPUTED_VALUE"""),"Mastered")</f>
        <v>Mastered</v>
      </c>
      <c r="F344" s="174" t="str">
        <f>IFERROR(__xludf.DUMMYFUNCTION("""COMPUTED_VALUE"""),"Unlisted")</f>
        <v>Unlisted</v>
      </c>
      <c r="G344" s="174" t="str">
        <f>IFERROR(__xludf.DUMMYFUNCTION("""COMPUTED_VALUE"""),"Unlisted")</f>
        <v>Unlisted</v>
      </c>
      <c r="H344" s="174" t="str">
        <f>IFERROR(__xludf.DUMMYFUNCTION("""COMPUTED_VALUE"""),"Unlisted")</f>
        <v>Unlisted</v>
      </c>
      <c r="I344" s="174" t="str">
        <f>IFERROR(__xludf.DUMMYFUNCTION("""COMPUTED_VALUE"""),"Unlisted")</f>
        <v>Unlisted</v>
      </c>
      <c r="J344" s="174" t="str">
        <f>IFERROR(__xludf.DUMMYFUNCTION("""COMPUTED_VALUE"""),"Unlisted")</f>
        <v>Unlisted</v>
      </c>
      <c r="K344" s="174" t="str">
        <f>IFERROR(__xludf.DUMMYFUNCTION("""COMPUTED_VALUE"""),"Unlisted")</f>
        <v>Unlisted</v>
      </c>
      <c r="L344" s="174" t="str">
        <f>IFERROR(__xludf.DUMMYFUNCTION("""COMPUTED_VALUE"""),"Unlisted")</f>
        <v>Unlisted</v>
      </c>
      <c r="M344" s="174" t="str">
        <f>IFERROR(__xludf.DUMMYFUNCTION("""COMPUTED_VALUE"""),"Unlisted")</f>
        <v>Unlisted</v>
      </c>
      <c r="N344" s="174" t="str">
        <f>IFERROR(__xludf.DUMMYFUNCTION("""COMPUTED_VALUE"""),"Unlisted")</f>
        <v>Unlisted</v>
      </c>
      <c r="O344" s="174" t="str">
        <f>IFERROR(__xludf.DUMMYFUNCTION("""COMPUTED_VALUE"""),"Proficient")</f>
        <v>Proficient</v>
      </c>
      <c r="P344" s="174" t="str">
        <f>IFERROR(__xludf.DUMMYFUNCTION("""COMPUTED_VALUE"""),"Unlisted")</f>
        <v>Unlisted</v>
      </c>
      <c r="Q344" s="174" t="str">
        <f>IFERROR(__xludf.DUMMYFUNCTION("""COMPUTED_VALUE"""),"Unlisted")</f>
        <v>Unlisted</v>
      </c>
      <c r="R344" s="174" t="str">
        <f>IFERROR(__xludf.DUMMYFUNCTION("""COMPUTED_VALUE"""),"Unlisted")</f>
        <v>Unlisted</v>
      </c>
    </row>
    <row r="345">
      <c r="A345" s="255" t="str">
        <f>IFERROR(__xludf.DUMMYFUNCTION("""COMPUTED_VALUE"""),"Arctibax")</f>
        <v>Arctibax</v>
      </c>
      <c r="B345" s="174" t="str">
        <f>IFERROR(__xludf.DUMMYFUNCTION("""COMPUTED_VALUE"""),"Unlisted")</f>
        <v>Unlisted</v>
      </c>
      <c r="C345" s="174" t="str">
        <f>IFERROR(__xludf.DUMMYFUNCTION("""COMPUTED_VALUE"""),"Proficient")</f>
        <v>Proficient</v>
      </c>
      <c r="D345" s="174" t="str">
        <f>IFERROR(__xludf.DUMMYFUNCTION("""COMPUTED_VALUE"""),"Unlisted")</f>
        <v>Unlisted</v>
      </c>
      <c r="E345" s="174" t="str">
        <f>IFERROR(__xludf.DUMMYFUNCTION("""COMPUTED_VALUE"""),"Mastered")</f>
        <v>Mastered</v>
      </c>
      <c r="F345" s="174" t="str">
        <f>IFERROR(__xludf.DUMMYFUNCTION("""COMPUTED_VALUE"""),"Unlisted")</f>
        <v>Unlisted</v>
      </c>
      <c r="G345" s="174" t="str">
        <f>IFERROR(__xludf.DUMMYFUNCTION("""COMPUTED_VALUE"""),"Unlisted")</f>
        <v>Unlisted</v>
      </c>
      <c r="H345" s="174" t="str">
        <f>IFERROR(__xludf.DUMMYFUNCTION("""COMPUTED_VALUE"""),"Unlisted")</f>
        <v>Unlisted</v>
      </c>
      <c r="I345" s="174" t="str">
        <f>IFERROR(__xludf.DUMMYFUNCTION("""COMPUTED_VALUE"""),"Unlisted")</f>
        <v>Unlisted</v>
      </c>
      <c r="J345" s="174" t="str">
        <f>IFERROR(__xludf.DUMMYFUNCTION("""COMPUTED_VALUE"""),"Unlisted")</f>
        <v>Unlisted</v>
      </c>
      <c r="K345" s="174" t="str">
        <f>IFERROR(__xludf.DUMMYFUNCTION("""COMPUTED_VALUE"""),"Unlisted")</f>
        <v>Unlisted</v>
      </c>
      <c r="L345" s="174" t="str">
        <f>IFERROR(__xludf.DUMMYFUNCTION("""COMPUTED_VALUE"""),"Unlisted")</f>
        <v>Unlisted</v>
      </c>
      <c r="M345" s="174" t="str">
        <f>IFERROR(__xludf.DUMMYFUNCTION("""COMPUTED_VALUE"""),"Unlisted")</f>
        <v>Unlisted</v>
      </c>
      <c r="N345" s="174" t="str">
        <f>IFERROR(__xludf.DUMMYFUNCTION("""COMPUTED_VALUE"""),"Unlisted")</f>
        <v>Unlisted</v>
      </c>
      <c r="O345" s="174" t="str">
        <f>IFERROR(__xludf.DUMMYFUNCTION("""COMPUTED_VALUE"""),"Proficient")</f>
        <v>Proficient</v>
      </c>
      <c r="P345" s="174" t="str">
        <f>IFERROR(__xludf.DUMMYFUNCTION("""COMPUTED_VALUE"""),"Unlisted")</f>
        <v>Unlisted</v>
      </c>
      <c r="Q345" s="174" t="str">
        <f>IFERROR(__xludf.DUMMYFUNCTION("""COMPUTED_VALUE"""),"Unlisted")</f>
        <v>Unlisted</v>
      </c>
      <c r="R345" s="174" t="str">
        <f>IFERROR(__xludf.DUMMYFUNCTION("""COMPUTED_VALUE"""),"Unlisted")</f>
        <v>Unlisted</v>
      </c>
    </row>
    <row r="346">
      <c r="A346" s="255" t="str">
        <f>IFERROR(__xludf.DUMMYFUNCTION("""COMPUTED_VALUE"""),"Baxcalibur")</f>
        <v>Baxcalibur</v>
      </c>
      <c r="B346" s="174" t="str">
        <f>IFERROR(__xludf.DUMMYFUNCTION("""COMPUTED_VALUE"""),"Unlisted")</f>
        <v>Unlisted</v>
      </c>
      <c r="C346" s="174" t="str">
        <f>IFERROR(__xludf.DUMMYFUNCTION("""COMPUTED_VALUE"""),"Proficient")</f>
        <v>Proficient</v>
      </c>
      <c r="D346" s="174" t="str">
        <f>IFERROR(__xludf.DUMMYFUNCTION("""COMPUTED_VALUE"""),"Unlisted")</f>
        <v>Unlisted</v>
      </c>
      <c r="E346" s="174" t="str">
        <f>IFERROR(__xludf.DUMMYFUNCTION("""COMPUTED_VALUE"""),"Mastered")</f>
        <v>Mastered</v>
      </c>
      <c r="F346" s="174" t="str">
        <f>IFERROR(__xludf.DUMMYFUNCTION("""COMPUTED_VALUE"""),"Unlisted")</f>
        <v>Unlisted</v>
      </c>
      <c r="G346" s="174" t="str">
        <f>IFERROR(__xludf.DUMMYFUNCTION("""COMPUTED_VALUE"""),"Unlisted")</f>
        <v>Unlisted</v>
      </c>
      <c r="H346" s="174" t="str">
        <f>IFERROR(__xludf.DUMMYFUNCTION("""COMPUTED_VALUE"""),"Unlisted")</f>
        <v>Unlisted</v>
      </c>
      <c r="I346" s="174" t="str">
        <f>IFERROR(__xludf.DUMMYFUNCTION("""COMPUTED_VALUE"""),"Unlisted")</f>
        <v>Unlisted</v>
      </c>
      <c r="J346" s="174" t="str">
        <f>IFERROR(__xludf.DUMMYFUNCTION("""COMPUTED_VALUE"""),"Unlisted")</f>
        <v>Unlisted</v>
      </c>
      <c r="K346" s="174" t="str">
        <f>IFERROR(__xludf.DUMMYFUNCTION("""COMPUTED_VALUE"""),"Unlisted")</f>
        <v>Unlisted</v>
      </c>
      <c r="L346" s="174" t="str">
        <f>IFERROR(__xludf.DUMMYFUNCTION("""COMPUTED_VALUE"""),"Unlisted")</f>
        <v>Unlisted</v>
      </c>
      <c r="M346" s="174" t="str">
        <f>IFERROR(__xludf.DUMMYFUNCTION("""COMPUTED_VALUE"""),"Unlisted")</f>
        <v>Unlisted</v>
      </c>
      <c r="N346" s="174" t="str">
        <f>IFERROR(__xludf.DUMMYFUNCTION("""COMPUTED_VALUE"""),"Unlisted")</f>
        <v>Unlisted</v>
      </c>
      <c r="O346" s="174" t="str">
        <f>IFERROR(__xludf.DUMMYFUNCTION("""COMPUTED_VALUE"""),"Proficient")</f>
        <v>Proficient</v>
      </c>
      <c r="P346" s="174" t="str">
        <f>IFERROR(__xludf.DUMMYFUNCTION("""COMPUTED_VALUE"""),"Unlisted")</f>
        <v>Unlisted</v>
      </c>
      <c r="Q346" s="174" t="str">
        <f>IFERROR(__xludf.DUMMYFUNCTION("""COMPUTED_VALUE"""),"Unlisted")</f>
        <v>Unlisted</v>
      </c>
      <c r="R346" s="174" t="str">
        <f>IFERROR(__xludf.DUMMYFUNCTION("""COMPUTED_VALUE"""),"Unlisted")</f>
        <v>Unlisted</v>
      </c>
    </row>
    <row r="347">
      <c r="A347" s="255" t="str">
        <f>IFERROR(__xludf.DUMMYFUNCTION("""COMPUTED_VALUE"""),"Pichu")</f>
        <v>Pichu</v>
      </c>
      <c r="B347" s="174" t="str">
        <f>IFERROR(__xludf.DUMMYFUNCTION("""COMPUTED_VALUE"""),"Proficient")</f>
        <v>Proficient</v>
      </c>
      <c r="C347" s="174" t="str">
        <f>IFERROR(__xludf.DUMMYFUNCTION("""COMPUTED_VALUE"""),"Unlisted")</f>
        <v>Unlisted</v>
      </c>
      <c r="D347" s="174" t="str">
        <f>IFERROR(__xludf.DUMMYFUNCTION("""COMPUTED_VALUE"""),"Unlisted")</f>
        <v>Unlisted</v>
      </c>
      <c r="E347" s="174" t="str">
        <f>IFERROR(__xludf.DUMMYFUNCTION("""COMPUTED_VALUE"""),"Inept")</f>
        <v>Inept</v>
      </c>
      <c r="F347" s="174" t="str">
        <f>IFERROR(__xludf.DUMMYFUNCTION("""COMPUTED_VALUE"""),"Unlisted")</f>
        <v>Unlisted</v>
      </c>
      <c r="G347" s="174" t="str">
        <f>IFERROR(__xludf.DUMMYFUNCTION("""COMPUTED_VALUE"""),"Proficient")</f>
        <v>Proficient</v>
      </c>
      <c r="H347" s="174" t="str">
        <f>IFERROR(__xludf.DUMMYFUNCTION("""COMPUTED_VALUE"""),"Unlisted")</f>
        <v>Unlisted</v>
      </c>
      <c r="I347" s="174" t="str">
        <f>IFERROR(__xludf.DUMMYFUNCTION("""COMPUTED_VALUE"""),"Unlisted")</f>
        <v>Unlisted</v>
      </c>
      <c r="J347" s="174" t="str">
        <f>IFERROR(__xludf.DUMMYFUNCTION("""COMPUTED_VALUE"""),"Unlisted")</f>
        <v>Unlisted</v>
      </c>
      <c r="K347" s="174" t="str">
        <f>IFERROR(__xludf.DUMMYFUNCTION("""COMPUTED_VALUE"""),"Unlisted")</f>
        <v>Unlisted</v>
      </c>
      <c r="L347" s="174" t="str">
        <f>IFERROR(__xludf.DUMMYFUNCTION("""COMPUTED_VALUE"""),"Unlisted")</f>
        <v>Unlisted</v>
      </c>
      <c r="M347" s="174" t="str">
        <f>IFERROR(__xludf.DUMMYFUNCTION("""COMPUTED_VALUE"""),"Unlisted")</f>
        <v>Unlisted</v>
      </c>
      <c r="N347" s="174" t="str">
        <f>IFERROR(__xludf.DUMMYFUNCTION("""COMPUTED_VALUE"""),"Unlisted")</f>
        <v>Unlisted</v>
      </c>
      <c r="O347" s="174" t="str">
        <f>IFERROR(__xludf.DUMMYFUNCTION("""COMPUTED_VALUE"""),"Unlisted")</f>
        <v>Unlisted</v>
      </c>
      <c r="P347" s="174" t="str">
        <f>IFERROR(__xludf.DUMMYFUNCTION("""COMPUTED_VALUE"""),"Unlisted")</f>
        <v>Unlisted</v>
      </c>
      <c r="Q347" s="174" t="str">
        <f>IFERROR(__xludf.DUMMYFUNCTION("""COMPUTED_VALUE"""),"Unlisted")</f>
        <v>Unlisted</v>
      </c>
      <c r="R347" s="174" t="str">
        <f>IFERROR(__xludf.DUMMYFUNCTION("""COMPUTED_VALUE"""),"Unlisted")</f>
        <v>Unlisted</v>
      </c>
    </row>
    <row r="348">
      <c r="A348" s="255" t="str">
        <f>IFERROR(__xludf.DUMMYFUNCTION("""COMPUTED_VALUE"""),"Pikachu")</f>
        <v>Pikachu</v>
      </c>
      <c r="B348" s="174" t="str">
        <f>IFERROR(__xludf.DUMMYFUNCTION("""COMPUTED_VALUE"""),"Proficient")</f>
        <v>Proficient</v>
      </c>
      <c r="C348" s="174" t="str">
        <f>IFERROR(__xludf.DUMMYFUNCTION("""COMPUTED_VALUE"""),"Unlisted")</f>
        <v>Unlisted</v>
      </c>
      <c r="D348" s="174" t="str">
        <f>IFERROR(__xludf.DUMMYFUNCTION("""COMPUTED_VALUE"""),"Unlisted")</f>
        <v>Unlisted</v>
      </c>
      <c r="E348" s="174" t="str">
        <f>IFERROR(__xludf.DUMMYFUNCTION("""COMPUTED_VALUE"""),"Unlisted")</f>
        <v>Unlisted</v>
      </c>
      <c r="F348" s="174" t="str">
        <f>IFERROR(__xludf.DUMMYFUNCTION("""COMPUTED_VALUE"""),"Unlisted")</f>
        <v>Unlisted</v>
      </c>
      <c r="G348" s="174" t="str">
        <f>IFERROR(__xludf.DUMMYFUNCTION("""COMPUTED_VALUE"""),"Proficient")</f>
        <v>Proficient</v>
      </c>
      <c r="H348" s="174" t="str">
        <f>IFERROR(__xludf.DUMMYFUNCTION("""COMPUTED_VALUE"""),"Unlisted")</f>
        <v>Unlisted</v>
      </c>
      <c r="I348" s="174" t="str">
        <f>IFERROR(__xludf.DUMMYFUNCTION("""COMPUTED_VALUE"""),"Unlisted")</f>
        <v>Unlisted</v>
      </c>
      <c r="J348" s="174" t="str">
        <f>IFERROR(__xludf.DUMMYFUNCTION("""COMPUTED_VALUE"""),"Unlisted")</f>
        <v>Unlisted</v>
      </c>
      <c r="K348" s="174" t="str">
        <f>IFERROR(__xludf.DUMMYFUNCTION("""COMPUTED_VALUE"""),"Unlisted")</f>
        <v>Unlisted</v>
      </c>
      <c r="L348" s="174" t="str">
        <f>IFERROR(__xludf.DUMMYFUNCTION("""COMPUTED_VALUE"""),"Unlisted")</f>
        <v>Unlisted</v>
      </c>
      <c r="M348" s="174" t="str">
        <f>IFERROR(__xludf.DUMMYFUNCTION("""COMPUTED_VALUE"""),"Unlisted")</f>
        <v>Unlisted</v>
      </c>
      <c r="N348" s="174" t="str">
        <f>IFERROR(__xludf.DUMMYFUNCTION("""COMPUTED_VALUE"""),"Unlisted")</f>
        <v>Unlisted</v>
      </c>
      <c r="O348" s="174" t="str">
        <f>IFERROR(__xludf.DUMMYFUNCTION("""COMPUTED_VALUE"""),"Unlisted")</f>
        <v>Unlisted</v>
      </c>
      <c r="P348" s="174" t="str">
        <f>IFERROR(__xludf.DUMMYFUNCTION("""COMPUTED_VALUE"""),"Unlisted")</f>
        <v>Unlisted</v>
      </c>
      <c r="Q348" s="174" t="str">
        <f>IFERROR(__xludf.DUMMYFUNCTION("""COMPUTED_VALUE"""),"Unlisted")</f>
        <v>Unlisted</v>
      </c>
      <c r="R348" s="174" t="str">
        <f>IFERROR(__xludf.DUMMYFUNCTION("""COMPUTED_VALUE"""),"Unlisted")</f>
        <v>Unlisted</v>
      </c>
    </row>
    <row r="349">
      <c r="A349" s="255" t="str">
        <f>IFERROR(__xludf.DUMMYFUNCTION("""COMPUTED_VALUE"""),"Raichu")</f>
        <v>Raichu</v>
      </c>
      <c r="B349" s="174" t="str">
        <f>IFERROR(__xludf.DUMMYFUNCTION("""COMPUTED_VALUE"""),"Proficient")</f>
        <v>Proficient</v>
      </c>
      <c r="C349" s="174" t="str">
        <f>IFERROR(__xludf.DUMMYFUNCTION("""COMPUTED_VALUE"""),"Proficient")</f>
        <v>Proficient</v>
      </c>
      <c r="D349" s="174" t="str">
        <f>IFERROR(__xludf.DUMMYFUNCTION("""COMPUTED_VALUE"""),"Unlisted")</f>
        <v>Unlisted</v>
      </c>
      <c r="E349" s="174" t="str">
        <f>IFERROR(__xludf.DUMMYFUNCTION("""COMPUTED_VALUE"""),"Unlisted")</f>
        <v>Unlisted</v>
      </c>
      <c r="F349" s="174" t="str">
        <f>IFERROR(__xludf.DUMMYFUNCTION("""COMPUTED_VALUE"""),"Unlisted")</f>
        <v>Unlisted</v>
      </c>
      <c r="G349" s="174" t="str">
        <f>IFERROR(__xludf.DUMMYFUNCTION("""COMPUTED_VALUE"""),"Proficient")</f>
        <v>Proficient</v>
      </c>
      <c r="H349" s="174" t="str">
        <f>IFERROR(__xludf.DUMMYFUNCTION("""COMPUTED_VALUE"""),"Unlisted")</f>
        <v>Unlisted</v>
      </c>
      <c r="I349" s="174" t="str">
        <f>IFERROR(__xludf.DUMMYFUNCTION("""COMPUTED_VALUE"""),"Unlisted")</f>
        <v>Unlisted</v>
      </c>
      <c r="J349" s="174" t="str">
        <f>IFERROR(__xludf.DUMMYFUNCTION("""COMPUTED_VALUE"""),"Unlisted")</f>
        <v>Unlisted</v>
      </c>
      <c r="K349" s="174" t="str">
        <f>IFERROR(__xludf.DUMMYFUNCTION("""COMPUTED_VALUE"""),"Unlisted")</f>
        <v>Unlisted</v>
      </c>
      <c r="L349" s="174" t="str">
        <f>IFERROR(__xludf.DUMMYFUNCTION("""COMPUTED_VALUE"""),"Unlisted")</f>
        <v>Unlisted</v>
      </c>
      <c r="M349" s="174" t="str">
        <f>IFERROR(__xludf.DUMMYFUNCTION("""COMPUTED_VALUE"""),"Unlisted")</f>
        <v>Unlisted</v>
      </c>
      <c r="N349" s="174" t="str">
        <f>IFERROR(__xludf.DUMMYFUNCTION("""COMPUTED_VALUE"""),"Unlisted")</f>
        <v>Unlisted</v>
      </c>
      <c r="O349" s="174" t="str">
        <f>IFERROR(__xludf.DUMMYFUNCTION("""COMPUTED_VALUE"""),"Unlisted")</f>
        <v>Unlisted</v>
      </c>
      <c r="P349" s="174" t="str">
        <f>IFERROR(__xludf.DUMMYFUNCTION("""COMPUTED_VALUE"""),"Unlisted")</f>
        <v>Unlisted</v>
      </c>
      <c r="Q349" s="174" t="str">
        <f>IFERROR(__xludf.DUMMYFUNCTION("""COMPUTED_VALUE"""),"Unlisted")</f>
        <v>Unlisted</v>
      </c>
      <c r="R349" s="174" t="str">
        <f>IFERROR(__xludf.DUMMYFUNCTION("""COMPUTED_VALUE"""),"Unlisted")</f>
        <v>Unlisted</v>
      </c>
    </row>
    <row r="350">
      <c r="A350" s="255" t="str">
        <f>IFERROR(__xludf.DUMMYFUNCTION("""COMPUTED_VALUE"""),"Alolan Raichu")</f>
        <v>Alolan Raichu</v>
      </c>
      <c r="B350" s="174" t="str">
        <f>IFERROR(__xludf.DUMMYFUNCTION("""COMPUTED_VALUE"""),"Proficient")</f>
        <v>Proficient</v>
      </c>
      <c r="C350" s="174" t="str">
        <f>IFERROR(__xludf.DUMMYFUNCTION("""COMPUTED_VALUE"""),"Unlisted")</f>
        <v>Unlisted</v>
      </c>
      <c r="D350" s="174" t="str">
        <f>IFERROR(__xludf.DUMMYFUNCTION("""COMPUTED_VALUE"""),"Proficient")</f>
        <v>Proficient</v>
      </c>
      <c r="E350" s="174" t="str">
        <f>IFERROR(__xludf.DUMMYFUNCTION("""COMPUTED_VALUE"""),"Unlisted")</f>
        <v>Unlisted</v>
      </c>
      <c r="F350" s="174" t="str">
        <f>IFERROR(__xludf.DUMMYFUNCTION("""COMPUTED_VALUE"""),"Unlisted")</f>
        <v>Unlisted</v>
      </c>
      <c r="G350" s="174" t="str">
        <f>IFERROR(__xludf.DUMMYFUNCTION("""COMPUTED_VALUE"""),"Mastered")</f>
        <v>Mastered</v>
      </c>
      <c r="H350" s="174" t="str">
        <f>IFERROR(__xludf.DUMMYFUNCTION("""COMPUTED_VALUE"""),"Unlisted")</f>
        <v>Unlisted</v>
      </c>
      <c r="I350" s="174" t="str">
        <f>IFERROR(__xludf.DUMMYFUNCTION("""COMPUTED_VALUE"""),"Unlisted")</f>
        <v>Unlisted</v>
      </c>
      <c r="J350" s="174" t="str">
        <f>IFERROR(__xludf.DUMMYFUNCTION("""COMPUTED_VALUE"""),"Unlisted")</f>
        <v>Unlisted</v>
      </c>
      <c r="K350" s="174" t="str">
        <f>IFERROR(__xludf.DUMMYFUNCTION("""COMPUTED_VALUE"""),"Unlisted")</f>
        <v>Unlisted</v>
      </c>
      <c r="L350" s="174" t="str">
        <f>IFERROR(__xludf.DUMMYFUNCTION("""COMPUTED_VALUE"""),"Unlisted")</f>
        <v>Unlisted</v>
      </c>
      <c r="M350" s="174" t="str">
        <f>IFERROR(__xludf.DUMMYFUNCTION("""COMPUTED_VALUE"""),"Unlisted")</f>
        <v>Unlisted</v>
      </c>
      <c r="N350" s="174" t="str">
        <f>IFERROR(__xludf.DUMMYFUNCTION("""COMPUTED_VALUE"""),"Unlisted")</f>
        <v>Unlisted</v>
      </c>
      <c r="O350" s="174" t="str">
        <f>IFERROR(__xludf.DUMMYFUNCTION("""COMPUTED_VALUE"""),"Unlisted")</f>
        <v>Unlisted</v>
      </c>
      <c r="P350" s="174" t="str">
        <f>IFERROR(__xludf.DUMMYFUNCTION("""COMPUTED_VALUE"""),"Unlisted")</f>
        <v>Unlisted</v>
      </c>
      <c r="Q350" s="174" t="str">
        <f>IFERROR(__xludf.DUMMYFUNCTION("""COMPUTED_VALUE"""),"Unlisted")</f>
        <v>Unlisted</v>
      </c>
      <c r="R350" s="174" t="str">
        <f>IFERROR(__xludf.DUMMYFUNCTION("""COMPUTED_VALUE"""),"Unlisted")</f>
        <v>Unlisted</v>
      </c>
    </row>
    <row r="351">
      <c r="A351" s="255" t="str">
        <f>IFERROR(__xludf.DUMMYFUNCTION("""COMPUTED_VALUE"""),"Magnemite")</f>
        <v>Magnemite</v>
      </c>
      <c r="B351" s="174" t="str">
        <f>IFERROR(__xludf.DUMMYFUNCTION("""COMPUTED_VALUE"""),"Unlisted")</f>
        <v>Unlisted</v>
      </c>
      <c r="C351" s="174" t="str">
        <f>IFERROR(__xludf.DUMMYFUNCTION("""COMPUTED_VALUE"""),"Unlisted")</f>
        <v>Unlisted</v>
      </c>
      <c r="D351" s="174" t="str">
        <f>IFERROR(__xludf.DUMMYFUNCTION("""COMPUTED_VALUE"""),"Unlisted")</f>
        <v>Unlisted</v>
      </c>
      <c r="E351" s="174" t="str">
        <f>IFERROR(__xludf.DUMMYFUNCTION("""COMPUTED_VALUE"""),"Unlisted")</f>
        <v>Unlisted</v>
      </c>
      <c r="F351" s="174" t="str">
        <f>IFERROR(__xludf.DUMMYFUNCTION("""COMPUTED_VALUE"""),"Unlisted")</f>
        <v>Unlisted</v>
      </c>
      <c r="G351" s="174" t="str">
        <f>IFERROR(__xludf.DUMMYFUNCTION("""COMPUTED_VALUE"""),"Proficient")</f>
        <v>Proficient</v>
      </c>
      <c r="H351" s="174" t="str">
        <f>IFERROR(__xludf.DUMMYFUNCTION("""COMPUTED_VALUE"""),"Unlisted")</f>
        <v>Unlisted</v>
      </c>
      <c r="I351" s="174" t="str">
        <f>IFERROR(__xludf.DUMMYFUNCTION("""COMPUTED_VALUE"""),"Unlisted")</f>
        <v>Unlisted</v>
      </c>
      <c r="J351" s="174" t="str">
        <f>IFERROR(__xludf.DUMMYFUNCTION("""COMPUTED_VALUE"""),"Unlisted")</f>
        <v>Unlisted</v>
      </c>
      <c r="K351" s="174" t="str">
        <f>IFERROR(__xludf.DUMMYFUNCTION("""COMPUTED_VALUE"""),"Proficient")</f>
        <v>Proficient</v>
      </c>
      <c r="L351" s="174" t="str">
        <f>IFERROR(__xludf.DUMMYFUNCTION("""COMPUTED_VALUE"""),"Unlisted")</f>
        <v>Unlisted</v>
      </c>
      <c r="M351" s="174" t="str">
        <f>IFERROR(__xludf.DUMMYFUNCTION("""COMPUTED_VALUE"""),"Unlisted")</f>
        <v>Unlisted</v>
      </c>
      <c r="N351" s="174" t="str">
        <f>IFERROR(__xludf.DUMMYFUNCTION("""COMPUTED_VALUE"""),"Unlisted")</f>
        <v>Unlisted</v>
      </c>
      <c r="O351" s="174" t="str">
        <f>IFERROR(__xludf.DUMMYFUNCTION("""COMPUTED_VALUE"""),"Unlisted")</f>
        <v>Unlisted</v>
      </c>
      <c r="P351" s="174" t="str">
        <f>IFERROR(__xludf.DUMMYFUNCTION("""COMPUTED_VALUE"""),"Unlisted")</f>
        <v>Unlisted</v>
      </c>
      <c r="Q351" s="174" t="str">
        <f>IFERROR(__xludf.DUMMYFUNCTION("""COMPUTED_VALUE"""),"Unlisted")</f>
        <v>Unlisted</v>
      </c>
      <c r="R351" s="174" t="str">
        <f>IFERROR(__xludf.DUMMYFUNCTION("""COMPUTED_VALUE"""),"Unlisted")</f>
        <v>Unlisted</v>
      </c>
    </row>
    <row r="352">
      <c r="A352" s="255" t="str">
        <f>IFERROR(__xludf.DUMMYFUNCTION("""COMPUTED_VALUE"""),"Magneton")</f>
        <v>Magneton</v>
      </c>
      <c r="B352" s="174" t="str">
        <f>IFERROR(__xludf.DUMMYFUNCTION("""COMPUTED_VALUE"""),"Unlisted")</f>
        <v>Unlisted</v>
      </c>
      <c r="C352" s="174" t="str">
        <f>IFERROR(__xludf.DUMMYFUNCTION("""COMPUTED_VALUE"""),"Unlisted")</f>
        <v>Unlisted</v>
      </c>
      <c r="D352" s="174" t="str">
        <f>IFERROR(__xludf.DUMMYFUNCTION("""COMPUTED_VALUE"""),"Unlisted")</f>
        <v>Unlisted</v>
      </c>
      <c r="E352" s="174" t="str">
        <f>IFERROR(__xludf.DUMMYFUNCTION("""COMPUTED_VALUE"""),"Unlisted")</f>
        <v>Unlisted</v>
      </c>
      <c r="F352" s="174" t="str">
        <f>IFERROR(__xludf.DUMMYFUNCTION("""COMPUTED_VALUE"""),"Unlisted")</f>
        <v>Unlisted</v>
      </c>
      <c r="G352" s="174" t="str">
        <f>IFERROR(__xludf.DUMMYFUNCTION("""COMPUTED_VALUE"""),"Proficient")</f>
        <v>Proficient</v>
      </c>
      <c r="H352" s="174" t="str">
        <f>IFERROR(__xludf.DUMMYFUNCTION("""COMPUTED_VALUE"""),"Unlisted")</f>
        <v>Unlisted</v>
      </c>
      <c r="I352" s="174" t="str">
        <f>IFERROR(__xludf.DUMMYFUNCTION("""COMPUTED_VALUE"""),"Unlisted")</f>
        <v>Unlisted</v>
      </c>
      <c r="J352" s="174" t="str">
        <f>IFERROR(__xludf.DUMMYFUNCTION("""COMPUTED_VALUE"""),"Unlisted")</f>
        <v>Unlisted</v>
      </c>
      <c r="K352" s="174" t="str">
        <f>IFERROR(__xludf.DUMMYFUNCTION("""COMPUTED_VALUE"""),"Proficient")</f>
        <v>Proficient</v>
      </c>
      <c r="L352" s="174" t="str">
        <f>IFERROR(__xludf.DUMMYFUNCTION("""COMPUTED_VALUE"""),"Unlisted")</f>
        <v>Unlisted</v>
      </c>
      <c r="M352" s="174" t="str">
        <f>IFERROR(__xludf.DUMMYFUNCTION("""COMPUTED_VALUE"""),"Unlisted")</f>
        <v>Unlisted</v>
      </c>
      <c r="N352" s="174" t="str">
        <f>IFERROR(__xludf.DUMMYFUNCTION("""COMPUTED_VALUE"""),"Unlisted")</f>
        <v>Unlisted</v>
      </c>
      <c r="O352" s="174" t="str">
        <f>IFERROR(__xludf.DUMMYFUNCTION("""COMPUTED_VALUE"""),"Unlisted")</f>
        <v>Unlisted</v>
      </c>
      <c r="P352" s="174" t="str">
        <f>IFERROR(__xludf.DUMMYFUNCTION("""COMPUTED_VALUE"""),"Unlisted")</f>
        <v>Unlisted</v>
      </c>
      <c r="Q352" s="174" t="str">
        <f>IFERROR(__xludf.DUMMYFUNCTION("""COMPUTED_VALUE"""),"Unlisted")</f>
        <v>Unlisted</v>
      </c>
      <c r="R352" s="174" t="str">
        <f>IFERROR(__xludf.DUMMYFUNCTION("""COMPUTED_VALUE"""),"Unlisted")</f>
        <v>Unlisted</v>
      </c>
    </row>
    <row r="353">
      <c r="A353" s="255" t="str">
        <f>IFERROR(__xludf.DUMMYFUNCTION("""COMPUTED_VALUE"""),"Magnezone")</f>
        <v>Magnezone</v>
      </c>
      <c r="B353" s="174" t="str">
        <f>IFERROR(__xludf.DUMMYFUNCTION("""COMPUTED_VALUE"""),"Unlisted")</f>
        <v>Unlisted</v>
      </c>
      <c r="C353" s="174" t="str">
        <f>IFERROR(__xludf.DUMMYFUNCTION("""COMPUTED_VALUE"""),"Unlisted")</f>
        <v>Unlisted</v>
      </c>
      <c r="D353" s="174" t="str">
        <f>IFERROR(__xludf.DUMMYFUNCTION("""COMPUTED_VALUE"""),"Unlisted")</f>
        <v>Unlisted</v>
      </c>
      <c r="E353" s="174" t="str">
        <f>IFERROR(__xludf.DUMMYFUNCTION("""COMPUTED_VALUE"""),"Unlisted")</f>
        <v>Unlisted</v>
      </c>
      <c r="F353" s="174" t="str">
        <f>IFERROR(__xludf.DUMMYFUNCTION("""COMPUTED_VALUE"""),"Unlisted")</f>
        <v>Unlisted</v>
      </c>
      <c r="G353" s="174" t="str">
        <f>IFERROR(__xludf.DUMMYFUNCTION("""COMPUTED_VALUE"""),"Proficient")</f>
        <v>Proficient</v>
      </c>
      <c r="H353" s="174" t="str">
        <f>IFERROR(__xludf.DUMMYFUNCTION("""COMPUTED_VALUE"""),"Unlisted")</f>
        <v>Unlisted</v>
      </c>
      <c r="I353" s="174" t="str">
        <f>IFERROR(__xludf.DUMMYFUNCTION("""COMPUTED_VALUE"""),"Unlisted")</f>
        <v>Unlisted</v>
      </c>
      <c r="J353" s="174" t="str">
        <f>IFERROR(__xludf.DUMMYFUNCTION("""COMPUTED_VALUE"""),"Unlisted")</f>
        <v>Unlisted</v>
      </c>
      <c r="K353" s="174" t="str">
        <f>IFERROR(__xludf.DUMMYFUNCTION("""COMPUTED_VALUE"""),"Proficient")</f>
        <v>Proficient</v>
      </c>
      <c r="L353" s="174" t="str">
        <f>IFERROR(__xludf.DUMMYFUNCTION("""COMPUTED_VALUE"""),"Unlisted")</f>
        <v>Unlisted</v>
      </c>
      <c r="M353" s="174" t="str">
        <f>IFERROR(__xludf.DUMMYFUNCTION("""COMPUTED_VALUE"""),"Unlisted")</f>
        <v>Unlisted</v>
      </c>
      <c r="N353" s="174" t="str">
        <f>IFERROR(__xludf.DUMMYFUNCTION("""COMPUTED_VALUE"""),"Unlisted")</f>
        <v>Unlisted</v>
      </c>
      <c r="O353" s="174" t="str">
        <f>IFERROR(__xludf.DUMMYFUNCTION("""COMPUTED_VALUE"""),"Unlisted")</f>
        <v>Unlisted</v>
      </c>
      <c r="P353" s="174" t="str">
        <f>IFERROR(__xludf.DUMMYFUNCTION("""COMPUTED_VALUE"""),"Unlisted")</f>
        <v>Unlisted</v>
      </c>
      <c r="Q353" s="174" t="str">
        <f>IFERROR(__xludf.DUMMYFUNCTION("""COMPUTED_VALUE"""),"Unlisted")</f>
        <v>Unlisted</v>
      </c>
      <c r="R353" s="174" t="str">
        <f>IFERROR(__xludf.DUMMYFUNCTION("""COMPUTED_VALUE"""),"Unlisted")</f>
        <v>Unlisted</v>
      </c>
    </row>
    <row r="354">
      <c r="A354" s="255" t="str">
        <f>IFERROR(__xludf.DUMMYFUNCTION("""COMPUTED_VALUE"""),"Elekid")</f>
        <v>Elekid</v>
      </c>
      <c r="B354" s="174" t="str">
        <f>IFERROR(__xludf.DUMMYFUNCTION("""COMPUTED_VALUE"""),"Unlisted")</f>
        <v>Unlisted</v>
      </c>
      <c r="C354" s="174" t="str">
        <f>IFERROR(__xludf.DUMMYFUNCTION("""COMPUTED_VALUE"""),"Proficient")</f>
        <v>Proficient</v>
      </c>
      <c r="D354" s="174" t="str">
        <f>IFERROR(__xludf.DUMMYFUNCTION("""COMPUTED_VALUE"""),"Unlisted")</f>
        <v>Unlisted</v>
      </c>
      <c r="E354" s="174" t="str">
        <f>IFERROR(__xludf.DUMMYFUNCTION("""COMPUTED_VALUE"""),"Proficient")</f>
        <v>Proficient</v>
      </c>
      <c r="F354" s="174" t="str">
        <f>IFERROR(__xludf.DUMMYFUNCTION("""COMPUTED_VALUE"""),"Unlisted")</f>
        <v>Unlisted</v>
      </c>
      <c r="G354" s="174" t="str">
        <f>IFERROR(__xludf.DUMMYFUNCTION("""COMPUTED_VALUE"""),"Mastered")</f>
        <v>Mastered</v>
      </c>
      <c r="H354" s="174" t="str">
        <f>IFERROR(__xludf.DUMMYFUNCTION("""COMPUTED_VALUE"""),"Unlisted")</f>
        <v>Unlisted</v>
      </c>
      <c r="I354" s="174" t="str">
        <f>IFERROR(__xludf.DUMMYFUNCTION("""COMPUTED_VALUE"""),"Unlisted")</f>
        <v>Unlisted</v>
      </c>
      <c r="J354" s="174" t="str">
        <f>IFERROR(__xludf.DUMMYFUNCTION("""COMPUTED_VALUE"""),"Unlisted")</f>
        <v>Unlisted</v>
      </c>
      <c r="K354" s="174" t="str">
        <f>IFERROR(__xludf.DUMMYFUNCTION("""COMPUTED_VALUE"""),"Unlisted")</f>
        <v>Unlisted</v>
      </c>
      <c r="L354" s="174" t="str">
        <f>IFERROR(__xludf.DUMMYFUNCTION("""COMPUTED_VALUE"""),"Unlisted")</f>
        <v>Unlisted</v>
      </c>
      <c r="M354" s="174" t="str">
        <f>IFERROR(__xludf.DUMMYFUNCTION("""COMPUTED_VALUE"""),"Unlisted")</f>
        <v>Unlisted</v>
      </c>
      <c r="N354" s="174" t="str">
        <f>IFERROR(__xludf.DUMMYFUNCTION("""COMPUTED_VALUE"""),"Unlisted")</f>
        <v>Unlisted</v>
      </c>
      <c r="O354" s="174" t="str">
        <f>IFERROR(__xludf.DUMMYFUNCTION("""COMPUTED_VALUE"""),"Unlisted")</f>
        <v>Unlisted</v>
      </c>
      <c r="P354" s="174" t="str">
        <f>IFERROR(__xludf.DUMMYFUNCTION("""COMPUTED_VALUE"""),"Unlisted")</f>
        <v>Unlisted</v>
      </c>
      <c r="Q354" s="174" t="str">
        <f>IFERROR(__xludf.DUMMYFUNCTION("""COMPUTED_VALUE"""),"Unlisted")</f>
        <v>Unlisted</v>
      </c>
      <c r="R354" s="174" t="str">
        <f>IFERROR(__xludf.DUMMYFUNCTION("""COMPUTED_VALUE"""),"Unlisted")</f>
        <v>Unlisted</v>
      </c>
    </row>
    <row r="355">
      <c r="A355" s="255" t="str">
        <f>IFERROR(__xludf.DUMMYFUNCTION("""COMPUTED_VALUE"""),"Electabuzz")</f>
        <v>Electabuzz</v>
      </c>
      <c r="B355" s="174" t="str">
        <f>IFERROR(__xludf.DUMMYFUNCTION("""COMPUTED_VALUE"""),"Unlisted")</f>
        <v>Unlisted</v>
      </c>
      <c r="C355" s="174" t="str">
        <f>IFERROR(__xludf.DUMMYFUNCTION("""COMPUTED_VALUE"""),"Proficient")</f>
        <v>Proficient</v>
      </c>
      <c r="D355" s="174" t="str">
        <f>IFERROR(__xludf.DUMMYFUNCTION("""COMPUTED_VALUE"""),"Unlisted")</f>
        <v>Unlisted</v>
      </c>
      <c r="E355" s="174" t="str">
        <f>IFERROR(__xludf.DUMMYFUNCTION("""COMPUTED_VALUE"""),"Proficient")</f>
        <v>Proficient</v>
      </c>
      <c r="F355" s="174" t="str">
        <f>IFERROR(__xludf.DUMMYFUNCTION("""COMPUTED_VALUE"""),"Unlisted")</f>
        <v>Unlisted</v>
      </c>
      <c r="G355" s="174" t="str">
        <f>IFERROR(__xludf.DUMMYFUNCTION("""COMPUTED_VALUE"""),"Mastered")</f>
        <v>Mastered</v>
      </c>
      <c r="H355" s="174" t="str">
        <f>IFERROR(__xludf.DUMMYFUNCTION("""COMPUTED_VALUE"""),"Unlisted")</f>
        <v>Unlisted</v>
      </c>
      <c r="I355" s="174" t="str">
        <f>IFERROR(__xludf.DUMMYFUNCTION("""COMPUTED_VALUE"""),"Unlisted")</f>
        <v>Unlisted</v>
      </c>
      <c r="J355" s="174" t="str">
        <f>IFERROR(__xludf.DUMMYFUNCTION("""COMPUTED_VALUE"""),"Unlisted")</f>
        <v>Unlisted</v>
      </c>
      <c r="K355" s="174" t="str">
        <f>IFERROR(__xludf.DUMMYFUNCTION("""COMPUTED_VALUE"""),"Unlisted")</f>
        <v>Unlisted</v>
      </c>
      <c r="L355" s="174" t="str">
        <f>IFERROR(__xludf.DUMMYFUNCTION("""COMPUTED_VALUE"""),"Unlisted")</f>
        <v>Unlisted</v>
      </c>
      <c r="M355" s="174" t="str">
        <f>IFERROR(__xludf.DUMMYFUNCTION("""COMPUTED_VALUE"""),"Unlisted")</f>
        <v>Unlisted</v>
      </c>
      <c r="N355" s="174" t="str">
        <f>IFERROR(__xludf.DUMMYFUNCTION("""COMPUTED_VALUE"""),"Unlisted")</f>
        <v>Unlisted</v>
      </c>
      <c r="O355" s="174" t="str">
        <f>IFERROR(__xludf.DUMMYFUNCTION("""COMPUTED_VALUE"""),"Unlisted")</f>
        <v>Unlisted</v>
      </c>
      <c r="P355" s="174" t="str">
        <f>IFERROR(__xludf.DUMMYFUNCTION("""COMPUTED_VALUE"""),"Unlisted")</f>
        <v>Unlisted</v>
      </c>
      <c r="Q355" s="174" t="str">
        <f>IFERROR(__xludf.DUMMYFUNCTION("""COMPUTED_VALUE"""),"Unlisted")</f>
        <v>Unlisted</v>
      </c>
      <c r="R355" s="174" t="str">
        <f>IFERROR(__xludf.DUMMYFUNCTION("""COMPUTED_VALUE"""),"Unlisted")</f>
        <v>Unlisted</v>
      </c>
    </row>
    <row r="356">
      <c r="A356" s="255" t="str">
        <f>IFERROR(__xludf.DUMMYFUNCTION("""COMPUTED_VALUE"""),"Electivire")</f>
        <v>Electivire</v>
      </c>
      <c r="B356" s="174" t="str">
        <f>IFERROR(__xludf.DUMMYFUNCTION("""COMPUTED_VALUE"""),"Unlisted")</f>
        <v>Unlisted</v>
      </c>
      <c r="C356" s="174" t="str">
        <f>IFERROR(__xludf.DUMMYFUNCTION("""COMPUTED_VALUE"""),"Proficient")</f>
        <v>Proficient</v>
      </c>
      <c r="D356" s="174" t="str">
        <f>IFERROR(__xludf.DUMMYFUNCTION("""COMPUTED_VALUE"""),"Unlisted")</f>
        <v>Unlisted</v>
      </c>
      <c r="E356" s="174" t="str">
        <f>IFERROR(__xludf.DUMMYFUNCTION("""COMPUTED_VALUE"""),"Proficient")</f>
        <v>Proficient</v>
      </c>
      <c r="F356" s="174" t="str">
        <f>IFERROR(__xludf.DUMMYFUNCTION("""COMPUTED_VALUE"""),"Unlisted")</f>
        <v>Unlisted</v>
      </c>
      <c r="G356" s="174" t="str">
        <f>IFERROR(__xludf.DUMMYFUNCTION("""COMPUTED_VALUE"""),"Mastered")</f>
        <v>Mastered</v>
      </c>
      <c r="H356" s="174" t="str">
        <f>IFERROR(__xludf.DUMMYFUNCTION("""COMPUTED_VALUE"""),"Unlisted")</f>
        <v>Unlisted</v>
      </c>
      <c r="I356" s="174" t="str">
        <f>IFERROR(__xludf.DUMMYFUNCTION("""COMPUTED_VALUE"""),"Unlisted")</f>
        <v>Unlisted</v>
      </c>
      <c r="J356" s="174" t="str">
        <f>IFERROR(__xludf.DUMMYFUNCTION("""COMPUTED_VALUE"""),"Unlisted")</f>
        <v>Unlisted</v>
      </c>
      <c r="K356" s="174" t="str">
        <f>IFERROR(__xludf.DUMMYFUNCTION("""COMPUTED_VALUE"""),"Unlisted")</f>
        <v>Unlisted</v>
      </c>
      <c r="L356" s="174" t="str">
        <f>IFERROR(__xludf.DUMMYFUNCTION("""COMPUTED_VALUE"""),"Unlisted")</f>
        <v>Unlisted</v>
      </c>
      <c r="M356" s="174" t="str">
        <f>IFERROR(__xludf.DUMMYFUNCTION("""COMPUTED_VALUE"""),"Unlisted")</f>
        <v>Unlisted</v>
      </c>
      <c r="N356" s="174" t="str">
        <f>IFERROR(__xludf.DUMMYFUNCTION("""COMPUTED_VALUE"""),"Unlisted")</f>
        <v>Unlisted</v>
      </c>
      <c r="O356" s="174" t="str">
        <f>IFERROR(__xludf.DUMMYFUNCTION("""COMPUTED_VALUE"""),"Unlisted")</f>
        <v>Unlisted</v>
      </c>
      <c r="P356" s="174" t="str">
        <f>IFERROR(__xludf.DUMMYFUNCTION("""COMPUTED_VALUE"""),"Unlisted")</f>
        <v>Unlisted</v>
      </c>
      <c r="Q356" s="174" t="str">
        <f>IFERROR(__xludf.DUMMYFUNCTION("""COMPUTED_VALUE"""),"Unlisted")</f>
        <v>Unlisted</v>
      </c>
      <c r="R356" s="174" t="str">
        <f>IFERROR(__xludf.DUMMYFUNCTION("""COMPUTED_VALUE"""),"Unlisted")</f>
        <v>Unlisted</v>
      </c>
    </row>
    <row r="357">
      <c r="A357" s="255" t="str">
        <f>IFERROR(__xludf.DUMMYFUNCTION("""COMPUTED_VALUE"""),"Mareep")</f>
        <v>Mareep</v>
      </c>
      <c r="B357" s="174" t="str">
        <f>IFERROR(__xludf.DUMMYFUNCTION("""COMPUTED_VALUE"""),"Unlisted")</f>
        <v>Unlisted</v>
      </c>
      <c r="C357" s="174" t="str">
        <f>IFERROR(__xludf.DUMMYFUNCTION("""COMPUTED_VALUE"""),"Unlisted")</f>
        <v>Unlisted</v>
      </c>
      <c r="D357" s="174" t="str">
        <f>IFERROR(__xludf.DUMMYFUNCTION("""COMPUTED_VALUE"""),"Unlisted")</f>
        <v>Unlisted</v>
      </c>
      <c r="E357" s="174" t="str">
        <f>IFERROR(__xludf.DUMMYFUNCTION("""COMPUTED_VALUE"""),"Unlisted")</f>
        <v>Unlisted</v>
      </c>
      <c r="F357" s="174" t="str">
        <f>IFERROR(__xludf.DUMMYFUNCTION("""COMPUTED_VALUE"""),"Unlisted")</f>
        <v>Unlisted</v>
      </c>
      <c r="G357" s="174" t="str">
        <f>IFERROR(__xludf.DUMMYFUNCTION("""COMPUTED_VALUE"""),"Proficient")</f>
        <v>Proficient</v>
      </c>
      <c r="H357" s="174" t="str">
        <f>IFERROR(__xludf.DUMMYFUNCTION("""COMPUTED_VALUE"""),"Unlisted")</f>
        <v>Unlisted</v>
      </c>
      <c r="I357" s="174" t="str">
        <f>IFERROR(__xludf.DUMMYFUNCTION("""COMPUTED_VALUE"""),"Unlisted")</f>
        <v>Unlisted</v>
      </c>
      <c r="J357" s="174" t="str">
        <f>IFERROR(__xludf.DUMMYFUNCTION("""COMPUTED_VALUE"""),"Unlisted")</f>
        <v>Unlisted</v>
      </c>
      <c r="K357" s="174" t="str">
        <f>IFERROR(__xludf.DUMMYFUNCTION("""COMPUTED_VALUE"""),"Unlisted")</f>
        <v>Unlisted</v>
      </c>
      <c r="L357" s="174" t="str">
        <f>IFERROR(__xludf.DUMMYFUNCTION("""COMPUTED_VALUE"""),"Unlisted")</f>
        <v>Unlisted</v>
      </c>
      <c r="M357" s="174" t="str">
        <f>IFERROR(__xludf.DUMMYFUNCTION("""COMPUTED_VALUE"""),"Unlisted")</f>
        <v>Unlisted</v>
      </c>
      <c r="N357" s="174" t="str">
        <f>IFERROR(__xludf.DUMMYFUNCTION("""COMPUTED_VALUE"""),"Unlisted")</f>
        <v>Unlisted</v>
      </c>
      <c r="O357" s="174" t="str">
        <f>IFERROR(__xludf.DUMMYFUNCTION("""COMPUTED_VALUE"""),"Unlisted")</f>
        <v>Unlisted</v>
      </c>
      <c r="P357" s="174" t="str">
        <f>IFERROR(__xludf.DUMMYFUNCTION("""COMPUTED_VALUE"""),"Unlisted")</f>
        <v>Unlisted</v>
      </c>
      <c r="Q357" s="174" t="str">
        <f>IFERROR(__xludf.DUMMYFUNCTION("""COMPUTED_VALUE"""),"Unlisted")</f>
        <v>Unlisted</v>
      </c>
      <c r="R357" s="174" t="str">
        <f>IFERROR(__xludf.DUMMYFUNCTION("""COMPUTED_VALUE"""),"Unlisted")</f>
        <v>Unlisted</v>
      </c>
    </row>
    <row r="358">
      <c r="A358" s="255" t="str">
        <f>IFERROR(__xludf.DUMMYFUNCTION("""COMPUTED_VALUE"""),"Flaaffy")</f>
        <v>Flaaffy</v>
      </c>
      <c r="B358" s="174" t="str">
        <f>IFERROR(__xludf.DUMMYFUNCTION("""COMPUTED_VALUE"""),"Unlisted")</f>
        <v>Unlisted</v>
      </c>
      <c r="C358" s="174" t="str">
        <f>IFERROR(__xludf.DUMMYFUNCTION("""COMPUTED_VALUE"""),"Proficient")</f>
        <v>Proficient</v>
      </c>
      <c r="D358" s="174" t="str">
        <f>IFERROR(__xludf.DUMMYFUNCTION("""COMPUTED_VALUE"""),"Unlisted")</f>
        <v>Unlisted</v>
      </c>
      <c r="E358" s="174" t="str">
        <f>IFERROR(__xludf.DUMMYFUNCTION("""COMPUTED_VALUE"""),"Unlisted")</f>
        <v>Unlisted</v>
      </c>
      <c r="F358" s="174" t="str">
        <f>IFERROR(__xludf.DUMMYFUNCTION("""COMPUTED_VALUE"""),"Unlisted")</f>
        <v>Unlisted</v>
      </c>
      <c r="G358" s="174" t="str">
        <f>IFERROR(__xludf.DUMMYFUNCTION("""COMPUTED_VALUE"""),"Proficient")</f>
        <v>Proficient</v>
      </c>
      <c r="H358" s="174" t="str">
        <f>IFERROR(__xludf.DUMMYFUNCTION("""COMPUTED_VALUE"""),"Unlisted")</f>
        <v>Unlisted</v>
      </c>
      <c r="I358" s="174" t="str">
        <f>IFERROR(__xludf.DUMMYFUNCTION("""COMPUTED_VALUE"""),"Unlisted")</f>
        <v>Unlisted</v>
      </c>
      <c r="J358" s="174" t="str">
        <f>IFERROR(__xludf.DUMMYFUNCTION("""COMPUTED_VALUE"""),"Unlisted")</f>
        <v>Unlisted</v>
      </c>
      <c r="K358" s="174" t="str">
        <f>IFERROR(__xludf.DUMMYFUNCTION("""COMPUTED_VALUE"""),"Unlisted")</f>
        <v>Unlisted</v>
      </c>
      <c r="L358" s="174" t="str">
        <f>IFERROR(__xludf.DUMMYFUNCTION("""COMPUTED_VALUE"""),"Unlisted")</f>
        <v>Unlisted</v>
      </c>
      <c r="M358" s="174" t="str">
        <f>IFERROR(__xludf.DUMMYFUNCTION("""COMPUTED_VALUE"""),"Unlisted")</f>
        <v>Unlisted</v>
      </c>
      <c r="N358" s="174" t="str">
        <f>IFERROR(__xludf.DUMMYFUNCTION("""COMPUTED_VALUE"""),"Unlisted")</f>
        <v>Unlisted</v>
      </c>
      <c r="O358" s="174" t="str">
        <f>IFERROR(__xludf.DUMMYFUNCTION("""COMPUTED_VALUE"""),"Unlisted")</f>
        <v>Unlisted</v>
      </c>
      <c r="P358" s="174" t="str">
        <f>IFERROR(__xludf.DUMMYFUNCTION("""COMPUTED_VALUE"""),"Unlisted")</f>
        <v>Unlisted</v>
      </c>
      <c r="Q358" s="174" t="str">
        <f>IFERROR(__xludf.DUMMYFUNCTION("""COMPUTED_VALUE"""),"Unlisted")</f>
        <v>Unlisted</v>
      </c>
      <c r="R358" s="174" t="str">
        <f>IFERROR(__xludf.DUMMYFUNCTION("""COMPUTED_VALUE"""),"Unlisted")</f>
        <v>Unlisted</v>
      </c>
    </row>
    <row r="359">
      <c r="A359" s="255" t="str">
        <f>IFERROR(__xludf.DUMMYFUNCTION("""COMPUTED_VALUE"""),"Ampharos")</f>
        <v>Ampharos</v>
      </c>
      <c r="B359" s="174" t="str">
        <f>IFERROR(__xludf.DUMMYFUNCTION("""COMPUTED_VALUE"""),"Unlisted")</f>
        <v>Unlisted</v>
      </c>
      <c r="C359" s="174" t="str">
        <f>IFERROR(__xludf.DUMMYFUNCTION("""COMPUTED_VALUE"""),"Proficient")</f>
        <v>Proficient</v>
      </c>
      <c r="D359" s="174" t="str">
        <f>IFERROR(__xludf.DUMMYFUNCTION("""COMPUTED_VALUE"""),"Unlisted")</f>
        <v>Unlisted</v>
      </c>
      <c r="E359" s="174" t="str">
        <f>IFERROR(__xludf.DUMMYFUNCTION("""COMPUTED_VALUE"""),"Unlisted")</f>
        <v>Unlisted</v>
      </c>
      <c r="F359" s="174" t="str">
        <f>IFERROR(__xludf.DUMMYFUNCTION("""COMPUTED_VALUE"""),"Unlisted")</f>
        <v>Unlisted</v>
      </c>
      <c r="G359" s="174" t="str">
        <f>IFERROR(__xludf.DUMMYFUNCTION("""COMPUTED_VALUE"""),"Proficient")</f>
        <v>Proficient</v>
      </c>
      <c r="H359" s="174" t="str">
        <f>IFERROR(__xludf.DUMMYFUNCTION("""COMPUTED_VALUE"""),"Unlisted")</f>
        <v>Unlisted</v>
      </c>
      <c r="I359" s="174" t="str">
        <f>IFERROR(__xludf.DUMMYFUNCTION("""COMPUTED_VALUE"""),"Unlisted")</f>
        <v>Unlisted</v>
      </c>
      <c r="J359" s="174" t="str">
        <f>IFERROR(__xludf.DUMMYFUNCTION("""COMPUTED_VALUE"""),"Unlisted")</f>
        <v>Unlisted</v>
      </c>
      <c r="K359" s="174" t="str">
        <f>IFERROR(__xludf.DUMMYFUNCTION("""COMPUTED_VALUE"""),"Unlisted")</f>
        <v>Unlisted</v>
      </c>
      <c r="L359" s="174" t="str">
        <f>IFERROR(__xludf.DUMMYFUNCTION("""COMPUTED_VALUE"""),"Unlisted")</f>
        <v>Unlisted</v>
      </c>
      <c r="M359" s="174" t="str">
        <f>IFERROR(__xludf.DUMMYFUNCTION("""COMPUTED_VALUE"""),"Unlisted")</f>
        <v>Unlisted</v>
      </c>
      <c r="N359" s="174" t="str">
        <f>IFERROR(__xludf.DUMMYFUNCTION("""COMPUTED_VALUE"""),"Unlisted")</f>
        <v>Unlisted</v>
      </c>
      <c r="O359" s="174" t="str">
        <f>IFERROR(__xludf.DUMMYFUNCTION("""COMPUTED_VALUE"""),"Unlisted")</f>
        <v>Unlisted</v>
      </c>
      <c r="P359" s="174" t="str">
        <f>IFERROR(__xludf.DUMMYFUNCTION("""COMPUTED_VALUE"""),"Unlisted")</f>
        <v>Unlisted</v>
      </c>
      <c r="Q359" s="174" t="str">
        <f>IFERROR(__xludf.DUMMYFUNCTION("""COMPUTED_VALUE"""),"Unlisted")</f>
        <v>Unlisted</v>
      </c>
      <c r="R359" s="174" t="str">
        <f>IFERROR(__xludf.DUMMYFUNCTION("""COMPUTED_VALUE"""),"Unlisted")</f>
        <v>Unlisted</v>
      </c>
    </row>
    <row r="360">
      <c r="A360" s="255" t="str">
        <f>IFERROR(__xludf.DUMMYFUNCTION("""COMPUTED_VALUE"""),"Shinx")</f>
        <v>Shinx</v>
      </c>
      <c r="B360" s="174" t="str">
        <f>IFERROR(__xludf.DUMMYFUNCTION("""COMPUTED_VALUE"""),"Unlisted")</f>
        <v>Unlisted</v>
      </c>
      <c r="C360" s="174" t="str">
        <f>IFERROR(__xludf.DUMMYFUNCTION("""COMPUTED_VALUE"""),"Unlisted")</f>
        <v>Unlisted</v>
      </c>
      <c r="D360" s="174" t="str">
        <f>IFERROR(__xludf.DUMMYFUNCTION("""COMPUTED_VALUE"""),"Unlisted")</f>
        <v>Unlisted</v>
      </c>
      <c r="E360" s="174" t="str">
        <f>IFERROR(__xludf.DUMMYFUNCTION("""COMPUTED_VALUE"""),"Unlisted")</f>
        <v>Unlisted</v>
      </c>
      <c r="F360" s="174" t="str">
        <f>IFERROR(__xludf.DUMMYFUNCTION("""COMPUTED_VALUE"""),"Proficient")</f>
        <v>Proficient</v>
      </c>
      <c r="G360" s="174" t="str">
        <f>IFERROR(__xludf.DUMMYFUNCTION("""COMPUTED_VALUE"""),"Unlisted")</f>
        <v>Unlisted</v>
      </c>
      <c r="H360" s="174" t="str">
        <f>IFERROR(__xludf.DUMMYFUNCTION("""COMPUTED_VALUE"""),"Unlisted")</f>
        <v>Unlisted</v>
      </c>
      <c r="I360" s="174" t="str">
        <f>IFERROR(__xludf.DUMMYFUNCTION("""COMPUTED_VALUE"""),"Unlisted")</f>
        <v>Unlisted</v>
      </c>
      <c r="J360" s="174" t="str">
        <f>IFERROR(__xludf.DUMMYFUNCTION("""COMPUTED_VALUE"""),"Unlisted")</f>
        <v>Unlisted</v>
      </c>
      <c r="K360" s="174" t="str">
        <f>IFERROR(__xludf.DUMMYFUNCTION("""COMPUTED_VALUE"""),"Mastered")</f>
        <v>Mastered</v>
      </c>
      <c r="L360" s="174" t="str">
        <f>IFERROR(__xludf.DUMMYFUNCTION("""COMPUTED_VALUE"""),"Proficient")</f>
        <v>Proficient</v>
      </c>
      <c r="M360" s="174" t="str">
        <f>IFERROR(__xludf.DUMMYFUNCTION("""COMPUTED_VALUE"""),"Unlisted")</f>
        <v>Unlisted</v>
      </c>
      <c r="N360" s="174" t="str">
        <f>IFERROR(__xludf.DUMMYFUNCTION("""COMPUTED_VALUE"""),"Unlisted")</f>
        <v>Unlisted</v>
      </c>
      <c r="O360" s="174" t="str">
        <f>IFERROR(__xludf.DUMMYFUNCTION("""COMPUTED_VALUE"""),"Unlisted")</f>
        <v>Unlisted</v>
      </c>
      <c r="P360" s="174" t="str">
        <f>IFERROR(__xludf.DUMMYFUNCTION("""COMPUTED_VALUE"""),"Unlisted")</f>
        <v>Unlisted</v>
      </c>
      <c r="Q360" s="174" t="str">
        <f>IFERROR(__xludf.DUMMYFUNCTION("""COMPUTED_VALUE"""),"Unlisted")</f>
        <v>Unlisted</v>
      </c>
      <c r="R360" s="174" t="str">
        <f>IFERROR(__xludf.DUMMYFUNCTION("""COMPUTED_VALUE"""),"Unlisted")</f>
        <v>Unlisted</v>
      </c>
    </row>
    <row r="361">
      <c r="A361" s="255" t="str">
        <f>IFERROR(__xludf.DUMMYFUNCTION("""COMPUTED_VALUE"""),"Luxio")</f>
        <v>Luxio</v>
      </c>
      <c r="B361" s="174" t="str">
        <f>IFERROR(__xludf.DUMMYFUNCTION("""COMPUTED_VALUE"""),"Unlisted")</f>
        <v>Unlisted</v>
      </c>
      <c r="C361" s="174" t="str">
        <f>IFERROR(__xludf.DUMMYFUNCTION("""COMPUTED_VALUE"""),"Unlisted")</f>
        <v>Unlisted</v>
      </c>
      <c r="D361" s="174" t="str">
        <f>IFERROR(__xludf.DUMMYFUNCTION("""COMPUTED_VALUE"""),"Unlisted")</f>
        <v>Unlisted</v>
      </c>
      <c r="E361" s="174" t="str">
        <f>IFERROR(__xludf.DUMMYFUNCTION("""COMPUTED_VALUE"""),"Unlisted")</f>
        <v>Unlisted</v>
      </c>
      <c r="F361" s="174" t="str">
        <f>IFERROR(__xludf.DUMMYFUNCTION("""COMPUTED_VALUE"""),"Proficient")</f>
        <v>Proficient</v>
      </c>
      <c r="G361" s="174" t="str">
        <f>IFERROR(__xludf.DUMMYFUNCTION("""COMPUTED_VALUE"""),"Unlisted")</f>
        <v>Unlisted</v>
      </c>
      <c r="H361" s="174" t="str">
        <f>IFERROR(__xludf.DUMMYFUNCTION("""COMPUTED_VALUE"""),"Unlisted")</f>
        <v>Unlisted</v>
      </c>
      <c r="I361" s="174" t="str">
        <f>IFERROR(__xludf.DUMMYFUNCTION("""COMPUTED_VALUE"""),"Unlisted")</f>
        <v>Unlisted</v>
      </c>
      <c r="J361" s="174" t="str">
        <f>IFERROR(__xludf.DUMMYFUNCTION("""COMPUTED_VALUE"""),"Unlisted")</f>
        <v>Unlisted</v>
      </c>
      <c r="K361" s="174" t="str">
        <f>IFERROR(__xludf.DUMMYFUNCTION("""COMPUTED_VALUE"""),"Mastered")</f>
        <v>Mastered</v>
      </c>
      <c r="L361" s="174" t="str">
        <f>IFERROR(__xludf.DUMMYFUNCTION("""COMPUTED_VALUE"""),"Proficient")</f>
        <v>Proficient</v>
      </c>
      <c r="M361" s="174" t="str">
        <f>IFERROR(__xludf.DUMMYFUNCTION("""COMPUTED_VALUE"""),"Unlisted")</f>
        <v>Unlisted</v>
      </c>
      <c r="N361" s="174" t="str">
        <f>IFERROR(__xludf.DUMMYFUNCTION("""COMPUTED_VALUE"""),"Unlisted")</f>
        <v>Unlisted</v>
      </c>
      <c r="O361" s="174" t="str">
        <f>IFERROR(__xludf.DUMMYFUNCTION("""COMPUTED_VALUE"""),"Unlisted")</f>
        <v>Unlisted</v>
      </c>
      <c r="P361" s="174" t="str">
        <f>IFERROR(__xludf.DUMMYFUNCTION("""COMPUTED_VALUE"""),"Unlisted")</f>
        <v>Unlisted</v>
      </c>
      <c r="Q361" s="174" t="str">
        <f>IFERROR(__xludf.DUMMYFUNCTION("""COMPUTED_VALUE"""),"Unlisted")</f>
        <v>Unlisted</v>
      </c>
      <c r="R361" s="174" t="str">
        <f>IFERROR(__xludf.DUMMYFUNCTION("""COMPUTED_VALUE"""),"Unlisted")</f>
        <v>Unlisted</v>
      </c>
    </row>
    <row r="362">
      <c r="A362" s="255" t="str">
        <f>IFERROR(__xludf.DUMMYFUNCTION("""COMPUTED_VALUE"""),"Luxray")</f>
        <v>Luxray</v>
      </c>
      <c r="B362" s="174" t="str">
        <f>IFERROR(__xludf.DUMMYFUNCTION("""COMPUTED_VALUE"""),"Unlisted")</f>
        <v>Unlisted</v>
      </c>
      <c r="C362" s="174" t="str">
        <f>IFERROR(__xludf.DUMMYFUNCTION("""COMPUTED_VALUE"""),"Unlisted")</f>
        <v>Unlisted</v>
      </c>
      <c r="D362" s="174" t="str">
        <f>IFERROR(__xludf.DUMMYFUNCTION("""COMPUTED_VALUE"""),"Unlisted")</f>
        <v>Unlisted</v>
      </c>
      <c r="E362" s="174" t="str">
        <f>IFERROR(__xludf.DUMMYFUNCTION("""COMPUTED_VALUE"""),"Unlisted")</f>
        <v>Unlisted</v>
      </c>
      <c r="F362" s="174" t="str">
        <f>IFERROR(__xludf.DUMMYFUNCTION("""COMPUTED_VALUE"""),"Proficient")</f>
        <v>Proficient</v>
      </c>
      <c r="G362" s="174" t="str">
        <f>IFERROR(__xludf.DUMMYFUNCTION("""COMPUTED_VALUE"""),"Unlisted")</f>
        <v>Unlisted</v>
      </c>
      <c r="H362" s="174" t="str">
        <f>IFERROR(__xludf.DUMMYFUNCTION("""COMPUTED_VALUE"""),"Unlisted")</f>
        <v>Unlisted</v>
      </c>
      <c r="I362" s="174" t="str">
        <f>IFERROR(__xludf.DUMMYFUNCTION("""COMPUTED_VALUE"""),"Unlisted")</f>
        <v>Unlisted</v>
      </c>
      <c r="J362" s="174" t="str">
        <f>IFERROR(__xludf.DUMMYFUNCTION("""COMPUTED_VALUE"""),"Unlisted")</f>
        <v>Unlisted</v>
      </c>
      <c r="K362" s="174" t="str">
        <f>IFERROR(__xludf.DUMMYFUNCTION("""COMPUTED_VALUE"""),"Mastered")</f>
        <v>Mastered</v>
      </c>
      <c r="L362" s="174" t="str">
        <f>IFERROR(__xludf.DUMMYFUNCTION("""COMPUTED_VALUE"""),"Proficient")</f>
        <v>Proficient</v>
      </c>
      <c r="M362" s="174" t="str">
        <f>IFERROR(__xludf.DUMMYFUNCTION("""COMPUTED_VALUE"""),"Unlisted")</f>
        <v>Unlisted</v>
      </c>
      <c r="N362" s="174" t="str">
        <f>IFERROR(__xludf.DUMMYFUNCTION("""COMPUTED_VALUE"""),"Unlisted")</f>
        <v>Unlisted</v>
      </c>
      <c r="O362" s="174" t="str">
        <f>IFERROR(__xludf.DUMMYFUNCTION("""COMPUTED_VALUE"""),"Unlisted")</f>
        <v>Unlisted</v>
      </c>
      <c r="P362" s="174" t="str">
        <f>IFERROR(__xludf.DUMMYFUNCTION("""COMPUTED_VALUE"""),"Unlisted")</f>
        <v>Unlisted</v>
      </c>
      <c r="Q362" s="174" t="str">
        <f>IFERROR(__xludf.DUMMYFUNCTION("""COMPUTED_VALUE"""),"Unlisted")</f>
        <v>Unlisted</v>
      </c>
      <c r="R362" s="174" t="str">
        <f>IFERROR(__xludf.DUMMYFUNCTION("""COMPUTED_VALUE"""),"Unlisted")</f>
        <v>Unlisted</v>
      </c>
    </row>
    <row r="363">
      <c r="A363" s="255" t="str">
        <f>IFERROR(__xludf.DUMMYFUNCTION("""COMPUTED_VALUE"""),"Tynamo")</f>
        <v>Tynamo</v>
      </c>
      <c r="B363" s="174" t="str">
        <f>IFERROR(__xludf.DUMMYFUNCTION("""COMPUTED_VALUE"""),"Proficient")</f>
        <v>Proficient</v>
      </c>
      <c r="C363" s="174" t="str">
        <f>IFERROR(__xludf.DUMMYFUNCTION("""COMPUTED_VALUE"""),"Unlisted")</f>
        <v>Unlisted</v>
      </c>
      <c r="D363" s="174" t="str">
        <f>IFERROR(__xludf.DUMMYFUNCTION("""COMPUTED_VALUE"""),"Unlisted")</f>
        <v>Unlisted</v>
      </c>
      <c r="E363" s="174" t="str">
        <f>IFERROR(__xludf.DUMMYFUNCTION("""COMPUTED_VALUE"""),"Inept")</f>
        <v>Inept</v>
      </c>
      <c r="F363" s="174" t="str">
        <f>IFERROR(__xludf.DUMMYFUNCTION("""COMPUTED_VALUE"""),"Unlisted")</f>
        <v>Unlisted</v>
      </c>
      <c r="G363" s="174" t="str">
        <f>IFERROR(__xludf.DUMMYFUNCTION("""COMPUTED_VALUE"""),"Proficient")</f>
        <v>Proficient</v>
      </c>
      <c r="H363" s="174" t="str">
        <f>IFERROR(__xludf.DUMMYFUNCTION("""COMPUTED_VALUE"""),"Unlisted")</f>
        <v>Unlisted</v>
      </c>
      <c r="I363" s="174" t="str">
        <f>IFERROR(__xludf.DUMMYFUNCTION("""COMPUTED_VALUE"""),"Unlisted")</f>
        <v>Unlisted</v>
      </c>
      <c r="J363" s="174" t="str">
        <f>IFERROR(__xludf.DUMMYFUNCTION("""COMPUTED_VALUE"""),"Unlisted")</f>
        <v>Unlisted</v>
      </c>
      <c r="K363" s="174" t="str">
        <f>IFERROR(__xludf.DUMMYFUNCTION("""COMPUTED_VALUE"""),"Unlisted")</f>
        <v>Unlisted</v>
      </c>
      <c r="L363" s="174" t="str">
        <f>IFERROR(__xludf.DUMMYFUNCTION("""COMPUTED_VALUE"""),"Unlisted")</f>
        <v>Unlisted</v>
      </c>
      <c r="M363" s="174" t="str">
        <f>IFERROR(__xludf.DUMMYFUNCTION("""COMPUTED_VALUE"""),"Unlisted")</f>
        <v>Unlisted</v>
      </c>
      <c r="N363" s="174" t="str">
        <f>IFERROR(__xludf.DUMMYFUNCTION("""COMPUTED_VALUE"""),"Unlisted")</f>
        <v>Unlisted</v>
      </c>
      <c r="O363" s="174" t="str">
        <f>IFERROR(__xludf.DUMMYFUNCTION("""COMPUTED_VALUE"""),"Unlisted")</f>
        <v>Unlisted</v>
      </c>
      <c r="P363" s="174" t="str">
        <f>IFERROR(__xludf.DUMMYFUNCTION("""COMPUTED_VALUE"""),"Unlisted")</f>
        <v>Unlisted</v>
      </c>
      <c r="Q363" s="174" t="str">
        <f>IFERROR(__xludf.DUMMYFUNCTION("""COMPUTED_VALUE"""),"Unlisted")</f>
        <v>Unlisted</v>
      </c>
      <c r="R363" s="174" t="str">
        <f>IFERROR(__xludf.DUMMYFUNCTION("""COMPUTED_VALUE"""),"Unlisted")</f>
        <v>Unlisted</v>
      </c>
    </row>
    <row r="364">
      <c r="A364" s="255" t="str">
        <f>IFERROR(__xludf.DUMMYFUNCTION("""COMPUTED_VALUE"""),"Eelektrik")</f>
        <v>Eelektrik</v>
      </c>
      <c r="B364" s="174" t="str">
        <f>IFERROR(__xludf.DUMMYFUNCTION("""COMPUTED_VALUE"""),"Proficient")</f>
        <v>Proficient</v>
      </c>
      <c r="C364" s="174" t="str">
        <f>IFERROR(__xludf.DUMMYFUNCTION("""COMPUTED_VALUE"""),"Unlisted")</f>
        <v>Unlisted</v>
      </c>
      <c r="D364" s="174" t="str">
        <f>IFERROR(__xludf.DUMMYFUNCTION("""COMPUTED_VALUE"""),"Unlisted")</f>
        <v>Unlisted</v>
      </c>
      <c r="E364" s="174" t="str">
        <f>IFERROR(__xludf.DUMMYFUNCTION("""COMPUTED_VALUE"""),"Unlisted")</f>
        <v>Unlisted</v>
      </c>
      <c r="F364" s="174" t="str">
        <f>IFERROR(__xludf.DUMMYFUNCTION("""COMPUTED_VALUE"""),"Unlisted")</f>
        <v>Unlisted</v>
      </c>
      <c r="G364" s="174" t="str">
        <f>IFERROR(__xludf.DUMMYFUNCTION("""COMPUTED_VALUE"""),"Proficient")</f>
        <v>Proficient</v>
      </c>
      <c r="H364" s="174" t="str">
        <f>IFERROR(__xludf.DUMMYFUNCTION("""COMPUTED_VALUE"""),"Unlisted")</f>
        <v>Unlisted</v>
      </c>
      <c r="I364" s="174" t="str">
        <f>IFERROR(__xludf.DUMMYFUNCTION("""COMPUTED_VALUE"""),"Unlisted")</f>
        <v>Unlisted</v>
      </c>
      <c r="J364" s="174" t="str">
        <f>IFERROR(__xludf.DUMMYFUNCTION("""COMPUTED_VALUE"""),"Unlisted")</f>
        <v>Unlisted</v>
      </c>
      <c r="K364" s="174" t="str">
        <f>IFERROR(__xludf.DUMMYFUNCTION("""COMPUTED_VALUE"""),"Unlisted")</f>
        <v>Unlisted</v>
      </c>
      <c r="L364" s="174" t="str">
        <f>IFERROR(__xludf.DUMMYFUNCTION("""COMPUTED_VALUE"""),"Unlisted")</f>
        <v>Unlisted</v>
      </c>
      <c r="M364" s="174" t="str">
        <f>IFERROR(__xludf.DUMMYFUNCTION("""COMPUTED_VALUE"""),"Unlisted")</f>
        <v>Unlisted</v>
      </c>
      <c r="N364" s="174" t="str">
        <f>IFERROR(__xludf.DUMMYFUNCTION("""COMPUTED_VALUE"""),"Unlisted")</f>
        <v>Unlisted</v>
      </c>
      <c r="O364" s="174" t="str">
        <f>IFERROR(__xludf.DUMMYFUNCTION("""COMPUTED_VALUE"""),"Unlisted")</f>
        <v>Unlisted</v>
      </c>
      <c r="P364" s="174" t="str">
        <f>IFERROR(__xludf.DUMMYFUNCTION("""COMPUTED_VALUE"""),"Unlisted")</f>
        <v>Unlisted</v>
      </c>
      <c r="Q364" s="174" t="str">
        <f>IFERROR(__xludf.DUMMYFUNCTION("""COMPUTED_VALUE"""),"Unlisted")</f>
        <v>Unlisted</v>
      </c>
      <c r="R364" s="174" t="str">
        <f>IFERROR(__xludf.DUMMYFUNCTION("""COMPUTED_VALUE"""),"Unlisted")</f>
        <v>Unlisted</v>
      </c>
    </row>
    <row r="365">
      <c r="A365" s="255" t="str">
        <f>IFERROR(__xludf.DUMMYFUNCTION("""COMPUTED_VALUE"""),"Eelektross")</f>
        <v>Eelektross</v>
      </c>
      <c r="B365" s="174" t="str">
        <f>IFERROR(__xludf.DUMMYFUNCTION("""COMPUTED_VALUE"""),"Proficient")</f>
        <v>Proficient</v>
      </c>
      <c r="C365" s="174" t="str">
        <f>IFERROR(__xludf.DUMMYFUNCTION("""COMPUTED_VALUE"""),"Proficient")</f>
        <v>Proficient</v>
      </c>
      <c r="D365" s="174" t="str">
        <f>IFERROR(__xludf.DUMMYFUNCTION("""COMPUTED_VALUE"""),"Unlisted")</f>
        <v>Unlisted</v>
      </c>
      <c r="E365" s="174" t="str">
        <f>IFERROR(__xludf.DUMMYFUNCTION("""COMPUTED_VALUE"""),"Unlisted")</f>
        <v>Unlisted</v>
      </c>
      <c r="F365" s="174" t="str">
        <f>IFERROR(__xludf.DUMMYFUNCTION("""COMPUTED_VALUE"""),"Unlisted")</f>
        <v>Unlisted</v>
      </c>
      <c r="G365" s="174" t="str">
        <f>IFERROR(__xludf.DUMMYFUNCTION("""COMPUTED_VALUE"""),"Proficient")</f>
        <v>Proficient</v>
      </c>
      <c r="H365" s="174" t="str">
        <f>IFERROR(__xludf.DUMMYFUNCTION("""COMPUTED_VALUE"""),"Unlisted")</f>
        <v>Unlisted</v>
      </c>
      <c r="I365" s="174" t="str">
        <f>IFERROR(__xludf.DUMMYFUNCTION("""COMPUTED_VALUE"""),"Unlisted")</f>
        <v>Unlisted</v>
      </c>
      <c r="J365" s="174" t="str">
        <f>IFERROR(__xludf.DUMMYFUNCTION("""COMPUTED_VALUE"""),"Unlisted")</f>
        <v>Unlisted</v>
      </c>
      <c r="K365" s="174" t="str">
        <f>IFERROR(__xludf.DUMMYFUNCTION("""COMPUTED_VALUE"""),"Unlisted")</f>
        <v>Unlisted</v>
      </c>
      <c r="L365" s="174" t="str">
        <f>IFERROR(__xludf.DUMMYFUNCTION("""COMPUTED_VALUE"""),"Unlisted")</f>
        <v>Unlisted</v>
      </c>
      <c r="M365" s="174" t="str">
        <f>IFERROR(__xludf.DUMMYFUNCTION("""COMPUTED_VALUE"""),"Unlisted")</f>
        <v>Unlisted</v>
      </c>
      <c r="N365" s="174" t="str">
        <f>IFERROR(__xludf.DUMMYFUNCTION("""COMPUTED_VALUE"""),"Unlisted")</f>
        <v>Unlisted</v>
      </c>
      <c r="O365" s="174" t="str">
        <f>IFERROR(__xludf.DUMMYFUNCTION("""COMPUTED_VALUE"""),"Unlisted")</f>
        <v>Unlisted</v>
      </c>
      <c r="P365" s="174" t="str">
        <f>IFERROR(__xludf.DUMMYFUNCTION("""COMPUTED_VALUE"""),"Unlisted")</f>
        <v>Unlisted</v>
      </c>
      <c r="Q365" s="174" t="str">
        <f>IFERROR(__xludf.DUMMYFUNCTION("""COMPUTED_VALUE"""),"Unlisted")</f>
        <v>Unlisted</v>
      </c>
      <c r="R365" s="174" t="str">
        <f>IFERROR(__xludf.DUMMYFUNCTION("""COMPUTED_VALUE"""),"Unlisted")</f>
        <v>Unlisted</v>
      </c>
    </row>
    <row r="366">
      <c r="A366" s="255" t="str">
        <f>IFERROR(__xludf.DUMMYFUNCTION("""COMPUTED_VALUE"""),"Pawmi")</f>
        <v>Pawmi</v>
      </c>
      <c r="B366" s="174" t="str">
        <f>IFERROR(__xludf.DUMMYFUNCTION("""COMPUTED_VALUE"""),"Unlisted")</f>
        <v>Unlisted</v>
      </c>
      <c r="C366" s="174" t="str">
        <f>IFERROR(__xludf.DUMMYFUNCTION("""COMPUTED_VALUE"""),"Proficient")</f>
        <v>Proficient</v>
      </c>
      <c r="D366" s="174" t="str">
        <f>IFERROR(__xludf.DUMMYFUNCTION("""COMPUTED_VALUE"""),"Proficient")</f>
        <v>Proficient</v>
      </c>
      <c r="E366" s="174" t="str">
        <f>IFERROR(__xludf.DUMMYFUNCTION("""COMPUTED_VALUE"""),"Proficient")</f>
        <v>Proficient</v>
      </c>
      <c r="F366" s="174" t="str">
        <f>IFERROR(__xludf.DUMMYFUNCTION("""COMPUTED_VALUE"""),"Unlisted")</f>
        <v>Unlisted</v>
      </c>
      <c r="G366" s="174" t="str">
        <f>IFERROR(__xludf.DUMMYFUNCTION("""COMPUTED_VALUE"""),"Unlisted")</f>
        <v>Unlisted</v>
      </c>
      <c r="H366" s="174" t="str">
        <f>IFERROR(__xludf.DUMMYFUNCTION("""COMPUTED_VALUE"""),"Unlisted")</f>
        <v>Unlisted</v>
      </c>
      <c r="I366" s="174" t="str">
        <f>IFERROR(__xludf.DUMMYFUNCTION("""COMPUTED_VALUE"""),"Unlisted")</f>
        <v>Unlisted</v>
      </c>
      <c r="J366" s="174" t="str">
        <f>IFERROR(__xludf.DUMMYFUNCTION("""COMPUTED_VALUE"""),"Unlisted")</f>
        <v>Unlisted</v>
      </c>
      <c r="K366" s="174" t="str">
        <f>IFERROR(__xludf.DUMMYFUNCTION("""COMPUTED_VALUE"""),"Unlisted")</f>
        <v>Unlisted</v>
      </c>
      <c r="L366" s="174" t="str">
        <f>IFERROR(__xludf.DUMMYFUNCTION("""COMPUTED_VALUE"""),"Unlisted")</f>
        <v>Unlisted</v>
      </c>
      <c r="M366" s="174" t="str">
        <f>IFERROR(__xludf.DUMMYFUNCTION("""COMPUTED_VALUE"""),"Unlisted")</f>
        <v>Unlisted</v>
      </c>
      <c r="N366" s="174" t="str">
        <f>IFERROR(__xludf.DUMMYFUNCTION("""COMPUTED_VALUE"""),"Unlisted")</f>
        <v>Unlisted</v>
      </c>
      <c r="O366" s="174" t="str">
        <f>IFERROR(__xludf.DUMMYFUNCTION("""COMPUTED_VALUE"""),"Unlisted")</f>
        <v>Unlisted</v>
      </c>
      <c r="P366" s="174" t="str">
        <f>IFERROR(__xludf.DUMMYFUNCTION("""COMPUTED_VALUE"""),"Unlisted")</f>
        <v>Unlisted</v>
      </c>
      <c r="Q366" s="174" t="str">
        <f>IFERROR(__xludf.DUMMYFUNCTION("""COMPUTED_VALUE"""),"Unlisted")</f>
        <v>Unlisted</v>
      </c>
      <c r="R366" s="174" t="str">
        <f>IFERROR(__xludf.DUMMYFUNCTION("""COMPUTED_VALUE"""),"Unlisted")</f>
        <v>Unlisted</v>
      </c>
    </row>
    <row r="367">
      <c r="A367" s="255" t="str">
        <f>IFERROR(__xludf.DUMMYFUNCTION("""COMPUTED_VALUE"""),"Pawmo")</f>
        <v>Pawmo</v>
      </c>
      <c r="B367" s="174" t="str">
        <f>IFERROR(__xludf.DUMMYFUNCTION("""COMPUTED_VALUE"""),"Unlisted")</f>
        <v>Unlisted</v>
      </c>
      <c r="C367" s="174" t="str">
        <f>IFERROR(__xludf.DUMMYFUNCTION("""COMPUTED_VALUE"""),"Proficient")</f>
        <v>Proficient</v>
      </c>
      <c r="D367" s="174" t="str">
        <f>IFERROR(__xludf.DUMMYFUNCTION("""COMPUTED_VALUE"""),"Proficient")</f>
        <v>Proficient</v>
      </c>
      <c r="E367" s="174" t="str">
        <f>IFERROR(__xludf.DUMMYFUNCTION("""COMPUTED_VALUE"""),"Proficient")</f>
        <v>Proficient</v>
      </c>
      <c r="F367" s="174" t="str">
        <f>IFERROR(__xludf.DUMMYFUNCTION("""COMPUTED_VALUE"""),"Unlisted")</f>
        <v>Unlisted</v>
      </c>
      <c r="G367" s="174" t="str">
        <f>IFERROR(__xludf.DUMMYFUNCTION("""COMPUTED_VALUE"""),"Unlisted")</f>
        <v>Unlisted</v>
      </c>
      <c r="H367" s="174" t="str">
        <f>IFERROR(__xludf.DUMMYFUNCTION("""COMPUTED_VALUE"""),"Unlisted")</f>
        <v>Unlisted</v>
      </c>
      <c r="I367" s="174" t="str">
        <f>IFERROR(__xludf.DUMMYFUNCTION("""COMPUTED_VALUE"""),"Unlisted")</f>
        <v>Unlisted</v>
      </c>
      <c r="J367" s="174" t="str">
        <f>IFERROR(__xludf.DUMMYFUNCTION("""COMPUTED_VALUE"""),"Unlisted")</f>
        <v>Unlisted</v>
      </c>
      <c r="K367" s="174" t="str">
        <f>IFERROR(__xludf.DUMMYFUNCTION("""COMPUTED_VALUE"""),"Unlisted")</f>
        <v>Unlisted</v>
      </c>
      <c r="L367" s="174" t="str">
        <f>IFERROR(__xludf.DUMMYFUNCTION("""COMPUTED_VALUE"""),"Unlisted")</f>
        <v>Unlisted</v>
      </c>
      <c r="M367" s="174" t="str">
        <f>IFERROR(__xludf.DUMMYFUNCTION("""COMPUTED_VALUE"""),"Unlisted")</f>
        <v>Unlisted</v>
      </c>
      <c r="N367" s="174" t="str">
        <f>IFERROR(__xludf.DUMMYFUNCTION("""COMPUTED_VALUE"""),"Unlisted")</f>
        <v>Unlisted</v>
      </c>
      <c r="O367" s="174" t="str">
        <f>IFERROR(__xludf.DUMMYFUNCTION("""COMPUTED_VALUE"""),"Unlisted")</f>
        <v>Unlisted</v>
      </c>
      <c r="P367" s="174" t="str">
        <f>IFERROR(__xludf.DUMMYFUNCTION("""COMPUTED_VALUE"""),"Unlisted")</f>
        <v>Unlisted</v>
      </c>
      <c r="Q367" s="174" t="str">
        <f>IFERROR(__xludf.DUMMYFUNCTION("""COMPUTED_VALUE"""),"Unlisted")</f>
        <v>Unlisted</v>
      </c>
      <c r="R367" s="174" t="str">
        <f>IFERROR(__xludf.DUMMYFUNCTION("""COMPUTED_VALUE"""),"Unlisted")</f>
        <v>Unlisted</v>
      </c>
    </row>
    <row r="368">
      <c r="A368" s="255" t="str">
        <f>IFERROR(__xludf.DUMMYFUNCTION("""COMPUTED_VALUE"""),"Pawmot")</f>
        <v>Pawmot</v>
      </c>
      <c r="B368" s="174" t="str">
        <f>IFERROR(__xludf.DUMMYFUNCTION("""COMPUTED_VALUE"""),"Unlisted")</f>
        <v>Unlisted</v>
      </c>
      <c r="C368" s="174" t="str">
        <f>IFERROR(__xludf.DUMMYFUNCTION("""COMPUTED_VALUE"""),"Proficient")</f>
        <v>Proficient</v>
      </c>
      <c r="D368" s="174" t="str">
        <f>IFERROR(__xludf.DUMMYFUNCTION("""COMPUTED_VALUE"""),"Proficient")</f>
        <v>Proficient</v>
      </c>
      <c r="E368" s="174" t="str">
        <f>IFERROR(__xludf.DUMMYFUNCTION("""COMPUTED_VALUE"""),"Proficient")</f>
        <v>Proficient</v>
      </c>
      <c r="F368" s="174" t="str">
        <f>IFERROR(__xludf.DUMMYFUNCTION("""COMPUTED_VALUE"""),"Unlisted")</f>
        <v>Unlisted</v>
      </c>
      <c r="G368" s="174" t="str">
        <f>IFERROR(__xludf.DUMMYFUNCTION("""COMPUTED_VALUE"""),"Unlisted")</f>
        <v>Unlisted</v>
      </c>
      <c r="H368" s="174" t="str">
        <f>IFERROR(__xludf.DUMMYFUNCTION("""COMPUTED_VALUE"""),"Unlisted")</f>
        <v>Unlisted</v>
      </c>
      <c r="I368" s="174" t="str">
        <f>IFERROR(__xludf.DUMMYFUNCTION("""COMPUTED_VALUE"""),"Unlisted")</f>
        <v>Unlisted</v>
      </c>
      <c r="J368" s="174" t="str">
        <f>IFERROR(__xludf.DUMMYFUNCTION("""COMPUTED_VALUE"""),"Unlisted")</f>
        <v>Unlisted</v>
      </c>
      <c r="K368" s="174" t="str">
        <f>IFERROR(__xludf.DUMMYFUNCTION("""COMPUTED_VALUE"""),"Unlisted")</f>
        <v>Unlisted</v>
      </c>
      <c r="L368" s="174" t="str">
        <f>IFERROR(__xludf.DUMMYFUNCTION("""COMPUTED_VALUE"""),"Unlisted")</f>
        <v>Unlisted</v>
      </c>
      <c r="M368" s="174" t="str">
        <f>IFERROR(__xludf.DUMMYFUNCTION("""COMPUTED_VALUE"""),"Unlisted")</f>
        <v>Unlisted</v>
      </c>
      <c r="N368" s="174" t="str">
        <f>IFERROR(__xludf.DUMMYFUNCTION("""COMPUTED_VALUE"""),"Unlisted")</f>
        <v>Unlisted</v>
      </c>
      <c r="O368" s="174" t="str">
        <f>IFERROR(__xludf.DUMMYFUNCTION("""COMPUTED_VALUE"""),"Unlisted")</f>
        <v>Unlisted</v>
      </c>
      <c r="P368" s="174" t="str">
        <f>IFERROR(__xludf.DUMMYFUNCTION("""COMPUTED_VALUE"""),"Unlisted")</f>
        <v>Unlisted</v>
      </c>
      <c r="Q368" s="174" t="str">
        <f>IFERROR(__xludf.DUMMYFUNCTION("""COMPUTED_VALUE"""),"Unlisted")</f>
        <v>Unlisted</v>
      </c>
      <c r="R368" s="174" t="str">
        <f>IFERROR(__xludf.DUMMYFUNCTION("""COMPUTED_VALUE"""),"Unlisted")</f>
        <v>Unlisted</v>
      </c>
    </row>
    <row r="369">
      <c r="A369" s="255" t="str">
        <f>IFERROR(__xludf.DUMMYFUNCTION("""COMPUTED_VALUE"""),"Cleffa")</f>
        <v>Cleffa</v>
      </c>
      <c r="B369" s="174" t="str">
        <f>IFERROR(__xludf.DUMMYFUNCTION("""COMPUTED_VALUE"""),"Unlisted")</f>
        <v>Unlisted</v>
      </c>
      <c r="C369" s="174" t="str">
        <f>IFERROR(__xludf.DUMMYFUNCTION("""COMPUTED_VALUE"""),"Inept")</f>
        <v>Inept</v>
      </c>
      <c r="D369" s="174" t="str">
        <f>IFERROR(__xludf.DUMMYFUNCTION("""COMPUTED_VALUE"""),"Unlisted")</f>
        <v>Unlisted</v>
      </c>
      <c r="E369" s="174" t="str">
        <f>IFERROR(__xludf.DUMMYFUNCTION("""COMPUTED_VALUE"""),"Inept")</f>
        <v>Inept</v>
      </c>
      <c r="F369" s="174" t="str">
        <f>IFERROR(__xludf.DUMMYFUNCTION("""COMPUTED_VALUE"""),"Unlisted")</f>
        <v>Unlisted</v>
      </c>
      <c r="G369" s="174" t="str">
        <f>IFERROR(__xludf.DUMMYFUNCTION("""COMPUTED_VALUE"""),"Mastered")</f>
        <v>Mastered</v>
      </c>
      <c r="H369" s="174" t="str">
        <f>IFERROR(__xludf.DUMMYFUNCTION("""COMPUTED_VALUE"""),"Unlisted")</f>
        <v>Unlisted</v>
      </c>
      <c r="I369" s="174" t="str">
        <f>IFERROR(__xludf.DUMMYFUNCTION("""COMPUTED_VALUE"""),"Unlisted")</f>
        <v>Unlisted</v>
      </c>
      <c r="J369" s="174" t="str">
        <f>IFERROR(__xludf.DUMMYFUNCTION("""COMPUTED_VALUE"""),"Unlisted")</f>
        <v>Unlisted</v>
      </c>
      <c r="K369" s="174" t="str">
        <f>IFERROR(__xludf.DUMMYFUNCTION("""COMPUTED_VALUE"""),"Proficient")</f>
        <v>Proficient</v>
      </c>
      <c r="L369" s="174" t="str">
        <f>IFERROR(__xludf.DUMMYFUNCTION("""COMPUTED_VALUE"""),"Unlisted")</f>
        <v>Unlisted</v>
      </c>
      <c r="M369" s="174" t="str">
        <f>IFERROR(__xludf.DUMMYFUNCTION("""COMPUTED_VALUE"""),"Unlisted")</f>
        <v>Unlisted</v>
      </c>
      <c r="N369" s="174" t="str">
        <f>IFERROR(__xludf.DUMMYFUNCTION("""COMPUTED_VALUE"""),"Unlisted")</f>
        <v>Unlisted</v>
      </c>
      <c r="O369" s="174" t="str">
        <f>IFERROR(__xludf.DUMMYFUNCTION("""COMPUTED_VALUE"""),"Unlisted")</f>
        <v>Unlisted</v>
      </c>
      <c r="P369" s="174" t="str">
        <f>IFERROR(__xludf.DUMMYFUNCTION("""COMPUTED_VALUE"""),"Proficient")</f>
        <v>Proficient</v>
      </c>
      <c r="Q369" s="174" t="str">
        <f>IFERROR(__xludf.DUMMYFUNCTION("""COMPUTED_VALUE"""),"Unlisted")</f>
        <v>Unlisted</v>
      </c>
      <c r="R369" s="174" t="str">
        <f>IFERROR(__xludf.DUMMYFUNCTION("""COMPUTED_VALUE"""),"Unlisted")</f>
        <v>Unlisted</v>
      </c>
    </row>
    <row r="370">
      <c r="A370" s="255" t="str">
        <f>IFERROR(__xludf.DUMMYFUNCTION("""COMPUTED_VALUE"""),"Clefairy")</f>
        <v>Clefairy</v>
      </c>
      <c r="B370" s="174" t="str">
        <f>IFERROR(__xludf.DUMMYFUNCTION("""COMPUTED_VALUE"""),"Unlisted")</f>
        <v>Unlisted</v>
      </c>
      <c r="C370" s="174" t="str">
        <f>IFERROR(__xludf.DUMMYFUNCTION("""COMPUTED_VALUE"""),"Unlisted")</f>
        <v>Unlisted</v>
      </c>
      <c r="D370" s="174" t="str">
        <f>IFERROR(__xludf.DUMMYFUNCTION("""COMPUTED_VALUE"""),"Unlisted")</f>
        <v>Unlisted</v>
      </c>
      <c r="E370" s="174" t="str">
        <f>IFERROR(__xludf.DUMMYFUNCTION("""COMPUTED_VALUE"""),"Unlisted")</f>
        <v>Unlisted</v>
      </c>
      <c r="F370" s="174" t="str">
        <f>IFERROR(__xludf.DUMMYFUNCTION("""COMPUTED_VALUE"""),"Unlisted")</f>
        <v>Unlisted</v>
      </c>
      <c r="G370" s="174" t="str">
        <f>IFERROR(__xludf.DUMMYFUNCTION("""COMPUTED_VALUE"""),"Mastered")</f>
        <v>Mastered</v>
      </c>
      <c r="H370" s="174" t="str">
        <f>IFERROR(__xludf.DUMMYFUNCTION("""COMPUTED_VALUE"""),"Unlisted")</f>
        <v>Unlisted</v>
      </c>
      <c r="I370" s="174" t="str">
        <f>IFERROR(__xludf.DUMMYFUNCTION("""COMPUTED_VALUE"""),"Unlisted")</f>
        <v>Unlisted</v>
      </c>
      <c r="J370" s="174" t="str">
        <f>IFERROR(__xludf.DUMMYFUNCTION("""COMPUTED_VALUE"""),"Unlisted")</f>
        <v>Unlisted</v>
      </c>
      <c r="K370" s="174" t="str">
        <f>IFERROR(__xludf.DUMMYFUNCTION("""COMPUTED_VALUE"""),"Proficient")</f>
        <v>Proficient</v>
      </c>
      <c r="L370" s="174" t="str">
        <f>IFERROR(__xludf.DUMMYFUNCTION("""COMPUTED_VALUE"""),"Unlisted")</f>
        <v>Unlisted</v>
      </c>
      <c r="M370" s="174" t="str">
        <f>IFERROR(__xludf.DUMMYFUNCTION("""COMPUTED_VALUE"""),"Unlisted")</f>
        <v>Unlisted</v>
      </c>
      <c r="N370" s="174" t="str">
        <f>IFERROR(__xludf.DUMMYFUNCTION("""COMPUTED_VALUE"""),"Unlisted")</f>
        <v>Unlisted</v>
      </c>
      <c r="O370" s="174" t="str">
        <f>IFERROR(__xludf.DUMMYFUNCTION("""COMPUTED_VALUE"""),"Unlisted")</f>
        <v>Unlisted</v>
      </c>
      <c r="P370" s="174" t="str">
        <f>IFERROR(__xludf.DUMMYFUNCTION("""COMPUTED_VALUE"""),"Proficient")</f>
        <v>Proficient</v>
      </c>
      <c r="Q370" s="174" t="str">
        <f>IFERROR(__xludf.DUMMYFUNCTION("""COMPUTED_VALUE"""),"Unlisted")</f>
        <v>Unlisted</v>
      </c>
      <c r="R370" s="174" t="str">
        <f>IFERROR(__xludf.DUMMYFUNCTION("""COMPUTED_VALUE"""),"Unlisted")</f>
        <v>Unlisted</v>
      </c>
    </row>
    <row r="371">
      <c r="A371" s="255" t="str">
        <f>IFERROR(__xludf.DUMMYFUNCTION("""COMPUTED_VALUE"""),"Clefable")</f>
        <v>Clefable</v>
      </c>
      <c r="B371" s="174" t="str">
        <f>IFERROR(__xludf.DUMMYFUNCTION("""COMPUTED_VALUE"""),"Unlisted")</f>
        <v>Unlisted</v>
      </c>
      <c r="C371" s="174" t="str">
        <f>IFERROR(__xludf.DUMMYFUNCTION("""COMPUTED_VALUE"""),"Unlisted")</f>
        <v>Unlisted</v>
      </c>
      <c r="D371" s="174" t="str">
        <f>IFERROR(__xludf.DUMMYFUNCTION("""COMPUTED_VALUE"""),"Unlisted")</f>
        <v>Unlisted</v>
      </c>
      <c r="E371" s="174" t="str">
        <f>IFERROR(__xludf.DUMMYFUNCTION("""COMPUTED_VALUE"""),"Unlisted")</f>
        <v>Unlisted</v>
      </c>
      <c r="F371" s="174" t="str">
        <f>IFERROR(__xludf.DUMMYFUNCTION("""COMPUTED_VALUE"""),"Unlisted")</f>
        <v>Unlisted</v>
      </c>
      <c r="G371" s="174" t="str">
        <f>IFERROR(__xludf.DUMMYFUNCTION("""COMPUTED_VALUE"""),"Mastered")</f>
        <v>Mastered</v>
      </c>
      <c r="H371" s="174" t="str">
        <f>IFERROR(__xludf.DUMMYFUNCTION("""COMPUTED_VALUE"""),"Unlisted")</f>
        <v>Unlisted</v>
      </c>
      <c r="I371" s="174" t="str">
        <f>IFERROR(__xludf.DUMMYFUNCTION("""COMPUTED_VALUE"""),"Unlisted")</f>
        <v>Unlisted</v>
      </c>
      <c r="J371" s="174" t="str">
        <f>IFERROR(__xludf.DUMMYFUNCTION("""COMPUTED_VALUE"""),"Unlisted")</f>
        <v>Unlisted</v>
      </c>
      <c r="K371" s="174" t="str">
        <f>IFERROR(__xludf.DUMMYFUNCTION("""COMPUTED_VALUE"""),"Proficient")</f>
        <v>Proficient</v>
      </c>
      <c r="L371" s="174" t="str">
        <f>IFERROR(__xludf.DUMMYFUNCTION("""COMPUTED_VALUE"""),"Unlisted")</f>
        <v>Unlisted</v>
      </c>
      <c r="M371" s="174" t="str">
        <f>IFERROR(__xludf.DUMMYFUNCTION("""COMPUTED_VALUE"""),"Unlisted")</f>
        <v>Unlisted</v>
      </c>
      <c r="N371" s="174" t="str">
        <f>IFERROR(__xludf.DUMMYFUNCTION("""COMPUTED_VALUE"""),"Unlisted")</f>
        <v>Unlisted</v>
      </c>
      <c r="O371" s="174" t="str">
        <f>IFERROR(__xludf.DUMMYFUNCTION("""COMPUTED_VALUE"""),"Unlisted")</f>
        <v>Unlisted</v>
      </c>
      <c r="P371" s="174" t="str">
        <f>IFERROR(__xludf.DUMMYFUNCTION("""COMPUTED_VALUE"""),"Proficient")</f>
        <v>Proficient</v>
      </c>
      <c r="Q371" s="174" t="str">
        <f>IFERROR(__xludf.DUMMYFUNCTION("""COMPUTED_VALUE"""),"Unlisted")</f>
        <v>Unlisted</v>
      </c>
      <c r="R371" s="174" t="str">
        <f>IFERROR(__xludf.DUMMYFUNCTION("""COMPUTED_VALUE"""),"Unlisted")</f>
        <v>Unlisted</v>
      </c>
    </row>
    <row r="372">
      <c r="A372" s="255" t="str">
        <f>IFERROR(__xludf.DUMMYFUNCTION("""COMPUTED_VALUE"""),"Togepi")</f>
        <v>Togepi</v>
      </c>
      <c r="B372" s="174" t="str">
        <f>IFERROR(__xludf.DUMMYFUNCTION("""COMPUTED_VALUE"""),"Unlisted")</f>
        <v>Unlisted</v>
      </c>
      <c r="C372" s="174" t="str">
        <f>IFERROR(__xludf.DUMMYFUNCTION("""COMPUTED_VALUE"""),"Unlisted")</f>
        <v>Unlisted</v>
      </c>
      <c r="D372" s="174" t="str">
        <f>IFERROR(__xludf.DUMMYFUNCTION("""COMPUTED_VALUE"""),"Proficient")</f>
        <v>Proficient</v>
      </c>
      <c r="E372" s="174" t="str">
        <f>IFERROR(__xludf.DUMMYFUNCTION("""COMPUTED_VALUE"""),"Inept")</f>
        <v>Inept</v>
      </c>
      <c r="F372" s="174" t="str">
        <f>IFERROR(__xludf.DUMMYFUNCTION("""COMPUTED_VALUE"""),"Unlisted")</f>
        <v>Unlisted</v>
      </c>
      <c r="G372" s="174" t="str">
        <f>IFERROR(__xludf.DUMMYFUNCTION("""COMPUTED_VALUE"""),"Proficient")</f>
        <v>Proficient</v>
      </c>
      <c r="H372" s="174" t="str">
        <f>IFERROR(__xludf.DUMMYFUNCTION("""COMPUTED_VALUE"""),"Unlisted")</f>
        <v>Unlisted</v>
      </c>
      <c r="I372" s="174" t="str">
        <f>IFERROR(__xludf.DUMMYFUNCTION("""COMPUTED_VALUE"""),"Unlisted")</f>
        <v>Unlisted</v>
      </c>
      <c r="J372" s="174" t="str">
        <f>IFERROR(__xludf.DUMMYFUNCTION("""COMPUTED_VALUE"""),"Proficient")</f>
        <v>Proficient</v>
      </c>
      <c r="K372" s="174" t="str">
        <f>IFERROR(__xludf.DUMMYFUNCTION("""COMPUTED_VALUE"""),"Unlisted")</f>
        <v>Unlisted</v>
      </c>
      <c r="L372" s="174" t="str">
        <f>IFERROR(__xludf.DUMMYFUNCTION("""COMPUTED_VALUE"""),"Unlisted")</f>
        <v>Unlisted</v>
      </c>
      <c r="M372" s="174" t="str">
        <f>IFERROR(__xludf.DUMMYFUNCTION("""COMPUTED_VALUE"""),"Unlisted")</f>
        <v>Unlisted</v>
      </c>
      <c r="N372" s="174" t="str">
        <f>IFERROR(__xludf.DUMMYFUNCTION("""COMPUTED_VALUE"""),"Unlisted")</f>
        <v>Unlisted</v>
      </c>
      <c r="O372" s="174" t="str">
        <f>IFERROR(__xludf.DUMMYFUNCTION("""COMPUTED_VALUE"""),"Unlisted")</f>
        <v>Unlisted</v>
      </c>
      <c r="P372" s="174" t="str">
        <f>IFERROR(__xludf.DUMMYFUNCTION("""COMPUTED_VALUE"""),"Unlisted")</f>
        <v>Unlisted</v>
      </c>
      <c r="Q372" s="174" t="str">
        <f>IFERROR(__xludf.DUMMYFUNCTION("""COMPUTED_VALUE"""),"Unlisted")</f>
        <v>Unlisted</v>
      </c>
      <c r="R372" s="174" t="str">
        <f>IFERROR(__xludf.DUMMYFUNCTION("""COMPUTED_VALUE"""),"Unlisted")</f>
        <v>Unlisted</v>
      </c>
    </row>
    <row r="373">
      <c r="A373" s="255" t="str">
        <f>IFERROR(__xludf.DUMMYFUNCTION("""COMPUTED_VALUE"""),"Togetic")</f>
        <v>Togetic</v>
      </c>
      <c r="B373" s="174" t="str">
        <f>IFERROR(__xludf.DUMMYFUNCTION("""COMPUTED_VALUE"""),"Unlisted")</f>
        <v>Unlisted</v>
      </c>
      <c r="C373" s="174" t="str">
        <f>IFERROR(__xludf.DUMMYFUNCTION("""COMPUTED_VALUE"""),"Unlisted")</f>
        <v>Unlisted</v>
      </c>
      <c r="D373" s="174" t="str">
        <f>IFERROR(__xludf.DUMMYFUNCTION("""COMPUTED_VALUE"""),"Proficient")</f>
        <v>Proficient</v>
      </c>
      <c r="E373" s="174" t="str">
        <f>IFERROR(__xludf.DUMMYFUNCTION("""COMPUTED_VALUE"""),"Unlisted")</f>
        <v>Unlisted</v>
      </c>
      <c r="F373" s="174" t="str">
        <f>IFERROR(__xludf.DUMMYFUNCTION("""COMPUTED_VALUE"""),"Unlisted")</f>
        <v>Unlisted</v>
      </c>
      <c r="G373" s="174" t="str">
        <f>IFERROR(__xludf.DUMMYFUNCTION("""COMPUTED_VALUE"""),"Proficient")</f>
        <v>Proficient</v>
      </c>
      <c r="H373" s="174" t="str">
        <f>IFERROR(__xludf.DUMMYFUNCTION("""COMPUTED_VALUE"""),"Unlisted")</f>
        <v>Unlisted</v>
      </c>
      <c r="I373" s="174" t="str">
        <f>IFERROR(__xludf.DUMMYFUNCTION("""COMPUTED_VALUE"""),"Unlisted")</f>
        <v>Unlisted</v>
      </c>
      <c r="J373" s="174" t="str">
        <f>IFERROR(__xludf.DUMMYFUNCTION("""COMPUTED_VALUE"""),"Proficient")</f>
        <v>Proficient</v>
      </c>
      <c r="K373" s="174" t="str">
        <f>IFERROR(__xludf.DUMMYFUNCTION("""COMPUTED_VALUE"""),"Unlisted")</f>
        <v>Unlisted</v>
      </c>
      <c r="L373" s="174" t="str">
        <f>IFERROR(__xludf.DUMMYFUNCTION("""COMPUTED_VALUE"""),"Unlisted")</f>
        <v>Unlisted</v>
      </c>
      <c r="M373" s="174" t="str">
        <f>IFERROR(__xludf.DUMMYFUNCTION("""COMPUTED_VALUE"""),"Unlisted")</f>
        <v>Unlisted</v>
      </c>
      <c r="N373" s="174" t="str">
        <f>IFERROR(__xludf.DUMMYFUNCTION("""COMPUTED_VALUE"""),"Unlisted")</f>
        <v>Unlisted</v>
      </c>
      <c r="O373" s="174" t="str">
        <f>IFERROR(__xludf.DUMMYFUNCTION("""COMPUTED_VALUE"""),"Unlisted")</f>
        <v>Unlisted</v>
      </c>
      <c r="P373" s="174" t="str">
        <f>IFERROR(__xludf.DUMMYFUNCTION("""COMPUTED_VALUE"""),"Unlisted")</f>
        <v>Unlisted</v>
      </c>
      <c r="Q373" s="174" t="str">
        <f>IFERROR(__xludf.DUMMYFUNCTION("""COMPUTED_VALUE"""),"Unlisted")</f>
        <v>Unlisted</v>
      </c>
      <c r="R373" s="174" t="str">
        <f>IFERROR(__xludf.DUMMYFUNCTION("""COMPUTED_VALUE"""),"Unlisted")</f>
        <v>Unlisted</v>
      </c>
    </row>
    <row r="374">
      <c r="A374" s="255" t="str">
        <f>IFERROR(__xludf.DUMMYFUNCTION("""COMPUTED_VALUE"""),"Togekiss")</f>
        <v>Togekiss</v>
      </c>
      <c r="B374" s="174" t="str">
        <f>IFERROR(__xludf.DUMMYFUNCTION("""COMPUTED_VALUE"""),"Unlisted")</f>
        <v>Unlisted</v>
      </c>
      <c r="C374" s="174" t="str">
        <f>IFERROR(__xludf.DUMMYFUNCTION("""COMPUTED_VALUE"""),"Unlisted")</f>
        <v>Unlisted</v>
      </c>
      <c r="D374" s="174" t="str">
        <f>IFERROR(__xludf.DUMMYFUNCTION("""COMPUTED_VALUE"""),"Proficient")</f>
        <v>Proficient</v>
      </c>
      <c r="E374" s="174" t="str">
        <f>IFERROR(__xludf.DUMMYFUNCTION("""COMPUTED_VALUE"""),"Unlisted")</f>
        <v>Unlisted</v>
      </c>
      <c r="F374" s="174" t="str">
        <f>IFERROR(__xludf.DUMMYFUNCTION("""COMPUTED_VALUE"""),"Unlisted")</f>
        <v>Unlisted</v>
      </c>
      <c r="G374" s="174" t="str">
        <f>IFERROR(__xludf.DUMMYFUNCTION("""COMPUTED_VALUE"""),"Proficient")</f>
        <v>Proficient</v>
      </c>
      <c r="H374" s="174" t="str">
        <f>IFERROR(__xludf.DUMMYFUNCTION("""COMPUTED_VALUE"""),"Unlisted")</f>
        <v>Unlisted</v>
      </c>
      <c r="I374" s="174" t="str">
        <f>IFERROR(__xludf.DUMMYFUNCTION("""COMPUTED_VALUE"""),"Unlisted")</f>
        <v>Unlisted</v>
      </c>
      <c r="J374" s="174" t="str">
        <f>IFERROR(__xludf.DUMMYFUNCTION("""COMPUTED_VALUE"""),"Proficient")</f>
        <v>Proficient</v>
      </c>
      <c r="K374" s="174" t="str">
        <f>IFERROR(__xludf.DUMMYFUNCTION("""COMPUTED_VALUE"""),"Unlisted")</f>
        <v>Unlisted</v>
      </c>
      <c r="L374" s="174" t="str">
        <f>IFERROR(__xludf.DUMMYFUNCTION("""COMPUTED_VALUE"""),"Unlisted")</f>
        <v>Unlisted</v>
      </c>
      <c r="M374" s="174" t="str">
        <f>IFERROR(__xludf.DUMMYFUNCTION("""COMPUTED_VALUE"""),"Unlisted")</f>
        <v>Unlisted</v>
      </c>
      <c r="N374" s="174" t="str">
        <f>IFERROR(__xludf.DUMMYFUNCTION("""COMPUTED_VALUE"""),"Unlisted")</f>
        <v>Unlisted</v>
      </c>
      <c r="O374" s="174" t="str">
        <f>IFERROR(__xludf.DUMMYFUNCTION("""COMPUTED_VALUE"""),"Unlisted")</f>
        <v>Unlisted</v>
      </c>
      <c r="P374" s="174" t="str">
        <f>IFERROR(__xludf.DUMMYFUNCTION("""COMPUTED_VALUE"""),"Unlisted")</f>
        <v>Unlisted</v>
      </c>
      <c r="Q374" s="174" t="str">
        <f>IFERROR(__xludf.DUMMYFUNCTION("""COMPUTED_VALUE"""),"Unlisted")</f>
        <v>Unlisted</v>
      </c>
      <c r="R374" s="174" t="str">
        <f>IFERROR(__xludf.DUMMYFUNCTION("""COMPUTED_VALUE"""),"Unlisted")</f>
        <v>Unlisted</v>
      </c>
    </row>
    <row r="375">
      <c r="A375" s="255" t="str">
        <f>IFERROR(__xludf.DUMMYFUNCTION("""COMPUTED_VALUE"""),"Flabebe")</f>
        <v>Flabebe</v>
      </c>
      <c r="B375" s="174" t="str">
        <f>IFERROR(__xludf.DUMMYFUNCTION("""COMPUTED_VALUE"""),"Proficient")</f>
        <v>Proficient</v>
      </c>
      <c r="C375" s="174" t="str">
        <f>IFERROR(__xludf.DUMMYFUNCTION("""COMPUTED_VALUE"""),"Inept")</f>
        <v>Inept</v>
      </c>
      <c r="D375" s="174" t="str">
        <f>IFERROR(__xludf.DUMMYFUNCTION("""COMPUTED_VALUE"""),"Unlisted")</f>
        <v>Unlisted</v>
      </c>
      <c r="E375" s="174" t="str">
        <f>IFERROR(__xludf.DUMMYFUNCTION("""COMPUTED_VALUE"""),"Unlisted")</f>
        <v>Unlisted</v>
      </c>
      <c r="F375" s="174" t="str">
        <f>IFERROR(__xludf.DUMMYFUNCTION("""COMPUTED_VALUE"""),"Unlisted")</f>
        <v>Unlisted</v>
      </c>
      <c r="G375" s="174" t="str">
        <f>IFERROR(__xludf.DUMMYFUNCTION("""COMPUTED_VALUE"""),"Unlisted")</f>
        <v>Unlisted</v>
      </c>
      <c r="H375" s="174" t="str">
        <f>IFERROR(__xludf.DUMMYFUNCTION("""COMPUTED_VALUE"""),"Unlisted")</f>
        <v>Unlisted</v>
      </c>
      <c r="I375" s="174" t="str">
        <f>IFERROR(__xludf.DUMMYFUNCTION("""COMPUTED_VALUE"""),"Unlisted")</f>
        <v>Unlisted</v>
      </c>
      <c r="J375" s="174" t="str">
        <f>IFERROR(__xludf.DUMMYFUNCTION("""COMPUTED_VALUE"""),"Proficient")</f>
        <v>Proficient</v>
      </c>
      <c r="K375" s="174" t="str">
        <f>IFERROR(__xludf.DUMMYFUNCTION("""COMPUTED_VALUE"""),"Proficient")</f>
        <v>Proficient</v>
      </c>
      <c r="L375" s="174" t="str">
        <f>IFERROR(__xludf.DUMMYFUNCTION("""COMPUTED_VALUE"""),"Unlisted")</f>
        <v>Unlisted</v>
      </c>
      <c r="M375" s="174" t="str">
        <f>IFERROR(__xludf.DUMMYFUNCTION("""COMPUTED_VALUE"""),"Unlisted")</f>
        <v>Unlisted</v>
      </c>
      <c r="N375" s="174" t="str">
        <f>IFERROR(__xludf.DUMMYFUNCTION("""COMPUTED_VALUE"""),"Unlisted")</f>
        <v>Unlisted</v>
      </c>
      <c r="O375" s="174" t="str">
        <f>IFERROR(__xludf.DUMMYFUNCTION("""COMPUTED_VALUE"""),"Unlisted")</f>
        <v>Unlisted</v>
      </c>
      <c r="P375" s="174" t="str">
        <f>IFERROR(__xludf.DUMMYFUNCTION("""COMPUTED_VALUE"""),"Unlisted")</f>
        <v>Unlisted</v>
      </c>
      <c r="Q375" s="174" t="str">
        <f>IFERROR(__xludf.DUMMYFUNCTION("""COMPUTED_VALUE"""),"Unlisted")</f>
        <v>Unlisted</v>
      </c>
      <c r="R375" s="174" t="str">
        <f>IFERROR(__xludf.DUMMYFUNCTION("""COMPUTED_VALUE"""),"Unlisted")</f>
        <v>Unlisted</v>
      </c>
    </row>
    <row r="376">
      <c r="A376" s="255" t="str">
        <f>IFERROR(__xludf.DUMMYFUNCTION("""COMPUTED_VALUE"""),"Floette")</f>
        <v>Floette</v>
      </c>
      <c r="B376" s="174" t="str">
        <f>IFERROR(__xludf.DUMMYFUNCTION("""COMPUTED_VALUE"""),"Proficient")</f>
        <v>Proficient</v>
      </c>
      <c r="C376" s="174" t="str">
        <f>IFERROR(__xludf.DUMMYFUNCTION("""COMPUTED_VALUE"""),"Inept")</f>
        <v>Inept</v>
      </c>
      <c r="D376" s="174" t="str">
        <f>IFERROR(__xludf.DUMMYFUNCTION("""COMPUTED_VALUE"""),"Unlisted")</f>
        <v>Unlisted</v>
      </c>
      <c r="E376" s="174" t="str">
        <f>IFERROR(__xludf.DUMMYFUNCTION("""COMPUTED_VALUE"""),"Unlisted")</f>
        <v>Unlisted</v>
      </c>
      <c r="F376" s="174" t="str">
        <f>IFERROR(__xludf.DUMMYFUNCTION("""COMPUTED_VALUE"""),"Unlisted")</f>
        <v>Unlisted</v>
      </c>
      <c r="G376" s="174" t="str">
        <f>IFERROR(__xludf.DUMMYFUNCTION("""COMPUTED_VALUE"""),"Unlisted")</f>
        <v>Unlisted</v>
      </c>
      <c r="H376" s="174" t="str">
        <f>IFERROR(__xludf.DUMMYFUNCTION("""COMPUTED_VALUE"""),"Unlisted")</f>
        <v>Unlisted</v>
      </c>
      <c r="I376" s="174" t="str">
        <f>IFERROR(__xludf.DUMMYFUNCTION("""COMPUTED_VALUE"""),"Unlisted")</f>
        <v>Unlisted</v>
      </c>
      <c r="J376" s="174" t="str">
        <f>IFERROR(__xludf.DUMMYFUNCTION("""COMPUTED_VALUE"""),"Proficient")</f>
        <v>Proficient</v>
      </c>
      <c r="K376" s="174" t="str">
        <f>IFERROR(__xludf.DUMMYFUNCTION("""COMPUTED_VALUE"""),"Proficient")</f>
        <v>Proficient</v>
      </c>
      <c r="L376" s="174" t="str">
        <f>IFERROR(__xludf.DUMMYFUNCTION("""COMPUTED_VALUE"""),"Unlisted")</f>
        <v>Unlisted</v>
      </c>
      <c r="M376" s="174" t="str">
        <f>IFERROR(__xludf.DUMMYFUNCTION("""COMPUTED_VALUE"""),"Unlisted")</f>
        <v>Unlisted</v>
      </c>
      <c r="N376" s="174" t="str">
        <f>IFERROR(__xludf.DUMMYFUNCTION("""COMPUTED_VALUE"""),"Unlisted")</f>
        <v>Unlisted</v>
      </c>
      <c r="O376" s="174" t="str">
        <f>IFERROR(__xludf.DUMMYFUNCTION("""COMPUTED_VALUE"""),"Unlisted")</f>
        <v>Unlisted</v>
      </c>
      <c r="P376" s="174" t="str">
        <f>IFERROR(__xludf.DUMMYFUNCTION("""COMPUTED_VALUE"""),"Unlisted")</f>
        <v>Unlisted</v>
      </c>
      <c r="Q376" s="174" t="str">
        <f>IFERROR(__xludf.DUMMYFUNCTION("""COMPUTED_VALUE"""),"Unlisted")</f>
        <v>Unlisted</v>
      </c>
      <c r="R376" s="174" t="str">
        <f>IFERROR(__xludf.DUMMYFUNCTION("""COMPUTED_VALUE"""),"Unlisted")</f>
        <v>Unlisted</v>
      </c>
    </row>
    <row r="377">
      <c r="A377" s="255" t="str">
        <f>IFERROR(__xludf.DUMMYFUNCTION("""COMPUTED_VALUE"""),"Florges")</f>
        <v>Florges</v>
      </c>
      <c r="B377" s="174" t="str">
        <f>IFERROR(__xludf.DUMMYFUNCTION("""COMPUTED_VALUE"""),"Proficient")</f>
        <v>Proficient</v>
      </c>
      <c r="C377" s="174" t="str">
        <f>IFERROR(__xludf.DUMMYFUNCTION("""COMPUTED_VALUE"""),"Unlisted")</f>
        <v>Unlisted</v>
      </c>
      <c r="D377" s="174" t="str">
        <f>IFERROR(__xludf.DUMMYFUNCTION("""COMPUTED_VALUE"""),"Unlisted")</f>
        <v>Unlisted</v>
      </c>
      <c r="E377" s="174" t="str">
        <f>IFERROR(__xludf.DUMMYFUNCTION("""COMPUTED_VALUE"""),"Unlisted")</f>
        <v>Unlisted</v>
      </c>
      <c r="F377" s="174" t="str">
        <f>IFERROR(__xludf.DUMMYFUNCTION("""COMPUTED_VALUE"""),"Unlisted")</f>
        <v>Unlisted</v>
      </c>
      <c r="G377" s="174" t="str">
        <f>IFERROR(__xludf.DUMMYFUNCTION("""COMPUTED_VALUE"""),"Unlisted")</f>
        <v>Unlisted</v>
      </c>
      <c r="H377" s="174" t="str">
        <f>IFERROR(__xludf.DUMMYFUNCTION("""COMPUTED_VALUE"""),"Unlisted")</f>
        <v>Unlisted</v>
      </c>
      <c r="I377" s="174" t="str">
        <f>IFERROR(__xludf.DUMMYFUNCTION("""COMPUTED_VALUE"""),"Unlisted")</f>
        <v>Unlisted</v>
      </c>
      <c r="J377" s="174" t="str">
        <f>IFERROR(__xludf.DUMMYFUNCTION("""COMPUTED_VALUE"""),"Proficient")</f>
        <v>Proficient</v>
      </c>
      <c r="K377" s="174" t="str">
        <f>IFERROR(__xludf.DUMMYFUNCTION("""COMPUTED_VALUE"""),"Proficient")</f>
        <v>Proficient</v>
      </c>
      <c r="L377" s="174" t="str">
        <f>IFERROR(__xludf.DUMMYFUNCTION("""COMPUTED_VALUE"""),"Unlisted")</f>
        <v>Unlisted</v>
      </c>
      <c r="M377" s="174" t="str">
        <f>IFERROR(__xludf.DUMMYFUNCTION("""COMPUTED_VALUE"""),"Unlisted")</f>
        <v>Unlisted</v>
      </c>
      <c r="N377" s="174" t="str">
        <f>IFERROR(__xludf.DUMMYFUNCTION("""COMPUTED_VALUE"""),"Unlisted")</f>
        <v>Unlisted</v>
      </c>
      <c r="O377" s="174" t="str">
        <f>IFERROR(__xludf.DUMMYFUNCTION("""COMPUTED_VALUE"""),"Unlisted")</f>
        <v>Unlisted</v>
      </c>
      <c r="P377" s="174" t="str">
        <f>IFERROR(__xludf.DUMMYFUNCTION("""COMPUTED_VALUE"""),"Unlisted")</f>
        <v>Unlisted</v>
      </c>
      <c r="Q377" s="174" t="str">
        <f>IFERROR(__xludf.DUMMYFUNCTION("""COMPUTED_VALUE"""),"Unlisted")</f>
        <v>Unlisted</v>
      </c>
      <c r="R377" s="174" t="str">
        <f>IFERROR(__xludf.DUMMYFUNCTION("""COMPUTED_VALUE"""),"Unlisted")</f>
        <v>Unlisted</v>
      </c>
    </row>
    <row r="378">
      <c r="A378" s="255" t="str">
        <f>IFERROR(__xludf.DUMMYFUNCTION("""COMPUTED_VALUE"""),"Tinkatink")</f>
        <v>Tinkatink</v>
      </c>
      <c r="B378" s="174" t="str">
        <f>IFERROR(__xludf.DUMMYFUNCTION("""COMPUTED_VALUE"""),"Unlisted")</f>
        <v>Unlisted</v>
      </c>
      <c r="C378" s="174" t="str">
        <f>IFERROR(__xludf.DUMMYFUNCTION("""COMPUTED_VALUE"""),"Unlisted")</f>
        <v>Unlisted</v>
      </c>
      <c r="D378" s="174" t="str">
        <f>IFERROR(__xludf.DUMMYFUNCTION("""COMPUTED_VALUE"""),"Proficient")</f>
        <v>Proficient</v>
      </c>
      <c r="E378" s="174" t="str">
        <f>IFERROR(__xludf.DUMMYFUNCTION("""COMPUTED_VALUE"""),"Proficient")</f>
        <v>Proficient</v>
      </c>
      <c r="F378" s="174" t="str">
        <f>IFERROR(__xludf.DUMMYFUNCTION("""COMPUTED_VALUE"""),"Unlisted")</f>
        <v>Unlisted</v>
      </c>
      <c r="G378" s="174" t="str">
        <f>IFERROR(__xludf.DUMMYFUNCTION("""COMPUTED_VALUE"""),"Unlisted")</f>
        <v>Unlisted</v>
      </c>
      <c r="H378" s="174" t="str">
        <f>IFERROR(__xludf.DUMMYFUNCTION("""COMPUTED_VALUE"""),"Unlisted")</f>
        <v>Unlisted</v>
      </c>
      <c r="I378" s="174" t="str">
        <f>IFERROR(__xludf.DUMMYFUNCTION("""COMPUTED_VALUE"""),"Unlisted")</f>
        <v>Unlisted</v>
      </c>
      <c r="J378" s="174" t="str">
        <f>IFERROR(__xludf.DUMMYFUNCTION("""COMPUTED_VALUE"""),"Unlisted")</f>
        <v>Unlisted</v>
      </c>
      <c r="K378" s="174" t="str">
        <f>IFERROR(__xludf.DUMMYFUNCTION("""COMPUTED_VALUE"""),"Unlisted")</f>
        <v>Unlisted</v>
      </c>
      <c r="L378" s="174" t="str">
        <f>IFERROR(__xludf.DUMMYFUNCTION("""COMPUTED_VALUE"""),"Unlisted")</f>
        <v>Unlisted</v>
      </c>
      <c r="M378" s="174" t="str">
        <f>IFERROR(__xludf.DUMMYFUNCTION("""COMPUTED_VALUE"""),"Unlisted")</f>
        <v>Unlisted</v>
      </c>
      <c r="N378" s="174" t="str">
        <f>IFERROR(__xludf.DUMMYFUNCTION("""COMPUTED_VALUE"""),"Unlisted")</f>
        <v>Unlisted</v>
      </c>
      <c r="O378" s="174" t="str">
        <f>IFERROR(__xludf.DUMMYFUNCTION("""COMPUTED_VALUE"""),"Unlisted")</f>
        <v>Unlisted</v>
      </c>
      <c r="P378" s="174" t="str">
        <f>IFERROR(__xludf.DUMMYFUNCTION("""COMPUTED_VALUE"""),"Unlisted")</f>
        <v>Unlisted</v>
      </c>
      <c r="Q378" s="174" t="str">
        <f>IFERROR(__xludf.DUMMYFUNCTION("""COMPUTED_VALUE"""),"Unlisted")</f>
        <v>Unlisted</v>
      </c>
      <c r="R378" s="174" t="str">
        <f>IFERROR(__xludf.DUMMYFUNCTION("""COMPUTED_VALUE"""),"Unlisted")</f>
        <v>Unlisted</v>
      </c>
    </row>
    <row r="379">
      <c r="A379" s="255" t="str">
        <f>IFERROR(__xludf.DUMMYFUNCTION("""COMPUTED_VALUE"""),"Tinkatuff")</f>
        <v>Tinkatuff</v>
      </c>
      <c r="B379" s="174" t="str">
        <f>IFERROR(__xludf.DUMMYFUNCTION("""COMPUTED_VALUE"""),"Unlisted")</f>
        <v>Unlisted</v>
      </c>
      <c r="C379" s="174" t="str">
        <f>IFERROR(__xludf.DUMMYFUNCTION("""COMPUTED_VALUE"""),"Unlisted")</f>
        <v>Unlisted</v>
      </c>
      <c r="D379" s="174" t="str">
        <f>IFERROR(__xludf.DUMMYFUNCTION("""COMPUTED_VALUE"""),"Proficient")</f>
        <v>Proficient</v>
      </c>
      <c r="E379" s="174" t="str">
        <f>IFERROR(__xludf.DUMMYFUNCTION("""COMPUTED_VALUE"""),"Proficient")</f>
        <v>Proficient</v>
      </c>
      <c r="F379" s="174" t="str">
        <f>IFERROR(__xludf.DUMMYFUNCTION("""COMPUTED_VALUE"""),"Unlisted")</f>
        <v>Unlisted</v>
      </c>
      <c r="G379" s="174" t="str">
        <f>IFERROR(__xludf.DUMMYFUNCTION("""COMPUTED_VALUE"""),"Unlisted")</f>
        <v>Unlisted</v>
      </c>
      <c r="H379" s="174" t="str">
        <f>IFERROR(__xludf.DUMMYFUNCTION("""COMPUTED_VALUE"""),"Unlisted")</f>
        <v>Unlisted</v>
      </c>
      <c r="I379" s="174" t="str">
        <f>IFERROR(__xludf.DUMMYFUNCTION("""COMPUTED_VALUE"""),"Unlisted")</f>
        <v>Unlisted</v>
      </c>
      <c r="J379" s="174" t="str">
        <f>IFERROR(__xludf.DUMMYFUNCTION("""COMPUTED_VALUE"""),"Unlisted")</f>
        <v>Unlisted</v>
      </c>
      <c r="K379" s="174" t="str">
        <f>IFERROR(__xludf.DUMMYFUNCTION("""COMPUTED_VALUE"""),"Unlisted")</f>
        <v>Unlisted</v>
      </c>
      <c r="L379" s="174" t="str">
        <f>IFERROR(__xludf.DUMMYFUNCTION("""COMPUTED_VALUE"""),"Unlisted")</f>
        <v>Unlisted</v>
      </c>
      <c r="M379" s="174" t="str">
        <f>IFERROR(__xludf.DUMMYFUNCTION("""COMPUTED_VALUE"""),"Unlisted")</f>
        <v>Unlisted</v>
      </c>
      <c r="N379" s="174" t="str">
        <f>IFERROR(__xludf.DUMMYFUNCTION("""COMPUTED_VALUE"""),"Unlisted")</f>
        <v>Unlisted</v>
      </c>
      <c r="O379" s="174" t="str">
        <f>IFERROR(__xludf.DUMMYFUNCTION("""COMPUTED_VALUE"""),"Unlisted")</f>
        <v>Unlisted</v>
      </c>
      <c r="P379" s="174" t="str">
        <f>IFERROR(__xludf.DUMMYFUNCTION("""COMPUTED_VALUE"""),"Unlisted")</f>
        <v>Unlisted</v>
      </c>
      <c r="Q379" s="174" t="str">
        <f>IFERROR(__xludf.DUMMYFUNCTION("""COMPUTED_VALUE"""),"Unlisted")</f>
        <v>Unlisted</v>
      </c>
      <c r="R379" s="174" t="str">
        <f>IFERROR(__xludf.DUMMYFUNCTION("""COMPUTED_VALUE"""),"Unlisted")</f>
        <v>Unlisted</v>
      </c>
    </row>
    <row r="380">
      <c r="A380" s="255" t="str">
        <f>IFERROR(__xludf.DUMMYFUNCTION("""COMPUTED_VALUE"""),"Tinkaton")</f>
        <v>Tinkaton</v>
      </c>
      <c r="B380" s="174" t="str">
        <f>IFERROR(__xludf.DUMMYFUNCTION("""COMPUTED_VALUE"""),"Unlisted")</f>
        <v>Unlisted</v>
      </c>
      <c r="C380" s="174" t="str">
        <f>IFERROR(__xludf.DUMMYFUNCTION("""COMPUTED_VALUE"""),"Unlisted")</f>
        <v>Unlisted</v>
      </c>
      <c r="D380" s="174" t="str">
        <f>IFERROR(__xludf.DUMMYFUNCTION("""COMPUTED_VALUE"""),"Proficient")</f>
        <v>Proficient</v>
      </c>
      <c r="E380" s="174" t="str">
        <f>IFERROR(__xludf.DUMMYFUNCTION("""COMPUTED_VALUE"""),"Proficient")</f>
        <v>Proficient</v>
      </c>
      <c r="F380" s="174" t="str">
        <f>IFERROR(__xludf.DUMMYFUNCTION("""COMPUTED_VALUE"""),"Unlisted")</f>
        <v>Unlisted</v>
      </c>
      <c r="G380" s="174" t="str">
        <f>IFERROR(__xludf.DUMMYFUNCTION("""COMPUTED_VALUE"""),"Unlisted")</f>
        <v>Unlisted</v>
      </c>
      <c r="H380" s="174" t="str">
        <f>IFERROR(__xludf.DUMMYFUNCTION("""COMPUTED_VALUE"""),"Unlisted")</f>
        <v>Unlisted</v>
      </c>
      <c r="I380" s="174" t="str">
        <f>IFERROR(__xludf.DUMMYFUNCTION("""COMPUTED_VALUE"""),"Unlisted")</f>
        <v>Unlisted</v>
      </c>
      <c r="J380" s="174" t="str">
        <f>IFERROR(__xludf.DUMMYFUNCTION("""COMPUTED_VALUE"""),"Unlisted")</f>
        <v>Unlisted</v>
      </c>
      <c r="K380" s="174" t="str">
        <f>IFERROR(__xludf.DUMMYFUNCTION("""COMPUTED_VALUE"""),"Unlisted")</f>
        <v>Unlisted</v>
      </c>
      <c r="L380" s="174" t="str">
        <f>IFERROR(__xludf.DUMMYFUNCTION("""COMPUTED_VALUE"""),"Unlisted")</f>
        <v>Unlisted</v>
      </c>
      <c r="M380" s="174" t="str">
        <f>IFERROR(__xludf.DUMMYFUNCTION("""COMPUTED_VALUE"""),"Unlisted")</f>
        <v>Unlisted</v>
      </c>
      <c r="N380" s="174" t="str">
        <f>IFERROR(__xludf.DUMMYFUNCTION("""COMPUTED_VALUE"""),"Unlisted")</f>
        <v>Unlisted</v>
      </c>
      <c r="O380" s="174" t="str">
        <f>IFERROR(__xludf.DUMMYFUNCTION("""COMPUTED_VALUE"""),"Unlisted")</f>
        <v>Unlisted</v>
      </c>
      <c r="P380" s="174" t="str">
        <f>IFERROR(__xludf.DUMMYFUNCTION("""COMPUTED_VALUE"""),"Unlisted")</f>
        <v>Unlisted</v>
      </c>
      <c r="Q380" s="174" t="str">
        <f>IFERROR(__xludf.DUMMYFUNCTION("""COMPUTED_VALUE"""),"Unlisted")</f>
        <v>Unlisted</v>
      </c>
      <c r="R380" s="174" t="str">
        <f>IFERROR(__xludf.DUMMYFUNCTION("""COMPUTED_VALUE"""),"Unlisted")</f>
        <v>Unlisted</v>
      </c>
    </row>
    <row r="381">
      <c r="A381" s="255" t="str">
        <f>IFERROR(__xludf.DUMMYFUNCTION("""COMPUTED_VALUE"""),"Machop")</f>
        <v>Machop</v>
      </c>
      <c r="B381" s="174" t="str">
        <f>IFERROR(__xludf.DUMMYFUNCTION("""COMPUTED_VALUE"""),"Unlisted")</f>
        <v>Unlisted</v>
      </c>
      <c r="C381" s="174" t="str">
        <f>IFERROR(__xludf.DUMMYFUNCTION("""COMPUTED_VALUE"""),"Mastered")</f>
        <v>Mastered</v>
      </c>
      <c r="D381" s="174" t="str">
        <f>IFERROR(__xludf.DUMMYFUNCTION("""COMPUTED_VALUE"""),"Unlisted")</f>
        <v>Unlisted</v>
      </c>
      <c r="E381" s="174" t="str">
        <f>IFERROR(__xludf.DUMMYFUNCTION("""COMPUTED_VALUE"""),"Mastered")</f>
        <v>Mastered</v>
      </c>
      <c r="F381" s="174" t="str">
        <f>IFERROR(__xludf.DUMMYFUNCTION("""COMPUTED_VALUE"""),"Unlisted")</f>
        <v>Unlisted</v>
      </c>
      <c r="G381" s="174" t="str">
        <f>IFERROR(__xludf.DUMMYFUNCTION("""COMPUTED_VALUE"""),"Unlisted")</f>
        <v>Unlisted</v>
      </c>
      <c r="H381" s="174" t="str">
        <f>IFERROR(__xludf.DUMMYFUNCTION("""COMPUTED_VALUE"""),"Unlisted")</f>
        <v>Unlisted</v>
      </c>
      <c r="I381" s="174" t="str">
        <f>IFERROR(__xludf.DUMMYFUNCTION("""COMPUTED_VALUE"""),"Unlisted")</f>
        <v>Unlisted</v>
      </c>
      <c r="J381" s="174" t="str">
        <f>IFERROR(__xludf.DUMMYFUNCTION("""COMPUTED_VALUE"""),"Inept")</f>
        <v>Inept</v>
      </c>
      <c r="K381" s="174" t="str">
        <f>IFERROR(__xludf.DUMMYFUNCTION("""COMPUTED_VALUE"""),"Unlisted")</f>
        <v>Unlisted</v>
      </c>
      <c r="L381" s="174" t="str">
        <f>IFERROR(__xludf.DUMMYFUNCTION("""COMPUTED_VALUE"""),"Unlisted")</f>
        <v>Unlisted</v>
      </c>
      <c r="M381" s="174" t="str">
        <f>IFERROR(__xludf.DUMMYFUNCTION("""COMPUTED_VALUE"""),"Unlisted")</f>
        <v>Unlisted</v>
      </c>
      <c r="N381" s="174" t="str">
        <f>IFERROR(__xludf.DUMMYFUNCTION("""COMPUTED_VALUE"""),"Unlisted")</f>
        <v>Unlisted</v>
      </c>
      <c r="O381" s="174" t="str">
        <f>IFERROR(__xludf.DUMMYFUNCTION("""COMPUTED_VALUE"""),"Unlisted")</f>
        <v>Unlisted</v>
      </c>
      <c r="P381" s="174" t="str">
        <f>IFERROR(__xludf.DUMMYFUNCTION("""COMPUTED_VALUE"""),"Unlisted")</f>
        <v>Unlisted</v>
      </c>
      <c r="Q381" s="174" t="str">
        <f>IFERROR(__xludf.DUMMYFUNCTION("""COMPUTED_VALUE"""),"Unlisted")</f>
        <v>Unlisted</v>
      </c>
      <c r="R381" s="174" t="str">
        <f>IFERROR(__xludf.DUMMYFUNCTION("""COMPUTED_VALUE"""),"Unlisted")</f>
        <v>Unlisted</v>
      </c>
    </row>
    <row r="382">
      <c r="A382" s="255" t="str">
        <f>IFERROR(__xludf.DUMMYFUNCTION("""COMPUTED_VALUE"""),"Machoke")</f>
        <v>Machoke</v>
      </c>
      <c r="B382" s="174" t="str">
        <f>IFERROR(__xludf.DUMMYFUNCTION("""COMPUTED_VALUE"""),"Unlisted")</f>
        <v>Unlisted</v>
      </c>
      <c r="C382" s="174" t="str">
        <f>IFERROR(__xludf.DUMMYFUNCTION("""COMPUTED_VALUE"""),"Mastered")</f>
        <v>Mastered</v>
      </c>
      <c r="D382" s="174" t="str">
        <f>IFERROR(__xludf.DUMMYFUNCTION("""COMPUTED_VALUE"""),"Unlisted")</f>
        <v>Unlisted</v>
      </c>
      <c r="E382" s="174" t="str">
        <f>IFERROR(__xludf.DUMMYFUNCTION("""COMPUTED_VALUE"""),"Mastered")</f>
        <v>Mastered</v>
      </c>
      <c r="F382" s="174" t="str">
        <f>IFERROR(__xludf.DUMMYFUNCTION("""COMPUTED_VALUE"""),"Unlisted")</f>
        <v>Unlisted</v>
      </c>
      <c r="G382" s="174" t="str">
        <f>IFERROR(__xludf.DUMMYFUNCTION("""COMPUTED_VALUE"""),"Unlisted")</f>
        <v>Unlisted</v>
      </c>
      <c r="H382" s="174" t="str">
        <f>IFERROR(__xludf.DUMMYFUNCTION("""COMPUTED_VALUE"""),"Unlisted")</f>
        <v>Unlisted</v>
      </c>
      <c r="I382" s="174" t="str">
        <f>IFERROR(__xludf.DUMMYFUNCTION("""COMPUTED_VALUE"""),"Unlisted")</f>
        <v>Unlisted</v>
      </c>
      <c r="J382" s="174" t="str">
        <f>IFERROR(__xludf.DUMMYFUNCTION("""COMPUTED_VALUE"""),"Inept")</f>
        <v>Inept</v>
      </c>
      <c r="K382" s="174" t="str">
        <f>IFERROR(__xludf.DUMMYFUNCTION("""COMPUTED_VALUE"""),"Unlisted")</f>
        <v>Unlisted</v>
      </c>
      <c r="L382" s="174" t="str">
        <f>IFERROR(__xludf.DUMMYFUNCTION("""COMPUTED_VALUE"""),"Unlisted")</f>
        <v>Unlisted</v>
      </c>
      <c r="M382" s="174" t="str">
        <f>IFERROR(__xludf.DUMMYFUNCTION("""COMPUTED_VALUE"""),"Unlisted")</f>
        <v>Unlisted</v>
      </c>
      <c r="N382" s="174" t="str">
        <f>IFERROR(__xludf.DUMMYFUNCTION("""COMPUTED_VALUE"""),"Unlisted")</f>
        <v>Unlisted</v>
      </c>
      <c r="O382" s="174" t="str">
        <f>IFERROR(__xludf.DUMMYFUNCTION("""COMPUTED_VALUE"""),"Unlisted")</f>
        <v>Unlisted</v>
      </c>
      <c r="P382" s="174" t="str">
        <f>IFERROR(__xludf.DUMMYFUNCTION("""COMPUTED_VALUE"""),"Unlisted")</f>
        <v>Unlisted</v>
      </c>
      <c r="Q382" s="174" t="str">
        <f>IFERROR(__xludf.DUMMYFUNCTION("""COMPUTED_VALUE"""),"Unlisted")</f>
        <v>Unlisted</v>
      </c>
      <c r="R382" s="174" t="str">
        <f>IFERROR(__xludf.DUMMYFUNCTION("""COMPUTED_VALUE"""),"Unlisted")</f>
        <v>Unlisted</v>
      </c>
    </row>
    <row r="383">
      <c r="A383" s="255" t="str">
        <f>IFERROR(__xludf.DUMMYFUNCTION("""COMPUTED_VALUE"""),"Machamp")</f>
        <v>Machamp</v>
      </c>
      <c r="B383" s="174" t="str">
        <f>IFERROR(__xludf.DUMMYFUNCTION("""COMPUTED_VALUE"""),"Unlisted")</f>
        <v>Unlisted</v>
      </c>
      <c r="C383" s="174" t="str">
        <f>IFERROR(__xludf.DUMMYFUNCTION("""COMPUTED_VALUE"""),"Mastered")</f>
        <v>Mastered</v>
      </c>
      <c r="D383" s="174" t="str">
        <f>IFERROR(__xludf.DUMMYFUNCTION("""COMPUTED_VALUE"""),"Unlisted")</f>
        <v>Unlisted</v>
      </c>
      <c r="E383" s="174" t="str">
        <f>IFERROR(__xludf.DUMMYFUNCTION("""COMPUTED_VALUE"""),"Mastered")</f>
        <v>Mastered</v>
      </c>
      <c r="F383" s="174" t="str">
        <f>IFERROR(__xludf.DUMMYFUNCTION("""COMPUTED_VALUE"""),"Unlisted")</f>
        <v>Unlisted</v>
      </c>
      <c r="G383" s="174" t="str">
        <f>IFERROR(__xludf.DUMMYFUNCTION("""COMPUTED_VALUE"""),"Unlisted")</f>
        <v>Unlisted</v>
      </c>
      <c r="H383" s="174" t="str">
        <f>IFERROR(__xludf.DUMMYFUNCTION("""COMPUTED_VALUE"""),"Unlisted")</f>
        <v>Unlisted</v>
      </c>
      <c r="I383" s="174" t="str">
        <f>IFERROR(__xludf.DUMMYFUNCTION("""COMPUTED_VALUE"""),"Unlisted")</f>
        <v>Unlisted</v>
      </c>
      <c r="J383" s="174" t="str">
        <f>IFERROR(__xludf.DUMMYFUNCTION("""COMPUTED_VALUE"""),"Inept")</f>
        <v>Inept</v>
      </c>
      <c r="K383" s="174" t="str">
        <f>IFERROR(__xludf.DUMMYFUNCTION("""COMPUTED_VALUE"""),"Unlisted")</f>
        <v>Unlisted</v>
      </c>
      <c r="L383" s="174" t="str">
        <f>IFERROR(__xludf.DUMMYFUNCTION("""COMPUTED_VALUE"""),"Unlisted")</f>
        <v>Unlisted</v>
      </c>
      <c r="M383" s="174" t="str">
        <f>IFERROR(__xludf.DUMMYFUNCTION("""COMPUTED_VALUE"""),"Unlisted")</f>
        <v>Unlisted</v>
      </c>
      <c r="N383" s="174" t="str">
        <f>IFERROR(__xludf.DUMMYFUNCTION("""COMPUTED_VALUE"""),"Unlisted")</f>
        <v>Unlisted</v>
      </c>
      <c r="O383" s="174" t="str">
        <f>IFERROR(__xludf.DUMMYFUNCTION("""COMPUTED_VALUE"""),"Unlisted")</f>
        <v>Unlisted</v>
      </c>
      <c r="P383" s="174" t="str">
        <f>IFERROR(__xludf.DUMMYFUNCTION("""COMPUTED_VALUE"""),"Unlisted")</f>
        <v>Unlisted</v>
      </c>
      <c r="Q383" s="174" t="str">
        <f>IFERROR(__xludf.DUMMYFUNCTION("""COMPUTED_VALUE"""),"Unlisted")</f>
        <v>Unlisted</v>
      </c>
      <c r="R383" s="174" t="str">
        <f>IFERROR(__xludf.DUMMYFUNCTION("""COMPUTED_VALUE"""),"Unlisted")</f>
        <v>Unlisted</v>
      </c>
    </row>
    <row r="384">
      <c r="A384" s="255" t="str">
        <f>IFERROR(__xludf.DUMMYFUNCTION("""COMPUTED_VALUE"""),"Timburr")</f>
        <v>Timburr</v>
      </c>
      <c r="B384" s="174" t="str">
        <f>IFERROR(__xludf.DUMMYFUNCTION("""COMPUTED_VALUE"""),"Unlisted")</f>
        <v>Unlisted</v>
      </c>
      <c r="C384" s="174" t="str">
        <f>IFERROR(__xludf.DUMMYFUNCTION("""COMPUTED_VALUE"""),"Mastered")</f>
        <v>Mastered</v>
      </c>
      <c r="D384" s="174" t="str">
        <f>IFERROR(__xludf.DUMMYFUNCTION("""COMPUTED_VALUE"""),"Unlisted")</f>
        <v>Unlisted</v>
      </c>
      <c r="E384" s="174" t="str">
        <f>IFERROR(__xludf.DUMMYFUNCTION("""COMPUTED_VALUE"""),"Proficient")</f>
        <v>Proficient</v>
      </c>
      <c r="F384" s="174" t="str">
        <f>IFERROR(__xludf.DUMMYFUNCTION("""COMPUTED_VALUE"""),"Unlisted")</f>
        <v>Unlisted</v>
      </c>
      <c r="G384" s="174" t="str">
        <f>IFERROR(__xludf.DUMMYFUNCTION("""COMPUTED_VALUE"""),"Proficient")</f>
        <v>Proficient</v>
      </c>
      <c r="H384" s="174" t="str">
        <f>IFERROR(__xludf.DUMMYFUNCTION("""COMPUTED_VALUE"""),"Unlisted")</f>
        <v>Unlisted</v>
      </c>
      <c r="I384" s="174" t="str">
        <f>IFERROR(__xludf.DUMMYFUNCTION("""COMPUTED_VALUE"""),"Unlisted")</f>
        <v>Unlisted</v>
      </c>
      <c r="J384" s="174" t="str">
        <f>IFERROR(__xludf.DUMMYFUNCTION("""COMPUTED_VALUE"""),"Unlisted")</f>
        <v>Unlisted</v>
      </c>
      <c r="K384" s="174" t="str">
        <f>IFERROR(__xludf.DUMMYFUNCTION("""COMPUTED_VALUE"""),"Unlisted")</f>
        <v>Unlisted</v>
      </c>
      <c r="L384" s="174" t="str">
        <f>IFERROR(__xludf.DUMMYFUNCTION("""COMPUTED_VALUE"""),"Unlisted")</f>
        <v>Unlisted</v>
      </c>
      <c r="M384" s="174" t="str">
        <f>IFERROR(__xludf.DUMMYFUNCTION("""COMPUTED_VALUE"""),"Unlisted")</f>
        <v>Unlisted</v>
      </c>
      <c r="N384" s="174" t="str">
        <f>IFERROR(__xludf.DUMMYFUNCTION("""COMPUTED_VALUE"""),"Unlisted")</f>
        <v>Unlisted</v>
      </c>
      <c r="O384" s="174" t="str">
        <f>IFERROR(__xludf.DUMMYFUNCTION("""COMPUTED_VALUE"""),"Unlisted")</f>
        <v>Unlisted</v>
      </c>
      <c r="P384" s="174" t="str">
        <f>IFERROR(__xludf.DUMMYFUNCTION("""COMPUTED_VALUE"""),"Unlisted")</f>
        <v>Unlisted</v>
      </c>
      <c r="Q384" s="174" t="str">
        <f>IFERROR(__xludf.DUMMYFUNCTION("""COMPUTED_VALUE"""),"Unlisted")</f>
        <v>Unlisted</v>
      </c>
      <c r="R384" s="174" t="str">
        <f>IFERROR(__xludf.DUMMYFUNCTION("""COMPUTED_VALUE"""),"Unlisted")</f>
        <v>Unlisted</v>
      </c>
    </row>
    <row r="385">
      <c r="A385" s="255" t="str">
        <f>IFERROR(__xludf.DUMMYFUNCTION("""COMPUTED_VALUE"""),"Gurdurr")</f>
        <v>Gurdurr</v>
      </c>
      <c r="B385" s="174" t="str">
        <f>IFERROR(__xludf.DUMMYFUNCTION("""COMPUTED_VALUE"""),"Unlisted")</f>
        <v>Unlisted</v>
      </c>
      <c r="C385" s="174" t="str">
        <f>IFERROR(__xludf.DUMMYFUNCTION("""COMPUTED_VALUE"""),"Mastered")</f>
        <v>Mastered</v>
      </c>
      <c r="D385" s="174" t="str">
        <f>IFERROR(__xludf.DUMMYFUNCTION("""COMPUTED_VALUE"""),"Unlisted")</f>
        <v>Unlisted</v>
      </c>
      <c r="E385" s="174" t="str">
        <f>IFERROR(__xludf.DUMMYFUNCTION("""COMPUTED_VALUE"""),"Proficient")</f>
        <v>Proficient</v>
      </c>
      <c r="F385" s="174" t="str">
        <f>IFERROR(__xludf.DUMMYFUNCTION("""COMPUTED_VALUE"""),"Unlisted")</f>
        <v>Unlisted</v>
      </c>
      <c r="G385" s="174" t="str">
        <f>IFERROR(__xludf.DUMMYFUNCTION("""COMPUTED_VALUE"""),"Proficient")</f>
        <v>Proficient</v>
      </c>
      <c r="H385" s="174" t="str">
        <f>IFERROR(__xludf.DUMMYFUNCTION("""COMPUTED_VALUE"""),"Unlisted")</f>
        <v>Unlisted</v>
      </c>
      <c r="I385" s="174" t="str">
        <f>IFERROR(__xludf.DUMMYFUNCTION("""COMPUTED_VALUE"""),"Unlisted")</f>
        <v>Unlisted</v>
      </c>
      <c r="J385" s="174" t="str">
        <f>IFERROR(__xludf.DUMMYFUNCTION("""COMPUTED_VALUE"""),"Unlisted")</f>
        <v>Unlisted</v>
      </c>
      <c r="K385" s="174" t="str">
        <f>IFERROR(__xludf.DUMMYFUNCTION("""COMPUTED_VALUE"""),"Unlisted")</f>
        <v>Unlisted</v>
      </c>
      <c r="L385" s="174" t="str">
        <f>IFERROR(__xludf.DUMMYFUNCTION("""COMPUTED_VALUE"""),"Unlisted")</f>
        <v>Unlisted</v>
      </c>
      <c r="M385" s="174" t="str">
        <f>IFERROR(__xludf.DUMMYFUNCTION("""COMPUTED_VALUE"""),"Unlisted")</f>
        <v>Unlisted</v>
      </c>
      <c r="N385" s="174" t="str">
        <f>IFERROR(__xludf.DUMMYFUNCTION("""COMPUTED_VALUE"""),"Unlisted")</f>
        <v>Unlisted</v>
      </c>
      <c r="O385" s="174" t="str">
        <f>IFERROR(__xludf.DUMMYFUNCTION("""COMPUTED_VALUE"""),"Unlisted")</f>
        <v>Unlisted</v>
      </c>
      <c r="P385" s="174" t="str">
        <f>IFERROR(__xludf.DUMMYFUNCTION("""COMPUTED_VALUE"""),"Unlisted")</f>
        <v>Unlisted</v>
      </c>
      <c r="Q385" s="174" t="str">
        <f>IFERROR(__xludf.DUMMYFUNCTION("""COMPUTED_VALUE"""),"Unlisted")</f>
        <v>Unlisted</v>
      </c>
      <c r="R385" s="174" t="str">
        <f>IFERROR(__xludf.DUMMYFUNCTION("""COMPUTED_VALUE"""),"Unlisted")</f>
        <v>Unlisted</v>
      </c>
    </row>
    <row r="386">
      <c r="A386" s="255" t="str">
        <f>IFERROR(__xludf.DUMMYFUNCTION("""COMPUTED_VALUE"""),"Conkeldurr")</f>
        <v>Conkeldurr</v>
      </c>
      <c r="B386" s="174" t="str">
        <f>IFERROR(__xludf.DUMMYFUNCTION("""COMPUTED_VALUE"""),"Unlisted")</f>
        <v>Unlisted</v>
      </c>
      <c r="C386" s="174" t="str">
        <f>IFERROR(__xludf.DUMMYFUNCTION("""COMPUTED_VALUE"""),"Mastered")</f>
        <v>Mastered</v>
      </c>
      <c r="D386" s="174" t="str">
        <f>IFERROR(__xludf.DUMMYFUNCTION("""COMPUTED_VALUE"""),"Unlisted")</f>
        <v>Unlisted</v>
      </c>
      <c r="E386" s="174" t="str">
        <f>IFERROR(__xludf.DUMMYFUNCTION("""COMPUTED_VALUE"""),"Proficient")</f>
        <v>Proficient</v>
      </c>
      <c r="F386" s="174" t="str">
        <f>IFERROR(__xludf.DUMMYFUNCTION("""COMPUTED_VALUE"""),"Unlisted")</f>
        <v>Unlisted</v>
      </c>
      <c r="G386" s="174" t="str">
        <f>IFERROR(__xludf.DUMMYFUNCTION("""COMPUTED_VALUE"""),"Proficient")</f>
        <v>Proficient</v>
      </c>
      <c r="H386" s="174" t="str">
        <f>IFERROR(__xludf.DUMMYFUNCTION("""COMPUTED_VALUE"""),"Unlisted")</f>
        <v>Unlisted</v>
      </c>
      <c r="I386" s="174" t="str">
        <f>IFERROR(__xludf.DUMMYFUNCTION("""COMPUTED_VALUE"""),"Unlisted")</f>
        <v>Unlisted</v>
      </c>
      <c r="J386" s="174" t="str">
        <f>IFERROR(__xludf.DUMMYFUNCTION("""COMPUTED_VALUE"""),"Unlisted")</f>
        <v>Unlisted</v>
      </c>
      <c r="K386" s="174" t="str">
        <f>IFERROR(__xludf.DUMMYFUNCTION("""COMPUTED_VALUE"""),"Unlisted")</f>
        <v>Unlisted</v>
      </c>
      <c r="L386" s="174" t="str">
        <f>IFERROR(__xludf.DUMMYFUNCTION("""COMPUTED_VALUE"""),"Unlisted")</f>
        <v>Unlisted</v>
      </c>
      <c r="M386" s="174" t="str">
        <f>IFERROR(__xludf.DUMMYFUNCTION("""COMPUTED_VALUE"""),"Unlisted")</f>
        <v>Unlisted</v>
      </c>
      <c r="N386" s="174" t="str">
        <f>IFERROR(__xludf.DUMMYFUNCTION("""COMPUTED_VALUE"""),"Unlisted")</f>
        <v>Unlisted</v>
      </c>
      <c r="O386" s="174" t="str">
        <f>IFERROR(__xludf.DUMMYFUNCTION("""COMPUTED_VALUE"""),"Unlisted")</f>
        <v>Unlisted</v>
      </c>
      <c r="P386" s="174" t="str">
        <f>IFERROR(__xludf.DUMMYFUNCTION("""COMPUTED_VALUE"""),"Unlisted")</f>
        <v>Unlisted</v>
      </c>
      <c r="Q386" s="174" t="str">
        <f>IFERROR(__xludf.DUMMYFUNCTION("""COMPUTED_VALUE"""),"Unlisted")</f>
        <v>Unlisted</v>
      </c>
      <c r="R386" s="174" t="str">
        <f>IFERROR(__xludf.DUMMYFUNCTION("""COMPUTED_VALUE"""),"Unlisted")</f>
        <v>Unlisted</v>
      </c>
    </row>
    <row r="387">
      <c r="A387" s="255" t="str">
        <f>IFERROR(__xludf.DUMMYFUNCTION("""COMPUTED_VALUE"""),"Magby")</f>
        <v>Magby</v>
      </c>
      <c r="B387" s="174" t="str">
        <f>IFERROR(__xludf.DUMMYFUNCTION("""COMPUTED_VALUE"""),"Unlisted")</f>
        <v>Unlisted</v>
      </c>
      <c r="C387" s="174" t="str">
        <f>IFERROR(__xludf.DUMMYFUNCTION("""COMPUTED_VALUE"""),"Unlisted")</f>
        <v>Unlisted</v>
      </c>
      <c r="D387" s="174" t="str">
        <f>IFERROR(__xludf.DUMMYFUNCTION("""COMPUTED_VALUE"""),"Unlisted")</f>
        <v>Unlisted</v>
      </c>
      <c r="E387" s="174" t="str">
        <f>IFERROR(__xludf.DUMMYFUNCTION("""COMPUTED_VALUE"""),"Unlisted")</f>
        <v>Unlisted</v>
      </c>
      <c r="F387" s="174" t="str">
        <f>IFERROR(__xludf.DUMMYFUNCTION("""COMPUTED_VALUE"""),"Unlisted")</f>
        <v>Unlisted</v>
      </c>
      <c r="G387" s="174" t="str">
        <f>IFERROR(__xludf.DUMMYFUNCTION("""COMPUTED_VALUE"""),"Proficient")</f>
        <v>Proficient</v>
      </c>
      <c r="H387" s="174" t="str">
        <f>IFERROR(__xludf.DUMMYFUNCTION("""COMPUTED_VALUE"""),"Unlisted")</f>
        <v>Unlisted</v>
      </c>
      <c r="I387" s="174" t="str">
        <f>IFERROR(__xludf.DUMMYFUNCTION("""COMPUTED_VALUE"""),"Unlisted")</f>
        <v>Unlisted</v>
      </c>
      <c r="J387" s="174" t="str">
        <f>IFERROR(__xludf.DUMMYFUNCTION("""COMPUTED_VALUE"""),"Unlisted")</f>
        <v>Unlisted</v>
      </c>
      <c r="K387" s="174" t="str">
        <f>IFERROR(__xludf.DUMMYFUNCTION("""COMPUTED_VALUE"""),"Proficient")</f>
        <v>Proficient</v>
      </c>
      <c r="L387" s="174" t="str">
        <f>IFERROR(__xludf.DUMMYFUNCTION("""COMPUTED_VALUE"""),"Unlisted")</f>
        <v>Unlisted</v>
      </c>
      <c r="M387" s="174" t="str">
        <f>IFERROR(__xludf.DUMMYFUNCTION("""COMPUTED_VALUE"""),"Unlisted")</f>
        <v>Unlisted</v>
      </c>
      <c r="N387" s="174" t="str">
        <f>IFERROR(__xludf.DUMMYFUNCTION("""COMPUTED_VALUE"""),"Unlisted")</f>
        <v>Unlisted</v>
      </c>
      <c r="O387" s="174" t="str">
        <f>IFERROR(__xludf.DUMMYFUNCTION("""COMPUTED_VALUE"""),"Unlisted")</f>
        <v>Unlisted</v>
      </c>
      <c r="P387" s="174" t="str">
        <f>IFERROR(__xludf.DUMMYFUNCTION("""COMPUTED_VALUE"""),"Unlisted")</f>
        <v>Unlisted</v>
      </c>
      <c r="Q387" s="174" t="str">
        <f>IFERROR(__xludf.DUMMYFUNCTION("""COMPUTED_VALUE"""),"Unlisted")</f>
        <v>Unlisted</v>
      </c>
      <c r="R387" s="174" t="str">
        <f>IFERROR(__xludf.DUMMYFUNCTION("""COMPUTED_VALUE"""),"Unlisted")</f>
        <v>Unlisted</v>
      </c>
    </row>
    <row r="388">
      <c r="A388" s="255" t="str">
        <f>IFERROR(__xludf.DUMMYFUNCTION("""COMPUTED_VALUE"""),"Magmar")</f>
        <v>Magmar</v>
      </c>
      <c r="B388" s="174" t="str">
        <f>IFERROR(__xludf.DUMMYFUNCTION("""COMPUTED_VALUE"""),"Unlisted")</f>
        <v>Unlisted</v>
      </c>
      <c r="C388" s="174" t="str">
        <f>IFERROR(__xludf.DUMMYFUNCTION("""COMPUTED_VALUE"""),"Unlisted")</f>
        <v>Unlisted</v>
      </c>
      <c r="D388" s="174" t="str">
        <f>IFERROR(__xludf.DUMMYFUNCTION("""COMPUTED_VALUE"""),"Unlisted")</f>
        <v>Unlisted</v>
      </c>
      <c r="E388" s="174" t="str">
        <f>IFERROR(__xludf.DUMMYFUNCTION("""COMPUTED_VALUE"""),"Unlisted")</f>
        <v>Unlisted</v>
      </c>
      <c r="F388" s="174" t="str">
        <f>IFERROR(__xludf.DUMMYFUNCTION("""COMPUTED_VALUE"""),"Unlisted")</f>
        <v>Unlisted</v>
      </c>
      <c r="G388" s="174" t="str">
        <f>IFERROR(__xludf.DUMMYFUNCTION("""COMPUTED_VALUE"""),"Proficient")</f>
        <v>Proficient</v>
      </c>
      <c r="H388" s="174" t="str">
        <f>IFERROR(__xludf.DUMMYFUNCTION("""COMPUTED_VALUE"""),"Unlisted")</f>
        <v>Unlisted</v>
      </c>
      <c r="I388" s="174" t="str">
        <f>IFERROR(__xludf.DUMMYFUNCTION("""COMPUTED_VALUE"""),"Unlisted")</f>
        <v>Unlisted</v>
      </c>
      <c r="J388" s="174" t="str">
        <f>IFERROR(__xludf.DUMMYFUNCTION("""COMPUTED_VALUE"""),"Unlisted")</f>
        <v>Unlisted</v>
      </c>
      <c r="K388" s="174" t="str">
        <f>IFERROR(__xludf.DUMMYFUNCTION("""COMPUTED_VALUE"""),"Proficient")</f>
        <v>Proficient</v>
      </c>
      <c r="L388" s="174" t="str">
        <f>IFERROR(__xludf.DUMMYFUNCTION("""COMPUTED_VALUE"""),"Unlisted")</f>
        <v>Unlisted</v>
      </c>
      <c r="M388" s="174" t="str">
        <f>IFERROR(__xludf.DUMMYFUNCTION("""COMPUTED_VALUE"""),"Unlisted")</f>
        <v>Unlisted</v>
      </c>
      <c r="N388" s="174" t="str">
        <f>IFERROR(__xludf.DUMMYFUNCTION("""COMPUTED_VALUE"""),"Unlisted")</f>
        <v>Unlisted</v>
      </c>
      <c r="O388" s="174" t="str">
        <f>IFERROR(__xludf.DUMMYFUNCTION("""COMPUTED_VALUE"""),"Unlisted")</f>
        <v>Unlisted</v>
      </c>
      <c r="P388" s="174" t="str">
        <f>IFERROR(__xludf.DUMMYFUNCTION("""COMPUTED_VALUE"""),"Unlisted")</f>
        <v>Unlisted</v>
      </c>
      <c r="Q388" s="174" t="str">
        <f>IFERROR(__xludf.DUMMYFUNCTION("""COMPUTED_VALUE"""),"Unlisted")</f>
        <v>Unlisted</v>
      </c>
      <c r="R388" s="174" t="str">
        <f>IFERROR(__xludf.DUMMYFUNCTION("""COMPUTED_VALUE"""),"Unlisted")</f>
        <v>Unlisted</v>
      </c>
    </row>
    <row r="389">
      <c r="A389" s="255" t="str">
        <f>IFERROR(__xludf.DUMMYFUNCTION("""COMPUTED_VALUE"""),"Magmortar")</f>
        <v>Magmortar</v>
      </c>
      <c r="B389" s="174" t="str">
        <f>IFERROR(__xludf.DUMMYFUNCTION("""COMPUTED_VALUE"""),"Unlisted")</f>
        <v>Unlisted</v>
      </c>
      <c r="C389" s="174" t="str">
        <f>IFERROR(__xludf.DUMMYFUNCTION("""COMPUTED_VALUE"""),"Unlisted")</f>
        <v>Unlisted</v>
      </c>
      <c r="D389" s="174" t="str">
        <f>IFERROR(__xludf.DUMMYFUNCTION("""COMPUTED_VALUE"""),"Unlisted")</f>
        <v>Unlisted</v>
      </c>
      <c r="E389" s="174" t="str">
        <f>IFERROR(__xludf.DUMMYFUNCTION("""COMPUTED_VALUE"""),"Unlisted")</f>
        <v>Unlisted</v>
      </c>
      <c r="F389" s="174" t="str">
        <f>IFERROR(__xludf.DUMMYFUNCTION("""COMPUTED_VALUE"""),"Unlisted")</f>
        <v>Unlisted</v>
      </c>
      <c r="G389" s="174" t="str">
        <f>IFERROR(__xludf.DUMMYFUNCTION("""COMPUTED_VALUE"""),"Proficient")</f>
        <v>Proficient</v>
      </c>
      <c r="H389" s="174" t="str">
        <f>IFERROR(__xludf.DUMMYFUNCTION("""COMPUTED_VALUE"""),"Unlisted")</f>
        <v>Unlisted</v>
      </c>
      <c r="I389" s="174" t="str">
        <f>IFERROR(__xludf.DUMMYFUNCTION("""COMPUTED_VALUE"""),"Unlisted")</f>
        <v>Unlisted</v>
      </c>
      <c r="J389" s="174" t="str">
        <f>IFERROR(__xludf.DUMMYFUNCTION("""COMPUTED_VALUE"""),"Unlisted")</f>
        <v>Unlisted</v>
      </c>
      <c r="K389" s="174" t="str">
        <f>IFERROR(__xludf.DUMMYFUNCTION("""COMPUTED_VALUE"""),"Proficient")</f>
        <v>Proficient</v>
      </c>
      <c r="L389" s="174" t="str">
        <f>IFERROR(__xludf.DUMMYFUNCTION("""COMPUTED_VALUE"""),"Unlisted")</f>
        <v>Unlisted</v>
      </c>
      <c r="M389" s="174" t="str">
        <f>IFERROR(__xludf.DUMMYFUNCTION("""COMPUTED_VALUE"""),"Unlisted")</f>
        <v>Unlisted</v>
      </c>
      <c r="N389" s="174" t="str">
        <f>IFERROR(__xludf.DUMMYFUNCTION("""COMPUTED_VALUE"""),"Unlisted")</f>
        <v>Unlisted</v>
      </c>
      <c r="O389" s="174" t="str">
        <f>IFERROR(__xludf.DUMMYFUNCTION("""COMPUTED_VALUE"""),"Unlisted")</f>
        <v>Unlisted</v>
      </c>
      <c r="P389" s="174" t="str">
        <f>IFERROR(__xludf.DUMMYFUNCTION("""COMPUTED_VALUE"""),"Unlisted")</f>
        <v>Unlisted</v>
      </c>
      <c r="Q389" s="174" t="str">
        <f>IFERROR(__xludf.DUMMYFUNCTION("""COMPUTED_VALUE"""),"Unlisted")</f>
        <v>Unlisted</v>
      </c>
      <c r="R389" s="174" t="str">
        <f>IFERROR(__xludf.DUMMYFUNCTION("""COMPUTED_VALUE"""),"Unlisted")</f>
        <v>Unlisted</v>
      </c>
    </row>
    <row r="390">
      <c r="A390" s="255" t="str">
        <f>IFERROR(__xludf.DUMMYFUNCTION("""COMPUTED_VALUE"""),"Fletchling")</f>
        <v>Fletchling</v>
      </c>
      <c r="B390" s="174" t="str">
        <f>IFERROR(__xludf.DUMMYFUNCTION("""COMPUTED_VALUE"""),"Mastered")</f>
        <v>Mastered</v>
      </c>
      <c r="C390" s="174" t="str">
        <f>IFERROR(__xludf.DUMMYFUNCTION("""COMPUTED_VALUE"""),"Unlisted")</f>
        <v>Unlisted</v>
      </c>
      <c r="D390" s="174" t="str">
        <f>IFERROR(__xludf.DUMMYFUNCTION("""COMPUTED_VALUE"""),"Unlisted")</f>
        <v>Unlisted</v>
      </c>
      <c r="E390" s="174" t="str">
        <f>IFERROR(__xludf.DUMMYFUNCTION("""COMPUTED_VALUE"""),"Proficient")</f>
        <v>Proficient</v>
      </c>
      <c r="F390" s="174" t="str">
        <f>IFERROR(__xludf.DUMMYFUNCTION("""COMPUTED_VALUE"""),"Unlisted")</f>
        <v>Unlisted</v>
      </c>
      <c r="G390" s="174" t="str">
        <f>IFERROR(__xludf.DUMMYFUNCTION("""COMPUTED_VALUE"""),"Unlisted")</f>
        <v>Unlisted</v>
      </c>
      <c r="H390" s="174" t="str">
        <f>IFERROR(__xludf.DUMMYFUNCTION("""COMPUTED_VALUE"""),"Unlisted")</f>
        <v>Unlisted</v>
      </c>
      <c r="I390" s="174" t="str">
        <f>IFERROR(__xludf.DUMMYFUNCTION("""COMPUTED_VALUE"""),"Unlisted")</f>
        <v>Unlisted</v>
      </c>
      <c r="J390" s="174" t="str">
        <f>IFERROR(__xludf.DUMMYFUNCTION("""COMPUTED_VALUE"""),"Unlisted")</f>
        <v>Unlisted</v>
      </c>
      <c r="K390" s="174" t="str">
        <f>IFERROR(__xludf.DUMMYFUNCTION("""COMPUTED_VALUE"""),"Proficient")</f>
        <v>Proficient</v>
      </c>
      <c r="L390" s="174" t="str">
        <f>IFERROR(__xludf.DUMMYFUNCTION("""COMPUTED_VALUE"""),"Unlisted")</f>
        <v>Unlisted</v>
      </c>
      <c r="M390" s="174" t="str">
        <f>IFERROR(__xludf.DUMMYFUNCTION("""COMPUTED_VALUE"""),"Unlisted")</f>
        <v>Unlisted</v>
      </c>
      <c r="N390" s="174" t="str">
        <f>IFERROR(__xludf.DUMMYFUNCTION("""COMPUTED_VALUE"""),"Unlisted")</f>
        <v>Unlisted</v>
      </c>
      <c r="O390" s="174" t="str">
        <f>IFERROR(__xludf.DUMMYFUNCTION("""COMPUTED_VALUE"""),"Unlisted")</f>
        <v>Unlisted</v>
      </c>
      <c r="P390" s="174" t="str">
        <f>IFERROR(__xludf.DUMMYFUNCTION("""COMPUTED_VALUE"""),"Unlisted")</f>
        <v>Unlisted</v>
      </c>
      <c r="Q390" s="174" t="str">
        <f>IFERROR(__xludf.DUMMYFUNCTION("""COMPUTED_VALUE"""),"Unlisted")</f>
        <v>Unlisted</v>
      </c>
      <c r="R390" s="174" t="str">
        <f>IFERROR(__xludf.DUMMYFUNCTION("""COMPUTED_VALUE"""),"Unlisted")</f>
        <v>Unlisted</v>
      </c>
    </row>
    <row r="391">
      <c r="A391" s="255" t="str">
        <f>IFERROR(__xludf.DUMMYFUNCTION("""COMPUTED_VALUE"""),"Fletchinder")</f>
        <v>Fletchinder</v>
      </c>
      <c r="B391" s="174" t="str">
        <f>IFERROR(__xludf.DUMMYFUNCTION("""COMPUTED_VALUE"""),"Mastered")</f>
        <v>Mastered</v>
      </c>
      <c r="C391" s="174" t="str">
        <f>IFERROR(__xludf.DUMMYFUNCTION("""COMPUTED_VALUE"""),"Unlisted")</f>
        <v>Unlisted</v>
      </c>
      <c r="D391" s="174" t="str">
        <f>IFERROR(__xludf.DUMMYFUNCTION("""COMPUTED_VALUE"""),"Unlisted")</f>
        <v>Unlisted</v>
      </c>
      <c r="E391" s="174" t="str">
        <f>IFERROR(__xludf.DUMMYFUNCTION("""COMPUTED_VALUE"""),"Proficient")</f>
        <v>Proficient</v>
      </c>
      <c r="F391" s="174" t="str">
        <f>IFERROR(__xludf.DUMMYFUNCTION("""COMPUTED_VALUE"""),"Unlisted")</f>
        <v>Unlisted</v>
      </c>
      <c r="G391" s="174" t="str">
        <f>IFERROR(__xludf.DUMMYFUNCTION("""COMPUTED_VALUE"""),"Unlisted")</f>
        <v>Unlisted</v>
      </c>
      <c r="H391" s="174" t="str">
        <f>IFERROR(__xludf.DUMMYFUNCTION("""COMPUTED_VALUE"""),"Unlisted")</f>
        <v>Unlisted</v>
      </c>
      <c r="I391" s="174" t="str">
        <f>IFERROR(__xludf.DUMMYFUNCTION("""COMPUTED_VALUE"""),"Unlisted")</f>
        <v>Unlisted</v>
      </c>
      <c r="J391" s="174" t="str">
        <f>IFERROR(__xludf.DUMMYFUNCTION("""COMPUTED_VALUE"""),"Unlisted")</f>
        <v>Unlisted</v>
      </c>
      <c r="K391" s="174" t="str">
        <f>IFERROR(__xludf.DUMMYFUNCTION("""COMPUTED_VALUE"""),"Proficient")</f>
        <v>Proficient</v>
      </c>
      <c r="L391" s="174" t="str">
        <f>IFERROR(__xludf.DUMMYFUNCTION("""COMPUTED_VALUE"""),"Unlisted")</f>
        <v>Unlisted</v>
      </c>
      <c r="M391" s="174" t="str">
        <f>IFERROR(__xludf.DUMMYFUNCTION("""COMPUTED_VALUE"""),"Unlisted")</f>
        <v>Unlisted</v>
      </c>
      <c r="N391" s="174" t="str">
        <f>IFERROR(__xludf.DUMMYFUNCTION("""COMPUTED_VALUE"""),"Unlisted")</f>
        <v>Unlisted</v>
      </c>
      <c r="O391" s="174" t="str">
        <f>IFERROR(__xludf.DUMMYFUNCTION("""COMPUTED_VALUE"""),"Unlisted")</f>
        <v>Unlisted</v>
      </c>
      <c r="P391" s="174" t="str">
        <f>IFERROR(__xludf.DUMMYFUNCTION("""COMPUTED_VALUE"""),"Unlisted")</f>
        <v>Unlisted</v>
      </c>
      <c r="Q391" s="174" t="str">
        <f>IFERROR(__xludf.DUMMYFUNCTION("""COMPUTED_VALUE"""),"Unlisted")</f>
        <v>Unlisted</v>
      </c>
      <c r="R391" s="174" t="str">
        <f>IFERROR(__xludf.DUMMYFUNCTION("""COMPUTED_VALUE"""),"Unlisted")</f>
        <v>Unlisted</v>
      </c>
    </row>
    <row r="392">
      <c r="A392" s="255" t="str">
        <f>IFERROR(__xludf.DUMMYFUNCTION("""COMPUTED_VALUE"""),"Talonflame")</f>
        <v>Talonflame</v>
      </c>
      <c r="B392" s="174" t="str">
        <f>IFERROR(__xludf.DUMMYFUNCTION("""COMPUTED_VALUE"""),"Mastered")</f>
        <v>Mastered</v>
      </c>
      <c r="C392" s="174" t="str">
        <f>IFERROR(__xludf.DUMMYFUNCTION("""COMPUTED_VALUE"""),"Unlisted")</f>
        <v>Unlisted</v>
      </c>
      <c r="D392" s="174" t="str">
        <f>IFERROR(__xludf.DUMMYFUNCTION("""COMPUTED_VALUE"""),"Unlisted")</f>
        <v>Unlisted</v>
      </c>
      <c r="E392" s="174" t="str">
        <f>IFERROR(__xludf.DUMMYFUNCTION("""COMPUTED_VALUE"""),"Proficient")</f>
        <v>Proficient</v>
      </c>
      <c r="F392" s="174" t="str">
        <f>IFERROR(__xludf.DUMMYFUNCTION("""COMPUTED_VALUE"""),"Unlisted")</f>
        <v>Unlisted</v>
      </c>
      <c r="G392" s="174" t="str">
        <f>IFERROR(__xludf.DUMMYFUNCTION("""COMPUTED_VALUE"""),"Unlisted")</f>
        <v>Unlisted</v>
      </c>
      <c r="H392" s="174" t="str">
        <f>IFERROR(__xludf.DUMMYFUNCTION("""COMPUTED_VALUE"""),"Unlisted")</f>
        <v>Unlisted</v>
      </c>
      <c r="I392" s="174" t="str">
        <f>IFERROR(__xludf.DUMMYFUNCTION("""COMPUTED_VALUE"""),"Unlisted")</f>
        <v>Unlisted</v>
      </c>
      <c r="J392" s="174" t="str">
        <f>IFERROR(__xludf.DUMMYFUNCTION("""COMPUTED_VALUE"""),"Unlisted")</f>
        <v>Unlisted</v>
      </c>
      <c r="K392" s="174" t="str">
        <f>IFERROR(__xludf.DUMMYFUNCTION("""COMPUTED_VALUE"""),"Proficient")</f>
        <v>Proficient</v>
      </c>
      <c r="L392" s="174" t="str">
        <f>IFERROR(__xludf.DUMMYFUNCTION("""COMPUTED_VALUE"""),"Unlisted")</f>
        <v>Unlisted</v>
      </c>
      <c r="M392" s="174" t="str">
        <f>IFERROR(__xludf.DUMMYFUNCTION("""COMPUTED_VALUE"""),"Unlisted")</f>
        <v>Unlisted</v>
      </c>
      <c r="N392" s="174" t="str">
        <f>IFERROR(__xludf.DUMMYFUNCTION("""COMPUTED_VALUE"""),"Unlisted")</f>
        <v>Unlisted</v>
      </c>
      <c r="O392" s="174" t="str">
        <f>IFERROR(__xludf.DUMMYFUNCTION("""COMPUTED_VALUE"""),"Unlisted")</f>
        <v>Unlisted</v>
      </c>
      <c r="P392" s="174" t="str">
        <f>IFERROR(__xludf.DUMMYFUNCTION("""COMPUTED_VALUE"""),"Unlisted")</f>
        <v>Unlisted</v>
      </c>
      <c r="Q392" s="174" t="str">
        <f>IFERROR(__xludf.DUMMYFUNCTION("""COMPUTED_VALUE"""),"Unlisted")</f>
        <v>Unlisted</v>
      </c>
      <c r="R392" s="174" t="str">
        <f>IFERROR(__xludf.DUMMYFUNCTION("""COMPUTED_VALUE"""),"Unlisted")</f>
        <v>Unlisted</v>
      </c>
    </row>
    <row r="393">
      <c r="A393" s="255" t="str">
        <f>IFERROR(__xludf.DUMMYFUNCTION("""COMPUTED_VALUE"""),"Rookidee")</f>
        <v>Rookidee</v>
      </c>
      <c r="B393" s="174" t="str">
        <f>IFERROR(__xludf.DUMMYFUNCTION("""COMPUTED_VALUE"""),"Proficient")</f>
        <v>Proficient</v>
      </c>
      <c r="C393" s="174" t="str">
        <f>IFERROR(__xludf.DUMMYFUNCTION("""COMPUTED_VALUE"""),"Unlisted")</f>
        <v>Unlisted</v>
      </c>
      <c r="D393" s="174" t="str">
        <f>IFERROR(__xludf.DUMMYFUNCTION("""COMPUTED_VALUE"""),"Unlisted")</f>
        <v>Unlisted</v>
      </c>
      <c r="E393" s="174" t="str">
        <f>IFERROR(__xludf.DUMMYFUNCTION("""COMPUTED_VALUE"""),"Proficient")</f>
        <v>Proficient</v>
      </c>
      <c r="F393" s="174" t="str">
        <f>IFERROR(__xludf.DUMMYFUNCTION("""COMPUTED_VALUE"""),"Unlisted")</f>
        <v>Unlisted</v>
      </c>
      <c r="G393" s="174" t="str">
        <f>IFERROR(__xludf.DUMMYFUNCTION("""COMPUTED_VALUE"""),"Proficient")</f>
        <v>Proficient</v>
      </c>
      <c r="H393" s="174" t="str">
        <f>IFERROR(__xludf.DUMMYFUNCTION("""COMPUTED_VALUE"""),"Unlisted")</f>
        <v>Unlisted</v>
      </c>
      <c r="I393" s="174" t="str">
        <f>IFERROR(__xludf.DUMMYFUNCTION("""COMPUTED_VALUE"""),"Unlisted")</f>
        <v>Unlisted</v>
      </c>
      <c r="J393" s="174" t="str">
        <f>IFERROR(__xludf.DUMMYFUNCTION("""COMPUTED_VALUE"""),"Unlisted")</f>
        <v>Unlisted</v>
      </c>
      <c r="K393" s="174" t="str">
        <f>IFERROR(__xludf.DUMMYFUNCTION("""COMPUTED_VALUE"""),"Unlisted")</f>
        <v>Unlisted</v>
      </c>
      <c r="L393" s="174" t="str">
        <f>IFERROR(__xludf.DUMMYFUNCTION("""COMPUTED_VALUE"""),"Unlisted")</f>
        <v>Unlisted</v>
      </c>
      <c r="M393" s="174" t="str">
        <f>IFERROR(__xludf.DUMMYFUNCTION("""COMPUTED_VALUE"""),"Unlisted")</f>
        <v>Unlisted</v>
      </c>
      <c r="N393" s="174" t="str">
        <f>IFERROR(__xludf.DUMMYFUNCTION("""COMPUTED_VALUE"""),"Unlisted")</f>
        <v>Unlisted</v>
      </c>
      <c r="O393" s="174" t="str">
        <f>IFERROR(__xludf.DUMMYFUNCTION("""COMPUTED_VALUE"""),"Unlisted")</f>
        <v>Unlisted</v>
      </c>
      <c r="P393" s="174" t="str">
        <f>IFERROR(__xludf.DUMMYFUNCTION("""COMPUTED_VALUE"""),"Unlisted")</f>
        <v>Unlisted</v>
      </c>
      <c r="Q393" s="174" t="str">
        <f>IFERROR(__xludf.DUMMYFUNCTION("""COMPUTED_VALUE"""),"Unlisted")</f>
        <v>Unlisted</v>
      </c>
      <c r="R393" s="174" t="str">
        <f>IFERROR(__xludf.DUMMYFUNCTION("""COMPUTED_VALUE"""),"Unlisted")</f>
        <v>Unlisted</v>
      </c>
    </row>
    <row r="394">
      <c r="A394" s="255" t="str">
        <f>IFERROR(__xludf.DUMMYFUNCTION("""COMPUTED_VALUE"""),"Corvisquire")</f>
        <v>Corvisquire</v>
      </c>
      <c r="B394" s="174" t="str">
        <f>IFERROR(__xludf.DUMMYFUNCTION("""COMPUTED_VALUE"""),"Proficient")</f>
        <v>Proficient</v>
      </c>
      <c r="C394" s="174" t="str">
        <f>IFERROR(__xludf.DUMMYFUNCTION("""COMPUTED_VALUE"""),"Unlisted")</f>
        <v>Unlisted</v>
      </c>
      <c r="D394" s="174" t="str">
        <f>IFERROR(__xludf.DUMMYFUNCTION("""COMPUTED_VALUE"""),"Unlisted")</f>
        <v>Unlisted</v>
      </c>
      <c r="E394" s="174" t="str">
        <f>IFERROR(__xludf.DUMMYFUNCTION("""COMPUTED_VALUE"""),"Proficient")</f>
        <v>Proficient</v>
      </c>
      <c r="F394" s="174" t="str">
        <f>IFERROR(__xludf.DUMMYFUNCTION("""COMPUTED_VALUE"""),"Unlisted")</f>
        <v>Unlisted</v>
      </c>
      <c r="G394" s="174" t="str">
        <f>IFERROR(__xludf.DUMMYFUNCTION("""COMPUTED_VALUE"""),"Proficient")</f>
        <v>Proficient</v>
      </c>
      <c r="H394" s="174" t="str">
        <f>IFERROR(__xludf.DUMMYFUNCTION("""COMPUTED_VALUE"""),"Unlisted")</f>
        <v>Unlisted</v>
      </c>
      <c r="I394" s="174" t="str">
        <f>IFERROR(__xludf.DUMMYFUNCTION("""COMPUTED_VALUE"""),"Unlisted")</f>
        <v>Unlisted</v>
      </c>
      <c r="J394" s="174" t="str">
        <f>IFERROR(__xludf.DUMMYFUNCTION("""COMPUTED_VALUE"""),"Unlisted")</f>
        <v>Unlisted</v>
      </c>
      <c r="K394" s="174" t="str">
        <f>IFERROR(__xludf.DUMMYFUNCTION("""COMPUTED_VALUE"""),"Unlisted")</f>
        <v>Unlisted</v>
      </c>
      <c r="L394" s="174" t="str">
        <f>IFERROR(__xludf.DUMMYFUNCTION("""COMPUTED_VALUE"""),"Unlisted")</f>
        <v>Unlisted</v>
      </c>
      <c r="M394" s="174" t="str">
        <f>IFERROR(__xludf.DUMMYFUNCTION("""COMPUTED_VALUE"""),"Unlisted")</f>
        <v>Unlisted</v>
      </c>
      <c r="N394" s="174" t="str">
        <f>IFERROR(__xludf.DUMMYFUNCTION("""COMPUTED_VALUE"""),"Unlisted")</f>
        <v>Unlisted</v>
      </c>
      <c r="O394" s="174" t="str">
        <f>IFERROR(__xludf.DUMMYFUNCTION("""COMPUTED_VALUE"""),"Unlisted")</f>
        <v>Unlisted</v>
      </c>
      <c r="P394" s="174" t="str">
        <f>IFERROR(__xludf.DUMMYFUNCTION("""COMPUTED_VALUE"""),"Unlisted")</f>
        <v>Unlisted</v>
      </c>
      <c r="Q394" s="174" t="str">
        <f>IFERROR(__xludf.DUMMYFUNCTION("""COMPUTED_VALUE"""),"Unlisted")</f>
        <v>Unlisted</v>
      </c>
      <c r="R394" s="174" t="str">
        <f>IFERROR(__xludf.DUMMYFUNCTION("""COMPUTED_VALUE"""),"Unlisted")</f>
        <v>Unlisted</v>
      </c>
    </row>
    <row r="395">
      <c r="A395" s="255" t="str">
        <f>IFERROR(__xludf.DUMMYFUNCTION("""COMPUTED_VALUE"""),"Corviknight")</f>
        <v>Corviknight</v>
      </c>
      <c r="B395" s="174" t="str">
        <f>IFERROR(__xludf.DUMMYFUNCTION("""COMPUTED_VALUE"""),"Proficient")</f>
        <v>Proficient</v>
      </c>
      <c r="C395" s="174" t="str">
        <f>IFERROR(__xludf.DUMMYFUNCTION("""COMPUTED_VALUE"""),"Unlisted")</f>
        <v>Unlisted</v>
      </c>
      <c r="D395" s="174" t="str">
        <f>IFERROR(__xludf.DUMMYFUNCTION("""COMPUTED_VALUE"""),"Unlisted")</f>
        <v>Unlisted</v>
      </c>
      <c r="E395" s="174" t="str">
        <f>IFERROR(__xludf.DUMMYFUNCTION("""COMPUTED_VALUE"""),"Proficient")</f>
        <v>Proficient</v>
      </c>
      <c r="F395" s="174" t="str">
        <f>IFERROR(__xludf.DUMMYFUNCTION("""COMPUTED_VALUE"""),"Unlisted")</f>
        <v>Unlisted</v>
      </c>
      <c r="G395" s="174" t="str">
        <f>IFERROR(__xludf.DUMMYFUNCTION("""COMPUTED_VALUE"""),"Proficient")</f>
        <v>Proficient</v>
      </c>
      <c r="H395" s="174" t="str">
        <f>IFERROR(__xludf.DUMMYFUNCTION("""COMPUTED_VALUE"""),"Unlisted")</f>
        <v>Unlisted</v>
      </c>
      <c r="I395" s="174" t="str">
        <f>IFERROR(__xludf.DUMMYFUNCTION("""COMPUTED_VALUE"""),"Unlisted")</f>
        <v>Unlisted</v>
      </c>
      <c r="J395" s="174" t="str">
        <f>IFERROR(__xludf.DUMMYFUNCTION("""COMPUTED_VALUE"""),"Unlisted")</f>
        <v>Unlisted</v>
      </c>
      <c r="K395" s="174" t="str">
        <f>IFERROR(__xludf.DUMMYFUNCTION("""COMPUTED_VALUE"""),"Unlisted")</f>
        <v>Unlisted</v>
      </c>
      <c r="L395" s="174" t="str">
        <f>IFERROR(__xludf.DUMMYFUNCTION("""COMPUTED_VALUE"""),"Unlisted")</f>
        <v>Unlisted</v>
      </c>
      <c r="M395" s="174" t="str">
        <f>IFERROR(__xludf.DUMMYFUNCTION("""COMPUTED_VALUE"""),"Unlisted")</f>
        <v>Unlisted</v>
      </c>
      <c r="N395" s="174" t="str">
        <f>IFERROR(__xludf.DUMMYFUNCTION("""COMPUTED_VALUE"""),"Unlisted")</f>
        <v>Unlisted</v>
      </c>
      <c r="O395" s="174" t="str">
        <f>IFERROR(__xludf.DUMMYFUNCTION("""COMPUTED_VALUE"""),"Unlisted")</f>
        <v>Unlisted</v>
      </c>
      <c r="P395" s="174" t="str">
        <f>IFERROR(__xludf.DUMMYFUNCTION("""COMPUTED_VALUE"""),"Unlisted")</f>
        <v>Unlisted</v>
      </c>
      <c r="Q395" s="174" t="str">
        <f>IFERROR(__xludf.DUMMYFUNCTION("""COMPUTED_VALUE"""),"Unlisted")</f>
        <v>Unlisted</v>
      </c>
      <c r="R395" s="174" t="str">
        <f>IFERROR(__xludf.DUMMYFUNCTION("""COMPUTED_VALUE"""),"Unlisted")</f>
        <v>Unlisted</v>
      </c>
    </row>
    <row r="396">
      <c r="A396" s="255" t="str">
        <f>IFERROR(__xludf.DUMMYFUNCTION("""COMPUTED_VALUE"""),"Gastly")</f>
        <v>Gastly</v>
      </c>
      <c r="B396" s="174" t="str">
        <f>IFERROR(__xludf.DUMMYFUNCTION("""COMPUTED_VALUE"""),"Unlisted")</f>
        <v>Unlisted</v>
      </c>
      <c r="C396" s="174" t="str">
        <f>IFERROR(__xludf.DUMMYFUNCTION("""COMPUTED_VALUE"""),"Inept")</f>
        <v>Inept</v>
      </c>
      <c r="D396" s="174" t="str">
        <f>IFERROR(__xludf.DUMMYFUNCTION("""COMPUTED_VALUE"""),"Unlisted")</f>
        <v>Unlisted</v>
      </c>
      <c r="E396" s="174" t="str">
        <f>IFERROR(__xludf.DUMMYFUNCTION("""COMPUTED_VALUE"""),"Unlisted")</f>
        <v>Unlisted</v>
      </c>
      <c r="F396" s="174" t="str">
        <f>IFERROR(__xludf.DUMMYFUNCTION("""COMPUTED_VALUE"""),"Unlisted")</f>
        <v>Unlisted</v>
      </c>
      <c r="G396" s="174" t="str">
        <f>IFERROR(__xludf.DUMMYFUNCTION("""COMPUTED_VALUE"""),"Unlisted")</f>
        <v>Unlisted</v>
      </c>
      <c r="H396" s="174" t="str">
        <f>IFERROR(__xludf.DUMMYFUNCTION("""COMPUTED_VALUE"""),"Proficient")</f>
        <v>Proficient</v>
      </c>
      <c r="I396" s="174" t="str">
        <f>IFERROR(__xludf.DUMMYFUNCTION("""COMPUTED_VALUE"""),"Unlisted")</f>
        <v>Unlisted</v>
      </c>
      <c r="J396" s="174" t="str">
        <f>IFERROR(__xludf.DUMMYFUNCTION("""COMPUTED_VALUE"""),"Unlisted")</f>
        <v>Unlisted</v>
      </c>
      <c r="K396" s="174" t="str">
        <f>IFERROR(__xludf.DUMMYFUNCTION("""COMPUTED_VALUE"""),"Proficient")</f>
        <v>Proficient</v>
      </c>
      <c r="L396" s="174" t="str">
        <f>IFERROR(__xludf.DUMMYFUNCTION("""COMPUTED_VALUE"""),"Mastered")</f>
        <v>Mastered</v>
      </c>
      <c r="M396" s="174" t="str">
        <f>IFERROR(__xludf.DUMMYFUNCTION("""COMPUTED_VALUE"""),"Unlisted")</f>
        <v>Unlisted</v>
      </c>
      <c r="N396" s="174" t="str">
        <f>IFERROR(__xludf.DUMMYFUNCTION("""COMPUTED_VALUE"""),"Unlisted")</f>
        <v>Unlisted</v>
      </c>
      <c r="O396" s="174" t="str">
        <f>IFERROR(__xludf.DUMMYFUNCTION("""COMPUTED_VALUE"""),"Unlisted")</f>
        <v>Unlisted</v>
      </c>
      <c r="P396" s="174" t="str">
        <f>IFERROR(__xludf.DUMMYFUNCTION("""COMPUTED_VALUE"""),"Unlisted")</f>
        <v>Unlisted</v>
      </c>
      <c r="Q396" s="174" t="str">
        <f>IFERROR(__xludf.DUMMYFUNCTION("""COMPUTED_VALUE"""),"Unlisted")</f>
        <v>Unlisted</v>
      </c>
      <c r="R396" s="174" t="str">
        <f>IFERROR(__xludf.DUMMYFUNCTION("""COMPUTED_VALUE"""),"Unlisted")</f>
        <v>Unlisted</v>
      </c>
    </row>
    <row r="397">
      <c r="A397" s="255" t="str">
        <f>IFERROR(__xludf.DUMMYFUNCTION("""COMPUTED_VALUE"""),"Haunter")</f>
        <v>Haunter</v>
      </c>
      <c r="B397" s="174" t="str">
        <f>IFERROR(__xludf.DUMMYFUNCTION("""COMPUTED_VALUE"""),"Unlisted")</f>
        <v>Unlisted</v>
      </c>
      <c r="C397" s="174" t="str">
        <f>IFERROR(__xludf.DUMMYFUNCTION("""COMPUTED_VALUE"""),"Unlisted")</f>
        <v>Unlisted</v>
      </c>
      <c r="D397" s="174" t="str">
        <f>IFERROR(__xludf.DUMMYFUNCTION("""COMPUTED_VALUE"""),"Unlisted")</f>
        <v>Unlisted</v>
      </c>
      <c r="E397" s="174" t="str">
        <f>IFERROR(__xludf.DUMMYFUNCTION("""COMPUTED_VALUE"""),"Unlisted")</f>
        <v>Unlisted</v>
      </c>
      <c r="F397" s="174" t="str">
        <f>IFERROR(__xludf.DUMMYFUNCTION("""COMPUTED_VALUE"""),"Unlisted")</f>
        <v>Unlisted</v>
      </c>
      <c r="G397" s="174" t="str">
        <f>IFERROR(__xludf.DUMMYFUNCTION("""COMPUTED_VALUE"""),"Unlisted")</f>
        <v>Unlisted</v>
      </c>
      <c r="H397" s="174" t="str">
        <f>IFERROR(__xludf.DUMMYFUNCTION("""COMPUTED_VALUE"""),"Proficient")</f>
        <v>Proficient</v>
      </c>
      <c r="I397" s="174" t="str">
        <f>IFERROR(__xludf.DUMMYFUNCTION("""COMPUTED_VALUE"""),"Unlisted")</f>
        <v>Unlisted</v>
      </c>
      <c r="J397" s="174" t="str">
        <f>IFERROR(__xludf.DUMMYFUNCTION("""COMPUTED_VALUE"""),"Unlisted")</f>
        <v>Unlisted</v>
      </c>
      <c r="K397" s="174" t="str">
        <f>IFERROR(__xludf.DUMMYFUNCTION("""COMPUTED_VALUE"""),"Proficient")</f>
        <v>Proficient</v>
      </c>
      <c r="L397" s="174" t="str">
        <f>IFERROR(__xludf.DUMMYFUNCTION("""COMPUTED_VALUE"""),"Mastered")</f>
        <v>Mastered</v>
      </c>
      <c r="M397" s="174" t="str">
        <f>IFERROR(__xludf.DUMMYFUNCTION("""COMPUTED_VALUE"""),"Unlisted")</f>
        <v>Unlisted</v>
      </c>
      <c r="N397" s="174" t="str">
        <f>IFERROR(__xludf.DUMMYFUNCTION("""COMPUTED_VALUE"""),"Unlisted")</f>
        <v>Unlisted</v>
      </c>
      <c r="O397" s="174" t="str">
        <f>IFERROR(__xludf.DUMMYFUNCTION("""COMPUTED_VALUE"""),"Unlisted")</f>
        <v>Unlisted</v>
      </c>
      <c r="P397" s="174" t="str">
        <f>IFERROR(__xludf.DUMMYFUNCTION("""COMPUTED_VALUE"""),"Unlisted")</f>
        <v>Unlisted</v>
      </c>
      <c r="Q397" s="174" t="str">
        <f>IFERROR(__xludf.DUMMYFUNCTION("""COMPUTED_VALUE"""),"Unlisted")</f>
        <v>Unlisted</v>
      </c>
      <c r="R397" s="174" t="str">
        <f>IFERROR(__xludf.DUMMYFUNCTION("""COMPUTED_VALUE"""),"Unlisted")</f>
        <v>Unlisted</v>
      </c>
    </row>
    <row r="398">
      <c r="A398" s="255" t="str">
        <f>IFERROR(__xludf.DUMMYFUNCTION("""COMPUTED_VALUE"""),"Gengar")</f>
        <v>Gengar</v>
      </c>
      <c r="B398" s="174" t="str">
        <f>IFERROR(__xludf.DUMMYFUNCTION("""COMPUTED_VALUE"""),"Unlisted")</f>
        <v>Unlisted</v>
      </c>
      <c r="C398" s="174" t="str">
        <f>IFERROR(__xludf.DUMMYFUNCTION("""COMPUTED_VALUE"""),"Unlisted")</f>
        <v>Unlisted</v>
      </c>
      <c r="D398" s="174" t="str">
        <f>IFERROR(__xludf.DUMMYFUNCTION("""COMPUTED_VALUE"""),"Unlisted")</f>
        <v>Unlisted</v>
      </c>
      <c r="E398" s="174" t="str">
        <f>IFERROR(__xludf.DUMMYFUNCTION("""COMPUTED_VALUE"""),"Unlisted")</f>
        <v>Unlisted</v>
      </c>
      <c r="F398" s="174" t="str">
        <f>IFERROR(__xludf.DUMMYFUNCTION("""COMPUTED_VALUE"""),"Unlisted")</f>
        <v>Unlisted</v>
      </c>
      <c r="G398" s="174" t="str">
        <f>IFERROR(__xludf.DUMMYFUNCTION("""COMPUTED_VALUE"""),"Unlisted")</f>
        <v>Unlisted</v>
      </c>
      <c r="H398" s="174" t="str">
        <f>IFERROR(__xludf.DUMMYFUNCTION("""COMPUTED_VALUE"""),"Proficient")</f>
        <v>Proficient</v>
      </c>
      <c r="I398" s="174" t="str">
        <f>IFERROR(__xludf.DUMMYFUNCTION("""COMPUTED_VALUE"""),"Unlisted")</f>
        <v>Unlisted</v>
      </c>
      <c r="J398" s="174" t="str">
        <f>IFERROR(__xludf.DUMMYFUNCTION("""COMPUTED_VALUE"""),"Unlisted")</f>
        <v>Unlisted</v>
      </c>
      <c r="K398" s="174" t="str">
        <f>IFERROR(__xludf.DUMMYFUNCTION("""COMPUTED_VALUE"""),"Proficient")</f>
        <v>Proficient</v>
      </c>
      <c r="L398" s="174" t="str">
        <f>IFERROR(__xludf.DUMMYFUNCTION("""COMPUTED_VALUE"""),"Mastered")</f>
        <v>Mastered</v>
      </c>
      <c r="M398" s="174" t="str">
        <f>IFERROR(__xludf.DUMMYFUNCTION("""COMPUTED_VALUE"""),"Unlisted")</f>
        <v>Unlisted</v>
      </c>
      <c r="N398" s="174" t="str">
        <f>IFERROR(__xludf.DUMMYFUNCTION("""COMPUTED_VALUE"""),"Unlisted")</f>
        <v>Unlisted</v>
      </c>
      <c r="O398" s="174" t="str">
        <f>IFERROR(__xludf.DUMMYFUNCTION("""COMPUTED_VALUE"""),"Unlisted")</f>
        <v>Unlisted</v>
      </c>
      <c r="P398" s="174" t="str">
        <f>IFERROR(__xludf.DUMMYFUNCTION("""COMPUTED_VALUE"""),"Unlisted")</f>
        <v>Unlisted</v>
      </c>
      <c r="Q398" s="174" t="str">
        <f>IFERROR(__xludf.DUMMYFUNCTION("""COMPUTED_VALUE"""),"Unlisted")</f>
        <v>Unlisted</v>
      </c>
      <c r="R398" s="174" t="str">
        <f>IFERROR(__xludf.DUMMYFUNCTION("""COMPUTED_VALUE"""),"Unlisted")</f>
        <v>Unlisted</v>
      </c>
    </row>
    <row r="399">
      <c r="A399" s="255" t="str">
        <f>IFERROR(__xludf.DUMMYFUNCTION("""COMPUTED_VALUE"""),"Duskull")</f>
        <v>Duskull</v>
      </c>
      <c r="B399" s="174" t="str">
        <f>IFERROR(__xludf.DUMMYFUNCTION("""COMPUTED_VALUE"""),"Unlisted")</f>
        <v>Unlisted</v>
      </c>
      <c r="C399" s="174" t="str">
        <f>IFERROR(__xludf.DUMMYFUNCTION("""COMPUTED_VALUE"""),"Unlisted")</f>
        <v>Unlisted</v>
      </c>
      <c r="D399" s="174" t="str">
        <f>IFERROR(__xludf.DUMMYFUNCTION("""COMPUTED_VALUE"""),"Unlisted")</f>
        <v>Unlisted</v>
      </c>
      <c r="E399" s="174" t="str">
        <f>IFERROR(__xludf.DUMMYFUNCTION("""COMPUTED_VALUE"""),"Proficient")</f>
        <v>Proficient</v>
      </c>
      <c r="F399" s="174" t="str">
        <f>IFERROR(__xludf.DUMMYFUNCTION("""COMPUTED_VALUE"""),"Unlisted")</f>
        <v>Unlisted</v>
      </c>
      <c r="G399" s="174" t="str">
        <f>IFERROR(__xludf.DUMMYFUNCTION("""COMPUTED_VALUE"""),"Unlisted")</f>
        <v>Unlisted</v>
      </c>
      <c r="H399" s="174" t="str">
        <f>IFERROR(__xludf.DUMMYFUNCTION("""COMPUTED_VALUE"""),"Unlisted")</f>
        <v>Unlisted</v>
      </c>
      <c r="I399" s="174" t="str">
        <f>IFERROR(__xludf.DUMMYFUNCTION("""COMPUTED_VALUE"""),"Unlisted")</f>
        <v>Unlisted</v>
      </c>
      <c r="J399" s="174" t="str">
        <f>IFERROR(__xludf.DUMMYFUNCTION("""COMPUTED_VALUE"""),"Proficient")</f>
        <v>Proficient</v>
      </c>
      <c r="K399" s="174" t="str">
        <f>IFERROR(__xludf.DUMMYFUNCTION("""COMPUTED_VALUE"""),"Unlisted")</f>
        <v>Unlisted</v>
      </c>
      <c r="L399" s="174" t="str">
        <f>IFERROR(__xludf.DUMMYFUNCTION("""COMPUTED_VALUE"""),"Proficient")</f>
        <v>Proficient</v>
      </c>
      <c r="M399" s="174" t="str">
        <f>IFERROR(__xludf.DUMMYFUNCTION("""COMPUTED_VALUE"""),"Unlisted")</f>
        <v>Unlisted</v>
      </c>
      <c r="N399" s="174" t="str">
        <f>IFERROR(__xludf.DUMMYFUNCTION("""COMPUTED_VALUE"""),"Unlisted")</f>
        <v>Unlisted</v>
      </c>
      <c r="O399" s="174" t="str">
        <f>IFERROR(__xludf.DUMMYFUNCTION("""COMPUTED_VALUE"""),"Unlisted")</f>
        <v>Unlisted</v>
      </c>
      <c r="P399" s="174" t="str">
        <f>IFERROR(__xludf.DUMMYFUNCTION("""COMPUTED_VALUE"""),"Unlisted")</f>
        <v>Unlisted</v>
      </c>
      <c r="Q399" s="174" t="str">
        <f>IFERROR(__xludf.DUMMYFUNCTION("""COMPUTED_VALUE"""),"Unlisted")</f>
        <v>Unlisted</v>
      </c>
      <c r="R399" s="174" t="str">
        <f>IFERROR(__xludf.DUMMYFUNCTION("""COMPUTED_VALUE"""),"Unlisted")</f>
        <v>Unlisted</v>
      </c>
    </row>
    <row r="400">
      <c r="A400" s="255" t="str">
        <f>IFERROR(__xludf.DUMMYFUNCTION("""COMPUTED_VALUE"""),"Dusclops")</f>
        <v>Dusclops</v>
      </c>
      <c r="B400" s="174" t="str">
        <f>IFERROR(__xludf.DUMMYFUNCTION("""COMPUTED_VALUE"""),"Unlisted")</f>
        <v>Unlisted</v>
      </c>
      <c r="C400" s="174" t="str">
        <f>IFERROR(__xludf.DUMMYFUNCTION("""COMPUTED_VALUE"""),"Unlisted")</f>
        <v>Unlisted</v>
      </c>
      <c r="D400" s="174" t="str">
        <f>IFERROR(__xludf.DUMMYFUNCTION("""COMPUTED_VALUE"""),"Unlisted")</f>
        <v>Unlisted</v>
      </c>
      <c r="E400" s="174" t="str">
        <f>IFERROR(__xludf.DUMMYFUNCTION("""COMPUTED_VALUE"""),"Proficient")</f>
        <v>Proficient</v>
      </c>
      <c r="F400" s="174" t="str">
        <f>IFERROR(__xludf.DUMMYFUNCTION("""COMPUTED_VALUE"""),"Unlisted")</f>
        <v>Unlisted</v>
      </c>
      <c r="G400" s="174" t="str">
        <f>IFERROR(__xludf.DUMMYFUNCTION("""COMPUTED_VALUE"""),"Unlisted")</f>
        <v>Unlisted</v>
      </c>
      <c r="H400" s="174" t="str">
        <f>IFERROR(__xludf.DUMMYFUNCTION("""COMPUTED_VALUE"""),"Unlisted")</f>
        <v>Unlisted</v>
      </c>
      <c r="I400" s="174" t="str">
        <f>IFERROR(__xludf.DUMMYFUNCTION("""COMPUTED_VALUE"""),"Unlisted")</f>
        <v>Unlisted</v>
      </c>
      <c r="J400" s="174" t="str">
        <f>IFERROR(__xludf.DUMMYFUNCTION("""COMPUTED_VALUE"""),"Proficient")</f>
        <v>Proficient</v>
      </c>
      <c r="K400" s="174" t="str">
        <f>IFERROR(__xludf.DUMMYFUNCTION("""COMPUTED_VALUE"""),"Unlisted")</f>
        <v>Unlisted</v>
      </c>
      <c r="L400" s="174" t="str">
        <f>IFERROR(__xludf.DUMMYFUNCTION("""COMPUTED_VALUE"""),"Proficient")</f>
        <v>Proficient</v>
      </c>
      <c r="M400" s="174" t="str">
        <f>IFERROR(__xludf.DUMMYFUNCTION("""COMPUTED_VALUE"""),"Unlisted")</f>
        <v>Unlisted</v>
      </c>
      <c r="N400" s="174" t="str">
        <f>IFERROR(__xludf.DUMMYFUNCTION("""COMPUTED_VALUE"""),"Unlisted")</f>
        <v>Unlisted</v>
      </c>
      <c r="O400" s="174" t="str">
        <f>IFERROR(__xludf.DUMMYFUNCTION("""COMPUTED_VALUE"""),"Unlisted")</f>
        <v>Unlisted</v>
      </c>
      <c r="P400" s="174" t="str">
        <f>IFERROR(__xludf.DUMMYFUNCTION("""COMPUTED_VALUE"""),"Unlisted")</f>
        <v>Unlisted</v>
      </c>
      <c r="Q400" s="174" t="str">
        <f>IFERROR(__xludf.DUMMYFUNCTION("""COMPUTED_VALUE"""),"Unlisted")</f>
        <v>Unlisted</v>
      </c>
      <c r="R400" s="174" t="str">
        <f>IFERROR(__xludf.DUMMYFUNCTION("""COMPUTED_VALUE"""),"Unlisted")</f>
        <v>Unlisted</v>
      </c>
    </row>
    <row r="401">
      <c r="A401" s="255" t="str">
        <f>IFERROR(__xludf.DUMMYFUNCTION("""COMPUTED_VALUE"""),"Dusknoir")</f>
        <v>Dusknoir</v>
      </c>
      <c r="B401" s="174" t="str">
        <f>IFERROR(__xludf.DUMMYFUNCTION("""COMPUTED_VALUE"""),"Unlisted")</f>
        <v>Unlisted</v>
      </c>
      <c r="C401" s="174" t="str">
        <f>IFERROR(__xludf.DUMMYFUNCTION("""COMPUTED_VALUE"""),"Unlisted")</f>
        <v>Unlisted</v>
      </c>
      <c r="D401" s="174" t="str">
        <f>IFERROR(__xludf.DUMMYFUNCTION("""COMPUTED_VALUE"""),"Unlisted")</f>
        <v>Unlisted</v>
      </c>
      <c r="E401" s="174" t="str">
        <f>IFERROR(__xludf.DUMMYFUNCTION("""COMPUTED_VALUE"""),"Proficient")</f>
        <v>Proficient</v>
      </c>
      <c r="F401" s="174" t="str">
        <f>IFERROR(__xludf.DUMMYFUNCTION("""COMPUTED_VALUE"""),"Unlisted")</f>
        <v>Unlisted</v>
      </c>
      <c r="G401" s="174" t="str">
        <f>IFERROR(__xludf.DUMMYFUNCTION("""COMPUTED_VALUE"""),"Unlisted")</f>
        <v>Unlisted</v>
      </c>
      <c r="H401" s="174" t="str">
        <f>IFERROR(__xludf.DUMMYFUNCTION("""COMPUTED_VALUE"""),"Unlisted")</f>
        <v>Unlisted</v>
      </c>
      <c r="I401" s="174" t="str">
        <f>IFERROR(__xludf.DUMMYFUNCTION("""COMPUTED_VALUE"""),"Unlisted")</f>
        <v>Unlisted</v>
      </c>
      <c r="J401" s="174" t="str">
        <f>IFERROR(__xludf.DUMMYFUNCTION("""COMPUTED_VALUE"""),"Proficient")</f>
        <v>Proficient</v>
      </c>
      <c r="K401" s="174" t="str">
        <f>IFERROR(__xludf.DUMMYFUNCTION("""COMPUTED_VALUE"""),"Unlisted")</f>
        <v>Unlisted</v>
      </c>
      <c r="L401" s="174" t="str">
        <f>IFERROR(__xludf.DUMMYFUNCTION("""COMPUTED_VALUE"""),"Proficient")</f>
        <v>Proficient</v>
      </c>
      <c r="M401" s="174" t="str">
        <f>IFERROR(__xludf.DUMMYFUNCTION("""COMPUTED_VALUE"""),"Unlisted")</f>
        <v>Unlisted</v>
      </c>
      <c r="N401" s="174" t="str">
        <f>IFERROR(__xludf.DUMMYFUNCTION("""COMPUTED_VALUE"""),"Unlisted")</f>
        <v>Unlisted</v>
      </c>
      <c r="O401" s="174" t="str">
        <f>IFERROR(__xludf.DUMMYFUNCTION("""COMPUTED_VALUE"""),"Unlisted")</f>
        <v>Unlisted</v>
      </c>
      <c r="P401" s="174" t="str">
        <f>IFERROR(__xludf.DUMMYFUNCTION("""COMPUTED_VALUE"""),"Unlisted")</f>
        <v>Unlisted</v>
      </c>
      <c r="Q401" s="174" t="str">
        <f>IFERROR(__xludf.DUMMYFUNCTION("""COMPUTED_VALUE"""),"Unlisted")</f>
        <v>Unlisted</v>
      </c>
      <c r="R401" s="174" t="str">
        <f>IFERROR(__xludf.DUMMYFUNCTION("""COMPUTED_VALUE"""),"Unlisted")</f>
        <v>Unlisted</v>
      </c>
    </row>
    <row r="402">
      <c r="A402" s="255" t="str">
        <f>IFERROR(__xludf.DUMMYFUNCTION("""COMPUTED_VALUE"""),"Litwick")</f>
        <v>Litwick</v>
      </c>
      <c r="B402" s="174" t="str">
        <f>IFERROR(__xludf.DUMMYFUNCTION("""COMPUTED_VALUE"""),"Unlisted")</f>
        <v>Unlisted</v>
      </c>
      <c r="C402" s="174" t="str">
        <f>IFERROR(__xludf.DUMMYFUNCTION("""COMPUTED_VALUE"""),"Inept")</f>
        <v>Inept</v>
      </c>
      <c r="D402" s="174" t="str">
        <f>IFERROR(__xludf.DUMMYFUNCTION("""COMPUTED_VALUE"""),"Unlisted")</f>
        <v>Unlisted</v>
      </c>
      <c r="E402" s="174" t="str">
        <f>IFERROR(__xludf.DUMMYFUNCTION("""COMPUTED_VALUE"""),"Unlisted")</f>
        <v>Unlisted</v>
      </c>
      <c r="F402" s="174" t="str">
        <f>IFERROR(__xludf.DUMMYFUNCTION("""COMPUTED_VALUE"""),"Unlisted")</f>
        <v>Unlisted</v>
      </c>
      <c r="G402" s="174" t="str">
        <f>IFERROR(__xludf.DUMMYFUNCTION("""COMPUTED_VALUE"""),"Proficient")</f>
        <v>Proficient</v>
      </c>
      <c r="H402" s="174" t="str">
        <f>IFERROR(__xludf.DUMMYFUNCTION("""COMPUTED_VALUE"""),"Unlisted")</f>
        <v>Unlisted</v>
      </c>
      <c r="I402" s="174" t="str">
        <f>IFERROR(__xludf.DUMMYFUNCTION("""COMPUTED_VALUE"""),"Unlisted")</f>
        <v>Unlisted</v>
      </c>
      <c r="J402" s="174" t="str">
        <f>IFERROR(__xludf.DUMMYFUNCTION("""COMPUTED_VALUE"""),"Unlisted")</f>
        <v>Unlisted</v>
      </c>
      <c r="K402" s="174" t="str">
        <f>IFERROR(__xludf.DUMMYFUNCTION("""COMPUTED_VALUE"""),"Proficient")</f>
        <v>Proficient</v>
      </c>
      <c r="L402" s="174" t="str">
        <f>IFERROR(__xludf.DUMMYFUNCTION("""COMPUTED_VALUE"""),"Unlisted")</f>
        <v>Unlisted</v>
      </c>
      <c r="M402" s="174" t="str">
        <f>IFERROR(__xludf.DUMMYFUNCTION("""COMPUTED_VALUE"""),"Unlisted")</f>
        <v>Unlisted</v>
      </c>
      <c r="N402" s="174" t="str">
        <f>IFERROR(__xludf.DUMMYFUNCTION("""COMPUTED_VALUE"""),"Unlisted")</f>
        <v>Unlisted</v>
      </c>
      <c r="O402" s="174" t="str">
        <f>IFERROR(__xludf.DUMMYFUNCTION("""COMPUTED_VALUE"""),"Unlisted")</f>
        <v>Unlisted</v>
      </c>
      <c r="P402" s="174" t="str">
        <f>IFERROR(__xludf.DUMMYFUNCTION("""COMPUTED_VALUE"""),"Unlisted")</f>
        <v>Unlisted</v>
      </c>
      <c r="Q402" s="174" t="str">
        <f>IFERROR(__xludf.DUMMYFUNCTION("""COMPUTED_VALUE"""),"Unlisted")</f>
        <v>Unlisted</v>
      </c>
      <c r="R402" s="174" t="str">
        <f>IFERROR(__xludf.DUMMYFUNCTION("""COMPUTED_VALUE"""),"Unlisted")</f>
        <v>Unlisted</v>
      </c>
    </row>
    <row r="403">
      <c r="A403" s="255" t="str">
        <f>IFERROR(__xludf.DUMMYFUNCTION("""COMPUTED_VALUE"""),"Lampent")</f>
        <v>Lampent</v>
      </c>
      <c r="B403" s="174" t="str">
        <f>IFERROR(__xludf.DUMMYFUNCTION("""COMPUTED_VALUE"""),"Unlisted")</f>
        <v>Unlisted</v>
      </c>
      <c r="C403" s="174" t="str">
        <f>IFERROR(__xludf.DUMMYFUNCTION("""COMPUTED_VALUE"""),"Unlisted")</f>
        <v>Unlisted</v>
      </c>
      <c r="D403" s="174" t="str">
        <f>IFERROR(__xludf.DUMMYFUNCTION("""COMPUTED_VALUE"""),"Unlisted")</f>
        <v>Unlisted</v>
      </c>
      <c r="E403" s="174" t="str">
        <f>IFERROR(__xludf.DUMMYFUNCTION("""COMPUTED_VALUE"""),"Unlisted")</f>
        <v>Unlisted</v>
      </c>
      <c r="F403" s="174" t="str">
        <f>IFERROR(__xludf.DUMMYFUNCTION("""COMPUTED_VALUE"""),"Unlisted")</f>
        <v>Unlisted</v>
      </c>
      <c r="G403" s="174" t="str">
        <f>IFERROR(__xludf.DUMMYFUNCTION("""COMPUTED_VALUE"""),"Proficient")</f>
        <v>Proficient</v>
      </c>
      <c r="H403" s="174" t="str">
        <f>IFERROR(__xludf.DUMMYFUNCTION("""COMPUTED_VALUE"""),"Unlisted")</f>
        <v>Unlisted</v>
      </c>
      <c r="I403" s="174" t="str">
        <f>IFERROR(__xludf.DUMMYFUNCTION("""COMPUTED_VALUE"""),"Unlisted")</f>
        <v>Unlisted</v>
      </c>
      <c r="J403" s="174" t="str">
        <f>IFERROR(__xludf.DUMMYFUNCTION("""COMPUTED_VALUE"""),"Unlisted")</f>
        <v>Unlisted</v>
      </c>
      <c r="K403" s="174" t="str">
        <f>IFERROR(__xludf.DUMMYFUNCTION("""COMPUTED_VALUE"""),"Proficient")</f>
        <v>Proficient</v>
      </c>
      <c r="L403" s="174" t="str">
        <f>IFERROR(__xludf.DUMMYFUNCTION("""COMPUTED_VALUE"""),"Unlisted")</f>
        <v>Unlisted</v>
      </c>
      <c r="M403" s="174" t="str">
        <f>IFERROR(__xludf.DUMMYFUNCTION("""COMPUTED_VALUE"""),"Unlisted")</f>
        <v>Unlisted</v>
      </c>
      <c r="N403" s="174" t="str">
        <f>IFERROR(__xludf.DUMMYFUNCTION("""COMPUTED_VALUE"""),"Unlisted")</f>
        <v>Unlisted</v>
      </c>
      <c r="O403" s="174" t="str">
        <f>IFERROR(__xludf.DUMMYFUNCTION("""COMPUTED_VALUE"""),"Unlisted")</f>
        <v>Unlisted</v>
      </c>
      <c r="P403" s="174" t="str">
        <f>IFERROR(__xludf.DUMMYFUNCTION("""COMPUTED_VALUE"""),"Unlisted")</f>
        <v>Unlisted</v>
      </c>
      <c r="Q403" s="174" t="str">
        <f>IFERROR(__xludf.DUMMYFUNCTION("""COMPUTED_VALUE"""),"Unlisted")</f>
        <v>Unlisted</v>
      </c>
      <c r="R403" s="174" t="str">
        <f>IFERROR(__xludf.DUMMYFUNCTION("""COMPUTED_VALUE"""),"Unlisted")</f>
        <v>Unlisted</v>
      </c>
    </row>
    <row r="404">
      <c r="A404" s="255" t="str">
        <f>IFERROR(__xludf.DUMMYFUNCTION("""COMPUTED_VALUE"""),"Chandelure")</f>
        <v>Chandelure</v>
      </c>
      <c r="B404" s="174" t="str">
        <f>IFERROR(__xludf.DUMMYFUNCTION("""COMPUTED_VALUE"""),"Unlisted")</f>
        <v>Unlisted</v>
      </c>
      <c r="C404" s="174" t="str">
        <f>IFERROR(__xludf.DUMMYFUNCTION("""COMPUTED_VALUE"""),"Unlisted")</f>
        <v>Unlisted</v>
      </c>
      <c r="D404" s="174" t="str">
        <f>IFERROR(__xludf.DUMMYFUNCTION("""COMPUTED_VALUE"""),"Unlisted")</f>
        <v>Unlisted</v>
      </c>
      <c r="E404" s="174" t="str">
        <f>IFERROR(__xludf.DUMMYFUNCTION("""COMPUTED_VALUE"""),"Unlisted")</f>
        <v>Unlisted</v>
      </c>
      <c r="F404" s="174" t="str">
        <f>IFERROR(__xludf.DUMMYFUNCTION("""COMPUTED_VALUE"""),"Unlisted")</f>
        <v>Unlisted</v>
      </c>
      <c r="G404" s="174" t="str">
        <f>IFERROR(__xludf.DUMMYFUNCTION("""COMPUTED_VALUE"""),"Proficient")</f>
        <v>Proficient</v>
      </c>
      <c r="H404" s="174" t="str">
        <f>IFERROR(__xludf.DUMMYFUNCTION("""COMPUTED_VALUE"""),"Unlisted")</f>
        <v>Unlisted</v>
      </c>
      <c r="I404" s="174" t="str">
        <f>IFERROR(__xludf.DUMMYFUNCTION("""COMPUTED_VALUE"""),"Unlisted")</f>
        <v>Unlisted</v>
      </c>
      <c r="J404" s="174" t="str">
        <f>IFERROR(__xludf.DUMMYFUNCTION("""COMPUTED_VALUE"""),"Unlisted")</f>
        <v>Unlisted</v>
      </c>
      <c r="K404" s="174" t="str">
        <f>IFERROR(__xludf.DUMMYFUNCTION("""COMPUTED_VALUE"""),"Proficient")</f>
        <v>Proficient</v>
      </c>
      <c r="L404" s="174" t="str">
        <f>IFERROR(__xludf.DUMMYFUNCTION("""COMPUTED_VALUE"""),"Unlisted")</f>
        <v>Unlisted</v>
      </c>
      <c r="M404" s="174" t="str">
        <f>IFERROR(__xludf.DUMMYFUNCTION("""COMPUTED_VALUE"""),"Unlisted")</f>
        <v>Unlisted</v>
      </c>
      <c r="N404" s="174" t="str">
        <f>IFERROR(__xludf.DUMMYFUNCTION("""COMPUTED_VALUE"""),"Unlisted")</f>
        <v>Unlisted</v>
      </c>
      <c r="O404" s="174" t="str">
        <f>IFERROR(__xludf.DUMMYFUNCTION("""COMPUTED_VALUE"""),"Unlisted")</f>
        <v>Unlisted</v>
      </c>
      <c r="P404" s="174" t="str">
        <f>IFERROR(__xludf.DUMMYFUNCTION("""COMPUTED_VALUE"""),"Unlisted")</f>
        <v>Unlisted</v>
      </c>
      <c r="Q404" s="174" t="str">
        <f>IFERROR(__xludf.DUMMYFUNCTION("""COMPUTED_VALUE"""),"Unlisted")</f>
        <v>Unlisted</v>
      </c>
      <c r="R404" s="174" t="str">
        <f>IFERROR(__xludf.DUMMYFUNCTION("""COMPUTED_VALUE"""),"Unlisted")</f>
        <v>Unlisted</v>
      </c>
    </row>
    <row r="405">
      <c r="A405" s="255" t="str">
        <f>IFERROR(__xludf.DUMMYFUNCTION("""COMPUTED_VALUE"""),"Gimmighoul (Roaming)")</f>
        <v>Gimmighoul (Roaming)</v>
      </c>
      <c r="B405" s="174" t="str">
        <f>IFERROR(__xludf.DUMMYFUNCTION("""COMPUTED_VALUE"""),"Inept")</f>
        <v>Inept</v>
      </c>
      <c r="C405" s="174" t="str">
        <f>IFERROR(__xludf.DUMMYFUNCTION("""COMPUTED_VALUE"""),"Inept")</f>
        <v>Inept</v>
      </c>
      <c r="D405" s="174" t="str">
        <f>IFERROR(__xludf.DUMMYFUNCTION("""COMPUTED_VALUE"""),"Unlisted")</f>
        <v>Unlisted</v>
      </c>
      <c r="E405" s="174" t="str">
        <f>IFERROR(__xludf.DUMMYFUNCTION("""COMPUTED_VALUE"""),"Inept")</f>
        <v>Inept</v>
      </c>
      <c r="F405" s="174" t="str">
        <f>IFERROR(__xludf.DUMMYFUNCTION("""COMPUTED_VALUE"""),"Unlisted")</f>
        <v>Unlisted</v>
      </c>
      <c r="G405" s="174" t="str">
        <f>IFERROR(__xludf.DUMMYFUNCTION("""COMPUTED_VALUE"""),"Unlisted")</f>
        <v>Unlisted</v>
      </c>
      <c r="H405" s="174" t="str">
        <f>IFERROR(__xludf.DUMMYFUNCTION("""COMPUTED_VALUE"""),"Proficient")</f>
        <v>Proficient</v>
      </c>
      <c r="I405" s="174" t="str">
        <f>IFERROR(__xludf.DUMMYFUNCTION("""COMPUTED_VALUE"""),"Unlisted")</f>
        <v>Unlisted</v>
      </c>
      <c r="J405" s="174" t="str">
        <f>IFERROR(__xludf.DUMMYFUNCTION("""COMPUTED_VALUE"""),"Unlisted")</f>
        <v>Unlisted</v>
      </c>
      <c r="K405" s="174" t="str">
        <f>IFERROR(__xludf.DUMMYFUNCTION("""COMPUTED_VALUE"""),"Proficient")</f>
        <v>Proficient</v>
      </c>
      <c r="L405" s="174" t="str">
        <f>IFERROR(__xludf.DUMMYFUNCTION("""COMPUTED_VALUE"""),"Mastered")</f>
        <v>Mastered</v>
      </c>
      <c r="M405" s="174" t="str">
        <f>IFERROR(__xludf.DUMMYFUNCTION("""COMPUTED_VALUE"""),"Unlisted")</f>
        <v>Unlisted</v>
      </c>
      <c r="N405" s="174" t="str">
        <f>IFERROR(__xludf.DUMMYFUNCTION("""COMPUTED_VALUE"""),"Unlisted")</f>
        <v>Unlisted</v>
      </c>
      <c r="O405" s="174" t="str">
        <f>IFERROR(__xludf.DUMMYFUNCTION("""COMPUTED_VALUE"""),"Unlisted")</f>
        <v>Unlisted</v>
      </c>
      <c r="P405" s="174" t="str">
        <f>IFERROR(__xludf.DUMMYFUNCTION("""COMPUTED_VALUE"""),"Unlisted")</f>
        <v>Unlisted</v>
      </c>
      <c r="Q405" s="174" t="str">
        <f>IFERROR(__xludf.DUMMYFUNCTION("""COMPUTED_VALUE"""),"Unlisted")</f>
        <v>Unlisted</v>
      </c>
      <c r="R405" s="174" t="str">
        <f>IFERROR(__xludf.DUMMYFUNCTION("""COMPUTED_VALUE"""),"Unlisted")</f>
        <v>Unlisted</v>
      </c>
    </row>
    <row r="406">
      <c r="A406" s="255" t="str">
        <f>IFERROR(__xludf.DUMMYFUNCTION("""COMPUTED_VALUE"""),"Gimmighoul (Chest)")</f>
        <v>Gimmighoul (Chest)</v>
      </c>
      <c r="B406" s="174" t="str">
        <f>IFERROR(__xludf.DUMMYFUNCTION("""COMPUTED_VALUE"""),"Inept")</f>
        <v>Inept</v>
      </c>
      <c r="C406" s="174" t="str">
        <f>IFERROR(__xludf.DUMMYFUNCTION("""COMPUTED_VALUE"""),"Unlisted")</f>
        <v>Unlisted</v>
      </c>
      <c r="D406" s="174" t="str">
        <f>IFERROR(__xludf.DUMMYFUNCTION("""COMPUTED_VALUE"""),"Unlisted")</f>
        <v>Unlisted</v>
      </c>
      <c r="E406" s="174" t="str">
        <f>IFERROR(__xludf.DUMMYFUNCTION("""COMPUTED_VALUE"""),"Unlisted")</f>
        <v>Unlisted</v>
      </c>
      <c r="F406" s="174" t="str">
        <f>IFERROR(__xludf.DUMMYFUNCTION("""COMPUTED_VALUE"""),"Unlisted")</f>
        <v>Unlisted</v>
      </c>
      <c r="G406" s="174" t="str">
        <f>IFERROR(__xludf.DUMMYFUNCTION("""COMPUTED_VALUE"""),"Unlisted")</f>
        <v>Unlisted</v>
      </c>
      <c r="H406" s="174" t="str">
        <f>IFERROR(__xludf.DUMMYFUNCTION("""COMPUTED_VALUE"""),"Proficient")</f>
        <v>Proficient</v>
      </c>
      <c r="I406" s="174" t="str">
        <f>IFERROR(__xludf.DUMMYFUNCTION("""COMPUTED_VALUE"""),"Unlisted")</f>
        <v>Unlisted</v>
      </c>
      <c r="J406" s="174" t="str">
        <f>IFERROR(__xludf.DUMMYFUNCTION("""COMPUTED_VALUE"""),"Unlisted")</f>
        <v>Unlisted</v>
      </c>
      <c r="K406" s="174" t="str">
        <f>IFERROR(__xludf.DUMMYFUNCTION("""COMPUTED_VALUE"""),"Proficient")</f>
        <v>Proficient</v>
      </c>
      <c r="L406" s="174" t="str">
        <f>IFERROR(__xludf.DUMMYFUNCTION("""COMPUTED_VALUE"""),"Unlisted")</f>
        <v>Unlisted</v>
      </c>
      <c r="M406" s="174" t="str">
        <f>IFERROR(__xludf.DUMMYFUNCTION("""COMPUTED_VALUE"""),"Unlisted")</f>
        <v>Unlisted</v>
      </c>
      <c r="N406" s="174" t="str">
        <f>IFERROR(__xludf.DUMMYFUNCTION("""COMPUTED_VALUE"""),"Unlisted")</f>
        <v>Unlisted</v>
      </c>
      <c r="O406" s="174" t="str">
        <f>IFERROR(__xludf.DUMMYFUNCTION("""COMPUTED_VALUE"""),"Unlisted")</f>
        <v>Unlisted</v>
      </c>
      <c r="P406" s="174" t="str">
        <f>IFERROR(__xludf.DUMMYFUNCTION("""COMPUTED_VALUE"""),"Unlisted")</f>
        <v>Unlisted</v>
      </c>
      <c r="Q406" s="174" t="str">
        <f>IFERROR(__xludf.DUMMYFUNCTION("""COMPUTED_VALUE"""),"Unlisted")</f>
        <v>Unlisted</v>
      </c>
      <c r="R406" s="174" t="str">
        <f>IFERROR(__xludf.DUMMYFUNCTION("""COMPUTED_VALUE"""),"Unlisted")</f>
        <v>Unlisted</v>
      </c>
    </row>
    <row r="407">
      <c r="A407" s="255" t="str">
        <f>IFERROR(__xludf.DUMMYFUNCTION("""COMPUTED_VALUE"""),"Gholdengo")</f>
        <v>Gholdengo</v>
      </c>
      <c r="B407" s="174" t="str">
        <f>IFERROR(__xludf.DUMMYFUNCTION("""COMPUTED_VALUE"""),"Unlisted")</f>
        <v>Unlisted</v>
      </c>
      <c r="C407" s="174" t="str">
        <f>IFERROR(__xludf.DUMMYFUNCTION("""COMPUTED_VALUE"""),"Unlisted")</f>
        <v>Unlisted</v>
      </c>
      <c r="D407" s="174" t="str">
        <f>IFERROR(__xludf.DUMMYFUNCTION("""COMPUTED_VALUE"""),"Unlisted")</f>
        <v>Unlisted</v>
      </c>
      <c r="E407" s="174" t="str">
        <f>IFERROR(__xludf.DUMMYFUNCTION("""COMPUTED_VALUE"""),"Inept")</f>
        <v>Inept</v>
      </c>
      <c r="F407" s="174" t="str">
        <f>IFERROR(__xludf.DUMMYFUNCTION("""COMPUTED_VALUE"""),"Unlisted")</f>
        <v>Unlisted</v>
      </c>
      <c r="G407" s="174" t="str">
        <f>IFERROR(__xludf.DUMMYFUNCTION("""COMPUTED_VALUE"""),"Unlisted")</f>
        <v>Unlisted</v>
      </c>
      <c r="H407" s="174" t="str">
        <f>IFERROR(__xludf.DUMMYFUNCTION("""COMPUTED_VALUE"""),"Proficient")</f>
        <v>Proficient</v>
      </c>
      <c r="I407" s="174" t="str">
        <f>IFERROR(__xludf.DUMMYFUNCTION("""COMPUTED_VALUE"""),"Unlisted")</f>
        <v>Unlisted</v>
      </c>
      <c r="J407" s="174" t="str">
        <f>IFERROR(__xludf.DUMMYFUNCTION("""COMPUTED_VALUE"""),"Unlisted")</f>
        <v>Unlisted</v>
      </c>
      <c r="K407" s="174" t="str">
        <f>IFERROR(__xludf.DUMMYFUNCTION("""COMPUTED_VALUE"""),"Proficient")</f>
        <v>Proficient</v>
      </c>
      <c r="L407" s="174" t="str">
        <f>IFERROR(__xludf.DUMMYFUNCTION("""COMPUTED_VALUE"""),"Unlisted")</f>
        <v>Unlisted</v>
      </c>
      <c r="M407" s="174" t="str">
        <f>IFERROR(__xludf.DUMMYFUNCTION("""COMPUTED_VALUE"""),"Unlisted")</f>
        <v>Unlisted</v>
      </c>
      <c r="N407" s="174" t="str">
        <f>IFERROR(__xludf.DUMMYFUNCTION("""COMPUTED_VALUE"""),"Unlisted")</f>
        <v>Unlisted</v>
      </c>
      <c r="O407" s="174" t="str">
        <f>IFERROR(__xludf.DUMMYFUNCTION("""COMPUTED_VALUE"""),"Mastered")</f>
        <v>Mastered</v>
      </c>
      <c r="P407" s="174" t="str">
        <f>IFERROR(__xludf.DUMMYFUNCTION("""COMPUTED_VALUE"""),"Unlisted")</f>
        <v>Unlisted</v>
      </c>
      <c r="Q407" s="174" t="str">
        <f>IFERROR(__xludf.DUMMYFUNCTION("""COMPUTED_VALUE"""),"Unlisted")</f>
        <v>Unlisted</v>
      </c>
      <c r="R407" s="174" t="str">
        <f>IFERROR(__xludf.DUMMYFUNCTION("""COMPUTED_VALUE"""),"Unlisted")</f>
        <v>Unlisted</v>
      </c>
    </row>
    <row r="408">
      <c r="A408" s="255" t="str">
        <f>IFERROR(__xludf.DUMMYFUNCTION("""COMPUTED_VALUE"""),"Oddish")</f>
        <v>Oddish</v>
      </c>
      <c r="B408" s="174" t="str">
        <f>IFERROR(__xludf.DUMMYFUNCTION("""COMPUTED_VALUE"""),"Unlisted")</f>
        <v>Unlisted</v>
      </c>
      <c r="C408" s="174" t="str">
        <f>IFERROR(__xludf.DUMMYFUNCTION("""COMPUTED_VALUE"""),"Unlisted")</f>
        <v>Unlisted</v>
      </c>
      <c r="D408" s="174" t="str">
        <f>IFERROR(__xludf.DUMMYFUNCTION("""COMPUTED_VALUE"""),"Unlisted")</f>
        <v>Unlisted</v>
      </c>
      <c r="E408" s="174" t="str">
        <f>IFERROR(__xludf.DUMMYFUNCTION("""COMPUTED_VALUE"""),"Unlisted")</f>
        <v>Unlisted</v>
      </c>
      <c r="F408" s="174" t="str">
        <f>IFERROR(__xludf.DUMMYFUNCTION("""COMPUTED_VALUE"""),"Unlisted")</f>
        <v>Unlisted</v>
      </c>
      <c r="G408" s="174" t="str">
        <f>IFERROR(__xludf.DUMMYFUNCTION("""COMPUTED_VALUE"""),"Proficient")</f>
        <v>Proficient</v>
      </c>
      <c r="H408" s="174" t="str">
        <f>IFERROR(__xludf.DUMMYFUNCTION("""COMPUTED_VALUE"""),"Unlisted")</f>
        <v>Unlisted</v>
      </c>
      <c r="I408" s="174" t="str">
        <f>IFERROR(__xludf.DUMMYFUNCTION("""COMPUTED_VALUE"""),"Unlisted")</f>
        <v>Unlisted</v>
      </c>
      <c r="J408" s="174" t="str">
        <f>IFERROR(__xludf.DUMMYFUNCTION("""COMPUTED_VALUE"""),"Unlisted")</f>
        <v>Unlisted</v>
      </c>
      <c r="K408" s="174" t="str">
        <f>IFERROR(__xludf.DUMMYFUNCTION("""COMPUTED_VALUE"""),"Unlisted")</f>
        <v>Unlisted</v>
      </c>
      <c r="L408" s="174" t="str">
        <f>IFERROR(__xludf.DUMMYFUNCTION("""COMPUTED_VALUE"""),"Proficient")</f>
        <v>Proficient</v>
      </c>
      <c r="M408" s="174" t="str">
        <f>IFERROR(__xludf.DUMMYFUNCTION("""COMPUTED_VALUE"""),"Unlisted")</f>
        <v>Unlisted</v>
      </c>
      <c r="N408" s="174" t="str">
        <f>IFERROR(__xludf.DUMMYFUNCTION("""COMPUTED_VALUE"""),"Unlisted")</f>
        <v>Unlisted</v>
      </c>
      <c r="O408" s="174" t="str">
        <f>IFERROR(__xludf.DUMMYFUNCTION("""COMPUTED_VALUE"""),"Proficient")</f>
        <v>Proficient</v>
      </c>
      <c r="P408" s="174" t="str">
        <f>IFERROR(__xludf.DUMMYFUNCTION("""COMPUTED_VALUE"""),"Unlisted")</f>
        <v>Unlisted</v>
      </c>
      <c r="Q408" s="174" t="str">
        <f>IFERROR(__xludf.DUMMYFUNCTION("""COMPUTED_VALUE"""),"Unlisted")</f>
        <v>Unlisted</v>
      </c>
      <c r="R408" s="174" t="str">
        <f>IFERROR(__xludf.DUMMYFUNCTION("""COMPUTED_VALUE"""),"Unlisted")</f>
        <v>Unlisted</v>
      </c>
    </row>
    <row r="409">
      <c r="A409" s="255" t="str">
        <f>IFERROR(__xludf.DUMMYFUNCTION("""COMPUTED_VALUE"""),"Gloom")</f>
        <v>Gloom</v>
      </c>
      <c r="B409" s="174" t="str">
        <f>IFERROR(__xludf.DUMMYFUNCTION("""COMPUTED_VALUE"""),"Unlisted")</f>
        <v>Unlisted</v>
      </c>
      <c r="C409" s="174" t="str">
        <f>IFERROR(__xludf.DUMMYFUNCTION("""COMPUTED_VALUE"""),"Unlisted")</f>
        <v>Unlisted</v>
      </c>
      <c r="D409" s="174" t="str">
        <f>IFERROR(__xludf.DUMMYFUNCTION("""COMPUTED_VALUE"""),"Unlisted")</f>
        <v>Unlisted</v>
      </c>
      <c r="E409" s="174" t="str">
        <f>IFERROR(__xludf.DUMMYFUNCTION("""COMPUTED_VALUE"""),"Unlisted")</f>
        <v>Unlisted</v>
      </c>
      <c r="F409" s="174" t="str">
        <f>IFERROR(__xludf.DUMMYFUNCTION("""COMPUTED_VALUE"""),"Unlisted")</f>
        <v>Unlisted</v>
      </c>
      <c r="G409" s="174" t="str">
        <f>IFERROR(__xludf.DUMMYFUNCTION("""COMPUTED_VALUE"""),"Proficient")</f>
        <v>Proficient</v>
      </c>
      <c r="H409" s="174" t="str">
        <f>IFERROR(__xludf.DUMMYFUNCTION("""COMPUTED_VALUE"""),"Unlisted")</f>
        <v>Unlisted</v>
      </c>
      <c r="I409" s="174" t="str">
        <f>IFERROR(__xludf.DUMMYFUNCTION("""COMPUTED_VALUE"""),"Unlisted")</f>
        <v>Unlisted</v>
      </c>
      <c r="J409" s="174" t="str">
        <f>IFERROR(__xludf.DUMMYFUNCTION("""COMPUTED_VALUE"""),"Unlisted")</f>
        <v>Unlisted</v>
      </c>
      <c r="K409" s="174" t="str">
        <f>IFERROR(__xludf.DUMMYFUNCTION("""COMPUTED_VALUE"""),"Unlisted")</f>
        <v>Unlisted</v>
      </c>
      <c r="L409" s="174" t="str">
        <f>IFERROR(__xludf.DUMMYFUNCTION("""COMPUTED_VALUE"""),"Unlisted")</f>
        <v>Unlisted</v>
      </c>
      <c r="M409" s="174" t="str">
        <f>IFERROR(__xludf.DUMMYFUNCTION("""COMPUTED_VALUE"""),"Unlisted")</f>
        <v>Unlisted</v>
      </c>
      <c r="N409" s="174" t="str">
        <f>IFERROR(__xludf.DUMMYFUNCTION("""COMPUTED_VALUE"""),"Unlisted")</f>
        <v>Unlisted</v>
      </c>
      <c r="O409" s="174" t="str">
        <f>IFERROR(__xludf.DUMMYFUNCTION("""COMPUTED_VALUE"""),"Proficient")</f>
        <v>Proficient</v>
      </c>
      <c r="P409" s="174" t="str">
        <f>IFERROR(__xludf.DUMMYFUNCTION("""COMPUTED_VALUE"""),"Unlisted")</f>
        <v>Unlisted</v>
      </c>
      <c r="Q409" s="174" t="str">
        <f>IFERROR(__xludf.DUMMYFUNCTION("""COMPUTED_VALUE"""),"Unlisted")</f>
        <v>Unlisted</v>
      </c>
      <c r="R409" s="174" t="str">
        <f>IFERROR(__xludf.DUMMYFUNCTION("""COMPUTED_VALUE"""),"Unlisted")</f>
        <v>Unlisted</v>
      </c>
    </row>
    <row r="410">
      <c r="A410" s="255" t="str">
        <f>IFERROR(__xludf.DUMMYFUNCTION("""COMPUTED_VALUE"""),"Vileplume")</f>
        <v>Vileplume</v>
      </c>
      <c r="B410" s="174" t="str">
        <f>IFERROR(__xludf.DUMMYFUNCTION("""COMPUTED_VALUE"""),"Unlisted")</f>
        <v>Unlisted</v>
      </c>
      <c r="C410" s="174" t="str">
        <f>IFERROR(__xludf.DUMMYFUNCTION("""COMPUTED_VALUE"""),"Unlisted")</f>
        <v>Unlisted</v>
      </c>
      <c r="D410" s="174" t="str">
        <f>IFERROR(__xludf.DUMMYFUNCTION("""COMPUTED_VALUE"""),"Unlisted")</f>
        <v>Unlisted</v>
      </c>
      <c r="E410" s="174" t="str">
        <f>IFERROR(__xludf.DUMMYFUNCTION("""COMPUTED_VALUE"""),"Unlisted")</f>
        <v>Unlisted</v>
      </c>
      <c r="F410" s="174" t="str">
        <f>IFERROR(__xludf.DUMMYFUNCTION("""COMPUTED_VALUE"""),"Unlisted")</f>
        <v>Unlisted</v>
      </c>
      <c r="G410" s="174" t="str">
        <f>IFERROR(__xludf.DUMMYFUNCTION("""COMPUTED_VALUE"""),"Proficient")</f>
        <v>Proficient</v>
      </c>
      <c r="H410" s="174" t="str">
        <f>IFERROR(__xludf.DUMMYFUNCTION("""COMPUTED_VALUE"""),"Unlisted")</f>
        <v>Unlisted</v>
      </c>
      <c r="I410" s="174" t="str">
        <f>IFERROR(__xludf.DUMMYFUNCTION("""COMPUTED_VALUE"""),"Unlisted")</f>
        <v>Unlisted</v>
      </c>
      <c r="J410" s="174" t="str">
        <f>IFERROR(__xludf.DUMMYFUNCTION("""COMPUTED_VALUE"""),"Unlisted")</f>
        <v>Unlisted</v>
      </c>
      <c r="K410" s="174" t="str">
        <f>IFERROR(__xludf.DUMMYFUNCTION("""COMPUTED_VALUE"""),"Unlisted")</f>
        <v>Unlisted</v>
      </c>
      <c r="L410" s="174" t="str">
        <f>IFERROR(__xludf.DUMMYFUNCTION("""COMPUTED_VALUE"""),"Unlisted")</f>
        <v>Unlisted</v>
      </c>
      <c r="M410" s="174" t="str">
        <f>IFERROR(__xludf.DUMMYFUNCTION("""COMPUTED_VALUE"""),"Unlisted")</f>
        <v>Unlisted</v>
      </c>
      <c r="N410" s="174" t="str">
        <f>IFERROR(__xludf.DUMMYFUNCTION("""COMPUTED_VALUE"""),"Unlisted")</f>
        <v>Unlisted</v>
      </c>
      <c r="O410" s="174" t="str">
        <f>IFERROR(__xludf.DUMMYFUNCTION("""COMPUTED_VALUE"""),"Proficient")</f>
        <v>Proficient</v>
      </c>
      <c r="P410" s="174" t="str">
        <f>IFERROR(__xludf.DUMMYFUNCTION("""COMPUTED_VALUE"""),"Unlisted")</f>
        <v>Unlisted</v>
      </c>
      <c r="Q410" s="174" t="str">
        <f>IFERROR(__xludf.DUMMYFUNCTION("""COMPUTED_VALUE"""),"Unlisted")</f>
        <v>Unlisted</v>
      </c>
      <c r="R410" s="174" t="str">
        <f>IFERROR(__xludf.DUMMYFUNCTION("""COMPUTED_VALUE"""),"Unlisted")</f>
        <v>Unlisted</v>
      </c>
    </row>
    <row r="411">
      <c r="A411" s="255" t="str">
        <f>IFERROR(__xludf.DUMMYFUNCTION("""COMPUTED_VALUE"""),"Bellossom")</f>
        <v>Bellossom</v>
      </c>
      <c r="B411" s="174" t="str">
        <f>IFERROR(__xludf.DUMMYFUNCTION("""COMPUTED_VALUE"""),"Proficient")</f>
        <v>Proficient</v>
      </c>
      <c r="C411" s="174" t="str">
        <f>IFERROR(__xludf.DUMMYFUNCTION("""COMPUTED_VALUE"""),"Unlisted")</f>
        <v>Unlisted</v>
      </c>
      <c r="D411" s="174" t="str">
        <f>IFERROR(__xludf.DUMMYFUNCTION("""COMPUTED_VALUE"""),"Proficient")</f>
        <v>Proficient</v>
      </c>
      <c r="E411" s="174" t="str">
        <f>IFERROR(__xludf.DUMMYFUNCTION("""COMPUTED_VALUE"""),"Unlisted")</f>
        <v>Unlisted</v>
      </c>
      <c r="F411" s="174" t="str">
        <f>IFERROR(__xludf.DUMMYFUNCTION("""COMPUTED_VALUE"""),"Unlisted")</f>
        <v>Unlisted</v>
      </c>
      <c r="G411" s="174" t="str">
        <f>IFERROR(__xludf.DUMMYFUNCTION("""COMPUTED_VALUE"""),"Proficient")</f>
        <v>Proficient</v>
      </c>
      <c r="H411" s="174" t="str">
        <f>IFERROR(__xludf.DUMMYFUNCTION("""COMPUTED_VALUE"""),"Unlisted")</f>
        <v>Unlisted</v>
      </c>
      <c r="I411" s="174" t="str">
        <f>IFERROR(__xludf.DUMMYFUNCTION("""COMPUTED_VALUE"""),"Unlisted")</f>
        <v>Unlisted</v>
      </c>
      <c r="J411" s="174" t="str">
        <f>IFERROR(__xludf.DUMMYFUNCTION("""COMPUTED_VALUE"""),"Unlisted")</f>
        <v>Unlisted</v>
      </c>
      <c r="K411" s="174" t="str">
        <f>IFERROR(__xludf.DUMMYFUNCTION("""COMPUTED_VALUE"""),"Unlisted")</f>
        <v>Unlisted</v>
      </c>
      <c r="L411" s="174" t="str">
        <f>IFERROR(__xludf.DUMMYFUNCTION("""COMPUTED_VALUE"""),"Unlisted")</f>
        <v>Unlisted</v>
      </c>
      <c r="M411" s="174" t="str">
        <f>IFERROR(__xludf.DUMMYFUNCTION("""COMPUTED_VALUE"""),"Unlisted")</f>
        <v>Unlisted</v>
      </c>
      <c r="N411" s="174" t="str">
        <f>IFERROR(__xludf.DUMMYFUNCTION("""COMPUTED_VALUE"""),"Unlisted")</f>
        <v>Unlisted</v>
      </c>
      <c r="O411" s="174" t="str">
        <f>IFERROR(__xludf.DUMMYFUNCTION("""COMPUTED_VALUE"""),"Unlisted")</f>
        <v>Unlisted</v>
      </c>
      <c r="P411" s="174" t="str">
        <f>IFERROR(__xludf.DUMMYFUNCTION("""COMPUTED_VALUE"""),"Unlisted")</f>
        <v>Unlisted</v>
      </c>
      <c r="Q411" s="174" t="str">
        <f>IFERROR(__xludf.DUMMYFUNCTION("""COMPUTED_VALUE"""),"Unlisted")</f>
        <v>Unlisted</v>
      </c>
      <c r="R411" s="174" t="str">
        <f>IFERROR(__xludf.DUMMYFUNCTION("""COMPUTED_VALUE"""),"Unlisted")</f>
        <v>Unlisted</v>
      </c>
    </row>
    <row r="412">
      <c r="A412" s="255" t="str">
        <f>IFERROR(__xludf.DUMMYFUNCTION("""COMPUTED_VALUE"""),"Bellsprout")</f>
        <v>Bellsprout</v>
      </c>
      <c r="B412" s="174" t="str">
        <f>IFERROR(__xludf.DUMMYFUNCTION("""COMPUTED_VALUE"""),"Proficient")</f>
        <v>Proficient</v>
      </c>
      <c r="C412" s="174" t="str">
        <f>IFERROR(__xludf.DUMMYFUNCTION("""COMPUTED_VALUE"""),"Unlisted")</f>
        <v>Unlisted</v>
      </c>
      <c r="D412" s="174" t="str">
        <f>IFERROR(__xludf.DUMMYFUNCTION("""COMPUTED_VALUE"""),"Unlisted")</f>
        <v>Unlisted</v>
      </c>
      <c r="E412" s="174" t="str">
        <f>IFERROR(__xludf.DUMMYFUNCTION("""COMPUTED_VALUE"""),"Unlisted")</f>
        <v>Unlisted</v>
      </c>
      <c r="F412" s="174" t="str">
        <f>IFERROR(__xludf.DUMMYFUNCTION("""COMPUTED_VALUE"""),"Unlisted")</f>
        <v>Unlisted</v>
      </c>
      <c r="G412" s="174" t="str">
        <f>IFERROR(__xludf.DUMMYFUNCTION("""COMPUTED_VALUE"""),"Unlisted")</f>
        <v>Unlisted</v>
      </c>
      <c r="H412" s="174" t="str">
        <f>IFERROR(__xludf.DUMMYFUNCTION("""COMPUTED_VALUE"""),"Unlisted")</f>
        <v>Unlisted</v>
      </c>
      <c r="I412" s="174" t="str">
        <f>IFERROR(__xludf.DUMMYFUNCTION("""COMPUTED_VALUE"""),"Unlisted")</f>
        <v>Unlisted</v>
      </c>
      <c r="J412" s="174" t="str">
        <f>IFERROR(__xludf.DUMMYFUNCTION("""COMPUTED_VALUE"""),"Unlisted")</f>
        <v>Unlisted</v>
      </c>
      <c r="K412" s="174" t="str">
        <f>IFERROR(__xludf.DUMMYFUNCTION("""COMPUTED_VALUE"""),"Unlisted")</f>
        <v>Unlisted</v>
      </c>
      <c r="L412" s="174" t="str">
        <f>IFERROR(__xludf.DUMMYFUNCTION("""COMPUTED_VALUE"""),"Unlisted")</f>
        <v>Unlisted</v>
      </c>
      <c r="M412" s="174" t="str">
        <f>IFERROR(__xludf.DUMMYFUNCTION("""COMPUTED_VALUE"""),"Unlisted")</f>
        <v>Unlisted</v>
      </c>
      <c r="N412" s="174" t="str">
        <f>IFERROR(__xludf.DUMMYFUNCTION("""COMPUTED_VALUE"""),"Unlisted")</f>
        <v>Unlisted</v>
      </c>
      <c r="O412" s="174" t="str">
        <f>IFERROR(__xludf.DUMMYFUNCTION("""COMPUTED_VALUE"""),"Proficient")</f>
        <v>Proficient</v>
      </c>
      <c r="P412" s="174" t="str">
        <f>IFERROR(__xludf.DUMMYFUNCTION("""COMPUTED_VALUE"""),"Unlisted")</f>
        <v>Unlisted</v>
      </c>
      <c r="Q412" s="174" t="str">
        <f>IFERROR(__xludf.DUMMYFUNCTION("""COMPUTED_VALUE"""),"Unlisted")</f>
        <v>Unlisted</v>
      </c>
      <c r="R412" s="174" t="str">
        <f>IFERROR(__xludf.DUMMYFUNCTION("""COMPUTED_VALUE"""),"Unlisted")</f>
        <v>Unlisted</v>
      </c>
    </row>
    <row r="413">
      <c r="A413" s="255" t="str">
        <f>IFERROR(__xludf.DUMMYFUNCTION("""COMPUTED_VALUE"""),"Weepinbell")</f>
        <v>Weepinbell</v>
      </c>
      <c r="B413" s="174" t="str">
        <f>IFERROR(__xludf.DUMMYFUNCTION("""COMPUTED_VALUE"""),"Proficient")</f>
        <v>Proficient</v>
      </c>
      <c r="C413" s="174" t="str">
        <f>IFERROR(__xludf.DUMMYFUNCTION("""COMPUTED_VALUE"""),"Proficient")</f>
        <v>Proficient</v>
      </c>
      <c r="D413" s="174" t="str">
        <f>IFERROR(__xludf.DUMMYFUNCTION("""COMPUTED_VALUE"""),"Unlisted")</f>
        <v>Unlisted</v>
      </c>
      <c r="E413" s="174" t="str">
        <f>IFERROR(__xludf.DUMMYFUNCTION("""COMPUTED_VALUE"""),"Unlisted")</f>
        <v>Unlisted</v>
      </c>
      <c r="F413" s="174" t="str">
        <f>IFERROR(__xludf.DUMMYFUNCTION("""COMPUTED_VALUE"""),"Unlisted")</f>
        <v>Unlisted</v>
      </c>
      <c r="G413" s="174" t="str">
        <f>IFERROR(__xludf.DUMMYFUNCTION("""COMPUTED_VALUE"""),"Unlisted")</f>
        <v>Unlisted</v>
      </c>
      <c r="H413" s="174" t="str">
        <f>IFERROR(__xludf.DUMMYFUNCTION("""COMPUTED_VALUE"""),"Unlisted")</f>
        <v>Unlisted</v>
      </c>
      <c r="I413" s="174" t="str">
        <f>IFERROR(__xludf.DUMMYFUNCTION("""COMPUTED_VALUE"""),"Unlisted")</f>
        <v>Unlisted</v>
      </c>
      <c r="J413" s="174" t="str">
        <f>IFERROR(__xludf.DUMMYFUNCTION("""COMPUTED_VALUE"""),"Unlisted")</f>
        <v>Unlisted</v>
      </c>
      <c r="K413" s="174" t="str">
        <f>IFERROR(__xludf.DUMMYFUNCTION("""COMPUTED_VALUE"""),"Unlisted")</f>
        <v>Unlisted</v>
      </c>
      <c r="L413" s="174" t="str">
        <f>IFERROR(__xludf.DUMMYFUNCTION("""COMPUTED_VALUE"""),"Unlisted")</f>
        <v>Unlisted</v>
      </c>
      <c r="M413" s="174" t="str">
        <f>IFERROR(__xludf.DUMMYFUNCTION("""COMPUTED_VALUE"""),"Unlisted")</f>
        <v>Unlisted</v>
      </c>
      <c r="N413" s="174" t="str">
        <f>IFERROR(__xludf.DUMMYFUNCTION("""COMPUTED_VALUE"""),"Unlisted")</f>
        <v>Unlisted</v>
      </c>
      <c r="O413" s="174" t="str">
        <f>IFERROR(__xludf.DUMMYFUNCTION("""COMPUTED_VALUE"""),"Proficient")</f>
        <v>Proficient</v>
      </c>
      <c r="P413" s="174" t="str">
        <f>IFERROR(__xludf.DUMMYFUNCTION("""COMPUTED_VALUE"""),"Unlisted")</f>
        <v>Unlisted</v>
      </c>
      <c r="Q413" s="174" t="str">
        <f>IFERROR(__xludf.DUMMYFUNCTION("""COMPUTED_VALUE"""),"Unlisted")</f>
        <v>Unlisted</v>
      </c>
      <c r="R413" s="174" t="str">
        <f>IFERROR(__xludf.DUMMYFUNCTION("""COMPUTED_VALUE"""),"Unlisted")</f>
        <v>Unlisted</v>
      </c>
    </row>
    <row r="414">
      <c r="A414" s="255" t="str">
        <f>IFERROR(__xludf.DUMMYFUNCTION("""COMPUTED_VALUE"""),"Victreebel")</f>
        <v>Victreebel</v>
      </c>
      <c r="B414" s="174" t="str">
        <f>IFERROR(__xludf.DUMMYFUNCTION("""COMPUTED_VALUE"""),"Proficient")</f>
        <v>Proficient</v>
      </c>
      <c r="C414" s="174" t="str">
        <f>IFERROR(__xludf.DUMMYFUNCTION("""COMPUTED_VALUE"""),"Proficient")</f>
        <v>Proficient</v>
      </c>
      <c r="D414" s="174" t="str">
        <f>IFERROR(__xludf.DUMMYFUNCTION("""COMPUTED_VALUE"""),"Unlisted")</f>
        <v>Unlisted</v>
      </c>
      <c r="E414" s="174" t="str">
        <f>IFERROR(__xludf.DUMMYFUNCTION("""COMPUTED_VALUE"""),"Unlisted")</f>
        <v>Unlisted</v>
      </c>
      <c r="F414" s="174" t="str">
        <f>IFERROR(__xludf.DUMMYFUNCTION("""COMPUTED_VALUE"""),"Unlisted")</f>
        <v>Unlisted</v>
      </c>
      <c r="G414" s="174" t="str">
        <f>IFERROR(__xludf.DUMMYFUNCTION("""COMPUTED_VALUE"""),"Unlisted")</f>
        <v>Unlisted</v>
      </c>
      <c r="H414" s="174" t="str">
        <f>IFERROR(__xludf.DUMMYFUNCTION("""COMPUTED_VALUE"""),"Unlisted")</f>
        <v>Unlisted</v>
      </c>
      <c r="I414" s="174" t="str">
        <f>IFERROR(__xludf.DUMMYFUNCTION("""COMPUTED_VALUE"""),"Unlisted")</f>
        <v>Unlisted</v>
      </c>
      <c r="J414" s="174" t="str">
        <f>IFERROR(__xludf.DUMMYFUNCTION("""COMPUTED_VALUE"""),"Unlisted")</f>
        <v>Unlisted</v>
      </c>
      <c r="K414" s="174" t="str">
        <f>IFERROR(__xludf.DUMMYFUNCTION("""COMPUTED_VALUE"""),"Unlisted")</f>
        <v>Unlisted</v>
      </c>
      <c r="L414" s="174" t="str">
        <f>IFERROR(__xludf.DUMMYFUNCTION("""COMPUTED_VALUE"""),"Unlisted")</f>
        <v>Unlisted</v>
      </c>
      <c r="M414" s="174" t="str">
        <f>IFERROR(__xludf.DUMMYFUNCTION("""COMPUTED_VALUE"""),"Unlisted")</f>
        <v>Unlisted</v>
      </c>
      <c r="N414" s="174" t="str">
        <f>IFERROR(__xludf.DUMMYFUNCTION("""COMPUTED_VALUE"""),"Unlisted")</f>
        <v>Unlisted</v>
      </c>
      <c r="O414" s="174" t="str">
        <f>IFERROR(__xludf.DUMMYFUNCTION("""COMPUTED_VALUE"""),"Proficient")</f>
        <v>Proficient</v>
      </c>
      <c r="P414" s="174" t="str">
        <f>IFERROR(__xludf.DUMMYFUNCTION("""COMPUTED_VALUE"""),"Unlisted")</f>
        <v>Unlisted</v>
      </c>
      <c r="Q414" s="174" t="str">
        <f>IFERROR(__xludf.DUMMYFUNCTION("""COMPUTED_VALUE"""),"Unlisted")</f>
        <v>Unlisted</v>
      </c>
      <c r="R414" s="174" t="str">
        <f>IFERROR(__xludf.DUMMYFUNCTION("""COMPUTED_VALUE"""),"Unlisted")</f>
        <v>Unlisted</v>
      </c>
    </row>
    <row r="415">
      <c r="A415" s="255" t="str">
        <f>IFERROR(__xludf.DUMMYFUNCTION("""COMPUTED_VALUE"""),"Hoppip")</f>
        <v>Hoppip</v>
      </c>
      <c r="B415" s="174" t="str">
        <f>IFERROR(__xludf.DUMMYFUNCTION("""COMPUTED_VALUE"""),"Proficient")</f>
        <v>Proficient</v>
      </c>
      <c r="C415" s="174" t="str">
        <f>IFERROR(__xludf.DUMMYFUNCTION("""COMPUTED_VALUE"""),"Unlisted")</f>
        <v>Unlisted</v>
      </c>
      <c r="D415" s="174" t="str">
        <f>IFERROR(__xludf.DUMMYFUNCTION("""COMPUTED_VALUE"""),"Unlisted")</f>
        <v>Unlisted</v>
      </c>
      <c r="E415" s="174" t="str">
        <f>IFERROR(__xludf.DUMMYFUNCTION("""COMPUTED_VALUE"""),"Unlisted")</f>
        <v>Unlisted</v>
      </c>
      <c r="F415" s="174" t="str">
        <f>IFERROR(__xludf.DUMMYFUNCTION("""COMPUTED_VALUE"""),"Unlisted")</f>
        <v>Unlisted</v>
      </c>
      <c r="G415" s="174" t="str">
        <f>IFERROR(__xludf.DUMMYFUNCTION("""COMPUTED_VALUE"""),"Proficient")</f>
        <v>Proficient</v>
      </c>
      <c r="H415" s="174" t="str">
        <f>IFERROR(__xludf.DUMMYFUNCTION("""COMPUTED_VALUE"""),"Unlisted")</f>
        <v>Unlisted</v>
      </c>
      <c r="I415" s="174" t="str">
        <f>IFERROR(__xludf.DUMMYFUNCTION("""COMPUTED_VALUE"""),"Unlisted")</f>
        <v>Unlisted</v>
      </c>
      <c r="J415" s="174" t="str">
        <f>IFERROR(__xludf.DUMMYFUNCTION("""COMPUTED_VALUE"""),"Unlisted")</f>
        <v>Unlisted</v>
      </c>
      <c r="K415" s="174" t="str">
        <f>IFERROR(__xludf.DUMMYFUNCTION("""COMPUTED_VALUE"""),"Unlisted")</f>
        <v>Unlisted</v>
      </c>
      <c r="L415" s="174" t="str">
        <f>IFERROR(__xludf.DUMMYFUNCTION("""COMPUTED_VALUE"""),"Proficient")</f>
        <v>Proficient</v>
      </c>
      <c r="M415" s="174" t="str">
        <f>IFERROR(__xludf.DUMMYFUNCTION("""COMPUTED_VALUE"""),"Unlisted")</f>
        <v>Unlisted</v>
      </c>
      <c r="N415" s="174" t="str">
        <f>IFERROR(__xludf.DUMMYFUNCTION("""COMPUTED_VALUE"""),"Unlisted")</f>
        <v>Unlisted</v>
      </c>
      <c r="O415" s="174" t="str">
        <f>IFERROR(__xludf.DUMMYFUNCTION("""COMPUTED_VALUE"""),"Unlisted")</f>
        <v>Unlisted</v>
      </c>
      <c r="P415" s="174" t="str">
        <f>IFERROR(__xludf.DUMMYFUNCTION("""COMPUTED_VALUE"""),"Unlisted")</f>
        <v>Unlisted</v>
      </c>
      <c r="Q415" s="174" t="str">
        <f>IFERROR(__xludf.DUMMYFUNCTION("""COMPUTED_VALUE"""),"Unlisted")</f>
        <v>Unlisted</v>
      </c>
      <c r="R415" s="174" t="str">
        <f>IFERROR(__xludf.DUMMYFUNCTION("""COMPUTED_VALUE"""),"Unlisted")</f>
        <v>Unlisted</v>
      </c>
    </row>
    <row r="416">
      <c r="A416" s="255" t="str">
        <f>IFERROR(__xludf.DUMMYFUNCTION("""COMPUTED_VALUE"""),"Skiploom")</f>
        <v>Skiploom</v>
      </c>
      <c r="B416" s="174" t="str">
        <f>IFERROR(__xludf.DUMMYFUNCTION("""COMPUTED_VALUE"""),"Proficient")</f>
        <v>Proficient</v>
      </c>
      <c r="C416" s="174" t="str">
        <f>IFERROR(__xludf.DUMMYFUNCTION("""COMPUTED_VALUE"""),"Unlisted")</f>
        <v>Unlisted</v>
      </c>
      <c r="D416" s="174" t="str">
        <f>IFERROR(__xludf.DUMMYFUNCTION("""COMPUTED_VALUE"""),"Unlisted")</f>
        <v>Unlisted</v>
      </c>
      <c r="E416" s="174" t="str">
        <f>IFERROR(__xludf.DUMMYFUNCTION("""COMPUTED_VALUE"""),"Unlisted")</f>
        <v>Unlisted</v>
      </c>
      <c r="F416" s="174" t="str">
        <f>IFERROR(__xludf.DUMMYFUNCTION("""COMPUTED_VALUE"""),"Unlisted")</f>
        <v>Unlisted</v>
      </c>
      <c r="G416" s="174" t="str">
        <f>IFERROR(__xludf.DUMMYFUNCTION("""COMPUTED_VALUE"""),"Proficient")</f>
        <v>Proficient</v>
      </c>
      <c r="H416" s="174" t="str">
        <f>IFERROR(__xludf.DUMMYFUNCTION("""COMPUTED_VALUE"""),"Unlisted")</f>
        <v>Unlisted</v>
      </c>
      <c r="I416" s="174" t="str">
        <f>IFERROR(__xludf.DUMMYFUNCTION("""COMPUTED_VALUE"""),"Unlisted")</f>
        <v>Unlisted</v>
      </c>
      <c r="J416" s="174" t="str">
        <f>IFERROR(__xludf.DUMMYFUNCTION("""COMPUTED_VALUE"""),"Unlisted")</f>
        <v>Unlisted</v>
      </c>
      <c r="K416" s="174" t="str">
        <f>IFERROR(__xludf.DUMMYFUNCTION("""COMPUTED_VALUE"""),"Unlisted")</f>
        <v>Unlisted</v>
      </c>
      <c r="L416" s="174" t="str">
        <f>IFERROR(__xludf.DUMMYFUNCTION("""COMPUTED_VALUE"""),"Proficient")</f>
        <v>Proficient</v>
      </c>
      <c r="M416" s="174" t="str">
        <f>IFERROR(__xludf.DUMMYFUNCTION("""COMPUTED_VALUE"""),"Unlisted")</f>
        <v>Unlisted</v>
      </c>
      <c r="N416" s="174" t="str">
        <f>IFERROR(__xludf.DUMMYFUNCTION("""COMPUTED_VALUE"""),"Unlisted")</f>
        <v>Unlisted</v>
      </c>
      <c r="O416" s="174" t="str">
        <f>IFERROR(__xludf.DUMMYFUNCTION("""COMPUTED_VALUE"""),"Unlisted")</f>
        <v>Unlisted</v>
      </c>
      <c r="P416" s="174" t="str">
        <f>IFERROR(__xludf.DUMMYFUNCTION("""COMPUTED_VALUE"""),"Unlisted")</f>
        <v>Unlisted</v>
      </c>
      <c r="Q416" s="174" t="str">
        <f>IFERROR(__xludf.DUMMYFUNCTION("""COMPUTED_VALUE"""),"Unlisted")</f>
        <v>Unlisted</v>
      </c>
      <c r="R416" s="174" t="str">
        <f>IFERROR(__xludf.DUMMYFUNCTION("""COMPUTED_VALUE"""),"Unlisted")</f>
        <v>Unlisted</v>
      </c>
    </row>
    <row r="417">
      <c r="A417" s="255" t="str">
        <f>IFERROR(__xludf.DUMMYFUNCTION("""COMPUTED_VALUE"""),"Jumpluff")</f>
        <v>Jumpluff</v>
      </c>
      <c r="B417" s="174" t="str">
        <f>IFERROR(__xludf.DUMMYFUNCTION("""COMPUTED_VALUE"""),"Proficient")</f>
        <v>Proficient</v>
      </c>
      <c r="C417" s="174" t="str">
        <f>IFERROR(__xludf.DUMMYFUNCTION("""COMPUTED_VALUE"""),"Unlisted")</f>
        <v>Unlisted</v>
      </c>
      <c r="D417" s="174" t="str">
        <f>IFERROR(__xludf.DUMMYFUNCTION("""COMPUTED_VALUE"""),"Unlisted")</f>
        <v>Unlisted</v>
      </c>
      <c r="E417" s="174" t="str">
        <f>IFERROR(__xludf.DUMMYFUNCTION("""COMPUTED_VALUE"""),"Unlisted")</f>
        <v>Unlisted</v>
      </c>
      <c r="F417" s="174" t="str">
        <f>IFERROR(__xludf.DUMMYFUNCTION("""COMPUTED_VALUE"""),"Unlisted")</f>
        <v>Unlisted</v>
      </c>
      <c r="G417" s="174" t="str">
        <f>IFERROR(__xludf.DUMMYFUNCTION("""COMPUTED_VALUE"""),"Proficient")</f>
        <v>Proficient</v>
      </c>
      <c r="H417" s="174" t="str">
        <f>IFERROR(__xludf.DUMMYFUNCTION("""COMPUTED_VALUE"""),"Unlisted")</f>
        <v>Unlisted</v>
      </c>
      <c r="I417" s="174" t="str">
        <f>IFERROR(__xludf.DUMMYFUNCTION("""COMPUTED_VALUE"""),"Unlisted")</f>
        <v>Unlisted</v>
      </c>
      <c r="J417" s="174" t="str">
        <f>IFERROR(__xludf.DUMMYFUNCTION("""COMPUTED_VALUE"""),"Unlisted")</f>
        <v>Unlisted</v>
      </c>
      <c r="K417" s="174" t="str">
        <f>IFERROR(__xludf.DUMMYFUNCTION("""COMPUTED_VALUE"""),"Unlisted")</f>
        <v>Unlisted</v>
      </c>
      <c r="L417" s="174" t="str">
        <f>IFERROR(__xludf.DUMMYFUNCTION("""COMPUTED_VALUE"""),"Proficient")</f>
        <v>Proficient</v>
      </c>
      <c r="M417" s="174" t="str">
        <f>IFERROR(__xludf.DUMMYFUNCTION("""COMPUTED_VALUE"""),"Unlisted")</f>
        <v>Unlisted</v>
      </c>
      <c r="N417" s="174" t="str">
        <f>IFERROR(__xludf.DUMMYFUNCTION("""COMPUTED_VALUE"""),"Unlisted")</f>
        <v>Unlisted</v>
      </c>
      <c r="O417" s="174" t="str">
        <f>IFERROR(__xludf.DUMMYFUNCTION("""COMPUTED_VALUE"""),"Unlisted")</f>
        <v>Unlisted</v>
      </c>
      <c r="P417" s="174" t="str">
        <f>IFERROR(__xludf.DUMMYFUNCTION("""COMPUTED_VALUE"""),"Unlisted")</f>
        <v>Unlisted</v>
      </c>
      <c r="Q417" s="174" t="str">
        <f>IFERROR(__xludf.DUMMYFUNCTION("""COMPUTED_VALUE"""),"Unlisted")</f>
        <v>Unlisted</v>
      </c>
      <c r="R417" s="174" t="str">
        <f>IFERROR(__xludf.DUMMYFUNCTION("""COMPUTED_VALUE"""),"Unlisted")</f>
        <v>Unlisted</v>
      </c>
    </row>
    <row r="418">
      <c r="A418" s="255" t="str">
        <f>IFERROR(__xludf.DUMMYFUNCTION("""COMPUTED_VALUE"""),"Seedot")</f>
        <v>Seedot</v>
      </c>
      <c r="B418" s="174" t="str">
        <f>IFERROR(__xludf.DUMMYFUNCTION("""COMPUTED_VALUE"""),"Inept")</f>
        <v>Inept</v>
      </c>
      <c r="C418" s="174" t="str">
        <f>IFERROR(__xludf.DUMMYFUNCTION("""COMPUTED_VALUE"""),"Unlisted")</f>
        <v>Unlisted</v>
      </c>
      <c r="D418" s="174" t="str">
        <f>IFERROR(__xludf.DUMMYFUNCTION("""COMPUTED_VALUE"""),"Unlisted")</f>
        <v>Unlisted</v>
      </c>
      <c r="E418" s="174" t="str">
        <f>IFERROR(__xludf.DUMMYFUNCTION("""COMPUTED_VALUE"""),"Unlisted")</f>
        <v>Unlisted</v>
      </c>
      <c r="F418" s="174" t="str">
        <f>IFERROR(__xludf.DUMMYFUNCTION("""COMPUTED_VALUE"""),"Unlisted")</f>
        <v>Unlisted</v>
      </c>
      <c r="G418" s="174" t="str">
        <f>IFERROR(__xludf.DUMMYFUNCTION("""COMPUTED_VALUE"""),"Unlisted")</f>
        <v>Unlisted</v>
      </c>
      <c r="H418" s="174" t="str">
        <f>IFERROR(__xludf.DUMMYFUNCTION("""COMPUTED_VALUE"""),"Unlisted")</f>
        <v>Unlisted</v>
      </c>
      <c r="I418" s="174" t="str">
        <f>IFERROR(__xludf.DUMMYFUNCTION("""COMPUTED_VALUE"""),"Unlisted")</f>
        <v>Unlisted</v>
      </c>
      <c r="J418" s="174" t="str">
        <f>IFERROR(__xludf.DUMMYFUNCTION("""COMPUTED_VALUE"""),"Unlisted")</f>
        <v>Unlisted</v>
      </c>
      <c r="K418" s="174" t="str">
        <f>IFERROR(__xludf.DUMMYFUNCTION("""COMPUTED_VALUE"""),"Proficient")</f>
        <v>Proficient</v>
      </c>
      <c r="L418" s="174" t="str">
        <f>IFERROR(__xludf.DUMMYFUNCTION("""COMPUTED_VALUE"""),"Proficient")</f>
        <v>Proficient</v>
      </c>
      <c r="M418" s="174" t="str">
        <f>IFERROR(__xludf.DUMMYFUNCTION("""COMPUTED_VALUE"""),"Unlisted")</f>
        <v>Unlisted</v>
      </c>
      <c r="N418" s="174" t="str">
        <f>IFERROR(__xludf.DUMMYFUNCTION("""COMPUTED_VALUE"""),"Unlisted")</f>
        <v>Unlisted</v>
      </c>
      <c r="O418" s="174" t="str">
        <f>IFERROR(__xludf.DUMMYFUNCTION("""COMPUTED_VALUE"""),"Unlisted")</f>
        <v>Unlisted</v>
      </c>
      <c r="P418" s="174" t="str">
        <f>IFERROR(__xludf.DUMMYFUNCTION("""COMPUTED_VALUE"""),"Unlisted")</f>
        <v>Unlisted</v>
      </c>
      <c r="Q418" s="174" t="str">
        <f>IFERROR(__xludf.DUMMYFUNCTION("""COMPUTED_VALUE"""),"Unlisted")</f>
        <v>Unlisted</v>
      </c>
      <c r="R418" s="174" t="str">
        <f>IFERROR(__xludf.DUMMYFUNCTION("""COMPUTED_VALUE"""),"Unlisted")</f>
        <v>Unlisted</v>
      </c>
    </row>
    <row r="419">
      <c r="A419" s="255" t="str">
        <f>IFERROR(__xludf.DUMMYFUNCTION("""COMPUTED_VALUE"""),"Nuzleaf")</f>
        <v>Nuzleaf</v>
      </c>
      <c r="B419" s="174" t="str">
        <f>IFERROR(__xludf.DUMMYFUNCTION("""COMPUTED_VALUE"""),"Unlisted")</f>
        <v>Unlisted</v>
      </c>
      <c r="C419" s="174" t="str">
        <f>IFERROR(__xludf.DUMMYFUNCTION("""COMPUTED_VALUE"""),"Unlisted")</f>
        <v>Unlisted</v>
      </c>
      <c r="D419" s="174" t="str">
        <f>IFERROR(__xludf.DUMMYFUNCTION("""COMPUTED_VALUE"""),"Unlisted")</f>
        <v>Unlisted</v>
      </c>
      <c r="E419" s="174" t="str">
        <f>IFERROR(__xludf.DUMMYFUNCTION("""COMPUTED_VALUE"""),"Unlisted")</f>
        <v>Unlisted</v>
      </c>
      <c r="F419" s="174" t="str">
        <f>IFERROR(__xludf.DUMMYFUNCTION("""COMPUTED_VALUE"""),"Unlisted")</f>
        <v>Unlisted</v>
      </c>
      <c r="G419" s="174" t="str">
        <f>IFERROR(__xludf.DUMMYFUNCTION("""COMPUTED_VALUE"""),"Unlisted")</f>
        <v>Unlisted</v>
      </c>
      <c r="H419" s="174" t="str">
        <f>IFERROR(__xludf.DUMMYFUNCTION("""COMPUTED_VALUE"""),"Unlisted")</f>
        <v>Unlisted</v>
      </c>
      <c r="I419" s="174" t="str">
        <f>IFERROR(__xludf.DUMMYFUNCTION("""COMPUTED_VALUE"""),"Unlisted")</f>
        <v>Unlisted</v>
      </c>
      <c r="J419" s="174" t="str">
        <f>IFERROR(__xludf.DUMMYFUNCTION("""COMPUTED_VALUE"""),"Unlisted")</f>
        <v>Unlisted</v>
      </c>
      <c r="K419" s="174" t="str">
        <f>IFERROR(__xludf.DUMMYFUNCTION("""COMPUTED_VALUE"""),"Proficient")</f>
        <v>Proficient</v>
      </c>
      <c r="L419" s="174" t="str">
        <f>IFERROR(__xludf.DUMMYFUNCTION("""COMPUTED_VALUE"""),"Mastered")</f>
        <v>Mastered</v>
      </c>
      <c r="M419" s="174" t="str">
        <f>IFERROR(__xludf.DUMMYFUNCTION("""COMPUTED_VALUE"""),"Unlisted")</f>
        <v>Unlisted</v>
      </c>
      <c r="N419" s="174" t="str">
        <f>IFERROR(__xludf.DUMMYFUNCTION("""COMPUTED_VALUE"""),"Unlisted")</f>
        <v>Unlisted</v>
      </c>
      <c r="O419" s="174" t="str">
        <f>IFERROR(__xludf.DUMMYFUNCTION("""COMPUTED_VALUE"""),"Proficient")</f>
        <v>Proficient</v>
      </c>
      <c r="P419" s="174" t="str">
        <f>IFERROR(__xludf.DUMMYFUNCTION("""COMPUTED_VALUE"""),"Unlisted")</f>
        <v>Unlisted</v>
      </c>
      <c r="Q419" s="174" t="str">
        <f>IFERROR(__xludf.DUMMYFUNCTION("""COMPUTED_VALUE"""),"Unlisted")</f>
        <v>Unlisted</v>
      </c>
      <c r="R419" s="174" t="str">
        <f>IFERROR(__xludf.DUMMYFUNCTION("""COMPUTED_VALUE"""),"Unlisted")</f>
        <v>Unlisted</v>
      </c>
    </row>
    <row r="420">
      <c r="A420" s="255" t="str">
        <f>IFERROR(__xludf.DUMMYFUNCTION("""COMPUTED_VALUE"""),"Shiftry")</f>
        <v>Shiftry</v>
      </c>
      <c r="B420" s="174" t="str">
        <f>IFERROR(__xludf.DUMMYFUNCTION("""COMPUTED_VALUE"""),"Unlisted")</f>
        <v>Unlisted</v>
      </c>
      <c r="C420" s="174" t="str">
        <f>IFERROR(__xludf.DUMMYFUNCTION("""COMPUTED_VALUE"""),"Unlisted")</f>
        <v>Unlisted</v>
      </c>
      <c r="D420" s="174" t="str">
        <f>IFERROR(__xludf.DUMMYFUNCTION("""COMPUTED_VALUE"""),"Unlisted")</f>
        <v>Unlisted</v>
      </c>
      <c r="E420" s="174" t="str">
        <f>IFERROR(__xludf.DUMMYFUNCTION("""COMPUTED_VALUE"""),"Unlisted")</f>
        <v>Unlisted</v>
      </c>
      <c r="F420" s="174" t="str">
        <f>IFERROR(__xludf.DUMMYFUNCTION("""COMPUTED_VALUE"""),"Unlisted")</f>
        <v>Unlisted</v>
      </c>
      <c r="G420" s="174" t="str">
        <f>IFERROR(__xludf.DUMMYFUNCTION("""COMPUTED_VALUE"""),"Unlisted")</f>
        <v>Unlisted</v>
      </c>
      <c r="H420" s="174" t="str">
        <f>IFERROR(__xludf.DUMMYFUNCTION("""COMPUTED_VALUE"""),"Unlisted")</f>
        <v>Unlisted</v>
      </c>
      <c r="I420" s="174" t="str">
        <f>IFERROR(__xludf.DUMMYFUNCTION("""COMPUTED_VALUE"""),"Unlisted")</f>
        <v>Unlisted</v>
      </c>
      <c r="J420" s="174" t="str">
        <f>IFERROR(__xludf.DUMMYFUNCTION("""COMPUTED_VALUE"""),"Unlisted")</f>
        <v>Unlisted</v>
      </c>
      <c r="K420" s="174" t="str">
        <f>IFERROR(__xludf.DUMMYFUNCTION("""COMPUTED_VALUE"""),"Proficient")</f>
        <v>Proficient</v>
      </c>
      <c r="L420" s="174" t="str">
        <f>IFERROR(__xludf.DUMMYFUNCTION("""COMPUTED_VALUE"""),"Mastered")</f>
        <v>Mastered</v>
      </c>
      <c r="M420" s="174" t="str">
        <f>IFERROR(__xludf.DUMMYFUNCTION("""COMPUTED_VALUE"""),"Unlisted")</f>
        <v>Unlisted</v>
      </c>
      <c r="N420" s="174" t="str">
        <f>IFERROR(__xludf.DUMMYFUNCTION("""COMPUTED_VALUE"""),"Unlisted")</f>
        <v>Unlisted</v>
      </c>
      <c r="O420" s="174" t="str">
        <f>IFERROR(__xludf.DUMMYFUNCTION("""COMPUTED_VALUE"""),"Proficient")</f>
        <v>Proficient</v>
      </c>
      <c r="P420" s="174" t="str">
        <f>IFERROR(__xludf.DUMMYFUNCTION("""COMPUTED_VALUE"""),"Unlisted")</f>
        <v>Unlisted</v>
      </c>
      <c r="Q420" s="174" t="str">
        <f>IFERROR(__xludf.DUMMYFUNCTION("""COMPUTED_VALUE"""),"Unlisted")</f>
        <v>Unlisted</v>
      </c>
      <c r="R420" s="174" t="str">
        <f>IFERROR(__xludf.DUMMYFUNCTION("""COMPUTED_VALUE"""),"Unlisted")</f>
        <v>Unlisted</v>
      </c>
    </row>
    <row r="421">
      <c r="A421" s="255" t="str">
        <f>IFERROR(__xludf.DUMMYFUNCTION("""COMPUTED_VALUE"""),"Budew")</f>
        <v>Budew</v>
      </c>
      <c r="B421" s="174" t="str">
        <f>IFERROR(__xludf.DUMMYFUNCTION("""COMPUTED_VALUE"""),"Proficient")</f>
        <v>Proficient</v>
      </c>
      <c r="C421" s="174" t="str">
        <f>IFERROR(__xludf.DUMMYFUNCTION("""COMPUTED_VALUE"""),"Inept")</f>
        <v>Inept</v>
      </c>
      <c r="D421" s="174" t="str">
        <f>IFERROR(__xludf.DUMMYFUNCTION("""COMPUTED_VALUE"""),"Proficient")</f>
        <v>Proficient</v>
      </c>
      <c r="E421" s="174" t="str">
        <f>IFERROR(__xludf.DUMMYFUNCTION("""COMPUTED_VALUE"""),"Inept")</f>
        <v>Inept</v>
      </c>
      <c r="F421" s="174" t="str">
        <f>IFERROR(__xludf.DUMMYFUNCTION("""COMPUTED_VALUE"""),"Unlisted")</f>
        <v>Unlisted</v>
      </c>
      <c r="G421" s="174" t="str">
        <f>IFERROR(__xludf.DUMMYFUNCTION("""COMPUTED_VALUE"""),"Proficient")</f>
        <v>Proficient</v>
      </c>
      <c r="H421" s="174" t="str">
        <f>IFERROR(__xludf.DUMMYFUNCTION("""COMPUTED_VALUE"""),"Unlisted")</f>
        <v>Unlisted</v>
      </c>
      <c r="I421" s="174" t="str">
        <f>IFERROR(__xludf.DUMMYFUNCTION("""COMPUTED_VALUE"""),"Unlisted")</f>
        <v>Unlisted</v>
      </c>
      <c r="J421" s="174" t="str">
        <f>IFERROR(__xludf.DUMMYFUNCTION("""COMPUTED_VALUE"""),"Unlisted")</f>
        <v>Unlisted</v>
      </c>
      <c r="K421" s="174" t="str">
        <f>IFERROR(__xludf.DUMMYFUNCTION("""COMPUTED_VALUE"""),"Unlisted")</f>
        <v>Unlisted</v>
      </c>
      <c r="L421" s="174" t="str">
        <f>IFERROR(__xludf.DUMMYFUNCTION("""COMPUTED_VALUE"""),"Unlisted")</f>
        <v>Unlisted</v>
      </c>
      <c r="M421" s="174" t="str">
        <f>IFERROR(__xludf.DUMMYFUNCTION("""COMPUTED_VALUE"""),"Unlisted")</f>
        <v>Unlisted</v>
      </c>
      <c r="N421" s="174" t="str">
        <f>IFERROR(__xludf.DUMMYFUNCTION("""COMPUTED_VALUE"""),"Unlisted")</f>
        <v>Unlisted</v>
      </c>
      <c r="O421" s="174" t="str">
        <f>IFERROR(__xludf.DUMMYFUNCTION("""COMPUTED_VALUE"""),"Unlisted")</f>
        <v>Unlisted</v>
      </c>
      <c r="P421" s="174" t="str">
        <f>IFERROR(__xludf.DUMMYFUNCTION("""COMPUTED_VALUE"""),"Unlisted")</f>
        <v>Unlisted</v>
      </c>
      <c r="Q421" s="174" t="str">
        <f>IFERROR(__xludf.DUMMYFUNCTION("""COMPUTED_VALUE"""),"Unlisted")</f>
        <v>Unlisted</v>
      </c>
      <c r="R421" s="174" t="str">
        <f>IFERROR(__xludf.DUMMYFUNCTION("""COMPUTED_VALUE"""),"Unlisted")</f>
        <v>Unlisted</v>
      </c>
    </row>
    <row r="422">
      <c r="A422" s="255" t="str">
        <f>IFERROR(__xludf.DUMMYFUNCTION("""COMPUTED_VALUE"""),"Roselia")</f>
        <v>Roselia</v>
      </c>
      <c r="B422" s="174" t="str">
        <f>IFERROR(__xludf.DUMMYFUNCTION("""COMPUTED_VALUE"""),"Proficient")</f>
        <v>Proficient</v>
      </c>
      <c r="C422" s="174" t="str">
        <f>IFERROR(__xludf.DUMMYFUNCTION("""COMPUTED_VALUE"""),"Inept")</f>
        <v>Inept</v>
      </c>
      <c r="D422" s="174" t="str">
        <f>IFERROR(__xludf.DUMMYFUNCTION("""COMPUTED_VALUE"""),"Proficient")</f>
        <v>Proficient</v>
      </c>
      <c r="E422" s="174" t="str">
        <f>IFERROR(__xludf.DUMMYFUNCTION("""COMPUTED_VALUE"""),"Inept")</f>
        <v>Inept</v>
      </c>
      <c r="F422" s="174" t="str">
        <f>IFERROR(__xludf.DUMMYFUNCTION("""COMPUTED_VALUE"""),"Unlisted")</f>
        <v>Unlisted</v>
      </c>
      <c r="G422" s="174" t="str">
        <f>IFERROR(__xludf.DUMMYFUNCTION("""COMPUTED_VALUE"""),"Proficient")</f>
        <v>Proficient</v>
      </c>
      <c r="H422" s="174" t="str">
        <f>IFERROR(__xludf.DUMMYFUNCTION("""COMPUTED_VALUE"""),"Proficient")</f>
        <v>Proficient</v>
      </c>
      <c r="I422" s="174" t="str">
        <f>IFERROR(__xludf.DUMMYFUNCTION("""COMPUTED_VALUE"""),"Unlisted")</f>
        <v>Unlisted</v>
      </c>
      <c r="J422" s="174" t="str">
        <f>IFERROR(__xludf.DUMMYFUNCTION("""COMPUTED_VALUE"""),"Unlisted")</f>
        <v>Unlisted</v>
      </c>
      <c r="K422" s="174" t="str">
        <f>IFERROR(__xludf.DUMMYFUNCTION("""COMPUTED_VALUE"""),"Unlisted")</f>
        <v>Unlisted</v>
      </c>
      <c r="L422" s="174" t="str">
        <f>IFERROR(__xludf.DUMMYFUNCTION("""COMPUTED_VALUE"""),"Unlisted")</f>
        <v>Unlisted</v>
      </c>
      <c r="M422" s="174" t="str">
        <f>IFERROR(__xludf.DUMMYFUNCTION("""COMPUTED_VALUE"""),"Unlisted")</f>
        <v>Unlisted</v>
      </c>
      <c r="N422" s="174" t="str">
        <f>IFERROR(__xludf.DUMMYFUNCTION("""COMPUTED_VALUE"""),"Unlisted")</f>
        <v>Unlisted</v>
      </c>
      <c r="O422" s="174" t="str">
        <f>IFERROR(__xludf.DUMMYFUNCTION("""COMPUTED_VALUE"""),"Unlisted")</f>
        <v>Unlisted</v>
      </c>
      <c r="P422" s="174" t="str">
        <f>IFERROR(__xludf.DUMMYFUNCTION("""COMPUTED_VALUE"""),"Unlisted")</f>
        <v>Unlisted</v>
      </c>
      <c r="Q422" s="174" t="str">
        <f>IFERROR(__xludf.DUMMYFUNCTION("""COMPUTED_VALUE"""),"Unlisted")</f>
        <v>Unlisted</v>
      </c>
      <c r="R422" s="174" t="str">
        <f>IFERROR(__xludf.DUMMYFUNCTION("""COMPUTED_VALUE"""),"Unlisted")</f>
        <v>Unlisted</v>
      </c>
    </row>
    <row r="423">
      <c r="A423" s="255" t="str">
        <f>IFERROR(__xludf.DUMMYFUNCTION("""COMPUTED_VALUE"""),"Roserade")</f>
        <v>Roserade</v>
      </c>
      <c r="B423" s="174" t="str">
        <f>IFERROR(__xludf.DUMMYFUNCTION("""COMPUTED_VALUE"""),"Proficient")</f>
        <v>Proficient</v>
      </c>
      <c r="C423" s="174" t="str">
        <f>IFERROR(__xludf.DUMMYFUNCTION("""COMPUTED_VALUE"""),"Inept")</f>
        <v>Inept</v>
      </c>
      <c r="D423" s="174" t="str">
        <f>IFERROR(__xludf.DUMMYFUNCTION("""COMPUTED_VALUE"""),"Proficient")</f>
        <v>Proficient</v>
      </c>
      <c r="E423" s="174" t="str">
        <f>IFERROR(__xludf.DUMMYFUNCTION("""COMPUTED_VALUE"""),"Inept")</f>
        <v>Inept</v>
      </c>
      <c r="F423" s="174" t="str">
        <f>IFERROR(__xludf.DUMMYFUNCTION("""COMPUTED_VALUE"""),"Unlisted")</f>
        <v>Unlisted</v>
      </c>
      <c r="G423" s="174" t="str">
        <f>IFERROR(__xludf.DUMMYFUNCTION("""COMPUTED_VALUE"""),"Proficient")</f>
        <v>Proficient</v>
      </c>
      <c r="H423" s="174" t="str">
        <f>IFERROR(__xludf.DUMMYFUNCTION("""COMPUTED_VALUE"""),"Proficient")</f>
        <v>Proficient</v>
      </c>
      <c r="I423" s="174" t="str">
        <f>IFERROR(__xludf.DUMMYFUNCTION("""COMPUTED_VALUE"""),"Unlisted")</f>
        <v>Unlisted</v>
      </c>
      <c r="J423" s="174" t="str">
        <f>IFERROR(__xludf.DUMMYFUNCTION("""COMPUTED_VALUE"""),"Unlisted")</f>
        <v>Unlisted</v>
      </c>
      <c r="K423" s="174" t="str">
        <f>IFERROR(__xludf.DUMMYFUNCTION("""COMPUTED_VALUE"""),"Unlisted")</f>
        <v>Unlisted</v>
      </c>
      <c r="L423" s="174" t="str">
        <f>IFERROR(__xludf.DUMMYFUNCTION("""COMPUTED_VALUE"""),"Unlisted")</f>
        <v>Unlisted</v>
      </c>
      <c r="M423" s="174" t="str">
        <f>IFERROR(__xludf.DUMMYFUNCTION("""COMPUTED_VALUE"""),"Unlisted")</f>
        <v>Unlisted</v>
      </c>
      <c r="N423" s="174" t="str">
        <f>IFERROR(__xludf.DUMMYFUNCTION("""COMPUTED_VALUE"""),"Unlisted")</f>
        <v>Unlisted</v>
      </c>
      <c r="O423" s="174" t="str">
        <f>IFERROR(__xludf.DUMMYFUNCTION("""COMPUTED_VALUE"""),"Unlisted")</f>
        <v>Unlisted</v>
      </c>
      <c r="P423" s="174" t="str">
        <f>IFERROR(__xludf.DUMMYFUNCTION("""COMPUTED_VALUE"""),"Unlisted")</f>
        <v>Unlisted</v>
      </c>
      <c r="Q423" s="174" t="str">
        <f>IFERROR(__xludf.DUMMYFUNCTION("""COMPUTED_VALUE"""),"Unlisted")</f>
        <v>Unlisted</v>
      </c>
      <c r="R423" s="174" t="str">
        <f>IFERROR(__xludf.DUMMYFUNCTION("""COMPUTED_VALUE"""),"Unlisted")</f>
        <v>Unlisted</v>
      </c>
    </row>
    <row r="424">
      <c r="A424" s="255" t="str">
        <f>IFERROR(__xludf.DUMMYFUNCTION("""COMPUTED_VALUE"""),"Bounsweet")</f>
        <v>Bounsweet</v>
      </c>
      <c r="B424" s="174" t="str">
        <f>IFERROR(__xludf.DUMMYFUNCTION("""COMPUTED_VALUE"""),"Proficient")</f>
        <v>Proficient</v>
      </c>
      <c r="C424" s="174" t="str">
        <f>IFERROR(__xludf.DUMMYFUNCTION("""COMPUTED_VALUE"""),"Unlisted")</f>
        <v>Unlisted</v>
      </c>
      <c r="D424" s="174" t="str">
        <f>IFERROR(__xludf.DUMMYFUNCTION("""COMPUTED_VALUE"""),"Proficient")</f>
        <v>Proficient</v>
      </c>
      <c r="E424" s="174" t="str">
        <f>IFERROR(__xludf.DUMMYFUNCTION("""COMPUTED_VALUE"""),"Unlisted")</f>
        <v>Unlisted</v>
      </c>
      <c r="F424" s="174" t="str">
        <f>IFERROR(__xludf.DUMMYFUNCTION("""COMPUTED_VALUE"""),"Unlisted")</f>
        <v>Unlisted</v>
      </c>
      <c r="G424" s="174" t="str">
        <f>IFERROR(__xludf.DUMMYFUNCTION("""COMPUTED_VALUE"""),"Unlisted")</f>
        <v>Unlisted</v>
      </c>
      <c r="H424" s="174" t="str">
        <f>IFERROR(__xludf.DUMMYFUNCTION("""COMPUTED_VALUE"""),"Unlisted")</f>
        <v>Unlisted</v>
      </c>
      <c r="I424" s="174" t="str">
        <f>IFERROR(__xludf.DUMMYFUNCTION("""COMPUTED_VALUE"""),"Unlisted")</f>
        <v>Unlisted</v>
      </c>
      <c r="J424" s="174" t="str">
        <f>IFERROR(__xludf.DUMMYFUNCTION("""COMPUTED_VALUE"""),"Unlisted")</f>
        <v>Unlisted</v>
      </c>
      <c r="K424" s="174" t="str">
        <f>IFERROR(__xludf.DUMMYFUNCTION("""COMPUTED_VALUE"""),"Unlisted")</f>
        <v>Unlisted</v>
      </c>
      <c r="L424" s="174" t="str">
        <f>IFERROR(__xludf.DUMMYFUNCTION("""COMPUTED_VALUE"""),"Proficient")</f>
        <v>Proficient</v>
      </c>
      <c r="M424" s="174" t="str">
        <f>IFERROR(__xludf.DUMMYFUNCTION("""COMPUTED_VALUE"""),"Unlisted")</f>
        <v>Unlisted</v>
      </c>
      <c r="N424" s="174" t="str">
        <f>IFERROR(__xludf.DUMMYFUNCTION("""COMPUTED_VALUE"""),"Unlisted")</f>
        <v>Unlisted</v>
      </c>
      <c r="O424" s="174" t="str">
        <f>IFERROR(__xludf.DUMMYFUNCTION("""COMPUTED_VALUE"""),"Unlisted")</f>
        <v>Unlisted</v>
      </c>
      <c r="P424" s="174" t="str">
        <f>IFERROR(__xludf.DUMMYFUNCTION("""COMPUTED_VALUE"""),"Unlisted")</f>
        <v>Unlisted</v>
      </c>
      <c r="Q424" s="174" t="str">
        <f>IFERROR(__xludf.DUMMYFUNCTION("""COMPUTED_VALUE"""),"Unlisted")</f>
        <v>Unlisted</v>
      </c>
      <c r="R424" s="174" t="str">
        <f>IFERROR(__xludf.DUMMYFUNCTION("""COMPUTED_VALUE"""),"Unlisted")</f>
        <v>Unlisted</v>
      </c>
    </row>
    <row r="425">
      <c r="A425" s="255" t="str">
        <f>IFERROR(__xludf.DUMMYFUNCTION("""COMPUTED_VALUE"""),"Steenee")</f>
        <v>Steenee</v>
      </c>
      <c r="B425" s="174" t="str">
        <f>IFERROR(__xludf.DUMMYFUNCTION("""COMPUTED_VALUE"""),"Proficient")</f>
        <v>Proficient</v>
      </c>
      <c r="C425" s="174" t="str">
        <f>IFERROR(__xludf.DUMMYFUNCTION("""COMPUTED_VALUE"""),"Unlisted")</f>
        <v>Unlisted</v>
      </c>
      <c r="D425" s="174" t="str">
        <f>IFERROR(__xludf.DUMMYFUNCTION("""COMPUTED_VALUE"""),"Proficient")</f>
        <v>Proficient</v>
      </c>
      <c r="E425" s="174" t="str">
        <f>IFERROR(__xludf.DUMMYFUNCTION("""COMPUTED_VALUE"""),"Proficient")</f>
        <v>Proficient</v>
      </c>
      <c r="F425" s="174" t="str">
        <f>IFERROR(__xludf.DUMMYFUNCTION("""COMPUTED_VALUE"""),"Unlisted")</f>
        <v>Unlisted</v>
      </c>
      <c r="G425" s="174" t="str">
        <f>IFERROR(__xludf.DUMMYFUNCTION("""COMPUTED_VALUE"""),"Unlisted")</f>
        <v>Unlisted</v>
      </c>
      <c r="H425" s="174" t="str">
        <f>IFERROR(__xludf.DUMMYFUNCTION("""COMPUTED_VALUE"""),"Unlisted")</f>
        <v>Unlisted</v>
      </c>
      <c r="I425" s="174" t="str">
        <f>IFERROR(__xludf.DUMMYFUNCTION("""COMPUTED_VALUE"""),"Unlisted")</f>
        <v>Unlisted</v>
      </c>
      <c r="J425" s="174" t="str">
        <f>IFERROR(__xludf.DUMMYFUNCTION("""COMPUTED_VALUE"""),"Unlisted")</f>
        <v>Unlisted</v>
      </c>
      <c r="K425" s="174" t="str">
        <f>IFERROR(__xludf.DUMMYFUNCTION("""COMPUTED_VALUE"""),"Unlisted")</f>
        <v>Unlisted</v>
      </c>
      <c r="L425" s="174" t="str">
        <f>IFERROR(__xludf.DUMMYFUNCTION("""COMPUTED_VALUE"""),"Unlisted")</f>
        <v>Unlisted</v>
      </c>
      <c r="M425" s="174" t="str">
        <f>IFERROR(__xludf.DUMMYFUNCTION("""COMPUTED_VALUE"""),"Unlisted")</f>
        <v>Unlisted</v>
      </c>
      <c r="N425" s="174" t="str">
        <f>IFERROR(__xludf.DUMMYFUNCTION("""COMPUTED_VALUE"""),"Unlisted")</f>
        <v>Unlisted</v>
      </c>
      <c r="O425" s="174" t="str">
        <f>IFERROR(__xludf.DUMMYFUNCTION("""COMPUTED_VALUE"""),"Unlisted")</f>
        <v>Unlisted</v>
      </c>
      <c r="P425" s="174" t="str">
        <f>IFERROR(__xludf.DUMMYFUNCTION("""COMPUTED_VALUE"""),"Unlisted")</f>
        <v>Unlisted</v>
      </c>
      <c r="Q425" s="174" t="str">
        <f>IFERROR(__xludf.DUMMYFUNCTION("""COMPUTED_VALUE"""),"Unlisted")</f>
        <v>Unlisted</v>
      </c>
      <c r="R425" s="174" t="str">
        <f>IFERROR(__xludf.DUMMYFUNCTION("""COMPUTED_VALUE"""),"Unlisted")</f>
        <v>Unlisted</v>
      </c>
    </row>
    <row r="426">
      <c r="A426" s="255" t="str">
        <f>IFERROR(__xludf.DUMMYFUNCTION("""COMPUTED_VALUE"""),"Tsareena")</f>
        <v>Tsareena</v>
      </c>
      <c r="B426" s="174" t="str">
        <f>IFERROR(__xludf.DUMMYFUNCTION("""COMPUTED_VALUE"""),"Proficient")</f>
        <v>Proficient</v>
      </c>
      <c r="C426" s="174" t="str">
        <f>IFERROR(__xludf.DUMMYFUNCTION("""COMPUTED_VALUE"""),"Unlisted")</f>
        <v>Unlisted</v>
      </c>
      <c r="D426" s="174" t="str">
        <f>IFERROR(__xludf.DUMMYFUNCTION("""COMPUTED_VALUE"""),"Unlisted")</f>
        <v>Unlisted</v>
      </c>
      <c r="E426" s="174" t="str">
        <f>IFERROR(__xludf.DUMMYFUNCTION("""COMPUTED_VALUE"""),"Mastered")</f>
        <v>Mastered</v>
      </c>
      <c r="F426" s="174" t="str">
        <f>IFERROR(__xludf.DUMMYFUNCTION("""COMPUTED_VALUE"""),"Proficient")</f>
        <v>Proficient</v>
      </c>
      <c r="G426" s="174" t="str">
        <f>IFERROR(__xludf.DUMMYFUNCTION("""COMPUTED_VALUE"""),"Unlisted")</f>
        <v>Unlisted</v>
      </c>
      <c r="H426" s="174" t="str">
        <f>IFERROR(__xludf.DUMMYFUNCTION("""COMPUTED_VALUE"""),"Unlisted")</f>
        <v>Unlisted</v>
      </c>
      <c r="I426" s="174" t="str">
        <f>IFERROR(__xludf.DUMMYFUNCTION("""COMPUTED_VALUE"""),"Unlisted")</f>
        <v>Unlisted</v>
      </c>
      <c r="J426" s="174" t="str">
        <f>IFERROR(__xludf.DUMMYFUNCTION("""COMPUTED_VALUE"""),"Unlisted")</f>
        <v>Unlisted</v>
      </c>
      <c r="K426" s="174" t="str">
        <f>IFERROR(__xludf.DUMMYFUNCTION("""COMPUTED_VALUE"""),"Unlisted")</f>
        <v>Unlisted</v>
      </c>
      <c r="L426" s="174" t="str">
        <f>IFERROR(__xludf.DUMMYFUNCTION("""COMPUTED_VALUE"""),"Unlisted")</f>
        <v>Unlisted</v>
      </c>
      <c r="M426" s="174" t="str">
        <f>IFERROR(__xludf.DUMMYFUNCTION("""COMPUTED_VALUE"""),"Unlisted")</f>
        <v>Unlisted</v>
      </c>
      <c r="N426" s="174" t="str">
        <f>IFERROR(__xludf.DUMMYFUNCTION("""COMPUTED_VALUE"""),"Unlisted")</f>
        <v>Unlisted</v>
      </c>
      <c r="O426" s="174" t="str">
        <f>IFERROR(__xludf.DUMMYFUNCTION("""COMPUTED_VALUE"""),"Unlisted")</f>
        <v>Unlisted</v>
      </c>
      <c r="P426" s="174" t="str">
        <f>IFERROR(__xludf.DUMMYFUNCTION("""COMPUTED_VALUE"""),"Unlisted")</f>
        <v>Unlisted</v>
      </c>
      <c r="Q426" s="174" t="str">
        <f>IFERROR(__xludf.DUMMYFUNCTION("""COMPUTED_VALUE"""),"Unlisted")</f>
        <v>Unlisted</v>
      </c>
      <c r="R426" s="174" t="str">
        <f>IFERROR(__xludf.DUMMYFUNCTION("""COMPUTED_VALUE"""),"Unlisted")</f>
        <v>Unlisted</v>
      </c>
    </row>
    <row r="427">
      <c r="A427" s="255" t="str">
        <f>IFERROR(__xludf.DUMMYFUNCTION("""COMPUTED_VALUE"""),"Smoliv")</f>
        <v>Smoliv</v>
      </c>
      <c r="B427" s="174" t="str">
        <f>IFERROR(__xludf.DUMMYFUNCTION("""COMPUTED_VALUE"""),"Unlisted")</f>
        <v>Unlisted</v>
      </c>
      <c r="C427" s="174" t="str">
        <f>IFERROR(__xludf.DUMMYFUNCTION("""COMPUTED_VALUE"""),"Inept")</f>
        <v>Inept</v>
      </c>
      <c r="D427" s="174" t="str">
        <f>IFERROR(__xludf.DUMMYFUNCTION("""COMPUTED_VALUE"""),"Proficient")</f>
        <v>Proficient</v>
      </c>
      <c r="E427" s="174" t="str">
        <f>IFERROR(__xludf.DUMMYFUNCTION("""COMPUTED_VALUE"""),"Inept")</f>
        <v>Inept</v>
      </c>
      <c r="F427" s="174" t="str">
        <f>IFERROR(__xludf.DUMMYFUNCTION("""COMPUTED_VALUE"""),"Unlisted")</f>
        <v>Unlisted</v>
      </c>
      <c r="G427" s="174" t="str">
        <f>IFERROR(__xludf.DUMMYFUNCTION("""COMPUTED_VALUE"""),"Unlisted")</f>
        <v>Unlisted</v>
      </c>
      <c r="H427" s="174" t="str">
        <f>IFERROR(__xludf.DUMMYFUNCTION("""COMPUTED_VALUE"""),"Unlisted")</f>
        <v>Unlisted</v>
      </c>
      <c r="I427" s="174" t="str">
        <f>IFERROR(__xludf.DUMMYFUNCTION("""COMPUTED_VALUE"""),"Unlisted")</f>
        <v>Unlisted</v>
      </c>
      <c r="J427" s="174" t="str">
        <f>IFERROR(__xludf.DUMMYFUNCTION("""COMPUTED_VALUE"""),"Proficient")</f>
        <v>Proficient</v>
      </c>
      <c r="K427" s="174" t="str">
        <f>IFERROR(__xludf.DUMMYFUNCTION("""COMPUTED_VALUE"""),"Unlisted")</f>
        <v>Unlisted</v>
      </c>
      <c r="L427" s="174" t="str">
        <f>IFERROR(__xludf.DUMMYFUNCTION("""COMPUTED_VALUE"""),"Unlisted")</f>
        <v>Unlisted</v>
      </c>
      <c r="M427" s="174" t="str">
        <f>IFERROR(__xludf.DUMMYFUNCTION("""COMPUTED_VALUE"""),"Unlisted")</f>
        <v>Unlisted</v>
      </c>
      <c r="N427" s="174" t="str">
        <f>IFERROR(__xludf.DUMMYFUNCTION("""COMPUTED_VALUE"""),"Unlisted")</f>
        <v>Unlisted</v>
      </c>
      <c r="O427" s="174" t="str">
        <f>IFERROR(__xludf.DUMMYFUNCTION("""COMPUTED_VALUE"""),"Proficient")</f>
        <v>Proficient</v>
      </c>
      <c r="P427" s="174" t="str">
        <f>IFERROR(__xludf.DUMMYFUNCTION("""COMPUTED_VALUE"""),"Unlisted")</f>
        <v>Unlisted</v>
      </c>
      <c r="Q427" s="174" t="str">
        <f>IFERROR(__xludf.DUMMYFUNCTION("""COMPUTED_VALUE"""),"Unlisted")</f>
        <v>Unlisted</v>
      </c>
      <c r="R427" s="174" t="str">
        <f>IFERROR(__xludf.DUMMYFUNCTION("""COMPUTED_VALUE"""),"Unlisted")</f>
        <v>Unlisted</v>
      </c>
    </row>
    <row r="428">
      <c r="A428" s="255" t="str">
        <f>IFERROR(__xludf.DUMMYFUNCTION("""COMPUTED_VALUE"""),"Dolliv")</f>
        <v>Dolliv</v>
      </c>
      <c r="B428" s="174" t="str">
        <f>IFERROR(__xludf.DUMMYFUNCTION("""COMPUTED_VALUE"""),"Unlisted")</f>
        <v>Unlisted</v>
      </c>
      <c r="C428" s="174" t="str">
        <f>IFERROR(__xludf.DUMMYFUNCTION("""COMPUTED_VALUE"""),"Inept")</f>
        <v>Inept</v>
      </c>
      <c r="D428" s="174" t="str">
        <f>IFERROR(__xludf.DUMMYFUNCTION("""COMPUTED_VALUE"""),"Proficient")</f>
        <v>Proficient</v>
      </c>
      <c r="E428" s="174" t="str">
        <f>IFERROR(__xludf.DUMMYFUNCTION("""COMPUTED_VALUE"""),"Inept")</f>
        <v>Inept</v>
      </c>
      <c r="F428" s="174" t="str">
        <f>IFERROR(__xludf.DUMMYFUNCTION("""COMPUTED_VALUE"""),"Unlisted")</f>
        <v>Unlisted</v>
      </c>
      <c r="G428" s="174" t="str">
        <f>IFERROR(__xludf.DUMMYFUNCTION("""COMPUTED_VALUE"""),"Unlisted")</f>
        <v>Unlisted</v>
      </c>
      <c r="H428" s="174" t="str">
        <f>IFERROR(__xludf.DUMMYFUNCTION("""COMPUTED_VALUE"""),"Unlisted")</f>
        <v>Unlisted</v>
      </c>
      <c r="I428" s="174" t="str">
        <f>IFERROR(__xludf.DUMMYFUNCTION("""COMPUTED_VALUE"""),"Unlisted")</f>
        <v>Unlisted</v>
      </c>
      <c r="J428" s="174" t="str">
        <f>IFERROR(__xludf.DUMMYFUNCTION("""COMPUTED_VALUE"""),"Proficient")</f>
        <v>Proficient</v>
      </c>
      <c r="K428" s="174" t="str">
        <f>IFERROR(__xludf.DUMMYFUNCTION("""COMPUTED_VALUE"""),"Unlisted")</f>
        <v>Unlisted</v>
      </c>
      <c r="L428" s="174" t="str">
        <f>IFERROR(__xludf.DUMMYFUNCTION("""COMPUTED_VALUE"""),"Unlisted")</f>
        <v>Unlisted</v>
      </c>
      <c r="M428" s="174" t="str">
        <f>IFERROR(__xludf.DUMMYFUNCTION("""COMPUTED_VALUE"""),"Unlisted")</f>
        <v>Unlisted</v>
      </c>
      <c r="N428" s="174" t="str">
        <f>IFERROR(__xludf.DUMMYFUNCTION("""COMPUTED_VALUE"""),"Unlisted")</f>
        <v>Unlisted</v>
      </c>
      <c r="O428" s="174" t="str">
        <f>IFERROR(__xludf.DUMMYFUNCTION("""COMPUTED_VALUE"""),"Proficient")</f>
        <v>Proficient</v>
      </c>
      <c r="P428" s="174" t="str">
        <f>IFERROR(__xludf.DUMMYFUNCTION("""COMPUTED_VALUE"""),"Unlisted")</f>
        <v>Unlisted</v>
      </c>
      <c r="Q428" s="174" t="str">
        <f>IFERROR(__xludf.DUMMYFUNCTION("""COMPUTED_VALUE"""),"Unlisted")</f>
        <v>Unlisted</v>
      </c>
      <c r="R428" s="174" t="str">
        <f>IFERROR(__xludf.DUMMYFUNCTION("""COMPUTED_VALUE"""),"Unlisted")</f>
        <v>Unlisted</v>
      </c>
    </row>
    <row r="429">
      <c r="A429" s="255" t="str">
        <f>IFERROR(__xludf.DUMMYFUNCTION("""COMPUTED_VALUE"""),"Arboliva")</f>
        <v>Arboliva</v>
      </c>
      <c r="B429" s="174" t="str">
        <f>IFERROR(__xludf.DUMMYFUNCTION("""COMPUTED_VALUE"""),"Unlisted")</f>
        <v>Unlisted</v>
      </c>
      <c r="C429" s="174" t="str">
        <f>IFERROR(__xludf.DUMMYFUNCTION("""COMPUTED_VALUE"""),"Unlisted")</f>
        <v>Unlisted</v>
      </c>
      <c r="D429" s="174" t="str">
        <f>IFERROR(__xludf.DUMMYFUNCTION("""COMPUTED_VALUE"""),"Proficient")</f>
        <v>Proficient</v>
      </c>
      <c r="E429" s="174" t="str">
        <f>IFERROR(__xludf.DUMMYFUNCTION("""COMPUTED_VALUE"""),"Inept")</f>
        <v>Inept</v>
      </c>
      <c r="F429" s="174" t="str">
        <f>IFERROR(__xludf.DUMMYFUNCTION("""COMPUTED_VALUE"""),"Unlisted")</f>
        <v>Unlisted</v>
      </c>
      <c r="G429" s="174" t="str">
        <f>IFERROR(__xludf.DUMMYFUNCTION("""COMPUTED_VALUE"""),"Unlisted")</f>
        <v>Unlisted</v>
      </c>
      <c r="H429" s="174" t="str">
        <f>IFERROR(__xludf.DUMMYFUNCTION("""COMPUTED_VALUE"""),"Unlisted")</f>
        <v>Unlisted</v>
      </c>
      <c r="I429" s="174" t="str">
        <f>IFERROR(__xludf.DUMMYFUNCTION("""COMPUTED_VALUE"""),"Unlisted")</f>
        <v>Unlisted</v>
      </c>
      <c r="J429" s="174" t="str">
        <f>IFERROR(__xludf.DUMMYFUNCTION("""COMPUTED_VALUE"""),"Proficient")</f>
        <v>Proficient</v>
      </c>
      <c r="K429" s="174" t="str">
        <f>IFERROR(__xludf.DUMMYFUNCTION("""COMPUTED_VALUE"""),"Unlisted")</f>
        <v>Unlisted</v>
      </c>
      <c r="L429" s="174" t="str">
        <f>IFERROR(__xludf.DUMMYFUNCTION("""COMPUTED_VALUE"""),"Unlisted")</f>
        <v>Unlisted</v>
      </c>
      <c r="M429" s="174" t="str">
        <f>IFERROR(__xludf.DUMMYFUNCTION("""COMPUTED_VALUE"""),"Unlisted")</f>
        <v>Unlisted</v>
      </c>
      <c r="N429" s="174" t="str">
        <f>IFERROR(__xludf.DUMMYFUNCTION("""COMPUTED_VALUE"""),"Unlisted")</f>
        <v>Unlisted</v>
      </c>
      <c r="O429" s="174" t="str">
        <f>IFERROR(__xludf.DUMMYFUNCTION("""COMPUTED_VALUE"""),"Proficient")</f>
        <v>Proficient</v>
      </c>
      <c r="P429" s="174" t="str">
        <f>IFERROR(__xludf.DUMMYFUNCTION("""COMPUTED_VALUE"""),"Unlisted")</f>
        <v>Unlisted</v>
      </c>
      <c r="Q429" s="174" t="str">
        <f>IFERROR(__xludf.DUMMYFUNCTION("""COMPUTED_VALUE"""),"Unlisted")</f>
        <v>Unlisted</v>
      </c>
      <c r="R429" s="174" t="str">
        <f>IFERROR(__xludf.DUMMYFUNCTION("""COMPUTED_VALUE"""),"Unlisted")</f>
        <v>Unlisted</v>
      </c>
    </row>
    <row r="430">
      <c r="A430" s="255" t="str">
        <f>IFERROR(__xludf.DUMMYFUNCTION("""COMPUTED_VALUE"""),"Rhyhorn")</f>
        <v>Rhyhorn</v>
      </c>
      <c r="B430" s="174" t="str">
        <f>IFERROR(__xludf.DUMMYFUNCTION("""COMPUTED_VALUE"""),"Unlisted")</f>
        <v>Unlisted</v>
      </c>
      <c r="C430" s="174" t="str">
        <f>IFERROR(__xludf.DUMMYFUNCTION("""COMPUTED_VALUE"""),"Proficient")</f>
        <v>Proficient</v>
      </c>
      <c r="D430" s="174" t="str">
        <f>IFERROR(__xludf.DUMMYFUNCTION("""COMPUTED_VALUE"""),"Unlisted")</f>
        <v>Unlisted</v>
      </c>
      <c r="E430" s="174" t="str">
        <f>IFERROR(__xludf.DUMMYFUNCTION("""COMPUTED_VALUE"""),"Proficient")</f>
        <v>Proficient</v>
      </c>
      <c r="F430" s="174" t="str">
        <f>IFERROR(__xludf.DUMMYFUNCTION("""COMPUTED_VALUE"""),"Unlisted")</f>
        <v>Unlisted</v>
      </c>
      <c r="G430" s="174" t="str">
        <f>IFERROR(__xludf.DUMMYFUNCTION("""COMPUTED_VALUE"""),"Proficient")</f>
        <v>Proficient</v>
      </c>
      <c r="H430" s="174" t="str">
        <f>IFERROR(__xludf.DUMMYFUNCTION("""COMPUTED_VALUE"""),"Unlisted")</f>
        <v>Unlisted</v>
      </c>
      <c r="I430" s="174" t="str">
        <f>IFERROR(__xludf.DUMMYFUNCTION("""COMPUTED_VALUE"""),"Unlisted")</f>
        <v>Unlisted</v>
      </c>
      <c r="J430" s="174" t="str">
        <f>IFERROR(__xludf.DUMMYFUNCTION("""COMPUTED_VALUE"""),"Unlisted")</f>
        <v>Unlisted</v>
      </c>
      <c r="K430" s="174" t="str">
        <f>IFERROR(__xludf.DUMMYFUNCTION("""COMPUTED_VALUE"""),"Unlisted")</f>
        <v>Unlisted</v>
      </c>
      <c r="L430" s="174" t="str">
        <f>IFERROR(__xludf.DUMMYFUNCTION("""COMPUTED_VALUE"""),"Unlisted")</f>
        <v>Unlisted</v>
      </c>
      <c r="M430" s="174" t="str">
        <f>IFERROR(__xludf.DUMMYFUNCTION("""COMPUTED_VALUE"""),"Unlisted")</f>
        <v>Unlisted</v>
      </c>
      <c r="N430" s="174" t="str">
        <f>IFERROR(__xludf.DUMMYFUNCTION("""COMPUTED_VALUE"""),"Unlisted")</f>
        <v>Unlisted</v>
      </c>
      <c r="O430" s="174" t="str">
        <f>IFERROR(__xludf.DUMMYFUNCTION("""COMPUTED_VALUE"""),"Unlisted")</f>
        <v>Unlisted</v>
      </c>
      <c r="P430" s="174" t="str">
        <f>IFERROR(__xludf.DUMMYFUNCTION("""COMPUTED_VALUE"""),"Unlisted")</f>
        <v>Unlisted</v>
      </c>
      <c r="Q430" s="174" t="str">
        <f>IFERROR(__xludf.DUMMYFUNCTION("""COMPUTED_VALUE"""),"Unlisted")</f>
        <v>Unlisted</v>
      </c>
      <c r="R430" s="174" t="str">
        <f>IFERROR(__xludf.DUMMYFUNCTION("""COMPUTED_VALUE"""),"Unlisted")</f>
        <v>Unlisted</v>
      </c>
    </row>
    <row r="431">
      <c r="A431" s="255" t="str">
        <f>IFERROR(__xludf.DUMMYFUNCTION("""COMPUTED_VALUE"""),"Rhydon")</f>
        <v>Rhydon</v>
      </c>
      <c r="B431" s="174" t="str">
        <f>IFERROR(__xludf.DUMMYFUNCTION("""COMPUTED_VALUE"""),"Unlisted")</f>
        <v>Unlisted</v>
      </c>
      <c r="C431" s="174" t="str">
        <f>IFERROR(__xludf.DUMMYFUNCTION("""COMPUTED_VALUE"""),"Proficient")</f>
        <v>Proficient</v>
      </c>
      <c r="D431" s="174" t="str">
        <f>IFERROR(__xludf.DUMMYFUNCTION("""COMPUTED_VALUE"""),"Unlisted")</f>
        <v>Unlisted</v>
      </c>
      <c r="E431" s="174" t="str">
        <f>IFERROR(__xludf.DUMMYFUNCTION("""COMPUTED_VALUE"""),"Proficient")</f>
        <v>Proficient</v>
      </c>
      <c r="F431" s="174" t="str">
        <f>IFERROR(__xludf.DUMMYFUNCTION("""COMPUTED_VALUE"""),"Unlisted")</f>
        <v>Unlisted</v>
      </c>
      <c r="G431" s="174" t="str">
        <f>IFERROR(__xludf.DUMMYFUNCTION("""COMPUTED_VALUE"""),"Proficient")</f>
        <v>Proficient</v>
      </c>
      <c r="H431" s="174" t="str">
        <f>IFERROR(__xludf.DUMMYFUNCTION("""COMPUTED_VALUE"""),"Unlisted")</f>
        <v>Unlisted</v>
      </c>
      <c r="I431" s="174" t="str">
        <f>IFERROR(__xludf.DUMMYFUNCTION("""COMPUTED_VALUE"""),"Unlisted")</f>
        <v>Unlisted</v>
      </c>
      <c r="J431" s="174" t="str">
        <f>IFERROR(__xludf.DUMMYFUNCTION("""COMPUTED_VALUE"""),"Unlisted")</f>
        <v>Unlisted</v>
      </c>
      <c r="K431" s="174" t="str">
        <f>IFERROR(__xludf.DUMMYFUNCTION("""COMPUTED_VALUE"""),"Unlisted")</f>
        <v>Unlisted</v>
      </c>
      <c r="L431" s="174" t="str">
        <f>IFERROR(__xludf.DUMMYFUNCTION("""COMPUTED_VALUE"""),"Unlisted")</f>
        <v>Unlisted</v>
      </c>
      <c r="M431" s="174" t="str">
        <f>IFERROR(__xludf.DUMMYFUNCTION("""COMPUTED_VALUE"""),"Unlisted")</f>
        <v>Unlisted</v>
      </c>
      <c r="N431" s="174" t="str">
        <f>IFERROR(__xludf.DUMMYFUNCTION("""COMPUTED_VALUE"""),"Unlisted")</f>
        <v>Unlisted</v>
      </c>
      <c r="O431" s="174" t="str">
        <f>IFERROR(__xludf.DUMMYFUNCTION("""COMPUTED_VALUE"""),"Unlisted")</f>
        <v>Unlisted</v>
      </c>
      <c r="P431" s="174" t="str">
        <f>IFERROR(__xludf.DUMMYFUNCTION("""COMPUTED_VALUE"""),"Unlisted")</f>
        <v>Unlisted</v>
      </c>
      <c r="Q431" s="174" t="str">
        <f>IFERROR(__xludf.DUMMYFUNCTION("""COMPUTED_VALUE"""),"Unlisted")</f>
        <v>Unlisted</v>
      </c>
      <c r="R431" s="174" t="str">
        <f>IFERROR(__xludf.DUMMYFUNCTION("""COMPUTED_VALUE"""),"Unlisted")</f>
        <v>Unlisted</v>
      </c>
    </row>
    <row r="432">
      <c r="A432" s="255" t="str">
        <f>IFERROR(__xludf.DUMMYFUNCTION("""COMPUTED_VALUE"""),"Rhyperior")</f>
        <v>Rhyperior</v>
      </c>
      <c r="B432" s="174" t="str">
        <f>IFERROR(__xludf.DUMMYFUNCTION("""COMPUTED_VALUE"""),"Inept")</f>
        <v>Inept</v>
      </c>
      <c r="C432" s="174" t="str">
        <f>IFERROR(__xludf.DUMMYFUNCTION("""COMPUTED_VALUE"""),"Mastered")</f>
        <v>Mastered</v>
      </c>
      <c r="D432" s="174" t="str">
        <f>IFERROR(__xludf.DUMMYFUNCTION("""COMPUTED_VALUE"""),"Unlisted")</f>
        <v>Unlisted</v>
      </c>
      <c r="E432" s="174" t="str">
        <f>IFERROR(__xludf.DUMMYFUNCTION("""COMPUTED_VALUE"""),"Proficient")</f>
        <v>Proficient</v>
      </c>
      <c r="F432" s="174" t="str">
        <f>IFERROR(__xludf.DUMMYFUNCTION("""COMPUTED_VALUE"""),"Unlisted")</f>
        <v>Unlisted</v>
      </c>
      <c r="G432" s="174" t="str">
        <f>IFERROR(__xludf.DUMMYFUNCTION("""COMPUTED_VALUE"""),"Proficient")</f>
        <v>Proficient</v>
      </c>
      <c r="H432" s="174" t="str">
        <f>IFERROR(__xludf.DUMMYFUNCTION("""COMPUTED_VALUE"""),"Unlisted")</f>
        <v>Unlisted</v>
      </c>
      <c r="I432" s="174" t="str">
        <f>IFERROR(__xludf.DUMMYFUNCTION("""COMPUTED_VALUE"""),"Unlisted")</f>
        <v>Unlisted</v>
      </c>
      <c r="J432" s="174" t="str">
        <f>IFERROR(__xludf.DUMMYFUNCTION("""COMPUTED_VALUE"""),"Unlisted")</f>
        <v>Unlisted</v>
      </c>
      <c r="K432" s="174" t="str">
        <f>IFERROR(__xludf.DUMMYFUNCTION("""COMPUTED_VALUE"""),"Unlisted")</f>
        <v>Unlisted</v>
      </c>
      <c r="L432" s="174" t="str">
        <f>IFERROR(__xludf.DUMMYFUNCTION("""COMPUTED_VALUE"""),"Unlisted")</f>
        <v>Unlisted</v>
      </c>
      <c r="M432" s="174" t="str">
        <f>IFERROR(__xludf.DUMMYFUNCTION("""COMPUTED_VALUE"""),"Unlisted")</f>
        <v>Unlisted</v>
      </c>
      <c r="N432" s="174" t="str">
        <f>IFERROR(__xludf.DUMMYFUNCTION("""COMPUTED_VALUE"""),"Unlisted")</f>
        <v>Unlisted</v>
      </c>
      <c r="O432" s="174" t="str">
        <f>IFERROR(__xludf.DUMMYFUNCTION("""COMPUTED_VALUE"""),"Unlisted")</f>
        <v>Unlisted</v>
      </c>
      <c r="P432" s="174" t="str">
        <f>IFERROR(__xludf.DUMMYFUNCTION("""COMPUTED_VALUE"""),"Unlisted")</f>
        <v>Unlisted</v>
      </c>
      <c r="Q432" s="174" t="str">
        <f>IFERROR(__xludf.DUMMYFUNCTION("""COMPUTED_VALUE"""),"Unlisted")</f>
        <v>Unlisted</v>
      </c>
      <c r="R432" s="174" t="str">
        <f>IFERROR(__xludf.DUMMYFUNCTION("""COMPUTED_VALUE"""),"Unlisted")</f>
        <v>Unlisted</v>
      </c>
    </row>
    <row r="433">
      <c r="A433" s="255" t="str">
        <f>IFERROR(__xludf.DUMMYFUNCTION("""COMPUTED_VALUE"""),"Trapinch")</f>
        <v>Trapinch</v>
      </c>
      <c r="B433" s="174" t="str">
        <f>IFERROR(__xludf.DUMMYFUNCTION("""COMPUTED_VALUE"""),"Inept")</f>
        <v>Inept</v>
      </c>
      <c r="C433" s="174" t="str">
        <f>IFERROR(__xludf.DUMMYFUNCTION("""COMPUTED_VALUE"""),"Proficient")</f>
        <v>Proficient</v>
      </c>
      <c r="D433" s="174" t="str">
        <f>IFERROR(__xludf.DUMMYFUNCTION("""COMPUTED_VALUE"""),"Unlisted")</f>
        <v>Unlisted</v>
      </c>
      <c r="E433" s="174" t="str">
        <f>IFERROR(__xludf.DUMMYFUNCTION("""COMPUTED_VALUE"""),"Unlisted")</f>
        <v>Unlisted</v>
      </c>
      <c r="F433" s="174" t="str">
        <f>IFERROR(__xludf.DUMMYFUNCTION("""COMPUTED_VALUE"""),"Unlisted")</f>
        <v>Unlisted</v>
      </c>
      <c r="G433" s="174" t="str">
        <f>IFERROR(__xludf.DUMMYFUNCTION("""COMPUTED_VALUE"""),"Proficient")</f>
        <v>Proficient</v>
      </c>
      <c r="H433" s="174" t="str">
        <f>IFERROR(__xludf.DUMMYFUNCTION("""COMPUTED_VALUE"""),"Unlisted")</f>
        <v>Unlisted</v>
      </c>
      <c r="I433" s="174" t="str">
        <f>IFERROR(__xludf.DUMMYFUNCTION("""COMPUTED_VALUE"""),"Unlisted")</f>
        <v>Unlisted</v>
      </c>
      <c r="J433" s="174" t="str">
        <f>IFERROR(__xludf.DUMMYFUNCTION("""COMPUTED_VALUE"""),"Unlisted")</f>
        <v>Unlisted</v>
      </c>
      <c r="K433" s="174" t="str">
        <f>IFERROR(__xludf.DUMMYFUNCTION("""COMPUTED_VALUE"""),"Proficient")</f>
        <v>Proficient</v>
      </c>
      <c r="L433" s="174" t="str">
        <f>IFERROR(__xludf.DUMMYFUNCTION("""COMPUTED_VALUE"""),"Unlisted")</f>
        <v>Unlisted</v>
      </c>
      <c r="M433" s="174" t="str">
        <f>IFERROR(__xludf.DUMMYFUNCTION("""COMPUTED_VALUE"""),"Unlisted")</f>
        <v>Unlisted</v>
      </c>
      <c r="N433" s="174" t="str">
        <f>IFERROR(__xludf.DUMMYFUNCTION("""COMPUTED_VALUE"""),"Unlisted")</f>
        <v>Unlisted</v>
      </c>
      <c r="O433" s="174" t="str">
        <f>IFERROR(__xludf.DUMMYFUNCTION("""COMPUTED_VALUE"""),"Unlisted")</f>
        <v>Unlisted</v>
      </c>
      <c r="P433" s="174" t="str">
        <f>IFERROR(__xludf.DUMMYFUNCTION("""COMPUTED_VALUE"""),"Unlisted")</f>
        <v>Unlisted</v>
      </c>
      <c r="Q433" s="174" t="str">
        <f>IFERROR(__xludf.DUMMYFUNCTION("""COMPUTED_VALUE"""),"Unlisted")</f>
        <v>Unlisted</v>
      </c>
      <c r="R433" s="174" t="str">
        <f>IFERROR(__xludf.DUMMYFUNCTION("""COMPUTED_VALUE"""),"Unlisted")</f>
        <v>Unlisted</v>
      </c>
    </row>
    <row r="434">
      <c r="A434" s="255" t="str">
        <f>IFERROR(__xludf.DUMMYFUNCTION("""COMPUTED_VALUE"""),"Vibrava")</f>
        <v>Vibrava</v>
      </c>
      <c r="B434" s="174" t="str">
        <f>IFERROR(__xludf.DUMMYFUNCTION("""COMPUTED_VALUE"""),"Proficient")</f>
        <v>Proficient</v>
      </c>
      <c r="C434" s="174" t="str">
        <f>IFERROR(__xludf.DUMMYFUNCTION("""COMPUTED_VALUE"""),"Unlisted")</f>
        <v>Unlisted</v>
      </c>
      <c r="D434" s="174" t="str">
        <f>IFERROR(__xludf.DUMMYFUNCTION("""COMPUTED_VALUE"""),"Unlisted")</f>
        <v>Unlisted</v>
      </c>
      <c r="E434" s="174" t="str">
        <f>IFERROR(__xludf.DUMMYFUNCTION("""COMPUTED_VALUE"""),"Unlisted")</f>
        <v>Unlisted</v>
      </c>
      <c r="F434" s="174" t="str">
        <f>IFERROR(__xludf.DUMMYFUNCTION("""COMPUTED_VALUE"""),"Unlisted")</f>
        <v>Unlisted</v>
      </c>
      <c r="G434" s="174" t="str">
        <f>IFERROR(__xludf.DUMMYFUNCTION("""COMPUTED_VALUE"""),"Proficient")</f>
        <v>Proficient</v>
      </c>
      <c r="H434" s="174" t="str">
        <f>IFERROR(__xludf.DUMMYFUNCTION("""COMPUTED_VALUE"""),"Unlisted")</f>
        <v>Unlisted</v>
      </c>
      <c r="I434" s="174" t="str">
        <f>IFERROR(__xludf.DUMMYFUNCTION("""COMPUTED_VALUE"""),"Unlisted")</f>
        <v>Unlisted</v>
      </c>
      <c r="J434" s="174" t="str">
        <f>IFERROR(__xludf.DUMMYFUNCTION("""COMPUTED_VALUE"""),"Unlisted")</f>
        <v>Unlisted</v>
      </c>
      <c r="K434" s="174" t="str">
        <f>IFERROR(__xludf.DUMMYFUNCTION("""COMPUTED_VALUE"""),"Proficient")</f>
        <v>Proficient</v>
      </c>
      <c r="L434" s="174" t="str">
        <f>IFERROR(__xludf.DUMMYFUNCTION("""COMPUTED_VALUE"""),"Unlisted")</f>
        <v>Unlisted</v>
      </c>
      <c r="M434" s="174" t="str">
        <f>IFERROR(__xludf.DUMMYFUNCTION("""COMPUTED_VALUE"""),"Unlisted")</f>
        <v>Unlisted</v>
      </c>
      <c r="N434" s="174" t="str">
        <f>IFERROR(__xludf.DUMMYFUNCTION("""COMPUTED_VALUE"""),"Unlisted")</f>
        <v>Unlisted</v>
      </c>
      <c r="O434" s="174" t="str">
        <f>IFERROR(__xludf.DUMMYFUNCTION("""COMPUTED_VALUE"""),"Unlisted")</f>
        <v>Unlisted</v>
      </c>
      <c r="P434" s="174" t="str">
        <f>IFERROR(__xludf.DUMMYFUNCTION("""COMPUTED_VALUE"""),"Unlisted")</f>
        <v>Unlisted</v>
      </c>
      <c r="Q434" s="174" t="str">
        <f>IFERROR(__xludf.DUMMYFUNCTION("""COMPUTED_VALUE"""),"Unlisted")</f>
        <v>Unlisted</v>
      </c>
      <c r="R434" s="174" t="str">
        <f>IFERROR(__xludf.DUMMYFUNCTION("""COMPUTED_VALUE"""),"Unlisted")</f>
        <v>Unlisted</v>
      </c>
    </row>
    <row r="435">
      <c r="A435" s="255" t="str">
        <f>IFERROR(__xludf.DUMMYFUNCTION("""COMPUTED_VALUE"""),"Flygon")</f>
        <v>Flygon</v>
      </c>
      <c r="B435" s="174" t="str">
        <f>IFERROR(__xludf.DUMMYFUNCTION("""COMPUTED_VALUE"""),"Proficient")</f>
        <v>Proficient</v>
      </c>
      <c r="C435" s="174" t="str">
        <f>IFERROR(__xludf.DUMMYFUNCTION("""COMPUTED_VALUE"""),"Proficient")</f>
        <v>Proficient</v>
      </c>
      <c r="D435" s="174" t="str">
        <f>IFERROR(__xludf.DUMMYFUNCTION("""COMPUTED_VALUE"""),"Unlisted")</f>
        <v>Unlisted</v>
      </c>
      <c r="E435" s="174" t="str">
        <f>IFERROR(__xludf.DUMMYFUNCTION("""COMPUTED_VALUE"""),"Unlisted")</f>
        <v>Unlisted</v>
      </c>
      <c r="F435" s="174" t="str">
        <f>IFERROR(__xludf.DUMMYFUNCTION("""COMPUTED_VALUE"""),"Unlisted")</f>
        <v>Unlisted</v>
      </c>
      <c r="G435" s="174" t="str">
        <f>IFERROR(__xludf.DUMMYFUNCTION("""COMPUTED_VALUE"""),"Proficient")</f>
        <v>Proficient</v>
      </c>
      <c r="H435" s="174" t="str">
        <f>IFERROR(__xludf.DUMMYFUNCTION("""COMPUTED_VALUE"""),"Unlisted")</f>
        <v>Unlisted</v>
      </c>
      <c r="I435" s="174" t="str">
        <f>IFERROR(__xludf.DUMMYFUNCTION("""COMPUTED_VALUE"""),"Unlisted")</f>
        <v>Unlisted</v>
      </c>
      <c r="J435" s="174" t="str">
        <f>IFERROR(__xludf.DUMMYFUNCTION("""COMPUTED_VALUE"""),"Unlisted")</f>
        <v>Unlisted</v>
      </c>
      <c r="K435" s="174" t="str">
        <f>IFERROR(__xludf.DUMMYFUNCTION("""COMPUTED_VALUE"""),"Proficient")</f>
        <v>Proficient</v>
      </c>
      <c r="L435" s="174" t="str">
        <f>IFERROR(__xludf.DUMMYFUNCTION("""COMPUTED_VALUE"""),"Inept")</f>
        <v>Inept</v>
      </c>
      <c r="M435" s="174" t="str">
        <f>IFERROR(__xludf.DUMMYFUNCTION("""COMPUTED_VALUE"""),"Unlisted")</f>
        <v>Unlisted</v>
      </c>
      <c r="N435" s="174" t="str">
        <f>IFERROR(__xludf.DUMMYFUNCTION("""COMPUTED_VALUE"""),"Unlisted")</f>
        <v>Unlisted</v>
      </c>
      <c r="O435" s="174" t="str">
        <f>IFERROR(__xludf.DUMMYFUNCTION("""COMPUTED_VALUE"""),"Unlisted")</f>
        <v>Unlisted</v>
      </c>
      <c r="P435" s="174" t="str">
        <f>IFERROR(__xludf.DUMMYFUNCTION("""COMPUTED_VALUE"""),"Unlisted")</f>
        <v>Unlisted</v>
      </c>
      <c r="Q435" s="174" t="str">
        <f>IFERROR(__xludf.DUMMYFUNCTION("""COMPUTED_VALUE"""),"Unlisted")</f>
        <v>Unlisted</v>
      </c>
      <c r="R435" s="174" t="str">
        <f>IFERROR(__xludf.DUMMYFUNCTION("""COMPUTED_VALUE"""),"Unlisted")</f>
        <v>Unlisted</v>
      </c>
    </row>
    <row r="436">
      <c r="A436" s="255" t="str">
        <f>IFERROR(__xludf.DUMMYFUNCTION("""COMPUTED_VALUE"""),"Sandile")</f>
        <v>Sandile</v>
      </c>
      <c r="B436" s="174" t="str">
        <f>IFERROR(__xludf.DUMMYFUNCTION("""COMPUTED_VALUE"""),"Unlisted")</f>
        <v>Unlisted</v>
      </c>
      <c r="C436" s="174" t="str">
        <f>IFERROR(__xludf.DUMMYFUNCTION("""COMPUTED_VALUE"""),"Mastered")</f>
        <v>Mastered</v>
      </c>
      <c r="D436" s="174" t="str">
        <f>IFERROR(__xludf.DUMMYFUNCTION("""COMPUTED_VALUE"""),"Unlisted")</f>
        <v>Unlisted</v>
      </c>
      <c r="E436" s="174" t="str">
        <f>IFERROR(__xludf.DUMMYFUNCTION("""COMPUTED_VALUE"""),"Proficient")</f>
        <v>Proficient</v>
      </c>
      <c r="F436" s="174" t="str">
        <f>IFERROR(__xludf.DUMMYFUNCTION("""COMPUTED_VALUE"""),"Unlisted")</f>
        <v>Unlisted</v>
      </c>
      <c r="G436" s="174" t="str">
        <f>IFERROR(__xludf.DUMMYFUNCTION("""COMPUTED_VALUE"""),"Unlisted")</f>
        <v>Unlisted</v>
      </c>
      <c r="H436" s="174" t="str">
        <f>IFERROR(__xludf.DUMMYFUNCTION("""COMPUTED_VALUE"""),"Unlisted")</f>
        <v>Unlisted</v>
      </c>
      <c r="I436" s="174" t="str">
        <f>IFERROR(__xludf.DUMMYFUNCTION("""COMPUTED_VALUE"""),"Unlisted")</f>
        <v>Unlisted</v>
      </c>
      <c r="J436" s="174" t="str">
        <f>IFERROR(__xludf.DUMMYFUNCTION("""COMPUTED_VALUE"""),"Unlisted")</f>
        <v>Unlisted</v>
      </c>
      <c r="K436" s="174" t="str">
        <f>IFERROR(__xludf.DUMMYFUNCTION("""COMPUTED_VALUE"""),"Unlisted")</f>
        <v>Unlisted</v>
      </c>
      <c r="L436" s="174" t="str">
        <f>IFERROR(__xludf.DUMMYFUNCTION("""COMPUTED_VALUE"""),"Proficient")</f>
        <v>Proficient</v>
      </c>
      <c r="M436" s="174" t="str">
        <f>IFERROR(__xludf.DUMMYFUNCTION("""COMPUTED_VALUE"""),"Unlisted")</f>
        <v>Unlisted</v>
      </c>
      <c r="N436" s="174" t="str">
        <f>IFERROR(__xludf.DUMMYFUNCTION("""COMPUTED_VALUE"""),"Unlisted")</f>
        <v>Unlisted</v>
      </c>
      <c r="O436" s="174" t="str">
        <f>IFERROR(__xludf.DUMMYFUNCTION("""COMPUTED_VALUE"""),"Unlisted")</f>
        <v>Unlisted</v>
      </c>
      <c r="P436" s="174" t="str">
        <f>IFERROR(__xludf.DUMMYFUNCTION("""COMPUTED_VALUE"""),"Unlisted")</f>
        <v>Unlisted</v>
      </c>
      <c r="Q436" s="174" t="str">
        <f>IFERROR(__xludf.DUMMYFUNCTION("""COMPUTED_VALUE"""),"Unlisted")</f>
        <v>Unlisted</v>
      </c>
      <c r="R436" s="174" t="str">
        <f>IFERROR(__xludf.DUMMYFUNCTION("""COMPUTED_VALUE"""),"Unlisted")</f>
        <v>Unlisted</v>
      </c>
    </row>
    <row r="437">
      <c r="A437" s="255" t="str">
        <f>IFERROR(__xludf.DUMMYFUNCTION("""COMPUTED_VALUE"""),"Krokorok")</f>
        <v>Krokorok</v>
      </c>
      <c r="B437" s="174" t="str">
        <f>IFERROR(__xludf.DUMMYFUNCTION("""COMPUTED_VALUE"""),"Unlisted")</f>
        <v>Unlisted</v>
      </c>
      <c r="C437" s="174" t="str">
        <f>IFERROR(__xludf.DUMMYFUNCTION("""COMPUTED_VALUE"""),"Mastered")</f>
        <v>Mastered</v>
      </c>
      <c r="D437" s="174" t="str">
        <f>IFERROR(__xludf.DUMMYFUNCTION("""COMPUTED_VALUE"""),"Unlisted")</f>
        <v>Unlisted</v>
      </c>
      <c r="E437" s="174" t="str">
        <f>IFERROR(__xludf.DUMMYFUNCTION("""COMPUTED_VALUE"""),"Proficient")</f>
        <v>Proficient</v>
      </c>
      <c r="F437" s="174" t="str">
        <f>IFERROR(__xludf.DUMMYFUNCTION("""COMPUTED_VALUE"""),"Unlisted")</f>
        <v>Unlisted</v>
      </c>
      <c r="G437" s="174" t="str">
        <f>IFERROR(__xludf.DUMMYFUNCTION("""COMPUTED_VALUE"""),"Unlisted")</f>
        <v>Unlisted</v>
      </c>
      <c r="H437" s="174" t="str">
        <f>IFERROR(__xludf.DUMMYFUNCTION("""COMPUTED_VALUE"""),"Unlisted")</f>
        <v>Unlisted</v>
      </c>
      <c r="I437" s="174" t="str">
        <f>IFERROR(__xludf.DUMMYFUNCTION("""COMPUTED_VALUE"""),"Proficient")</f>
        <v>Proficient</v>
      </c>
      <c r="J437" s="174" t="str">
        <f>IFERROR(__xludf.DUMMYFUNCTION("""COMPUTED_VALUE"""),"Unlisted")</f>
        <v>Unlisted</v>
      </c>
      <c r="K437" s="174" t="str">
        <f>IFERROR(__xludf.DUMMYFUNCTION("""COMPUTED_VALUE"""),"Unlisted")</f>
        <v>Unlisted</v>
      </c>
      <c r="L437" s="174" t="str">
        <f>IFERROR(__xludf.DUMMYFUNCTION("""COMPUTED_VALUE"""),"Unlisted")</f>
        <v>Unlisted</v>
      </c>
      <c r="M437" s="174" t="str">
        <f>IFERROR(__xludf.DUMMYFUNCTION("""COMPUTED_VALUE"""),"Unlisted")</f>
        <v>Unlisted</v>
      </c>
      <c r="N437" s="174" t="str">
        <f>IFERROR(__xludf.DUMMYFUNCTION("""COMPUTED_VALUE"""),"Unlisted")</f>
        <v>Unlisted</v>
      </c>
      <c r="O437" s="174" t="str">
        <f>IFERROR(__xludf.DUMMYFUNCTION("""COMPUTED_VALUE"""),"Unlisted")</f>
        <v>Unlisted</v>
      </c>
      <c r="P437" s="174" t="str">
        <f>IFERROR(__xludf.DUMMYFUNCTION("""COMPUTED_VALUE"""),"Unlisted")</f>
        <v>Unlisted</v>
      </c>
      <c r="Q437" s="174" t="str">
        <f>IFERROR(__xludf.DUMMYFUNCTION("""COMPUTED_VALUE"""),"Unlisted")</f>
        <v>Unlisted</v>
      </c>
      <c r="R437" s="174" t="str">
        <f>IFERROR(__xludf.DUMMYFUNCTION("""COMPUTED_VALUE"""),"Unlisted")</f>
        <v>Unlisted</v>
      </c>
    </row>
    <row r="438">
      <c r="A438" s="255" t="str">
        <f>IFERROR(__xludf.DUMMYFUNCTION("""COMPUTED_VALUE"""),"Krookodile")</f>
        <v>Krookodile</v>
      </c>
      <c r="B438" s="174" t="str">
        <f>IFERROR(__xludf.DUMMYFUNCTION("""COMPUTED_VALUE"""),"Unlisted")</f>
        <v>Unlisted</v>
      </c>
      <c r="C438" s="174" t="str">
        <f>IFERROR(__xludf.DUMMYFUNCTION("""COMPUTED_VALUE"""),"Mastered")</f>
        <v>Mastered</v>
      </c>
      <c r="D438" s="174" t="str">
        <f>IFERROR(__xludf.DUMMYFUNCTION("""COMPUTED_VALUE"""),"Unlisted")</f>
        <v>Unlisted</v>
      </c>
      <c r="E438" s="174" t="str">
        <f>IFERROR(__xludf.DUMMYFUNCTION("""COMPUTED_VALUE"""),"Proficient")</f>
        <v>Proficient</v>
      </c>
      <c r="F438" s="174" t="str">
        <f>IFERROR(__xludf.DUMMYFUNCTION("""COMPUTED_VALUE"""),"Unlisted")</f>
        <v>Unlisted</v>
      </c>
      <c r="G438" s="174" t="str">
        <f>IFERROR(__xludf.DUMMYFUNCTION("""COMPUTED_VALUE"""),"Unlisted")</f>
        <v>Unlisted</v>
      </c>
      <c r="H438" s="174" t="str">
        <f>IFERROR(__xludf.DUMMYFUNCTION("""COMPUTED_VALUE"""),"Unlisted")</f>
        <v>Unlisted</v>
      </c>
      <c r="I438" s="174" t="str">
        <f>IFERROR(__xludf.DUMMYFUNCTION("""COMPUTED_VALUE"""),"Proficient")</f>
        <v>Proficient</v>
      </c>
      <c r="J438" s="174" t="str">
        <f>IFERROR(__xludf.DUMMYFUNCTION("""COMPUTED_VALUE"""),"Unlisted")</f>
        <v>Unlisted</v>
      </c>
      <c r="K438" s="174" t="str">
        <f>IFERROR(__xludf.DUMMYFUNCTION("""COMPUTED_VALUE"""),"Unlisted")</f>
        <v>Unlisted</v>
      </c>
      <c r="L438" s="174" t="str">
        <f>IFERROR(__xludf.DUMMYFUNCTION("""COMPUTED_VALUE"""),"Unlisted")</f>
        <v>Unlisted</v>
      </c>
      <c r="M438" s="174" t="str">
        <f>IFERROR(__xludf.DUMMYFUNCTION("""COMPUTED_VALUE"""),"Unlisted")</f>
        <v>Unlisted</v>
      </c>
      <c r="N438" s="174" t="str">
        <f>IFERROR(__xludf.DUMMYFUNCTION("""COMPUTED_VALUE"""),"Unlisted")</f>
        <v>Unlisted</v>
      </c>
      <c r="O438" s="174" t="str">
        <f>IFERROR(__xludf.DUMMYFUNCTION("""COMPUTED_VALUE"""),"Unlisted")</f>
        <v>Unlisted</v>
      </c>
      <c r="P438" s="174" t="str">
        <f>IFERROR(__xludf.DUMMYFUNCTION("""COMPUTED_VALUE"""),"Unlisted")</f>
        <v>Unlisted</v>
      </c>
      <c r="Q438" s="174" t="str">
        <f>IFERROR(__xludf.DUMMYFUNCTION("""COMPUTED_VALUE"""),"Unlisted")</f>
        <v>Unlisted</v>
      </c>
      <c r="R438" s="174" t="str">
        <f>IFERROR(__xludf.DUMMYFUNCTION("""COMPUTED_VALUE"""),"Unlisted")</f>
        <v>Unlisted</v>
      </c>
    </row>
    <row r="439">
      <c r="A439" s="255" t="str">
        <f>IFERROR(__xludf.DUMMYFUNCTION("""COMPUTED_VALUE"""),"Swinub")</f>
        <v>Swinub</v>
      </c>
      <c r="B439" s="174" t="str">
        <f>IFERROR(__xludf.DUMMYFUNCTION("""COMPUTED_VALUE"""),"Unlisted")</f>
        <v>Unlisted</v>
      </c>
      <c r="C439" s="174" t="str">
        <f>IFERROR(__xludf.DUMMYFUNCTION("""COMPUTED_VALUE"""),"Proficient")</f>
        <v>Proficient</v>
      </c>
      <c r="D439" s="174" t="str">
        <f>IFERROR(__xludf.DUMMYFUNCTION("""COMPUTED_VALUE"""),"Unlisted")</f>
        <v>Unlisted</v>
      </c>
      <c r="E439" s="174" t="str">
        <f>IFERROR(__xludf.DUMMYFUNCTION("""COMPUTED_VALUE"""),"Unlisted")</f>
        <v>Unlisted</v>
      </c>
      <c r="F439" s="174" t="str">
        <f>IFERROR(__xludf.DUMMYFUNCTION("""COMPUTED_VALUE"""),"Unlisted")</f>
        <v>Unlisted</v>
      </c>
      <c r="G439" s="174" t="str">
        <f>IFERROR(__xludf.DUMMYFUNCTION("""COMPUTED_VALUE"""),"Unlisted")</f>
        <v>Unlisted</v>
      </c>
      <c r="H439" s="174" t="str">
        <f>IFERROR(__xludf.DUMMYFUNCTION("""COMPUTED_VALUE"""),"Unlisted")</f>
        <v>Unlisted</v>
      </c>
      <c r="I439" s="174" t="str">
        <f>IFERROR(__xludf.DUMMYFUNCTION("""COMPUTED_VALUE"""),"Unlisted")</f>
        <v>Unlisted</v>
      </c>
      <c r="J439" s="174" t="str">
        <f>IFERROR(__xludf.DUMMYFUNCTION("""COMPUTED_VALUE"""),"Unlisted")</f>
        <v>Unlisted</v>
      </c>
      <c r="K439" s="174" t="str">
        <f>IFERROR(__xludf.DUMMYFUNCTION("""COMPUTED_VALUE"""),"Proficient")</f>
        <v>Proficient</v>
      </c>
      <c r="L439" s="174" t="str">
        <f>IFERROR(__xludf.DUMMYFUNCTION("""COMPUTED_VALUE"""),"Unlisted")</f>
        <v>Unlisted</v>
      </c>
      <c r="M439" s="174" t="str">
        <f>IFERROR(__xludf.DUMMYFUNCTION("""COMPUTED_VALUE"""),"Unlisted")</f>
        <v>Unlisted</v>
      </c>
      <c r="N439" s="174" t="str">
        <f>IFERROR(__xludf.DUMMYFUNCTION("""COMPUTED_VALUE"""),"Unlisted")</f>
        <v>Unlisted</v>
      </c>
      <c r="O439" s="174" t="str">
        <f>IFERROR(__xludf.DUMMYFUNCTION("""COMPUTED_VALUE"""),"Proficient")</f>
        <v>Proficient</v>
      </c>
      <c r="P439" s="174" t="str">
        <f>IFERROR(__xludf.DUMMYFUNCTION("""COMPUTED_VALUE"""),"Unlisted")</f>
        <v>Unlisted</v>
      </c>
      <c r="Q439" s="174" t="str">
        <f>IFERROR(__xludf.DUMMYFUNCTION("""COMPUTED_VALUE"""),"Unlisted")</f>
        <v>Unlisted</v>
      </c>
      <c r="R439" s="174" t="str">
        <f>IFERROR(__xludf.DUMMYFUNCTION("""COMPUTED_VALUE"""),"Unlisted")</f>
        <v>Unlisted</v>
      </c>
    </row>
    <row r="440">
      <c r="A440" s="255" t="str">
        <f>IFERROR(__xludf.DUMMYFUNCTION("""COMPUTED_VALUE"""),"Piloswine")</f>
        <v>Piloswine</v>
      </c>
      <c r="B440" s="174" t="str">
        <f>IFERROR(__xludf.DUMMYFUNCTION("""COMPUTED_VALUE"""),"Unlisted")</f>
        <v>Unlisted</v>
      </c>
      <c r="C440" s="174" t="str">
        <f>IFERROR(__xludf.DUMMYFUNCTION("""COMPUTED_VALUE"""),"Proficient")</f>
        <v>Proficient</v>
      </c>
      <c r="D440" s="174" t="str">
        <f>IFERROR(__xludf.DUMMYFUNCTION("""COMPUTED_VALUE"""),"Unlisted")</f>
        <v>Unlisted</v>
      </c>
      <c r="E440" s="174" t="str">
        <f>IFERROR(__xludf.DUMMYFUNCTION("""COMPUTED_VALUE"""),"Unlisted")</f>
        <v>Unlisted</v>
      </c>
      <c r="F440" s="174" t="str">
        <f>IFERROR(__xludf.DUMMYFUNCTION("""COMPUTED_VALUE"""),"Unlisted")</f>
        <v>Unlisted</v>
      </c>
      <c r="G440" s="174" t="str">
        <f>IFERROR(__xludf.DUMMYFUNCTION("""COMPUTED_VALUE"""),"Unlisted")</f>
        <v>Unlisted</v>
      </c>
      <c r="H440" s="174" t="str">
        <f>IFERROR(__xludf.DUMMYFUNCTION("""COMPUTED_VALUE"""),"Unlisted")</f>
        <v>Unlisted</v>
      </c>
      <c r="I440" s="174" t="str">
        <f>IFERROR(__xludf.DUMMYFUNCTION("""COMPUTED_VALUE"""),"Unlisted")</f>
        <v>Unlisted</v>
      </c>
      <c r="J440" s="174" t="str">
        <f>IFERROR(__xludf.DUMMYFUNCTION("""COMPUTED_VALUE"""),"Unlisted")</f>
        <v>Unlisted</v>
      </c>
      <c r="K440" s="174" t="str">
        <f>IFERROR(__xludf.DUMMYFUNCTION("""COMPUTED_VALUE"""),"Proficient")</f>
        <v>Proficient</v>
      </c>
      <c r="L440" s="174" t="str">
        <f>IFERROR(__xludf.DUMMYFUNCTION("""COMPUTED_VALUE"""),"Unlisted")</f>
        <v>Unlisted</v>
      </c>
      <c r="M440" s="174" t="str">
        <f>IFERROR(__xludf.DUMMYFUNCTION("""COMPUTED_VALUE"""),"Unlisted")</f>
        <v>Unlisted</v>
      </c>
      <c r="N440" s="174" t="str">
        <f>IFERROR(__xludf.DUMMYFUNCTION("""COMPUTED_VALUE"""),"Unlisted")</f>
        <v>Unlisted</v>
      </c>
      <c r="O440" s="174" t="str">
        <f>IFERROR(__xludf.DUMMYFUNCTION("""COMPUTED_VALUE"""),"Proficient")</f>
        <v>Proficient</v>
      </c>
      <c r="P440" s="174" t="str">
        <f>IFERROR(__xludf.DUMMYFUNCTION("""COMPUTED_VALUE"""),"Unlisted")</f>
        <v>Unlisted</v>
      </c>
      <c r="Q440" s="174" t="str">
        <f>IFERROR(__xludf.DUMMYFUNCTION("""COMPUTED_VALUE"""),"Unlisted")</f>
        <v>Unlisted</v>
      </c>
      <c r="R440" s="174" t="str">
        <f>IFERROR(__xludf.DUMMYFUNCTION("""COMPUTED_VALUE"""),"Unlisted")</f>
        <v>Unlisted</v>
      </c>
    </row>
    <row r="441">
      <c r="A441" s="255" t="str">
        <f>IFERROR(__xludf.DUMMYFUNCTION("""COMPUTED_VALUE"""),"Mamoswine")</f>
        <v>Mamoswine</v>
      </c>
      <c r="B441" s="174" t="str">
        <f>IFERROR(__xludf.DUMMYFUNCTION("""COMPUTED_VALUE"""),"Unlisted")</f>
        <v>Unlisted</v>
      </c>
      <c r="C441" s="174" t="str">
        <f>IFERROR(__xludf.DUMMYFUNCTION("""COMPUTED_VALUE"""),"Proficient")</f>
        <v>Proficient</v>
      </c>
      <c r="D441" s="174" t="str">
        <f>IFERROR(__xludf.DUMMYFUNCTION("""COMPUTED_VALUE"""),"Unlisted")</f>
        <v>Unlisted</v>
      </c>
      <c r="E441" s="174" t="str">
        <f>IFERROR(__xludf.DUMMYFUNCTION("""COMPUTED_VALUE"""),"Unlisted")</f>
        <v>Unlisted</v>
      </c>
      <c r="F441" s="174" t="str">
        <f>IFERROR(__xludf.DUMMYFUNCTION("""COMPUTED_VALUE"""),"Unlisted")</f>
        <v>Unlisted</v>
      </c>
      <c r="G441" s="174" t="str">
        <f>IFERROR(__xludf.DUMMYFUNCTION("""COMPUTED_VALUE"""),"Unlisted")</f>
        <v>Unlisted</v>
      </c>
      <c r="H441" s="174" t="str">
        <f>IFERROR(__xludf.DUMMYFUNCTION("""COMPUTED_VALUE"""),"Unlisted")</f>
        <v>Unlisted</v>
      </c>
      <c r="I441" s="174" t="str">
        <f>IFERROR(__xludf.DUMMYFUNCTION("""COMPUTED_VALUE"""),"Unlisted")</f>
        <v>Unlisted</v>
      </c>
      <c r="J441" s="174" t="str">
        <f>IFERROR(__xludf.DUMMYFUNCTION("""COMPUTED_VALUE"""),"Unlisted")</f>
        <v>Unlisted</v>
      </c>
      <c r="K441" s="174" t="str">
        <f>IFERROR(__xludf.DUMMYFUNCTION("""COMPUTED_VALUE"""),"Proficient")</f>
        <v>Proficient</v>
      </c>
      <c r="L441" s="174" t="str">
        <f>IFERROR(__xludf.DUMMYFUNCTION("""COMPUTED_VALUE"""),"Unlisted")</f>
        <v>Unlisted</v>
      </c>
      <c r="M441" s="174" t="str">
        <f>IFERROR(__xludf.DUMMYFUNCTION("""COMPUTED_VALUE"""),"Unlisted")</f>
        <v>Unlisted</v>
      </c>
      <c r="N441" s="174" t="str">
        <f>IFERROR(__xludf.DUMMYFUNCTION("""COMPUTED_VALUE"""),"Unlisted")</f>
        <v>Unlisted</v>
      </c>
      <c r="O441" s="174" t="str">
        <f>IFERROR(__xludf.DUMMYFUNCTION("""COMPUTED_VALUE"""),"Proficient")</f>
        <v>Proficient</v>
      </c>
      <c r="P441" s="174" t="str">
        <f>IFERROR(__xludf.DUMMYFUNCTION("""COMPUTED_VALUE"""),"Unlisted")</f>
        <v>Unlisted</v>
      </c>
      <c r="Q441" s="174" t="str">
        <f>IFERROR(__xludf.DUMMYFUNCTION("""COMPUTED_VALUE"""),"Unlisted")</f>
        <v>Unlisted</v>
      </c>
      <c r="R441" s="174" t="str">
        <f>IFERROR(__xludf.DUMMYFUNCTION("""COMPUTED_VALUE"""),"Unlisted")</f>
        <v>Unlisted</v>
      </c>
    </row>
    <row r="442">
      <c r="A442" s="255" t="str">
        <f>IFERROR(__xludf.DUMMYFUNCTION("""COMPUTED_VALUE"""),"Spheal")</f>
        <v>Spheal</v>
      </c>
      <c r="B442" s="174" t="str">
        <f>IFERROR(__xludf.DUMMYFUNCTION("""COMPUTED_VALUE"""),"Unlisted")</f>
        <v>Unlisted</v>
      </c>
      <c r="C442" s="174" t="str">
        <f>IFERROR(__xludf.DUMMYFUNCTION("""COMPUTED_VALUE"""),"Unlisted")</f>
        <v>Unlisted</v>
      </c>
      <c r="D442" s="174" t="str">
        <f>IFERROR(__xludf.DUMMYFUNCTION("""COMPUTED_VALUE"""),"Unlisted")</f>
        <v>Unlisted</v>
      </c>
      <c r="E442" s="174" t="str">
        <f>IFERROR(__xludf.DUMMYFUNCTION("""COMPUTED_VALUE"""),"Unlisted")</f>
        <v>Unlisted</v>
      </c>
      <c r="F442" s="174" t="str">
        <f>IFERROR(__xludf.DUMMYFUNCTION("""COMPUTED_VALUE"""),"Unlisted")</f>
        <v>Unlisted</v>
      </c>
      <c r="G442" s="174" t="str">
        <f>IFERROR(__xludf.DUMMYFUNCTION("""COMPUTED_VALUE"""),"Proficient")</f>
        <v>Proficient</v>
      </c>
      <c r="H442" s="174" t="str">
        <f>IFERROR(__xludf.DUMMYFUNCTION("""COMPUTED_VALUE"""),"Unlisted")</f>
        <v>Unlisted</v>
      </c>
      <c r="I442" s="174" t="str">
        <f>IFERROR(__xludf.DUMMYFUNCTION("""COMPUTED_VALUE"""),"Unlisted")</f>
        <v>Unlisted</v>
      </c>
      <c r="J442" s="174" t="str">
        <f>IFERROR(__xludf.DUMMYFUNCTION("""COMPUTED_VALUE"""),"Proficient")</f>
        <v>Proficient</v>
      </c>
      <c r="K442" s="174" t="str">
        <f>IFERROR(__xludf.DUMMYFUNCTION("""COMPUTED_VALUE"""),"Unlisted")</f>
        <v>Unlisted</v>
      </c>
      <c r="L442" s="174" t="str">
        <f>IFERROR(__xludf.DUMMYFUNCTION("""COMPUTED_VALUE"""),"Unlisted")</f>
        <v>Unlisted</v>
      </c>
      <c r="M442" s="174" t="str">
        <f>IFERROR(__xludf.DUMMYFUNCTION("""COMPUTED_VALUE"""),"Unlisted")</f>
        <v>Unlisted</v>
      </c>
      <c r="N442" s="174" t="str">
        <f>IFERROR(__xludf.DUMMYFUNCTION("""COMPUTED_VALUE"""),"Unlisted")</f>
        <v>Unlisted</v>
      </c>
      <c r="O442" s="174" t="str">
        <f>IFERROR(__xludf.DUMMYFUNCTION("""COMPUTED_VALUE"""),"Unlisted")</f>
        <v>Unlisted</v>
      </c>
      <c r="P442" s="174" t="str">
        <f>IFERROR(__xludf.DUMMYFUNCTION("""COMPUTED_VALUE"""),"Unlisted")</f>
        <v>Unlisted</v>
      </c>
      <c r="Q442" s="174" t="str">
        <f>IFERROR(__xludf.DUMMYFUNCTION("""COMPUTED_VALUE"""),"Unlisted")</f>
        <v>Unlisted</v>
      </c>
      <c r="R442" s="174" t="str">
        <f>IFERROR(__xludf.DUMMYFUNCTION("""COMPUTED_VALUE"""),"Unlisted")</f>
        <v>Unlisted</v>
      </c>
    </row>
    <row r="443">
      <c r="A443" s="255" t="str">
        <f>IFERROR(__xludf.DUMMYFUNCTION("""COMPUTED_VALUE"""),"Sealeo")</f>
        <v>Sealeo</v>
      </c>
      <c r="B443" s="174" t="str">
        <f>IFERROR(__xludf.DUMMYFUNCTION("""COMPUTED_VALUE"""),"Unlisted")</f>
        <v>Unlisted</v>
      </c>
      <c r="C443" s="174" t="str">
        <f>IFERROR(__xludf.DUMMYFUNCTION("""COMPUTED_VALUE"""),"Unlisted")</f>
        <v>Unlisted</v>
      </c>
      <c r="D443" s="174" t="str">
        <f>IFERROR(__xludf.DUMMYFUNCTION("""COMPUTED_VALUE"""),"Unlisted")</f>
        <v>Unlisted</v>
      </c>
      <c r="E443" s="174" t="str">
        <f>IFERROR(__xludf.DUMMYFUNCTION("""COMPUTED_VALUE"""),"Unlisted")</f>
        <v>Unlisted</v>
      </c>
      <c r="F443" s="174" t="str">
        <f>IFERROR(__xludf.DUMMYFUNCTION("""COMPUTED_VALUE"""),"Unlisted")</f>
        <v>Unlisted</v>
      </c>
      <c r="G443" s="174" t="str">
        <f>IFERROR(__xludf.DUMMYFUNCTION("""COMPUTED_VALUE"""),"Proficient")</f>
        <v>Proficient</v>
      </c>
      <c r="H443" s="174" t="str">
        <f>IFERROR(__xludf.DUMMYFUNCTION("""COMPUTED_VALUE"""),"Unlisted")</f>
        <v>Unlisted</v>
      </c>
      <c r="I443" s="174" t="str">
        <f>IFERROR(__xludf.DUMMYFUNCTION("""COMPUTED_VALUE"""),"Unlisted")</f>
        <v>Unlisted</v>
      </c>
      <c r="J443" s="174" t="str">
        <f>IFERROR(__xludf.DUMMYFUNCTION("""COMPUTED_VALUE"""),"Proficient")</f>
        <v>Proficient</v>
      </c>
      <c r="K443" s="174" t="str">
        <f>IFERROR(__xludf.DUMMYFUNCTION("""COMPUTED_VALUE"""),"Unlisted")</f>
        <v>Unlisted</v>
      </c>
      <c r="L443" s="174" t="str">
        <f>IFERROR(__xludf.DUMMYFUNCTION("""COMPUTED_VALUE"""),"Unlisted")</f>
        <v>Unlisted</v>
      </c>
      <c r="M443" s="174" t="str">
        <f>IFERROR(__xludf.DUMMYFUNCTION("""COMPUTED_VALUE"""),"Unlisted")</f>
        <v>Unlisted</v>
      </c>
      <c r="N443" s="174" t="str">
        <f>IFERROR(__xludf.DUMMYFUNCTION("""COMPUTED_VALUE"""),"Unlisted")</f>
        <v>Unlisted</v>
      </c>
      <c r="O443" s="174" t="str">
        <f>IFERROR(__xludf.DUMMYFUNCTION("""COMPUTED_VALUE"""),"Unlisted")</f>
        <v>Unlisted</v>
      </c>
      <c r="P443" s="174" t="str">
        <f>IFERROR(__xludf.DUMMYFUNCTION("""COMPUTED_VALUE"""),"Unlisted")</f>
        <v>Unlisted</v>
      </c>
      <c r="Q443" s="174" t="str">
        <f>IFERROR(__xludf.DUMMYFUNCTION("""COMPUTED_VALUE"""),"Unlisted")</f>
        <v>Unlisted</v>
      </c>
      <c r="R443" s="174" t="str">
        <f>IFERROR(__xludf.DUMMYFUNCTION("""COMPUTED_VALUE"""),"Unlisted")</f>
        <v>Unlisted</v>
      </c>
    </row>
    <row r="444">
      <c r="A444" s="255" t="str">
        <f>IFERROR(__xludf.DUMMYFUNCTION("""COMPUTED_VALUE"""),"Walrein")</f>
        <v>Walrein</v>
      </c>
      <c r="B444" s="174" t="str">
        <f>IFERROR(__xludf.DUMMYFUNCTION("""COMPUTED_VALUE"""),"Unlisted")</f>
        <v>Unlisted</v>
      </c>
      <c r="C444" s="174" t="str">
        <f>IFERROR(__xludf.DUMMYFUNCTION("""COMPUTED_VALUE"""),"Proficient")</f>
        <v>Proficient</v>
      </c>
      <c r="D444" s="174" t="str">
        <f>IFERROR(__xludf.DUMMYFUNCTION("""COMPUTED_VALUE"""),"Unlisted")</f>
        <v>Unlisted</v>
      </c>
      <c r="E444" s="174" t="str">
        <f>IFERROR(__xludf.DUMMYFUNCTION("""COMPUTED_VALUE"""),"Unlisted")</f>
        <v>Unlisted</v>
      </c>
      <c r="F444" s="174" t="str">
        <f>IFERROR(__xludf.DUMMYFUNCTION("""COMPUTED_VALUE"""),"Unlisted")</f>
        <v>Unlisted</v>
      </c>
      <c r="G444" s="174" t="str">
        <f>IFERROR(__xludf.DUMMYFUNCTION("""COMPUTED_VALUE"""),"Proficient")</f>
        <v>Proficient</v>
      </c>
      <c r="H444" s="174" t="str">
        <f>IFERROR(__xludf.DUMMYFUNCTION("""COMPUTED_VALUE"""),"Unlisted")</f>
        <v>Unlisted</v>
      </c>
      <c r="I444" s="174" t="str">
        <f>IFERROR(__xludf.DUMMYFUNCTION("""COMPUTED_VALUE"""),"Unlisted")</f>
        <v>Unlisted</v>
      </c>
      <c r="J444" s="174" t="str">
        <f>IFERROR(__xludf.DUMMYFUNCTION("""COMPUTED_VALUE"""),"Proficient")</f>
        <v>Proficient</v>
      </c>
      <c r="K444" s="174" t="str">
        <f>IFERROR(__xludf.DUMMYFUNCTION("""COMPUTED_VALUE"""),"Unlisted")</f>
        <v>Unlisted</v>
      </c>
      <c r="L444" s="174" t="str">
        <f>IFERROR(__xludf.DUMMYFUNCTION("""COMPUTED_VALUE"""),"Unlisted")</f>
        <v>Unlisted</v>
      </c>
      <c r="M444" s="174" t="str">
        <f>IFERROR(__xludf.DUMMYFUNCTION("""COMPUTED_VALUE"""),"Unlisted")</f>
        <v>Unlisted</v>
      </c>
      <c r="N444" s="174" t="str">
        <f>IFERROR(__xludf.DUMMYFUNCTION("""COMPUTED_VALUE"""),"Unlisted")</f>
        <v>Unlisted</v>
      </c>
      <c r="O444" s="174" t="str">
        <f>IFERROR(__xludf.DUMMYFUNCTION("""COMPUTED_VALUE"""),"Unlisted")</f>
        <v>Unlisted</v>
      </c>
      <c r="P444" s="174" t="str">
        <f>IFERROR(__xludf.DUMMYFUNCTION("""COMPUTED_VALUE"""),"Unlisted")</f>
        <v>Unlisted</v>
      </c>
      <c r="Q444" s="174" t="str">
        <f>IFERROR(__xludf.DUMMYFUNCTION("""COMPUTED_VALUE"""),"Unlisted")</f>
        <v>Unlisted</v>
      </c>
      <c r="R444" s="174" t="str">
        <f>IFERROR(__xludf.DUMMYFUNCTION("""COMPUTED_VALUE"""),"Unlisted")</f>
        <v>Unlisted</v>
      </c>
    </row>
    <row r="445">
      <c r="A445" s="255" t="str">
        <f>IFERROR(__xludf.DUMMYFUNCTION("""COMPUTED_VALUE"""),"Vanillite")</f>
        <v>Vanillite</v>
      </c>
      <c r="B445" s="174" t="str">
        <f>IFERROR(__xludf.DUMMYFUNCTION("""COMPUTED_VALUE"""),"Unlisted")</f>
        <v>Unlisted</v>
      </c>
      <c r="C445" s="174" t="str">
        <f>IFERROR(__xludf.DUMMYFUNCTION("""COMPUTED_VALUE"""),"Unlisted")</f>
        <v>Unlisted</v>
      </c>
      <c r="D445" s="174" t="str">
        <f>IFERROR(__xludf.DUMMYFUNCTION("""COMPUTED_VALUE"""),"Unlisted")</f>
        <v>Unlisted</v>
      </c>
      <c r="E445" s="174" t="str">
        <f>IFERROR(__xludf.DUMMYFUNCTION("""COMPUTED_VALUE"""),"Unlisted")</f>
        <v>Unlisted</v>
      </c>
      <c r="F445" s="174" t="str">
        <f>IFERROR(__xludf.DUMMYFUNCTION("""COMPUTED_VALUE"""),"Unlisted")</f>
        <v>Unlisted</v>
      </c>
      <c r="G445" s="174" t="str">
        <f>IFERROR(__xludf.DUMMYFUNCTION("""COMPUTED_VALUE"""),"Proficient")</f>
        <v>Proficient</v>
      </c>
      <c r="H445" s="174" t="str">
        <f>IFERROR(__xludf.DUMMYFUNCTION("""COMPUTED_VALUE"""),"Unlisted")</f>
        <v>Unlisted</v>
      </c>
      <c r="I445" s="174" t="str">
        <f>IFERROR(__xludf.DUMMYFUNCTION("""COMPUTED_VALUE"""),"Unlisted")</f>
        <v>Unlisted</v>
      </c>
      <c r="J445" s="174" t="str">
        <f>IFERROR(__xludf.DUMMYFUNCTION("""COMPUTED_VALUE"""),"Unlisted")</f>
        <v>Unlisted</v>
      </c>
      <c r="K445" s="174" t="str">
        <f>IFERROR(__xludf.DUMMYFUNCTION("""COMPUTED_VALUE"""),"Unlisted")</f>
        <v>Unlisted</v>
      </c>
      <c r="L445" s="174" t="str">
        <f>IFERROR(__xludf.DUMMYFUNCTION("""COMPUTED_VALUE"""),"Unlisted")</f>
        <v>Unlisted</v>
      </c>
      <c r="M445" s="174" t="str">
        <f>IFERROR(__xludf.DUMMYFUNCTION("""COMPUTED_VALUE"""),"Unlisted")</f>
        <v>Unlisted</v>
      </c>
      <c r="N445" s="174" t="str">
        <f>IFERROR(__xludf.DUMMYFUNCTION("""COMPUTED_VALUE"""),"Unlisted")</f>
        <v>Unlisted</v>
      </c>
      <c r="O445" s="174" t="str">
        <f>IFERROR(__xludf.DUMMYFUNCTION("""COMPUTED_VALUE"""),"Unlisted")</f>
        <v>Unlisted</v>
      </c>
      <c r="P445" s="174" t="str">
        <f>IFERROR(__xludf.DUMMYFUNCTION("""COMPUTED_VALUE"""),"Unlisted")</f>
        <v>Unlisted</v>
      </c>
      <c r="Q445" s="174" t="str">
        <f>IFERROR(__xludf.DUMMYFUNCTION("""COMPUTED_VALUE"""),"Unlisted")</f>
        <v>Unlisted</v>
      </c>
      <c r="R445" s="174" t="str">
        <f>IFERROR(__xludf.DUMMYFUNCTION("""COMPUTED_VALUE"""),"Unlisted")</f>
        <v>Unlisted</v>
      </c>
    </row>
    <row r="446">
      <c r="A446" s="255" t="str">
        <f>IFERROR(__xludf.DUMMYFUNCTION("""COMPUTED_VALUE"""),"Vanillish")</f>
        <v>Vanillish</v>
      </c>
      <c r="B446" s="174" t="str">
        <f>IFERROR(__xludf.DUMMYFUNCTION("""COMPUTED_VALUE"""),"Unlisted")</f>
        <v>Unlisted</v>
      </c>
      <c r="C446" s="174" t="str">
        <f>IFERROR(__xludf.DUMMYFUNCTION("""COMPUTED_VALUE"""),"Unlisted")</f>
        <v>Unlisted</v>
      </c>
      <c r="D446" s="174" t="str">
        <f>IFERROR(__xludf.DUMMYFUNCTION("""COMPUTED_VALUE"""),"Unlisted")</f>
        <v>Unlisted</v>
      </c>
      <c r="E446" s="174" t="str">
        <f>IFERROR(__xludf.DUMMYFUNCTION("""COMPUTED_VALUE"""),"Unlisted")</f>
        <v>Unlisted</v>
      </c>
      <c r="F446" s="174" t="str">
        <f>IFERROR(__xludf.DUMMYFUNCTION("""COMPUTED_VALUE"""),"Unlisted")</f>
        <v>Unlisted</v>
      </c>
      <c r="G446" s="174" t="str">
        <f>IFERROR(__xludf.DUMMYFUNCTION("""COMPUTED_VALUE"""),"Proficient")</f>
        <v>Proficient</v>
      </c>
      <c r="H446" s="174" t="str">
        <f>IFERROR(__xludf.DUMMYFUNCTION("""COMPUTED_VALUE"""),"Unlisted")</f>
        <v>Unlisted</v>
      </c>
      <c r="I446" s="174" t="str">
        <f>IFERROR(__xludf.DUMMYFUNCTION("""COMPUTED_VALUE"""),"Unlisted")</f>
        <v>Unlisted</v>
      </c>
      <c r="J446" s="174" t="str">
        <f>IFERROR(__xludf.DUMMYFUNCTION("""COMPUTED_VALUE"""),"Unlisted")</f>
        <v>Unlisted</v>
      </c>
      <c r="K446" s="174" t="str">
        <f>IFERROR(__xludf.DUMMYFUNCTION("""COMPUTED_VALUE"""),"Unlisted")</f>
        <v>Unlisted</v>
      </c>
      <c r="L446" s="174" t="str">
        <f>IFERROR(__xludf.DUMMYFUNCTION("""COMPUTED_VALUE"""),"Unlisted")</f>
        <v>Unlisted</v>
      </c>
      <c r="M446" s="174" t="str">
        <f>IFERROR(__xludf.DUMMYFUNCTION("""COMPUTED_VALUE"""),"Unlisted")</f>
        <v>Unlisted</v>
      </c>
      <c r="N446" s="174" t="str">
        <f>IFERROR(__xludf.DUMMYFUNCTION("""COMPUTED_VALUE"""),"Unlisted")</f>
        <v>Unlisted</v>
      </c>
      <c r="O446" s="174" t="str">
        <f>IFERROR(__xludf.DUMMYFUNCTION("""COMPUTED_VALUE"""),"Unlisted")</f>
        <v>Unlisted</v>
      </c>
      <c r="P446" s="174" t="str">
        <f>IFERROR(__xludf.DUMMYFUNCTION("""COMPUTED_VALUE"""),"Unlisted")</f>
        <v>Unlisted</v>
      </c>
      <c r="Q446" s="174" t="str">
        <f>IFERROR(__xludf.DUMMYFUNCTION("""COMPUTED_VALUE"""),"Unlisted")</f>
        <v>Unlisted</v>
      </c>
      <c r="R446" s="174" t="str">
        <f>IFERROR(__xludf.DUMMYFUNCTION("""COMPUTED_VALUE"""),"Unlisted")</f>
        <v>Unlisted</v>
      </c>
    </row>
    <row r="447">
      <c r="A447" s="255" t="str">
        <f>IFERROR(__xludf.DUMMYFUNCTION("""COMPUTED_VALUE"""),"Vanilluxe")</f>
        <v>Vanilluxe</v>
      </c>
      <c r="B447" s="174" t="str">
        <f>IFERROR(__xludf.DUMMYFUNCTION("""COMPUTED_VALUE"""),"Unlisted")</f>
        <v>Unlisted</v>
      </c>
      <c r="C447" s="174" t="str">
        <f>IFERROR(__xludf.DUMMYFUNCTION("""COMPUTED_VALUE"""),"Unlisted")</f>
        <v>Unlisted</v>
      </c>
      <c r="D447" s="174" t="str">
        <f>IFERROR(__xludf.DUMMYFUNCTION("""COMPUTED_VALUE"""),"Unlisted")</f>
        <v>Unlisted</v>
      </c>
      <c r="E447" s="174" t="str">
        <f>IFERROR(__xludf.DUMMYFUNCTION("""COMPUTED_VALUE"""),"Unlisted")</f>
        <v>Unlisted</v>
      </c>
      <c r="F447" s="174" t="str">
        <f>IFERROR(__xludf.DUMMYFUNCTION("""COMPUTED_VALUE"""),"Unlisted")</f>
        <v>Unlisted</v>
      </c>
      <c r="G447" s="174" t="str">
        <f>IFERROR(__xludf.DUMMYFUNCTION("""COMPUTED_VALUE"""),"Proficient")</f>
        <v>Proficient</v>
      </c>
      <c r="H447" s="174" t="str">
        <f>IFERROR(__xludf.DUMMYFUNCTION("""COMPUTED_VALUE"""),"Unlisted")</f>
        <v>Unlisted</v>
      </c>
      <c r="I447" s="174" t="str">
        <f>IFERROR(__xludf.DUMMYFUNCTION("""COMPUTED_VALUE"""),"Unlisted")</f>
        <v>Unlisted</v>
      </c>
      <c r="J447" s="174" t="str">
        <f>IFERROR(__xludf.DUMMYFUNCTION("""COMPUTED_VALUE"""),"Unlisted")</f>
        <v>Unlisted</v>
      </c>
      <c r="K447" s="174" t="str">
        <f>IFERROR(__xludf.DUMMYFUNCTION("""COMPUTED_VALUE"""),"Unlisted")</f>
        <v>Unlisted</v>
      </c>
      <c r="L447" s="174" t="str">
        <f>IFERROR(__xludf.DUMMYFUNCTION("""COMPUTED_VALUE"""),"Unlisted")</f>
        <v>Unlisted</v>
      </c>
      <c r="M447" s="174" t="str">
        <f>IFERROR(__xludf.DUMMYFUNCTION("""COMPUTED_VALUE"""),"Unlisted")</f>
        <v>Unlisted</v>
      </c>
      <c r="N447" s="174" t="str">
        <f>IFERROR(__xludf.DUMMYFUNCTION("""COMPUTED_VALUE"""),"Unlisted")</f>
        <v>Unlisted</v>
      </c>
      <c r="O447" s="174" t="str">
        <f>IFERROR(__xludf.DUMMYFUNCTION("""COMPUTED_VALUE"""),"Unlisted")</f>
        <v>Unlisted</v>
      </c>
      <c r="P447" s="174" t="str">
        <f>IFERROR(__xludf.DUMMYFUNCTION("""COMPUTED_VALUE"""),"Unlisted")</f>
        <v>Unlisted</v>
      </c>
      <c r="Q447" s="174" t="str">
        <f>IFERROR(__xludf.DUMMYFUNCTION("""COMPUTED_VALUE"""),"Unlisted")</f>
        <v>Unlisted</v>
      </c>
      <c r="R447" s="174" t="str">
        <f>IFERROR(__xludf.DUMMYFUNCTION("""COMPUTED_VALUE"""),"Unlisted")</f>
        <v>Unlisted</v>
      </c>
    </row>
    <row r="448">
      <c r="A448" s="255" t="str">
        <f>IFERROR(__xludf.DUMMYFUNCTION("""COMPUTED_VALUE"""),"Pidgey")</f>
        <v>Pidgey</v>
      </c>
      <c r="B448" s="174" t="str">
        <f>IFERROR(__xludf.DUMMYFUNCTION("""COMPUTED_VALUE"""),"Proficient")</f>
        <v>Proficient</v>
      </c>
      <c r="C448" s="174" t="str">
        <f>IFERROR(__xludf.DUMMYFUNCTION("""COMPUTED_VALUE"""),"Inept")</f>
        <v>Inept</v>
      </c>
      <c r="D448" s="174" t="str">
        <f>IFERROR(__xludf.DUMMYFUNCTION("""COMPUTED_VALUE"""),"Unlisted")</f>
        <v>Unlisted</v>
      </c>
      <c r="E448" s="174" t="str">
        <f>IFERROR(__xludf.DUMMYFUNCTION("""COMPUTED_VALUE"""),"Unlisted")</f>
        <v>Unlisted</v>
      </c>
      <c r="F448" s="174" t="str">
        <f>IFERROR(__xludf.DUMMYFUNCTION("""COMPUTED_VALUE"""),"Unlisted")</f>
        <v>Unlisted</v>
      </c>
      <c r="G448" s="174" t="str">
        <f>IFERROR(__xludf.DUMMYFUNCTION("""COMPUTED_VALUE"""),"Unlisted")</f>
        <v>Unlisted</v>
      </c>
      <c r="H448" s="174" t="str">
        <f>IFERROR(__xludf.DUMMYFUNCTION("""COMPUTED_VALUE"""),"Unlisted")</f>
        <v>Unlisted</v>
      </c>
      <c r="I448" s="174" t="str">
        <f>IFERROR(__xludf.DUMMYFUNCTION("""COMPUTED_VALUE"""),"Unlisted")</f>
        <v>Unlisted</v>
      </c>
      <c r="J448" s="174" t="str">
        <f>IFERROR(__xludf.DUMMYFUNCTION("""COMPUTED_VALUE"""),"Unlisted")</f>
        <v>Unlisted</v>
      </c>
      <c r="K448" s="174" t="str">
        <f>IFERROR(__xludf.DUMMYFUNCTION("""COMPUTED_VALUE"""),"Mastered")</f>
        <v>Mastered</v>
      </c>
      <c r="L448" s="174" t="str">
        <f>IFERROR(__xludf.DUMMYFUNCTION("""COMPUTED_VALUE"""),"Unlisted")</f>
        <v>Unlisted</v>
      </c>
      <c r="M448" s="174" t="str">
        <f>IFERROR(__xludf.DUMMYFUNCTION("""COMPUTED_VALUE"""),"Unlisted")</f>
        <v>Unlisted</v>
      </c>
      <c r="N448" s="174" t="str">
        <f>IFERROR(__xludf.DUMMYFUNCTION("""COMPUTED_VALUE"""),"Unlisted")</f>
        <v>Unlisted</v>
      </c>
      <c r="O448" s="174" t="str">
        <f>IFERROR(__xludf.DUMMYFUNCTION("""COMPUTED_VALUE"""),"Unlisted")</f>
        <v>Unlisted</v>
      </c>
      <c r="P448" s="174" t="str">
        <f>IFERROR(__xludf.DUMMYFUNCTION("""COMPUTED_VALUE"""),"Unlisted")</f>
        <v>Unlisted</v>
      </c>
      <c r="Q448" s="174" t="str">
        <f>IFERROR(__xludf.DUMMYFUNCTION("""COMPUTED_VALUE"""),"Unlisted")</f>
        <v>Unlisted</v>
      </c>
      <c r="R448" s="174" t="str">
        <f>IFERROR(__xludf.DUMMYFUNCTION("""COMPUTED_VALUE"""),"Unlisted")</f>
        <v>Unlisted</v>
      </c>
    </row>
    <row r="449">
      <c r="A449" s="255" t="str">
        <f>IFERROR(__xludf.DUMMYFUNCTION("""COMPUTED_VALUE"""),"Pidgeotto")</f>
        <v>Pidgeotto</v>
      </c>
      <c r="B449" s="174" t="str">
        <f>IFERROR(__xludf.DUMMYFUNCTION("""COMPUTED_VALUE"""),"Proficient")</f>
        <v>Proficient</v>
      </c>
      <c r="C449" s="174" t="str">
        <f>IFERROR(__xludf.DUMMYFUNCTION("""COMPUTED_VALUE"""),"Unlisted")</f>
        <v>Unlisted</v>
      </c>
      <c r="D449" s="174" t="str">
        <f>IFERROR(__xludf.DUMMYFUNCTION("""COMPUTED_VALUE"""),"Unlisted")</f>
        <v>Unlisted</v>
      </c>
      <c r="E449" s="174" t="str">
        <f>IFERROR(__xludf.DUMMYFUNCTION("""COMPUTED_VALUE"""),"Proficient")</f>
        <v>Proficient</v>
      </c>
      <c r="F449" s="174" t="str">
        <f>IFERROR(__xludf.DUMMYFUNCTION("""COMPUTED_VALUE"""),"Unlisted")</f>
        <v>Unlisted</v>
      </c>
      <c r="G449" s="174" t="str">
        <f>IFERROR(__xludf.DUMMYFUNCTION("""COMPUTED_VALUE"""),"Unlisted")</f>
        <v>Unlisted</v>
      </c>
      <c r="H449" s="174" t="str">
        <f>IFERROR(__xludf.DUMMYFUNCTION("""COMPUTED_VALUE"""),"Unlisted")</f>
        <v>Unlisted</v>
      </c>
      <c r="I449" s="174" t="str">
        <f>IFERROR(__xludf.DUMMYFUNCTION("""COMPUTED_VALUE"""),"Unlisted")</f>
        <v>Unlisted</v>
      </c>
      <c r="J449" s="174" t="str">
        <f>IFERROR(__xludf.DUMMYFUNCTION("""COMPUTED_VALUE"""),"Unlisted")</f>
        <v>Unlisted</v>
      </c>
      <c r="K449" s="174" t="str">
        <f>IFERROR(__xludf.DUMMYFUNCTION("""COMPUTED_VALUE"""),"Mastered")</f>
        <v>Mastered</v>
      </c>
      <c r="L449" s="174" t="str">
        <f>IFERROR(__xludf.DUMMYFUNCTION("""COMPUTED_VALUE"""),"Unlisted")</f>
        <v>Unlisted</v>
      </c>
      <c r="M449" s="174" t="str">
        <f>IFERROR(__xludf.DUMMYFUNCTION("""COMPUTED_VALUE"""),"Unlisted")</f>
        <v>Unlisted</v>
      </c>
      <c r="N449" s="174" t="str">
        <f>IFERROR(__xludf.DUMMYFUNCTION("""COMPUTED_VALUE"""),"Unlisted")</f>
        <v>Unlisted</v>
      </c>
      <c r="O449" s="174" t="str">
        <f>IFERROR(__xludf.DUMMYFUNCTION("""COMPUTED_VALUE"""),"Unlisted")</f>
        <v>Unlisted</v>
      </c>
      <c r="P449" s="174" t="str">
        <f>IFERROR(__xludf.DUMMYFUNCTION("""COMPUTED_VALUE"""),"Unlisted")</f>
        <v>Unlisted</v>
      </c>
      <c r="Q449" s="174" t="str">
        <f>IFERROR(__xludf.DUMMYFUNCTION("""COMPUTED_VALUE"""),"Unlisted")</f>
        <v>Unlisted</v>
      </c>
      <c r="R449" s="174" t="str">
        <f>IFERROR(__xludf.DUMMYFUNCTION("""COMPUTED_VALUE"""),"Unlisted")</f>
        <v>Unlisted</v>
      </c>
    </row>
    <row r="450">
      <c r="A450" s="255" t="str">
        <f>IFERROR(__xludf.DUMMYFUNCTION("""COMPUTED_VALUE"""),"Pidgeot")</f>
        <v>Pidgeot</v>
      </c>
      <c r="B450" s="174" t="str">
        <f>IFERROR(__xludf.DUMMYFUNCTION("""COMPUTED_VALUE"""),"Proficient")</f>
        <v>Proficient</v>
      </c>
      <c r="C450" s="174" t="str">
        <f>IFERROR(__xludf.DUMMYFUNCTION("""COMPUTED_VALUE"""),"Unlisted")</f>
        <v>Unlisted</v>
      </c>
      <c r="D450" s="174" t="str">
        <f>IFERROR(__xludf.DUMMYFUNCTION("""COMPUTED_VALUE"""),"Unlisted")</f>
        <v>Unlisted</v>
      </c>
      <c r="E450" s="174" t="str">
        <f>IFERROR(__xludf.DUMMYFUNCTION("""COMPUTED_VALUE"""),"Proficient")</f>
        <v>Proficient</v>
      </c>
      <c r="F450" s="174" t="str">
        <f>IFERROR(__xludf.DUMMYFUNCTION("""COMPUTED_VALUE"""),"Unlisted")</f>
        <v>Unlisted</v>
      </c>
      <c r="G450" s="174" t="str">
        <f>IFERROR(__xludf.DUMMYFUNCTION("""COMPUTED_VALUE"""),"Unlisted")</f>
        <v>Unlisted</v>
      </c>
      <c r="H450" s="174" t="str">
        <f>IFERROR(__xludf.DUMMYFUNCTION("""COMPUTED_VALUE"""),"Unlisted")</f>
        <v>Unlisted</v>
      </c>
      <c r="I450" s="174" t="str">
        <f>IFERROR(__xludf.DUMMYFUNCTION("""COMPUTED_VALUE"""),"Unlisted")</f>
        <v>Unlisted</v>
      </c>
      <c r="J450" s="174" t="str">
        <f>IFERROR(__xludf.DUMMYFUNCTION("""COMPUTED_VALUE"""),"Unlisted")</f>
        <v>Unlisted</v>
      </c>
      <c r="K450" s="174" t="str">
        <f>IFERROR(__xludf.DUMMYFUNCTION("""COMPUTED_VALUE"""),"Mastered")</f>
        <v>Mastered</v>
      </c>
      <c r="L450" s="174" t="str">
        <f>IFERROR(__xludf.DUMMYFUNCTION("""COMPUTED_VALUE"""),"Unlisted")</f>
        <v>Unlisted</v>
      </c>
      <c r="M450" s="174" t="str">
        <f>IFERROR(__xludf.DUMMYFUNCTION("""COMPUTED_VALUE"""),"Unlisted")</f>
        <v>Unlisted</v>
      </c>
      <c r="N450" s="174" t="str">
        <f>IFERROR(__xludf.DUMMYFUNCTION("""COMPUTED_VALUE"""),"Unlisted")</f>
        <v>Unlisted</v>
      </c>
      <c r="O450" s="174" t="str">
        <f>IFERROR(__xludf.DUMMYFUNCTION("""COMPUTED_VALUE"""),"Unlisted")</f>
        <v>Unlisted</v>
      </c>
      <c r="P450" s="174" t="str">
        <f>IFERROR(__xludf.DUMMYFUNCTION("""COMPUTED_VALUE"""),"Unlisted")</f>
        <v>Unlisted</v>
      </c>
      <c r="Q450" s="174" t="str">
        <f>IFERROR(__xludf.DUMMYFUNCTION("""COMPUTED_VALUE"""),"Unlisted")</f>
        <v>Unlisted</v>
      </c>
      <c r="R450" s="174" t="str">
        <f>IFERROR(__xludf.DUMMYFUNCTION("""COMPUTED_VALUE"""),"Unlisted")</f>
        <v>Unlisted</v>
      </c>
    </row>
    <row r="451">
      <c r="A451" s="255" t="str">
        <f>IFERROR(__xludf.DUMMYFUNCTION("""COMPUTED_VALUE"""),"Igglybuff")</f>
        <v>Igglybuff</v>
      </c>
      <c r="B451" s="174" t="str">
        <f>IFERROR(__xludf.DUMMYFUNCTION("""COMPUTED_VALUE"""),"Proficient")</f>
        <v>Proficient</v>
      </c>
      <c r="C451" s="174" t="str">
        <f>IFERROR(__xludf.DUMMYFUNCTION("""COMPUTED_VALUE"""),"Unlisted")</f>
        <v>Unlisted</v>
      </c>
      <c r="D451" s="174" t="str">
        <f>IFERROR(__xludf.DUMMYFUNCTION("""COMPUTED_VALUE"""),"Proficient")</f>
        <v>Proficient</v>
      </c>
      <c r="E451" s="174" t="str">
        <f>IFERROR(__xludf.DUMMYFUNCTION("""COMPUTED_VALUE"""),"Unlisted")</f>
        <v>Unlisted</v>
      </c>
      <c r="F451" s="174" t="str">
        <f>IFERROR(__xludf.DUMMYFUNCTION("""COMPUTED_VALUE"""),"Unlisted")</f>
        <v>Unlisted</v>
      </c>
      <c r="G451" s="174" t="str">
        <f>IFERROR(__xludf.DUMMYFUNCTION("""COMPUTED_VALUE"""),"Unlisted")</f>
        <v>Unlisted</v>
      </c>
      <c r="H451" s="174" t="str">
        <f>IFERROR(__xludf.DUMMYFUNCTION("""COMPUTED_VALUE"""),"Unlisted")</f>
        <v>Unlisted</v>
      </c>
      <c r="I451" s="174" t="str">
        <f>IFERROR(__xludf.DUMMYFUNCTION("""COMPUTED_VALUE"""),"Unlisted")</f>
        <v>Unlisted</v>
      </c>
      <c r="J451" s="174" t="str">
        <f>IFERROR(__xludf.DUMMYFUNCTION("""COMPUTED_VALUE"""),"Unlisted")</f>
        <v>Unlisted</v>
      </c>
      <c r="K451" s="174" t="str">
        <f>IFERROR(__xludf.DUMMYFUNCTION("""COMPUTED_VALUE"""),"Unlisted")</f>
        <v>Unlisted</v>
      </c>
      <c r="L451" s="174" t="str">
        <f>IFERROR(__xludf.DUMMYFUNCTION("""COMPUTED_VALUE"""),"Unlisted")</f>
        <v>Unlisted</v>
      </c>
      <c r="M451" s="174" t="str">
        <f>IFERROR(__xludf.DUMMYFUNCTION("""COMPUTED_VALUE"""),"Unlisted")</f>
        <v>Unlisted</v>
      </c>
      <c r="N451" s="174" t="str">
        <f>IFERROR(__xludf.DUMMYFUNCTION("""COMPUTED_VALUE"""),"Unlisted")</f>
        <v>Unlisted</v>
      </c>
      <c r="O451" s="174" t="str">
        <f>IFERROR(__xludf.DUMMYFUNCTION("""COMPUTED_VALUE"""),"Unlisted")</f>
        <v>Unlisted</v>
      </c>
      <c r="P451" s="174" t="str">
        <f>IFERROR(__xludf.DUMMYFUNCTION("""COMPUTED_VALUE"""),"Unlisted")</f>
        <v>Unlisted</v>
      </c>
      <c r="Q451" s="174" t="str">
        <f>IFERROR(__xludf.DUMMYFUNCTION("""COMPUTED_VALUE"""),"Unlisted")</f>
        <v>Unlisted</v>
      </c>
      <c r="R451" s="174" t="str">
        <f>IFERROR(__xludf.DUMMYFUNCTION("""COMPUTED_VALUE"""),"Unlisted")</f>
        <v>Unlisted</v>
      </c>
    </row>
    <row r="452">
      <c r="A452" s="255" t="str">
        <f>IFERROR(__xludf.DUMMYFUNCTION("""COMPUTED_VALUE"""),"Jigglypuff")</f>
        <v>Jigglypuff</v>
      </c>
      <c r="B452" s="174" t="str">
        <f>IFERROR(__xludf.DUMMYFUNCTION("""COMPUTED_VALUE"""),"Proficient")</f>
        <v>Proficient</v>
      </c>
      <c r="C452" s="174" t="str">
        <f>IFERROR(__xludf.DUMMYFUNCTION("""COMPUTED_VALUE"""),"Unlisted")</f>
        <v>Unlisted</v>
      </c>
      <c r="D452" s="174" t="str">
        <f>IFERROR(__xludf.DUMMYFUNCTION("""COMPUTED_VALUE"""),"Proficient")</f>
        <v>Proficient</v>
      </c>
      <c r="E452" s="174" t="str">
        <f>IFERROR(__xludf.DUMMYFUNCTION("""COMPUTED_VALUE"""),"Unlisted")</f>
        <v>Unlisted</v>
      </c>
      <c r="F452" s="174" t="str">
        <f>IFERROR(__xludf.DUMMYFUNCTION("""COMPUTED_VALUE"""),"Unlisted")</f>
        <v>Unlisted</v>
      </c>
      <c r="G452" s="174" t="str">
        <f>IFERROR(__xludf.DUMMYFUNCTION("""COMPUTED_VALUE"""),"Unlisted")</f>
        <v>Unlisted</v>
      </c>
      <c r="H452" s="174" t="str">
        <f>IFERROR(__xludf.DUMMYFUNCTION("""COMPUTED_VALUE"""),"Unlisted")</f>
        <v>Unlisted</v>
      </c>
      <c r="I452" s="174" t="str">
        <f>IFERROR(__xludf.DUMMYFUNCTION("""COMPUTED_VALUE"""),"Unlisted")</f>
        <v>Unlisted</v>
      </c>
      <c r="J452" s="174" t="str">
        <f>IFERROR(__xludf.DUMMYFUNCTION("""COMPUTED_VALUE"""),"Unlisted")</f>
        <v>Unlisted</v>
      </c>
      <c r="K452" s="174" t="str">
        <f>IFERROR(__xludf.DUMMYFUNCTION("""COMPUTED_VALUE"""),"Unlisted")</f>
        <v>Unlisted</v>
      </c>
      <c r="L452" s="174" t="str">
        <f>IFERROR(__xludf.DUMMYFUNCTION("""COMPUTED_VALUE"""),"Unlisted")</f>
        <v>Unlisted</v>
      </c>
      <c r="M452" s="174" t="str">
        <f>IFERROR(__xludf.DUMMYFUNCTION("""COMPUTED_VALUE"""),"Unlisted")</f>
        <v>Unlisted</v>
      </c>
      <c r="N452" s="174" t="str">
        <f>IFERROR(__xludf.DUMMYFUNCTION("""COMPUTED_VALUE"""),"Unlisted")</f>
        <v>Unlisted</v>
      </c>
      <c r="O452" s="174" t="str">
        <f>IFERROR(__xludf.DUMMYFUNCTION("""COMPUTED_VALUE"""),"Unlisted")</f>
        <v>Unlisted</v>
      </c>
      <c r="P452" s="174" t="str">
        <f>IFERROR(__xludf.DUMMYFUNCTION("""COMPUTED_VALUE"""),"Unlisted")</f>
        <v>Unlisted</v>
      </c>
      <c r="Q452" s="174" t="str">
        <f>IFERROR(__xludf.DUMMYFUNCTION("""COMPUTED_VALUE"""),"Unlisted")</f>
        <v>Unlisted</v>
      </c>
      <c r="R452" s="174" t="str">
        <f>IFERROR(__xludf.DUMMYFUNCTION("""COMPUTED_VALUE"""),"Unlisted")</f>
        <v>Unlisted</v>
      </c>
    </row>
    <row r="453">
      <c r="A453" s="255" t="str">
        <f>IFERROR(__xludf.DUMMYFUNCTION("""COMPUTED_VALUE"""),"Wigglytuff")</f>
        <v>Wigglytuff</v>
      </c>
      <c r="B453" s="174" t="str">
        <f>IFERROR(__xludf.DUMMYFUNCTION("""COMPUTED_VALUE"""),"Proficient")</f>
        <v>Proficient</v>
      </c>
      <c r="C453" s="174" t="str">
        <f>IFERROR(__xludf.DUMMYFUNCTION("""COMPUTED_VALUE"""),"Unlisted")</f>
        <v>Unlisted</v>
      </c>
      <c r="D453" s="174" t="str">
        <f>IFERROR(__xludf.DUMMYFUNCTION("""COMPUTED_VALUE"""),"Proficient")</f>
        <v>Proficient</v>
      </c>
      <c r="E453" s="174" t="str">
        <f>IFERROR(__xludf.DUMMYFUNCTION("""COMPUTED_VALUE"""),"Unlisted")</f>
        <v>Unlisted</v>
      </c>
      <c r="F453" s="174" t="str">
        <f>IFERROR(__xludf.DUMMYFUNCTION("""COMPUTED_VALUE"""),"Unlisted")</f>
        <v>Unlisted</v>
      </c>
      <c r="G453" s="174" t="str">
        <f>IFERROR(__xludf.DUMMYFUNCTION("""COMPUTED_VALUE"""),"Unlisted")</f>
        <v>Unlisted</v>
      </c>
      <c r="H453" s="174" t="str">
        <f>IFERROR(__xludf.DUMMYFUNCTION("""COMPUTED_VALUE"""),"Unlisted")</f>
        <v>Unlisted</v>
      </c>
      <c r="I453" s="174" t="str">
        <f>IFERROR(__xludf.DUMMYFUNCTION("""COMPUTED_VALUE"""),"Unlisted")</f>
        <v>Unlisted</v>
      </c>
      <c r="J453" s="174" t="str">
        <f>IFERROR(__xludf.DUMMYFUNCTION("""COMPUTED_VALUE"""),"Unlisted")</f>
        <v>Unlisted</v>
      </c>
      <c r="K453" s="174" t="str">
        <f>IFERROR(__xludf.DUMMYFUNCTION("""COMPUTED_VALUE"""),"Unlisted")</f>
        <v>Unlisted</v>
      </c>
      <c r="L453" s="174" t="str">
        <f>IFERROR(__xludf.DUMMYFUNCTION("""COMPUTED_VALUE"""),"Unlisted")</f>
        <v>Unlisted</v>
      </c>
      <c r="M453" s="174" t="str">
        <f>IFERROR(__xludf.DUMMYFUNCTION("""COMPUTED_VALUE"""),"Unlisted")</f>
        <v>Unlisted</v>
      </c>
      <c r="N453" s="174" t="str">
        <f>IFERROR(__xludf.DUMMYFUNCTION("""COMPUTED_VALUE"""),"Unlisted")</f>
        <v>Unlisted</v>
      </c>
      <c r="O453" s="174" t="str">
        <f>IFERROR(__xludf.DUMMYFUNCTION("""COMPUTED_VALUE"""),"Unlisted")</f>
        <v>Unlisted</v>
      </c>
      <c r="P453" s="174" t="str">
        <f>IFERROR(__xludf.DUMMYFUNCTION("""COMPUTED_VALUE"""),"Unlisted")</f>
        <v>Unlisted</v>
      </c>
      <c r="Q453" s="174" t="str">
        <f>IFERROR(__xludf.DUMMYFUNCTION("""COMPUTED_VALUE"""),"Unlisted")</f>
        <v>Unlisted</v>
      </c>
      <c r="R453" s="174" t="str">
        <f>IFERROR(__xludf.DUMMYFUNCTION("""COMPUTED_VALUE"""),"Unlisted")</f>
        <v>Unlisted</v>
      </c>
    </row>
    <row r="454">
      <c r="A454" s="255" t="str">
        <f>IFERROR(__xludf.DUMMYFUNCTION("""COMPUTED_VALUE"""),"Happiny")</f>
        <v>Happiny</v>
      </c>
      <c r="B454" s="174" t="str">
        <f>IFERROR(__xludf.DUMMYFUNCTION("""COMPUTED_VALUE"""),"Unlisted")</f>
        <v>Unlisted</v>
      </c>
      <c r="C454" s="174" t="str">
        <f>IFERROR(__xludf.DUMMYFUNCTION("""COMPUTED_VALUE"""),"Inept")</f>
        <v>Inept</v>
      </c>
      <c r="D454" s="174" t="str">
        <f>IFERROR(__xludf.DUMMYFUNCTION("""COMPUTED_VALUE"""),"Proficient")</f>
        <v>Proficient</v>
      </c>
      <c r="E454" s="174" t="str">
        <f>IFERROR(__xludf.DUMMYFUNCTION("""COMPUTED_VALUE"""),"Unlisted")</f>
        <v>Unlisted</v>
      </c>
      <c r="F454" s="174" t="str">
        <f>IFERROR(__xludf.DUMMYFUNCTION("""COMPUTED_VALUE"""),"Unlisted")</f>
        <v>Unlisted</v>
      </c>
      <c r="G454" s="174" t="str">
        <f>IFERROR(__xludf.DUMMYFUNCTION("""COMPUTED_VALUE"""),"Mastered")</f>
        <v>Mastered</v>
      </c>
      <c r="H454" s="174" t="str">
        <f>IFERROR(__xludf.DUMMYFUNCTION("""COMPUTED_VALUE"""),"Unlisted")</f>
        <v>Unlisted</v>
      </c>
      <c r="I454" s="174" t="str">
        <f>IFERROR(__xludf.DUMMYFUNCTION("""COMPUTED_VALUE"""),"Unlisted")</f>
        <v>Unlisted</v>
      </c>
      <c r="J454" s="174" t="str">
        <f>IFERROR(__xludf.DUMMYFUNCTION("""COMPUTED_VALUE"""),"Proficient")</f>
        <v>Proficient</v>
      </c>
      <c r="K454" s="174" t="str">
        <f>IFERROR(__xludf.DUMMYFUNCTION("""COMPUTED_VALUE"""),"Unlisted")</f>
        <v>Unlisted</v>
      </c>
      <c r="L454" s="174" t="str">
        <f>IFERROR(__xludf.DUMMYFUNCTION("""COMPUTED_VALUE"""),"Unlisted")</f>
        <v>Unlisted</v>
      </c>
      <c r="M454" s="174" t="str">
        <f>IFERROR(__xludf.DUMMYFUNCTION("""COMPUTED_VALUE"""),"Unlisted")</f>
        <v>Unlisted</v>
      </c>
      <c r="N454" s="174" t="str">
        <f>IFERROR(__xludf.DUMMYFUNCTION("""COMPUTED_VALUE"""),"Proficient")</f>
        <v>Proficient</v>
      </c>
      <c r="O454" s="174" t="str">
        <f>IFERROR(__xludf.DUMMYFUNCTION("""COMPUTED_VALUE"""),"Unlisted")</f>
        <v>Unlisted</v>
      </c>
      <c r="P454" s="174" t="str">
        <f>IFERROR(__xludf.DUMMYFUNCTION("""COMPUTED_VALUE"""),"Unlisted")</f>
        <v>Unlisted</v>
      </c>
      <c r="Q454" s="174" t="str">
        <f>IFERROR(__xludf.DUMMYFUNCTION("""COMPUTED_VALUE"""),"Unlisted")</f>
        <v>Unlisted</v>
      </c>
      <c r="R454" s="174" t="str">
        <f>IFERROR(__xludf.DUMMYFUNCTION("""COMPUTED_VALUE"""),"Unlisted")</f>
        <v>Unlisted</v>
      </c>
    </row>
    <row r="455">
      <c r="A455" s="255" t="str">
        <f>IFERROR(__xludf.DUMMYFUNCTION("""COMPUTED_VALUE"""),"Chansey")</f>
        <v>Chansey</v>
      </c>
      <c r="B455" s="174" t="str">
        <f>IFERROR(__xludf.DUMMYFUNCTION("""COMPUTED_VALUE"""),"Unlisted")</f>
        <v>Unlisted</v>
      </c>
      <c r="C455" s="174" t="str">
        <f>IFERROR(__xludf.DUMMYFUNCTION("""COMPUTED_VALUE"""),"Inept")</f>
        <v>Inept</v>
      </c>
      <c r="D455" s="174" t="str">
        <f>IFERROR(__xludf.DUMMYFUNCTION("""COMPUTED_VALUE"""),"Proficient")</f>
        <v>Proficient</v>
      </c>
      <c r="E455" s="174" t="str">
        <f>IFERROR(__xludf.DUMMYFUNCTION("""COMPUTED_VALUE"""),"Unlisted")</f>
        <v>Unlisted</v>
      </c>
      <c r="F455" s="174" t="str">
        <f>IFERROR(__xludf.DUMMYFUNCTION("""COMPUTED_VALUE"""),"Unlisted")</f>
        <v>Unlisted</v>
      </c>
      <c r="G455" s="174" t="str">
        <f>IFERROR(__xludf.DUMMYFUNCTION("""COMPUTED_VALUE"""),"Mastered")</f>
        <v>Mastered</v>
      </c>
      <c r="H455" s="174" t="str">
        <f>IFERROR(__xludf.DUMMYFUNCTION("""COMPUTED_VALUE"""),"Unlisted")</f>
        <v>Unlisted</v>
      </c>
      <c r="I455" s="174" t="str">
        <f>IFERROR(__xludf.DUMMYFUNCTION("""COMPUTED_VALUE"""),"Unlisted")</f>
        <v>Unlisted</v>
      </c>
      <c r="J455" s="174" t="str">
        <f>IFERROR(__xludf.DUMMYFUNCTION("""COMPUTED_VALUE"""),"Proficient")</f>
        <v>Proficient</v>
      </c>
      <c r="K455" s="174" t="str">
        <f>IFERROR(__xludf.DUMMYFUNCTION("""COMPUTED_VALUE"""),"Unlisted")</f>
        <v>Unlisted</v>
      </c>
      <c r="L455" s="174" t="str">
        <f>IFERROR(__xludf.DUMMYFUNCTION("""COMPUTED_VALUE"""),"Unlisted")</f>
        <v>Unlisted</v>
      </c>
      <c r="M455" s="174" t="str">
        <f>IFERROR(__xludf.DUMMYFUNCTION("""COMPUTED_VALUE"""),"Unlisted")</f>
        <v>Unlisted</v>
      </c>
      <c r="N455" s="174" t="str">
        <f>IFERROR(__xludf.DUMMYFUNCTION("""COMPUTED_VALUE"""),"Proficient")</f>
        <v>Proficient</v>
      </c>
      <c r="O455" s="174" t="str">
        <f>IFERROR(__xludf.DUMMYFUNCTION("""COMPUTED_VALUE"""),"Unlisted")</f>
        <v>Unlisted</v>
      </c>
      <c r="P455" s="174" t="str">
        <f>IFERROR(__xludf.DUMMYFUNCTION("""COMPUTED_VALUE"""),"Unlisted")</f>
        <v>Unlisted</v>
      </c>
      <c r="Q455" s="174" t="str">
        <f>IFERROR(__xludf.DUMMYFUNCTION("""COMPUTED_VALUE"""),"Unlisted")</f>
        <v>Unlisted</v>
      </c>
      <c r="R455" s="174" t="str">
        <f>IFERROR(__xludf.DUMMYFUNCTION("""COMPUTED_VALUE"""),"Unlisted")</f>
        <v>Unlisted</v>
      </c>
    </row>
    <row r="456">
      <c r="A456" s="255" t="str">
        <f>IFERROR(__xludf.DUMMYFUNCTION("""COMPUTED_VALUE"""),"Blissey")</f>
        <v>Blissey</v>
      </c>
      <c r="B456" s="174" t="str">
        <f>IFERROR(__xludf.DUMMYFUNCTION("""COMPUTED_VALUE"""),"Unlisted")</f>
        <v>Unlisted</v>
      </c>
      <c r="C456" s="174" t="str">
        <f>IFERROR(__xludf.DUMMYFUNCTION("""COMPUTED_VALUE"""),"Inept")</f>
        <v>Inept</v>
      </c>
      <c r="D456" s="174" t="str">
        <f>IFERROR(__xludf.DUMMYFUNCTION("""COMPUTED_VALUE"""),"Proficient")</f>
        <v>Proficient</v>
      </c>
      <c r="E456" s="174" t="str">
        <f>IFERROR(__xludf.DUMMYFUNCTION("""COMPUTED_VALUE"""),"Unlisted")</f>
        <v>Unlisted</v>
      </c>
      <c r="F456" s="174" t="str">
        <f>IFERROR(__xludf.DUMMYFUNCTION("""COMPUTED_VALUE"""),"Unlisted")</f>
        <v>Unlisted</v>
      </c>
      <c r="G456" s="174" t="str">
        <f>IFERROR(__xludf.DUMMYFUNCTION("""COMPUTED_VALUE"""),"Mastered")</f>
        <v>Mastered</v>
      </c>
      <c r="H456" s="174" t="str">
        <f>IFERROR(__xludf.DUMMYFUNCTION("""COMPUTED_VALUE"""),"Unlisted")</f>
        <v>Unlisted</v>
      </c>
      <c r="I456" s="174" t="str">
        <f>IFERROR(__xludf.DUMMYFUNCTION("""COMPUTED_VALUE"""),"Unlisted")</f>
        <v>Unlisted</v>
      </c>
      <c r="J456" s="174" t="str">
        <f>IFERROR(__xludf.DUMMYFUNCTION("""COMPUTED_VALUE"""),"Proficient")</f>
        <v>Proficient</v>
      </c>
      <c r="K456" s="174" t="str">
        <f>IFERROR(__xludf.DUMMYFUNCTION("""COMPUTED_VALUE"""),"Unlisted")</f>
        <v>Unlisted</v>
      </c>
      <c r="L456" s="174" t="str">
        <f>IFERROR(__xludf.DUMMYFUNCTION("""COMPUTED_VALUE"""),"Unlisted")</f>
        <v>Unlisted</v>
      </c>
      <c r="M456" s="174" t="str">
        <f>IFERROR(__xludf.DUMMYFUNCTION("""COMPUTED_VALUE"""),"Unlisted")</f>
        <v>Unlisted</v>
      </c>
      <c r="N456" s="174" t="str">
        <f>IFERROR(__xludf.DUMMYFUNCTION("""COMPUTED_VALUE"""),"Proficient")</f>
        <v>Proficient</v>
      </c>
      <c r="O456" s="174" t="str">
        <f>IFERROR(__xludf.DUMMYFUNCTION("""COMPUTED_VALUE"""),"Unlisted")</f>
        <v>Unlisted</v>
      </c>
      <c r="P456" s="174" t="str">
        <f>IFERROR(__xludf.DUMMYFUNCTION("""COMPUTED_VALUE"""),"Unlisted")</f>
        <v>Unlisted</v>
      </c>
      <c r="Q456" s="174" t="str">
        <f>IFERROR(__xludf.DUMMYFUNCTION("""COMPUTED_VALUE"""),"Unlisted")</f>
        <v>Unlisted</v>
      </c>
      <c r="R456" s="174" t="str">
        <f>IFERROR(__xludf.DUMMYFUNCTION("""COMPUTED_VALUE"""),"Unlisted")</f>
        <v>Unlisted</v>
      </c>
    </row>
    <row r="457">
      <c r="A457" s="255" t="str">
        <f>IFERROR(__xludf.DUMMYFUNCTION("""COMPUTED_VALUE"""),"Porygon")</f>
        <v>Porygon</v>
      </c>
      <c r="B457" s="174" t="str">
        <f>IFERROR(__xludf.DUMMYFUNCTION("""COMPUTED_VALUE"""),"Unlisted")</f>
        <v>Unlisted</v>
      </c>
      <c r="C457" s="174" t="str">
        <f>IFERROR(__xludf.DUMMYFUNCTION("""COMPUTED_VALUE"""),"Unlisted")</f>
        <v>Unlisted</v>
      </c>
      <c r="D457" s="174" t="str">
        <f>IFERROR(__xludf.DUMMYFUNCTION("""COMPUTED_VALUE"""),"Unlisted")</f>
        <v>Unlisted</v>
      </c>
      <c r="E457" s="174" t="str">
        <f>IFERROR(__xludf.DUMMYFUNCTION("""COMPUTED_VALUE"""),"Unlisted")</f>
        <v>Unlisted</v>
      </c>
      <c r="F457" s="174" t="str">
        <f>IFERROR(__xludf.DUMMYFUNCTION("""COMPUTED_VALUE"""),"Unlisted")</f>
        <v>Unlisted</v>
      </c>
      <c r="G457" s="174" t="str">
        <f>IFERROR(__xludf.DUMMYFUNCTION("""COMPUTED_VALUE"""),"Mastered")</f>
        <v>Mastered</v>
      </c>
      <c r="H457" s="174" t="str">
        <f>IFERROR(__xludf.DUMMYFUNCTION("""COMPUTED_VALUE"""),"Unlisted")</f>
        <v>Unlisted</v>
      </c>
      <c r="I457" s="174" t="str">
        <f>IFERROR(__xludf.DUMMYFUNCTION("""COMPUTED_VALUE"""),"Unlisted")</f>
        <v>Unlisted</v>
      </c>
      <c r="J457" s="174" t="str">
        <f>IFERROR(__xludf.DUMMYFUNCTION("""COMPUTED_VALUE"""),"Unlisted")</f>
        <v>Unlisted</v>
      </c>
      <c r="K457" s="174" t="str">
        <f>IFERROR(__xludf.DUMMYFUNCTION("""COMPUTED_VALUE"""),"Proficient")</f>
        <v>Proficient</v>
      </c>
      <c r="L457" s="174" t="str">
        <f>IFERROR(__xludf.DUMMYFUNCTION("""COMPUTED_VALUE"""),"Unlisted")</f>
        <v>Unlisted</v>
      </c>
      <c r="M457" s="174" t="str">
        <f>IFERROR(__xludf.DUMMYFUNCTION("""COMPUTED_VALUE"""),"Unlisted")</f>
        <v>Unlisted</v>
      </c>
      <c r="N457" s="174" t="str">
        <f>IFERROR(__xludf.DUMMYFUNCTION("""COMPUTED_VALUE"""),"Unlisted")</f>
        <v>Unlisted</v>
      </c>
      <c r="O457" s="174" t="str">
        <f>IFERROR(__xludf.DUMMYFUNCTION("""COMPUTED_VALUE"""),"Unlisted")</f>
        <v>Unlisted</v>
      </c>
      <c r="P457" s="174" t="str">
        <f>IFERROR(__xludf.DUMMYFUNCTION("""COMPUTED_VALUE"""),"Unlisted")</f>
        <v>Unlisted</v>
      </c>
      <c r="Q457" s="174" t="str">
        <f>IFERROR(__xludf.DUMMYFUNCTION("""COMPUTED_VALUE"""),"Unlisted")</f>
        <v>Unlisted</v>
      </c>
      <c r="R457" s="174" t="str">
        <f>IFERROR(__xludf.DUMMYFUNCTION("""COMPUTED_VALUE"""),"Proficient")</f>
        <v>Proficient</v>
      </c>
    </row>
    <row r="458">
      <c r="A458" s="255" t="str">
        <f>IFERROR(__xludf.DUMMYFUNCTION("""COMPUTED_VALUE"""),"Porygon2")</f>
        <v>Porygon2</v>
      </c>
      <c r="B458" s="174" t="str">
        <f>IFERROR(__xludf.DUMMYFUNCTION("""COMPUTED_VALUE"""),"Unlisted")</f>
        <v>Unlisted</v>
      </c>
      <c r="C458" s="174" t="str">
        <f>IFERROR(__xludf.DUMMYFUNCTION("""COMPUTED_VALUE"""),"Unlisted")</f>
        <v>Unlisted</v>
      </c>
      <c r="D458" s="174" t="str">
        <f>IFERROR(__xludf.DUMMYFUNCTION("""COMPUTED_VALUE"""),"Unlisted")</f>
        <v>Unlisted</v>
      </c>
      <c r="E458" s="174" t="str">
        <f>IFERROR(__xludf.DUMMYFUNCTION("""COMPUTED_VALUE"""),"Unlisted")</f>
        <v>Unlisted</v>
      </c>
      <c r="F458" s="174" t="str">
        <f>IFERROR(__xludf.DUMMYFUNCTION("""COMPUTED_VALUE"""),"Unlisted")</f>
        <v>Unlisted</v>
      </c>
      <c r="G458" s="174" t="str">
        <f>IFERROR(__xludf.DUMMYFUNCTION("""COMPUTED_VALUE"""),"Mastered")</f>
        <v>Mastered</v>
      </c>
      <c r="H458" s="174" t="str">
        <f>IFERROR(__xludf.DUMMYFUNCTION("""COMPUTED_VALUE"""),"Unlisted")</f>
        <v>Unlisted</v>
      </c>
      <c r="I458" s="174" t="str">
        <f>IFERROR(__xludf.DUMMYFUNCTION("""COMPUTED_VALUE"""),"Unlisted")</f>
        <v>Unlisted</v>
      </c>
      <c r="J458" s="174" t="str">
        <f>IFERROR(__xludf.DUMMYFUNCTION("""COMPUTED_VALUE"""),"Unlisted")</f>
        <v>Unlisted</v>
      </c>
      <c r="K458" s="174" t="str">
        <f>IFERROR(__xludf.DUMMYFUNCTION("""COMPUTED_VALUE"""),"Proficient")</f>
        <v>Proficient</v>
      </c>
      <c r="L458" s="174" t="str">
        <f>IFERROR(__xludf.DUMMYFUNCTION("""COMPUTED_VALUE"""),"Unlisted")</f>
        <v>Unlisted</v>
      </c>
      <c r="M458" s="174" t="str">
        <f>IFERROR(__xludf.DUMMYFUNCTION("""COMPUTED_VALUE"""),"Unlisted")</f>
        <v>Unlisted</v>
      </c>
      <c r="N458" s="174" t="str">
        <f>IFERROR(__xludf.DUMMYFUNCTION("""COMPUTED_VALUE"""),"Unlisted")</f>
        <v>Unlisted</v>
      </c>
      <c r="O458" s="174" t="str">
        <f>IFERROR(__xludf.DUMMYFUNCTION("""COMPUTED_VALUE"""),"Unlisted")</f>
        <v>Unlisted</v>
      </c>
      <c r="P458" s="174" t="str">
        <f>IFERROR(__xludf.DUMMYFUNCTION("""COMPUTED_VALUE"""),"Unlisted")</f>
        <v>Unlisted</v>
      </c>
      <c r="Q458" s="174" t="str">
        <f>IFERROR(__xludf.DUMMYFUNCTION("""COMPUTED_VALUE"""),"Unlisted")</f>
        <v>Unlisted</v>
      </c>
      <c r="R458" s="174" t="str">
        <f>IFERROR(__xludf.DUMMYFUNCTION("""COMPUTED_VALUE"""),"Proficient")</f>
        <v>Proficient</v>
      </c>
    </row>
    <row r="459">
      <c r="A459" s="255" t="str">
        <f>IFERROR(__xludf.DUMMYFUNCTION("""COMPUTED_VALUE"""),"Porygon-Z")</f>
        <v>Porygon-Z</v>
      </c>
      <c r="B459" s="174" t="str">
        <f>IFERROR(__xludf.DUMMYFUNCTION("""COMPUTED_VALUE"""),"Unlisted")</f>
        <v>Unlisted</v>
      </c>
      <c r="C459" s="174" t="str">
        <f>IFERROR(__xludf.DUMMYFUNCTION("""COMPUTED_VALUE"""),"Unlisted")</f>
        <v>Unlisted</v>
      </c>
      <c r="D459" s="174" t="str">
        <f>IFERROR(__xludf.DUMMYFUNCTION("""COMPUTED_VALUE"""),"Unlisted")</f>
        <v>Unlisted</v>
      </c>
      <c r="E459" s="174" t="str">
        <f>IFERROR(__xludf.DUMMYFUNCTION("""COMPUTED_VALUE"""),"Unlisted")</f>
        <v>Unlisted</v>
      </c>
      <c r="F459" s="174" t="str">
        <f>IFERROR(__xludf.DUMMYFUNCTION("""COMPUTED_VALUE"""),"Unlisted")</f>
        <v>Unlisted</v>
      </c>
      <c r="G459" s="174" t="str">
        <f>IFERROR(__xludf.DUMMYFUNCTION("""COMPUTED_VALUE"""),"Mastered")</f>
        <v>Mastered</v>
      </c>
      <c r="H459" s="174" t="str">
        <f>IFERROR(__xludf.DUMMYFUNCTION("""COMPUTED_VALUE"""),"Unlisted")</f>
        <v>Unlisted</v>
      </c>
      <c r="I459" s="174" t="str">
        <f>IFERROR(__xludf.DUMMYFUNCTION("""COMPUTED_VALUE"""),"Unlisted")</f>
        <v>Unlisted</v>
      </c>
      <c r="J459" s="174" t="str">
        <f>IFERROR(__xludf.DUMMYFUNCTION("""COMPUTED_VALUE"""),"Unlisted")</f>
        <v>Unlisted</v>
      </c>
      <c r="K459" s="174" t="str">
        <f>IFERROR(__xludf.DUMMYFUNCTION("""COMPUTED_VALUE"""),"Proficient")</f>
        <v>Proficient</v>
      </c>
      <c r="L459" s="174" t="str">
        <f>IFERROR(__xludf.DUMMYFUNCTION("""COMPUTED_VALUE"""),"Unlisted")</f>
        <v>Unlisted</v>
      </c>
      <c r="M459" s="174" t="str">
        <f>IFERROR(__xludf.DUMMYFUNCTION("""COMPUTED_VALUE"""),"Unlisted")</f>
        <v>Unlisted</v>
      </c>
      <c r="N459" s="174" t="str">
        <f>IFERROR(__xludf.DUMMYFUNCTION("""COMPUTED_VALUE"""),"Unlisted")</f>
        <v>Unlisted</v>
      </c>
      <c r="O459" s="174" t="str">
        <f>IFERROR(__xludf.DUMMYFUNCTION("""COMPUTED_VALUE"""),"Unlisted")</f>
        <v>Unlisted</v>
      </c>
      <c r="P459" s="174" t="str">
        <f>IFERROR(__xludf.DUMMYFUNCTION("""COMPUTED_VALUE"""),"Unlisted")</f>
        <v>Unlisted</v>
      </c>
      <c r="Q459" s="174" t="str">
        <f>IFERROR(__xludf.DUMMYFUNCTION("""COMPUTED_VALUE"""),"Unlisted")</f>
        <v>Unlisted</v>
      </c>
      <c r="R459" s="174" t="str">
        <f>IFERROR(__xludf.DUMMYFUNCTION("""COMPUTED_VALUE"""),"Proficient")</f>
        <v>Proficient</v>
      </c>
    </row>
    <row r="460">
      <c r="A460" s="255" t="str">
        <f>IFERROR(__xludf.DUMMYFUNCTION("""COMPUTED_VALUE"""),"Slakoth")</f>
        <v>Slakoth</v>
      </c>
      <c r="B460" s="174" t="str">
        <f>IFERROR(__xludf.DUMMYFUNCTION("""COMPUTED_VALUE"""),"Inept")</f>
        <v>Inept</v>
      </c>
      <c r="C460" s="174" t="str">
        <f>IFERROR(__xludf.DUMMYFUNCTION("""COMPUTED_VALUE"""),"Inept")</f>
        <v>Inept</v>
      </c>
      <c r="D460" s="174" t="str">
        <f>IFERROR(__xludf.DUMMYFUNCTION("""COMPUTED_VALUE"""),"Unlisted")</f>
        <v>Unlisted</v>
      </c>
      <c r="E460" s="174" t="str">
        <f>IFERROR(__xludf.DUMMYFUNCTION("""COMPUTED_VALUE"""),"Unlisted")</f>
        <v>Unlisted</v>
      </c>
      <c r="F460" s="174" t="str">
        <f>IFERROR(__xludf.DUMMYFUNCTION("""COMPUTED_VALUE"""),"Unlisted")</f>
        <v>Unlisted</v>
      </c>
      <c r="G460" s="174" t="str">
        <f>IFERROR(__xludf.DUMMYFUNCTION("""COMPUTED_VALUE"""),"Inept")</f>
        <v>Inept</v>
      </c>
      <c r="H460" s="174" t="str">
        <f>IFERROR(__xludf.DUMMYFUNCTION("""COMPUTED_VALUE"""),"Unlisted")</f>
        <v>Unlisted</v>
      </c>
      <c r="I460" s="174" t="str">
        <f>IFERROR(__xludf.DUMMYFUNCTION("""COMPUTED_VALUE"""),"Unlisted")</f>
        <v>Unlisted</v>
      </c>
      <c r="J460" s="174" t="str">
        <f>IFERROR(__xludf.DUMMYFUNCTION("""COMPUTED_VALUE"""),"Unlisted")</f>
        <v>Unlisted</v>
      </c>
      <c r="K460" s="174" t="str">
        <f>IFERROR(__xludf.DUMMYFUNCTION("""COMPUTED_VALUE"""),"Unlisted")</f>
        <v>Unlisted</v>
      </c>
      <c r="L460" s="174" t="str">
        <f>IFERROR(__xludf.DUMMYFUNCTION("""COMPUTED_VALUE"""),"Proficient")</f>
        <v>Proficient</v>
      </c>
      <c r="M460" s="174" t="str">
        <f>IFERROR(__xludf.DUMMYFUNCTION("""COMPUTED_VALUE"""),"Unlisted")</f>
        <v>Unlisted</v>
      </c>
      <c r="N460" s="174" t="str">
        <f>IFERROR(__xludf.DUMMYFUNCTION("""COMPUTED_VALUE"""),"Unlisted")</f>
        <v>Unlisted</v>
      </c>
      <c r="O460" s="174" t="str">
        <f>IFERROR(__xludf.DUMMYFUNCTION("""COMPUTED_VALUE"""),"Unlisted")</f>
        <v>Unlisted</v>
      </c>
      <c r="P460" s="174" t="str">
        <f>IFERROR(__xludf.DUMMYFUNCTION("""COMPUTED_VALUE"""),"Unlisted")</f>
        <v>Unlisted</v>
      </c>
      <c r="Q460" s="174" t="str">
        <f>IFERROR(__xludf.DUMMYFUNCTION("""COMPUTED_VALUE"""),"Unlisted")</f>
        <v>Unlisted</v>
      </c>
      <c r="R460" s="174" t="str">
        <f>IFERROR(__xludf.DUMMYFUNCTION("""COMPUTED_VALUE"""),"Unlisted")</f>
        <v>Unlisted</v>
      </c>
    </row>
    <row r="461">
      <c r="A461" s="255" t="str">
        <f>IFERROR(__xludf.DUMMYFUNCTION("""COMPUTED_VALUE"""),"Vigoroth")</f>
        <v>Vigoroth</v>
      </c>
      <c r="B461" s="174" t="str">
        <f>IFERROR(__xludf.DUMMYFUNCTION("""COMPUTED_VALUE"""),"Proficient")</f>
        <v>Proficient</v>
      </c>
      <c r="C461" s="174" t="str">
        <f>IFERROR(__xludf.DUMMYFUNCTION("""COMPUTED_VALUE"""),"Mastered")</f>
        <v>Mastered</v>
      </c>
      <c r="D461" s="174" t="str">
        <f>IFERROR(__xludf.DUMMYFUNCTION("""COMPUTED_VALUE"""),"Unlisted")</f>
        <v>Unlisted</v>
      </c>
      <c r="E461" s="174" t="str">
        <f>IFERROR(__xludf.DUMMYFUNCTION("""COMPUTED_VALUE"""),"Proficient")</f>
        <v>Proficient</v>
      </c>
      <c r="F461" s="174" t="str">
        <f>IFERROR(__xludf.DUMMYFUNCTION("""COMPUTED_VALUE"""),"Unlisted")</f>
        <v>Unlisted</v>
      </c>
      <c r="G461" s="174" t="str">
        <f>IFERROR(__xludf.DUMMYFUNCTION("""COMPUTED_VALUE"""),"Unlisted")</f>
        <v>Unlisted</v>
      </c>
      <c r="H461" s="174" t="str">
        <f>IFERROR(__xludf.DUMMYFUNCTION("""COMPUTED_VALUE"""),"Unlisted")</f>
        <v>Unlisted</v>
      </c>
      <c r="I461" s="174" t="str">
        <f>IFERROR(__xludf.DUMMYFUNCTION("""COMPUTED_VALUE"""),"Unlisted")</f>
        <v>Unlisted</v>
      </c>
      <c r="J461" s="174" t="str">
        <f>IFERROR(__xludf.DUMMYFUNCTION("""COMPUTED_VALUE"""),"Unlisted")</f>
        <v>Unlisted</v>
      </c>
      <c r="K461" s="174" t="str">
        <f>IFERROR(__xludf.DUMMYFUNCTION("""COMPUTED_VALUE"""),"Unlisted")</f>
        <v>Unlisted</v>
      </c>
      <c r="L461" s="174" t="str">
        <f>IFERROR(__xludf.DUMMYFUNCTION("""COMPUTED_VALUE"""),"Unlisted")</f>
        <v>Unlisted</v>
      </c>
      <c r="M461" s="174" t="str">
        <f>IFERROR(__xludf.DUMMYFUNCTION("""COMPUTED_VALUE"""),"Unlisted")</f>
        <v>Unlisted</v>
      </c>
      <c r="N461" s="174" t="str">
        <f>IFERROR(__xludf.DUMMYFUNCTION("""COMPUTED_VALUE"""),"Unlisted")</f>
        <v>Unlisted</v>
      </c>
      <c r="O461" s="174" t="str">
        <f>IFERROR(__xludf.DUMMYFUNCTION("""COMPUTED_VALUE"""),"Unlisted")</f>
        <v>Unlisted</v>
      </c>
      <c r="P461" s="174" t="str">
        <f>IFERROR(__xludf.DUMMYFUNCTION("""COMPUTED_VALUE"""),"Unlisted")</f>
        <v>Unlisted</v>
      </c>
      <c r="Q461" s="174" t="str">
        <f>IFERROR(__xludf.DUMMYFUNCTION("""COMPUTED_VALUE"""),"Unlisted")</f>
        <v>Unlisted</v>
      </c>
      <c r="R461" s="174" t="str">
        <f>IFERROR(__xludf.DUMMYFUNCTION("""COMPUTED_VALUE"""),"Unlisted")</f>
        <v>Unlisted</v>
      </c>
    </row>
    <row r="462">
      <c r="A462" s="255" t="str">
        <f>IFERROR(__xludf.DUMMYFUNCTION("""COMPUTED_VALUE"""),"Slaking")</f>
        <v>Slaking</v>
      </c>
      <c r="B462" s="174" t="str">
        <f>IFERROR(__xludf.DUMMYFUNCTION("""COMPUTED_VALUE"""),"Inept")</f>
        <v>Inept</v>
      </c>
      <c r="C462" s="174" t="str">
        <f>IFERROR(__xludf.DUMMYFUNCTION("""COMPUTED_VALUE"""),"Mastered")</f>
        <v>Mastered</v>
      </c>
      <c r="D462" s="174" t="str">
        <f>IFERROR(__xludf.DUMMYFUNCTION("""COMPUTED_VALUE"""),"Unlisted")</f>
        <v>Unlisted</v>
      </c>
      <c r="E462" s="174" t="str">
        <f>IFERROR(__xludf.DUMMYFUNCTION("""COMPUTED_VALUE"""),"Proficient")</f>
        <v>Proficient</v>
      </c>
      <c r="F462" s="174" t="str">
        <f>IFERROR(__xludf.DUMMYFUNCTION("""COMPUTED_VALUE"""),"Unlisted")</f>
        <v>Unlisted</v>
      </c>
      <c r="G462" s="174" t="str">
        <f>IFERROR(__xludf.DUMMYFUNCTION("""COMPUTED_VALUE"""),"Inept")</f>
        <v>Inept</v>
      </c>
      <c r="H462" s="174" t="str">
        <f>IFERROR(__xludf.DUMMYFUNCTION("""COMPUTED_VALUE"""),"Unlisted")</f>
        <v>Unlisted</v>
      </c>
      <c r="I462" s="174" t="str">
        <f>IFERROR(__xludf.DUMMYFUNCTION("""COMPUTED_VALUE"""),"Unlisted")</f>
        <v>Unlisted</v>
      </c>
      <c r="J462" s="174" t="str">
        <f>IFERROR(__xludf.DUMMYFUNCTION("""COMPUTED_VALUE"""),"Proficient")</f>
        <v>Proficient</v>
      </c>
      <c r="K462" s="174" t="str">
        <f>IFERROR(__xludf.DUMMYFUNCTION("""COMPUTED_VALUE"""),"Unlisted")</f>
        <v>Unlisted</v>
      </c>
      <c r="L462" s="174" t="str">
        <f>IFERROR(__xludf.DUMMYFUNCTION("""COMPUTED_VALUE"""),"Unlisted")</f>
        <v>Unlisted</v>
      </c>
      <c r="M462" s="174" t="str">
        <f>IFERROR(__xludf.DUMMYFUNCTION("""COMPUTED_VALUE"""),"Unlisted")</f>
        <v>Unlisted</v>
      </c>
      <c r="N462" s="174" t="str">
        <f>IFERROR(__xludf.DUMMYFUNCTION("""COMPUTED_VALUE"""),"Unlisted")</f>
        <v>Unlisted</v>
      </c>
      <c r="O462" s="174" t="str">
        <f>IFERROR(__xludf.DUMMYFUNCTION("""COMPUTED_VALUE"""),"Unlisted")</f>
        <v>Unlisted</v>
      </c>
      <c r="P462" s="174" t="str">
        <f>IFERROR(__xludf.DUMMYFUNCTION("""COMPUTED_VALUE"""),"Unlisted")</f>
        <v>Unlisted</v>
      </c>
      <c r="Q462" s="174" t="str">
        <f>IFERROR(__xludf.DUMMYFUNCTION("""COMPUTED_VALUE"""),"Unlisted")</f>
        <v>Unlisted</v>
      </c>
      <c r="R462" s="174" t="str">
        <f>IFERROR(__xludf.DUMMYFUNCTION("""COMPUTED_VALUE"""),"Unlisted")</f>
        <v>Unlisted</v>
      </c>
    </row>
    <row r="463">
      <c r="A463" s="255" t="str">
        <f>IFERROR(__xludf.DUMMYFUNCTION("""COMPUTED_VALUE"""),"Whismur")</f>
        <v>Whismur</v>
      </c>
      <c r="B463" s="174" t="str">
        <f>IFERROR(__xludf.DUMMYFUNCTION("""COMPUTED_VALUE"""),"Unlisted")</f>
        <v>Unlisted</v>
      </c>
      <c r="C463" s="174" t="str">
        <f>IFERROR(__xludf.DUMMYFUNCTION("""COMPUTED_VALUE"""),"Inept")</f>
        <v>Inept</v>
      </c>
      <c r="D463" s="174" t="str">
        <f>IFERROR(__xludf.DUMMYFUNCTION("""COMPUTED_VALUE"""),"Unlisted")</f>
        <v>Unlisted</v>
      </c>
      <c r="E463" s="174" t="str">
        <f>IFERROR(__xludf.DUMMYFUNCTION("""COMPUTED_VALUE"""),"Inept")</f>
        <v>Inept</v>
      </c>
      <c r="F463" s="174" t="str">
        <f>IFERROR(__xludf.DUMMYFUNCTION("""COMPUTED_VALUE"""),"Unlisted")</f>
        <v>Unlisted</v>
      </c>
      <c r="G463" s="174" t="str">
        <f>IFERROR(__xludf.DUMMYFUNCTION("""COMPUTED_VALUE"""),"Proficient")</f>
        <v>Proficient</v>
      </c>
      <c r="H463" s="174" t="str">
        <f>IFERROR(__xludf.DUMMYFUNCTION("""COMPUTED_VALUE"""),"Unlisted")</f>
        <v>Unlisted</v>
      </c>
      <c r="I463" s="174" t="str">
        <f>IFERROR(__xludf.DUMMYFUNCTION("""COMPUTED_VALUE"""),"Unlisted")</f>
        <v>Unlisted</v>
      </c>
      <c r="J463" s="174" t="str">
        <f>IFERROR(__xludf.DUMMYFUNCTION("""COMPUTED_VALUE"""),"Unlisted")</f>
        <v>Unlisted</v>
      </c>
      <c r="K463" s="174" t="str">
        <f>IFERROR(__xludf.DUMMYFUNCTION("""COMPUTED_VALUE"""),"Proficient")</f>
        <v>Proficient</v>
      </c>
      <c r="L463" s="174" t="str">
        <f>IFERROR(__xludf.DUMMYFUNCTION("""COMPUTED_VALUE"""),"Unlisted")</f>
        <v>Unlisted</v>
      </c>
      <c r="M463" s="174" t="str">
        <f>IFERROR(__xludf.DUMMYFUNCTION("""COMPUTED_VALUE"""),"Unlisted")</f>
        <v>Unlisted</v>
      </c>
      <c r="N463" s="174" t="str">
        <f>IFERROR(__xludf.DUMMYFUNCTION("""COMPUTED_VALUE"""),"Unlisted")</f>
        <v>Unlisted</v>
      </c>
      <c r="O463" s="174" t="str">
        <f>IFERROR(__xludf.DUMMYFUNCTION("""COMPUTED_VALUE"""),"Unlisted")</f>
        <v>Unlisted</v>
      </c>
      <c r="P463" s="174" t="str">
        <f>IFERROR(__xludf.DUMMYFUNCTION("""COMPUTED_VALUE"""),"Unlisted")</f>
        <v>Unlisted</v>
      </c>
      <c r="Q463" s="174" t="str">
        <f>IFERROR(__xludf.DUMMYFUNCTION("""COMPUTED_VALUE"""),"Unlisted")</f>
        <v>Unlisted</v>
      </c>
      <c r="R463" s="174" t="str">
        <f>IFERROR(__xludf.DUMMYFUNCTION("""COMPUTED_VALUE"""),"Unlisted")</f>
        <v>Unlisted</v>
      </c>
    </row>
    <row r="464">
      <c r="A464" s="255" t="str">
        <f>IFERROR(__xludf.DUMMYFUNCTION("""COMPUTED_VALUE"""),"Loudred")</f>
        <v>Loudred</v>
      </c>
      <c r="B464" s="174" t="str">
        <f>IFERROR(__xludf.DUMMYFUNCTION("""COMPUTED_VALUE"""),"Unlisted")</f>
        <v>Unlisted</v>
      </c>
      <c r="C464" s="174" t="str">
        <f>IFERROR(__xludf.DUMMYFUNCTION("""COMPUTED_VALUE"""),"Proficient")</f>
        <v>Proficient</v>
      </c>
      <c r="D464" s="174" t="str">
        <f>IFERROR(__xludf.DUMMYFUNCTION("""COMPUTED_VALUE"""),"Unlisted")</f>
        <v>Unlisted</v>
      </c>
      <c r="E464" s="174" t="str">
        <f>IFERROR(__xludf.DUMMYFUNCTION("""COMPUTED_VALUE"""),"Unlisted")</f>
        <v>Unlisted</v>
      </c>
      <c r="F464" s="174" t="str">
        <f>IFERROR(__xludf.DUMMYFUNCTION("""COMPUTED_VALUE"""),"Unlisted")</f>
        <v>Unlisted</v>
      </c>
      <c r="G464" s="174" t="str">
        <f>IFERROR(__xludf.DUMMYFUNCTION("""COMPUTED_VALUE"""),"Proficient")</f>
        <v>Proficient</v>
      </c>
      <c r="H464" s="174" t="str">
        <f>IFERROR(__xludf.DUMMYFUNCTION("""COMPUTED_VALUE"""),"Unlisted")</f>
        <v>Unlisted</v>
      </c>
      <c r="I464" s="174" t="str">
        <f>IFERROR(__xludf.DUMMYFUNCTION("""COMPUTED_VALUE"""),"Unlisted")</f>
        <v>Unlisted</v>
      </c>
      <c r="J464" s="174" t="str">
        <f>IFERROR(__xludf.DUMMYFUNCTION("""COMPUTED_VALUE"""),"Unlisted")</f>
        <v>Unlisted</v>
      </c>
      <c r="K464" s="174" t="str">
        <f>IFERROR(__xludf.DUMMYFUNCTION("""COMPUTED_VALUE"""),"Proficient")</f>
        <v>Proficient</v>
      </c>
      <c r="L464" s="174" t="str">
        <f>IFERROR(__xludf.DUMMYFUNCTION("""COMPUTED_VALUE"""),"Unlisted")</f>
        <v>Unlisted</v>
      </c>
      <c r="M464" s="174" t="str">
        <f>IFERROR(__xludf.DUMMYFUNCTION("""COMPUTED_VALUE"""),"Unlisted")</f>
        <v>Unlisted</v>
      </c>
      <c r="N464" s="174" t="str">
        <f>IFERROR(__xludf.DUMMYFUNCTION("""COMPUTED_VALUE"""),"Unlisted")</f>
        <v>Unlisted</v>
      </c>
      <c r="O464" s="174" t="str">
        <f>IFERROR(__xludf.DUMMYFUNCTION("""COMPUTED_VALUE"""),"Unlisted")</f>
        <v>Unlisted</v>
      </c>
      <c r="P464" s="174" t="str">
        <f>IFERROR(__xludf.DUMMYFUNCTION("""COMPUTED_VALUE"""),"Unlisted")</f>
        <v>Unlisted</v>
      </c>
      <c r="Q464" s="174" t="str">
        <f>IFERROR(__xludf.DUMMYFUNCTION("""COMPUTED_VALUE"""),"Unlisted")</f>
        <v>Unlisted</v>
      </c>
      <c r="R464" s="174" t="str">
        <f>IFERROR(__xludf.DUMMYFUNCTION("""COMPUTED_VALUE"""),"Unlisted")</f>
        <v>Unlisted</v>
      </c>
    </row>
    <row r="465">
      <c r="A465" s="255" t="str">
        <f>IFERROR(__xludf.DUMMYFUNCTION("""COMPUTED_VALUE"""),"Exploud")</f>
        <v>Exploud</v>
      </c>
      <c r="B465" s="174" t="str">
        <f>IFERROR(__xludf.DUMMYFUNCTION("""COMPUTED_VALUE"""),"Unlisted")</f>
        <v>Unlisted</v>
      </c>
      <c r="C465" s="174" t="str">
        <f>IFERROR(__xludf.DUMMYFUNCTION("""COMPUTED_VALUE"""),"Proficient")</f>
        <v>Proficient</v>
      </c>
      <c r="D465" s="174" t="str">
        <f>IFERROR(__xludf.DUMMYFUNCTION("""COMPUTED_VALUE"""),"Unlisted")</f>
        <v>Unlisted</v>
      </c>
      <c r="E465" s="174" t="str">
        <f>IFERROR(__xludf.DUMMYFUNCTION("""COMPUTED_VALUE"""),"Unlisted")</f>
        <v>Unlisted</v>
      </c>
      <c r="F465" s="174" t="str">
        <f>IFERROR(__xludf.DUMMYFUNCTION("""COMPUTED_VALUE"""),"Unlisted")</f>
        <v>Unlisted</v>
      </c>
      <c r="G465" s="174" t="str">
        <f>IFERROR(__xludf.DUMMYFUNCTION("""COMPUTED_VALUE"""),"Proficient")</f>
        <v>Proficient</v>
      </c>
      <c r="H465" s="174" t="str">
        <f>IFERROR(__xludf.DUMMYFUNCTION("""COMPUTED_VALUE"""),"Unlisted")</f>
        <v>Unlisted</v>
      </c>
      <c r="I465" s="174" t="str">
        <f>IFERROR(__xludf.DUMMYFUNCTION("""COMPUTED_VALUE"""),"Unlisted")</f>
        <v>Unlisted</v>
      </c>
      <c r="J465" s="174" t="str">
        <f>IFERROR(__xludf.DUMMYFUNCTION("""COMPUTED_VALUE"""),"Unlisted")</f>
        <v>Unlisted</v>
      </c>
      <c r="K465" s="174" t="str">
        <f>IFERROR(__xludf.DUMMYFUNCTION("""COMPUTED_VALUE"""),"Proficient")</f>
        <v>Proficient</v>
      </c>
      <c r="L465" s="174" t="str">
        <f>IFERROR(__xludf.DUMMYFUNCTION("""COMPUTED_VALUE"""),"Unlisted")</f>
        <v>Unlisted</v>
      </c>
      <c r="M465" s="174" t="str">
        <f>IFERROR(__xludf.DUMMYFUNCTION("""COMPUTED_VALUE"""),"Unlisted")</f>
        <v>Unlisted</v>
      </c>
      <c r="N465" s="174" t="str">
        <f>IFERROR(__xludf.DUMMYFUNCTION("""COMPUTED_VALUE"""),"Unlisted")</f>
        <v>Unlisted</v>
      </c>
      <c r="O465" s="174" t="str">
        <f>IFERROR(__xludf.DUMMYFUNCTION("""COMPUTED_VALUE"""),"Unlisted")</f>
        <v>Unlisted</v>
      </c>
      <c r="P465" s="174" t="str">
        <f>IFERROR(__xludf.DUMMYFUNCTION("""COMPUTED_VALUE"""),"Unlisted")</f>
        <v>Unlisted</v>
      </c>
      <c r="Q465" s="174" t="str">
        <f>IFERROR(__xludf.DUMMYFUNCTION("""COMPUTED_VALUE"""),"Unlisted")</f>
        <v>Unlisted</v>
      </c>
      <c r="R465" s="174" t="str">
        <f>IFERROR(__xludf.DUMMYFUNCTION("""COMPUTED_VALUE"""),"Unlisted")</f>
        <v>Unlisted</v>
      </c>
    </row>
    <row r="466">
      <c r="A466" s="255" t="str">
        <f>IFERROR(__xludf.DUMMYFUNCTION("""COMPUTED_VALUE"""),"Starly")</f>
        <v>Starly</v>
      </c>
      <c r="B466" s="174" t="str">
        <f>IFERROR(__xludf.DUMMYFUNCTION("""COMPUTED_VALUE"""),"Proficient")</f>
        <v>Proficient</v>
      </c>
      <c r="C466" s="174" t="str">
        <f>IFERROR(__xludf.DUMMYFUNCTION("""COMPUTED_VALUE"""),"Unlisted")</f>
        <v>Unlisted</v>
      </c>
      <c r="D466" s="174" t="str">
        <f>IFERROR(__xludf.DUMMYFUNCTION("""COMPUTED_VALUE"""),"Unlisted")</f>
        <v>Unlisted</v>
      </c>
      <c r="E466" s="174" t="str">
        <f>IFERROR(__xludf.DUMMYFUNCTION("""COMPUTED_VALUE"""),"Mastered")</f>
        <v>Mastered</v>
      </c>
      <c r="F466" s="174" t="str">
        <f>IFERROR(__xludf.DUMMYFUNCTION("""COMPUTED_VALUE"""),"Unlisted")</f>
        <v>Unlisted</v>
      </c>
      <c r="G466" s="174" t="str">
        <f>IFERROR(__xludf.DUMMYFUNCTION("""COMPUTED_VALUE"""),"Unlisted")</f>
        <v>Unlisted</v>
      </c>
      <c r="H466" s="174" t="str">
        <f>IFERROR(__xludf.DUMMYFUNCTION("""COMPUTED_VALUE"""),"Unlisted")</f>
        <v>Unlisted</v>
      </c>
      <c r="I466" s="174" t="str">
        <f>IFERROR(__xludf.DUMMYFUNCTION("""COMPUTED_VALUE"""),"Unlisted")</f>
        <v>Unlisted</v>
      </c>
      <c r="J466" s="174" t="str">
        <f>IFERROR(__xludf.DUMMYFUNCTION("""COMPUTED_VALUE"""),"Unlisted")</f>
        <v>Unlisted</v>
      </c>
      <c r="K466" s="174" t="str">
        <f>IFERROR(__xludf.DUMMYFUNCTION("""COMPUTED_VALUE"""),"Proficient")</f>
        <v>Proficient</v>
      </c>
      <c r="L466" s="174" t="str">
        <f>IFERROR(__xludf.DUMMYFUNCTION("""COMPUTED_VALUE"""),"Unlisted")</f>
        <v>Unlisted</v>
      </c>
      <c r="M466" s="174" t="str">
        <f>IFERROR(__xludf.DUMMYFUNCTION("""COMPUTED_VALUE"""),"Unlisted")</f>
        <v>Unlisted</v>
      </c>
      <c r="N466" s="174" t="str">
        <f>IFERROR(__xludf.DUMMYFUNCTION("""COMPUTED_VALUE"""),"Unlisted")</f>
        <v>Unlisted</v>
      </c>
      <c r="O466" s="174" t="str">
        <f>IFERROR(__xludf.DUMMYFUNCTION("""COMPUTED_VALUE"""),"Unlisted")</f>
        <v>Unlisted</v>
      </c>
      <c r="P466" s="174" t="str">
        <f>IFERROR(__xludf.DUMMYFUNCTION("""COMPUTED_VALUE"""),"Unlisted")</f>
        <v>Unlisted</v>
      </c>
      <c r="Q466" s="174" t="str">
        <f>IFERROR(__xludf.DUMMYFUNCTION("""COMPUTED_VALUE"""),"Unlisted")</f>
        <v>Unlisted</v>
      </c>
      <c r="R466" s="174" t="str">
        <f>IFERROR(__xludf.DUMMYFUNCTION("""COMPUTED_VALUE"""),"Unlisted")</f>
        <v>Unlisted</v>
      </c>
    </row>
    <row r="467">
      <c r="A467" s="255" t="str">
        <f>IFERROR(__xludf.DUMMYFUNCTION("""COMPUTED_VALUE"""),"Staravia")</f>
        <v>Staravia</v>
      </c>
      <c r="B467" s="174" t="str">
        <f>IFERROR(__xludf.DUMMYFUNCTION("""COMPUTED_VALUE"""),"Proficient")</f>
        <v>Proficient</v>
      </c>
      <c r="C467" s="174" t="str">
        <f>IFERROR(__xludf.DUMMYFUNCTION("""COMPUTED_VALUE"""),"Unlisted")</f>
        <v>Unlisted</v>
      </c>
      <c r="D467" s="174" t="str">
        <f>IFERROR(__xludf.DUMMYFUNCTION("""COMPUTED_VALUE"""),"Unlisted")</f>
        <v>Unlisted</v>
      </c>
      <c r="E467" s="174" t="str">
        <f>IFERROR(__xludf.DUMMYFUNCTION("""COMPUTED_VALUE"""),"Mastered")</f>
        <v>Mastered</v>
      </c>
      <c r="F467" s="174" t="str">
        <f>IFERROR(__xludf.DUMMYFUNCTION("""COMPUTED_VALUE"""),"Unlisted")</f>
        <v>Unlisted</v>
      </c>
      <c r="G467" s="174" t="str">
        <f>IFERROR(__xludf.DUMMYFUNCTION("""COMPUTED_VALUE"""),"Unlisted")</f>
        <v>Unlisted</v>
      </c>
      <c r="H467" s="174" t="str">
        <f>IFERROR(__xludf.DUMMYFUNCTION("""COMPUTED_VALUE"""),"Unlisted")</f>
        <v>Unlisted</v>
      </c>
      <c r="I467" s="174" t="str">
        <f>IFERROR(__xludf.DUMMYFUNCTION("""COMPUTED_VALUE"""),"Unlisted")</f>
        <v>Unlisted</v>
      </c>
      <c r="J467" s="174" t="str">
        <f>IFERROR(__xludf.DUMMYFUNCTION("""COMPUTED_VALUE"""),"Unlisted")</f>
        <v>Unlisted</v>
      </c>
      <c r="K467" s="174" t="str">
        <f>IFERROR(__xludf.DUMMYFUNCTION("""COMPUTED_VALUE"""),"Proficient")</f>
        <v>Proficient</v>
      </c>
      <c r="L467" s="174" t="str">
        <f>IFERROR(__xludf.DUMMYFUNCTION("""COMPUTED_VALUE"""),"Unlisted")</f>
        <v>Unlisted</v>
      </c>
      <c r="M467" s="174" t="str">
        <f>IFERROR(__xludf.DUMMYFUNCTION("""COMPUTED_VALUE"""),"Unlisted")</f>
        <v>Unlisted</v>
      </c>
      <c r="N467" s="174" t="str">
        <f>IFERROR(__xludf.DUMMYFUNCTION("""COMPUTED_VALUE"""),"Unlisted")</f>
        <v>Unlisted</v>
      </c>
      <c r="O467" s="174" t="str">
        <f>IFERROR(__xludf.DUMMYFUNCTION("""COMPUTED_VALUE"""),"Unlisted")</f>
        <v>Unlisted</v>
      </c>
      <c r="P467" s="174" t="str">
        <f>IFERROR(__xludf.DUMMYFUNCTION("""COMPUTED_VALUE"""),"Unlisted")</f>
        <v>Unlisted</v>
      </c>
      <c r="Q467" s="174" t="str">
        <f>IFERROR(__xludf.DUMMYFUNCTION("""COMPUTED_VALUE"""),"Unlisted")</f>
        <v>Unlisted</v>
      </c>
      <c r="R467" s="174" t="str">
        <f>IFERROR(__xludf.DUMMYFUNCTION("""COMPUTED_VALUE"""),"Unlisted")</f>
        <v>Unlisted</v>
      </c>
    </row>
    <row r="468">
      <c r="A468" s="255" t="str">
        <f>IFERROR(__xludf.DUMMYFUNCTION("""COMPUTED_VALUE"""),"Staraptor")</f>
        <v>Staraptor</v>
      </c>
      <c r="B468" s="174" t="str">
        <f>IFERROR(__xludf.DUMMYFUNCTION("""COMPUTED_VALUE"""),"Proficient")</f>
        <v>Proficient</v>
      </c>
      <c r="C468" s="174" t="str">
        <f>IFERROR(__xludf.DUMMYFUNCTION("""COMPUTED_VALUE"""),"Unlisted")</f>
        <v>Unlisted</v>
      </c>
      <c r="D468" s="174" t="str">
        <f>IFERROR(__xludf.DUMMYFUNCTION("""COMPUTED_VALUE"""),"Unlisted")</f>
        <v>Unlisted</v>
      </c>
      <c r="E468" s="174" t="str">
        <f>IFERROR(__xludf.DUMMYFUNCTION("""COMPUTED_VALUE"""),"Mastered")</f>
        <v>Mastered</v>
      </c>
      <c r="F468" s="174" t="str">
        <f>IFERROR(__xludf.DUMMYFUNCTION("""COMPUTED_VALUE"""),"Unlisted")</f>
        <v>Unlisted</v>
      </c>
      <c r="G468" s="174" t="str">
        <f>IFERROR(__xludf.DUMMYFUNCTION("""COMPUTED_VALUE"""),"Unlisted")</f>
        <v>Unlisted</v>
      </c>
      <c r="H468" s="174" t="str">
        <f>IFERROR(__xludf.DUMMYFUNCTION("""COMPUTED_VALUE"""),"Unlisted")</f>
        <v>Unlisted</v>
      </c>
      <c r="I468" s="174" t="str">
        <f>IFERROR(__xludf.DUMMYFUNCTION("""COMPUTED_VALUE"""),"Unlisted")</f>
        <v>Unlisted</v>
      </c>
      <c r="J468" s="174" t="str">
        <f>IFERROR(__xludf.DUMMYFUNCTION("""COMPUTED_VALUE"""),"Unlisted")</f>
        <v>Unlisted</v>
      </c>
      <c r="K468" s="174" t="str">
        <f>IFERROR(__xludf.DUMMYFUNCTION("""COMPUTED_VALUE"""),"Proficient")</f>
        <v>Proficient</v>
      </c>
      <c r="L468" s="174" t="str">
        <f>IFERROR(__xludf.DUMMYFUNCTION("""COMPUTED_VALUE"""),"Unlisted")</f>
        <v>Unlisted</v>
      </c>
      <c r="M468" s="174" t="str">
        <f>IFERROR(__xludf.DUMMYFUNCTION("""COMPUTED_VALUE"""),"Unlisted")</f>
        <v>Unlisted</v>
      </c>
      <c r="N468" s="174" t="str">
        <f>IFERROR(__xludf.DUMMYFUNCTION("""COMPUTED_VALUE"""),"Unlisted")</f>
        <v>Unlisted</v>
      </c>
      <c r="O468" s="174" t="str">
        <f>IFERROR(__xludf.DUMMYFUNCTION("""COMPUTED_VALUE"""),"Unlisted")</f>
        <v>Unlisted</v>
      </c>
      <c r="P468" s="174" t="str">
        <f>IFERROR(__xludf.DUMMYFUNCTION("""COMPUTED_VALUE"""),"Unlisted")</f>
        <v>Unlisted</v>
      </c>
      <c r="Q468" s="174" t="str">
        <f>IFERROR(__xludf.DUMMYFUNCTION("""COMPUTED_VALUE"""),"Unlisted")</f>
        <v>Unlisted</v>
      </c>
      <c r="R468" s="174" t="str">
        <f>IFERROR(__xludf.DUMMYFUNCTION("""COMPUTED_VALUE"""),"Unlisted")</f>
        <v>Unlisted</v>
      </c>
    </row>
    <row r="469">
      <c r="A469" s="255" t="str">
        <f>IFERROR(__xludf.DUMMYFUNCTION("""COMPUTED_VALUE"""),"Lillipup")</f>
        <v>Lillipup</v>
      </c>
      <c r="B469" s="174" t="str">
        <f>IFERROR(__xludf.DUMMYFUNCTION("""COMPUTED_VALUE"""),"Unlisted")</f>
        <v>Unlisted</v>
      </c>
      <c r="C469" s="174" t="str">
        <f>IFERROR(__xludf.DUMMYFUNCTION("""COMPUTED_VALUE"""),"Proficient")</f>
        <v>Proficient</v>
      </c>
      <c r="D469" s="174" t="str">
        <f>IFERROR(__xludf.DUMMYFUNCTION("""COMPUTED_VALUE"""),"Unlisted")</f>
        <v>Unlisted</v>
      </c>
      <c r="E469" s="174" t="str">
        <f>IFERROR(__xludf.DUMMYFUNCTION("""COMPUTED_VALUE"""),"Unlisted")</f>
        <v>Unlisted</v>
      </c>
      <c r="F469" s="174" t="str">
        <f>IFERROR(__xludf.DUMMYFUNCTION("""COMPUTED_VALUE"""),"Unlisted")</f>
        <v>Unlisted</v>
      </c>
      <c r="G469" s="174" t="str">
        <f>IFERROR(__xludf.DUMMYFUNCTION("""COMPUTED_VALUE"""),"Unlisted")</f>
        <v>Unlisted</v>
      </c>
      <c r="H469" s="174" t="str">
        <f>IFERROR(__xludf.DUMMYFUNCTION("""COMPUTED_VALUE"""),"Unlisted")</f>
        <v>Unlisted</v>
      </c>
      <c r="I469" s="174" t="str">
        <f>IFERROR(__xludf.DUMMYFUNCTION("""COMPUTED_VALUE"""),"Unlisted")</f>
        <v>Unlisted</v>
      </c>
      <c r="J469" s="174" t="str">
        <f>IFERROR(__xludf.DUMMYFUNCTION("""COMPUTED_VALUE"""),"Unlisted")</f>
        <v>Unlisted</v>
      </c>
      <c r="K469" s="174" t="str">
        <f>IFERROR(__xludf.DUMMYFUNCTION("""COMPUTED_VALUE"""),"Proficient")</f>
        <v>Proficient</v>
      </c>
      <c r="L469" s="174" t="str">
        <f>IFERROR(__xludf.DUMMYFUNCTION("""COMPUTED_VALUE"""),"Unlisted")</f>
        <v>Unlisted</v>
      </c>
      <c r="M469" s="174" t="str">
        <f>IFERROR(__xludf.DUMMYFUNCTION("""COMPUTED_VALUE"""),"Unlisted")</f>
        <v>Unlisted</v>
      </c>
      <c r="N469" s="174" t="str">
        <f>IFERROR(__xludf.DUMMYFUNCTION("""COMPUTED_VALUE"""),"Unlisted")</f>
        <v>Unlisted</v>
      </c>
      <c r="O469" s="174" t="str">
        <f>IFERROR(__xludf.DUMMYFUNCTION("""COMPUTED_VALUE"""),"Proficient")</f>
        <v>Proficient</v>
      </c>
      <c r="P469" s="174" t="str">
        <f>IFERROR(__xludf.DUMMYFUNCTION("""COMPUTED_VALUE"""),"Unlisted")</f>
        <v>Unlisted</v>
      </c>
      <c r="Q469" s="174" t="str">
        <f>IFERROR(__xludf.DUMMYFUNCTION("""COMPUTED_VALUE"""),"Unlisted")</f>
        <v>Unlisted</v>
      </c>
      <c r="R469" s="174" t="str">
        <f>IFERROR(__xludf.DUMMYFUNCTION("""COMPUTED_VALUE"""),"Unlisted")</f>
        <v>Unlisted</v>
      </c>
    </row>
    <row r="470">
      <c r="A470" s="255" t="str">
        <f>IFERROR(__xludf.DUMMYFUNCTION("""COMPUTED_VALUE"""),"Herdier")</f>
        <v>Herdier</v>
      </c>
      <c r="B470" s="174" t="str">
        <f>IFERROR(__xludf.DUMMYFUNCTION("""COMPUTED_VALUE"""),"Unlisted")</f>
        <v>Unlisted</v>
      </c>
      <c r="C470" s="174" t="str">
        <f>IFERROR(__xludf.DUMMYFUNCTION("""COMPUTED_VALUE"""),"Proficient")</f>
        <v>Proficient</v>
      </c>
      <c r="D470" s="174" t="str">
        <f>IFERROR(__xludf.DUMMYFUNCTION("""COMPUTED_VALUE"""),"Unlisted")</f>
        <v>Unlisted</v>
      </c>
      <c r="E470" s="174" t="str">
        <f>IFERROR(__xludf.DUMMYFUNCTION("""COMPUTED_VALUE"""),"Unlisted")</f>
        <v>Unlisted</v>
      </c>
      <c r="F470" s="174" t="str">
        <f>IFERROR(__xludf.DUMMYFUNCTION("""COMPUTED_VALUE"""),"Unlisted")</f>
        <v>Unlisted</v>
      </c>
      <c r="G470" s="174" t="str">
        <f>IFERROR(__xludf.DUMMYFUNCTION("""COMPUTED_VALUE"""),"Unlisted")</f>
        <v>Unlisted</v>
      </c>
      <c r="H470" s="174" t="str">
        <f>IFERROR(__xludf.DUMMYFUNCTION("""COMPUTED_VALUE"""),"Unlisted")</f>
        <v>Unlisted</v>
      </c>
      <c r="I470" s="174" t="str">
        <f>IFERROR(__xludf.DUMMYFUNCTION("""COMPUTED_VALUE"""),"Unlisted")</f>
        <v>Unlisted</v>
      </c>
      <c r="J470" s="174" t="str">
        <f>IFERROR(__xludf.DUMMYFUNCTION("""COMPUTED_VALUE"""),"Unlisted")</f>
        <v>Unlisted</v>
      </c>
      <c r="K470" s="174" t="str">
        <f>IFERROR(__xludf.DUMMYFUNCTION("""COMPUTED_VALUE"""),"Proficient")</f>
        <v>Proficient</v>
      </c>
      <c r="L470" s="174" t="str">
        <f>IFERROR(__xludf.DUMMYFUNCTION("""COMPUTED_VALUE"""),"Unlisted")</f>
        <v>Unlisted</v>
      </c>
      <c r="M470" s="174" t="str">
        <f>IFERROR(__xludf.DUMMYFUNCTION("""COMPUTED_VALUE"""),"Unlisted")</f>
        <v>Unlisted</v>
      </c>
      <c r="N470" s="174" t="str">
        <f>IFERROR(__xludf.DUMMYFUNCTION("""COMPUTED_VALUE"""),"Unlisted")</f>
        <v>Unlisted</v>
      </c>
      <c r="O470" s="174" t="str">
        <f>IFERROR(__xludf.DUMMYFUNCTION("""COMPUTED_VALUE"""),"Proficient")</f>
        <v>Proficient</v>
      </c>
      <c r="P470" s="174" t="str">
        <f>IFERROR(__xludf.DUMMYFUNCTION("""COMPUTED_VALUE"""),"Unlisted")</f>
        <v>Unlisted</v>
      </c>
      <c r="Q470" s="174" t="str">
        <f>IFERROR(__xludf.DUMMYFUNCTION("""COMPUTED_VALUE"""),"Unlisted")</f>
        <v>Unlisted</v>
      </c>
      <c r="R470" s="174" t="str">
        <f>IFERROR(__xludf.DUMMYFUNCTION("""COMPUTED_VALUE"""),"Unlisted")</f>
        <v>Unlisted</v>
      </c>
    </row>
    <row r="471">
      <c r="A471" s="255" t="str">
        <f>IFERROR(__xludf.DUMMYFUNCTION("""COMPUTED_VALUE"""),"Stoutland")</f>
        <v>Stoutland</v>
      </c>
      <c r="B471" s="174" t="str">
        <f>IFERROR(__xludf.DUMMYFUNCTION("""COMPUTED_VALUE"""),"Unlisted")</f>
        <v>Unlisted</v>
      </c>
      <c r="C471" s="174" t="str">
        <f>IFERROR(__xludf.DUMMYFUNCTION("""COMPUTED_VALUE"""),"Proficient")</f>
        <v>Proficient</v>
      </c>
      <c r="D471" s="174" t="str">
        <f>IFERROR(__xludf.DUMMYFUNCTION("""COMPUTED_VALUE"""),"Unlisted")</f>
        <v>Unlisted</v>
      </c>
      <c r="E471" s="174" t="str">
        <f>IFERROR(__xludf.DUMMYFUNCTION("""COMPUTED_VALUE"""),"Unlisted")</f>
        <v>Unlisted</v>
      </c>
      <c r="F471" s="174" t="str">
        <f>IFERROR(__xludf.DUMMYFUNCTION("""COMPUTED_VALUE"""),"Unlisted")</f>
        <v>Unlisted</v>
      </c>
      <c r="G471" s="174" t="str">
        <f>IFERROR(__xludf.DUMMYFUNCTION("""COMPUTED_VALUE"""),"Unlisted")</f>
        <v>Unlisted</v>
      </c>
      <c r="H471" s="174" t="str">
        <f>IFERROR(__xludf.DUMMYFUNCTION("""COMPUTED_VALUE"""),"Unlisted")</f>
        <v>Unlisted</v>
      </c>
      <c r="I471" s="174" t="str">
        <f>IFERROR(__xludf.DUMMYFUNCTION("""COMPUTED_VALUE"""),"Unlisted")</f>
        <v>Unlisted</v>
      </c>
      <c r="J471" s="174" t="str">
        <f>IFERROR(__xludf.DUMMYFUNCTION("""COMPUTED_VALUE"""),"Unlisted")</f>
        <v>Unlisted</v>
      </c>
      <c r="K471" s="174" t="str">
        <f>IFERROR(__xludf.DUMMYFUNCTION("""COMPUTED_VALUE"""),"Proficient")</f>
        <v>Proficient</v>
      </c>
      <c r="L471" s="174" t="str">
        <f>IFERROR(__xludf.DUMMYFUNCTION("""COMPUTED_VALUE"""),"Unlisted")</f>
        <v>Unlisted</v>
      </c>
      <c r="M471" s="174" t="str">
        <f>IFERROR(__xludf.DUMMYFUNCTION("""COMPUTED_VALUE"""),"Unlisted")</f>
        <v>Unlisted</v>
      </c>
      <c r="N471" s="174" t="str">
        <f>IFERROR(__xludf.DUMMYFUNCTION("""COMPUTED_VALUE"""),"Unlisted")</f>
        <v>Unlisted</v>
      </c>
      <c r="O471" s="174" t="str">
        <f>IFERROR(__xludf.DUMMYFUNCTION("""COMPUTED_VALUE"""),"Proficient")</f>
        <v>Proficient</v>
      </c>
      <c r="P471" s="174" t="str">
        <f>IFERROR(__xludf.DUMMYFUNCTION("""COMPUTED_VALUE"""),"Unlisted")</f>
        <v>Unlisted</v>
      </c>
      <c r="Q471" s="174" t="str">
        <f>IFERROR(__xludf.DUMMYFUNCTION("""COMPUTED_VALUE"""),"Unlisted")</f>
        <v>Unlisted</v>
      </c>
      <c r="R471" s="174" t="str">
        <f>IFERROR(__xludf.DUMMYFUNCTION("""COMPUTED_VALUE"""),"Unlisted")</f>
        <v>Unlisted</v>
      </c>
    </row>
    <row r="472">
      <c r="A472" s="255" t="str">
        <f>IFERROR(__xludf.DUMMYFUNCTION("""COMPUTED_VALUE"""),"Pidove")</f>
        <v>Pidove</v>
      </c>
      <c r="B472" s="174" t="str">
        <f>IFERROR(__xludf.DUMMYFUNCTION("""COMPUTED_VALUE"""),"Mastered")</f>
        <v>Mastered</v>
      </c>
      <c r="C472" s="174" t="str">
        <f>IFERROR(__xludf.DUMMYFUNCTION("""COMPUTED_VALUE"""),"Unlisted")</f>
        <v>Unlisted</v>
      </c>
      <c r="D472" s="174" t="str">
        <f>IFERROR(__xludf.DUMMYFUNCTION("""COMPUTED_VALUE"""),"Unlisted")</f>
        <v>Unlisted</v>
      </c>
      <c r="E472" s="174" t="str">
        <f>IFERROR(__xludf.DUMMYFUNCTION("""COMPUTED_VALUE"""),"Proficient")</f>
        <v>Proficient</v>
      </c>
      <c r="F472" s="174" t="str">
        <f>IFERROR(__xludf.DUMMYFUNCTION("""COMPUTED_VALUE"""),"Unlisted")</f>
        <v>Unlisted</v>
      </c>
      <c r="G472" s="174" t="str">
        <f>IFERROR(__xludf.DUMMYFUNCTION("""COMPUTED_VALUE"""),"Proficient")</f>
        <v>Proficient</v>
      </c>
      <c r="H472" s="174" t="str">
        <f>IFERROR(__xludf.DUMMYFUNCTION("""COMPUTED_VALUE"""),"Unlisted")</f>
        <v>Unlisted</v>
      </c>
      <c r="I472" s="174" t="str">
        <f>IFERROR(__xludf.DUMMYFUNCTION("""COMPUTED_VALUE"""),"Unlisted")</f>
        <v>Unlisted</v>
      </c>
      <c r="J472" s="174" t="str">
        <f>IFERROR(__xludf.DUMMYFUNCTION("""COMPUTED_VALUE"""),"Unlisted")</f>
        <v>Unlisted</v>
      </c>
      <c r="K472" s="174" t="str">
        <f>IFERROR(__xludf.DUMMYFUNCTION("""COMPUTED_VALUE"""),"Unlisted")</f>
        <v>Unlisted</v>
      </c>
      <c r="L472" s="174" t="str">
        <f>IFERROR(__xludf.DUMMYFUNCTION("""COMPUTED_VALUE"""),"Unlisted")</f>
        <v>Unlisted</v>
      </c>
      <c r="M472" s="174" t="str">
        <f>IFERROR(__xludf.DUMMYFUNCTION("""COMPUTED_VALUE"""),"Unlisted")</f>
        <v>Unlisted</v>
      </c>
      <c r="N472" s="174" t="str">
        <f>IFERROR(__xludf.DUMMYFUNCTION("""COMPUTED_VALUE"""),"Unlisted")</f>
        <v>Unlisted</v>
      </c>
      <c r="O472" s="174" t="str">
        <f>IFERROR(__xludf.DUMMYFUNCTION("""COMPUTED_VALUE"""),"Unlisted")</f>
        <v>Unlisted</v>
      </c>
      <c r="P472" s="174" t="str">
        <f>IFERROR(__xludf.DUMMYFUNCTION("""COMPUTED_VALUE"""),"Unlisted")</f>
        <v>Unlisted</v>
      </c>
      <c r="Q472" s="174" t="str">
        <f>IFERROR(__xludf.DUMMYFUNCTION("""COMPUTED_VALUE"""),"Unlisted")</f>
        <v>Unlisted</v>
      </c>
      <c r="R472" s="174" t="str">
        <f>IFERROR(__xludf.DUMMYFUNCTION("""COMPUTED_VALUE"""),"Unlisted")</f>
        <v>Unlisted</v>
      </c>
    </row>
    <row r="473">
      <c r="A473" s="255" t="str">
        <f>IFERROR(__xludf.DUMMYFUNCTION("""COMPUTED_VALUE"""),"Tranquill")</f>
        <v>Tranquill</v>
      </c>
      <c r="B473" s="174" t="str">
        <f>IFERROR(__xludf.DUMMYFUNCTION("""COMPUTED_VALUE"""),"Mastered")</f>
        <v>Mastered</v>
      </c>
      <c r="C473" s="174" t="str">
        <f>IFERROR(__xludf.DUMMYFUNCTION("""COMPUTED_VALUE"""),"Unlisted")</f>
        <v>Unlisted</v>
      </c>
      <c r="D473" s="174" t="str">
        <f>IFERROR(__xludf.DUMMYFUNCTION("""COMPUTED_VALUE"""),"Unlisted")</f>
        <v>Unlisted</v>
      </c>
      <c r="E473" s="174" t="str">
        <f>IFERROR(__xludf.DUMMYFUNCTION("""COMPUTED_VALUE"""),"Proficient")</f>
        <v>Proficient</v>
      </c>
      <c r="F473" s="174" t="str">
        <f>IFERROR(__xludf.DUMMYFUNCTION("""COMPUTED_VALUE"""),"Unlisted")</f>
        <v>Unlisted</v>
      </c>
      <c r="G473" s="174" t="str">
        <f>IFERROR(__xludf.DUMMYFUNCTION("""COMPUTED_VALUE"""),"Proficient")</f>
        <v>Proficient</v>
      </c>
      <c r="H473" s="174" t="str">
        <f>IFERROR(__xludf.DUMMYFUNCTION("""COMPUTED_VALUE"""),"Unlisted")</f>
        <v>Unlisted</v>
      </c>
      <c r="I473" s="174" t="str">
        <f>IFERROR(__xludf.DUMMYFUNCTION("""COMPUTED_VALUE"""),"Unlisted")</f>
        <v>Unlisted</v>
      </c>
      <c r="J473" s="174" t="str">
        <f>IFERROR(__xludf.DUMMYFUNCTION("""COMPUTED_VALUE"""),"Unlisted")</f>
        <v>Unlisted</v>
      </c>
      <c r="K473" s="174" t="str">
        <f>IFERROR(__xludf.DUMMYFUNCTION("""COMPUTED_VALUE"""),"Unlisted")</f>
        <v>Unlisted</v>
      </c>
      <c r="L473" s="174" t="str">
        <f>IFERROR(__xludf.DUMMYFUNCTION("""COMPUTED_VALUE"""),"Unlisted")</f>
        <v>Unlisted</v>
      </c>
      <c r="M473" s="174" t="str">
        <f>IFERROR(__xludf.DUMMYFUNCTION("""COMPUTED_VALUE"""),"Unlisted")</f>
        <v>Unlisted</v>
      </c>
      <c r="N473" s="174" t="str">
        <f>IFERROR(__xludf.DUMMYFUNCTION("""COMPUTED_VALUE"""),"Unlisted")</f>
        <v>Unlisted</v>
      </c>
      <c r="O473" s="174" t="str">
        <f>IFERROR(__xludf.DUMMYFUNCTION("""COMPUTED_VALUE"""),"Unlisted")</f>
        <v>Unlisted</v>
      </c>
      <c r="P473" s="174" t="str">
        <f>IFERROR(__xludf.DUMMYFUNCTION("""COMPUTED_VALUE"""),"Unlisted")</f>
        <v>Unlisted</v>
      </c>
      <c r="Q473" s="174" t="str">
        <f>IFERROR(__xludf.DUMMYFUNCTION("""COMPUTED_VALUE"""),"Unlisted")</f>
        <v>Unlisted</v>
      </c>
      <c r="R473" s="174" t="str">
        <f>IFERROR(__xludf.DUMMYFUNCTION("""COMPUTED_VALUE"""),"Unlisted")</f>
        <v>Unlisted</v>
      </c>
    </row>
    <row r="474">
      <c r="A474" s="255" t="str">
        <f>IFERROR(__xludf.DUMMYFUNCTION("""COMPUTED_VALUE"""),"Unfezant")</f>
        <v>Unfezant</v>
      </c>
      <c r="B474" s="174" t="str">
        <f>IFERROR(__xludf.DUMMYFUNCTION("""COMPUTED_VALUE"""),"Mastered")</f>
        <v>Mastered</v>
      </c>
      <c r="C474" s="174" t="str">
        <f>IFERROR(__xludf.DUMMYFUNCTION("""COMPUTED_VALUE"""),"Unlisted")</f>
        <v>Unlisted</v>
      </c>
      <c r="D474" s="174" t="str">
        <f>IFERROR(__xludf.DUMMYFUNCTION("""COMPUTED_VALUE"""),"Unlisted")</f>
        <v>Unlisted</v>
      </c>
      <c r="E474" s="174" t="str">
        <f>IFERROR(__xludf.DUMMYFUNCTION("""COMPUTED_VALUE"""),"Proficient")</f>
        <v>Proficient</v>
      </c>
      <c r="F474" s="174" t="str">
        <f>IFERROR(__xludf.DUMMYFUNCTION("""COMPUTED_VALUE"""),"Unlisted")</f>
        <v>Unlisted</v>
      </c>
      <c r="G474" s="174" t="str">
        <f>IFERROR(__xludf.DUMMYFUNCTION("""COMPUTED_VALUE"""),"Proficient")</f>
        <v>Proficient</v>
      </c>
      <c r="H474" s="174" t="str">
        <f>IFERROR(__xludf.DUMMYFUNCTION("""COMPUTED_VALUE"""),"Unlisted")</f>
        <v>Unlisted</v>
      </c>
      <c r="I474" s="174" t="str">
        <f>IFERROR(__xludf.DUMMYFUNCTION("""COMPUTED_VALUE"""),"Unlisted")</f>
        <v>Unlisted</v>
      </c>
      <c r="J474" s="174" t="str">
        <f>IFERROR(__xludf.DUMMYFUNCTION("""COMPUTED_VALUE"""),"Unlisted")</f>
        <v>Unlisted</v>
      </c>
      <c r="K474" s="174" t="str">
        <f>IFERROR(__xludf.DUMMYFUNCTION("""COMPUTED_VALUE"""),"Unlisted")</f>
        <v>Unlisted</v>
      </c>
      <c r="L474" s="174" t="str">
        <f>IFERROR(__xludf.DUMMYFUNCTION("""COMPUTED_VALUE"""),"Unlisted")</f>
        <v>Unlisted</v>
      </c>
      <c r="M474" s="174" t="str">
        <f>IFERROR(__xludf.DUMMYFUNCTION("""COMPUTED_VALUE"""),"Unlisted")</f>
        <v>Unlisted</v>
      </c>
      <c r="N474" s="174" t="str">
        <f>IFERROR(__xludf.DUMMYFUNCTION("""COMPUTED_VALUE"""),"Unlisted")</f>
        <v>Unlisted</v>
      </c>
      <c r="O474" s="174" t="str">
        <f>IFERROR(__xludf.DUMMYFUNCTION("""COMPUTED_VALUE"""),"Unlisted")</f>
        <v>Unlisted</v>
      </c>
      <c r="P474" s="174" t="str">
        <f>IFERROR(__xludf.DUMMYFUNCTION("""COMPUTED_VALUE"""),"Unlisted")</f>
        <v>Unlisted</v>
      </c>
      <c r="Q474" s="174" t="str">
        <f>IFERROR(__xludf.DUMMYFUNCTION("""COMPUTED_VALUE"""),"Unlisted")</f>
        <v>Unlisted</v>
      </c>
      <c r="R474" s="174" t="str">
        <f>IFERROR(__xludf.DUMMYFUNCTION("""COMPUTED_VALUE"""),"Unlisted")</f>
        <v>Unlisted</v>
      </c>
    </row>
    <row r="475">
      <c r="A475" s="255" t="str">
        <f>IFERROR(__xludf.DUMMYFUNCTION("""COMPUTED_VALUE"""),"Pikipek")</f>
        <v>Pikipek</v>
      </c>
      <c r="B475" s="174" t="str">
        <f>IFERROR(__xludf.DUMMYFUNCTION("""COMPUTED_VALUE"""),"Proficient")</f>
        <v>Proficient</v>
      </c>
      <c r="C475" s="174" t="str">
        <f>IFERROR(__xludf.DUMMYFUNCTION("""COMPUTED_VALUE"""),"Unlisted")</f>
        <v>Unlisted</v>
      </c>
      <c r="D475" s="174" t="str">
        <f>IFERROR(__xludf.DUMMYFUNCTION("""COMPUTED_VALUE"""),"Unlisted")</f>
        <v>Unlisted</v>
      </c>
      <c r="E475" s="174" t="str">
        <f>IFERROR(__xludf.DUMMYFUNCTION("""COMPUTED_VALUE"""),"Unlisted")</f>
        <v>Unlisted</v>
      </c>
      <c r="F475" s="174" t="str">
        <f>IFERROR(__xludf.DUMMYFUNCTION("""COMPUTED_VALUE"""),"Unlisted")</f>
        <v>Unlisted</v>
      </c>
      <c r="G475" s="174" t="str">
        <f>IFERROR(__xludf.DUMMYFUNCTION("""COMPUTED_VALUE"""),"Proficient")</f>
        <v>Proficient</v>
      </c>
      <c r="H475" s="174" t="str">
        <f>IFERROR(__xludf.DUMMYFUNCTION("""COMPUTED_VALUE"""),"Unlisted")</f>
        <v>Unlisted</v>
      </c>
      <c r="I475" s="174" t="str">
        <f>IFERROR(__xludf.DUMMYFUNCTION("""COMPUTED_VALUE"""),"Unlisted")</f>
        <v>Unlisted</v>
      </c>
      <c r="J475" s="174" t="str">
        <f>IFERROR(__xludf.DUMMYFUNCTION("""COMPUTED_VALUE"""),"Unlisted")</f>
        <v>Unlisted</v>
      </c>
      <c r="K475" s="174" t="str">
        <f>IFERROR(__xludf.DUMMYFUNCTION("""COMPUTED_VALUE"""),"Unlisted")</f>
        <v>Unlisted</v>
      </c>
      <c r="L475" s="174" t="str">
        <f>IFERROR(__xludf.DUMMYFUNCTION("""COMPUTED_VALUE"""),"Unlisted")</f>
        <v>Unlisted</v>
      </c>
      <c r="M475" s="174" t="str">
        <f>IFERROR(__xludf.DUMMYFUNCTION("""COMPUTED_VALUE"""),"Unlisted")</f>
        <v>Unlisted</v>
      </c>
      <c r="N475" s="174" t="str">
        <f>IFERROR(__xludf.DUMMYFUNCTION("""COMPUTED_VALUE"""),"Unlisted")</f>
        <v>Unlisted</v>
      </c>
      <c r="O475" s="174" t="str">
        <f>IFERROR(__xludf.DUMMYFUNCTION("""COMPUTED_VALUE"""),"Unlisted")</f>
        <v>Unlisted</v>
      </c>
      <c r="P475" s="174" t="str">
        <f>IFERROR(__xludf.DUMMYFUNCTION("""COMPUTED_VALUE"""),"Unlisted")</f>
        <v>Unlisted</v>
      </c>
      <c r="Q475" s="174" t="str">
        <f>IFERROR(__xludf.DUMMYFUNCTION("""COMPUTED_VALUE"""),"Unlisted")</f>
        <v>Unlisted</v>
      </c>
      <c r="R475" s="174" t="str">
        <f>IFERROR(__xludf.DUMMYFUNCTION("""COMPUTED_VALUE"""),"Unlisted")</f>
        <v>Unlisted</v>
      </c>
    </row>
    <row r="476">
      <c r="A476" s="255" t="str">
        <f>IFERROR(__xludf.DUMMYFUNCTION("""COMPUTED_VALUE"""),"Trumbeak")</f>
        <v>Trumbeak</v>
      </c>
      <c r="B476" s="174" t="str">
        <f>IFERROR(__xludf.DUMMYFUNCTION("""COMPUTED_VALUE"""),"Proficient")</f>
        <v>Proficient</v>
      </c>
      <c r="C476" s="174" t="str">
        <f>IFERROR(__xludf.DUMMYFUNCTION("""COMPUTED_VALUE"""),"Unlisted")</f>
        <v>Unlisted</v>
      </c>
      <c r="D476" s="174" t="str">
        <f>IFERROR(__xludf.DUMMYFUNCTION("""COMPUTED_VALUE"""),"Unlisted")</f>
        <v>Unlisted</v>
      </c>
      <c r="E476" s="174" t="str">
        <f>IFERROR(__xludf.DUMMYFUNCTION("""COMPUTED_VALUE"""),"Unlisted")</f>
        <v>Unlisted</v>
      </c>
      <c r="F476" s="174" t="str">
        <f>IFERROR(__xludf.DUMMYFUNCTION("""COMPUTED_VALUE"""),"Unlisted")</f>
        <v>Unlisted</v>
      </c>
      <c r="G476" s="174" t="str">
        <f>IFERROR(__xludf.DUMMYFUNCTION("""COMPUTED_VALUE"""),"Proficient")</f>
        <v>Proficient</v>
      </c>
      <c r="H476" s="174" t="str">
        <f>IFERROR(__xludf.DUMMYFUNCTION("""COMPUTED_VALUE"""),"Unlisted")</f>
        <v>Unlisted</v>
      </c>
      <c r="I476" s="174" t="str">
        <f>IFERROR(__xludf.DUMMYFUNCTION("""COMPUTED_VALUE"""),"Unlisted")</f>
        <v>Unlisted</v>
      </c>
      <c r="J476" s="174" t="str">
        <f>IFERROR(__xludf.DUMMYFUNCTION("""COMPUTED_VALUE"""),"Unlisted")</f>
        <v>Unlisted</v>
      </c>
      <c r="K476" s="174" t="str">
        <f>IFERROR(__xludf.DUMMYFUNCTION("""COMPUTED_VALUE"""),"Proficient")</f>
        <v>Proficient</v>
      </c>
      <c r="L476" s="174" t="str">
        <f>IFERROR(__xludf.DUMMYFUNCTION("""COMPUTED_VALUE"""),"Unlisted")</f>
        <v>Unlisted</v>
      </c>
      <c r="M476" s="174" t="str">
        <f>IFERROR(__xludf.DUMMYFUNCTION("""COMPUTED_VALUE"""),"Unlisted")</f>
        <v>Unlisted</v>
      </c>
      <c r="N476" s="174" t="str">
        <f>IFERROR(__xludf.DUMMYFUNCTION("""COMPUTED_VALUE"""),"Unlisted")</f>
        <v>Unlisted</v>
      </c>
      <c r="O476" s="174" t="str">
        <f>IFERROR(__xludf.DUMMYFUNCTION("""COMPUTED_VALUE"""),"Unlisted")</f>
        <v>Unlisted</v>
      </c>
      <c r="P476" s="174" t="str">
        <f>IFERROR(__xludf.DUMMYFUNCTION("""COMPUTED_VALUE"""),"Unlisted")</f>
        <v>Unlisted</v>
      </c>
      <c r="Q476" s="174" t="str">
        <f>IFERROR(__xludf.DUMMYFUNCTION("""COMPUTED_VALUE"""),"Unlisted")</f>
        <v>Unlisted</v>
      </c>
      <c r="R476" s="174" t="str">
        <f>IFERROR(__xludf.DUMMYFUNCTION("""COMPUTED_VALUE"""),"Unlisted")</f>
        <v>Unlisted</v>
      </c>
    </row>
    <row r="477">
      <c r="A477" s="255" t="str">
        <f>IFERROR(__xludf.DUMMYFUNCTION("""COMPUTED_VALUE"""),"Toucannon")</f>
        <v>Toucannon</v>
      </c>
      <c r="B477" s="174" t="str">
        <f>IFERROR(__xludf.DUMMYFUNCTION("""COMPUTED_VALUE"""),"Proficient")</f>
        <v>Proficient</v>
      </c>
      <c r="C477" s="174" t="str">
        <f>IFERROR(__xludf.DUMMYFUNCTION("""COMPUTED_VALUE"""),"Unlisted")</f>
        <v>Unlisted</v>
      </c>
      <c r="D477" s="174" t="str">
        <f>IFERROR(__xludf.DUMMYFUNCTION("""COMPUTED_VALUE"""),"Unlisted")</f>
        <v>Unlisted</v>
      </c>
      <c r="E477" s="174" t="str">
        <f>IFERROR(__xludf.DUMMYFUNCTION("""COMPUTED_VALUE"""),"Unlisted")</f>
        <v>Unlisted</v>
      </c>
      <c r="F477" s="174" t="str">
        <f>IFERROR(__xludf.DUMMYFUNCTION("""COMPUTED_VALUE"""),"Unlisted")</f>
        <v>Unlisted</v>
      </c>
      <c r="G477" s="174" t="str">
        <f>IFERROR(__xludf.DUMMYFUNCTION("""COMPUTED_VALUE"""),"Proficient")</f>
        <v>Proficient</v>
      </c>
      <c r="H477" s="174" t="str">
        <f>IFERROR(__xludf.DUMMYFUNCTION("""COMPUTED_VALUE"""),"Unlisted")</f>
        <v>Unlisted</v>
      </c>
      <c r="I477" s="174" t="str">
        <f>IFERROR(__xludf.DUMMYFUNCTION("""COMPUTED_VALUE"""),"Unlisted")</f>
        <v>Unlisted</v>
      </c>
      <c r="J477" s="174" t="str">
        <f>IFERROR(__xludf.DUMMYFUNCTION("""COMPUTED_VALUE"""),"Unlisted")</f>
        <v>Unlisted</v>
      </c>
      <c r="K477" s="174" t="str">
        <f>IFERROR(__xludf.DUMMYFUNCTION("""COMPUTED_VALUE"""),"Proficient")</f>
        <v>Proficient</v>
      </c>
      <c r="L477" s="174" t="str">
        <f>IFERROR(__xludf.DUMMYFUNCTION("""COMPUTED_VALUE"""),"Unlisted")</f>
        <v>Unlisted</v>
      </c>
      <c r="M477" s="174" t="str">
        <f>IFERROR(__xludf.DUMMYFUNCTION("""COMPUTED_VALUE"""),"Unlisted")</f>
        <v>Unlisted</v>
      </c>
      <c r="N477" s="174" t="str">
        <f>IFERROR(__xludf.DUMMYFUNCTION("""COMPUTED_VALUE"""),"Unlisted")</f>
        <v>Unlisted</v>
      </c>
      <c r="O477" s="174" t="str">
        <f>IFERROR(__xludf.DUMMYFUNCTION("""COMPUTED_VALUE"""),"Unlisted")</f>
        <v>Unlisted</v>
      </c>
      <c r="P477" s="174" t="str">
        <f>IFERROR(__xludf.DUMMYFUNCTION("""COMPUTED_VALUE"""),"Unlisted")</f>
        <v>Unlisted</v>
      </c>
      <c r="Q477" s="174" t="str">
        <f>IFERROR(__xludf.DUMMYFUNCTION("""COMPUTED_VALUE"""),"Unlisted")</f>
        <v>Unlisted</v>
      </c>
      <c r="R477" s="174" t="str">
        <f>IFERROR(__xludf.DUMMYFUNCTION("""COMPUTED_VALUE"""),"Unlisted")</f>
        <v>Unlisted</v>
      </c>
    </row>
    <row r="478">
      <c r="A478" s="255" t="str">
        <f>IFERROR(__xludf.DUMMYFUNCTION("""COMPUTED_VALUE"""),"Nidoran F")</f>
        <v>Nidoran F</v>
      </c>
      <c r="B478" s="174" t="str">
        <f>IFERROR(__xludf.DUMMYFUNCTION("""COMPUTED_VALUE"""),"Unlisted")</f>
        <v>Unlisted</v>
      </c>
      <c r="C478" s="174" t="str">
        <f>IFERROR(__xludf.DUMMYFUNCTION("""COMPUTED_VALUE"""),"Unlisted")</f>
        <v>Unlisted</v>
      </c>
      <c r="D478" s="174" t="str">
        <f>IFERROR(__xludf.DUMMYFUNCTION("""COMPUTED_VALUE"""),"Unlisted")</f>
        <v>Unlisted</v>
      </c>
      <c r="E478" s="174" t="str">
        <f>IFERROR(__xludf.DUMMYFUNCTION("""COMPUTED_VALUE"""),"Unlisted")</f>
        <v>Unlisted</v>
      </c>
      <c r="F478" s="174" t="str">
        <f>IFERROR(__xludf.DUMMYFUNCTION("""COMPUTED_VALUE"""),"Unlisted")</f>
        <v>Unlisted</v>
      </c>
      <c r="G478" s="174" t="str">
        <f>IFERROR(__xludf.DUMMYFUNCTION("""COMPUTED_VALUE"""),"Proficient")</f>
        <v>Proficient</v>
      </c>
      <c r="H478" s="174" t="str">
        <f>IFERROR(__xludf.DUMMYFUNCTION("""COMPUTED_VALUE"""),"Unlisted")</f>
        <v>Unlisted</v>
      </c>
      <c r="I478" s="174" t="str">
        <f>IFERROR(__xludf.DUMMYFUNCTION("""COMPUTED_VALUE"""),"Unlisted")</f>
        <v>Unlisted</v>
      </c>
      <c r="J478" s="174" t="str">
        <f>IFERROR(__xludf.DUMMYFUNCTION("""COMPUTED_VALUE"""),"Unlisted")</f>
        <v>Unlisted</v>
      </c>
      <c r="K478" s="174" t="str">
        <f>IFERROR(__xludf.DUMMYFUNCTION("""COMPUTED_VALUE"""),"Unlisted")</f>
        <v>Unlisted</v>
      </c>
      <c r="L478" s="174" t="str">
        <f>IFERROR(__xludf.DUMMYFUNCTION("""COMPUTED_VALUE"""),"Unlisted")</f>
        <v>Unlisted</v>
      </c>
      <c r="M478" s="174" t="str">
        <f>IFERROR(__xludf.DUMMYFUNCTION("""COMPUTED_VALUE"""),"Unlisted")</f>
        <v>Unlisted</v>
      </c>
      <c r="N478" s="174" t="str">
        <f>IFERROR(__xludf.DUMMYFUNCTION("""COMPUTED_VALUE"""),"Unlisted")</f>
        <v>Unlisted</v>
      </c>
      <c r="O478" s="174" t="str">
        <f>IFERROR(__xludf.DUMMYFUNCTION("""COMPUTED_VALUE"""),"Unlisted")</f>
        <v>Unlisted</v>
      </c>
      <c r="P478" s="174" t="str">
        <f>IFERROR(__xludf.DUMMYFUNCTION("""COMPUTED_VALUE"""),"Unlisted")</f>
        <v>Unlisted</v>
      </c>
      <c r="Q478" s="174" t="str">
        <f>IFERROR(__xludf.DUMMYFUNCTION("""COMPUTED_VALUE"""),"Unlisted")</f>
        <v>Unlisted</v>
      </c>
      <c r="R478" s="174" t="str">
        <f>IFERROR(__xludf.DUMMYFUNCTION("""COMPUTED_VALUE"""),"Unlisted")</f>
        <v>Unlisted</v>
      </c>
    </row>
    <row r="479">
      <c r="A479" s="255" t="str">
        <f>IFERROR(__xludf.DUMMYFUNCTION("""COMPUTED_VALUE"""),"Nidorina")</f>
        <v>Nidorina</v>
      </c>
      <c r="B479" s="174" t="str">
        <f>IFERROR(__xludf.DUMMYFUNCTION("""COMPUTED_VALUE"""),"Unlisted")</f>
        <v>Unlisted</v>
      </c>
      <c r="C479" s="174" t="str">
        <f>IFERROR(__xludf.DUMMYFUNCTION("""COMPUTED_VALUE"""),"Proficient")</f>
        <v>Proficient</v>
      </c>
      <c r="D479" s="174" t="str">
        <f>IFERROR(__xludf.DUMMYFUNCTION("""COMPUTED_VALUE"""),"Unlisted")</f>
        <v>Unlisted</v>
      </c>
      <c r="E479" s="174" t="str">
        <f>IFERROR(__xludf.DUMMYFUNCTION("""COMPUTED_VALUE"""),"Unlisted")</f>
        <v>Unlisted</v>
      </c>
      <c r="F479" s="174" t="str">
        <f>IFERROR(__xludf.DUMMYFUNCTION("""COMPUTED_VALUE"""),"Unlisted")</f>
        <v>Unlisted</v>
      </c>
      <c r="G479" s="174" t="str">
        <f>IFERROR(__xludf.DUMMYFUNCTION("""COMPUTED_VALUE"""),"Proficient")</f>
        <v>Proficient</v>
      </c>
      <c r="H479" s="174" t="str">
        <f>IFERROR(__xludf.DUMMYFUNCTION("""COMPUTED_VALUE"""),"Unlisted")</f>
        <v>Unlisted</v>
      </c>
      <c r="I479" s="174" t="str">
        <f>IFERROR(__xludf.DUMMYFUNCTION("""COMPUTED_VALUE"""),"Unlisted")</f>
        <v>Unlisted</v>
      </c>
      <c r="J479" s="174" t="str">
        <f>IFERROR(__xludf.DUMMYFUNCTION("""COMPUTED_VALUE"""),"Unlisted")</f>
        <v>Unlisted</v>
      </c>
      <c r="K479" s="174" t="str">
        <f>IFERROR(__xludf.DUMMYFUNCTION("""COMPUTED_VALUE"""),"Unlisted")</f>
        <v>Unlisted</v>
      </c>
      <c r="L479" s="174" t="str">
        <f>IFERROR(__xludf.DUMMYFUNCTION("""COMPUTED_VALUE"""),"Unlisted")</f>
        <v>Unlisted</v>
      </c>
      <c r="M479" s="174" t="str">
        <f>IFERROR(__xludf.DUMMYFUNCTION("""COMPUTED_VALUE"""),"Unlisted")</f>
        <v>Unlisted</v>
      </c>
      <c r="N479" s="174" t="str">
        <f>IFERROR(__xludf.DUMMYFUNCTION("""COMPUTED_VALUE"""),"Unlisted")</f>
        <v>Unlisted</v>
      </c>
      <c r="O479" s="174" t="str">
        <f>IFERROR(__xludf.DUMMYFUNCTION("""COMPUTED_VALUE"""),"Unlisted")</f>
        <v>Unlisted</v>
      </c>
      <c r="P479" s="174" t="str">
        <f>IFERROR(__xludf.DUMMYFUNCTION("""COMPUTED_VALUE"""),"Unlisted")</f>
        <v>Unlisted</v>
      </c>
      <c r="Q479" s="174" t="str">
        <f>IFERROR(__xludf.DUMMYFUNCTION("""COMPUTED_VALUE"""),"Unlisted")</f>
        <v>Unlisted</v>
      </c>
      <c r="R479" s="174" t="str">
        <f>IFERROR(__xludf.DUMMYFUNCTION("""COMPUTED_VALUE"""),"Unlisted")</f>
        <v>Unlisted</v>
      </c>
    </row>
    <row r="480">
      <c r="A480" s="255" t="str">
        <f>IFERROR(__xludf.DUMMYFUNCTION("""COMPUTED_VALUE"""),"Nidoqueen")</f>
        <v>Nidoqueen</v>
      </c>
      <c r="B480" s="174" t="str">
        <f>IFERROR(__xludf.DUMMYFUNCTION("""COMPUTED_VALUE"""),"Unlisted")</f>
        <v>Unlisted</v>
      </c>
      <c r="C480" s="174" t="str">
        <f>IFERROR(__xludf.DUMMYFUNCTION("""COMPUTED_VALUE"""),"Proficient")</f>
        <v>Proficient</v>
      </c>
      <c r="D480" s="174" t="str">
        <f>IFERROR(__xludf.DUMMYFUNCTION("""COMPUTED_VALUE"""),"Unlisted")</f>
        <v>Unlisted</v>
      </c>
      <c r="E480" s="174" t="str">
        <f>IFERROR(__xludf.DUMMYFUNCTION("""COMPUTED_VALUE"""),"Proficient")</f>
        <v>Proficient</v>
      </c>
      <c r="F480" s="174" t="str">
        <f>IFERROR(__xludf.DUMMYFUNCTION("""COMPUTED_VALUE"""),"Unlisted")</f>
        <v>Unlisted</v>
      </c>
      <c r="G480" s="174" t="str">
        <f>IFERROR(__xludf.DUMMYFUNCTION("""COMPUTED_VALUE"""),"Proficient")</f>
        <v>Proficient</v>
      </c>
      <c r="H480" s="174" t="str">
        <f>IFERROR(__xludf.DUMMYFUNCTION("""COMPUTED_VALUE"""),"Unlisted")</f>
        <v>Unlisted</v>
      </c>
      <c r="I480" s="174" t="str">
        <f>IFERROR(__xludf.DUMMYFUNCTION("""COMPUTED_VALUE"""),"Unlisted")</f>
        <v>Unlisted</v>
      </c>
      <c r="J480" s="174" t="str">
        <f>IFERROR(__xludf.DUMMYFUNCTION("""COMPUTED_VALUE"""),"Unlisted")</f>
        <v>Unlisted</v>
      </c>
      <c r="K480" s="174" t="str">
        <f>IFERROR(__xludf.DUMMYFUNCTION("""COMPUTED_VALUE"""),"Unlisted")</f>
        <v>Unlisted</v>
      </c>
      <c r="L480" s="174" t="str">
        <f>IFERROR(__xludf.DUMMYFUNCTION("""COMPUTED_VALUE"""),"Unlisted")</f>
        <v>Unlisted</v>
      </c>
      <c r="M480" s="174" t="str">
        <f>IFERROR(__xludf.DUMMYFUNCTION("""COMPUTED_VALUE"""),"Unlisted")</f>
        <v>Unlisted</v>
      </c>
      <c r="N480" s="174" t="str">
        <f>IFERROR(__xludf.DUMMYFUNCTION("""COMPUTED_VALUE"""),"Unlisted")</f>
        <v>Unlisted</v>
      </c>
      <c r="O480" s="174" t="str">
        <f>IFERROR(__xludf.DUMMYFUNCTION("""COMPUTED_VALUE"""),"Unlisted")</f>
        <v>Unlisted</v>
      </c>
      <c r="P480" s="174" t="str">
        <f>IFERROR(__xludf.DUMMYFUNCTION("""COMPUTED_VALUE"""),"Unlisted")</f>
        <v>Unlisted</v>
      </c>
      <c r="Q480" s="174" t="str">
        <f>IFERROR(__xludf.DUMMYFUNCTION("""COMPUTED_VALUE"""),"Unlisted")</f>
        <v>Unlisted</v>
      </c>
      <c r="R480" s="174" t="str">
        <f>IFERROR(__xludf.DUMMYFUNCTION("""COMPUTED_VALUE"""),"Unlisted")</f>
        <v>Unlisted</v>
      </c>
    </row>
    <row r="481">
      <c r="A481" s="255" t="str">
        <f>IFERROR(__xludf.DUMMYFUNCTION("""COMPUTED_VALUE"""),"Nidoran M")</f>
        <v>Nidoran M</v>
      </c>
      <c r="B481" s="174" t="str">
        <f>IFERROR(__xludf.DUMMYFUNCTION("""COMPUTED_VALUE"""),"Unlisted")</f>
        <v>Unlisted</v>
      </c>
      <c r="C481" s="174" t="str">
        <f>IFERROR(__xludf.DUMMYFUNCTION("""COMPUTED_VALUE"""),"Unlisted")</f>
        <v>Unlisted</v>
      </c>
      <c r="D481" s="174" t="str">
        <f>IFERROR(__xludf.DUMMYFUNCTION("""COMPUTED_VALUE"""),"Unlisted")</f>
        <v>Unlisted</v>
      </c>
      <c r="E481" s="174" t="str">
        <f>IFERROR(__xludf.DUMMYFUNCTION("""COMPUTED_VALUE"""),"Unlisted")</f>
        <v>Unlisted</v>
      </c>
      <c r="F481" s="174" t="str">
        <f>IFERROR(__xludf.DUMMYFUNCTION("""COMPUTED_VALUE"""),"Unlisted")</f>
        <v>Unlisted</v>
      </c>
      <c r="G481" s="174" t="str">
        <f>IFERROR(__xludf.DUMMYFUNCTION("""COMPUTED_VALUE"""),"Proficient")</f>
        <v>Proficient</v>
      </c>
      <c r="H481" s="174" t="str">
        <f>IFERROR(__xludf.DUMMYFUNCTION("""COMPUTED_VALUE"""),"Unlisted")</f>
        <v>Unlisted</v>
      </c>
      <c r="I481" s="174" t="str">
        <f>IFERROR(__xludf.DUMMYFUNCTION("""COMPUTED_VALUE"""),"Unlisted")</f>
        <v>Unlisted</v>
      </c>
      <c r="J481" s="174" t="str">
        <f>IFERROR(__xludf.DUMMYFUNCTION("""COMPUTED_VALUE"""),"Unlisted")</f>
        <v>Unlisted</v>
      </c>
      <c r="K481" s="174" t="str">
        <f>IFERROR(__xludf.DUMMYFUNCTION("""COMPUTED_VALUE"""),"Unlisted")</f>
        <v>Unlisted</v>
      </c>
      <c r="L481" s="174" t="str">
        <f>IFERROR(__xludf.DUMMYFUNCTION("""COMPUTED_VALUE"""),"Unlisted")</f>
        <v>Unlisted</v>
      </c>
      <c r="M481" s="174" t="str">
        <f>IFERROR(__xludf.DUMMYFUNCTION("""COMPUTED_VALUE"""),"Unlisted")</f>
        <v>Unlisted</v>
      </c>
      <c r="N481" s="174" t="str">
        <f>IFERROR(__xludf.DUMMYFUNCTION("""COMPUTED_VALUE"""),"Unlisted")</f>
        <v>Unlisted</v>
      </c>
      <c r="O481" s="174" t="str">
        <f>IFERROR(__xludf.DUMMYFUNCTION("""COMPUTED_VALUE"""),"Unlisted")</f>
        <v>Unlisted</v>
      </c>
      <c r="P481" s="174" t="str">
        <f>IFERROR(__xludf.DUMMYFUNCTION("""COMPUTED_VALUE"""),"Unlisted")</f>
        <v>Unlisted</v>
      </c>
      <c r="Q481" s="174" t="str">
        <f>IFERROR(__xludf.DUMMYFUNCTION("""COMPUTED_VALUE"""),"Unlisted")</f>
        <v>Unlisted</v>
      </c>
      <c r="R481" s="174" t="str">
        <f>IFERROR(__xludf.DUMMYFUNCTION("""COMPUTED_VALUE"""),"Unlisted")</f>
        <v>Unlisted</v>
      </c>
    </row>
    <row r="482">
      <c r="A482" s="255" t="str">
        <f>IFERROR(__xludf.DUMMYFUNCTION("""COMPUTED_VALUE"""),"Nidorino")</f>
        <v>Nidorino</v>
      </c>
      <c r="B482" s="174" t="str">
        <f>IFERROR(__xludf.DUMMYFUNCTION("""COMPUTED_VALUE"""),"Unlisted")</f>
        <v>Unlisted</v>
      </c>
      <c r="C482" s="174" t="str">
        <f>IFERROR(__xludf.DUMMYFUNCTION("""COMPUTED_VALUE"""),"Unlisted")</f>
        <v>Unlisted</v>
      </c>
      <c r="D482" s="174" t="str">
        <f>IFERROR(__xludf.DUMMYFUNCTION("""COMPUTED_VALUE"""),"Unlisted")</f>
        <v>Unlisted</v>
      </c>
      <c r="E482" s="174" t="str">
        <f>IFERROR(__xludf.DUMMYFUNCTION("""COMPUTED_VALUE"""),"Proficient")</f>
        <v>Proficient</v>
      </c>
      <c r="F482" s="174" t="str">
        <f>IFERROR(__xludf.DUMMYFUNCTION("""COMPUTED_VALUE"""),"Unlisted")</f>
        <v>Unlisted</v>
      </c>
      <c r="G482" s="174" t="str">
        <f>IFERROR(__xludf.DUMMYFUNCTION("""COMPUTED_VALUE"""),"Proficient")</f>
        <v>Proficient</v>
      </c>
      <c r="H482" s="174" t="str">
        <f>IFERROR(__xludf.DUMMYFUNCTION("""COMPUTED_VALUE"""),"Unlisted")</f>
        <v>Unlisted</v>
      </c>
      <c r="I482" s="174" t="str">
        <f>IFERROR(__xludf.DUMMYFUNCTION("""COMPUTED_VALUE"""),"Unlisted")</f>
        <v>Unlisted</v>
      </c>
      <c r="J482" s="174" t="str">
        <f>IFERROR(__xludf.DUMMYFUNCTION("""COMPUTED_VALUE"""),"Unlisted")</f>
        <v>Unlisted</v>
      </c>
      <c r="K482" s="174" t="str">
        <f>IFERROR(__xludf.DUMMYFUNCTION("""COMPUTED_VALUE"""),"Unlisted")</f>
        <v>Unlisted</v>
      </c>
      <c r="L482" s="174" t="str">
        <f>IFERROR(__xludf.DUMMYFUNCTION("""COMPUTED_VALUE"""),"Unlisted")</f>
        <v>Unlisted</v>
      </c>
      <c r="M482" s="174" t="str">
        <f>IFERROR(__xludf.DUMMYFUNCTION("""COMPUTED_VALUE"""),"Unlisted")</f>
        <v>Unlisted</v>
      </c>
      <c r="N482" s="174" t="str">
        <f>IFERROR(__xludf.DUMMYFUNCTION("""COMPUTED_VALUE"""),"Unlisted")</f>
        <v>Unlisted</v>
      </c>
      <c r="O482" s="174" t="str">
        <f>IFERROR(__xludf.DUMMYFUNCTION("""COMPUTED_VALUE"""),"Unlisted")</f>
        <v>Unlisted</v>
      </c>
      <c r="P482" s="174" t="str">
        <f>IFERROR(__xludf.DUMMYFUNCTION("""COMPUTED_VALUE"""),"Unlisted")</f>
        <v>Unlisted</v>
      </c>
      <c r="Q482" s="174" t="str">
        <f>IFERROR(__xludf.DUMMYFUNCTION("""COMPUTED_VALUE"""),"Unlisted")</f>
        <v>Unlisted</v>
      </c>
      <c r="R482" s="174" t="str">
        <f>IFERROR(__xludf.DUMMYFUNCTION("""COMPUTED_VALUE"""),"Unlisted")</f>
        <v>Unlisted</v>
      </c>
    </row>
    <row r="483">
      <c r="A483" s="255" t="str">
        <f>IFERROR(__xludf.DUMMYFUNCTION("""COMPUTED_VALUE"""),"Nidoking")</f>
        <v>Nidoking</v>
      </c>
      <c r="B483" s="174" t="str">
        <f>IFERROR(__xludf.DUMMYFUNCTION("""COMPUTED_VALUE"""),"Unlisted")</f>
        <v>Unlisted</v>
      </c>
      <c r="C483" s="174" t="str">
        <f>IFERROR(__xludf.DUMMYFUNCTION("""COMPUTED_VALUE"""),"Proficient")</f>
        <v>Proficient</v>
      </c>
      <c r="D483" s="174" t="str">
        <f>IFERROR(__xludf.DUMMYFUNCTION("""COMPUTED_VALUE"""),"Unlisted")</f>
        <v>Unlisted</v>
      </c>
      <c r="E483" s="174" t="str">
        <f>IFERROR(__xludf.DUMMYFUNCTION("""COMPUTED_VALUE"""),"Proficient")</f>
        <v>Proficient</v>
      </c>
      <c r="F483" s="174" t="str">
        <f>IFERROR(__xludf.DUMMYFUNCTION("""COMPUTED_VALUE"""),"Unlisted")</f>
        <v>Unlisted</v>
      </c>
      <c r="G483" s="174" t="str">
        <f>IFERROR(__xludf.DUMMYFUNCTION("""COMPUTED_VALUE"""),"Proficient")</f>
        <v>Proficient</v>
      </c>
      <c r="H483" s="174" t="str">
        <f>IFERROR(__xludf.DUMMYFUNCTION("""COMPUTED_VALUE"""),"Unlisted")</f>
        <v>Unlisted</v>
      </c>
      <c r="I483" s="174" t="str">
        <f>IFERROR(__xludf.DUMMYFUNCTION("""COMPUTED_VALUE"""),"Unlisted")</f>
        <v>Unlisted</v>
      </c>
      <c r="J483" s="174" t="str">
        <f>IFERROR(__xludf.DUMMYFUNCTION("""COMPUTED_VALUE"""),"Unlisted")</f>
        <v>Unlisted</v>
      </c>
      <c r="K483" s="174" t="str">
        <f>IFERROR(__xludf.DUMMYFUNCTION("""COMPUTED_VALUE"""),"Unlisted")</f>
        <v>Unlisted</v>
      </c>
      <c r="L483" s="174" t="str">
        <f>IFERROR(__xludf.DUMMYFUNCTION("""COMPUTED_VALUE"""),"Unlisted")</f>
        <v>Unlisted</v>
      </c>
      <c r="M483" s="174" t="str">
        <f>IFERROR(__xludf.DUMMYFUNCTION("""COMPUTED_VALUE"""),"Unlisted")</f>
        <v>Unlisted</v>
      </c>
      <c r="N483" s="174" t="str">
        <f>IFERROR(__xludf.DUMMYFUNCTION("""COMPUTED_VALUE"""),"Unlisted")</f>
        <v>Unlisted</v>
      </c>
      <c r="O483" s="174" t="str">
        <f>IFERROR(__xludf.DUMMYFUNCTION("""COMPUTED_VALUE"""),"Unlisted")</f>
        <v>Unlisted</v>
      </c>
      <c r="P483" s="174" t="str">
        <f>IFERROR(__xludf.DUMMYFUNCTION("""COMPUTED_VALUE"""),"Unlisted")</f>
        <v>Unlisted</v>
      </c>
      <c r="Q483" s="174" t="str">
        <f>IFERROR(__xludf.DUMMYFUNCTION("""COMPUTED_VALUE"""),"Unlisted")</f>
        <v>Unlisted</v>
      </c>
      <c r="R483" s="174" t="str">
        <f>IFERROR(__xludf.DUMMYFUNCTION("""COMPUTED_VALUE"""),"Unlisted")</f>
        <v>Unlisted</v>
      </c>
    </row>
    <row r="484">
      <c r="A484" s="255" t="str">
        <f>IFERROR(__xludf.DUMMYFUNCTION("""COMPUTED_VALUE"""),"Zubat")</f>
        <v>Zubat</v>
      </c>
      <c r="B484" s="174" t="str">
        <f>IFERROR(__xludf.DUMMYFUNCTION("""COMPUTED_VALUE"""),"Mastered")</f>
        <v>Mastered</v>
      </c>
      <c r="C484" s="174" t="str">
        <f>IFERROR(__xludf.DUMMYFUNCTION("""COMPUTED_VALUE"""),"Inept")</f>
        <v>Inept</v>
      </c>
      <c r="D484" s="174" t="str">
        <f>IFERROR(__xludf.DUMMYFUNCTION("""COMPUTED_VALUE"""),"Unlisted")</f>
        <v>Unlisted</v>
      </c>
      <c r="E484" s="174" t="str">
        <f>IFERROR(__xludf.DUMMYFUNCTION("""COMPUTED_VALUE"""),"Proficient")</f>
        <v>Proficient</v>
      </c>
      <c r="F484" s="174" t="str">
        <f>IFERROR(__xludf.DUMMYFUNCTION("""COMPUTED_VALUE"""),"Unlisted")</f>
        <v>Unlisted</v>
      </c>
      <c r="G484" s="174" t="str">
        <f>IFERROR(__xludf.DUMMYFUNCTION("""COMPUTED_VALUE"""),"Unlisted")</f>
        <v>Unlisted</v>
      </c>
      <c r="H484" s="174" t="str">
        <f>IFERROR(__xludf.DUMMYFUNCTION("""COMPUTED_VALUE"""),"Unlisted")</f>
        <v>Unlisted</v>
      </c>
      <c r="I484" s="174" t="str">
        <f>IFERROR(__xludf.DUMMYFUNCTION("""COMPUTED_VALUE"""),"Unlisted")</f>
        <v>Unlisted</v>
      </c>
      <c r="J484" s="174" t="str">
        <f>IFERROR(__xludf.DUMMYFUNCTION("""COMPUTED_VALUE"""),"Unlisted")</f>
        <v>Unlisted</v>
      </c>
      <c r="K484" s="174" t="str">
        <f>IFERROR(__xludf.DUMMYFUNCTION("""COMPUTED_VALUE"""),"Unlisted")</f>
        <v>Unlisted</v>
      </c>
      <c r="L484" s="174" t="str">
        <f>IFERROR(__xludf.DUMMYFUNCTION("""COMPUTED_VALUE"""),"Proficient")</f>
        <v>Proficient</v>
      </c>
      <c r="M484" s="174" t="str">
        <f>IFERROR(__xludf.DUMMYFUNCTION("""COMPUTED_VALUE"""),"Unlisted")</f>
        <v>Unlisted</v>
      </c>
      <c r="N484" s="174" t="str">
        <f>IFERROR(__xludf.DUMMYFUNCTION("""COMPUTED_VALUE"""),"Unlisted")</f>
        <v>Unlisted</v>
      </c>
      <c r="O484" s="174" t="str">
        <f>IFERROR(__xludf.DUMMYFUNCTION("""COMPUTED_VALUE"""),"Unlisted")</f>
        <v>Unlisted</v>
      </c>
      <c r="P484" s="174" t="str">
        <f>IFERROR(__xludf.DUMMYFUNCTION("""COMPUTED_VALUE"""),"Unlisted")</f>
        <v>Unlisted</v>
      </c>
      <c r="Q484" s="174" t="str">
        <f>IFERROR(__xludf.DUMMYFUNCTION("""COMPUTED_VALUE"""),"Unlisted")</f>
        <v>Unlisted</v>
      </c>
      <c r="R484" s="174" t="str">
        <f>IFERROR(__xludf.DUMMYFUNCTION("""COMPUTED_VALUE"""),"Unlisted")</f>
        <v>Unlisted</v>
      </c>
    </row>
    <row r="485">
      <c r="A485" s="255" t="str">
        <f>IFERROR(__xludf.DUMMYFUNCTION("""COMPUTED_VALUE"""),"Golbat")</f>
        <v>Golbat</v>
      </c>
      <c r="B485" s="174" t="str">
        <f>IFERROR(__xludf.DUMMYFUNCTION("""COMPUTED_VALUE"""),"Mastered")</f>
        <v>Mastered</v>
      </c>
      <c r="C485" s="174" t="str">
        <f>IFERROR(__xludf.DUMMYFUNCTION("""COMPUTED_VALUE"""),"Unlisted")</f>
        <v>Unlisted</v>
      </c>
      <c r="D485" s="174" t="str">
        <f>IFERROR(__xludf.DUMMYFUNCTION("""COMPUTED_VALUE"""),"Unlisted")</f>
        <v>Unlisted</v>
      </c>
      <c r="E485" s="174" t="str">
        <f>IFERROR(__xludf.DUMMYFUNCTION("""COMPUTED_VALUE"""),"Proficient")</f>
        <v>Proficient</v>
      </c>
      <c r="F485" s="174" t="str">
        <f>IFERROR(__xludf.DUMMYFUNCTION("""COMPUTED_VALUE"""),"Unlisted")</f>
        <v>Unlisted</v>
      </c>
      <c r="G485" s="174" t="str">
        <f>IFERROR(__xludf.DUMMYFUNCTION("""COMPUTED_VALUE"""),"Unlisted")</f>
        <v>Unlisted</v>
      </c>
      <c r="H485" s="174" t="str">
        <f>IFERROR(__xludf.DUMMYFUNCTION("""COMPUTED_VALUE"""),"Unlisted")</f>
        <v>Unlisted</v>
      </c>
      <c r="I485" s="174" t="str">
        <f>IFERROR(__xludf.DUMMYFUNCTION("""COMPUTED_VALUE"""),"Unlisted")</f>
        <v>Unlisted</v>
      </c>
      <c r="J485" s="174" t="str">
        <f>IFERROR(__xludf.DUMMYFUNCTION("""COMPUTED_VALUE"""),"Unlisted")</f>
        <v>Unlisted</v>
      </c>
      <c r="K485" s="174" t="str">
        <f>IFERROR(__xludf.DUMMYFUNCTION("""COMPUTED_VALUE"""),"Unlisted")</f>
        <v>Unlisted</v>
      </c>
      <c r="L485" s="174" t="str">
        <f>IFERROR(__xludf.DUMMYFUNCTION("""COMPUTED_VALUE"""),"Proficient")</f>
        <v>Proficient</v>
      </c>
      <c r="M485" s="174" t="str">
        <f>IFERROR(__xludf.DUMMYFUNCTION("""COMPUTED_VALUE"""),"Unlisted")</f>
        <v>Unlisted</v>
      </c>
      <c r="N485" s="174" t="str">
        <f>IFERROR(__xludf.DUMMYFUNCTION("""COMPUTED_VALUE"""),"Unlisted")</f>
        <v>Unlisted</v>
      </c>
      <c r="O485" s="174" t="str">
        <f>IFERROR(__xludf.DUMMYFUNCTION("""COMPUTED_VALUE"""),"Unlisted")</f>
        <v>Unlisted</v>
      </c>
      <c r="P485" s="174" t="str">
        <f>IFERROR(__xludf.DUMMYFUNCTION("""COMPUTED_VALUE"""),"Unlisted")</f>
        <v>Unlisted</v>
      </c>
      <c r="Q485" s="174" t="str">
        <f>IFERROR(__xludf.DUMMYFUNCTION("""COMPUTED_VALUE"""),"Unlisted")</f>
        <v>Unlisted</v>
      </c>
      <c r="R485" s="174" t="str">
        <f>IFERROR(__xludf.DUMMYFUNCTION("""COMPUTED_VALUE"""),"Unlisted")</f>
        <v>Unlisted</v>
      </c>
    </row>
    <row r="486">
      <c r="A486" s="255" t="str">
        <f>IFERROR(__xludf.DUMMYFUNCTION("""COMPUTED_VALUE"""),"Crobat")</f>
        <v>Crobat</v>
      </c>
      <c r="B486" s="174" t="str">
        <f>IFERROR(__xludf.DUMMYFUNCTION("""COMPUTED_VALUE"""),"Mastered")</f>
        <v>Mastered</v>
      </c>
      <c r="C486" s="174" t="str">
        <f>IFERROR(__xludf.DUMMYFUNCTION("""COMPUTED_VALUE"""),"Unlisted")</f>
        <v>Unlisted</v>
      </c>
      <c r="D486" s="174" t="str">
        <f>IFERROR(__xludf.DUMMYFUNCTION("""COMPUTED_VALUE"""),"Unlisted")</f>
        <v>Unlisted</v>
      </c>
      <c r="E486" s="174" t="str">
        <f>IFERROR(__xludf.DUMMYFUNCTION("""COMPUTED_VALUE"""),"Proficient")</f>
        <v>Proficient</v>
      </c>
      <c r="F486" s="174" t="str">
        <f>IFERROR(__xludf.DUMMYFUNCTION("""COMPUTED_VALUE"""),"Unlisted")</f>
        <v>Unlisted</v>
      </c>
      <c r="G486" s="174" t="str">
        <f>IFERROR(__xludf.DUMMYFUNCTION("""COMPUTED_VALUE"""),"Unlisted")</f>
        <v>Unlisted</v>
      </c>
      <c r="H486" s="174" t="str">
        <f>IFERROR(__xludf.DUMMYFUNCTION("""COMPUTED_VALUE"""),"Unlisted")</f>
        <v>Unlisted</v>
      </c>
      <c r="I486" s="174" t="str">
        <f>IFERROR(__xludf.DUMMYFUNCTION("""COMPUTED_VALUE"""),"Unlisted")</f>
        <v>Unlisted</v>
      </c>
      <c r="J486" s="174" t="str">
        <f>IFERROR(__xludf.DUMMYFUNCTION("""COMPUTED_VALUE"""),"Unlisted")</f>
        <v>Unlisted</v>
      </c>
      <c r="K486" s="174" t="str">
        <f>IFERROR(__xludf.DUMMYFUNCTION("""COMPUTED_VALUE"""),"Unlisted")</f>
        <v>Unlisted</v>
      </c>
      <c r="L486" s="174" t="str">
        <f>IFERROR(__xludf.DUMMYFUNCTION("""COMPUTED_VALUE"""),"Proficient")</f>
        <v>Proficient</v>
      </c>
      <c r="M486" s="174" t="str">
        <f>IFERROR(__xludf.DUMMYFUNCTION("""COMPUTED_VALUE"""),"Unlisted")</f>
        <v>Unlisted</v>
      </c>
      <c r="N486" s="174" t="str">
        <f>IFERROR(__xludf.DUMMYFUNCTION("""COMPUTED_VALUE"""),"Unlisted")</f>
        <v>Unlisted</v>
      </c>
      <c r="O486" s="174" t="str">
        <f>IFERROR(__xludf.DUMMYFUNCTION("""COMPUTED_VALUE"""),"Unlisted")</f>
        <v>Unlisted</v>
      </c>
      <c r="P486" s="174" t="str">
        <f>IFERROR(__xludf.DUMMYFUNCTION("""COMPUTED_VALUE"""),"Unlisted")</f>
        <v>Unlisted</v>
      </c>
      <c r="Q486" s="174" t="str">
        <f>IFERROR(__xludf.DUMMYFUNCTION("""COMPUTED_VALUE"""),"Unlisted")</f>
        <v>Unlisted</v>
      </c>
      <c r="R486" s="174" t="str">
        <f>IFERROR(__xludf.DUMMYFUNCTION("""COMPUTED_VALUE"""),"Unlisted")</f>
        <v>Unlisted</v>
      </c>
    </row>
    <row r="487">
      <c r="A487" s="255" t="str">
        <f>IFERROR(__xludf.DUMMYFUNCTION("""COMPUTED_VALUE"""),"Abra")</f>
        <v>Abra</v>
      </c>
      <c r="B487" s="174" t="str">
        <f>IFERROR(__xludf.DUMMYFUNCTION("""COMPUTED_VALUE"""),"Unlisted")</f>
        <v>Unlisted</v>
      </c>
      <c r="C487" s="174" t="str">
        <f>IFERROR(__xludf.DUMMYFUNCTION("""COMPUTED_VALUE"""),"Inept")</f>
        <v>Inept</v>
      </c>
      <c r="D487" s="174" t="str">
        <f>IFERROR(__xludf.DUMMYFUNCTION("""COMPUTED_VALUE"""),"Unlisted")</f>
        <v>Unlisted</v>
      </c>
      <c r="E487" s="174" t="str">
        <f>IFERROR(__xludf.DUMMYFUNCTION("""COMPUTED_VALUE"""),"Unlisted")</f>
        <v>Unlisted</v>
      </c>
      <c r="F487" s="174" t="str">
        <f>IFERROR(__xludf.DUMMYFUNCTION("""COMPUTED_VALUE"""),"Unlisted")</f>
        <v>Unlisted</v>
      </c>
      <c r="G487" s="174" t="str">
        <f>IFERROR(__xludf.DUMMYFUNCTION("""COMPUTED_VALUE"""),"Mastered")</f>
        <v>Mastered</v>
      </c>
      <c r="H487" s="174" t="str">
        <f>IFERROR(__xludf.DUMMYFUNCTION("""COMPUTED_VALUE"""),"Unlisted")</f>
        <v>Unlisted</v>
      </c>
      <c r="I487" s="174" t="str">
        <f>IFERROR(__xludf.DUMMYFUNCTION("""COMPUTED_VALUE"""),"Unlisted")</f>
        <v>Unlisted</v>
      </c>
      <c r="J487" s="174" t="str">
        <f>IFERROR(__xludf.DUMMYFUNCTION("""COMPUTED_VALUE"""),"Proficient")</f>
        <v>Proficient</v>
      </c>
      <c r="K487" s="174" t="str">
        <f>IFERROR(__xludf.DUMMYFUNCTION("""COMPUTED_VALUE"""),"Proficient")</f>
        <v>Proficient</v>
      </c>
      <c r="L487" s="174" t="str">
        <f>IFERROR(__xludf.DUMMYFUNCTION("""COMPUTED_VALUE"""),"Unlisted")</f>
        <v>Unlisted</v>
      </c>
      <c r="M487" s="174" t="str">
        <f>IFERROR(__xludf.DUMMYFUNCTION("""COMPUTED_VALUE"""),"Proficient")</f>
        <v>Proficient</v>
      </c>
      <c r="N487" s="174" t="str">
        <f>IFERROR(__xludf.DUMMYFUNCTION("""COMPUTED_VALUE"""),"Unlisted")</f>
        <v>Unlisted</v>
      </c>
      <c r="O487" s="174" t="str">
        <f>IFERROR(__xludf.DUMMYFUNCTION("""COMPUTED_VALUE"""),"Unlisted")</f>
        <v>Unlisted</v>
      </c>
      <c r="P487" s="174" t="str">
        <f>IFERROR(__xludf.DUMMYFUNCTION("""COMPUTED_VALUE"""),"Unlisted")</f>
        <v>Unlisted</v>
      </c>
      <c r="Q487" s="174" t="str">
        <f>IFERROR(__xludf.DUMMYFUNCTION("""COMPUTED_VALUE"""),"Unlisted")</f>
        <v>Unlisted</v>
      </c>
      <c r="R487" s="174" t="str">
        <f>IFERROR(__xludf.DUMMYFUNCTION("""COMPUTED_VALUE"""),"Unlisted")</f>
        <v>Unlisted</v>
      </c>
    </row>
    <row r="488">
      <c r="A488" s="255" t="str">
        <f>IFERROR(__xludf.DUMMYFUNCTION("""COMPUTED_VALUE"""),"Kadabra")</f>
        <v>Kadabra</v>
      </c>
      <c r="B488" s="174" t="str">
        <f>IFERROR(__xludf.DUMMYFUNCTION("""COMPUTED_VALUE"""),"Unlisted")</f>
        <v>Unlisted</v>
      </c>
      <c r="C488" s="174" t="str">
        <f>IFERROR(__xludf.DUMMYFUNCTION("""COMPUTED_VALUE"""),"Inept")</f>
        <v>Inept</v>
      </c>
      <c r="D488" s="174" t="str">
        <f>IFERROR(__xludf.DUMMYFUNCTION("""COMPUTED_VALUE"""),"Unlisted")</f>
        <v>Unlisted</v>
      </c>
      <c r="E488" s="174" t="str">
        <f>IFERROR(__xludf.DUMMYFUNCTION("""COMPUTED_VALUE"""),"Unlisted")</f>
        <v>Unlisted</v>
      </c>
      <c r="F488" s="174" t="str">
        <f>IFERROR(__xludf.DUMMYFUNCTION("""COMPUTED_VALUE"""),"Unlisted")</f>
        <v>Unlisted</v>
      </c>
      <c r="G488" s="174" t="str">
        <f>IFERROR(__xludf.DUMMYFUNCTION("""COMPUTED_VALUE"""),"Mastered")</f>
        <v>Mastered</v>
      </c>
      <c r="H488" s="174" t="str">
        <f>IFERROR(__xludf.DUMMYFUNCTION("""COMPUTED_VALUE"""),"Unlisted")</f>
        <v>Unlisted</v>
      </c>
      <c r="I488" s="174" t="str">
        <f>IFERROR(__xludf.DUMMYFUNCTION("""COMPUTED_VALUE"""),"Unlisted")</f>
        <v>Unlisted</v>
      </c>
      <c r="J488" s="174" t="str">
        <f>IFERROR(__xludf.DUMMYFUNCTION("""COMPUTED_VALUE"""),"Proficient")</f>
        <v>Proficient</v>
      </c>
      <c r="K488" s="174" t="str">
        <f>IFERROR(__xludf.DUMMYFUNCTION("""COMPUTED_VALUE"""),"Proficient")</f>
        <v>Proficient</v>
      </c>
      <c r="L488" s="174" t="str">
        <f>IFERROR(__xludf.DUMMYFUNCTION("""COMPUTED_VALUE"""),"Unlisted")</f>
        <v>Unlisted</v>
      </c>
      <c r="M488" s="174" t="str">
        <f>IFERROR(__xludf.DUMMYFUNCTION("""COMPUTED_VALUE"""),"Proficient")</f>
        <v>Proficient</v>
      </c>
      <c r="N488" s="174" t="str">
        <f>IFERROR(__xludf.DUMMYFUNCTION("""COMPUTED_VALUE"""),"Unlisted")</f>
        <v>Unlisted</v>
      </c>
      <c r="O488" s="174" t="str">
        <f>IFERROR(__xludf.DUMMYFUNCTION("""COMPUTED_VALUE"""),"Unlisted")</f>
        <v>Unlisted</v>
      </c>
      <c r="P488" s="174" t="str">
        <f>IFERROR(__xludf.DUMMYFUNCTION("""COMPUTED_VALUE"""),"Unlisted")</f>
        <v>Unlisted</v>
      </c>
      <c r="Q488" s="174" t="str">
        <f>IFERROR(__xludf.DUMMYFUNCTION("""COMPUTED_VALUE"""),"Unlisted")</f>
        <v>Unlisted</v>
      </c>
      <c r="R488" s="174" t="str">
        <f>IFERROR(__xludf.DUMMYFUNCTION("""COMPUTED_VALUE"""),"Unlisted")</f>
        <v>Unlisted</v>
      </c>
    </row>
    <row r="489">
      <c r="A489" s="255" t="str">
        <f>IFERROR(__xludf.DUMMYFUNCTION("""COMPUTED_VALUE"""),"Alakazam")</f>
        <v>Alakazam</v>
      </c>
      <c r="B489" s="174" t="str">
        <f>IFERROR(__xludf.DUMMYFUNCTION("""COMPUTED_VALUE"""),"Unlisted")</f>
        <v>Unlisted</v>
      </c>
      <c r="C489" s="174" t="str">
        <f>IFERROR(__xludf.DUMMYFUNCTION("""COMPUTED_VALUE"""),"Inept")</f>
        <v>Inept</v>
      </c>
      <c r="D489" s="174" t="str">
        <f>IFERROR(__xludf.DUMMYFUNCTION("""COMPUTED_VALUE"""),"Unlisted")</f>
        <v>Unlisted</v>
      </c>
      <c r="E489" s="174" t="str">
        <f>IFERROR(__xludf.DUMMYFUNCTION("""COMPUTED_VALUE"""),"Unlisted")</f>
        <v>Unlisted</v>
      </c>
      <c r="F489" s="174" t="str">
        <f>IFERROR(__xludf.DUMMYFUNCTION("""COMPUTED_VALUE"""),"Unlisted")</f>
        <v>Unlisted</v>
      </c>
      <c r="G489" s="174" t="str">
        <f>IFERROR(__xludf.DUMMYFUNCTION("""COMPUTED_VALUE"""),"Mastered")</f>
        <v>Mastered</v>
      </c>
      <c r="H489" s="174" t="str">
        <f>IFERROR(__xludf.DUMMYFUNCTION("""COMPUTED_VALUE"""),"Unlisted")</f>
        <v>Unlisted</v>
      </c>
      <c r="I489" s="174" t="str">
        <f>IFERROR(__xludf.DUMMYFUNCTION("""COMPUTED_VALUE"""),"Unlisted")</f>
        <v>Unlisted</v>
      </c>
      <c r="J489" s="174" t="str">
        <f>IFERROR(__xludf.DUMMYFUNCTION("""COMPUTED_VALUE"""),"Proficient")</f>
        <v>Proficient</v>
      </c>
      <c r="K489" s="174" t="str">
        <f>IFERROR(__xludf.DUMMYFUNCTION("""COMPUTED_VALUE"""),"Proficient")</f>
        <v>Proficient</v>
      </c>
      <c r="L489" s="174" t="str">
        <f>IFERROR(__xludf.DUMMYFUNCTION("""COMPUTED_VALUE"""),"Unlisted")</f>
        <v>Unlisted</v>
      </c>
      <c r="M489" s="174" t="str">
        <f>IFERROR(__xludf.DUMMYFUNCTION("""COMPUTED_VALUE"""),"Proficient")</f>
        <v>Proficient</v>
      </c>
      <c r="N489" s="174" t="str">
        <f>IFERROR(__xludf.DUMMYFUNCTION("""COMPUTED_VALUE"""),"Unlisted")</f>
        <v>Unlisted</v>
      </c>
      <c r="O489" s="174" t="str">
        <f>IFERROR(__xludf.DUMMYFUNCTION("""COMPUTED_VALUE"""),"Unlisted")</f>
        <v>Unlisted</v>
      </c>
      <c r="P489" s="174" t="str">
        <f>IFERROR(__xludf.DUMMYFUNCTION("""COMPUTED_VALUE"""),"Unlisted")</f>
        <v>Unlisted</v>
      </c>
      <c r="Q489" s="174" t="str">
        <f>IFERROR(__xludf.DUMMYFUNCTION("""COMPUTED_VALUE"""),"Unlisted")</f>
        <v>Unlisted</v>
      </c>
      <c r="R489" s="174" t="str">
        <f>IFERROR(__xludf.DUMMYFUNCTION("""COMPUTED_VALUE"""),"Unlisted")</f>
        <v>Unlisted</v>
      </c>
    </row>
    <row r="490">
      <c r="A490" s="255" t="str">
        <f>IFERROR(__xludf.DUMMYFUNCTION("""COMPUTED_VALUE"""),"Ralts")</f>
        <v>Ralts</v>
      </c>
      <c r="B490" s="174" t="str">
        <f>IFERROR(__xludf.DUMMYFUNCTION("""COMPUTED_VALUE"""),"Unlisted")</f>
        <v>Unlisted</v>
      </c>
      <c r="C490" s="174" t="str">
        <f>IFERROR(__xludf.DUMMYFUNCTION("""COMPUTED_VALUE"""),"Inept")</f>
        <v>Inept</v>
      </c>
      <c r="D490" s="174" t="str">
        <f>IFERROR(__xludf.DUMMYFUNCTION("""COMPUTED_VALUE"""),"Unlisted")</f>
        <v>Unlisted</v>
      </c>
      <c r="E490" s="174" t="str">
        <f>IFERROR(__xludf.DUMMYFUNCTION("""COMPUTED_VALUE"""),"Inept")</f>
        <v>Inept</v>
      </c>
      <c r="F490" s="174" t="str">
        <f>IFERROR(__xludf.DUMMYFUNCTION("""COMPUTED_VALUE"""),"Unlisted")</f>
        <v>Unlisted</v>
      </c>
      <c r="G490" s="174" t="str">
        <f>IFERROR(__xludf.DUMMYFUNCTION("""COMPUTED_VALUE"""),"Mastered")</f>
        <v>Mastered</v>
      </c>
      <c r="H490" s="174" t="str">
        <f>IFERROR(__xludf.DUMMYFUNCTION("""COMPUTED_VALUE"""),"Unlisted")</f>
        <v>Unlisted</v>
      </c>
      <c r="I490" s="174" t="str">
        <f>IFERROR(__xludf.DUMMYFUNCTION("""COMPUTED_VALUE"""),"Unlisted")</f>
        <v>Unlisted</v>
      </c>
      <c r="J490" s="174" t="str">
        <f>IFERROR(__xludf.DUMMYFUNCTION("""COMPUTED_VALUE"""),"Proficient")</f>
        <v>Proficient</v>
      </c>
      <c r="K490" s="174" t="str">
        <f>IFERROR(__xludf.DUMMYFUNCTION("""COMPUTED_VALUE"""),"Unlisted")</f>
        <v>Unlisted</v>
      </c>
      <c r="L490" s="174" t="str">
        <f>IFERROR(__xludf.DUMMYFUNCTION("""COMPUTED_VALUE"""),"Proficient")</f>
        <v>Proficient</v>
      </c>
      <c r="M490" s="174" t="str">
        <f>IFERROR(__xludf.DUMMYFUNCTION("""COMPUTED_VALUE"""),"Unlisted")</f>
        <v>Unlisted</v>
      </c>
      <c r="N490" s="174" t="str">
        <f>IFERROR(__xludf.DUMMYFUNCTION("""COMPUTED_VALUE"""),"Unlisted")</f>
        <v>Unlisted</v>
      </c>
      <c r="O490" s="174" t="str">
        <f>IFERROR(__xludf.DUMMYFUNCTION("""COMPUTED_VALUE"""),"Unlisted")</f>
        <v>Unlisted</v>
      </c>
      <c r="P490" s="174" t="str">
        <f>IFERROR(__xludf.DUMMYFUNCTION("""COMPUTED_VALUE"""),"Unlisted")</f>
        <v>Unlisted</v>
      </c>
      <c r="Q490" s="174" t="str">
        <f>IFERROR(__xludf.DUMMYFUNCTION("""COMPUTED_VALUE"""),"Unlisted")</f>
        <v>Unlisted</v>
      </c>
      <c r="R490" s="174" t="str">
        <f>IFERROR(__xludf.DUMMYFUNCTION("""COMPUTED_VALUE"""),"Unlisted")</f>
        <v>Unlisted</v>
      </c>
    </row>
    <row r="491">
      <c r="A491" s="255" t="str">
        <f>IFERROR(__xludf.DUMMYFUNCTION("""COMPUTED_VALUE"""),"Kirlia")</f>
        <v>Kirlia</v>
      </c>
      <c r="B491" s="174" t="str">
        <f>IFERROR(__xludf.DUMMYFUNCTION("""COMPUTED_VALUE"""),"Unlisted")</f>
        <v>Unlisted</v>
      </c>
      <c r="C491" s="174" t="str">
        <f>IFERROR(__xludf.DUMMYFUNCTION("""COMPUTED_VALUE"""),"Inept")</f>
        <v>Inept</v>
      </c>
      <c r="D491" s="174" t="str">
        <f>IFERROR(__xludf.DUMMYFUNCTION("""COMPUTED_VALUE"""),"Proficient")</f>
        <v>Proficient</v>
      </c>
      <c r="E491" s="174" t="str">
        <f>IFERROR(__xludf.DUMMYFUNCTION("""COMPUTED_VALUE"""),"Unlisted")</f>
        <v>Unlisted</v>
      </c>
      <c r="F491" s="174" t="str">
        <f>IFERROR(__xludf.DUMMYFUNCTION("""COMPUTED_VALUE"""),"Unlisted")</f>
        <v>Unlisted</v>
      </c>
      <c r="G491" s="174" t="str">
        <f>IFERROR(__xludf.DUMMYFUNCTION("""COMPUTED_VALUE"""),"Mastered")</f>
        <v>Mastered</v>
      </c>
      <c r="H491" s="174" t="str">
        <f>IFERROR(__xludf.DUMMYFUNCTION("""COMPUTED_VALUE"""),"Unlisted")</f>
        <v>Unlisted</v>
      </c>
      <c r="I491" s="174" t="str">
        <f>IFERROR(__xludf.DUMMYFUNCTION("""COMPUTED_VALUE"""),"Unlisted")</f>
        <v>Unlisted</v>
      </c>
      <c r="J491" s="174" t="str">
        <f>IFERROR(__xludf.DUMMYFUNCTION("""COMPUTED_VALUE"""),"Proficient")</f>
        <v>Proficient</v>
      </c>
      <c r="K491" s="174" t="str">
        <f>IFERROR(__xludf.DUMMYFUNCTION("""COMPUTED_VALUE"""),"Proficient")</f>
        <v>Proficient</v>
      </c>
      <c r="L491" s="174" t="str">
        <f>IFERROR(__xludf.DUMMYFUNCTION("""COMPUTED_VALUE"""),"Unlisted")</f>
        <v>Unlisted</v>
      </c>
      <c r="M491" s="174" t="str">
        <f>IFERROR(__xludf.DUMMYFUNCTION("""COMPUTED_VALUE"""),"Unlisted")</f>
        <v>Unlisted</v>
      </c>
      <c r="N491" s="174" t="str">
        <f>IFERROR(__xludf.DUMMYFUNCTION("""COMPUTED_VALUE"""),"Unlisted")</f>
        <v>Unlisted</v>
      </c>
      <c r="O491" s="174" t="str">
        <f>IFERROR(__xludf.DUMMYFUNCTION("""COMPUTED_VALUE"""),"Unlisted")</f>
        <v>Unlisted</v>
      </c>
      <c r="P491" s="174" t="str">
        <f>IFERROR(__xludf.DUMMYFUNCTION("""COMPUTED_VALUE"""),"Unlisted")</f>
        <v>Unlisted</v>
      </c>
      <c r="Q491" s="174" t="str">
        <f>IFERROR(__xludf.DUMMYFUNCTION("""COMPUTED_VALUE"""),"Unlisted")</f>
        <v>Unlisted</v>
      </c>
      <c r="R491" s="174" t="str">
        <f>IFERROR(__xludf.DUMMYFUNCTION("""COMPUTED_VALUE"""),"Unlisted")</f>
        <v>Unlisted</v>
      </c>
    </row>
    <row r="492">
      <c r="A492" s="255" t="str">
        <f>IFERROR(__xludf.DUMMYFUNCTION("""COMPUTED_VALUE"""),"Gardevoir")</f>
        <v>Gardevoir</v>
      </c>
      <c r="B492" s="174" t="str">
        <f>IFERROR(__xludf.DUMMYFUNCTION("""COMPUTED_VALUE"""),"Unlisted")</f>
        <v>Unlisted</v>
      </c>
      <c r="C492" s="174" t="str">
        <f>IFERROR(__xludf.DUMMYFUNCTION("""COMPUTED_VALUE"""),"Inept")</f>
        <v>Inept</v>
      </c>
      <c r="D492" s="174" t="str">
        <f>IFERROR(__xludf.DUMMYFUNCTION("""COMPUTED_VALUE"""),"Proficient")</f>
        <v>Proficient</v>
      </c>
      <c r="E492" s="174" t="str">
        <f>IFERROR(__xludf.DUMMYFUNCTION("""COMPUTED_VALUE"""),"Unlisted")</f>
        <v>Unlisted</v>
      </c>
      <c r="F492" s="174" t="str">
        <f>IFERROR(__xludf.DUMMYFUNCTION("""COMPUTED_VALUE"""),"Unlisted")</f>
        <v>Unlisted</v>
      </c>
      <c r="G492" s="174" t="str">
        <f>IFERROR(__xludf.DUMMYFUNCTION("""COMPUTED_VALUE"""),"Mastered")</f>
        <v>Mastered</v>
      </c>
      <c r="H492" s="174" t="str">
        <f>IFERROR(__xludf.DUMMYFUNCTION("""COMPUTED_VALUE"""),"Unlisted")</f>
        <v>Unlisted</v>
      </c>
      <c r="I492" s="174" t="str">
        <f>IFERROR(__xludf.DUMMYFUNCTION("""COMPUTED_VALUE"""),"Unlisted")</f>
        <v>Unlisted</v>
      </c>
      <c r="J492" s="174" t="str">
        <f>IFERROR(__xludf.DUMMYFUNCTION("""COMPUTED_VALUE"""),"Proficient")</f>
        <v>Proficient</v>
      </c>
      <c r="K492" s="174" t="str">
        <f>IFERROR(__xludf.DUMMYFUNCTION("""COMPUTED_VALUE"""),"Proficient")</f>
        <v>Proficient</v>
      </c>
      <c r="L492" s="174" t="str">
        <f>IFERROR(__xludf.DUMMYFUNCTION("""COMPUTED_VALUE"""),"Unlisted")</f>
        <v>Unlisted</v>
      </c>
      <c r="M492" s="174" t="str">
        <f>IFERROR(__xludf.DUMMYFUNCTION("""COMPUTED_VALUE"""),"Unlisted")</f>
        <v>Unlisted</v>
      </c>
      <c r="N492" s="174" t="str">
        <f>IFERROR(__xludf.DUMMYFUNCTION("""COMPUTED_VALUE"""),"Unlisted")</f>
        <v>Unlisted</v>
      </c>
      <c r="O492" s="174" t="str">
        <f>IFERROR(__xludf.DUMMYFUNCTION("""COMPUTED_VALUE"""),"Unlisted")</f>
        <v>Unlisted</v>
      </c>
      <c r="P492" s="174" t="str">
        <f>IFERROR(__xludf.DUMMYFUNCTION("""COMPUTED_VALUE"""),"Unlisted")</f>
        <v>Unlisted</v>
      </c>
      <c r="Q492" s="174" t="str">
        <f>IFERROR(__xludf.DUMMYFUNCTION("""COMPUTED_VALUE"""),"Unlisted")</f>
        <v>Unlisted</v>
      </c>
      <c r="R492" s="174" t="str">
        <f>IFERROR(__xludf.DUMMYFUNCTION("""COMPUTED_VALUE"""),"Unlisted")</f>
        <v>Unlisted</v>
      </c>
    </row>
    <row r="493">
      <c r="A493" s="255" t="str">
        <f>IFERROR(__xludf.DUMMYFUNCTION("""COMPUTED_VALUE"""),"Gallade")</f>
        <v>Gallade</v>
      </c>
      <c r="B493" s="174" t="str">
        <f>IFERROR(__xludf.DUMMYFUNCTION("""COMPUTED_VALUE"""),"Unlisted")</f>
        <v>Unlisted</v>
      </c>
      <c r="C493" s="174" t="str">
        <f>IFERROR(__xludf.DUMMYFUNCTION("""COMPUTED_VALUE"""),"Proficient")</f>
        <v>Proficient</v>
      </c>
      <c r="D493" s="174" t="str">
        <f>IFERROR(__xludf.DUMMYFUNCTION("""COMPUTED_VALUE"""),"Unlisted")</f>
        <v>Unlisted</v>
      </c>
      <c r="E493" s="174" t="str">
        <f>IFERROR(__xludf.DUMMYFUNCTION("""COMPUTED_VALUE"""),"Mastered")</f>
        <v>Mastered</v>
      </c>
      <c r="F493" s="174" t="str">
        <f>IFERROR(__xludf.DUMMYFUNCTION("""COMPUTED_VALUE"""),"Unlisted")</f>
        <v>Unlisted</v>
      </c>
      <c r="G493" s="174" t="str">
        <f>IFERROR(__xludf.DUMMYFUNCTION("""COMPUTED_VALUE"""),"Proficient")</f>
        <v>Proficient</v>
      </c>
      <c r="H493" s="174" t="str">
        <f>IFERROR(__xludf.DUMMYFUNCTION("""COMPUTED_VALUE"""),"Unlisted")</f>
        <v>Unlisted</v>
      </c>
      <c r="I493" s="174" t="str">
        <f>IFERROR(__xludf.DUMMYFUNCTION("""COMPUTED_VALUE"""),"Unlisted")</f>
        <v>Unlisted</v>
      </c>
      <c r="J493" s="174" t="str">
        <f>IFERROR(__xludf.DUMMYFUNCTION("""COMPUTED_VALUE"""),"Unlisted")</f>
        <v>Unlisted</v>
      </c>
      <c r="K493" s="174" t="str">
        <f>IFERROR(__xludf.DUMMYFUNCTION("""COMPUTED_VALUE"""),"Unlisted")</f>
        <v>Unlisted</v>
      </c>
      <c r="L493" s="174" t="str">
        <f>IFERROR(__xludf.DUMMYFUNCTION("""COMPUTED_VALUE"""),"Unlisted")</f>
        <v>Unlisted</v>
      </c>
      <c r="M493" s="174" t="str">
        <f>IFERROR(__xludf.DUMMYFUNCTION("""COMPUTED_VALUE"""),"Unlisted")</f>
        <v>Unlisted</v>
      </c>
      <c r="N493" s="174" t="str">
        <f>IFERROR(__xludf.DUMMYFUNCTION("""COMPUTED_VALUE"""),"Unlisted")</f>
        <v>Unlisted</v>
      </c>
      <c r="O493" s="174" t="str">
        <f>IFERROR(__xludf.DUMMYFUNCTION("""COMPUTED_VALUE"""),"Unlisted")</f>
        <v>Unlisted</v>
      </c>
      <c r="P493" s="174" t="str">
        <f>IFERROR(__xludf.DUMMYFUNCTION("""COMPUTED_VALUE"""),"Unlisted")</f>
        <v>Unlisted</v>
      </c>
      <c r="Q493" s="174" t="str">
        <f>IFERROR(__xludf.DUMMYFUNCTION("""COMPUTED_VALUE"""),"Unlisted")</f>
        <v>Unlisted</v>
      </c>
      <c r="R493" s="174" t="str">
        <f>IFERROR(__xludf.DUMMYFUNCTION("""COMPUTED_VALUE"""),"Unlisted")</f>
        <v>Unlisted</v>
      </c>
    </row>
    <row r="494">
      <c r="A494" s="255" t="str">
        <f>IFERROR(__xludf.DUMMYFUNCTION("""COMPUTED_VALUE"""),"Gothita")</f>
        <v>Gothita</v>
      </c>
      <c r="B494" s="174" t="str">
        <f>IFERROR(__xludf.DUMMYFUNCTION("""COMPUTED_VALUE"""),"Unlisted")</f>
        <v>Unlisted</v>
      </c>
      <c r="C494" s="174" t="str">
        <f>IFERROR(__xludf.DUMMYFUNCTION("""COMPUTED_VALUE"""),"Unlisted")</f>
        <v>Unlisted</v>
      </c>
      <c r="D494" s="174" t="str">
        <f>IFERROR(__xludf.DUMMYFUNCTION("""COMPUTED_VALUE"""),"Unlisted")</f>
        <v>Unlisted</v>
      </c>
      <c r="E494" s="174" t="str">
        <f>IFERROR(__xludf.DUMMYFUNCTION("""COMPUTED_VALUE"""),"Unlisted")</f>
        <v>Unlisted</v>
      </c>
      <c r="F494" s="174" t="str">
        <f>IFERROR(__xludf.DUMMYFUNCTION("""COMPUTED_VALUE"""),"Unlisted")</f>
        <v>Unlisted</v>
      </c>
      <c r="G494" s="174" t="str">
        <f>IFERROR(__xludf.DUMMYFUNCTION("""COMPUTED_VALUE"""),"Proficient")</f>
        <v>Proficient</v>
      </c>
      <c r="H494" s="174" t="str">
        <f>IFERROR(__xludf.DUMMYFUNCTION("""COMPUTED_VALUE"""),"Unlisted")</f>
        <v>Unlisted</v>
      </c>
      <c r="I494" s="174" t="str">
        <f>IFERROR(__xludf.DUMMYFUNCTION("""COMPUTED_VALUE"""),"Unlisted")</f>
        <v>Unlisted</v>
      </c>
      <c r="J494" s="174" t="str">
        <f>IFERROR(__xludf.DUMMYFUNCTION("""COMPUTED_VALUE"""),"Unlisted")</f>
        <v>Unlisted</v>
      </c>
      <c r="K494" s="174" t="str">
        <f>IFERROR(__xludf.DUMMYFUNCTION("""COMPUTED_VALUE"""),"Proficient")</f>
        <v>Proficient</v>
      </c>
      <c r="L494" s="174" t="str">
        <f>IFERROR(__xludf.DUMMYFUNCTION("""COMPUTED_VALUE"""),"Unlisted")</f>
        <v>Unlisted</v>
      </c>
      <c r="M494" s="174" t="str">
        <f>IFERROR(__xludf.DUMMYFUNCTION("""COMPUTED_VALUE"""),"Unlisted")</f>
        <v>Unlisted</v>
      </c>
      <c r="N494" s="174" t="str">
        <f>IFERROR(__xludf.DUMMYFUNCTION("""COMPUTED_VALUE"""),"Unlisted")</f>
        <v>Unlisted</v>
      </c>
      <c r="O494" s="174" t="str">
        <f>IFERROR(__xludf.DUMMYFUNCTION("""COMPUTED_VALUE"""),"Unlisted")</f>
        <v>Unlisted</v>
      </c>
      <c r="P494" s="174" t="str">
        <f>IFERROR(__xludf.DUMMYFUNCTION("""COMPUTED_VALUE"""),"Unlisted")</f>
        <v>Unlisted</v>
      </c>
      <c r="Q494" s="174" t="str">
        <f>IFERROR(__xludf.DUMMYFUNCTION("""COMPUTED_VALUE"""),"Unlisted")</f>
        <v>Unlisted</v>
      </c>
      <c r="R494" s="174" t="str">
        <f>IFERROR(__xludf.DUMMYFUNCTION("""COMPUTED_VALUE"""),"Unlisted")</f>
        <v>Unlisted</v>
      </c>
    </row>
    <row r="495">
      <c r="A495" s="255" t="str">
        <f>IFERROR(__xludf.DUMMYFUNCTION("""COMPUTED_VALUE"""),"Gothorita")</f>
        <v>Gothorita</v>
      </c>
      <c r="B495" s="174" t="str">
        <f>IFERROR(__xludf.DUMMYFUNCTION("""COMPUTED_VALUE"""),"Unlisted")</f>
        <v>Unlisted</v>
      </c>
      <c r="C495" s="174" t="str">
        <f>IFERROR(__xludf.DUMMYFUNCTION("""COMPUTED_VALUE"""),"Unlisted")</f>
        <v>Unlisted</v>
      </c>
      <c r="D495" s="174" t="str">
        <f>IFERROR(__xludf.DUMMYFUNCTION("""COMPUTED_VALUE"""),"Unlisted")</f>
        <v>Unlisted</v>
      </c>
      <c r="E495" s="174" t="str">
        <f>IFERROR(__xludf.DUMMYFUNCTION("""COMPUTED_VALUE"""),"Unlisted")</f>
        <v>Unlisted</v>
      </c>
      <c r="F495" s="174" t="str">
        <f>IFERROR(__xludf.DUMMYFUNCTION("""COMPUTED_VALUE"""),"Unlisted")</f>
        <v>Unlisted</v>
      </c>
      <c r="G495" s="174" t="str">
        <f>IFERROR(__xludf.DUMMYFUNCTION("""COMPUTED_VALUE"""),"Proficient")</f>
        <v>Proficient</v>
      </c>
      <c r="H495" s="174" t="str">
        <f>IFERROR(__xludf.DUMMYFUNCTION("""COMPUTED_VALUE"""),"Unlisted")</f>
        <v>Unlisted</v>
      </c>
      <c r="I495" s="174" t="str">
        <f>IFERROR(__xludf.DUMMYFUNCTION("""COMPUTED_VALUE"""),"Unlisted")</f>
        <v>Unlisted</v>
      </c>
      <c r="J495" s="174" t="str">
        <f>IFERROR(__xludf.DUMMYFUNCTION("""COMPUTED_VALUE"""),"Unlisted")</f>
        <v>Unlisted</v>
      </c>
      <c r="K495" s="174" t="str">
        <f>IFERROR(__xludf.DUMMYFUNCTION("""COMPUTED_VALUE"""),"Proficient")</f>
        <v>Proficient</v>
      </c>
      <c r="L495" s="174" t="str">
        <f>IFERROR(__xludf.DUMMYFUNCTION("""COMPUTED_VALUE"""),"Unlisted")</f>
        <v>Unlisted</v>
      </c>
      <c r="M495" s="174" t="str">
        <f>IFERROR(__xludf.DUMMYFUNCTION("""COMPUTED_VALUE"""),"Unlisted")</f>
        <v>Unlisted</v>
      </c>
      <c r="N495" s="174" t="str">
        <f>IFERROR(__xludf.DUMMYFUNCTION("""COMPUTED_VALUE"""),"Unlisted")</f>
        <v>Unlisted</v>
      </c>
      <c r="O495" s="174" t="str">
        <f>IFERROR(__xludf.DUMMYFUNCTION("""COMPUTED_VALUE"""),"Unlisted")</f>
        <v>Unlisted</v>
      </c>
      <c r="P495" s="174" t="str">
        <f>IFERROR(__xludf.DUMMYFUNCTION("""COMPUTED_VALUE"""),"Unlisted")</f>
        <v>Unlisted</v>
      </c>
      <c r="Q495" s="174" t="str">
        <f>IFERROR(__xludf.DUMMYFUNCTION("""COMPUTED_VALUE"""),"Unlisted")</f>
        <v>Unlisted</v>
      </c>
      <c r="R495" s="174" t="str">
        <f>IFERROR(__xludf.DUMMYFUNCTION("""COMPUTED_VALUE"""),"Unlisted")</f>
        <v>Unlisted</v>
      </c>
    </row>
    <row r="496">
      <c r="A496" s="255" t="str">
        <f>IFERROR(__xludf.DUMMYFUNCTION("""COMPUTED_VALUE"""),"Gothitelle")</f>
        <v>Gothitelle</v>
      </c>
      <c r="B496" s="174" t="str">
        <f>IFERROR(__xludf.DUMMYFUNCTION("""COMPUTED_VALUE"""),"Unlisted")</f>
        <v>Unlisted</v>
      </c>
      <c r="C496" s="174" t="str">
        <f>IFERROR(__xludf.DUMMYFUNCTION("""COMPUTED_VALUE"""),"Unlisted")</f>
        <v>Unlisted</v>
      </c>
      <c r="D496" s="174" t="str">
        <f>IFERROR(__xludf.DUMMYFUNCTION("""COMPUTED_VALUE"""),"Unlisted")</f>
        <v>Unlisted</v>
      </c>
      <c r="E496" s="174" t="str">
        <f>IFERROR(__xludf.DUMMYFUNCTION("""COMPUTED_VALUE"""),"Unlisted")</f>
        <v>Unlisted</v>
      </c>
      <c r="F496" s="174" t="str">
        <f>IFERROR(__xludf.DUMMYFUNCTION("""COMPUTED_VALUE"""),"Unlisted")</f>
        <v>Unlisted</v>
      </c>
      <c r="G496" s="174" t="str">
        <f>IFERROR(__xludf.DUMMYFUNCTION("""COMPUTED_VALUE"""),"Proficient")</f>
        <v>Proficient</v>
      </c>
      <c r="H496" s="174" t="str">
        <f>IFERROR(__xludf.DUMMYFUNCTION("""COMPUTED_VALUE"""),"Unlisted")</f>
        <v>Unlisted</v>
      </c>
      <c r="I496" s="174" t="str">
        <f>IFERROR(__xludf.DUMMYFUNCTION("""COMPUTED_VALUE"""),"Unlisted")</f>
        <v>Unlisted</v>
      </c>
      <c r="J496" s="174" t="str">
        <f>IFERROR(__xludf.DUMMYFUNCTION("""COMPUTED_VALUE"""),"Unlisted")</f>
        <v>Unlisted</v>
      </c>
      <c r="K496" s="174" t="str">
        <f>IFERROR(__xludf.DUMMYFUNCTION("""COMPUTED_VALUE"""),"Proficient")</f>
        <v>Proficient</v>
      </c>
      <c r="L496" s="174" t="str">
        <f>IFERROR(__xludf.DUMMYFUNCTION("""COMPUTED_VALUE"""),"Unlisted")</f>
        <v>Unlisted</v>
      </c>
      <c r="M496" s="174" t="str">
        <f>IFERROR(__xludf.DUMMYFUNCTION("""COMPUTED_VALUE"""),"Unlisted")</f>
        <v>Unlisted</v>
      </c>
      <c r="N496" s="174" t="str">
        <f>IFERROR(__xludf.DUMMYFUNCTION("""COMPUTED_VALUE"""),"Unlisted")</f>
        <v>Unlisted</v>
      </c>
      <c r="O496" s="174" t="str">
        <f>IFERROR(__xludf.DUMMYFUNCTION("""COMPUTED_VALUE"""),"Unlisted")</f>
        <v>Unlisted</v>
      </c>
      <c r="P496" s="174" t="str">
        <f>IFERROR(__xludf.DUMMYFUNCTION("""COMPUTED_VALUE"""),"Unlisted")</f>
        <v>Unlisted</v>
      </c>
      <c r="Q496" s="174" t="str">
        <f>IFERROR(__xludf.DUMMYFUNCTION("""COMPUTED_VALUE"""),"Unlisted")</f>
        <v>Unlisted</v>
      </c>
      <c r="R496" s="174" t="str">
        <f>IFERROR(__xludf.DUMMYFUNCTION("""COMPUTED_VALUE"""),"Unlisted")</f>
        <v>Unlisted</v>
      </c>
    </row>
    <row r="497">
      <c r="A497" s="255" t="str">
        <f>IFERROR(__xludf.DUMMYFUNCTION("""COMPUTED_VALUE"""),"Solosis")</f>
        <v>Solosis</v>
      </c>
      <c r="B497" s="174" t="str">
        <f>IFERROR(__xludf.DUMMYFUNCTION("""COMPUTED_VALUE"""),"Unlisted")</f>
        <v>Unlisted</v>
      </c>
      <c r="C497" s="174" t="str">
        <f>IFERROR(__xludf.DUMMYFUNCTION("""COMPUTED_VALUE"""),"Inept")</f>
        <v>Inept</v>
      </c>
      <c r="D497" s="174" t="str">
        <f>IFERROR(__xludf.DUMMYFUNCTION("""COMPUTED_VALUE"""),"Unlisted")</f>
        <v>Unlisted</v>
      </c>
      <c r="E497" s="174" t="str">
        <f>IFERROR(__xludf.DUMMYFUNCTION("""COMPUTED_VALUE"""),"Inept")</f>
        <v>Inept</v>
      </c>
      <c r="F497" s="174" t="str">
        <f>IFERROR(__xludf.DUMMYFUNCTION("""COMPUTED_VALUE"""),"Unlisted")</f>
        <v>Unlisted</v>
      </c>
      <c r="G497" s="174" t="str">
        <f>IFERROR(__xludf.DUMMYFUNCTION("""COMPUTED_VALUE"""),"Proficient")</f>
        <v>Proficient</v>
      </c>
      <c r="H497" s="174" t="str">
        <f>IFERROR(__xludf.DUMMYFUNCTION("""COMPUTED_VALUE"""),"Unlisted")</f>
        <v>Unlisted</v>
      </c>
      <c r="I497" s="174" t="str">
        <f>IFERROR(__xludf.DUMMYFUNCTION("""COMPUTED_VALUE"""),"Unlisted")</f>
        <v>Unlisted</v>
      </c>
      <c r="J497" s="174" t="str">
        <f>IFERROR(__xludf.DUMMYFUNCTION("""COMPUTED_VALUE"""),"Unlisted")</f>
        <v>Unlisted</v>
      </c>
      <c r="K497" s="174" t="str">
        <f>IFERROR(__xludf.DUMMYFUNCTION("""COMPUTED_VALUE"""),"Proficient")</f>
        <v>Proficient</v>
      </c>
      <c r="L497" s="174" t="str">
        <f>IFERROR(__xludf.DUMMYFUNCTION("""COMPUTED_VALUE"""),"Unlisted")</f>
        <v>Unlisted</v>
      </c>
      <c r="M497" s="174" t="str">
        <f>IFERROR(__xludf.DUMMYFUNCTION("""COMPUTED_VALUE"""),"Unlisted")</f>
        <v>Unlisted</v>
      </c>
      <c r="N497" s="174" t="str">
        <f>IFERROR(__xludf.DUMMYFUNCTION("""COMPUTED_VALUE"""),"Unlisted")</f>
        <v>Unlisted</v>
      </c>
      <c r="O497" s="174" t="str">
        <f>IFERROR(__xludf.DUMMYFUNCTION("""COMPUTED_VALUE"""),"Unlisted")</f>
        <v>Unlisted</v>
      </c>
      <c r="P497" s="174" t="str">
        <f>IFERROR(__xludf.DUMMYFUNCTION("""COMPUTED_VALUE"""),"Unlisted")</f>
        <v>Unlisted</v>
      </c>
      <c r="Q497" s="174" t="str">
        <f>IFERROR(__xludf.DUMMYFUNCTION("""COMPUTED_VALUE"""),"Unlisted")</f>
        <v>Unlisted</v>
      </c>
      <c r="R497" s="174" t="str">
        <f>IFERROR(__xludf.DUMMYFUNCTION("""COMPUTED_VALUE"""),"Unlisted")</f>
        <v>Unlisted</v>
      </c>
    </row>
    <row r="498">
      <c r="A498" s="255" t="str">
        <f>IFERROR(__xludf.DUMMYFUNCTION("""COMPUTED_VALUE"""),"Duosion")</f>
        <v>Duosion</v>
      </c>
      <c r="B498" s="174" t="str">
        <f>IFERROR(__xludf.DUMMYFUNCTION("""COMPUTED_VALUE"""),"Unlisted")</f>
        <v>Unlisted</v>
      </c>
      <c r="C498" s="174" t="str">
        <f>IFERROR(__xludf.DUMMYFUNCTION("""COMPUTED_VALUE"""),"Inept")</f>
        <v>Inept</v>
      </c>
      <c r="D498" s="174" t="str">
        <f>IFERROR(__xludf.DUMMYFUNCTION("""COMPUTED_VALUE"""),"Unlisted")</f>
        <v>Unlisted</v>
      </c>
      <c r="E498" s="174" t="str">
        <f>IFERROR(__xludf.DUMMYFUNCTION("""COMPUTED_VALUE"""),"Unlisted")</f>
        <v>Unlisted</v>
      </c>
      <c r="F498" s="174" t="str">
        <f>IFERROR(__xludf.DUMMYFUNCTION("""COMPUTED_VALUE"""),"Unlisted")</f>
        <v>Unlisted</v>
      </c>
      <c r="G498" s="174" t="str">
        <f>IFERROR(__xludf.DUMMYFUNCTION("""COMPUTED_VALUE"""),"Proficient")</f>
        <v>Proficient</v>
      </c>
      <c r="H498" s="174" t="str">
        <f>IFERROR(__xludf.DUMMYFUNCTION("""COMPUTED_VALUE"""),"Unlisted")</f>
        <v>Unlisted</v>
      </c>
      <c r="I498" s="174" t="str">
        <f>IFERROR(__xludf.DUMMYFUNCTION("""COMPUTED_VALUE"""),"Unlisted")</f>
        <v>Unlisted</v>
      </c>
      <c r="J498" s="174" t="str">
        <f>IFERROR(__xludf.DUMMYFUNCTION("""COMPUTED_VALUE"""),"Unlisted")</f>
        <v>Unlisted</v>
      </c>
      <c r="K498" s="174" t="str">
        <f>IFERROR(__xludf.DUMMYFUNCTION("""COMPUTED_VALUE"""),"Proficient")</f>
        <v>Proficient</v>
      </c>
      <c r="L498" s="174" t="str">
        <f>IFERROR(__xludf.DUMMYFUNCTION("""COMPUTED_VALUE"""),"Unlisted")</f>
        <v>Unlisted</v>
      </c>
      <c r="M498" s="174" t="str">
        <f>IFERROR(__xludf.DUMMYFUNCTION("""COMPUTED_VALUE"""),"Unlisted")</f>
        <v>Unlisted</v>
      </c>
      <c r="N498" s="174" t="str">
        <f>IFERROR(__xludf.DUMMYFUNCTION("""COMPUTED_VALUE"""),"Unlisted")</f>
        <v>Unlisted</v>
      </c>
      <c r="O498" s="174" t="str">
        <f>IFERROR(__xludf.DUMMYFUNCTION("""COMPUTED_VALUE"""),"Unlisted")</f>
        <v>Unlisted</v>
      </c>
      <c r="P498" s="174" t="str">
        <f>IFERROR(__xludf.DUMMYFUNCTION("""COMPUTED_VALUE"""),"Unlisted")</f>
        <v>Unlisted</v>
      </c>
      <c r="Q498" s="174" t="str">
        <f>IFERROR(__xludf.DUMMYFUNCTION("""COMPUTED_VALUE"""),"Unlisted")</f>
        <v>Unlisted</v>
      </c>
      <c r="R498" s="174" t="str">
        <f>IFERROR(__xludf.DUMMYFUNCTION("""COMPUTED_VALUE"""),"Unlisted")</f>
        <v>Unlisted</v>
      </c>
    </row>
    <row r="499">
      <c r="A499" s="255" t="str">
        <f>IFERROR(__xludf.DUMMYFUNCTION("""COMPUTED_VALUE"""),"Reuniclus")</f>
        <v>Reuniclus</v>
      </c>
      <c r="B499" s="174" t="str">
        <f>IFERROR(__xludf.DUMMYFUNCTION("""COMPUTED_VALUE"""),"Unlisted")</f>
        <v>Unlisted</v>
      </c>
      <c r="C499" s="174" t="str">
        <f>IFERROR(__xludf.DUMMYFUNCTION("""COMPUTED_VALUE"""),"Inept")</f>
        <v>Inept</v>
      </c>
      <c r="D499" s="174" t="str">
        <f>IFERROR(__xludf.DUMMYFUNCTION("""COMPUTED_VALUE"""),"Unlisted")</f>
        <v>Unlisted</v>
      </c>
      <c r="E499" s="174" t="str">
        <f>IFERROR(__xludf.DUMMYFUNCTION("""COMPUTED_VALUE"""),"Unlisted")</f>
        <v>Unlisted</v>
      </c>
      <c r="F499" s="174" t="str">
        <f>IFERROR(__xludf.DUMMYFUNCTION("""COMPUTED_VALUE"""),"Unlisted")</f>
        <v>Unlisted</v>
      </c>
      <c r="G499" s="174" t="str">
        <f>IFERROR(__xludf.DUMMYFUNCTION("""COMPUTED_VALUE"""),"Mastered")</f>
        <v>Mastered</v>
      </c>
      <c r="H499" s="174" t="str">
        <f>IFERROR(__xludf.DUMMYFUNCTION("""COMPUTED_VALUE"""),"Unlisted")</f>
        <v>Unlisted</v>
      </c>
      <c r="I499" s="174" t="str">
        <f>IFERROR(__xludf.DUMMYFUNCTION("""COMPUTED_VALUE"""),"Unlisted")</f>
        <v>Unlisted</v>
      </c>
      <c r="J499" s="174" t="str">
        <f>IFERROR(__xludf.DUMMYFUNCTION("""COMPUTED_VALUE"""),"Unlisted")</f>
        <v>Unlisted</v>
      </c>
      <c r="K499" s="174" t="str">
        <f>IFERROR(__xludf.DUMMYFUNCTION("""COMPUTED_VALUE"""),"Proficient")</f>
        <v>Proficient</v>
      </c>
      <c r="L499" s="174" t="str">
        <f>IFERROR(__xludf.DUMMYFUNCTION("""COMPUTED_VALUE"""),"Unlisted")</f>
        <v>Unlisted</v>
      </c>
      <c r="M499" s="174" t="str">
        <f>IFERROR(__xludf.DUMMYFUNCTION("""COMPUTED_VALUE"""),"Unlisted")</f>
        <v>Unlisted</v>
      </c>
      <c r="N499" s="174" t="str">
        <f>IFERROR(__xludf.DUMMYFUNCTION("""COMPUTED_VALUE"""),"Unlisted")</f>
        <v>Unlisted</v>
      </c>
      <c r="O499" s="174" t="str">
        <f>IFERROR(__xludf.DUMMYFUNCTION("""COMPUTED_VALUE"""),"Unlisted")</f>
        <v>Unlisted</v>
      </c>
      <c r="P499" s="174" t="str">
        <f>IFERROR(__xludf.DUMMYFUNCTION("""COMPUTED_VALUE"""),"Unlisted")</f>
        <v>Unlisted</v>
      </c>
      <c r="Q499" s="174" t="str">
        <f>IFERROR(__xludf.DUMMYFUNCTION("""COMPUTED_VALUE"""),"Unlisted")</f>
        <v>Unlisted</v>
      </c>
      <c r="R499" s="174" t="str">
        <f>IFERROR(__xludf.DUMMYFUNCTION("""COMPUTED_VALUE"""),"Unlisted")</f>
        <v>Unlisted</v>
      </c>
    </row>
    <row r="500">
      <c r="A500" s="255" t="str">
        <f>IFERROR(__xludf.DUMMYFUNCTION("""COMPUTED_VALUE"""),"Hatenna")</f>
        <v>Hatenna</v>
      </c>
      <c r="B500" s="174" t="str">
        <f>IFERROR(__xludf.DUMMYFUNCTION("""COMPUTED_VALUE"""),"Unlisted")</f>
        <v>Unlisted</v>
      </c>
      <c r="C500" s="174" t="str">
        <f>IFERROR(__xludf.DUMMYFUNCTION("""COMPUTED_VALUE"""),"Unlisted")</f>
        <v>Unlisted</v>
      </c>
      <c r="D500" s="174" t="str">
        <f>IFERROR(__xludf.DUMMYFUNCTION("""COMPUTED_VALUE"""),"Unlisted")</f>
        <v>Unlisted</v>
      </c>
      <c r="E500" s="174" t="str">
        <f>IFERROR(__xludf.DUMMYFUNCTION("""COMPUTED_VALUE"""),"Unlisted")</f>
        <v>Unlisted</v>
      </c>
      <c r="F500" s="174" t="str">
        <f>IFERROR(__xludf.DUMMYFUNCTION("""COMPUTED_VALUE"""),"Unlisted")</f>
        <v>Unlisted</v>
      </c>
      <c r="G500" s="174" t="str">
        <f>IFERROR(__xludf.DUMMYFUNCTION("""COMPUTED_VALUE"""),"Mastered")</f>
        <v>Mastered</v>
      </c>
      <c r="H500" s="174" t="str">
        <f>IFERROR(__xludf.DUMMYFUNCTION("""COMPUTED_VALUE"""),"Unlisted")</f>
        <v>Unlisted</v>
      </c>
      <c r="I500" s="174" t="str">
        <f>IFERROR(__xludf.DUMMYFUNCTION("""COMPUTED_VALUE"""),"Unlisted")</f>
        <v>Unlisted</v>
      </c>
      <c r="J500" s="174" t="str">
        <f>IFERROR(__xludf.DUMMYFUNCTION("""COMPUTED_VALUE"""),"Proficient")</f>
        <v>Proficient</v>
      </c>
      <c r="K500" s="174" t="str">
        <f>IFERROR(__xludf.DUMMYFUNCTION("""COMPUTED_VALUE"""),"Proficient")</f>
        <v>Proficient</v>
      </c>
      <c r="L500" s="174" t="str">
        <f>IFERROR(__xludf.DUMMYFUNCTION("""COMPUTED_VALUE"""),"Unlisted")</f>
        <v>Unlisted</v>
      </c>
      <c r="M500" s="174" t="str">
        <f>IFERROR(__xludf.DUMMYFUNCTION("""COMPUTED_VALUE"""),"Unlisted")</f>
        <v>Unlisted</v>
      </c>
      <c r="N500" s="174" t="str">
        <f>IFERROR(__xludf.DUMMYFUNCTION("""COMPUTED_VALUE"""),"Unlisted")</f>
        <v>Unlisted</v>
      </c>
      <c r="O500" s="174" t="str">
        <f>IFERROR(__xludf.DUMMYFUNCTION("""COMPUTED_VALUE"""),"Unlisted")</f>
        <v>Unlisted</v>
      </c>
      <c r="P500" s="174" t="str">
        <f>IFERROR(__xludf.DUMMYFUNCTION("""COMPUTED_VALUE"""),"Unlisted")</f>
        <v>Unlisted</v>
      </c>
      <c r="Q500" s="174" t="str">
        <f>IFERROR(__xludf.DUMMYFUNCTION("""COMPUTED_VALUE"""),"Unlisted")</f>
        <v>Unlisted</v>
      </c>
      <c r="R500" s="174" t="str">
        <f>IFERROR(__xludf.DUMMYFUNCTION("""COMPUTED_VALUE"""),"Unlisted")</f>
        <v>Unlisted</v>
      </c>
    </row>
    <row r="501">
      <c r="A501" s="255" t="str">
        <f>IFERROR(__xludf.DUMMYFUNCTION("""COMPUTED_VALUE"""),"Hattrem")</f>
        <v>Hattrem</v>
      </c>
      <c r="B501" s="174" t="str">
        <f>IFERROR(__xludf.DUMMYFUNCTION("""COMPUTED_VALUE"""),"Unlisted")</f>
        <v>Unlisted</v>
      </c>
      <c r="C501" s="174" t="str">
        <f>IFERROR(__xludf.DUMMYFUNCTION("""COMPUTED_VALUE"""),"Unlisted")</f>
        <v>Unlisted</v>
      </c>
      <c r="D501" s="174" t="str">
        <f>IFERROR(__xludf.DUMMYFUNCTION("""COMPUTED_VALUE"""),"Unlisted")</f>
        <v>Unlisted</v>
      </c>
      <c r="E501" s="174" t="str">
        <f>IFERROR(__xludf.DUMMYFUNCTION("""COMPUTED_VALUE"""),"Unlisted")</f>
        <v>Unlisted</v>
      </c>
      <c r="F501" s="174" t="str">
        <f>IFERROR(__xludf.DUMMYFUNCTION("""COMPUTED_VALUE"""),"Unlisted")</f>
        <v>Unlisted</v>
      </c>
      <c r="G501" s="174" t="str">
        <f>IFERROR(__xludf.DUMMYFUNCTION("""COMPUTED_VALUE"""),"Mastered")</f>
        <v>Mastered</v>
      </c>
      <c r="H501" s="174" t="str">
        <f>IFERROR(__xludf.DUMMYFUNCTION("""COMPUTED_VALUE"""),"Unlisted")</f>
        <v>Unlisted</v>
      </c>
      <c r="I501" s="174" t="str">
        <f>IFERROR(__xludf.DUMMYFUNCTION("""COMPUTED_VALUE"""),"Unlisted")</f>
        <v>Unlisted</v>
      </c>
      <c r="J501" s="174" t="str">
        <f>IFERROR(__xludf.DUMMYFUNCTION("""COMPUTED_VALUE"""),"Proficient")</f>
        <v>Proficient</v>
      </c>
      <c r="K501" s="174" t="str">
        <f>IFERROR(__xludf.DUMMYFUNCTION("""COMPUTED_VALUE"""),"Proficient")</f>
        <v>Proficient</v>
      </c>
      <c r="L501" s="174" t="str">
        <f>IFERROR(__xludf.DUMMYFUNCTION("""COMPUTED_VALUE"""),"Unlisted")</f>
        <v>Unlisted</v>
      </c>
      <c r="M501" s="174" t="str">
        <f>IFERROR(__xludf.DUMMYFUNCTION("""COMPUTED_VALUE"""),"Unlisted")</f>
        <v>Unlisted</v>
      </c>
      <c r="N501" s="174" t="str">
        <f>IFERROR(__xludf.DUMMYFUNCTION("""COMPUTED_VALUE"""),"Unlisted")</f>
        <v>Unlisted</v>
      </c>
      <c r="O501" s="174" t="str">
        <f>IFERROR(__xludf.DUMMYFUNCTION("""COMPUTED_VALUE"""),"Unlisted")</f>
        <v>Unlisted</v>
      </c>
      <c r="P501" s="174" t="str">
        <f>IFERROR(__xludf.DUMMYFUNCTION("""COMPUTED_VALUE"""),"Unlisted")</f>
        <v>Unlisted</v>
      </c>
      <c r="Q501" s="174" t="str">
        <f>IFERROR(__xludf.DUMMYFUNCTION("""COMPUTED_VALUE"""),"Unlisted")</f>
        <v>Unlisted</v>
      </c>
      <c r="R501" s="174" t="str">
        <f>IFERROR(__xludf.DUMMYFUNCTION("""COMPUTED_VALUE"""),"Unlisted")</f>
        <v>Unlisted</v>
      </c>
    </row>
    <row r="502">
      <c r="A502" s="255" t="str">
        <f>IFERROR(__xludf.DUMMYFUNCTION("""COMPUTED_VALUE"""),"Hatterene")</f>
        <v>Hatterene</v>
      </c>
      <c r="B502" s="174" t="str">
        <f>IFERROR(__xludf.DUMMYFUNCTION("""COMPUTED_VALUE"""),"Unlisted")</f>
        <v>Unlisted</v>
      </c>
      <c r="C502" s="174" t="str">
        <f>IFERROR(__xludf.DUMMYFUNCTION("""COMPUTED_VALUE"""),"Unlisted")</f>
        <v>Unlisted</v>
      </c>
      <c r="D502" s="174" t="str">
        <f>IFERROR(__xludf.DUMMYFUNCTION("""COMPUTED_VALUE"""),"Unlisted")</f>
        <v>Unlisted</v>
      </c>
      <c r="E502" s="174" t="str">
        <f>IFERROR(__xludf.DUMMYFUNCTION("""COMPUTED_VALUE"""),"Unlisted")</f>
        <v>Unlisted</v>
      </c>
      <c r="F502" s="174" t="str">
        <f>IFERROR(__xludf.DUMMYFUNCTION("""COMPUTED_VALUE"""),"Unlisted")</f>
        <v>Unlisted</v>
      </c>
      <c r="G502" s="174" t="str">
        <f>IFERROR(__xludf.DUMMYFUNCTION("""COMPUTED_VALUE"""),"Mastered")</f>
        <v>Mastered</v>
      </c>
      <c r="H502" s="174" t="str">
        <f>IFERROR(__xludf.DUMMYFUNCTION("""COMPUTED_VALUE"""),"Unlisted")</f>
        <v>Unlisted</v>
      </c>
      <c r="I502" s="174" t="str">
        <f>IFERROR(__xludf.DUMMYFUNCTION("""COMPUTED_VALUE"""),"Unlisted")</f>
        <v>Unlisted</v>
      </c>
      <c r="J502" s="174" t="str">
        <f>IFERROR(__xludf.DUMMYFUNCTION("""COMPUTED_VALUE"""),"Proficient")</f>
        <v>Proficient</v>
      </c>
      <c r="K502" s="174" t="str">
        <f>IFERROR(__xludf.DUMMYFUNCTION("""COMPUTED_VALUE"""),"Proficient")</f>
        <v>Proficient</v>
      </c>
      <c r="L502" s="174" t="str">
        <f>IFERROR(__xludf.DUMMYFUNCTION("""COMPUTED_VALUE"""),"Unlisted")</f>
        <v>Unlisted</v>
      </c>
      <c r="M502" s="174" t="str">
        <f>IFERROR(__xludf.DUMMYFUNCTION("""COMPUTED_VALUE"""),"Unlisted")</f>
        <v>Unlisted</v>
      </c>
      <c r="N502" s="174" t="str">
        <f>IFERROR(__xludf.DUMMYFUNCTION("""COMPUTED_VALUE"""),"Unlisted")</f>
        <v>Unlisted</v>
      </c>
      <c r="O502" s="174" t="str">
        <f>IFERROR(__xludf.DUMMYFUNCTION("""COMPUTED_VALUE"""),"Unlisted")</f>
        <v>Unlisted</v>
      </c>
      <c r="P502" s="174" t="str">
        <f>IFERROR(__xludf.DUMMYFUNCTION("""COMPUTED_VALUE"""),"Unlisted")</f>
        <v>Unlisted</v>
      </c>
      <c r="Q502" s="174" t="str">
        <f>IFERROR(__xludf.DUMMYFUNCTION("""COMPUTED_VALUE"""),"Unlisted")</f>
        <v>Unlisted</v>
      </c>
      <c r="R502" s="174" t="str">
        <f>IFERROR(__xludf.DUMMYFUNCTION("""COMPUTED_VALUE"""),"Unlisted")</f>
        <v>Unlisted</v>
      </c>
    </row>
    <row r="503">
      <c r="A503" s="255" t="str">
        <f>IFERROR(__xludf.DUMMYFUNCTION("""COMPUTED_VALUE"""),"Geodude")</f>
        <v>Geodude</v>
      </c>
      <c r="B503" s="174" t="str">
        <f>IFERROR(__xludf.DUMMYFUNCTION("""COMPUTED_VALUE"""),"Unlisted")</f>
        <v>Unlisted</v>
      </c>
      <c r="C503" s="174" t="str">
        <f>IFERROR(__xludf.DUMMYFUNCTION("""COMPUTED_VALUE"""),"Proficient")</f>
        <v>Proficient</v>
      </c>
      <c r="D503" s="174" t="str">
        <f>IFERROR(__xludf.DUMMYFUNCTION("""COMPUTED_VALUE"""),"Unlisted")</f>
        <v>Unlisted</v>
      </c>
      <c r="E503" s="174" t="str">
        <f>IFERROR(__xludf.DUMMYFUNCTION("""COMPUTED_VALUE"""),"Unlisted")</f>
        <v>Unlisted</v>
      </c>
      <c r="F503" s="174" t="str">
        <f>IFERROR(__xludf.DUMMYFUNCTION("""COMPUTED_VALUE"""),"Unlisted")</f>
        <v>Unlisted</v>
      </c>
      <c r="G503" s="174" t="str">
        <f>IFERROR(__xludf.DUMMYFUNCTION("""COMPUTED_VALUE"""),"Proficient")</f>
        <v>Proficient</v>
      </c>
      <c r="H503" s="174" t="str">
        <f>IFERROR(__xludf.DUMMYFUNCTION("""COMPUTED_VALUE"""),"Unlisted")</f>
        <v>Unlisted</v>
      </c>
      <c r="I503" s="174" t="str">
        <f>IFERROR(__xludf.DUMMYFUNCTION("""COMPUTED_VALUE"""),"Unlisted")</f>
        <v>Unlisted</v>
      </c>
      <c r="J503" s="174" t="str">
        <f>IFERROR(__xludf.DUMMYFUNCTION("""COMPUTED_VALUE"""),"Unlisted")</f>
        <v>Unlisted</v>
      </c>
      <c r="K503" s="174" t="str">
        <f>IFERROR(__xludf.DUMMYFUNCTION("""COMPUTED_VALUE"""),"Unlisted")</f>
        <v>Unlisted</v>
      </c>
      <c r="L503" s="174" t="str">
        <f>IFERROR(__xludf.DUMMYFUNCTION("""COMPUTED_VALUE"""),"Unlisted")</f>
        <v>Unlisted</v>
      </c>
      <c r="M503" s="174" t="str">
        <f>IFERROR(__xludf.DUMMYFUNCTION("""COMPUTED_VALUE"""),"Unlisted")</f>
        <v>Unlisted</v>
      </c>
      <c r="N503" s="174" t="str">
        <f>IFERROR(__xludf.DUMMYFUNCTION("""COMPUTED_VALUE"""),"Unlisted")</f>
        <v>Unlisted</v>
      </c>
      <c r="O503" s="174" t="str">
        <f>IFERROR(__xludf.DUMMYFUNCTION("""COMPUTED_VALUE"""),"Proficient")</f>
        <v>Proficient</v>
      </c>
      <c r="P503" s="174" t="str">
        <f>IFERROR(__xludf.DUMMYFUNCTION("""COMPUTED_VALUE"""),"Unlisted")</f>
        <v>Unlisted</v>
      </c>
      <c r="Q503" s="174" t="str">
        <f>IFERROR(__xludf.DUMMYFUNCTION("""COMPUTED_VALUE"""),"Unlisted")</f>
        <v>Unlisted</v>
      </c>
      <c r="R503" s="174" t="str">
        <f>IFERROR(__xludf.DUMMYFUNCTION("""COMPUTED_VALUE"""),"Unlisted")</f>
        <v>Unlisted</v>
      </c>
    </row>
    <row r="504">
      <c r="A504" s="255" t="str">
        <f>IFERROR(__xludf.DUMMYFUNCTION("""COMPUTED_VALUE"""),"Graveler")</f>
        <v>Graveler</v>
      </c>
      <c r="B504" s="174" t="str">
        <f>IFERROR(__xludf.DUMMYFUNCTION("""COMPUTED_VALUE"""),"Unlisted")</f>
        <v>Unlisted</v>
      </c>
      <c r="C504" s="174" t="str">
        <f>IFERROR(__xludf.DUMMYFUNCTION("""COMPUTED_VALUE"""),"Proficient")</f>
        <v>Proficient</v>
      </c>
      <c r="D504" s="174" t="str">
        <f>IFERROR(__xludf.DUMMYFUNCTION("""COMPUTED_VALUE"""),"Unlisted")</f>
        <v>Unlisted</v>
      </c>
      <c r="E504" s="174" t="str">
        <f>IFERROR(__xludf.DUMMYFUNCTION("""COMPUTED_VALUE"""),"Unlisted")</f>
        <v>Unlisted</v>
      </c>
      <c r="F504" s="174" t="str">
        <f>IFERROR(__xludf.DUMMYFUNCTION("""COMPUTED_VALUE"""),"Unlisted")</f>
        <v>Unlisted</v>
      </c>
      <c r="G504" s="174" t="str">
        <f>IFERROR(__xludf.DUMMYFUNCTION("""COMPUTED_VALUE"""),"Proficient")</f>
        <v>Proficient</v>
      </c>
      <c r="H504" s="174" t="str">
        <f>IFERROR(__xludf.DUMMYFUNCTION("""COMPUTED_VALUE"""),"Unlisted")</f>
        <v>Unlisted</v>
      </c>
      <c r="I504" s="174" t="str">
        <f>IFERROR(__xludf.DUMMYFUNCTION("""COMPUTED_VALUE"""),"Unlisted")</f>
        <v>Unlisted</v>
      </c>
      <c r="J504" s="174" t="str">
        <f>IFERROR(__xludf.DUMMYFUNCTION("""COMPUTED_VALUE"""),"Unlisted")</f>
        <v>Unlisted</v>
      </c>
      <c r="K504" s="174" t="str">
        <f>IFERROR(__xludf.DUMMYFUNCTION("""COMPUTED_VALUE"""),"Unlisted")</f>
        <v>Unlisted</v>
      </c>
      <c r="L504" s="174" t="str">
        <f>IFERROR(__xludf.DUMMYFUNCTION("""COMPUTED_VALUE"""),"Unlisted")</f>
        <v>Unlisted</v>
      </c>
      <c r="M504" s="174" t="str">
        <f>IFERROR(__xludf.DUMMYFUNCTION("""COMPUTED_VALUE"""),"Unlisted")</f>
        <v>Unlisted</v>
      </c>
      <c r="N504" s="174" t="str">
        <f>IFERROR(__xludf.DUMMYFUNCTION("""COMPUTED_VALUE"""),"Unlisted")</f>
        <v>Unlisted</v>
      </c>
      <c r="O504" s="174" t="str">
        <f>IFERROR(__xludf.DUMMYFUNCTION("""COMPUTED_VALUE"""),"Proficient")</f>
        <v>Proficient</v>
      </c>
      <c r="P504" s="174" t="str">
        <f>IFERROR(__xludf.DUMMYFUNCTION("""COMPUTED_VALUE"""),"Unlisted")</f>
        <v>Unlisted</v>
      </c>
      <c r="Q504" s="174" t="str">
        <f>IFERROR(__xludf.DUMMYFUNCTION("""COMPUTED_VALUE"""),"Unlisted")</f>
        <v>Unlisted</v>
      </c>
      <c r="R504" s="174" t="str">
        <f>IFERROR(__xludf.DUMMYFUNCTION("""COMPUTED_VALUE"""),"Unlisted")</f>
        <v>Unlisted</v>
      </c>
    </row>
    <row r="505">
      <c r="A505" s="255" t="str">
        <f>IFERROR(__xludf.DUMMYFUNCTION("""COMPUTED_VALUE"""),"Golem")</f>
        <v>Golem</v>
      </c>
      <c r="B505" s="174" t="str">
        <f>IFERROR(__xludf.DUMMYFUNCTION("""COMPUTED_VALUE"""),"Unlisted")</f>
        <v>Unlisted</v>
      </c>
      <c r="C505" s="174" t="str">
        <f>IFERROR(__xludf.DUMMYFUNCTION("""COMPUTED_VALUE"""),"Proficient")</f>
        <v>Proficient</v>
      </c>
      <c r="D505" s="174" t="str">
        <f>IFERROR(__xludf.DUMMYFUNCTION("""COMPUTED_VALUE"""),"Unlisted")</f>
        <v>Unlisted</v>
      </c>
      <c r="E505" s="174" t="str">
        <f>IFERROR(__xludf.DUMMYFUNCTION("""COMPUTED_VALUE"""),"Unlisted")</f>
        <v>Unlisted</v>
      </c>
      <c r="F505" s="174" t="str">
        <f>IFERROR(__xludf.DUMMYFUNCTION("""COMPUTED_VALUE"""),"Unlisted")</f>
        <v>Unlisted</v>
      </c>
      <c r="G505" s="174" t="str">
        <f>IFERROR(__xludf.DUMMYFUNCTION("""COMPUTED_VALUE"""),"Proficient")</f>
        <v>Proficient</v>
      </c>
      <c r="H505" s="174" t="str">
        <f>IFERROR(__xludf.DUMMYFUNCTION("""COMPUTED_VALUE"""),"Unlisted")</f>
        <v>Unlisted</v>
      </c>
      <c r="I505" s="174" t="str">
        <f>IFERROR(__xludf.DUMMYFUNCTION("""COMPUTED_VALUE"""),"Unlisted")</f>
        <v>Unlisted</v>
      </c>
      <c r="J505" s="174" t="str">
        <f>IFERROR(__xludf.DUMMYFUNCTION("""COMPUTED_VALUE"""),"Unlisted")</f>
        <v>Unlisted</v>
      </c>
      <c r="K505" s="174" t="str">
        <f>IFERROR(__xludf.DUMMYFUNCTION("""COMPUTED_VALUE"""),"Unlisted")</f>
        <v>Unlisted</v>
      </c>
      <c r="L505" s="174" t="str">
        <f>IFERROR(__xludf.DUMMYFUNCTION("""COMPUTED_VALUE"""),"Unlisted")</f>
        <v>Unlisted</v>
      </c>
      <c r="M505" s="174" t="str">
        <f>IFERROR(__xludf.DUMMYFUNCTION("""COMPUTED_VALUE"""),"Unlisted")</f>
        <v>Unlisted</v>
      </c>
      <c r="N505" s="174" t="str">
        <f>IFERROR(__xludf.DUMMYFUNCTION("""COMPUTED_VALUE"""),"Unlisted")</f>
        <v>Unlisted</v>
      </c>
      <c r="O505" s="174" t="str">
        <f>IFERROR(__xludf.DUMMYFUNCTION("""COMPUTED_VALUE"""),"Proficient")</f>
        <v>Proficient</v>
      </c>
      <c r="P505" s="174" t="str">
        <f>IFERROR(__xludf.DUMMYFUNCTION("""COMPUTED_VALUE"""),"Unlisted")</f>
        <v>Unlisted</v>
      </c>
      <c r="Q505" s="174" t="str">
        <f>IFERROR(__xludf.DUMMYFUNCTION("""COMPUTED_VALUE"""),"Unlisted")</f>
        <v>Unlisted</v>
      </c>
      <c r="R505" s="174" t="str">
        <f>IFERROR(__xludf.DUMMYFUNCTION("""COMPUTED_VALUE"""),"Unlisted")</f>
        <v>Unlisted</v>
      </c>
    </row>
    <row r="506">
      <c r="A506" s="255" t="str">
        <f>IFERROR(__xludf.DUMMYFUNCTION("""COMPUTED_VALUE"""),"Larvitar")</f>
        <v>Larvitar</v>
      </c>
      <c r="B506" s="174" t="str">
        <f>IFERROR(__xludf.DUMMYFUNCTION("""COMPUTED_VALUE"""),"Inept")</f>
        <v>Inept</v>
      </c>
      <c r="C506" s="174" t="str">
        <f>IFERROR(__xludf.DUMMYFUNCTION("""COMPUTED_VALUE"""),"Mastered")</f>
        <v>Mastered</v>
      </c>
      <c r="D506" s="174" t="str">
        <f>IFERROR(__xludf.DUMMYFUNCTION("""COMPUTED_VALUE"""),"Unlisted")</f>
        <v>Unlisted</v>
      </c>
      <c r="E506" s="174" t="str">
        <f>IFERROR(__xludf.DUMMYFUNCTION("""COMPUTED_VALUE"""),"Proficient")</f>
        <v>Proficient</v>
      </c>
      <c r="F506" s="174" t="str">
        <f>IFERROR(__xludf.DUMMYFUNCTION("""COMPUTED_VALUE"""),"Unlisted")</f>
        <v>Unlisted</v>
      </c>
      <c r="G506" s="174" t="str">
        <f>IFERROR(__xludf.DUMMYFUNCTION("""COMPUTED_VALUE"""),"Unlisted")</f>
        <v>Unlisted</v>
      </c>
      <c r="H506" s="174" t="str">
        <f>IFERROR(__xludf.DUMMYFUNCTION("""COMPUTED_VALUE"""),"Unlisted")</f>
        <v>Unlisted</v>
      </c>
      <c r="I506" s="174" t="str">
        <f>IFERROR(__xludf.DUMMYFUNCTION("""COMPUTED_VALUE"""),"Proficient")</f>
        <v>Proficient</v>
      </c>
      <c r="J506" s="174" t="str">
        <f>IFERROR(__xludf.DUMMYFUNCTION("""COMPUTED_VALUE"""),"Unlisted")</f>
        <v>Unlisted</v>
      </c>
      <c r="K506" s="174" t="str">
        <f>IFERROR(__xludf.DUMMYFUNCTION("""COMPUTED_VALUE"""),"Unlisted")</f>
        <v>Unlisted</v>
      </c>
      <c r="L506" s="174" t="str">
        <f>IFERROR(__xludf.DUMMYFUNCTION("""COMPUTED_VALUE"""),"Unlisted")</f>
        <v>Unlisted</v>
      </c>
      <c r="M506" s="174" t="str">
        <f>IFERROR(__xludf.DUMMYFUNCTION("""COMPUTED_VALUE"""),"Unlisted")</f>
        <v>Unlisted</v>
      </c>
      <c r="N506" s="174" t="str">
        <f>IFERROR(__xludf.DUMMYFUNCTION("""COMPUTED_VALUE"""),"Unlisted")</f>
        <v>Unlisted</v>
      </c>
      <c r="O506" s="174" t="str">
        <f>IFERROR(__xludf.DUMMYFUNCTION("""COMPUTED_VALUE"""),"Unlisted")</f>
        <v>Unlisted</v>
      </c>
      <c r="P506" s="174" t="str">
        <f>IFERROR(__xludf.DUMMYFUNCTION("""COMPUTED_VALUE"""),"Unlisted")</f>
        <v>Unlisted</v>
      </c>
      <c r="Q506" s="174" t="str">
        <f>IFERROR(__xludf.DUMMYFUNCTION("""COMPUTED_VALUE"""),"Unlisted")</f>
        <v>Unlisted</v>
      </c>
      <c r="R506" s="174" t="str">
        <f>IFERROR(__xludf.DUMMYFUNCTION("""COMPUTED_VALUE"""),"Unlisted")</f>
        <v>Unlisted</v>
      </c>
    </row>
    <row r="507">
      <c r="A507" s="255" t="str">
        <f>IFERROR(__xludf.DUMMYFUNCTION("""COMPUTED_VALUE"""),"Pupitar")</f>
        <v>Pupitar</v>
      </c>
      <c r="B507" s="174" t="str">
        <f>IFERROR(__xludf.DUMMYFUNCTION("""COMPUTED_VALUE"""),"Inept")</f>
        <v>Inept</v>
      </c>
      <c r="C507" s="174" t="str">
        <f>IFERROR(__xludf.DUMMYFUNCTION("""COMPUTED_VALUE"""),"Mastered")</f>
        <v>Mastered</v>
      </c>
      <c r="D507" s="174" t="str">
        <f>IFERROR(__xludf.DUMMYFUNCTION("""COMPUTED_VALUE"""),"Unlisted")</f>
        <v>Unlisted</v>
      </c>
      <c r="E507" s="174" t="str">
        <f>IFERROR(__xludf.DUMMYFUNCTION("""COMPUTED_VALUE"""),"Proficient")</f>
        <v>Proficient</v>
      </c>
      <c r="F507" s="174" t="str">
        <f>IFERROR(__xludf.DUMMYFUNCTION("""COMPUTED_VALUE"""),"Unlisted")</f>
        <v>Unlisted</v>
      </c>
      <c r="G507" s="174" t="str">
        <f>IFERROR(__xludf.DUMMYFUNCTION("""COMPUTED_VALUE"""),"Unlisted")</f>
        <v>Unlisted</v>
      </c>
      <c r="H507" s="174" t="str">
        <f>IFERROR(__xludf.DUMMYFUNCTION("""COMPUTED_VALUE"""),"Unlisted")</f>
        <v>Unlisted</v>
      </c>
      <c r="I507" s="174" t="str">
        <f>IFERROR(__xludf.DUMMYFUNCTION("""COMPUTED_VALUE"""),"Proficient")</f>
        <v>Proficient</v>
      </c>
      <c r="J507" s="174" t="str">
        <f>IFERROR(__xludf.DUMMYFUNCTION("""COMPUTED_VALUE"""),"Unlisted")</f>
        <v>Unlisted</v>
      </c>
      <c r="K507" s="174" t="str">
        <f>IFERROR(__xludf.DUMMYFUNCTION("""COMPUTED_VALUE"""),"Unlisted")</f>
        <v>Unlisted</v>
      </c>
      <c r="L507" s="174" t="str">
        <f>IFERROR(__xludf.DUMMYFUNCTION("""COMPUTED_VALUE"""),"Unlisted")</f>
        <v>Unlisted</v>
      </c>
      <c r="M507" s="174" t="str">
        <f>IFERROR(__xludf.DUMMYFUNCTION("""COMPUTED_VALUE"""),"Unlisted")</f>
        <v>Unlisted</v>
      </c>
      <c r="N507" s="174" t="str">
        <f>IFERROR(__xludf.DUMMYFUNCTION("""COMPUTED_VALUE"""),"Unlisted")</f>
        <v>Unlisted</v>
      </c>
      <c r="O507" s="174" t="str">
        <f>IFERROR(__xludf.DUMMYFUNCTION("""COMPUTED_VALUE"""),"Unlisted")</f>
        <v>Unlisted</v>
      </c>
      <c r="P507" s="174" t="str">
        <f>IFERROR(__xludf.DUMMYFUNCTION("""COMPUTED_VALUE"""),"Unlisted")</f>
        <v>Unlisted</v>
      </c>
      <c r="Q507" s="174" t="str">
        <f>IFERROR(__xludf.DUMMYFUNCTION("""COMPUTED_VALUE"""),"Unlisted")</f>
        <v>Unlisted</v>
      </c>
      <c r="R507" s="174" t="str">
        <f>IFERROR(__xludf.DUMMYFUNCTION("""COMPUTED_VALUE"""),"Unlisted")</f>
        <v>Unlisted</v>
      </c>
    </row>
    <row r="508">
      <c r="A508" s="255" t="str">
        <f>IFERROR(__xludf.DUMMYFUNCTION("""COMPUTED_VALUE"""),"Tyranitar")</f>
        <v>Tyranitar</v>
      </c>
      <c r="B508" s="174" t="str">
        <f>IFERROR(__xludf.DUMMYFUNCTION("""COMPUTED_VALUE"""),"Inept")</f>
        <v>Inept</v>
      </c>
      <c r="C508" s="174" t="str">
        <f>IFERROR(__xludf.DUMMYFUNCTION("""COMPUTED_VALUE"""),"Mastered")</f>
        <v>Mastered</v>
      </c>
      <c r="D508" s="174" t="str">
        <f>IFERROR(__xludf.DUMMYFUNCTION("""COMPUTED_VALUE"""),"Unlisted")</f>
        <v>Unlisted</v>
      </c>
      <c r="E508" s="174" t="str">
        <f>IFERROR(__xludf.DUMMYFUNCTION("""COMPUTED_VALUE"""),"Proficient")</f>
        <v>Proficient</v>
      </c>
      <c r="F508" s="174" t="str">
        <f>IFERROR(__xludf.DUMMYFUNCTION("""COMPUTED_VALUE"""),"Unlisted")</f>
        <v>Unlisted</v>
      </c>
      <c r="G508" s="174" t="str">
        <f>IFERROR(__xludf.DUMMYFUNCTION("""COMPUTED_VALUE"""),"Unlisted")</f>
        <v>Unlisted</v>
      </c>
      <c r="H508" s="174" t="str">
        <f>IFERROR(__xludf.DUMMYFUNCTION("""COMPUTED_VALUE"""),"Unlisted")</f>
        <v>Unlisted</v>
      </c>
      <c r="I508" s="174" t="str">
        <f>IFERROR(__xludf.DUMMYFUNCTION("""COMPUTED_VALUE"""),"Proficient")</f>
        <v>Proficient</v>
      </c>
      <c r="J508" s="174" t="str">
        <f>IFERROR(__xludf.DUMMYFUNCTION("""COMPUTED_VALUE"""),"Unlisted")</f>
        <v>Unlisted</v>
      </c>
      <c r="K508" s="174" t="str">
        <f>IFERROR(__xludf.DUMMYFUNCTION("""COMPUTED_VALUE"""),"Unlisted")</f>
        <v>Unlisted</v>
      </c>
      <c r="L508" s="174" t="str">
        <f>IFERROR(__xludf.DUMMYFUNCTION("""COMPUTED_VALUE"""),"Unlisted")</f>
        <v>Unlisted</v>
      </c>
      <c r="M508" s="174" t="str">
        <f>IFERROR(__xludf.DUMMYFUNCTION("""COMPUTED_VALUE"""),"Unlisted")</f>
        <v>Unlisted</v>
      </c>
      <c r="N508" s="174" t="str">
        <f>IFERROR(__xludf.DUMMYFUNCTION("""COMPUTED_VALUE"""),"Unlisted")</f>
        <v>Unlisted</v>
      </c>
      <c r="O508" s="174" t="str">
        <f>IFERROR(__xludf.DUMMYFUNCTION("""COMPUTED_VALUE"""),"Unlisted")</f>
        <v>Unlisted</v>
      </c>
      <c r="P508" s="174" t="str">
        <f>IFERROR(__xludf.DUMMYFUNCTION("""COMPUTED_VALUE"""),"Unlisted")</f>
        <v>Unlisted</v>
      </c>
      <c r="Q508" s="174" t="str">
        <f>IFERROR(__xludf.DUMMYFUNCTION("""COMPUTED_VALUE"""),"Unlisted")</f>
        <v>Unlisted</v>
      </c>
      <c r="R508" s="174" t="str">
        <f>IFERROR(__xludf.DUMMYFUNCTION("""COMPUTED_VALUE"""),"Unlisted")</f>
        <v>Unlisted</v>
      </c>
    </row>
    <row r="509">
      <c r="A509" s="255" t="str">
        <f>IFERROR(__xludf.DUMMYFUNCTION("""COMPUTED_VALUE"""),"Roggenrola")</f>
        <v>Roggenrola</v>
      </c>
      <c r="B509" s="174" t="str">
        <f>IFERROR(__xludf.DUMMYFUNCTION("""COMPUTED_VALUE"""),"Inept")</f>
        <v>Inept</v>
      </c>
      <c r="C509" s="174" t="str">
        <f>IFERROR(__xludf.DUMMYFUNCTION("""COMPUTED_VALUE"""),"Proficient")</f>
        <v>Proficient</v>
      </c>
      <c r="D509" s="174" t="str">
        <f>IFERROR(__xludf.DUMMYFUNCTION("""COMPUTED_VALUE"""),"Unlisted")</f>
        <v>Unlisted</v>
      </c>
      <c r="E509" s="174" t="str">
        <f>IFERROR(__xludf.DUMMYFUNCTION("""COMPUTED_VALUE"""),"Unlisted")</f>
        <v>Unlisted</v>
      </c>
      <c r="F509" s="174" t="str">
        <f>IFERROR(__xludf.DUMMYFUNCTION("""COMPUTED_VALUE"""),"Unlisted")</f>
        <v>Unlisted</v>
      </c>
      <c r="G509" s="174" t="str">
        <f>IFERROR(__xludf.DUMMYFUNCTION("""COMPUTED_VALUE"""),"Proficient")</f>
        <v>Proficient</v>
      </c>
      <c r="H509" s="174" t="str">
        <f>IFERROR(__xludf.DUMMYFUNCTION("""COMPUTED_VALUE"""),"Unlisted")</f>
        <v>Unlisted</v>
      </c>
      <c r="I509" s="174" t="str">
        <f>IFERROR(__xludf.DUMMYFUNCTION("""COMPUTED_VALUE"""),"Unlisted")</f>
        <v>Unlisted</v>
      </c>
      <c r="J509" s="174" t="str">
        <f>IFERROR(__xludf.DUMMYFUNCTION("""COMPUTED_VALUE"""),"Unlisted")</f>
        <v>Unlisted</v>
      </c>
      <c r="K509" s="174" t="str">
        <f>IFERROR(__xludf.DUMMYFUNCTION("""COMPUTED_VALUE"""),"Unlisted")</f>
        <v>Unlisted</v>
      </c>
      <c r="L509" s="174" t="str">
        <f>IFERROR(__xludf.DUMMYFUNCTION("""COMPUTED_VALUE"""),"Unlisted")</f>
        <v>Unlisted</v>
      </c>
      <c r="M509" s="174" t="str">
        <f>IFERROR(__xludf.DUMMYFUNCTION("""COMPUTED_VALUE"""),"Unlisted")</f>
        <v>Unlisted</v>
      </c>
      <c r="N509" s="174" t="str">
        <f>IFERROR(__xludf.DUMMYFUNCTION("""COMPUTED_VALUE"""),"Unlisted")</f>
        <v>Unlisted</v>
      </c>
      <c r="O509" s="174" t="str">
        <f>IFERROR(__xludf.DUMMYFUNCTION("""COMPUTED_VALUE"""),"Proficient")</f>
        <v>Proficient</v>
      </c>
      <c r="P509" s="174" t="str">
        <f>IFERROR(__xludf.DUMMYFUNCTION("""COMPUTED_VALUE"""),"Unlisted")</f>
        <v>Unlisted</v>
      </c>
      <c r="Q509" s="174" t="str">
        <f>IFERROR(__xludf.DUMMYFUNCTION("""COMPUTED_VALUE"""),"Unlisted")</f>
        <v>Unlisted</v>
      </c>
      <c r="R509" s="174" t="str">
        <f>IFERROR(__xludf.DUMMYFUNCTION("""COMPUTED_VALUE"""),"Unlisted")</f>
        <v>Unlisted</v>
      </c>
    </row>
    <row r="510">
      <c r="A510" s="255" t="str">
        <f>IFERROR(__xludf.DUMMYFUNCTION("""COMPUTED_VALUE"""),"Boldore")</f>
        <v>Boldore</v>
      </c>
      <c r="B510" s="174" t="str">
        <f>IFERROR(__xludf.DUMMYFUNCTION("""COMPUTED_VALUE"""),"Inept")</f>
        <v>Inept</v>
      </c>
      <c r="C510" s="174" t="str">
        <f>IFERROR(__xludf.DUMMYFUNCTION("""COMPUTED_VALUE"""),"Proficient")</f>
        <v>Proficient</v>
      </c>
      <c r="D510" s="174" t="str">
        <f>IFERROR(__xludf.DUMMYFUNCTION("""COMPUTED_VALUE"""),"Unlisted")</f>
        <v>Unlisted</v>
      </c>
      <c r="E510" s="174" t="str">
        <f>IFERROR(__xludf.DUMMYFUNCTION("""COMPUTED_VALUE"""),"Unlisted")</f>
        <v>Unlisted</v>
      </c>
      <c r="F510" s="174" t="str">
        <f>IFERROR(__xludf.DUMMYFUNCTION("""COMPUTED_VALUE"""),"Unlisted")</f>
        <v>Unlisted</v>
      </c>
      <c r="G510" s="174" t="str">
        <f>IFERROR(__xludf.DUMMYFUNCTION("""COMPUTED_VALUE"""),"Proficient")</f>
        <v>Proficient</v>
      </c>
      <c r="H510" s="174" t="str">
        <f>IFERROR(__xludf.DUMMYFUNCTION("""COMPUTED_VALUE"""),"Unlisted")</f>
        <v>Unlisted</v>
      </c>
      <c r="I510" s="174" t="str">
        <f>IFERROR(__xludf.DUMMYFUNCTION("""COMPUTED_VALUE"""),"Unlisted")</f>
        <v>Unlisted</v>
      </c>
      <c r="J510" s="174" t="str">
        <f>IFERROR(__xludf.DUMMYFUNCTION("""COMPUTED_VALUE"""),"Unlisted")</f>
        <v>Unlisted</v>
      </c>
      <c r="K510" s="174" t="str">
        <f>IFERROR(__xludf.DUMMYFUNCTION("""COMPUTED_VALUE"""),"Unlisted")</f>
        <v>Unlisted</v>
      </c>
      <c r="L510" s="174" t="str">
        <f>IFERROR(__xludf.DUMMYFUNCTION("""COMPUTED_VALUE"""),"Unlisted")</f>
        <v>Unlisted</v>
      </c>
      <c r="M510" s="174" t="str">
        <f>IFERROR(__xludf.DUMMYFUNCTION("""COMPUTED_VALUE"""),"Unlisted")</f>
        <v>Unlisted</v>
      </c>
      <c r="N510" s="174" t="str">
        <f>IFERROR(__xludf.DUMMYFUNCTION("""COMPUTED_VALUE"""),"Unlisted")</f>
        <v>Unlisted</v>
      </c>
      <c r="O510" s="174" t="str">
        <f>IFERROR(__xludf.DUMMYFUNCTION("""COMPUTED_VALUE"""),"Proficient")</f>
        <v>Proficient</v>
      </c>
      <c r="P510" s="174" t="str">
        <f>IFERROR(__xludf.DUMMYFUNCTION("""COMPUTED_VALUE"""),"Unlisted")</f>
        <v>Unlisted</v>
      </c>
      <c r="Q510" s="174" t="str">
        <f>IFERROR(__xludf.DUMMYFUNCTION("""COMPUTED_VALUE"""),"Unlisted")</f>
        <v>Unlisted</v>
      </c>
      <c r="R510" s="174" t="str">
        <f>IFERROR(__xludf.DUMMYFUNCTION("""COMPUTED_VALUE"""),"Unlisted")</f>
        <v>Unlisted</v>
      </c>
    </row>
    <row r="511">
      <c r="A511" s="255" t="str">
        <f>IFERROR(__xludf.DUMMYFUNCTION("""COMPUTED_VALUE"""),"Gigalith")</f>
        <v>Gigalith</v>
      </c>
      <c r="B511" s="174" t="str">
        <f>IFERROR(__xludf.DUMMYFUNCTION("""COMPUTED_VALUE"""),"Inept")</f>
        <v>Inept</v>
      </c>
      <c r="C511" s="174" t="str">
        <f>IFERROR(__xludf.DUMMYFUNCTION("""COMPUTED_VALUE"""),"Proficient")</f>
        <v>Proficient</v>
      </c>
      <c r="D511" s="174" t="str">
        <f>IFERROR(__xludf.DUMMYFUNCTION("""COMPUTED_VALUE"""),"Unlisted")</f>
        <v>Unlisted</v>
      </c>
      <c r="E511" s="174" t="str">
        <f>IFERROR(__xludf.DUMMYFUNCTION("""COMPUTED_VALUE"""),"Unlisted")</f>
        <v>Unlisted</v>
      </c>
      <c r="F511" s="174" t="str">
        <f>IFERROR(__xludf.DUMMYFUNCTION("""COMPUTED_VALUE"""),"Unlisted")</f>
        <v>Unlisted</v>
      </c>
      <c r="G511" s="174" t="str">
        <f>IFERROR(__xludf.DUMMYFUNCTION("""COMPUTED_VALUE"""),"Proficient")</f>
        <v>Proficient</v>
      </c>
      <c r="H511" s="174" t="str">
        <f>IFERROR(__xludf.DUMMYFUNCTION("""COMPUTED_VALUE"""),"Unlisted")</f>
        <v>Unlisted</v>
      </c>
      <c r="I511" s="174" t="str">
        <f>IFERROR(__xludf.DUMMYFUNCTION("""COMPUTED_VALUE"""),"Unlisted")</f>
        <v>Unlisted</v>
      </c>
      <c r="J511" s="174" t="str">
        <f>IFERROR(__xludf.DUMMYFUNCTION("""COMPUTED_VALUE"""),"Unlisted")</f>
        <v>Unlisted</v>
      </c>
      <c r="K511" s="174" t="str">
        <f>IFERROR(__xludf.DUMMYFUNCTION("""COMPUTED_VALUE"""),"Unlisted")</f>
        <v>Unlisted</v>
      </c>
      <c r="L511" s="174" t="str">
        <f>IFERROR(__xludf.DUMMYFUNCTION("""COMPUTED_VALUE"""),"Unlisted")</f>
        <v>Unlisted</v>
      </c>
      <c r="M511" s="174" t="str">
        <f>IFERROR(__xludf.DUMMYFUNCTION("""COMPUTED_VALUE"""),"Unlisted")</f>
        <v>Unlisted</v>
      </c>
      <c r="N511" s="174" t="str">
        <f>IFERROR(__xludf.DUMMYFUNCTION("""COMPUTED_VALUE"""),"Unlisted")</f>
        <v>Unlisted</v>
      </c>
      <c r="O511" s="174" t="str">
        <f>IFERROR(__xludf.DUMMYFUNCTION("""COMPUTED_VALUE"""),"Proficient")</f>
        <v>Proficient</v>
      </c>
      <c r="P511" s="174" t="str">
        <f>IFERROR(__xludf.DUMMYFUNCTION("""COMPUTED_VALUE"""),"Unlisted")</f>
        <v>Unlisted</v>
      </c>
      <c r="Q511" s="174" t="str">
        <f>IFERROR(__xludf.DUMMYFUNCTION("""COMPUTED_VALUE"""),"Unlisted")</f>
        <v>Unlisted</v>
      </c>
      <c r="R511" s="174" t="str">
        <f>IFERROR(__xludf.DUMMYFUNCTION("""COMPUTED_VALUE"""),"Unlisted")</f>
        <v>Unlisted</v>
      </c>
    </row>
    <row r="512">
      <c r="A512" s="255" t="str">
        <f>IFERROR(__xludf.DUMMYFUNCTION("""COMPUTED_VALUE"""),"Rolycoly")</f>
        <v>Rolycoly</v>
      </c>
      <c r="B512" s="174" t="str">
        <f>IFERROR(__xludf.DUMMYFUNCTION("""COMPUTED_VALUE"""),"Proficient")</f>
        <v>Proficient</v>
      </c>
      <c r="C512" s="174" t="str">
        <f>IFERROR(__xludf.DUMMYFUNCTION("""COMPUTED_VALUE"""),"Proficient")</f>
        <v>Proficient</v>
      </c>
      <c r="D512" s="174" t="str">
        <f>IFERROR(__xludf.DUMMYFUNCTION("""COMPUTED_VALUE"""),"Unlisted")</f>
        <v>Unlisted</v>
      </c>
      <c r="E512" s="174" t="str">
        <f>IFERROR(__xludf.DUMMYFUNCTION("""COMPUTED_VALUE"""),"Proficient")</f>
        <v>Proficient</v>
      </c>
      <c r="F512" s="174" t="str">
        <f>IFERROR(__xludf.DUMMYFUNCTION("""COMPUTED_VALUE"""),"Unlisted")</f>
        <v>Unlisted</v>
      </c>
      <c r="G512" s="174" t="str">
        <f>IFERROR(__xludf.DUMMYFUNCTION("""COMPUTED_VALUE"""),"Unlisted")</f>
        <v>Unlisted</v>
      </c>
      <c r="H512" s="174" t="str">
        <f>IFERROR(__xludf.DUMMYFUNCTION("""COMPUTED_VALUE"""),"Unlisted")</f>
        <v>Unlisted</v>
      </c>
      <c r="I512" s="174" t="str">
        <f>IFERROR(__xludf.DUMMYFUNCTION("""COMPUTED_VALUE"""),"Unlisted")</f>
        <v>Unlisted</v>
      </c>
      <c r="J512" s="174" t="str">
        <f>IFERROR(__xludf.DUMMYFUNCTION("""COMPUTED_VALUE"""),"Unlisted")</f>
        <v>Unlisted</v>
      </c>
      <c r="K512" s="174" t="str">
        <f>IFERROR(__xludf.DUMMYFUNCTION("""COMPUTED_VALUE"""),"Unlisted")</f>
        <v>Unlisted</v>
      </c>
      <c r="L512" s="174" t="str">
        <f>IFERROR(__xludf.DUMMYFUNCTION("""COMPUTED_VALUE"""),"Unlisted")</f>
        <v>Unlisted</v>
      </c>
      <c r="M512" s="174" t="str">
        <f>IFERROR(__xludf.DUMMYFUNCTION("""COMPUTED_VALUE"""),"Unlisted")</f>
        <v>Unlisted</v>
      </c>
      <c r="N512" s="174" t="str">
        <f>IFERROR(__xludf.DUMMYFUNCTION("""COMPUTED_VALUE"""),"Unlisted")</f>
        <v>Unlisted</v>
      </c>
      <c r="O512" s="174" t="str">
        <f>IFERROR(__xludf.DUMMYFUNCTION("""COMPUTED_VALUE"""),"Unlisted")</f>
        <v>Unlisted</v>
      </c>
      <c r="P512" s="174" t="str">
        <f>IFERROR(__xludf.DUMMYFUNCTION("""COMPUTED_VALUE"""),"Unlisted")</f>
        <v>Unlisted</v>
      </c>
      <c r="Q512" s="174" t="str">
        <f>IFERROR(__xludf.DUMMYFUNCTION("""COMPUTED_VALUE"""),"Unlisted")</f>
        <v>Unlisted</v>
      </c>
      <c r="R512" s="174" t="str">
        <f>IFERROR(__xludf.DUMMYFUNCTION("""COMPUTED_VALUE"""),"Unlisted")</f>
        <v>Unlisted</v>
      </c>
    </row>
    <row r="513">
      <c r="A513" s="255" t="str">
        <f>IFERROR(__xludf.DUMMYFUNCTION("""COMPUTED_VALUE"""),"Carkol")</f>
        <v>Carkol</v>
      </c>
      <c r="B513" s="174" t="str">
        <f>IFERROR(__xludf.DUMMYFUNCTION("""COMPUTED_VALUE"""),"Proficient")</f>
        <v>Proficient</v>
      </c>
      <c r="C513" s="174" t="str">
        <f>IFERROR(__xludf.DUMMYFUNCTION("""COMPUTED_VALUE"""),"Proficient")</f>
        <v>Proficient</v>
      </c>
      <c r="D513" s="174" t="str">
        <f>IFERROR(__xludf.DUMMYFUNCTION("""COMPUTED_VALUE"""),"Unlisted")</f>
        <v>Unlisted</v>
      </c>
      <c r="E513" s="174" t="str">
        <f>IFERROR(__xludf.DUMMYFUNCTION("""COMPUTED_VALUE"""),"Proficient")</f>
        <v>Proficient</v>
      </c>
      <c r="F513" s="174" t="str">
        <f>IFERROR(__xludf.DUMMYFUNCTION("""COMPUTED_VALUE"""),"Unlisted")</f>
        <v>Unlisted</v>
      </c>
      <c r="G513" s="174" t="str">
        <f>IFERROR(__xludf.DUMMYFUNCTION("""COMPUTED_VALUE"""),"Unlisted")</f>
        <v>Unlisted</v>
      </c>
      <c r="H513" s="174" t="str">
        <f>IFERROR(__xludf.DUMMYFUNCTION("""COMPUTED_VALUE"""),"Unlisted")</f>
        <v>Unlisted</v>
      </c>
      <c r="I513" s="174" t="str">
        <f>IFERROR(__xludf.DUMMYFUNCTION("""COMPUTED_VALUE"""),"Unlisted")</f>
        <v>Unlisted</v>
      </c>
      <c r="J513" s="174" t="str">
        <f>IFERROR(__xludf.DUMMYFUNCTION("""COMPUTED_VALUE"""),"Unlisted")</f>
        <v>Unlisted</v>
      </c>
      <c r="K513" s="174" t="str">
        <f>IFERROR(__xludf.DUMMYFUNCTION("""COMPUTED_VALUE"""),"Unlisted")</f>
        <v>Unlisted</v>
      </c>
      <c r="L513" s="174" t="str">
        <f>IFERROR(__xludf.DUMMYFUNCTION("""COMPUTED_VALUE"""),"Unlisted")</f>
        <v>Unlisted</v>
      </c>
      <c r="M513" s="174" t="str">
        <f>IFERROR(__xludf.DUMMYFUNCTION("""COMPUTED_VALUE"""),"Unlisted")</f>
        <v>Unlisted</v>
      </c>
      <c r="N513" s="174" t="str">
        <f>IFERROR(__xludf.DUMMYFUNCTION("""COMPUTED_VALUE"""),"Unlisted")</f>
        <v>Unlisted</v>
      </c>
      <c r="O513" s="174" t="str">
        <f>IFERROR(__xludf.DUMMYFUNCTION("""COMPUTED_VALUE"""),"Unlisted")</f>
        <v>Unlisted</v>
      </c>
      <c r="P513" s="174" t="str">
        <f>IFERROR(__xludf.DUMMYFUNCTION("""COMPUTED_VALUE"""),"Unlisted")</f>
        <v>Unlisted</v>
      </c>
      <c r="Q513" s="174" t="str">
        <f>IFERROR(__xludf.DUMMYFUNCTION("""COMPUTED_VALUE"""),"Unlisted")</f>
        <v>Unlisted</v>
      </c>
      <c r="R513" s="174" t="str">
        <f>IFERROR(__xludf.DUMMYFUNCTION("""COMPUTED_VALUE"""),"Unlisted")</f>
        <v>Unlisted</v>
      </c>
    </row>
    <row r="514">
      <c r="A514" s="255" t="str">
        <f>IFERROR(__xludf.DUMMYFUNCTION("""COMPUTED_VALUE"""),"Coalossal")</f>
        <v>Coalossal</v>
      </c>
      <c r="B514" s="174" t="str">
        <f>IFERROR(__xludf.DUMMYFUNCTION("""COMPUTED_VALUE"""),"Unlisted")</f>
        <v>Unlisted</v>
      </c>
      <c r="C514" s="174" t="str">
        <f>IFERROR(__xludf.DUMMYFUNCTION("""COMPUTED_VALUE"""),"Proficient")</f>
        <v>Proficient</v>
      </c>
      <c r="D514" s="174" t="str">
        <f>IFERROR(__xludf.DUMMYFUNCTION("""COMPUTED_VALUE"""),"Unlisted")</f>
        <v>Unlisted</v>
      </c>
      <c r="E514" s="174" t="str">
        <f>IFERROR(__xludf.DUMMYFUNCTION("""COMPUTED_VALUE"""),"Proficient")</f>
        <v>Proficient</v>
      </c>
      <c r="F514" s="174" t="str">
        <f>IFERROR(__xludf.DUMMYFUNCTION("""COMPUTED_VALUE"""),"Unlisted")</f>
        <v>Unlisted</v>
      </c>
      <c r="G514" s="174" t="str">
        <f>IFERROR(__xludf.DUMMYFUNCTION("""COMPUTED_VALUE"""),"Proficient")</f>
        <v>Proficient</v>
      </c>
      <c r="H514" s="174" t="str">
        <f>IFERROR(__xludf.DUMMYFUNCTION("""COMPUTED_VALUE"""),"Unlisted")</f>
        <v>Unlisted</v>
      </c>
      <c r="I514" s="174" t="str">
        <f>IFERROR(__xludf.DUMMYFUNCTION("""COMPUTED_VALUE"""),"Unlisted")</f>
        <v>Unlisted</v>
      </c>
      <c r="J514" s="174" t="str">
        <f>IFERROR(__xludf.DUMMYFUNCTION("""COMPUTED_VALUE"""),"Unlisted")</f>
        <v>Unlisted</v>
      </c>
      <c r="K514" s="174" t="str">
        <f>IFERROR(__xludf.DUMMYFUNCTION("""COMPUTED_VALUE"""),"Unlisted")</f>
        <v>Unlisted</v>
      </c>
      <c r="L514" s="174" t="str">
        <f>IFERROR(__xludf.DUMMYFUNCTION("""COMPUTED_VALUE"""),"Unlisted")</f>
        <v>Unlisted</v>
      </c>
      <c r="M514" s="174" t="str">
        <f>IFERROR(__xludf.DUMMYFUNCTION("""COMPUTED_VALUE"""),"Unlisted")</f>
        <v>Unlisted</v>
      </c>
      <c r="N514" s="174" t="str">
        <f>IFERROR(__xludf.DUMMYFUNCTION("""COMPUTED_VALUE"""),"Unlisted")</f>
        <v>Unlisted</v>
      </c>
      <c r="O514" s="174" t="str">
        <f>IFERROR(__xludf.DUMMYFUNCTION("""COMPUTED_VALUE"""),"Unlisted")</f>
        <v>Unlisted</v>
      </c>
      <c r="P514" s="174" t="str">
        <f>IFERROR(__xludf.DUMMYFUNCTION("""COMPUTED_VALUE"""),"Unlisted")</f>
        <v>Unlisted</v>
      </c>
      <c r="Q514" s="174" t="str">
        <f>IFERROR(__xludf.DUMMYFUNCTION("""COMPUTED_VALUE"""),"Unlisted")</f>
        <v>Unlisted</v>
      </c>
      <c r="R514" s="174" t="str">
        <f>IFERROR(__xludf.DUMMYFUNCTION("""COMPUTED_VALUE"""),"Unlisted")</f>
        <v>Unlisted</v>
      </c>
    </row>
    <row r="515">
      <c r="A515" s="255" t="str">
        <f>IFERROR(__xludf.DUMMYFUNCTION("""COMPUTED_VALUE"""),"Nacli")</f>
        <v>Nacli</v>
      </c>
      <c r="B515" s="174" t="str">
        <f>IFERROR(__xludf.DUMMYFUNCTION("""COMPUTED_VALUE"""),"Unlisted")</f>
        <v>Unlisted</v>
      </c>
      <c r="C515" s="174" t="str">
        <f>IFERROR(__xludf.DUMMYFUNCTION("""COMPUTED_VALUE"""),"Proficient")</f>
        <v>Proficient</v>
      </c>
      <c r="D515" s="174" t="str">
        <f>IFERROR(__xludf.DUMMYFUNCTION("""COMPUTED_VALUE"""),"Unlisted")</f>
        <v>Unlisted</v>
      </c>
      <c r="E515" s="174" t="str">
        <f>IFERROR(__xludf.DUMMYFUNCTION("""COMPUTED_VALUE"""),"Unlisted")</f>
        <v>Unlisted</v>
      </c>
      <c r="F515" s="174" t="str">
        <f>IFERROR(__xludf.DUMMYFUNCTION("""COMPUTED_VALUE"""),"Unlisted")</f>
        <v>Unlisted</v>
      </c>
      <c r="G515" s="174" t="str">
        <f>IFERROR(__xludf.DUMMYFUNCTION("""COMPUTED_VALUE"""),"Proficient")</f>
        <v>Proficient</v>
      </c>
      <c r="H515" s="174" t="str">
        <f>IFERROR(__xludf.DUMMYFUNCTION("""COMPUTED_VALUE"""),"Unlisted")</f>
        <v>Unlisted</v>
      </c>
      <c r="I515" s="174" t="str">
        <f>IFERROR(__xludf.DUMMYFUNCTION("""COMPUTED_VALUE"""),"Unlisted")</f>
        <v>Unlisted</v>
      </c>
      <c r="J515" s="174" t="str">
        <f>IFERROR(__xludf.DUMMYFUNCTION("""COMPUTED_VALUE"""),"Unlisted")</f>
        <v>Unlisted</v>
      </c>
      <c r="K515" s="174" t="str">
        <f>IFERROR(__xludf.DUMMYFUNCTION("""COMPUTED_VALUE"""),"Unlisted")</f>
        <v>Unlisted</v>
      </c>
      <c r="L515" s="174" t="str">
        <f>IFERROR(__xludf.DUMMYFUNCTION("""COMPUTED_VALUE"""),"Unlisted")</f>
        <v>Unlisted</v>
      </c>
      <c r="M515" s="174" t="str">
        <f>IFERROR(__xludf.DUMMYFUNCTION("""COMPUTED_VALUE"""),"Unlisted")</f>
        <v>Unlisted</v>
      </c>
      <c r="N515" s="174" t="str">
        <f>IFERROR(__xludf.DUMMYFUNCTION("""COMPUTED_VALUE"""),"Unlisted")</f>
        <v>Unlisted</v>
      </c>
      <c r="O515" s="174" t="str">
        <f>IFERROR(__xludf.DUMMYFUNCTION("""COMPUTED_VALUE"""),"Unlisted")</f>
        <v>Unlisted</v>
      </c>
      <c r="P515" s="174" t="str">
        <f>IFERROR(__xludf.DUMMYFUNCTION("""COMPUTED_VALUE"""),"Unlisted")</f>
        <v>Unlisted</v>
      </c>
      <c r="Q515" s="174" t="str">
        <f>IFERROR(__xludf.DUMMYFUNCTION("""COMPUTED_VALUE"""),"Unlisted")</f>
        <v>Unlisted</v>
      </c>
      <c r="R515" s="174" t="str">
        <f>IFERROR(__xludf.DUMMYFUNCTION("""COMPUTED_VALUE"""),"Unlisted")</f>
        <v>Unlisted</v>
      </c>
    </row>
    <row r="516">
      <c r="A516" s="255" t="str">
        <f>IFERROR(__xludf.DUMMYFUNCTION("""COMPUTED_VALUE"""),"Naclstack")</f>
        <v>Naclstack</v>
      </c>
      <c r="B516" s="174" t="str">
        <f>IFERROR(__xludf.DUMMYFUNCTION("""COMPUTED_VALUE"""),"Unlisted")</f>
        <v>Unlisted</v>
      </c>
      <c r="C516" s="174" t="str">
        <f>IFERROR(__xludf.DUMMYFUNCTION("""COMPUTED_VALUE"""),"Proficient")</f>
        <v>Proficient</v>
      </c>
      <c r="D516" s="174" t="str">
        <f>IFERROR(__xludf.DUMMYFUNCTION("""COMPUTED_VALUE"""),"Unlisted")</f>
        <v>Unlisted</v>
      </c>
      <c r="E516" s="174" t="str">
        <f>IFERROR(__xludf.DUMMYFUNCTION("""COMPUTED_VALUE"""),"Unlisted")</f>
        <v>Unlisted</v>
      </c>
      <c r="F516" s="174" t="str">
        <f>IFERROR(__xludf.DUMMYFUNCTION("""COMPUTED_VALUE"""),"Unlisted")</f>
        <v>Unlisted</v>
      </c>
      <c r="G516" s="174" t="str">
        <f>IFERROR(__xludf.DUMMYFUNCTION("""COMPUTED_VALUE"""),"Proficient")</f>
        <v>Proficient</v>
      </c>
      <c r="H516" s="174" t="str">
        <f>IFERROR(__xludf.DUMMYFUNCTION("""COMPUTED_VALUE"""),"Unlisted")</f>
        <v>Unlisted</v>
      </c>
      <c r="I516" s="174" t="str">
        <f>IFERROR(__xludf.DUMMYFUNCTION("""COMPUTED_VALUE"""),"Unlisted")</f>
        <v>Unlisted</v>
      </c>
      <c r="J516" s="174" t="str">
        <f>IFERROR(__xludf.DUMMYFUNCTION("""COMPUTED_VALUE"""),"Unlisted")</f>
        <v>Unlisted</v>
      </c>
      <c r="K516" s="174" t="str">
        <f>IFERROR(__xludf.DUMMYFUNCTION("""COMPUTED_VALUE"""),"Unlisted")</f>
        <v>Unlisted</v>
      </c>
      <c r="L516" s="174" t="str">
        <f>IFERROR(__xludf.DUMMYFUNCTION("""COMPUTED_VALUE"""),"Unlisted")</f>
        <v>Unlisted</v>
      </c>
      <c r="M516" s="174" t="str">
        <f>IFERROR(__xludf.DUMMYFUNCTION("""COMPUTED_VALUE"""),"Unlisted")</f>
        <v>Unlisted</v>
      </c>
      <c r="N516" s="174" t="str">
        <f>IFERROR(__xludf.DUMMYFUNCTION("""COMPUTED_VALUE"""),"Unlisted")</f>
        <v>Unlisted</v>
      </c>
      <c r="O516" s="174" t="str">
        <f>IFERROR(__xludf.DUMMYFUNCTION("""COMPUTED_VALUE"""),"Unlisted")</f>
        <v>Unlisted</v>
      </c>
      <c r="P516" s="174" t="str">
        <f>IFERROR(__xludf.DUMMYFUNCTION("""COMPUTED_VALUE"""),"Unlisted")</f>
        <v>Unlisted</v>
      </c>
      <c r="Q516" s="174" t="str">
        <f>IFERROR(__xludf.DUMMYFUNCTION("""COMPUTED_VALUE"""),"Unlisted")</f>
        <v>Unlisted</v>
      </c>
      <c r="R516" s="174" t="str">
        <f>IFERROR(__xludf.DUMMYFUNCTION("""COMPUTED_VALUE"""),"Unlisted")</f>
        <v>Unlisted</v>
      </c>
    </row>
    <row r="517">
      <c r="A517" s="255" t="str">
        <f>IFERROR(__xludf.DUMMYFUNCTION("""COMPUTED_VALUE"""),"Garganacl")</f>
        <v>Garganacl</v>
      </c>
      <c r="B517" s="174" t="str">
        <f>IFERROR(__xludf.DUMMYFUNCTION("""COMPUTED_VALUE"""),"Unlisted")</f>
        <v>Unlisted</v>
      </c>
      <c r="C517" s="174" t="str">
        <f>IFERROR(__xludf.DUMMYFUNCTION("""COMPUTED_VALUE"""),"Proficient")</f>
        <v>Proficient</v>
      </c>
      <c r="D517" s="174" t="str">
        <f>IFERROR(__xludf.DUMMYFUNCTION("""COMPUTED_VALUE"""),"Unlisted")</f>
        <v>Unlisted</v>
      </c>
      <c r="E517" s="174" t="str">
        <f>IFERROR(__xludf.DUMMYFUNCTION("""COMPUTED_VALUE"""),"Unlisted")</f>
        <v>Unlisted</v>
      </c>
      <c r="F517" s="174" t="str">
        <f>IFERROR(__xludf.DUMMYFUNCTION("""COMPUTED_VALUE"""),"Unlisted")</f>
        <v>Unlisted</v>
      </c>
      <c r="G517" s="174" t="str">
        <f>IFERROR(__xludf.DUMMYFUNCTION("""COMPUTED_VALUE"""),"Proficient")</f>
        <v>Proficient</v>
      </c>
      <c r="H517" s="174" t="str">
        <f>IFERROR(__xludf.DUMMYFUNCTION("""COMPUTED_VALUE"""),"Unlisted")</f>
        <v>Unlisted</v>
      </c>
      <c r="I517" s="174" t="str">
        <f>IFERROR(__xludf.DUMMYFUNCTION("""COMPUTED_VALUE"""),"Unlisted")</f>
        <v>Unlisted</v>
      </c>
      <c r="J517" s="174" t="str">
        <f>IFERROR(__xludf.DUMMYFUNCTION("""COMPUTED_VALUE"""),"Unlisted")</f>
        <v>Unlisted</v>
      </c>
      <c r="K517" s="174" t="str">
        <f>IFERROR(__xludf.DUMMYFUNCTION("""COMPUTED_VALUE"""),"Unlisted")</f>
        <v>Unlisted</v>
      </c>
      <c r="L517" s="174" t="str">
        <f>IFERROR(__xludf.DUMMYFUNCTION("""COMPUTED_VALUE"""),"Unlisted")</f>
        <v>Unlisted</v>
      </c>
      <c r="M517" s="174" t="str">
        <f>IFERROR(__xludf.DUMMYFUNCTION("""COMPUTED_VALUE"""),"Unlisted")</f>
        <v>Unlisted</v>
      </c>
      <c r="N517" s="174" t="str">
        <f>IFERROR(__xludf.DUMMYFUNCTION("""COMPUTED_VALUE"""),"Unlisted")</f>
        <v>Unlisted</v>
      </c>
      <c r="O517" s="174" t="str">
        <f>IFERROR(__xludf.DUMMYFUNCTION("""COMPUTED_VALUE"""),"Unlisted")</f>
        <v>Unlisted</v>
      </c>
      <c r="P517" s="174" t="str">
        <f>IFERROR(__xludf.DUMMYFUNCTION("""COMPUTED_VALUE"""),"Unlisted")</f>
        <v>Unlisted</v>
      </c>
      <c r="Q517" s="174" t="str">
        <f>IFERROR(__xludf.DUMMYFUNCTION("""COMPUTED_VALUE"""),"Unlisted")</f>
        <v>Unlisted</v>
      </c>
      <c r="R517" s="174" t="str">
        <f>IFERROR(__xludf.DUMMYFUNCTION("""COMPUTED_VALUE"""),"Unlisted")</f>
        <v>Unlisted</v>
      </c>
    </row>
    <row r="518">
      <c r="A518" s="255" t="str">
        <f>IFERROR(__xludf.DUMMYFUNCTION("""COMPUTED_VALUE"""),"Aron")</f>
        <v>Aron</v>
      </c>
      <c r="B518" s="174" t="str">
        <f>IFERROR(__xludf.DUMMYFUNCTION("""COMPUTED_VALUE"""),"Inept")</f>
        <v>Inept</v>
      </c>
      <c r="C518" s="174" t="str">
        <f>IFERROR(__xludf.DUMMYFUNCTION("""COMPUTED_VALUE"""),"Mastered")</f>
        <v>Mastered</v>
      </c>
      <c r="D518" s="174" t="str">
        <f>IFERROR(__xludf.DUMMYFUNCTION("""COMPUTED_VALUE"""),"Unlisted")</f>
        <v>Unlisted</v>
      </c>
      <c r="E518" s="174" t="str">
        <f>IFERROR(__xludf.DUMMYFUNCTION("""COMPUTED_VALUE"""),"Proficient")</f>
        <v>Proficient</v>
      </c>
      <c r="F518" s="174" t="str">
        <f>IFERROR(__xludf.DUMMYFUNCTION("""COMPUTED_VALUE"""),"Unlisted")</f>
        <v>Unlisted</v>
      </c>
      <c r="G518" s="174" t="str">
        <f>IFERROR(__xludf.DUMMYFUNCTION("""COMPUTED_VALUE"""),"Unlisted")</f>
        <v>Unlisted</v>
      </c>
      <c r="H518" s="174" t="str">
        <f>IFERROR(__xludf.DUMMYFUNCTION("""COMPUTED_VALUE"""),"Unlisted")</f>
        <v>Unlisted</v>
      </c>
      <c r="I518" s="174" t="str">
        <f>IFERROR(__xludf.DUMMYFUNCTION("""COMPUTED_VALUE"""),"Proficient")</f>
        <v>Proficient</v>
      </c>
      <c r="J518" s="174" t="str">
        <f>IFERROR(__xludf.DUMMYFUNCTION("""COMPUTED_VALUE"""),"Unlisted")</f>
        <v>Unlisted</v>
      </c>
      <c r="K518" s="174" t="str">
        <f>IFERROR(__xludf.DUMMYFUNCTION("""COMPUTED_VALUE"""),"Unlisted")</f>
        <v>Unlisted</v>
      </c>
      <c r="L518" s="174" t="str">
        <f>IFERROR(__xludf.DUMMYFUNCTION("""COMPUTED_VALUE"""),"Unlisted")</f>
        <v>Unlisted</v>
      </c>
      <c r="M518" s="174" t="str">
        <f>IFERROR(__xludf.DUMMYFUNCTION("""COMPUTED_VALUE"""),"Unlisted")</f>
        <v>Unlisted</v>
      </c>
      <c r="N518" s="174" t="str">
        <f>IFERROR(__xludf.DUMMYFUNCTION("""COMPUTED_VALUE"""),"Unlisted")</f>
        <v>Unlisted</v>
      </c>
      <c r="O518" s="174" t="str">
        <f>IFERROR(__xludf.DUMMYFUNCTION("""COMPUTED_VALUE"""),"Proficient")</f>
        <v>Proficient</v>
      </c>
      <c r="P518" s="174" t="str">
        <f>IFERROR(__xludf.DUMMYFUNCTION("""COMPUTED_VALUE"""),"Unlisted")</f>
        <v>Unlisted</v>
      </c>
      <c r="Q518" s="174" t="str">
        <f>IFERROR(__xludf.DUMMYFUNCTION("""COMPUTED_VALUE"""),"Unlisted")</f>
        <v>Unlisted</v>
      </c>
      <c r="R518" s="174" t="str">
        <f>IFERROR(__xludf.DUMMYFUNCTION("""COMPUTED_VALUE"""),"Unlisted")</f>
        <v>Unlisted</v>
      </c>
    </row>
    <row r="519">
      <c r="A519" s="255" t="str">
        <f>IFERROR(__xludf.DUMMYFUNCTION("""COMPUTED_VALUE"""),"Lairon")</f>
        <v>Lairon</v>
      </c>
      <c r="B519" s="174" t="str">
        <f>IFERROR(__xludf.DUMMYFUNCTION("""COMPUTED_VALUE"""),"Inept")</f>
        <v>Inept</v>
      </c>
      <c r="C519" s="174" t="str">
        <f>IFERROR(__xludf.DUMMYFUNCTION("""COMPUTED_VALUE"""),"Mastered")</f>
        <v>Mastered</v>
      </c>
      <c r="D519" s="174" t="str">
        <f>IFERROR(__xludf.DUMMYFUNCTION("""COMPUTED_VALUE"""),"Unlisted")</f>
        <v>Unlisted</v>
      </c>
      <c r="E519" s="174" t="str">
        <f>IFERROR(__xludf.DUMMYFUNCTION("""COMPUTED_VALUE"""),"Proficient")</f>
        <v>Proficient</v>
      </c>
      <c r="F519" s="174" t="str">
        <f>IFERROR(__xludf.DUMMYFUNCTION("""COMPUTED_VALUE"""),"Unlisted")</f>
        <v>Unlisted</v>
      </c>
      <c r="G519" s="174" t="str">
        <f>IFERROR(__xludf.DUMMYFUNCTION("""COMPUTED_VALUE"""),"Unlisted")</f>
        <v>Unlisted</v>
      </c>
      <c r="H519" s="174" t="str">
        <f>IFERROR(__xludf.DUMMYFUNCTION("""COMPUTED_VALUE"""),"Unlisted")</f>
        <v>Unlisted</v>
      </c>
      <c r="I519" s="174" t="str">
        <f>IFERROR(__xludf.DUMMYFUNCTION("""COMPUTED_VALUE"""),"Proficient")</f>
        <v>Proficient</v>
      </c>
      <c r="J519" s="174" t="str">
        <f>IFERROR(__xludf.DUMMYFUNCTION("""COMPUTED_VALUE"""),"Unlisted")</f>
        <v>Unlisted</v>
      </c>
      <c r="K519" s="174" t="str">
        <f>IFERROR(__xludf.DUMMYFUNCTION("""COMPUTED_VALUE"""),"Unlisted")</f>
        <v>Unlisted</v>
      </c>
      <c r="L519" s="174" t="str">
        <f>IFERROR(__xludf.DUMMYFUNCTION("""COMPUTED_VALUE"""),"Unlisted")</f>
        <v>Unlisted</v>
      </c>
      <c r="M519" s="174" t="str">
        <f>IFERROR(__xludf.DUMMYFUNCTION("""COMPUTED_VALUE"""),"Unlisted")</f>
        <v>Unlisted</v>
      </c>
      <c r="N519" s="174" t="str">
        <f>IFERROR(__xludf.DUMMYFUNCTION("""COMPUTED_VALUE"""),"Unlisted")</f>
        <v>Unlisted</v>
      </c>
      <c r="O519" s="174" t="str">
        <f>IFERROR(__xludf.DUMMYFUNCTION("""COMPUTED_VALUE"""),"Proficient")</f>
        <v>Proficient</v>
      </c>
      <c r="P519" s="174" t="str">
        <f>IFERROR(__xludf.DUMMYFUNCTION("""COMPUTED_VALUE"""),"Unlisted")</f>
        <v>Unlisted</v>
      </c>
      <c r="Q519" s="174" t="str">
        <f>IFERROR(__xludf.DUMMYFUNCTION("""COMPUTED_VALUE"""),"Unlisted")</f>
        <v>Unlisted</v>
      </c>
      <c r="R519" s="174" t="str">
        <f>IFERROR(__xludf.DUMMYFUNCTION("""COMPUTED_VALUE"""),"Unlisted")</f>
        <v>Unlisted</v>
      </c>
    </row>
    <row r="520">
      <c r="A520" s="255" t="str">
        <f>IFERROR(__xludf.DUMMYFUNCTION("""COMPUTED_VALUE"""),"Aggron")</f>
        <v>Aggron</v>
      </c>
      <c r="B520" s="174" t="str">
        <f>IFERROR(__xludf.DUMMYFUNCTION("""COMPUTED_VALUE"""),"Inept")</f>
        <v>Inept</v>
      </c>
      <c r="C520" s="174" t="str">
        <f>IFERROR(__xludf.DUMMYFUNCTION("""COMPUTED_VALUE"""),"Mastered")</f>
        <v>Mastered</v>
      </c>
      <c r="D520" s="174" t="str">
        <f>IFERROR(__xludf.DUMMYFUNCTION("""COMPUTED_VALUE"""),"Unlisted")</f>
        <v>Unlisted</v>
      </c>
      <c r="E520" s="174" t="str">
        <f>IFERROR(__xludf.DUMMYFUNCTION("""COMPUTED_VALUE"""),"Proficient")</f>
        <v>Proficient</v>
      </c>
      <c r="F520" s="174" t="str">
        <f>IFERROR(__xludf.DUMMYFUNCTION("""COMPUTED_VALUE"""),"Unlisted")</f>
        <v>Unlisted</v>
      </c>
      <c r="G520" s="174" t="str">
        <f>IFERROR(__xludf.DUMMYFUNCTION("""COMPUTED_VALUE"""),"Unlisted")</f>
        <v>Unlisted</v>
      </c>
      <c r="H520" s="174" t="str">
        <f>IFERROR(__xludf.DUMMYFUNCTION("""COMPUTED_VALUE"""),"Unlisted")</f>
        <v>Unlisted</v>
      </c>
      <c r="I520" s="174" t="str">
        <f>IFERROR(__xludf.DUMMYFUNCTION("""COMPUTED_VALUE"""),"Proficient")</f>
        <v>Proficient</v>
      </c>
      <c r="J520" s="174" t="str">
        <f>IFERROR(__xludf.DUMMYFUNCTION("""COMPUTED_VALUE"""),"Unlisted")</f>
        <v>Unlisted</v>
      </c>
      <c r="K520" s="174" t="str">
        <f>IFERROR(__xludf.DUMMYFUNCTION("""COMPUTED_VALUE"""),"Unlisted")</f>
        <v>Unlisted</v>
      </c>
      <c r="L520" s="174" t="str">
        <f>IFERROR(__xludf.DUMMYFUNCTION("""COMPUTED_VALUE"""),"Unlisted")</f>
        <v>Unlisted</v>
      </c>
      <c r="M520" s="174" t="str">
        <f>IFERROR(__xludf.DUMMYFUNCTION("""COMPUTED_VALUE"""),"Unlisted")</f>
        <v>Unlisted</v>
      </c>
      <c r="N520" s="174" t="str">
        <f>IFERROR(__xludf.DUMMYFUNCTION("""COMPUTED_VALUE"""),"Unlisted")</f>
        <v>Unlisted</v>
      </c>
      <c r="O520" s="174" t="str">
        <f>IFERROR(__xludf.DUMMYFUNCTION("""COMPUTED_VALUE"""),"Proficient")</f>
        <v>Proficient</v>
      </c>
      <c r="P520" s="174" t="str">
        <f>IFERROR(__xludf.DUMMYFUNCTION("""COMPUTED_VALUE"""),"Unlisted")</f>
        <v>Unlisted</v>
      </c>
      <c r="Q520" s="174" t="str">
        <f>IFERROR(__xludf.DUMMYFUNCTION("""COMPUTED_VALUE"""),"Unlisted")</f>
        <v>Unlisted</v>
      </c>
      <c r="R520" s="174" t="str">
        <f>IFERROR(__xludf.DUMMYFUNCTION("""COMPUTED_VALUE"""),"Unlisted")</f>
        <v>Unlisted</v>
      </c>
    </row>
    <row r="521">
      <c r="A521" s="255" t="str">
        <f>IFERROR(__xludf.DUMMYFUNCTION("""COMPUTED_VALUE"""),"Beldum")</f>
        <v>Beldum</v>
      </c>
      <c r="B521" s="174" t="str">
        <f>IFERROR(__xludf.DUMMYFUNCTION("""COMPUTED_VALUE"""),"Unlisted")</f>
        <v>Unlisted</v>
      </c>
      <c r="C521" s="174" t="str">
        <f>IFERROR(__xludf.DUMMYFUNCTION("""COMPUTED_VALUE"""),"Proficient")</f>
        <v>Proficient</v>
      </c>
      <c r="D521" s="174" t="str">
        <f>IFERROR(__xludf.DUMMYFUNCTION("""COMPUTED_VALUE"""),"Unlisted")</f>
        <v>Unlisted</v>
      </c>
      <c r="E521" s="174" t="str">
        <f>IFERROR(__xludf.DUMMYFUNCTION("""COMPUTED_VALUE"""),"Proficient")</f>
        <v>Proficient</v>
      </c>
      <c r="F521" s="174" t="str">
        <f>IFERROR(__xludf.DUMMYFUNCTION("""COMPUTED_VALUE"""),"Unlisted")</f>
        <v>Unlisted</v>
      </c>
      <c r="G521" s="174" t="str">
        <f>IFERROR(__xludf.DUMMYFUNCTION("""COMPUTED_VALUE"""),"Mastered")</f>
        <v>Mastered</v>
      </c>
      <c r="H521" s="174" t="str">
        <f>IFERROR(__xludf.DUMMYFUNCTION("""COMPUTED_VALUE"""),"Unlisted")</f>
        <v>Unlisted</v>
      </c>
      <c r="I521" s="174" t="str">
        <f>IFERROR(__xludf.DUMMYFUNCTION("""COMPUTED_VALUE"""),"Unlisted")</f>
        <v>Unlisted</v>
      </c>
      <c r="J521" s="174" t="str">
        <f>IFERROR(__xludf.DUMMYFUNCTION("""COMPUTED_VALUE"""),"Unlisted")</f>
        <v>Unlisted</v>
      </c>
      <c r="K521" s="174" t="str">
        <f>IFERROR(__xludf.DUMMYFUNCTION("""COMPUTED_VALUE"""),"Unlisted")</f>
        <v>Unlisted</v>
      </c>
      <c r="L521" s="174" t="str">
        <f>IFERROR(__xludf.DUMMYFUNCTION("""COMPUTED_VALUE"""),"Unlisted")</f>
        <v>Unlisted</v>
      </c>
      <c r="M521" s="174" t="str">
        <f>IFERROR(__xludf.DUMMYFUNCTION("""COMPUTED_VALUE"""),"Unlisted")</f>
        <v>Unlisted</v>
      </c>
      <c r="N521" s="174" t="str">
        <f>IFERROR(__xludf.DUMMYFUNCTION("""COMPUTED_VALUE"""),"Unlisted")</f>
        <v>Unlisted</v>
      </c>
      <c r="O521" s="174" t="str">
        <f>IFERROR(__xludf.DUMMYFUNCTION("""COMPUTED_VALUE"""),"Unlisted")</f>
        <v>Unlisted</v>
      </c>
      <c r="P521" s="174" t="str">
        <f>IFERROR(__xludf.DUMMYFUNCTION("""COMPUTED_VALUE"""),"Unlisted")</f>
        <v>Unlisted</v>
      </c>
      <c r="Q521" s="174" t="str">
        <f>IFERROR(__xludf.DUMMYFUNCTION("""COMPUTED_VALUE"""),"Unlisted")</f>
        <v>Unlisted</v>
      </c>
      <c r="R521" s="174" t="str">
        <f>IFERROR(__xludf.DUMMYFUNCTION("""COMPUTED_VALUE"""),"Unlisted")</f>
        <v>Unlisted</v>
      </c>
    </row>
    <row r="522">
      <c r="A522" s="255" t="str">
        <f>IFERROR(__xludf.DUMMYFUNCTION("""COMPUTED_VALUE"""),"Metang")</f>
        <v>Metang</v>
      </c>
      <c r="B522" s="174" t="str">
        <f>IFERROR(__xludf.DUMMYFUNCTION("""COMPUTED_VALUE"""),"Unlisted")</f>
        <v>Unlisted</v>
      </c>
      <c r="C522" s="174" t="str">
        <f>IFERROR(__xludf.DUMMYFUNCTION("""COMPUTED_VALUE"""),"Proficient")</f>
        <v>Proficient</v>
      </c>
      <c r="D522" s="174" t="str">
        <f>IFERROR(__xludf.DUMMYFUNCTION("""COMPUTED_VALUE"""),"Unlisted")</f>
        <v>Unlisted</v>
      </c>
      <c r="E522" s="174" t="str">
        <f>IFERROR(__xludf.DUMMYFUNCTION("""COMPUTED_VALUE"""),"Proficient")</f>
        <v>Proficient</v>
      </c>
      <c r="F522" s="174" t="str">
        <f>IFERROR(__xludf.DUMMYFUNCTION("""COMPUTED_VALUE"""),"Unlisted")</f>
        <v>Unlisted</v>
      </c>
      <c r="G522" s="174" t="str">
        <f>IFERROR(__xludf.DUMMYFUNCTION("""COMPUTED_VALUE"""),"Mastered")</f>
        <v>Mastered</v>
      </c>
      <c r="H522" s="174" t="str">
        <f>IFERROR(__xludf.DUMMYFUNCTION("""COMPUTED_VALUE"""),"Unlisted")</f>
        <v>Unlisted</v>
      </c>
      <c r="I522" s="174" t="str">
        <f>IFERROR(__xludf.DUMMYFUNCTION("""COMPUTED_VALUE"""),"Unlisted")</f>
        <v>Unlisted</v>
      </c>
      <c r="J522" s="174" t="str">
        <f>IFERROR(__xludf.DUMMYFUNCTION("""COMPUTED_VALUE"""),"Unlisted")</f>
        <v>Unlisted</v>
      </c>
      <c r="K522" s="174" t="str">
        <f>IFERROR(__xludf.DUMMYFUNCTION("""COMPUTED_VALUE"""),"Unlisted")</f>
        <v>Unlisted</v>
      </c>
      <c r="L522" s="174" t="str">
        <f>IFERROR(__xludf.DUMMYFUNCTION("""COMPUTED_VALUE"""),"Unlisted")</f>
        <v>Unlisted</v>
      </c>
      <c r="M522" s="174" t="str">
        <f>IFERROR(__xludf.DUMMYFUNCTION("""COMPUTED_VALUE"""),"Unlisted")</f>
        <v>Unlisted</v>
      </c>
      <c r="N522" s="174" t="str">
        <f>IFERROR(__xludf.DUMMYFUNCTION("""COMPUTED_VALUE"""),"Unlisted")</f>
        <v>Unlisted</v>
      </c>
      <c r="O522" s="174" t="str">
        <f>IFERROR(__xludf.DUMMYFUNCTION("""COMPUTED_VALUE"""),"Unlisted")</f>
        <v>Unlisted</v>
      </c>
      <c r="P522" s="174" t="str">
        <f>IFERROR(__xludf.DUMMYFUNCTION("""COMPUTED_VALUE"""),"Unlisted")</f>
        <v>Unlisted</v>
      </c>
      <c r="Q522" s="174" t="str">
        <f>IFERROR(__xludf.DUMMYFUNCTION("""COMPUTED_VALUE"""),"Unlisted")</f>
        <v>Unlisted</v>
      </c>
      <c r="R522" s="174" t="str">
        <f>IFERROR(__xludf.DUMMYFUNCTION("""COMPUTED_VALUE"""),"Unlisted")</f>
        <v>Unlisted</v>
      </c>
    </row>
    <row r="523">
      <c r="A523" s="255" t="str">
        <f>IFERROR(__xludf.DUMMYFUNCTION("""COMPUTED_VALUE"""),"Metagross")</f>
        <v>Metagross</v>
      </c>
      <c r="B523" s="174" t="str">
        <f>IFERROR(__xludf.DUMMYFUNCTION("""COMPUTED_VALUE"""),"Unlisted")</f>
        <v>Unlisted</v>
      </c>
      <c r="C523" s="174" t="str">
        <f>IFERROR(__xludf.DUMMYFUNCTION("""COMPUTED_VALUE"""),"Proficient")</f>
        <v>Proficient</v>
      </c>
      <c r="D523" s="174" t="str">
        <f>IFERROR(__xludf.DUMMYFUNCTION("""COMPUTED_VALUE"""),"Unlisted")</f>
        <v>Unlisted</v>
      </c>
      <c r="E523" s="174" t="str">
        <f>IFERROR(__xludf.DUMMYFUNCTION("""COMPUTED_VALUE"""),"Proficient")</f>
        <v>Proficient</v>
      </c>
      <c r="F523" s="174" t="str">
        <f>IFERROR(__xludf.DUMMYFUNCTION("""COMPUTED_VALUE"""),"Unlisted")</f>
        <v>Unlisted</v>
      </c>
      <c r="G523" s="174" t="str">
        <f>IFERROR(__xludf.DUMMYFUNCTION("""COMPUTED_VALUE"""),"Mastered")</f>
        <v>Mastered</v>
      </c>
      <c r="H523" s="174" t="str">
        <f>IFERROR(__xludf.DUMMYFUNCTION("""COMPUTED_VALUE"""),"Unlisted")</f>
        <v>Unlisted</v>
      </c>
      <c r="I523" s="174" t="str">
        <f>IFERROR(__xludf.DUMMYFUNCTION("""COMPUTED_VALUE"""),"Unlisted")</f>
        <v>Unlisted</v>
      </c>
      <c r="J523" s="174" t="str">
        <f>IFERROR(__xludf.DUMMYFUNCTION("""COMPUTED_VALUE"""),"Unlisted")</f>
        <v>Unlisted</v>
      </c>
      <c r="K523" s="174" t="str">
        <f>IFERROR(__xludf.DUMMYFUNCTION("""COMPUTED_VALUE"""),"Unlisted")</f>
        <v>Unlisted</v>
      </c>
      <c r="L523" s="174" t="str">
        <f>IFERROR(__xludf.DUMMYFUNCTION("""COMPUTED_VALUE"""),"Unlisted")</f>
        <v>Unlisted</v>
      </c>
      <c r="M523" s="174" t="str">
        <f>IFERROR(__xludf.DUMMYFUNCTION("""COMPUTED_VALUE"""),"Unlisted")</f>
        <v>Unlisted</v>
      </c>
      <c r="N523" s="174" t="str">
        <f>IFERROR(__xludf.DUMMYFUNCTION("""COMPUTED_VALUE"""),"Unlisted")</f>
        <v>Unlisted</v>
      </c>
      <c r="O523" s="174" t="str">
        <f>IFERROR(__xludf.DUMMYFUNCTION("""COMPUTED_VALUE"""),"Unlisted")</f>
        <v>Unlisted</v>
      </c>
      <c r="P523" s="174" t="str">
        <f>IFERROR(__xludf.DUMMYFUNCTION("""COMPUTED_VALUE"""),"Unlisted")</f>
        <v>Unlisted</v>
      </c>
      <c r="Q523" s="174" t="str">
        <f>IFERROR(__xludf.DUMMYFUNCTION("""COMPUTED_VALUE"""),"Unlisted")</f>
        <v>Unlisted</v>
      </c>
      <c r="R523" s="174" t="str">
        <f>IFERROR(__xludf.DUMMYFUNCTION("""COMPUTED_VALUE"""),"Unlisted")</f>
        <v>Unlisted</v>
      </c>
    </row>
    <row r="524">
      <c r="A524" s="255" t="str">
        <f>IFERROR(__xludf.DUMMYFUNCTION("""COMPUTED_VALUE"""),"Klink")</f>
        <v>Klink</v>
      </c>
      <c r="B524" s="174" t="str">
        <f>IFERROR(__xludf.DUMMYFUNCTION("""COMPUTED_VALUE"""),"Unlisted")</f>
        <v>Unlisted</v>
      </c>
      <c r="C524" s="174" t="str">
        <f>IFERROR(__xludf.DUMMYFUNCTION("""COMPUTED_VALUE"""),"Proficient")</f>
        <v>Proficient</v>
      </c>
      <c r="D524" s="174" t="str">
        <f>IFERROR(__xludf.DUMMYFUNCTION("""COMPUTED_VALUE"""),"Unlisted")</f>
        <v>Unlisted</v>
      </c>
      <c r="E524" s="174" t="str">
        <f>IFERROR(__xludf.DUMMYFUNCTION("""COMPUTED_VALUE"""),"Unlisted")</f>
        <v>Unlisted</v>
      </c>
      <c r="F524" s="174" t="str">
        <f>IFERROR(__xludf.DUMMYFUNCTION("""COMPUTED_VALUE"""),"Unlisted")</f>
        <v>Unlisted</v>
      </c>
      <c r="G524" s="174" t="str">
        <f>IFERROR(__xludf.DUMMYFUNCTION("""COMPUTED_VALUE"""),"Proficient")</f>
        <v>Proficient</v>
      </c>
      <c r="H524" s="174" t="str">
        <f>IFERROR(__xludf.DUMMYFUNCTION("""COMPUTED_VALUE"""),"Unlisted")</f>
        <v>Unlisted</v>
      </c>
      <c r="I524" s="174" t="str">
        <f>IFERROR(__xludf.DUMMYFUNCTION("""COMPUTED_VALUE"""),"Unlisted")</f>
        <v>Unlisted</v>
      </c>
      <c r="J524" s="174" t="str">
        <f>IFERROR(__xludf.DUMMYFUNCTION("""COMPUTED_VALUE"""),"Unlisted")</f>
        <v>Unlisted</v>
      </c>
      <c r="K524" s="174" t="str">
        <f>IFERROR(__xludf.DUMMYFUNCTION("""COMPUTED_VALUE"""),"Proficient")</f>
        <v>Proficient</v>
      </c>
      <c r="L524" s="174" t="str">
        <f>IFERROR(__xludf.DUMMYFUNCTION("""COMPUTED_VALUE"""),"Inept")</f>
        <v>Inept</v>
      </c>
      <c r="M524" s="174" t="str">
        <f>IFERROR(__xludf.DUMMYFUNCTION("""COMPUTED_VALUE"""),"Unlisted")</f>
        <v>Unlisted</v>
      </c>
      <c r="N524" s="174" t="str">
        <f>IFERROR(__xludf.DUMMYFUNCTION("""COMPUTED_VALUE"""),"Unlisted")</f>
        <v>Unlisted</v>
      </c>
      <c r="O524" s="174" t="str">
        <f>IFERROR(__xludf.DUMMYFUNCTION("""COMPUTED_VALUE"""),"Unlisted")</f>
        <v>Unlisted</v>
      </c>
      <c r="P524" s="174" t="str">
        <f>IFERROR(__xludf.DUMMYFUNCTION("""COMPUTED_VALUE"""),"Unlisted")</f>
        <v>Unlisted</v>
      </c>
      <c r="Q524" s="174" t="str">
        <f>IFERROR(__xludf.DUMMYFUNCTION("""COMPUTED_VALUE"""),"Unlisted")</f>
        <v>Unlisted</v>
      </c>
      <c r="R524" s="174" t="str">
        <f>IFERROR(__xludf.DUMMYFUNCTION("""COMPUTED_VALUE"""),"Unlisted")</f>
        <v>Unlisted</v>
      </c>
    </row>
    <row r="525">
      <c r="A525" s="255" t="str">
        <f>IFERROR(__xludf.DUMMYFUNCTION("""COMPUTED_VALUE"""),"Klang")</f>
        <v>Klang</v>
      </c>
      <c r="B525" s="174" t="str">
        <f>IFERROR(__xludf.DUMMYFUNCTION("""COMPUTED_VALUE"""),"Unlisted")</f>
        <v>Unlisted</v>
      </c>
      <c r="C525" s="174" t="str">
        <f>IFERROR(__xludf.DUMMYFUNCTION("""COMPUTED_VALUE"""),"Proficient")</f>
        <v>Proficient</v>
      </c>
      <c r="D525" s="174" t="str">
        <f>IFERROR(__xludf.DUMMYFUNCTION("""COMPUTED_VALUE"""),"Unlisted")</f>
        <v>Unlisted</v>
      </c>
      <c r="E525" s="174" t="str">
        <f>IFERROR(__xludf.DUMMYFUNCTION("""COMPUTED_VALUE"""),"Unlisted")</f>
        <v>Unlisted</v>
      </c>
      <c r="F525" s="174" t="str">
        <f>IFERROR(__xludf.DUMMYFUNCTION("""COMPUTED_VALUE"""),"Unlisted")</f>
        <v>Unlisted</v>
      </c>
      <c r="G525" s="174" t="str">
        <f>IFERROR(__xludf.DUMMYFUNCTION("""COMPUTED_VALUE"""),"Proficient")</f>
        <v>Proficient</v>
      </c>
      <c r="H525" s="174" t="str">
        <f>IFERROR(__xludf.DUMMYFUNCTION("""COMPUTED_VALUE"""),"Unlisted")</f>
        <v>Unlisted</v>
      </c>
      <c r="I525" s="174" t="str">
        <f>IFERROR(__xludf.DUMMYFUNCTION("""COMPUTED_VALUE"""),"Unlisted")</f>
        <v>Unlisted</v>
      </c>
      <c r="J525" s="174" t="str">
        <f>IFERROR(__xludf.DUMMYFUNCTION("""COMPUTED_VALUE"""),"Unlisted")</f>
        <v>Unlisted</v>
      </c>
      <c r="K525" s="174" t="str">
        <f>IFERROR(__xludf.DUMMYFUNCTION("""COMPUTED_VALUE"""),"Proficient")</f>
        <v>Proficient</v>
      </c>
      <c r="L525" s="174" t="str">
        <f>IFERROR(__xludf.DUMMYFUNCTION("""COMPUTED_VALUE"""),"Inept")</f>
        <v>Inept</v>
      </c>
      <c r="M525" s="174" t="str">
        <f>IFERROR(__xludf.DUMMYFUNCTION("""COMPUTED_VALUE"""),"Unlisted")</f>
        <v>Unlisted</v>
      </c>
      <c r="N525" s="174" t="str">
        <f>IFERROR(__xludf.DUMMYFUNCTION("""COMPUTED_VALUE"""),"Unlisted")</f>
        <v>Unlisted</v>
      </c>
      <c r="O525" s="174" t="str">
        <f>IFERROR(__xludf.DUMMYFUNCTION("""COMPUTED_VALUE"""),"Unlisted")</f>
        <v>Unlisted</v>
      </c>
      <c r="P525" s="174" t="str">
        <f>IFERROR(__xludf.DUMMYFUNCTION("""COMPUTED_VALUE"""),"Unlisted")</f>
        <v>Unlisted</v>
      </c>
      <c r="Q525" s="174" t="str">
        <f>IFERROR(__xludf.DUMMYFUNCTION("""COMPUTED_VALUE"""),"Unlisted")</f>
        <v>Unlisted</v>
      </c>
      <c r="R525" s="174" t="str">
        <f>IFERROR(__xludf.DUMMYFUNCTION("""COMPUTED_VALUE"""),"Unlisted")</f>
        <v>Unlisted</v>
      </c>
    </row>
    <row r="526">
      <c r="A526" s="255" t="str">
        <f>IFERROR(__xludf.DUMMYFUNCTION("""COMPUTED_VALUE"""),"Klinklang")</f>
        <v>Klinklang</v>
      </c>
      <c r="B526" s="174" t="str">
        <f>IFERROR(__xludf.DUMMYFUNCTION("""COMPUTED_VALUE"""),"Unlisted")</f>
        <v>Unlisted</v>
      </c>
      <c r="C526" s="174" t="str">
        <f>IFERROR(__xludf.DUMMYFUNCTION("""COMPUTED_VALUE"""),"Proficient")</f>
        <v>Proficient</v>
      </c>
      <c r="D526" s="174" t="str">
        <f>IFERROR(__xludf.DUMMYFUNCTION("""COMPUTED_VALUE"""),"Unlisted")</f>
        <v>Unlisted</v>
      </c>
      <c r="E526" s="174" t="str">
        <f>IFERROR(__xludf.DUMMYFUNCTION("""COMPUTED_VALUE"""),"Unlisted")</f>
        <v>Unlisted</v>
      </c>
      <c r="F526" s="174" t="str">
        <f>IFERROR(__xludf.DUMMYFUNCTION("""COMPUTED_VALUE"""),"Unlisted")</f>
        <v>Unlisted</v>
      </c>
      <c r="G526" s="174" t="str">
        <f>IFERROR(__xludf.DUMMYFUNCTION("""COMPUTED_VALUE"""),"Proficient")</f>
        <v>Proficient</v>
      </c>
      <c r="H526" s="174" t="str">
        <f>IFERROR(__xludf.DUMMYFUNCTION("""COMPUTED_VALUE"""),"Unlisted")</f>
        <v>Unlisted</v>
      </c>
      <c r="I526" s="174" t="str">
        <f>IFERROR(__xludf.DUMMYFUNCTION("""COMPUTED_VALUE"""),"Unlisted")</f>
        <v>Unlisted</v>
      </c>
      <c r="J526" s="174" t="str">
        <f>IFERROR(__xludf.DUMMYFUNCTION("""COMPUTED_VALUE"""),"Unlisted")</f>
        <v>Unlisted</v>
      </c>
      <c r="K526" s="174" t="str">
        <f>IFERROR(__xludf.DUMMYFUNCTION("""COMPUTED_VALUE"""),"Proficient")</f>
        <v>Proficient</v>
      </c>
      <c r="L526" s="174" t="str">
        <f>IFERROR(__xludf.DUMMYFUNCTION("""COMPUTED_VALUE"""),"Inept")</f>
        <v>Inept</v>
      </c>
      <c r="M526" s="174" t="str">
        <f>IFERROR(__xludf.DUMMYFUNCTION("""COMPUTED_VALUE"""),"Unlisted")</f>
        <v>Unlisted</v>
      </c>
      <c r="N526" s="174" t="str">
        <f>IFERROR(__xludf.DUMMYFUNCTION("""COMPUTED_VALUE"""),"Unlisted")</f>
        <v>Unlisted</v>
      </c>
      <c r="O526" s="174" t="str">
        <f>IFERROR(__xludf.DUMMYFUNCTION("""COMPUTED_VALUE"""),"Unlisted")</f>
        <v>Unlisted</v>
      </c>
      <c r="P526" s="174" t="str">
        <f>IFERROR(__xludf.DUMMYFUNCTION("""COMPUTED_VALUE"""),"Unlisted")</f>
        <v>Unlisted</v>
      </c>
      <c r="Q526" s="174" t="str">
        <f>IFERROR(__xludf.DUMMYFUNCTION("""COMPUTED_VALUE"""),"Unlisted")</f>
        <v>Unlisted</v>
      </c>
      <c r="R526" s="174" t="str">
        <f>IFERROR(__xludf.DUMMYFUNCTION("""COMPUTED_VALUE"""),"Unlisted")</f>
        <v>Unlisted</v>
      </c>
    </row>
    <row r="527">
      <c r="A527" s="255" t="str">
        <f>IFERROR(__xludf.DUMMYFUNCTION("""COMPUTED_VALUE"""),"Honedge")</f>
        <v>Honedge</v>
      </c>
      <c r="B527" s="174" t="str">
        <f>IFERROR(__xludf.DUMMYFUNCTION("""COMPUTED_VALUE"""),"Unlisted")</f>
        <v>Unlisted</v>
      </c>
      <c r="C527" s="174" t="str">
        <f>IFERROR(__xludf.DUMMYFUNCTION("""COMPUTED_VALUE"""),"Unlisted")</f>
        <v>Unlisted</v>
      </c>
      <c r="D527" s="174" t="str">
        <f>IFERROR(__xludf.DUMMYFUNCTION("""COMPUTED_VALUE"""),"Unlisted")</f>
        <v>Unlisted</v>
      </c>
      <c r="E527" s="174" t="str">
        <f>IFERROR(__xludf.DUMMYFUNCTION("""COMPUTED_VALUE"""),"Mastered")</f>
        <v>Mastered</v>
      </c>
      <c r="F527" s="174" t="str">
        <f>IFERROR(__xludf.DUMMYFUNCTION("""COMPUTED_VALUE"""),"Proficient")</f>
        <v>Proficient</v>
      </c>
      <c r="G527" s="174" t="str">
        <f>IFERROR(__xludf.DUMMYFUNCTION("""COMPUTED_VALUE"""),"Proficient")</f>
        <v>Proficient</v>
      </c>
      <c r="H527" s="174" t="str">
        <f>IFERROR(__xludf.DUMMYFUNCTION("""COMPUTED_VALUE"""),"Unlisted")</f>
        <v>Unlisted</v>
      </c>
      <c r="I527" s="174" t="str">
        <f>IFERROR(__xludf.DUMMYFUNCTION("""COMPUTED_VALUE"""),"Unlisted")</f>
        <v>Unlisted</v>
      </c>
      <c r="J527" s="174" t="str">
        <f>IFERROR(__xludf.DUMMYFUNCTION("""COMPUTED_VALUE"""),"Unlisted")</f>
        <v>Unlisted</v>
      </c>
      <c r="K527" s="174" t="str">
        <f>IFERROR(__xludf.DUMMYFUNCTION("""COMPUTED_VALUE"""),"Unlisted")</f>
        <v>Unlisted</v>
      </c>
      <c r="L527" s="174" t="str">
        <f>IFERROR(__xludf.DUMMYFUNCTION("""COMPUTED_VALUE"""),"Unlisted")</f>
        <v>Unlisted</v>
      </c>
      <c r="M527" s="174" t="str">
        <f>IFERROR(__xludf.DUMMYFUNCTION("""COMPUTED_VALUE"""),"Unlisted")</f>
        <v>Unlisted</v>
      </c>
      <c r="N527" s="174" t="str">
        <f>IFERROR(__xludf.DUMMYFUNCTION("""COMPUTED_VALUE"""),"Unlisted")</f>
        <v>Unlisted</v>
      </c>
      <c r="O527" s="174" t="str">
        <f>IFERROR(__xludf.DUMMYFUNCTION("""COMPUTED_VALUE"""),"Unlisted")</f>
        <v>Unlisted</v>
      </c>
      <c r="P527" s="174" t="str">
        <f>IFERROR(__xludf.DUMMYFUNCTION("""COMPUTED_VALUE"""),"Unlisted")</f>
        <v>Unlisted</v>
      </c>
      <c r="Q527" s="174" t="str">
        <f>IFERROR(__xludf.DUMMYFUNCTION("""COMPUTED_VALUE"""),"Unlisted")</f>
        <v>Unlisted</v>
      </c>
      <c r="R527" s="174" t="str">
        <f>IFERROR(__xludf.DUMMYFUNCTION("""COMPUTED_VALUE"""),"Unlisted")</f>
        <v>Unlisted</v>
      </c>
    </row>
    <row r="528">
      <c r="A528" s="255" t="str">
        <f>IFERROR(__xludf.DUMMYFUNCTION("""COMPUTED_VALUE"""),"Doublade")</f>
        <v>Doublade</v>
      </c>
      <c r="B528" s="174" t="str">
        <f>IFERROR(__xludf.DUMMYFUNCTION("""COMPUTED_VALUE"""),"Unlisted")</f>
        <v>Unlisted</v>
      </c>
      <c r="C528" s="174" t="str">
        <f>IFERROR(__xludf.DUMMYFUNCTION("""COMPUTED_VALUE"""),"Unlisted")</f>
        <v>Unlisted</v>
      </c>
      <c r="D528" s="174" t="str">
        <f>IFERROR(__xludf.DUMMYFUNCTION("""COMPUTED_VALUE"""),"Unlisted")</f>
        <v>Unlisted</v>
      </c>
      <c r="E528" s="174" t="str">
        <f>IFERROR(__xludf.DUMMYFUNCTION("""COMPUTED_VALUE"""),"Mastered")</f>
        <v>Mastered</v>
      </c>
      <c r="F528" s="174" t="str">
        <f>IFERROR(__xludf.DUMMYFUNCTION("""COMPUTED_VALUE"""),"Proficient")</f>
        <v>Proficient</v>
      </c>
      <c r="G528" s="174" t="str">
        <f>IFERROR(__xludf.DUMMYFUNCTION("""COMPUTED_VALUE"""),"Proficient")</f>
        <v>Proficient</v>
      </c>
      <c r="H528" s="174" t="str">
        <f>IFERROR(__xludf.DUMMYFUNCTION("""COMPUTED_VALUE"""),"Unlisted")</f>
        <v>Unlisted</v>
      </c>
      <c r="I528" s="174" t="str">
        <f>IFERROR(__xludf.DUMMYFUNCTION("""COMPUTED_VALUE"""),"Unlisted")</f>
        <v>Unlisted</v>
      </c>
      <c r="J528" s="174" t="str">
        <f>IFERROR(__xludf.DUMMYFUNCTION("""COMPUTED_VALUE"""),"Unlisted")</f>
        <v>Unlisted</v>
      </c>
      <c r="K528" s="174" t="str">
        <f>IFERROR(__xludf.DUMMYFUNCTION("""COMPUTED_VALUE"""),"Unlisted")</f>
        <v>Unlisted</v>
      </c>
      <c r="L528" s="174" t="str">
        <f>IFERROR(__xludf.DUMMYFUNCTION("""COMPUTED_VALUE"""),"Unlisted")</f>
        <v>Unlisted</v>
      </c>
      <c r="M528" s="174" t="str">
        <f>IFERROR(__xludf.DUMMYFUNCTION("""COMPUTED_VALUE"""),"Unlisted")</f>
        <v>Unlisted</v>
      </c>
      <c r="N528" s="174" t="str">
        <f>IFERROR(__xludf.DUMMYFUNCTION("""COMPUTED_VALUE"""),"Unlisted")</f>
        <v>Unlisted</v>
      </c>
      <c r="O528" s="174" t="str">
        <f>IFERROR(__xludf.DUMMYFUNCTION("""COMPUTED_VALUE"""),"Unlisted")</f>
        <v>Unlisted</v>
      </c>
      <c r="P528" s="174" t="str">
        <f>IFERROR(__xludf.DUMMYFUNCTION("""COMPUTED_VALUE"""),"Unlisted")</f>
        <v>Unlisted</v>
      </c>
      <c r="Q528" s="174" t="str">
        <f>IFERROR(__xludf.DUMMYFUNCTION("""COMPUTED_VALUE"""),"Unlisted")</f>
        <v>Unlisted</v>
      </c>
      <c r="R528" s="174" t="str">
        <f>IFERROR(__xludf.DUMMYFUNCTION("""COMPUTED_VALUE"""),"Unlisted")</f>
        <v>Unlisted</v>
      </c>
    </row>
    <row r="529">
      <c r="A529" s="255" t="str">
        <f>IFERROR(__xludf.DUMMYFUNCTION("""COMPUTED_VALUE"""),"Aegislash")</f>
        <v>Aegislash</v>
      </c>
      <c r="B529" s="174" t="str">
        <f>IFERROR(__xludf.DUMMYFUNCTION("""COMPUTED_VALUE"""),"Unlisted")</f>
        <v>Unlisted</v>
      </c>
      <c r="C529" s="174" t="str">
        <f>IFERROR(__xludf.DUMMYFUNCTION("""COMPUTED_VALUE"""),"Unlisted")</f>
        <v>Unlisted</v>
      </c>
      <c r="D529" s="174" t="str">
        <f>IFERROR(__xludf.DUMMYFUNCTION("""COMPUTED_VALUE"""),"Unlisted")</f>
        <v>Unlisted</v>
      </c>
      <c r="E529" s="174" t="str">
        <f>IFERROR(__xludf.DUMMYFUNCTION("""COMPUTED_VALUE"""),"Mastered")</f>
        <v>Mastered</v>
      </c>
      <c r="F529" s="174" t="str">
        <f>IFERROR(__xludf.DUMMYFUNCTION("""COMPUTED_VALUE"""),"Proficient")</f>
        <v>Proficient</v>
      </c>
      <c r="G529" s="174" t="str">
        <f>IFERROR(__xludf.DUMMYFUNCTION("""COMPUTED_VALUE"""),"Proficient")</f>
        <v>Proficient</v>
      </c>
      <c r="H529" s="174" t="str">
        <f>IFERROR(__xludf.DUMMYFUNCTION("""COMPUTED_VALUE"""),"Unlisted")</f>
        <v>Unlisted</v>
      </c>
      <c r="I529" s="174" t="str">
        <f>IFERROR(__xludf.DUMMYFUNCTION("""COMPUTED_VALUE"""),"Unlisted")</f>
        <v>Unlisted</v>
      </c>
      <c r="J529" s="174" t="str">
        <f>IFERROR(__xludf.DUMMYFUNCTION("""COMPUTED_VALUE"""),"Unlisted")</f>
        <v>Unlisted</v>
      </c>
      <c r="K529" s="174" t="str">
        <f>IFERROR(__xludf.DUMMYFUNCTION("""COMPUTED_VALUE"""),"Unlisted")</f>
        <v>Unlisted</v>
      </c>
      <c r="L529" s="174" t="str">
        <f>IFERROR(__xludf.DUMMYFUNCTION("""COMPUTED_VALUE"""),"Unlisted")</f>
        <v>Unlisted</v>
      </c>
      <c r="M529" s="174" t="str">
        <f>IFERROR(__xludf.DUMMYFUNCTION("""COMPUTED_VALUE"""),"Unlisted")</f>
        <v>Unlisted</v>
      </c>
      <c r="N529" s="174" t="str">
        <f>IFERROR(__xludf.DUMMYFUNCTION("""COMPUTED_VALUE"""),"Unlisted")</f>
        <v>Unlisted</v>
      </c>
      <c r="O529" s="174" t="str">
        <f>IFERROR(__xludf.DUMMYFUNCTION("""COMPUTED_VALUE"""),"Unlisted")</f>
        <v>Unlisted</v>
      </c>
      <c r="P529" s="174" t="str">
        <f>IFERROR(__xludf.DUMMYFUNCTION("""COMPUTED_VALUE"""),"Unlisted")</f>
        <v>Unlisted</v>
      </c>
      <c r="Q529" s="174" t="str">
        <f>IFERROR(__xludf.DUMMYFUNCTION("""COMPUTED_VALUE"""),"Unlisted")</f>
        <v>Unlisted</v>
      </c>
      <c r="R529" s="174" t="str">
        <f>IFERROR(__xludf.DUMMYFUNCTION("""COMPUTED_VALUE"""),"Unlisted")</f>
        <v>Unlisted</v>
      </c>
    </row>
    <row r="530">
      <c r="A530" s="255" t="str">
        <f>IFERROR(__xludf.DUMMYFUNCTION("""COMPUTED_VALUE"""),"Poliwag")</f>
        <v>Poliwag</v>
      </c>
      <c r="B530" s="174" t="str">
        <f>IFERROR(__xludf.DUMMYFUNCTION("""COMPUTED_VALUE"""),"Unlisted")</f>
        <v>Unlisted</v>
      </c>
      <c r="C530" s="174" t="str">
        <f>IFERROR(__xludf.DUMMYFUNCTION("""COMPUTED_VALUE"""),"Inept")</f>
        <v>Inept</v>
      </c>
      <c r="D530" s="174" t="str">
        <f>IFERROR(__xludf.DUMMYFUNCTION("""COMPUTED_VALUE"""),"Unlisted")</f>
        <v>Unlisted</v>
      </c>
      <c r="E530" s="174" t="str">
        <f>IFERROR(__xludf.DUMMYFUNCTION("""COMPUTED_VALUE"""),"Inept")</f>
        <v>Inept</v>
      </c>
      <c r="F530" s="174" t="str">
        <f>IFERROR(__xludf.DUMMYFUNCTION("""COMPUTED_VALUE"""),"Unlisted")</f>
        <v>Unlisted</v>
      </c>
      <c r="G530" s="174" t="str">
        <f>IFERROR(__xludf.DUMMYFUNCTION("""COMPUTED_VALUE"""),"Proficient")</f>
        <v>Proficient</v>
      </c>
      <c r="H530" s="174" t="str">
        <f>IFERROR(__xludf.DUMMYFUNCTION("""COMPUTED_VALUE"""),"Unlisted")</f>
        <v>Unlisted</v>
      </c>
      <c r="I530" s="174" t="str">
        <f>IFERROR(__xludf.DUMMYFUNCTION("""COMPUTED_VALUE"""),"Unlisted")</f>
        <v>Unlisted</v>
      </c>
      <c r="J530" s="174" t="str">
        <f>IFERROR(__xludf.DUMMYFUNCTION("""COMPUTED_VALUE"""),"Proficient")</f>
        <v>Proficient</v>
      </c>
      <c r="K530" s="174" t="str">
        <f>IFERROR(__xludf.DUMMYFUNCTION("""COMPUTED_VALUE"""),"Unlisted")</f>
        <v>Unlisted</v>
      </c>
      <c r="L530" s="174" t="str">
        <f>IFERROR(__xludf.DUMMYFUNCTION("""COMPUTED_VALUE"""),"Unlisted")</f>
        <v>Unlisted</v>
      </c>
      <c r="M530" s="174" t="str">
        <f>IFERROR(__xludf.DUMMYFUNCTION("""COMPUTED_VALUE"""),"Unlisted")</f>
        <v>Unlisted</v>
      </c>
      <c r="N530" s="174" t="str">
        <f>IFERROR(__xludf.DUMMYFUNCTION("""COMPUTED_VALUE"""),"Unlisted")</f>
        <v>Unlisted</v>
      </c>
      <c r="O530" s="174" t="str">
        <f>IFERROR(__xludf.DUMMYFUNCTION("""COMPUTED_VALUE"""),"Unlisted")</f>
        <v>Unlisted</v>
      </c>
      <c r="P530" s="174" t="str">
        <f>IFERROR(__xludf.DUMMYFUNCTION("""COMPUTED_VALUE"""),"Unlisted")</f>
        <v>Unlisted</v>
      </c>
      <c r="Q530" s="174" t="str">
        <f>IFERROR(__xludf.DUMMYFUNCTION("""COMPUTED_VALUE"""),"Unlisted")</f>
        <v>Unlisted</v>
      </c>
      <c r="R530" s="174" t="str">
        <f>IFERROR(__xludf.DUMMYFUNCTION("""COMPUTED_VALUE"""),"Unlisted")</f>
        <v>Unlisted</v>
      </c>
    </row>
    <row r="531">
      <c r="A531" s="255" t="str">
        <f>IFERROR(__xludf.DUMMYFUNCTION("""COMPUTED_VALUE"""),"Poliwhirl")</f>
        <v>Poliwhirl</v>
      </c>
      <c r="B531" s="174" t="str">
        <f>IFERROR(__xludf.DUMMYFUNCTION("""COMPUTED_VALUE"""),"Unlisted")</f>
        <v>Unlisted</v>
      </c>
      <c r="C531" s="174" t="str">
        <f>IFERROR(__xludf.DUMMYFUNCTION("""COMPUTED_VALUE"""),"Unlisted")</f>
        <v>Unlisted</v>
      </c>
      <c r="D531" s="174" t="str">
        <f>IFERROR(__xludf.DUMMYFUNCTION("""COMPUTED_VALUE"""),"Unlisted")</f>
        <v>Unlisted</v>
      </c>
      <c r="E531" s="174" t="str">
        <f>IFERROR(__xludf.DUMMYFUNCTION("""COMPUTED_VALUE"""),"Unlisted")</f>
        <v>Unlisted</v>
      </c>
      <c r="F531" s="174" t="str">
        <f>IFERROR(__xludf.DUMMYFUNCTION("""COMPUTED_VALUE"""),"Unlisted")</f>
        <v>Unlisted</v>
      </c>
      <c r="G531" s="174" t="str">
        <f>IFERROR(__xludf.DUMMYFUNCTION("""COMPUTED_VALUE"""),"Proficient")</f>
        <v>Proficient</v>
      </c>
      <c r="H531" s="174" t="str">
        <f>IFERROR(__xludf.DUMMYFUNCTION("""COMPUTED_VALUE"""),"Unlisted")</f>
        <v>Unlisted</v>
      </c>
      <c r="I531" s="174" t="str">
        <f>IFERROR(__xludf.DUMMYFUNCTION("""COMPUTED_VALUE"""),"Unlisted")</f>
        <v>Unlisted</v>
      </c>
      <c r="J531" s="174" t="str">
        <f>IFERROR(__xludf.DUMMYFUNCTION("""COMPUTED_VALUE"""),"Proficient")</f>
        <v>Proficient</v>
      </c>
      <c r="K531" s="174" t="str">
        <f>IFERROR(__xludf.DUMMYFUNCTION("""COMPUTED_VALUE"""),"Unlisted")</f>
        <v>Unlisted</v>
      </c>
      <c r="L531" s="174" t="str">
        <f>IFERROR(__xludf.DUMMYFUNCTION("""COMPUTED_VALUE"""),"Unlisted")</f>
        <v>Unlisted</v>
      </c>
      <c r="M531" s="174" t="str">
        <f>IFERROR(__xludf.DUMMYFUNCTION("""COMPUTED_VALUE"""),"Unlisted")</f>
        <v>Unlisted</v>
      </c>
      <c r="N531" s="174" t="str">
        <f>IFERROR(__xludf.DUMMYFUNCTION("""COMPUTED_VALUE"""),"Unlisted")</f>
        <v>Unlisted</v>
      </c>
      <c r="O531" s="174" t="str">
        <f>IFERROR(__xludf.DUMMYFUNCTION("""COMPUTED_VALUE"""),"Unlisted")</f>
        <v>Unlisted</v>
      </c>
      <c r="P531" s="174" t="str">
        <f>IFERROR(__xludf.DUMMYFUNCTION("""COMPUTED_VALUE"""),"Unlisted")</f>
        <v>Unlisted</v>
      </c>
      <c r="Q531" s="174" t="str">
        <f>IFERROR(__xludf.DUMMYFUNCTION("""COMPUTED_VALUE"""),"Unlisted")</f>
        <v>Unlisted</v>
      </c>
      <c r="R531" s="174" t="str">
        <f>IFERROR(__xludf.DUMMYFUNCTION("""COMPUTED_VALUE"""),"Unlisted")</f>
        <v>Unlisted</v>
      </c>
    </row>
    <row r="532">
      <c r="A532" s="255" t="str">
        <f>IFERROR(__xludf.DUMMYFUNCTION("""COMPUTED_VALUE"""),"Poliwrath")</f>
        <v>Poliwrath</v>
      </c>
      <c r="B532" s="174" t="str">
        <f>IFERROR(__xludf.DUMMYFUNCTION("""COMPUTED_VALUE"""),"Unlisted")</f>
        <v>Unlisted</v>
      </c>
      <c r="C532" s="174" t="str">
        <f>IFERROR(__xludf.DUMMYFUNCTION("""COMPUTED_VALUE"""),"Proficient")</f>
        <v>Proficient</v>
      </c>
      <c r="D532" s="174" t="str">
        <f>IFERROR(__xludf.DUMMYFUNCTION("""COMPUTED_VALUE"""),"Unlisted")</f>
        <v>Unlisted</v>
      </c>
      <c r="E532" s="174" t="str">
        <f>IFERROR(__xludf.DUMMYFUNCTION("""COMPUTED_VALUE"""),"Unlisted")</f>
        <v>Unlisted</v>
      </c>
      <c r="F532" s="174" t="str">
        <f>IFERROR(__xludf.DUMMYFUNCTION("""COMPUTED_VALUE"""),"Unlisted")</f>
        <v>Unlisted</v>
      </c>
      <c r="G532" s="174" t="str">
        <f>IFERROR(__xludf.DUMMYFUNCTION("""COMPUTED_VALUE"""),"Proficient")</f>
        <v>Proficient</v>
      </c>
      <c r="H532" s="174" t="str">
        <f>IFERROR(__xludf.DUMMYFUNCTION("""COMPUTED_VALUE"""),"Unlisted")</f>
        <v>Unlisted</v>
      </c>
      <c r="I532" s="174" t="str">
        <f>IFERROR(__xludf.DUMMYFUNCTION("""COMPUTED_VALUE"""),"Unlisted")</f>
        <v>Unlisted</v>
      </c>
      <c r="J532" s="174" t="str">
        <f>IFERROR(__xludf.DUMMYFUNCTION("""COMPUTED_VALUE"""),"Proficient")</f>
        <v>Proficient</v>
      </c>
      <c r="K532" s="174" t="str">
        <f>IFERROR(__xludf.DUMMYFUNCTION("""COMPUTED_VALUE"""),"Unlisted")</f>
        <v>Unlisted</v>
      </c>
      <c r="L532" s="174" t="str">
        <f>IFERROR(__xludf.DUMMYFUNCTION("""COMPUTED_VALUE"""),"Unlisted")</f>
        <v>Unlisted</v>
      </c>
      <c r="M532" s="174" t="str">
        <f>IFERROR(__xludf.DUMMYFUNCTION("""COMPUTED_VALUE"""),"Unlisted")</f>
        <v>Unlisted</v>
      </c>
      <c r="N532" s="174" t="str">
        <f>IFERROR(__xludf.DUMMYFUNCTION("""COMPUTED_VALUE"""),"Unlisted")</f>
        <v>Unlisted</v>
      </c>
      <c r="O532" s="174" t="str">
        <f>IFERROR(__xludf.DUMMYFUNCTION("""COMPUTED_VALUE"""),"Unlisted")</f>
        <v>Unlisted</v>
      </c>
      <c r="P532" s="174" t="str">
        <f>IFERROR(__xludf.DUMMYFUNCTION("""COMPUTED_VALUE"""),"Unlisted")</f>
        <v>Unlisted</v>
      </c>
      <c r="Q532" s="174" t="str">
        <f>IFERROR(__xludf.DUMMYFUNCTION("""COMPUTED_VALUE"""),"Unlisted")</f>
        <v>Unlisted</v>
      </c>
      <c r="R532" s="174" t="str">
        <f>IFERROR(__xludf.DUMMYFUNCTION("""COMPUTED_VALUE"""),"Unlisted")</f>
        <v>Unlisted</v>
      </c>
    </row>
    <row r="533">
      <c r="A533" s="255" t="str">
        <f>IFERROR(__xludf.DUMMYFUNCTION("""COMPUTED_VALUE"""),"Politoed")</f>
        <v>Politoed</v>
      </c>
      <c r="B533" s="174" t="str">
        <f>IFERROR(__xludf.DUMMYFUNCTION("""COMPUTED_VALUE"""),"Mastered")</f>
        <v>Mastered</v>
      </c>
      <c r="C533" s="174" t="str">
        <f>IFERROR(__xludf.DUMMYFUNCTION("""COMPUTED_VALUE"""),"Unlisted")</f>
        <v>Unlisted</v>
      </c>
      <c r="D533" s="174" t="str">
        <f>IFERROR(__xludf.DUMMYFUNCTION("""COMPUTED_VALUE"""),"Unlisted")</f>
        <v>Unlisted</v>
      </c>
      <c r="E533" s="174" t="str">
        <f>IFERROR(__xludf.DUMMYFUNCTION("""COMPUTED_VALUE"""),"Unlisted")</f>
        <v>Unlisted</v>
      </c>
      <c r="F533" s="174" t="str">
        <f>IFERROR(__xludf.DUMMYFUNCTION("""COMPUTED_VALUE"""),"Unlisted")</f>
        <v>Unlisted</v>
      </c>
      <c r="G533" s="174" t="str">
        <f>IFERROR(__xludf.DUMMYFUNCTION("""COMPUTED_VALUE"""),"Proficient")</f>
        <v>Proficient</v>
      </c>
      <c r="H533" s="174" t="str">
        <f>IFERROR(__xludf.DUMMYFUNCTION("""COMPUTED_VALUE"""),"Unlisted")</f>
        <v>Unlisted</v>
      </c>
      <c r="I533" s="174" t="str">
        <f>IFERROR(__xludf.DUMMYFUNCTION("""COMPUTED_VALUE"""),"Unlisted")</f>
        <v>Unlisted</v>
      </c>
      <c r="J533" s="174" t="str">
        <f>IFERROR(__xludf.DUMMYFUNCTION("""COMPUTED_VALUE"""),"Proficient")</f>
        <v>Proficient</v>
      </c>
      <c r="K533" s="174" t="str">
        <f>IFERROR(__xludf.DUMMYFUNCTION("""COMPUTED_VALUE"""),"Unlisted")</f>
        <v>Unlisted</v>
      </c>
      <c r="L533" s="174" t="str">
        <f>IFERROR(__xludf.DUMMYFUNCTION("""COMPUTED_VALUE"""),"Unlisted")</f>
        <v>Unlisted</v>
      </c>
      <c r="M533" s="174" t="str">
        <f>IFERROR(__xludf.DUMMYFUNCTION("""COMPUTED_VALUE"""),"Unlisted")</f>
        <v>Unlisted</v>
      </c>
      <c r="N533" s="174" t="str">
        <f>IFERROR(__xludf.DUMMYFUNCTION("""COMPUTED_VALUE"""),"Unlisted")</f>
        <v>Unlisted</v>
      </c>
      <c r="O533" s="174" t="str">
        <f>IFERROR(__xludf.DUMMYFUNCTION("""COMPUTED_VALUE"""),"Unlisted")</f>
        <v>Unlisted</v>
      </c>
      <c r="P533" s="174" t="str">
        <f>IFERROR(__xludf.DUMMYFUNCTION("""COMPUTED_VALUE"""),"Unlisted")</f>
        <v>Unlisted</v>
      </c>
      <c r="Q533" s="174" t="str">
        <f>IFERROR(__xludf.DUMMYFUNCTION("""COMPUTED_VALUE"""),"Unlisted")</f>
        <v>Unlisted</v>
      </c>
      <c r="R533" s="174" t="str">
        <f>IFERROR(__xludf.DUMMYFUNCTION("""COMPUTED_VALUE"""),"Unlisted")</f>
        <v>Unlisted</v>
      </c>
    </row>
    <row r="534">
      <c r="A534" s="255" t="str">
        <f>IFERROR(__xludf.DUMMYFUNCTION("""COMPUTED_VALUE"""),"Horsea")</f>
        <v>Horsea</v>
      </c>
      <c r="B534" s="174" t="str">
        <f>IFERROR(__xludf.DUMMYFUNCTION("""COMPUTED_VALUE"""),"Unlisted")</f>
        <v>Unlisted</v>
      </c>
      <c r="C534" s="174" t="str">
        <f>IFERROR(__xludf.DUMMYFUNCTION("""COMPUTED_VALUE"""),"Unlisted")</f>
        <v>Unlisted</v>
      </c>
      <c r="D534" s="174" t="str">
        <f>IFERROR(__xludf.DUMMYFUNCTION("""COMPUTED_VALUE"""),"Unlisted")</f>
        <v>Unlisted</v>
      </c>
      <c r="E534" s="174" t="str">
        <f>IFERROR(__xludf.DUMMYFUNCTION("""COMPUTED_VALUE"""),"Unlisted")</f>
        <v>Unlisted</v>
      </c>
      <c r="F534" s="174" t="str">
        <f>IFERROR(__xludf.DUMMYFUNCTION("""COMPUTED_VALUE"""),"Unlisted")</f>
        <v>Unlisted</v>
      </c>
      <c r="G534" s="174" t="str">
        <f>IFERROR(__xludf.DUMMYFUNCTION("""COMPUTED_VALUE"""),"Proficient")</f>
        <v>Proficient</v>
      </c>
      <c r="H534" s="174" t="str">
        <f>IFERROR(__xludf.DUMMYFUNCTION("""COMPUTED_VALUE"""),"Unlisted")</f>
        <v>Unlisted</v>
      </c>
      <c r="I534" s="174" t="str">
        <f>IFERROR(__xludf.DUMMYFUNCTION("""COMPUTED_VALUE"""),"Unlisted")</f>
        <v>Unlisted</v>
      </c>
      <c r="J534" s="174" t="str">
        <f>IFERROR(__xludf.DUMMYFUNCTION("""COMPUTED_VALUE"""),"Unlisted")</f>
        <v>Unlisted</v>
      </c>
      <c r="K534" s="174" t="str">
        <f>IFERROR(__xludf.DUMMYFUNCTION("""COMPUTED_VALUE"""),"Proficient")</f>
        <v>Proficient</v>
      </c>
      <c r="L534" s="174" t="str">
        <f>IFERROR(__xludf.DUMMYFUNCTION("""COMPUTED_VALUE"""),"Unlisted")</f>
        <v>Unlisted</v>
      </c>
      <c r="M534" s="174" t="str">
        <f>IFERROR(__xludf.DUMMYFUNCTION("""COMPUTED_VALUE"""),"Unlisted")</f>
        <v>Unlisted</v>
      </c>
      <c r="N534" s="174" t="str">
        <f>IFERROR(__xludf.DUMMYFUNCTION("""COMPUTED_VALUE"""),"Unlisted")</f>
        <v>Unlisted</v>
      </c>
      <c r="O534" s="174" t="str">
        <f>IFERROR(__xludf.DUMMYFUNCTION("""COMPUTED_VALUE"""),"Unlisted")</f>
        <v>Unlisted</v>
      </c>
      <c r="P534" s="174" t="str">
        <f>IFERROR(__xludf.DUMMYFUNCTION("""COMPUTED_VALUE"""),"Unlisted")</f>
        <v>Unlisted</v>
      </c>
      <c r="Q534" s="174" t="str">
        <f>IFERROR(__xludf.DUMMYFUNCTION("""COMPUTED_VALUE"""),"Unlisted")</f>
        <v>Unlisted</v>
      </c>
      <c r="R534" s="174" t="str">
        <f>IFERROR(__xludf.DUMMYFUNCTION("""COMPUTED_VALUE"""),"Unlisted")</f>
        <v>Unlisted</v>
      </c>
    </row>
    <row r="535">
      <c r="A535" s="255" t="str">
        <f>IFERROR(__xludf.DUMMYFUNCTION("""COMPUTED_VALUE"""),"Seadra")</f>
        <v>Seadra</v>
      </c>
      <c r="B535" s="174" t="str">
        <f>IFERROR(__xludf.DUMMYFUNCTION("""COMPUTED_VALUE"""),"Unlisted")</f>
        <v>Unlisted</v>
      </c>
      <c r="C535" s="174" t="str">
        <f>IFERROR(__xludf.DUMMYFUNCTION("""COMPUTED_VALUE"""),"Unlisted")</f>
        <v>Unlisted</v>
      </c>
      <c r="D535" s="174" t="str">
        <f>IFERROR(__xludf.DUMMYFUNCTION("""COMPUTED_VALUE"""),"Unlisted")</f>
        <v>Unlisted</v>
      </c>
      <c r="E535" s="174" t="str">
        <f>IFERROR(__xludf.DUMMYFUNCTION("""COMPUTED_VALUE"""),"Unlisted")</f>
        <v>Unlisted</v>
      </c>
      <c r="F535" s="174" t="str">
        <f>IFERROR(__xludf.DUMMYFUNCTION("""COMPUTED_VALUE"""),"Unlisted")</f>
        <v>Unlisted</v>
      </c>
      <c r="G535" s="174" t="str">
        <f>IFERROR(__xludf.DUMMYFUNCTION("""COMPUTED_VALUE"""),"Proficient")</f>
        <v>Proficient</v>
      </c>
      <c r="H535" s="174" t="str">
        <f>IFERROR(__xludf.DUMMYFUNCTION("""COMPUTED_VALUE"""),"Unlisted")</f>
        <v>Unlisted</v>
      </c>
      <c r="I535" s="174" t="str">
        <f>IFERROR(__xludf.DUMMYFUNCTION("""COMPUTED_VALUE"""),"Unlisted")</f>
        <v>Unlisted</v>
      </c>
      <c r="J535" s="174" t="str">
        <f>IFERROR(__xludf.DUMMYFUNCTION("""COMPUTED_VALUE"""),"Unlisted")</f>
        <v>Unlisted</v>
      </c>
      <c r="K535" s="174" t="str">
        <f>IFERROR(__xludf.DUMMYFUNCTION("""COMPUTED_VALUE"""),"Proficient")</f>
        <v>Proficient</v>
      </c>
      <c r="L535" s="174" t="str">
        <f>IFERROR(__xludf.DUMMYFUNCTION("""COMPUTED_VALUE"""),"Unlisted")</f>
        <v>Unlisted</v>
      </c>
      <c r="M535" s="174" t="str">
        <f>IFERROR(__xludf.DUMMYFUNCTION("""COMPUTED_VALUE"""),"Unlisted")</f>
        <v>Unlisted</v>
      </c>
      <c r="N535" s="174" t="str">
        <f>IFERROR(__xludf.DUMMYFUNCTION("""COMPUTED_VALUE"""),"Unlisted")</f>
        <v>Unlisted</v>
      </c>
      <c r="O535" s="174" t="str">
        <f>IFERROR(__xludf.DUMMYFUNCTION("""COMPUTED_VALUE"""),"Unlisted")</f>
        <v>Unlisted</v>
      </c>
      <c r="P535" s="174" t="str">
        <f>IFERROR(__xludf.DUMMYFUNCTION("""COMPUTED_VALUE"""),"Unlisted")</f>
        <v>Unlisted</v>
      </c>
      <c r="Q535" s="174" t="str">
        <f>IFERROR(__xludf.DUMMYFUNCTION("""COMPUTED_VALUE"""),"Unlisted")</f>
        <v>Unlisted</v>
      </c>
      <c r="R535" s="174" t="str">
        <f>IFERROR(__xludf.DUMMYFUNCTION("""COMPUTED_VALUE"""),"Unlisted")</f>
        <v>Unlisted</v>
      </c>
    </row>
    <row r="536">
      <c r="A536" s="255" t="str">
        <f>IFERROR(__xludf.DUMMYFUNCTION("""COMPUTED_VALUE"""),"Kingdra")</f>
        <v>Kingdra</v>
      </c>
      <c r="B536" s="174" t="str">
        <f>IFERROR(__xludf.DUMMYFUNCTION("""COMPUTED_VALUE"""),"Unlisted")</f>
        <v>Unlisted</v>
      </c>
      <c r="C536" s="174" t="str">
        <f>IFERROR(__xludf.DUMMYFUNCTION("""COMPUTED_VALUE"""),"Unlisted")</f>
        <v>Unlisted</v>
      </c>
      <c r="D536" s="174" t="str">
        <f>IFERROR(__xludf.DUMMYFUNCTION("""COMPUTED_VALUE"""),"Unlisted")</f>
        <v>Unlisted</v>
      </c>
      <c r="E536" s="174" t="str">
        <f>IFERROR(__xludf.DUMMYFUNCTION("""COMPUTED_VALUE"""),"Proficient")</f>
        <v>Proficient</v>
      </c>
      <c r="F536" s="174" t="str">
        <f>IFERROR(__xludf.DUMMYFUNCTION("""COMPUTED_VALUE"""),"Unlisted")</f>
        <v>Unlisted</v>
      </c>
      <c r="G536" s="174" t="str">
        <f>IFERROR(__xludf.DUMMYFUNCTION("""COMPUTED_VALUE"""),"Proficient")</f>
        <v>Proficient</v>
      </c>
      <c r="H536" s="174" t="str">
        <f>IFERROR(__xludf.DUMMYFUNCTION("""COMPUTED_VALUE"""),"Unlisted")</f>
        <v>Unlisted</v>
      </c>
      <c r="I536" s="174" t="str">
        <f>IFERROR(__xludf.DUMMYFUNCTION("""COMPUTED_VALUE"""),"Unlisted")</f>
        <v>Unlisted</v>
      </c>
      <c r="J536" s="174" t="str">
        <f>IFERROR(__xludf.DUMMYFUNCTION("""COMPUTED_VALUE"""),"Unlisted")</f>
        <v>Unlisted</v>
      </c>
      <c r="K536" s="174" t="str">
        <f>IFERROR(__xludf.DUMMYFUNCTION("""COMPUTED_VALUE"""),"Proficient")</f>
        <v>Proficient</v>
      </c>
      <c r="L536" s="174" t="str">
        <f>IFERROR(__xludf.DUMMYFUNCTION("""COMPUTED_VALUE"""),"Unlisted")</f>
        <v>Unlisted</v>
      </c>
      <c r="M536" s="174" t="str">
        <f>IFERROR(__xludf.DUMMYFUNCTION("""COMPUTED_VALUE"""),"Unlisted")</f>
        <v>Unlisted</v>
      </c>
      <c r="N536" s="174" t="str">
        <f>IFERROR(__xludf.DUMMYFUNCTION("""COMPUTED_VALUE"""),"Unlisted")</f>
        <v>Unlisted</v>
      </c>
      <c r="O536" s="174" t="str">
        <f>IFERROR(__xludf.DUMMYFUNCTION("""COMPUTED_VALUE"""),"Unlisted")</f>
        <v>Unlisted</v>
      </c>
      <c r="P536" s="174" t="str">
        <f>IFERROR(__xludf.DUMMYFUNCTION("""COMPUTED_VALUE"""),"Unlisted")</f>
        <v>Unlisted</v>
      </c>
      <c r="Q536" s="174" t="str">
        <f>IFERROR(__xludf.DUMMYFUNCTION("""COMPUTED_VALUE"""),"Unlisted")</f>
        <v>Unlisted</v>
      </c>
      <c r="R536" s="174" t="str">
        <f>IFERROR(__xludf.DUMMYFUNCTION("""COMPUTED_VALUE"""),"Unlisted")</f>
        <v>Unlisted</v>
      </c>
    </row>
    <row r="537">
      <c r="A537" s="255" t="str">
        <f>IFERROR(__xludf.DUMMYFUNCTION("""COMPUTED_VALUE"""),"Azurill")</f>
        <v>Azurill</v>
      </c>
      <c r="B537" s="174" t="str">
        <f>IFERROR(__xludf.DUMMYFUNCTION("""COMPUTED_VALUE"""),"Proficient")</f>
        <v>Proficient</v>
      </c>
      <c r="C537" s="174" t="str">
        <f>IFERROR(__xludf.DUMMYFUNCTION("""COMPUTED_VALUE"""),"Unlisted")</f>
        <v>Unlisted</v>
      </c>
      <c r="D537" s="174" t="str">
        <f>IFERROR(__xludf.DUMMYFUNCTION("""COMPUTED_VALUE"""),"Proficient")</f>
        <v>Proficient</v>
      </c>
      <c r="E537" s="174" t="str">
        <f>IFERROR(__xludf.DUMMYFUNCTION("""COMPUTED_VALUE"""),"Unlisted")</f>
        <v>Unlisted</v>
      </c>
      <c r="F537" s="174" t="str">
        <f>IFERROR(__xludf.DUMMYFUNCTION("""COMPUTED_VALUE"""),"Unlisted")</f>
        <v>Unlisted</v>
      </c>
      <c r="G537" s="174" t="str">
        <f>IFERROR(__xludf.DUMMYFUNCTION("""COMPUTED_VALUE"""),"Unlisted")</f>
        <v>Unlisted</v>
      </c>
      <c r="H537" s="174" t="str">
        <f>IFERROR(__xludf.DUMMYFUNCTION("""COMPUTED_VALUE"""),"Unlisted")</f>
        <v>Unlisted</v>
      </c>
      <c r="I537" s="174" t="str">
        <f>IFERROR(__xludf.DUMMYFUNCTION("""COMPUTED_VALUE"""),"Unlisted")</f>
        <v>Unlisted</v>
      </c>
      <c r="J537" s="174" t="str">
        <f>IFERROR(__xludf.DUMMYFUNCTION("""COMPUTED_VALUE"""),"Unlisted")</f>
        <v>Unlisted</v>
      </c>
      <c r="K537" s="174" t="str">
        <f>IFERROR(__xludf.DUMMYFUNCTION("""COMPUTED_VALUE"""),"Unlisted")</f>
        <v>Unlisted</v>
      </c>
      <c r="L537" s="174" t="str">
        <f>IFERROR(__xludf.DUMMYFUNCTION("""COMPUTED_VALUE"""),"Unlisted")</f>
        <v>Unlisted</v>
      </c>
      <c r="M537" s="174" t="str">
        <f>IFERROR(__xludf.DUMMYFUNCTION("""COMPUTED_VALUE"""),"Unlisted")</f>
        <v>Unlisted</v>
      </c>
      <c r="N537" s="174" t="str">
        <f>IFERROR(__xludf.DUMMYFUNCTION("""COMPUTED_VALUE"""),"Unlisted")</f>
        <v>Unlisted</v>
      </c>
      <c r="O537" s="174" t="str">
        <f>IFERROR(__xludf.DUMMYFUNCTION("""COMPUTED_VALUE"""),"Unlisted")</f>
        <v>Unlisted</v>
      </c>
      <c r="P537" s="174" t="str">
        <f>IFERROR(__xludf.DUMMYFUNCTION("""COMPUTED_VALUE"""),"Unlisted")</f>
        <v>Unlisted</v>
      </c>
      <c r="Q537" s="174" t="str">
        <f>IFERROR(__xludf.DUMMYFUNCTION("""COMPUTED_VALUE"""),"Unlisted")</f>
        <v>Unlisted</v>
      </c>
      <c r="R537" s="174" t="str">
        <f>IFERROR(__xludf.DUMMYFUNCTION("""COMPUTED_VALUE"""),"Unlisted")</f>
        <v>Unlisted</v>
      </c>
    </row>
    <row r="538">
      <c r="A538" s="255" t="str">
        <f>IFERROR(__xludf.DUMMYFUNCTION("""COMPUTED_VALUE"""),"Marill")</f>
        <v>Marill</v>
      </c>
      <c r="B538" s="174" t="str">
        <f>IFERROR(__xludf.DUMMYFUNCTION("""COMPUTED_VALUE"""),"Proficient")</f>
        <v>Proficient</v>
      </c>
      <c r="C538" s="174" t="str">
        <f>IFERROR(__xludf.DUMMYFUNCTION("""COMPUTED_VALUE"""),"Unlisted")</f>
        <v>Unlisted</v>
      </c>
      <c r="D538" s="174" t="str">
        <f>IFERROR(__xludf.DUMMYFUNCTION("""COMPUTED_VALUE"""),"Proficient")</f>
        <v>Proficient</v>
      </c>
      <c r="E538" s="174" t="str">
        <f>IFERROR(__xludf.DUMMYFUNCTION("""COMPUTED_VALUE"""),"Unlisted")</f>
        <v>Unlisted</v>
      </c>
      <c r="F538" s="174" t="str">
        <f>IFERROR(__xludf.DUMMYFUNCTION("""COMPUTED_VALUE"""),"Unlisted")</f>
        <v>Unlisted</v>
      </c>
      <c r="G538" s="174" t="str">
        <f>IFERROR(__xludf.DUMMYFUNCTION("""COMPUTED_VALUE"""),"Unlisted")</f>
        <v>Unlisted</v>
      </c>
      <c r="H538" s="174" t="str">
        <f>IFERROR(__xludf.DUMMYFUNCTION("""COMPUTED_VALUE"""),"Unlisted")</f>
        <v>Unlisted</v>
      </c>
      <c r="I538" s="174" t="str">
        <f>IFERROR(__xludf.DUMMYFUNCTION("""COMPUTED_VALUE"""),"Unlisted")</f>
        <v>Unlisted</v>
      </c>
      <c r="J538" s="174" t="str">
        <f>IFERROR(__xludf.DUMMYFUNCTION("""COMPUTED_VALUE"""),"Unlisted")</f>
        <v>Unlisted</v>
      </c>
      <c r="K538" s="174" t="str">
        <f>IFERROR(__xludf.DUMMYFUNCTION("""COMPUTED_VALUE"""),"Unlisted")</f>
        <v>Unlisted</v>
      </c>
      <c r="L538" s="174" t="str">
        <f>IFERROR(__xludf.DUMMYFUNCTION("""COMPUTED_VALUE"""),"Unlisted")</f>
        <v>Unlisted</v>
      </c>
      <c r="M538" s="174" t="str">
        <f>IFERROR(__xludf.DUMMYFUNCTION("""COMPUTED_VALUE"""),"Unlisted")</f>
        <v>Unlisted</v>
      </c>
      <c r="N538" s="174" t="str">
        <f>IFERROR(__xludf.DUMMYFUNCTION("""COMPUTED_VALUE"""),"Unlisted")</f>
        <v>Unlisted</v>
      </c>
      <c r="O538" s="174" t="str">
        <f>IFERROR(__xludf.DUMMYFUNCTION("""COMPUTED_VALUE"""),"Unlisted")</f>
        <v>Unlisted</v>
      </c>
      <c r="P538" s="174" t="str">
        <f>IFERROR(__xludf.DUMMYFUNCTION("""COMPUTED_VALUE"""),"Unlisted")</f>
        <v>Unlisted</v>
      </c>
      <c r="Q538" s="174" t="str">
        <f>IFERROR(__xludf.DUMMYFUNCTION("""COMPUTED_VALUE"""),"Unlisted")</f>
        <v>Unlisted</v>
      </c>
      <c r="R538" s="174" t="str">
        <f>IFERROR(__xludf.DUMMYFUNCTION("""COMPUTED_VALUE"""),"Unlisted")</f>
        <v>Unlisted</v>
      </c>
    </row>
    <row r="539">
      <c r="A539" s="255" t="str">
        <f>IFERROR(__xludf.DUMMYFUNCTION("""COMPUTED_VALUE"""),"Azumarill")</f>
        <v>Azumarill</v>
      </c>
      <c r="B539" s="174" t="str">
        <f>IFERROR(__xludf.DUMMYFUNCTION("""COMPUTED_VALUE"""),"Proficient")</f>
        <v>Proficient</v>
      </c>
      <c r="C539" s="174" t="str">
        <f>IFERROR(__xludf.DUMMYFUNCTION("""COMPUTED_VALUE"""),"Unlisted")</f>
        <v>Unlisted</v>
      </c>
      <c r="D539" s="174" t="str">
        <f>IFERROR(__xludf.DUMMYFUNCTION("""COMPUTED_VALUE"""),"Proficient")</f>
        <v>Proficient</v>
      </c>
      <c r="E539" s="174" t="str">
        <f>IFERROR(__xludf.DUMMYFUNCTION("""COMPUTED_VALUE"""),"Unlisted")</f>
        <v>Unlisted</v>
      </c>
      <c r="F539" s="174" t="str">
        <f>IFERROR(__xludf.DUMMYFUNCTION("""COMPUTED_VALUE"""),"Unlisted")</f>
        <v>Unlisted</v>
      </c>
      <c r="G539" s="174" t="str">
        <f>IFERROR(__xludf.DUMMYFUNCTION("""COMPUTED_VALUE"""),"Unlisted")</f>
        <v>Unlisted</v>
      </c>
      <c r="H539" s="174" t="str">
        <f>IFERROR(__xludf.DUMMYFUNCTION("""COMPUTED_VALUE"""),"Unlisted")</f>
        <v>Unlisted</v>
      </c>
      <c r="I539" s="174" t="str">
        <f>IFERROR(__xludf.DUMMYFUNCTION("""COMPUTED_VALUE"""),"Unlisted")</f>
        <v>Unlisted</v>
      </c>
      <c r="J539" s="174" t="str">
        <f>IFERROR(__xludf.DUMMYFUNCTION("""COMPUTED_VALUE"""),"Unlisted")</f>
        <v>Unlisted</v>
      </c>
      <c r="K539" s="174" t="str">
        <f>IFERROR(__xludf.DUMMYFUNCTION("""COMPUTED_VALUE"""),"Unlisted")</f>
        <v>Unlisted</v>
      </c>
      <c r="L539" s="174" t="str">
        <f>IFERROR(__xludf.DUMMYFUNCTION("""COMPUTED_VALUE"""),"Unlisted")</f>
        <v>Unlisted</v>
      </c>
      <c r="M539" s="174" t="str">
        <f>IFERROR(__xludf.DUMMYFUNCTION("""COMPUTED_VALUE"""),"Unlisted")</f>
        <v>Unlisted</v>
      </c>
      <c r="N539" s="174" t="str">
        <f>IFERROR(__xludf.DUMMYFUNCTION("""COMPUTED_VALUE"""),"Unlisted")</f>
        <v>Unlisted</v>
      </c>
      <c r="O539" s="174" t="str">
        <f>IFERROR(__xludf.DUMMYFUNCTION("""COMPUTED_VALUE"""),"Unlisted")</f>
        <v>Unlisted</v>
      </c>
      <c r="P539" s="174" t="str">
        <f>IFERROR(__xludf.DUMMYFUNCTION("""COMPUTED_VALUE"""),"Unlisted")</f>
        <v>Unlisted</v>
      </c>
      <c r="Q539" s="174" t="str">
        <f>IFERROR(__xludf.DUMMYFUNCTION("""COMPUTED_VALUE"""),"Unlisted")</f>
        <v>Unlisted</v>
      </c>
      <c r="R539" s="174" t="str">
        <f>IFERROR(__xludf.DUMMYFUNCTION("""COMPUTED_VALUE"""),"Unlisted")</f>
        <v>Unlisted</v>
      </c>
    </row>
    <row r="540">
      <c r="A540" s="255" t="str">
        <f>IFERROR(__xludf.DUMMYFUNCTION("""COMPUTED_VALUE"""),"Lotad")</f>
        <v>Lotad</v>
      </c>
      <c r="B540" s="174" t="str">
        <f>IFERROR(__xludf.DUMMYFUNCTION("""COMPUTED_VALUE"""),"Inept")</f>
        <v>Inept</v>
      </c>
      <c r="C540" s="174" t="str">
        <f>IFERROR(__xludf.DUMMYFUNCTION("""COMPUTED_VALUE"""),"Unlisted")</f>
        <v>Unlisted</v>
      </c>
      <c r="D540" s="174" t="str">
        <f>IFERROR(__xludf.DUMMYFUNCTION("""COMPUTED_VALUE"""),"Unlisted")</f>
        <v>Unlisted</v>
      </c>
      <c r="E540" s="174" t="str">
        <f>IFERROR(__xludf.DUMMYFUNCTION("""COMPUTED_VALUE"""),"Inept")</f>
        <v>Inept</v>
      </c>
      <c r="F540" s="174" t="str">
        <f>IFERROR(__xludf.DUMMYFUNCTION("""COMPUTED_VALUE"""),"Unlisted")</f>
        <v>Unlisted</v>
      </c>
      <c r="G540" s="174" t="str">
        <f>IFERROR(__xludf.DUMMYFUNCTION("""COMPUTED_VALUE"""),"Proficient")</f>
        <v>Proficient</v>
      </c>
      <c r="H540" s="174" t="str">
        <f>IFERROR(__xludf.DUMMYFUNCTION("""COMPUTED_VALUE"""),"Unlisted")</f>
        <v>Unlisted</v>
      </c>
      <c r="I540" s="174" t="str">
        <f>IFERROR(__xludf.DUMMYFUNCTION("""COMPUTED_VALUE"""),"Unlisted")</f>
        <v>Unlisted</v>
      </c>
      <c r="J540" s="174" t="str">
        <f>IFERROR(__xludf.DUMMYFUNCTION("""COMPUTED_VALUE"""),"Unlisted")</f>
        <v>Unlisted</v>
      </c>
      <c r="K540" s="174" t="str">
        <f>IFERROR(__xludf.DUMMYFUNCTION("""COMPUTED_VALUE"""),"Unlisted")</f>
        <v>Unlisted</v>
      </c>
      <c r="L540" s="174" t="str">
        <f>IFERROR(__xludf.DUMMYFUNCTION("""COMPUTED_VALUE"""),"Unlisted")</f>
        <v>Unlisted</v>
      </c>
      <c r="M540" s="174" t="str">
        <f>IFERROR(__xludf.DUMMYFUNCTION("""COMPUTED_VALUE"""),"Unlisted")</f>
        <v>Unlisted</v>
      </c>
      <c r="N540" s="174" t="str">
        <f>IFERROR(__xludf.DUMMYFUNCTION("""COMPUTED_VALUE"""),"Unlisted")</f>
        <v>Unlisted</v>
      </c>
      <c r="O540" s="174" t="str">
        <f>IFERROR(__xludf.DUMMYFUNCTION("""COMPUTED_VALUE"""),"Unlisted")</f>
        <v>Unlisted</v>
      </c>
      <c r="P540" s="174" t="str">
        <f>IFERROR(__xludf.DUMMYFUNCTION("""COMPUTED_VALUE"""),"Unlisted")</f>
        <v>Unlisted</v>
      </c>
      <c r="Q540" s="174" t="str">
        <f>IFERROR(__xludf.DUMMYFUNCTION("""COMPUTED_VALUE"""),"Unlisted")</f>
        <v>Unlisted</v>
      </c>
      <c r="R540" s="174" t="str">
        <f>IFERROR(__xludf.DUMMYFUNCTION("""COMPUTED_VALUE"""),"Unlisted")</f>
        <v>Unlisted</v>
      </c>
    </row>
    <row r="541">
      <c r="A541" s="255" t="str">
        <f>IFERROR(__xludf.DUMMYFUNCTION("""COMPUTED_VALUE"""),"Lombre")</f>
        <v>Lombre</v>
      </c>
      <c r="B541" s="174" t="str">
        <f>IFERROR(__xludf.DUMMYFUNCTION("""COMPUTED_VALUE"""),"Proficient")</f>
        <v>Proficient</v>
      </c>
      <c r="C541" s="174" t="str">
        <f>IFERROR(__xludf.DUMMYFUNCTION("""COMPUTED_VALUE"""),"Unlisted")</f>
        <v>Unlisted</v>
      </c>
      <c r="D541" s="174" t="str">
        <f>IFERROR(__xludf.DUMMYFUNCTION("""COMPUTED_VALUE"""),"Unlisted")</f>
        <v>Unlisted</v>
      </c>
      <c r="E541" s="174" t="str">
        <f>IFERROR(__xludf.DUMMYFUNCTION("""COMPUTED_VALUE"""),"Unlisted")</f>
        <v>Unlisted</v>
      </c>
      <c r="F541" s="174" t="str">
        <f>IFERROR(__xludf.DUMMYFUNCTION("""COMPUTED_VALUE"""),"Unlisted")</f>
        <v>Unlisted</v>
      </c>
      <c r="G541" s="174" t="str">
        <f>IFERROR(__xludf.DUMMYFUNCTION("""COMPUTED_VALUE"""),"Proficient")</f>
        <v>Proficient</v>
      </c>
      <c r="H541" s="174" t="str">
        <f>IFERROR(__xludf.DUMMYFUNCTION("""COMPUTED_VALUE"""),"Unlisted")</f>
        <v>Unlisted</v>
      </c>
      <c r="I541" s="174" t="str">
        <f>IFERROR(__xludf.DUMMYFUNCTION("""COMPUTED_VALUE"""),"Unlisted")</f>
        <v>Unlisted</v>
      </c>
      <c r="J541" s="174" t="str">
        <f>IFERROR(__xludf.DUMMYFUNCTION("""COMPUTED_VALUE"""),"Unlisted")</f>
        <v>Unlisted</v>
      </c>
      <c r="K541" s="174" t="str">
        <f>IFERROR(__xludf.DUMMYFUNCTION("""COMPUTED_VALUE"""),"Unlisted")</f>
        <v>Unlisted</v>
      </c>
      <c r="L541" s="174" t="str">
        <f>IFERROR(__xludf.DUMMYFUNCTION("""COMPUTED_VALUE"""),"Unlisted")</f>
        <v>Unlisted</v>
      </c>
      <c r="M541" s="174" t="str">
        <f>IFERROR(__xludf.DUMMYFUNCTION("""COMPUTED_VALUE"""),"Unlisted")</f>
        <v>Unlisted</v>
      </c>
      <c r="N541" s="174" t="str">
        <f>IFERROR(__xludf.DUMMYFUNCTION("""COMPUTED_VALUE"""),"Unlisted")</f>
        <v>Unlisted</v>
      </c>
      <c r="O541" s="174" t="str">
        <f>IFERROR(__xludf.DUMMYFUNCTION("""COMPUTED_VALUE"""),"Unlisted")</f>
        <v>Unlisted</v>
      </c>
      <c r="P541" s="174" t="str">
        <f>IFERROR(__xludf.DUMMYFUNCTION("""COMPUTED_VALUE"""),"Unlisted")</f>
        <v>Unlisted</v>
      </c>
      <c r="Q541" s="174" t="str">
        <f>IFERROR(__xludf.DUMMYFUNCTION("""COMPUTED_VALUE"""),"Unlisted")</f>
        <v>Unlisted</v>
      </c>
      <c r="R541" s="174" t="str">
        <f>IFERROR(__xludf.DUMMYFUNCTION("""COMPUTED_VALUE"""),"Unlisted")</f>
        <v>Unlisted</v>
      </c>
    </row>
    <row r="542">
      <c r="A542" s="255" t="str">
        <f>IFERROR(__xludf.DUMMYFUNCTION("""COMPUTED_VALUE"""),"Ludicolo")</f>
        <v>Ludicolo</v>
      </c>
      <c r="B542" s="174" t="str">
        <f>IFERROR(__xludf.DUMMYFUNCTION("""COMPUTED_VALUE"""),"Proficient")</f>
        <v>Proficient</v>
      </c>
      <c r="C542" s="174" t="str">
        <f>IFERROR(__xludf.DUMMYFUNCTION("""COMPUTED_VALUE"""),"Unlisted")</f>
        <v>Unlisted</v>
      </c>
      <c r="D542" s="174" t="str">
        <f>IFERROR(__xludf.DUMMYFUNCTION("""COMPUTED_VALUE"""),"Unlisted")</f>
        <v>Unlisted</v>
      </c>
      <c r="E542" s="174" t="str">
        <f>IFERROR(__xludf.DUMMYFUNCTION("""COMPUTED_VALUE"""),"Unlisted")</f>
        <v>Unlisted</v>
      </c>
      <c r="F542" s="174" t="str">
        <f>IFERROR(__xludf.DUMMYFUNCTION("""COMPUTED_VALUE"""),"Unlisted")</f>
        <v>Unlisted</v>
      </c>
      <c r="G542" s="174" t="str">
        <f>IFERROR(__xludf.DUMMYFUNCTION("""COMPUTED_VALUE"""),"Proficient")</f>
        <v>Proficient</v>
      </c>
      <c r="H542" s="174" t="str">
        <f>IFERROR(__xludf.DUMMYFUNCTION("""COMPUTED_VALUE"""),"Unlisted")</f>
        <v>Unlisted</v>
      </c>
      <c r="I542" s="174" t="str">
        <f>IFERROR(__xludf.DUMMYFUNCTION("""COMPUTED_VALUE"""),"Unlisted")</f>
        <v>Unlisted</v>
      </c>
      <c r="J542" s="174" t="str">
        <f>IFERROR(__xludf.DUMMYFUNCTION("""COMPUTED_VALUE"""),"Unlisted")</f>
        <v>Unlisted</v>
      </c>
      <c r="K542" s="174" t="str">
        <f>IFERROR(__xludf.DUMMYFUNCTION("""COMPUTED_VALUE"""),"Unlisted")</f>
        <v>Unlisted</v>
      </c>
      <c r="L542" s="174" t="str">
        <f>IFERROR(__xludf.DUMMYFUNCTION("""COMPUTED_VALUE"""),"Unlisted")</f>
        <v>Unlisted</v>
      </c>
      <c r="M542" s="174" t="str">
        <f>IFERROR(__xludf.DUMMYFUNCTION("""COMPUTED_VALUE"""),"Unlisted")</f>
        <v>Unlisted</v>
      </c>
      <c r="N542" s="174" t="str">
        <f>IFERROR(__xludf.DUMMYFUNCTION("""COMPUTED_VALUE"""),"Unlisted")</f>
        <v>Unlisted</v>
      </c>
      <c r="O542" s="174" t="str">
        <f>IFERROR(__xludf.DUMMYFUNCTION("""COMPUTED_VALUE"""),"Unlisted")</f>
        <v>Unlisted</v>
      </c>
      <c r="P542" s="174" t="str">
        <f>IFERROR(__xludf.DUMMYFUNCTION("""COMPUTED_VALUE"""),"Unlisted")</f>
        <v>Unlisted</v>
      </c>
      <c r="Q542" s="174" t="str">
        <f>IFERROR(__xludf.DUMMYFUNCTION("""COMPUTED_VALUE"""),"Unlisted")</f>
        <v>Unlisted</v>
      </c>
      <c r="R542" s="174" t="str">
        <f>IFERROR(__xludf.DUMMYFUNCTION("""COMPUTED_VALUE"""),"Unlisted")</f>
        <v>Unlisted</v>
      </c>
    </row>
    <row r="543">
      <c r="A543" s="255" t="str">
        <f>IFERROR(__xludf.DUMMYFUNCTION("""COMPUTED_VALUE"""),"Tympole")</f>
        <v>Tympole</v>
      </c>
      <c r="B543" s="174" t="str">
        <f>IFERROR(__xludf.DUMMYFUNCTION("""COMPUTED_VALUE"""),"Proficient")</f>
        <v>Proficient</v>
      </c>
      <c r="C543" s="174" t="str">
        <f>IFERROR(__xludf.DUMMYFUNCTION("""COMPUTED_VALUE"""),"Unlisted")</f>
        <v>Unlisted</v>
      </c>
      <c r="D543" s="174" t="str">
        <f>IFERROR(__xludf.DUMMYFUNCTION("""COMPUTED_VALUE"""),"Unlisted")</f>
        <v>Unlisted</v>
      </c>
      <c r="E543" s="174" t="str">
        <f>IFERROR(__xludf.DUMMYFUNCTION("""COMPUTED_VALUE"""),"Inept")</f>
        <v>Inept</v>
      </c>
      <c r="F543" s="174" t="str">
        <f>IFERROR(__xludf.DUMMYFUNCTION("""COMPUTED_VALUE"""),"Unlisted")</f>
        <v>Unlisted</v>
      </c>
      <c r="G543" s="174" t="str">
        <f>IFERROR(__xludf.DUMMYFUNCTION("""COMPUTED_VALUE"""),"Proficient")</f>
        <v>Proficient</v>
      </c>
      <c r="H543" s="174" t="str">
        <f>IFERROR(__xludf.DUMMYFUNCTION("""COMPUTED_VALUE"""),"Unlisted")</f>
        <v>Unlisted</v>
      </c>
      <c r="I543" s="174" t="str">
        <f>IFERROR(__xludf.DUMMYFUNCTION("""COMPUTED_VALUE"""),"Unlisted")</f>
        <v>Unlisted</v>
      </c>
      <c r="J543" s="174" t="str">
        <f>IFERROR(__xludf.DUMMYFUNCTION("""COMPUTED_VALUE"""),"Unlisted")</f>
        <v>Unlisted</v>
      </c>
      <c r="K543" s="174" t="str">
        <f>IFERROR(__xludf.DUMMYFUNCTION("""COMPUTED_VALUE"""),"Unlisted")</f>
        <v>Unlisted</v>
      </c>
      <c r="L543" s="174" t="str">
        <f>IFERROR(__xludf.DUMMYFUNCTION("""COMPUTED_VALUE"""),"Unlisted")</f>
        <v>Unlisted</v>
      </c>
      <c r="M543" s="174" t="str">
        <f>IFERROR(__xludf.DUMMYFUNCTION("""COMPUTED_VALUE"""),"Unlisted")</f>
        <v>Unlisted</v>
      </c>
      <c r="N543" s="174" t="str">
        <f>IFERROR(__xludf.DUMMYFUNCTION("""COMPUTED_VALUE"""),"Unlisted")</f>
        <v>Unlisted</v>
      </c>
      <c r="O543" s="174" t="str">
        <f>IFERROR(__xludf.DUMMYFUNCTION("""COMPUTED_VALUE"""),"Unlisted")</f>
        <v>Unlisted</v>
      </c>
      <c r="P543" s="174" t="str">
        <f>IFERROR(__xludf.DUMMYFUNCTION("""COMPUTED_VALUE"""),"Unlisted")</f>
        <v>Unlisted</v>
      </c>
      <c r="Q543" s="174" t="str">
        <f>IFERROR(__xludf.DUMMYFUNCTION("""COMPUTED_VALUE"""),"Unlisted")</f>
        <v>Unlisted</v>
      </c>
      <c r="R543" s="174" t="str">
        <f>IFERROR(__xludf.DUMMYFUNCTION("""COMPUTED_VALUE"""),"Unlisted")</f>
        <v>Unlisted</v>
      </c>
    </row>
    <row r="544">
      <c r="A544" s="255" t="str">
        <f>IFERROR(__xludf.DUMMYFUNCTION("""COMPUTED_VALUE"""),"Palpitoad")</f>
        <v>Palpitoad</v>
      </c>
      <c r="B544" s="174" t="str">
        <f>IFERROR(__xludf.DUMMYFUNCTION("""COMPUTED_VALUE"""),"Proficient")</f>
        <v>Proficient</v>
      </c>
      <c r="C544" s="174" t="str">
        <f>IFERROR(__xludf.DUMMYFUNCTION("""COMPUTED_VALUE"""),"Proficient")</f>
        <v>Proficient</v>
      </c>
      <c r="D544" s="174" t="str">
        <f>IFERROR(__xludf.DUMMYFUNCTION("""COMPUTED_VALUE"""),"Unlisted")</f>
        <v>Unlisted</v>
      </c>
      <c r="E544" s="174" t="str">
        <f>IFERROR(__xludf.DUMMYFUNCTION("""COMPUTED_VALUE"""),"Unlisted")</f>
        <v>Unlisted</v>
      </c>
      <c r="F544" s="174" t="str">
        <f>IFERROR(__xludf.DUMMYFUNCTION("""COMPUTED_VALUE"""),"Unlisted")</f>
        <v>Unlisted</v>
      </c>
      <c r="G544" s="174" t="str">
        <f>IFERROR(__xludf.DUMMYFUNCTION("""COMPUTED_VALUE"""),"Proficient")</f>
        <v>Proficient</v>
      </c>
      <c r="H544" s="174" t="str">
        <f>IFERROR(__xludf.DUMMYFUNCTION("""COMPUTED_VALUE"""),"Unlisted")</f>
        <v>Unlisted</v>
      </c>
      <c r="I544" s="174" t="str">
        <f>IFERROR(__xludf.DUMMYFUNCTION("""COMPUTED_VALUE"""),"Unlisted")</f>
        <v>Unlisted</v>
      </c>
      <c r="J544" s="174" t="str">
        <f>IFERROR(__xludf.DUMMYFUNCTION("""COMPUTED_VALUE"""),"Unlisted")</f>
        <v>Unlisted</v>
      </c>
      <c r="K544" s="174" t="str">
        <f>IFERROR(__xludf.DUMMYFUNCTION("""COMPUTED_VALUE"""),"Unlisted")</f>
        <v>Unlisted</v>
      </c>
      <c r="L544" s="174" t="str">
        <f>IFERROR(__xludf.DUMMYFUNCTION("""COMPUTED_VALUE"""),"Unlisted")</f>
        <v>Unlisted</v>
      </c>
      <c r="M544" s="174" t="str">
        <f>IFERROR(__xludf.DUMMYFUNCTION("""COMPUTED_VALUE"""),"Unlisted")</f>
        <v>Unlisted</v>
      </c>
      <c r="N544" s="174" t="str">
        <f>IFERROR(__xludf.DUMMYFUNCTION("""COMPUTED_VALUE"""),"Unlisted")</f>
        <v>Unlisted</v>
      </c>
      <c r="O544" s="174" t="str">
        <f>IFERROR(__xludf.DUMMYFUNCTION("""COMPUTED_VALUE"""),"Unlisted")</f>
        <v>Unlisted</v>
      </c>
      <c r="P544" s="174" t="str">
        <f>IFERROR(__xludf.DUMMYFUNCTION("""COMPUTED_VALUE"""),"Unlisted")</f>
        <v>Unlisted</v>
      </c>
      <c r="Q544" s="174" t="str">
        <f>IFERROR(__xludf.DUMMYFUNCTION("""COMPUTED_VALUE"""),"Unlisted")</f>
        <v>Unlisted</v>
      </c>
      <c r="R544" s="174" t="str">
        <f>IFERROR(__xludf.DUMMYFUNCTION("""COMPUTED_VALUE"""),"Unlisted")</f>
        <v>Unlisted</v>
      </c>
    </row>
    <row r="545">
      <c r="A545" s="255" t="str">
        <f>IFERROR(__xludf.DUMMYFUNCTION("""COMPUTED_VALUE"""),"Seismitoad")</f>
        <v>Seismitoad</v>
      </c>
      <c r="B545" s="174" t="str">
        <f>IFERROR(__xludf.DUMMYFUNCTION("""COMPUTED_VALUE"""),"Proficient")</f>
        <v>Proficient</v>
      </c>
      <c r="C545" s="174" t="str">
        <f>IFERROR(__xludf.DUMMYFUNCTION("""COMPUTED_VALUE"""),"Proficient")</f>
        <v>Proficient</v>
      </c>
      <c r="D545" s="174" t="str">
        <f>IFERROR(__xludf.DUMMYFUNCTION("""COMPUTED_VALUE"""),"Unlisted")</f>
        <v>Unlisted</v>
      </c>
      <c r="E545" s="174" t="str">
        <f>IFERROR(__xludf.DUMMYFUNCTION("""COMPUTED_VALUE"""),"Unlisted")</f>
        <v>Unlisted</v>
      </c>
      <c r="F545" s="174" t="str">
        <f>IFERROR(__xludf.DUMMYFUNCTION("""COMPUTED_VALUE"""),"Unlisted")</f>
        <v>Unlisted</v>
      </c>
      <c r="G545" s="174" t="str">
        <f>IFERROR(__xludf.DUMMYFUNCTION("""COMPUTED_VALUE"""),"Proficient")</f>
        <v>Proficient</v>
      </c>
      <c r="H545" s="174" t="str">
        <f>IFERROR(__xludf.DUMMYFUNCTION("""COMPUTED_VALUE"""),"Unlisted")</f>
        <v>Unlisted</v>
      </c>
      <c r="I545" s="174" t="str">
        <f>IFERROR(__xludf.DUMMYFUNCTION("""COMPUTED_VALUE"""),"Unlisted")</f>
        <v>Unlisted</v>
      </c>
      <c r="J545" s="174" t="str">
        <f>IFERROR(__xludf.DUMMYFUNCTION("""COMPUTED_VALUE"""),"Unlisted")</f>
        <v>Unlisted</v>
      </c>
      <c r="K545" s="174" t="str">
        <f>IFERROR(__xludf.DUMMYFUNCTION("""COMPUTED_VALUE"""),"Unlisted")</f>
        <v>Unlisted</v>
      </c>
      <c r="L545" s="174" t="str">
        <f>IFERROR(__xludf.DUMMYFUNCTION("""COMPUTED_VALUE"""),"Unlisted")</f>
        <v>Unlisted</v>
      </c>
      <c r="M545" s="174" t="str">
        <f>IFERROR(__xludf.DUMMYFUNCTION("""COMPUTED_VALUE"""),"Unlisted")</f>
        <v>Unlisted</v>
      </c>
      <c r="N545" s="174" t="str">
        <f>IFERROR(__xludf.DUMMYFUNCTION("""COMPUTED_VALUE"""),"Unlisted")</f>
        <v>Unlisted</v>
      </c>
      <c r="O545" s="174" t="str">
        <f>IFERROR(__xludf.DUMMYFUNCTION("""COMPUTED_VALUE"""),"Unlisted")</f>
        <v>Unlisted</v>
      </c>
      <c r="P545" s="174" t="str">
        <f>IFERROR(__xludf.DUMMYFUNCTION("""COMPUTED_VALUE"""),"Unlisted")</f>
        <v>Unlisted</v>
      </c>
      <c r="Q545" s="174" t="str">
        <f>IFERROR(__xludf.DUMMYFUNCTION("""COMPUTED_VALUE"""),"Unlisted")</f>
        <v>Unlisted</v>
      </c>
      <c r="R545" s="174" t="str">
        <f>IFERROR(__xludf.DUMMYFUNCTION("""COMPUTED_VALUE"""),"Unlisted")</f>
        <v>Unlisted</v>
      </c>
    </row>
    <row r="546">
      <c r="A546" s="255" t="str">
        <f>IFERROR(__xludf.DUMMYFUNCTION("""COMPUTED_VALUE"""),"Paras")</f>
        <v>Paras</v>
      </c>
      <c r="B546" s="174" t="str">
        <f>IFERROR(__xludf.DUMMYFUNCTION("""COMPUTED_VALUE"""),"Unlisted")</f>
        <v>Unlisted</v>
      </c>
      <c r="C546" s="174" t="str">
        <f>IFERROR(__xludf.DUMMYFUNCTION("""COMPUTED_VALUE"""),"Inept")</f>
        <v>Inept</v>
      </c>
      <c r="D546" s="174" t="str">
        <f>IFERROR(__xludf.DUMMYFUNCTION("""COMPUTED_VALUE"""),"Unlisted")</f>
        <v>Unlisted</v>
      </c>
      <c r="E546" s="174" t="str">
        <f>IFERROR(__xludf.DUMMYFUNCTION("""COMPUTED_VALUE"""),"Unlisted")</f>
        <v>Unlisted</v>
      </c>
      <c r="F546" s="174" t="str">
        <f>IFERROR(__xludf.DUMMYFUNCTION("""COMPUTED_VALUE"""),"Unlisted")</f>
        <v>Unlisted</v>
      </c>
      <c r="G546" s="174" t="str">
        <f>IFERROR(__xludf.DUMMYFUNCTION("""COMPUTED_VALUE"""),"Unlisted")</f>
        <v>Unlisted</v>
      </c>
      <c r="H546" s="174" t="str">
        <f>IFERROR(__xludf.DUMMYFUNCTION("""COMPUTED_VALUE"""),"Unlisted")</f>
        <v>Unlisted</v>
      </c>
      <c r="I546" s="174" t="str">
        <f>IFERROR(__xludf.DUMMYFUNCTION("""COMPUTED_VALUE"""),"Unlisted")</f>
        <v>Unlisted</v>
      </c>
      <c r="J546" s="174" t="str">
        <f>IFERROR(__xludf.DUMMYFUNCTION("""COMPUTED_VALUE"""),"Unlisted")</f>
        <v>Unlisted</v>
      </c>
      <c r="K546" s="174" t="str">
        <f>IFERROR(__xludf.DUMMYFUNCTION("""COMPUTED_VALUE"""),"Unlisted")</f>
        <v>Unlisted</v>
      </c>
      <c r="L546" s="174" t="str">
        <f>IFERROR(__xludf.DUMMYFUNCTION("""COMPUTED_VALUE"""),"Proficient")</f>
        <v>Proficient</v>
      </c>
      <c r="M546" s="174" t="str">
        <f>IFERROR(__xludf.DUMMYFUNCTION("""COMPUTED_VALUE"""),"Unlisted")</f>
        <v>Unlisted</v>
      </c>
      <c r="N546" s="174" t="str">
        <f>IFERROR(__xludf.DUMMYFUNCTION("""COMPUTED_VALUE"""),"Unlisted")</f>
        <v>Unlisted</v>
      </c>
      <c r="O546" s="174" t="str">
        <f>IFERROR(__xludf.DUMMYFUNCTION("""COMPUTED_VALUE"""),"Proficient")</f>
        <v>Proficient</v>
      </c>
      <c r="P546" s="174" t="str">
        <f>IFERROR(__xludf.DUMMYFUNCTION("""COMPUTED_VALUE"""),"Unlisted")</f>
        <v>Unlisted</v>
      </c>
      <c r="Q546" s="174" t="str">
        <f>IFERROR(__xludf.DUMMYFUNCTION("""COMPUTED_VALUE"""),"Unlisted")</f>
        <v>Unlisted</v>
      </c>
      <c r="R546" s="174" t="str">
        <f>IFERROR(__xludf.DUMMYFUNCTION("""COMPUTED_VALUE"""),"Unlisted")</f>
        <v>Unlisted</v>
      </c>
    </row>
    <row r="547">
      <c r="A547" s="255" t="str">
        <f>IFERROR(__xludf.DUMMYFUNCTION("""COMPUTED_VALUE"""),"Parasect")</f>
        <v>Parasect</v>
      </c>
      <c r="B547" s="174" t="str">
        <f>IFERROR(__xludf.DUMMYFUNCTION("""COMPUTED_VALUE"""),"Unlisted")</f>
        <v>Unlisted</v>
      </c>
      <c r="C547" s="174" t="str">
        <f>IFERROR(__xludf.DUMMYFUNCTION("""COMPUTED_VALUE"""),"Unlisted")</f>
        <v>Unlisted</v>
      </c>
      <c r="D547" s="174" t="str">
        <f>IFERROR(__xludf.DUMMYFUNCTION("""COMPUTED_VALUE"""),"Unlisted")</f>
        <v>Unlisted</v>
      </c>
      <c r="E547" s="174" t="str">
        <f>IFERROR(__xludf.DUMMYFUNCTION("""COMPUTED_VALUE"""),"Unlisted")</f>
        <v>Unlisted</v>
      </c>
      <c r="F547" s="174" t="str">
        <f>IFERROR(__xludf.DUMMYFUNCTION("""COMPUTED_VALUE"""),"Unlisted")</f>
        <v>Unlisted</v>
      </c>
      <c r="G547" s="174" t="str">
        <f>IFERROR(__xludf.DUMMYFUNCTION("""COMPUTED_VALUE"""),"Unlisted")</f>
        <v>Unlisted</v>
      </c>
      <c r="H547" s="174" t="str">
        <f>IFERROR(__xludf.DUMMYFUNCTION("""COMPUTED_VALUE"""),"Unlisted")</f>
        <v>Unlisted</v>
      </c>
      <c r="I547" s="174" t="str">
        <f>IFERROR(__xludf.DUMMYFUNCTION("""COMPUTED_VALUE"""),"Unlisted")</f>
        <v>Unlisted</v>
      </c>
      <c r="J547" s="174" t="str">
        <f>IFERROR(__xludf.DUMMYFUNCTION("""COMPUTED_VALUE"""),"Unlisted")</f>
        <v>Unlisted</v>
      </c>
      <c r="K547" s="174" t="str">
        <f>IFERROR(__xludf.DUMMYFUNCTION("""COMPUTED_VALUE"""),"Unlisted")</f>
        <v>Unlisted</v>
      </c>
      <c r="L547" s="174" t="str">
        <f>IFERROR(__xludf.DUMMYFUNCTION("""COMPUTED_VALUE"""),"Proficient")</f>
        <v>Proficient</v>
      </c>
      <c r="M547" s="174" t="str">
        <f>IFERROR(__xludf.DUMMYFUNCTION("""COMPUTED_VALUE"""),"Unlisted")</f>
        <v>Unlisted</v>
      </c>
      <c r="N547" s="174" t="str">
        <f>IFERROR(__xludf.DUMMYFUNCTION("""COMPUTED_VALUE"""),"Unlisted")</f>
        <v>Unlisted</v>
      </c>
      <c r="O547" s="174" t="str">
        <f>IFERROR(__xludf.DUMMYFUNCTION("""COMPUTED_VALUE"""),"Proficient")</f>
        <v>Proficient</v>
      </c>
      <c r="P547" s="174" t="str">
        <f>IFERROR(__xludf.DUMMYFUNCTION("""COMPUTED_VALUE"""),"Unlisted")</f>
        <v>Unlisted</v>
      </c>
      <c r="Q547" s="174" t="str">
        <f>IFERROR(__xludf.DUMMYFUNCTION("""COMPUTED_VALUE"""),"Unlisted")</f>
        <v>Unlisted</v>
      </c>
      <c r="R547" s="174" t="str">
        <f>IFERROR(__xludf.DUMMYFUNCTION("""COMPUTED_VALUE"""),"Unlisted")</f>
        <v>Unlisted</v>
      </c>
    </row>
    <row r="548">
      <c r="A548" s="255" t="str">
        <f>IFERROR(__xludf.DUMMYFUNCTION("""COMPUTED_VALUE"""),"Venonat")</f>
        <v>Venonat</v>
      </c>
      <c r="B548" s="174" t="str">
        <f>IFERROR(__xludf.DUMMYFUNCTION("""COMPUTED_VALUE"""),"Unlisted")</f>
        <v>Unlisted</v>
      </c>
      <c r="C548" s="174" t="str">
        <f>IFERROR(__xludf.DUMMYFUNCTION("""COMPUTED_VALUE"""),"Unlisted")</f>
        <v>Unlisted</v>
      </c>
      <c r="D548" s="174" t="str">
        <f>IFERROR(__xludf.DUMMYFUNCTION("""COMPUTED_VALUE"""),"Unlisted")</f>
        <v>Unlisted</v>
      </c>
      <c r="E548" s="174" t="str">
        <f>IFERROR(__xludf.DUMMYFUNCTION("""COMPUTED_VALUE"""),"Unlisted")</f>
        <v>Unlisted</v>
      </c>
      <c r="F548" s="174" t="str">
        <f>IFERROR(__xludf.DUMMYFUNCTION("""COMPUTED_VALUE"""),"Unlisted")</f>
        <v>Unlisted</v>
      </c>
      <c r="G548" s="174" t="str">
        <f>IFERROR(__xludf.DUMMYFUNCTION("""COMPUTED_VALUE"""),"Proficient")</f>
        <v>Proficient</v>
      </c>
      <c r="H548" s="174" t="str">
        <f>IFERROR(__xludf.DUMMYFUNCTION("""COMPUTED_VALUE"""),"Unlisted")</f>
        <v>Unlisted</v>
      </c>
      <c r="I548" s="174" t="str">
        <f>IFERROR(__xludf.DUMMYFUNCTION("""COMPUTED_VALUE"""),"Unlisted")</f>
        <v>Unlisted</v>
      </c>
      <c r="J548" s="174" t="str">
        <f>IFERROR(__xludf.DUMMYFUNCTION("""COMPUTED_VALUE"""),"Unlisted")</f>
        <v>Unlisted</v>
      </c>
      <c r="K548" s="174" t="str">
        <f>IFERROR(__xludf.DUMMYFUNCTION("""COMPUTED_VALUE"""),"Proficient")</f>
        <v>Proficient</v>
      </c>
      <c r="L548" s="174" t="str">
        <f>IFERROR(__xludf.DUMMYFUNCTION("""COMPUTED_VALUE"""),"Unlisted")</f>
        <v>Unlisted</v>
      </c>
      <c r="M548" s="174" t="str">
        <f>IFERROR(__xludf.DUMMYFUNCTION("""COMPUTED_VALUE"""),"Unlisted")</f>
        <v>Unlisted</v>
      </c>
      <c r="N548" s="174" t="str">
        <f>IFERROR(__xludf.DUMMYFUNCTION("""COMPUTED_VALUE"""),"Unlisted")</f>
        <v>Unlisted</v>
      </c>
      <c r="O548" s="174" t="str">
        <f>IFERROR(__xludf.DUMMYFUNCTION("""COMPUTED_VALUE"""),"Unlisted")</f>
        <v>Unlisted</v>
      </c>
      <c r="P548" s="174" t="str">
        <f>IFERROR(__xludf.DUMMYFUNCTION("""COMPUTED_VALUE"""),"Unlisted")</f>
        <v>Unlisted</v>
      </c>
      <c r="Q548" s="174" t="str">
        <f>IFERROR(__xludf.DUMMYFUNCTION("""COMPUTED_VALUE"""),"Unlisted")</f>
        <v>Unlisted</v>
      </c>
      <c r="R548" s="174" t="str">
        <f>IFERROR(__xludf.DUMMYFUNCTION("""COMPUTED_VALUE"""),"Unlisted")</f>
        <v>Unlisted</v>
      </c>
    </row>
    <row r="549">
      <c r="A549" s="255" t="str">
        <f>IFERROR(__xludf.DUMMYFUNCTION("""COMPUTED_VALUE"""),"Venomoth")</f>
        <v>Venomoth</v>
      </c>
      <c r="B549" s="174" t="str">
        <f>IFERROR(__xludf.DUMMYFUNCTION("""COMPUTED_VALUE"""),"Unlisted")</f>
        <v>Unlisted</v>
      </c>
      <c r="C549" s="174" t="str">
        <f>IFERROR(__xludf.DUMMYFUNCTION("""COMPUTED_VALUE"""),"Unlisted")</f>
        <v>Unlisted</v>
      </c>
      <c r="D549" s="174" t="str">
        <f>IFERROR(__xludf.DUMMYFUNCTION("""COMPUTED_VALUE"""),"Unlisted")</f>
        <v>Unlisted</v>
      </c>
      <c r="E549" s="174" t="str">
        <f>IFERROR(__xludf.DUMMYFUNCTION("""COMPUTED_VALUE"""),"Unlisted")</f>
        <v>Unlisted</v>
      </c>
      <c r="F549" s="174" t="str">
        <f>IFERROR(__xludf.DUMMYFUNCTION("""COMPUTED_VALUE"""),"Unlisted")</f>
        <v>Unlisted</v>
      </c>
      <c r="G549" s="174" t="str">
        <f>IFERROR(__xludf.DUMMYFUNCTION("""COMPUTED_VALUE"""),"Proficient")</f>
        <v>Proficient</v>
      </c>
      <c r="H549" s="174" t="str">
        <f>IFERROR(__xludf.DUMMYFUNCTION("""COMPUTED_VALUE"""),"Unlisted")</f>
        <v>Unlisted</v>
      </c>
      <c r="I549" s="174" t="str">
        <f>IFERROR(__xludf.DUMMYFUNCTION("""COMPUTED_VALUE"""),"Unlisted")</f>
        <v>Unlisted</v>
      </c>
      <c r="J549" s="174" t="str">
        <f>IFERROR(__xludf.DUMMYFUNCTION("""COMPUTED_VALUE"""),"Unlisted")</f>
        <v>Unlisted</v>
      </c>
      <c r="K549" s="174" t="str">
        <f>IFERROR(__xludf.DUMMYFUNCTION("""COMPUTED_VALUE"""),"Proficient")</f>
        <v>Proficient</v>
      </c>
      <c r="L549" s="174" t="str">
        <f>IFERROR(__xludf.DUMMYFUNCTION("""COMPUTED_VALUE"""),"Unlisted")</f>
        <v>Unlisted</v>
      </c>
      <c r="M549" s="174" t="str">
        <f>IFERROR(__xludf.DUMMYFUNCTION("""COMPUTED_VALUE"""),"Unlisted")</f>
        <v>Unlisted</v>
      </c>
      <c r="N549" s="174" t="str">
        <f>IFERROR(__xludf.DUMMYFUNCTION("""COMPUTED_VALUE"""),"Unlisted")</f>
        <v>Unlisted</v>
      </c>
      <c r="O549" s="174" t="str">
        <f>IFERROR(__xludf.DUMMYFUNCTION("""COMPUTED_VALUE"""),"Unlisted")</f>
        <v>Unlisted</v>
      </c>
      <c r="P549" s="174" t="str">
        <f>IFERROR(__xludf.DUMMYFUNCTION("""COMPUTED_VALUE"""),"Unlisted")</f>
        <v>Unlisted</v>
      </c>
      <c r="Q549" s="174" t="str">
        <f>IFERROR(__xludf.DUMMYFUNCTION("""COMPUTED_VALUE"""),"Unlisted")</f>
        <v>Unlisted</v>
      </c>
      <c r="R549" s="174" t="str">
        <f>IFERROR(__xludf.DUMMYFUNCTION("""COMPUTED_VALUE"""),"Unlisted")</f>
        <v>Unlisted</v>
      </c>
    </row>
    <row r="550">
      <c r="A550" s="255" t="str">
        <f>IFERROR(__xludf.DUMMYFUNCTION("""COMPUTED_VALUE"""),"Scyther")</f>
        <v>Scyther</v>
      </c>
      <c r="B550" s="174" t="str">
        <f>IFERROR(__xludf.DUMMYFUNCTION("""COMPUTED_VALUE"""),"Mastered")</f>
        <v>Mastered</v>
      </c>
      <c r="C550" s="174" t="str">
        <f>IFERROR(__xludf.DUMMYFUNCTION("""COMPUTED_VALUE"""),"Proficient")</f>
        <v>Proficient</v>
      </c>
      <c r="D550" s="174" t="str">
        <f>IFERROR(__xludf.DUMMYFUNCTION("""COMPUTED_VALUE"""),"Unlisted")</f>
        <v>Unlisted</v>
      </c>
      <c r="E550" s="174" t="str">
        <f>IFERROR(__xludf.DUMMYFUNCTION("""COMPUTED_VALUE"""),"Proficient")</f>
        <v>Proficient</v>
      </c>
      <c r="F550" s="174" t="str">
        <f>IFERROR(__xludf.DUMMYFUNCTION("""COMPUTED_VALUE"""),"Unlisted")</f>
        <v>Unlisted</v>
      </c>
      <c r="G550" s="174" t="str">
        <f>IFERROR(__xludf.DUMMYFUNCTION("""COMPUTED_VALUE"""),"Unlisted")</f>
        <v>Unlisted</v>
      </c>
      <c r="H550" s="174" t="str">
        <f>IFERROR(__xludf.DUMMYFUNCTION("""COMPUTED_VALUE"""),"Unlisted")</f>
        <v>Unlisted</v>
      </c>
      <c r="I550" s="174" t="str">
        <f>IFERROR(__xludf.DUMMYFUNCTION("""COMPUTED_VALUE"""),"Unlisted")</f>
        <v>Unlisted</v>
      </c>
      <c r="J550" s="174" t="str">
        <f>IFERROR(__xludf.DUMMYFUNCTION("""COMPUTED_VALUE"""),"Unlisted")</f>
        <v>Unlisted</v>
      </c>
      <c r="K550" s="174" t="str">
        <f>IFERROR(__xludf.DUMMYFUNCTION("""COMPUTED_VALUE"""),"Unlisted")</f>
        <v>Unlisted</v>
      </c>
      <c r="L550" s="174" t="str">
        <f>IFERROR(__xludf.DUMMYFUNCTION("""COMPUTED_VALUE"""),"Unlisted")</f>
        <v>Unlisted</v>
      </c>
      <c r="M550" s="174" t="str">
        <f>IFERROR(__xludf.DUMMYFUNCTION("""COMPUTED_VALUE"""),"Unlisted")</f>
        <v>Unlisted</v>
      </c>
      <c r="N550" s="174" t="str">
        <f>IFERROR(__xludf.DUMMYFUNCTION("""COMPUTED_VALUE"""),"Unlisted")</f>
        <v>Unlisted</v>
      </c>
      <c r="O550" s="174" t="str">
        <f>IFERROR(__xludf.DUMMYFUNCTION("""COMPUTED_VALUE"""),"Unlisted")</f>
        <v>Unlisted</v>
      </c>
      <c r="P550" s="174" t="str">
        <f>IFERROR(__xludf.DUMMYFUNCTION("""COMPUTED_VALUE"""),"Unlisted")</f>
        <v>Unlisted</v>
      </c>
      <c r="Q550" s="174" t="str">
        <f>IFERROR(__xludf.DUMMYFUNCTION("""COMPUTED_VALUE"""),"Unlisted")</f>
        <v>Unlisted</v>
      </c>
      <c r="R550" s="174" t="str">
        <f>IFERROR(__xludf.DUMMYFUNCTION("""COMPUTED_VALUE"""),"Unlisted")</f>
        <v>Unlisted</v>
      </c>
    </row>
    <row r="551">
      <c r="A551" s="255" t="str">
        <f>IFERROR(__xludf.DUMMYFUNCTION("""COMPUTED_VALUE"""),"Scizor")</f>
        <v>Scizor</v>
      </c>
      <c r="B551" s="174" t="str">
        <f>IFERROR(__xludf.DUMMYFUNCTION("""COMPUTED_VALUE"""),"Proficient")</f>
        <v>Proficient</v>
      </c>
      <c r="C551" s="174" t="str">
        <f>IFERROR(__xludf.DUMMYFUNCTION("""COMPUTED_VALUE"""),"Proficient")</f>
        <v>Proficient</v>
      </c>
      <c r="D551" s="174" t="str">
        <f>IFERROR(__xludf.DUMMYFUNCTION("""COMPUTED_VALUE"""),"Unlisted")</f>
        <v>Unlisted</v>
      </c>
      <c r="E551" s="174" t="str">
        <f>IFERROR(__xludf.DUMMYFUNCTION("""COMPUTED_VALUE"""),"Mastered")</f>
        <v>Mastered</v>
      </c>
      <c r="F551" s="174" t="str">
        <f>IFERROR(__xludf.DUMMYFUNCTION("""COMPUTED_VALUE"""),"Unlisted")</f>
        <v>Unlisted</v>
      </c>
      <c r="G551" s="174" t="str">
        <f>IFERROR(__xludf.DUMMYFUNCTION("""COMPUTED_VALUE"""),"Unlisted")</f>
        <v>Unlisted</v>
      </c>
      <c r="H551" s="174" t="str">
        <f>IFERROR(__xludf.DUMMYFUNCTION("""COMPUTED_VALUE"""),"Unlisted")</f>
        <v>Unlisted</v>
      </c>
      <c r="I551" s="174" t="str">
        <f>IFERROR(__xludf.DUMMYFUNCTION("""COMPUTED_VALUE"""),"Unlisted")</f>
        <v>Unlisted</v>
      </c>
      <c r="J551" s="174" t="str">
        <f>IFERROR(__xludf.DUMMYFUNCTION("""COMPUTED_VALUE"""),"Unlisted")</f>
        <v>Unlisted</v>
      </c>
      <c r="K551" s="174" t="str">
        <f>IFERROR(__xludf.DUMMYFUNCTION("""COMPUTED_VALUE"""),"Unlisted")</f>
        <v>Unlisted</v>
      </c>
      <c r="L551" s="174" t="str">
        <f>IFERROR(__xludf.DUMMYFUNCTION("""COMPUTED_VALUE"""),"Unlisted")</f>
        <v>Unlisted</v>
      </c>
      <c r="M551" s="174" t="str">
        <f>IFERROR(__xludf.DUMMYFUNCTION("""COMPUTED_VALUE"""),"Unlisted")</f>
        <v>Unlisted</v>
      </c>
      <c r="N551" s="174" t="str">
        <f>IFERROR(__xludf.DUMMYFUNCTION("""COMPUTED_VALUE"""),"Unlisted")</f>
        <v>Unlisted</v>
      </c>
      <c r="O551" s="174" t="str">
        <f>IFERROR(__xludf.DUMMYFUNCTION("""COMPUTED_VALUE"""),"Unlisted")</f>
        <v>Unlisted</v>
      </c>
      <c r="P551" s="174" t="str">
        <f>IFERROR(__xludf.DUMMYFUNCTION("""COMPUTED_VALUE"""),"Unlisted")</f>
        <v>Unlisted</v>
      </c>
      <c r="Q551" s="174" t="str">
        <f>IFERROR(__xludf.DUMMYFUNCTION("""COMPUTED_VALUE"""),"Unlisted")</f>
        <v>Unlisted</v>
      </c>
      <c r="R551" s="174" t="str">
        <f>IFERROR(__xludf.DUMMYFUNCTION("""COMPUTED_VALUE"""),"Unlisted")</f>
        <v>Unlisted</v>
      </c>
    </row>
    <row r="552">
      <c r="A552" s="255" t="str">
        <f>IFERROR(__xludf.DUMMYFUNCTION("""COMPUTED_VALUE"""),"Kleavor")</f>
        <v>Kleavor</v>
      </c>
      <c r="B552" s="174" t="str">
        <f>IFERROR(__xludf.DUMMYFUNCTION("""COMPUTED_VALUE"""),"Proficient")</f>
        <v>Proficient</v>
      </c>
      <c r="C552" s="174" t="str">
        <f>IFERROR(__xludf.DUMMYFUNCTION("""COMPUTED_VALUE"""),"Proficient")</f>
        <v>Proficient</v>
      </c>
      <c r="D552" s="174" t="str">
        <f>IFERROR(__xludf.DUMMYFUNCTION("""COMPUTED_VALUE"""),"Unlisted")</f>
        <v>Unlisted</v>
      </c>
      <c r="E552" s="174" t="str">
        <f>IFERROR(__xludf.DUMMYFUNCTION("""COMPUTED_VALUE"""),"Mastered")</f>
        <v>Mastered</v>
      </c>
      <c r="F552" s="174" t="str">
        <f>IFERROR(__xludf.DUMMYFUNCTION("""COMPUTED_VALUE"""),"Unlisted")</f>
        <v>Unlisted</v>
      </c>
      <c r="G552" s="174" t="str">
        <f>IFERROR(__xludf.DUMMYFUNCTION("""COMPUTED_VALUE"""),"Unlisted")</f>
        <v>Unlisted</v>
      </c>
      <c r="H552" s="174" t="str">
        <f>IFERROR(__xludf.DUMMYFUNCTION("""COMPUTED_VALUE"""),"Unlisted")</f>
        <v>Unlisted</v>
      </c>
      <c r="I552" s="174" t="str">
        <f>IFERROR(__xludf.DUMMYFUNCTION("""COMPUTED_VALUE"""),"Unlisted")</f>
        <v>Unlisted</v>
      </c>
      <c r="J552" s="174" t="str">
        <f>IFERROR(__xludf.DUMMYFUNCTION("""COMPUTED_VALUE"""),"Unlisted")</f>
        <v>Unlisted</v>
      </c>
      <c r="K552" s="174" t="str">
        <f>IFERROR(__xludf.DUMMYFUNCTION("""COMPUTED_VALUE"""),"Unlisted")</f>
        <v>Unlisted</v>
      </c>
      <c r="L552" s="174" t="str">
        <f>IFERROR(__xludf.DUMMYFUNCTION("""COMPUTED_VALUE"""),"Unlisted")</f>
        <v>Unlisted</v>
      </c>
      <c r="M552" s="174" t="str">
        <f>IFERROR(__xludf.DUMMYFUNCTION("""COMPUTED_VALUE"""),"Unlisted")</f>
        <v>Unlisted</v>
      </c>
      <c r="N552" s="174" t="str">
        <f>IFERROR(__xludf.DUMMYFUNCTION("""COMPUTED_VALUE"""),"Unlisted")</f>
        <v>Unlisted</v>
      </c>
      <c r="O552" s="174" t="str">
        <f>IFERROR(__xludf.DUMMYFUNCTION("""COMPUTED_VALUE"""),"Unlisted")</f>
        <v>Unlisted</v>
      </c>
      <c r="P552" s="174" t="str">
        <f>IFERROR(__xludf.DUMMYFUNCTION("""COMPUTED_VALUE"""),"Unlisted")</f>
        <v>Unlisted</v>
      </c>
      <c r="Q552" s="174" t="str">
        <f>IFERROR(__xludf.DUMMYFUNCTION("""COMPUTED_VALUE"""),"Unlisted")</f>
        <v>Unlisted</v>
      </c>
      <c r="R552" s="174" t="str">
        <f>IFERROR(__xludf.DUMMYFUNCTION("""COMPUTED_VALUE"""),"Unlisted")</f>
        <v>Unlisted</v>
      </c>
    </row>
    <row r="553">
      <c r="A553" s="255" t="str">
        <f>IFERROR(__xludf.DUMMYFUNCTION("""COMPUTED_VALUE"""),"Ledyba")</f>
        <v>Ledyba</v>
      </c>
      <c r="B553" s="174" t="str">
        <f>IFERROR(__xludf.DUMMYFUNCTION("""COMPUTED_VALUE"""),"Proficient")</f>
        <v>Proficient</v>
      </c>
      <c r="C553" s="174" t="str">
        <f>IFERROR(__xludf.DUMMYFUNCTION("""COMPUTED_VALUE"""),"Unlisted")</f>
        <v>Unlisted</v>
      </c>
      <c r="D553" s="174" t="str">
        <f>IFERROR(__xludf.DUMMYFUNCTION("""COMPUTED_VALUE"""),"Unlisted")</f>
        <v>Unlisted</v>
      </c>
      <c r="E553" s="174" t="str">
        <f>IFERROR(__xludf.DUMMYFUNCTION("""COMPUTED_VALUE"""),"Proficient")</f>
        <v>Proficient</v>
      </c>
      <c r="F553" s="174" t="str">
        <f>IFERROR(__xludf.DUMMYFUNCTION("""COMPUTED_VALUE"""),"Unlisted")</f>
        <v>Unlisted</v>
      </c>
      <c r="G553" s="174" t="str">
        <f>IFERROR(__xludf.DUMMYFUNCTION("""COMPUTED_VALUE"""),"Unlisted")</f>
        <v>Unlisted</v>
      </c>
      <c r="H553" s="174" t="str">
        <f>IFERROR(__xludf.DUMMYFUNCTION("""COMPUTED_VALUE"""),"Unlisted")</f>
        <v>Unlisted</v>
      </c>
      <c r="I553" s="174" t="str">
        <f>IFERROR(__xludf.DUMMYFUNCTION("""COMPUTED_VALUE"""),"Unlisted")</f>
        <v>Unlisted</v>
      </c>
      <c r="J553" s="174" t="str">
        <f>IFERROR(__xludf.DUMMYFUNCTION("""COMPUTED_VALUE"""),"Unlisted")</f>
        <v>Unlisted</v>
      </c>
      <c r="K553" s="174" t="str">
        <f>IFERROR(__xludf.DUMMYFUNCTION("""COMPUTED_VALUE"""),"Unlisted")</f>
        <v>Unlisted</v>
      </c>
      <c r="L553" s="174" t="str">
        <f>IFERROR(__xludf.DUMMYFUNCTION("""COMPUTED_VALUE"""),"Unlisted")</f>
        <v>Unlisted</v>
      </c>
      <c r="M553" s="174" t="str">
        <f>IFERROR(__xludf.DUMMYFUNCTION("""COMPUTED_VALUE"""),"Unlisted")</f>
        <v>Unlisted</v>
      </c>
      <c r="N553" s="174" t="str">
        <f>IFERROR(__xludf.DUMMYFUNCTION("""COMPUTED_VALUE"""),"Unlisted")</f>
        <v>Unlisted</v>
      </c>
      <c r="O553" s="174" t="str">
        <f>IFERROR(__xludf.DUMMYFUNCTION("""COMPUTED_VALUE"""),"Unlisted")</f>
        <v>Unlisted</v>
      </c>
      <c r="P553" s="174" t="str">
        <f>IFERROR(__xludf.DUMMYFUNCTION("""COMPUTED_VALUE"""),"Unlisted")</f>
        <v>Unlisted</v>
      </c>
      <c r="Q553" s="174" t="str">
        <f>IFERROR(__xludf.DUMMYFUNCTION("""COMPUTED_VALUE"""),"Unlisted")</f>
        <v>Unlisted</v>
      </c>
      <c r="R553" s="174" t="str">
        <f>IFERROR(__xludf.DUMMYFUNCTION("""COMPUTED_VALUE"""),"Unlisted")</f>
        <v>Unlisted</v>
      </c>
    </row>
    <row r="554">
      <c r="A554" s="255" t="str">
        <f>IFERROR(__xludf.DUMMYFUNCTION("""COMPUTED_VALUE"""),"Ledian")</f>
        <v>Ledian</v>
      </c>
      <c r="B554" s="174" t="str">
        <f>IFERROR(__xludf.DUMMYFUNCTION("""COMPUTED_VALUE"""),"Proficient")</f>
        <v>Proficient</v>
      </c>
      <c r="C554" s="174" t="str">
        <f>IFERROR(__xludf.DUMMYFUNCTION("""COMPUTED_VALUE"""),"Unlisted")</f>
        <v>Unlisted</v>
      </c>
      <c r="D554" s="174" t="str">
        <f>IFERROR(__xludf.DUMMYFUNCTION("""COMPUTED_VALUE"""),"Unlisted")</f>
        <v>Unlisted</v>
      </c>
      <c r="E554" s="174" t="str">
        <f>IFERROR(__xludf.DUMMYFUNCTION("""COMPUTED_VALUE"""),"Proficient")</f>
        <v>Proficient</v>
      </c>
      <c r="F554" s="174" t="str">
        <f>IFERROR(__xludf.DUMMYFUNCTION("""COMPUTED_VALUE"""),"Unlisted")</f>
        <v>Unlisted</v>
      </c>
      <c r="G554" s="174" t="str">
        <f>IFERROR(__xludf.DUMMYFUNCTION("""COMPUTED_VALUE"""),"Unlisted")</f>
        <v>Unlisted</v>
      </c>
      <c r="H554" s="174" t="str">
        <f>IFERROR(__xludf.DUMMYFUNCTION("""COMPUTED_VALUE"""),"Unlisted")</f>
        <v>Unlisted</v>
      </c>
      <c r="I554" s="174" t="str">
        <f>IFERROR(__xludf.DUMMYFUNCTION("""COMPUTED_VALUE"""),"Unlisted")</f>
        <v>Unlisted</v>
      </c>
      <c r="J554" s="174" t="str">
        <f>IFERROR(__xludf.DUMMYFUNCTION("""COMPUTED_VALUE"""),"Unlisted")</f>
        <v>Unlisted</v>
      </c>
      <c r="K554" s="174" t="str">
        <f>IFERROR(__xludf.DUMMYFUNCTION("""COMPUTED_VALUE"""),"Unlisted")</f>
        <v>Unlisted</v>
      </c>
      <c r="L554" s="174" t="str">
        <f>IFERROR(__xludf.DUMMYFUNCTION("""COMPUTED_VALUE"""),"Unlisted")</f>
        <v>Unlisted</v>
      </c>
      <c r="M554" s="174" t="str">
        <f>IFERROR(__xludf.DUMMYFUNCTION("""COMPUTED_VALUE"""),"Unlisted")</f>
        <v>Unlisted</v>
      </c>
      <c r="N554" s="174" t="str">
        <f>IFERROR(__xludf.DUMMYFUNCTION("""COMPUTED_VALUE"""),"Unlisted")</f>
        <v>Unlisted</v>
      </c>
      <c r="O554" s="174" t="str">
        <f>IFERROR(__xludf.DUMMYFUNCTION("""COMPUTED_VALUE"""),"Unlisted")</f>
        <v>Unlisted</v>
      </c>
      <c r="P554" s="174" t="str">
        <f>IFERROR(__xludf.DUMMYFUNCTION("""COMPUTED_VALUE"""),"Unlisted")</f>
        <v>Unlisted</v>
      </c>
      <c r="Q554" s="174" t="str">
        <f>IFERROR(__xludf.DUMMYFUNCTION("""COMPUTED_VALUE"""),"Unlisted")</f>
        <v>Unlisted</v>
      </c>
      <c r="R554" s="174" t="str">
        <f>IFERROR(__xludf.DUMMYFUNCTION("""COMPUTED_VALUE"""),"Unlisted")</f>
        <v>Unlisted</v>
      </c>
    </row>
    <row r="555">
      <c r="A555" s="255" t="str">
        <f>IFERROR(__xludf.DUMMYFUNCTION("""COMPUTED_VALUE"""),"Spinarak")</f>
        <v>Spinarak</v>
      </c>
      <c r="B555" s="174" t="str">
        <f>IFERROR(__xludf.DUMMYFUNCTION("""COMPUTED_VALUE"""),"Unlisted")</f>
        <v>Unlisted</v>
      </c>
      <c r="C555" s="174" t="str">
        <f>IFERROR(__xludf.DUMMYFUNCTION("""COMPUTED_VALUE"""),"Unlisted")</f>
        <v>Unlisted</v>
      </c>
      <c r="D555" s="174" t="str">
        <f>IFERROR(__xludf.DUMMYFUNCTION("""COMPUTED_VALUE"""),"Unlisted")</f>
        <v>Unlisted</v>
      </c>
      <c r="E555" s="174" t="str">
        <f>IFERROR(__xludf.DUMMYFUNCTION("""COMPUTED_VALUE"""),"Unlisted")</f>
        <v>Unlisted</v>
      </c>
      <c r="F555" s="174" t="str">
        <f>IFERROR(__xludf.DUMMYFUNCTION("""COMPUTED_VALUE"""),"Unlisted")</f>
        <v>Unlisted</v>
      </c>
      <c r="G555" s="174" t="str">
        <f>IFERROR(__xludf.DUMMYFUNCTION("""COMPUTED_VALUE"""),"Proficient")</f>
        <v>Proficient</v>
      </c>
      <c r="H555" s="174" t="str">
        <f>IFERROR(__xludf.DUMMYFUNCTION("""COMPUTED_VALUE"""),"Unlisted")</f>
        <v>Unlisted</v>
      </c>
      <c r="I555" s="174" t="str">
        <f>IFERROR(__xludf.DUMMYFUNCTION("""COMPUTED_VALUE"""),"Unlisted")</f>
        <v>Unlisted</v>
      </c>
      <c r="J555" s="174" t="str">
        <f>IFERROR(__xludf.DUMMYFUNCTION("""COMPUTED_VALUE"""),"Unlisted")</f>
        <v>Unlisted</v>
      </c>
      <c r="K555" s="174" t="str">
        <f>IFERROR(__xludf.DUMMYFUNCTION("""COMPUTED_VALUE"""),"Unlisted")</f>
        <v>Unlisted</v>
      </c>
      <c r="L555" s="174" t="str">
        <f>IFERROR(__xludf.DUMMYFUNCTION("""COMPUTED_VALUE"""),"Proficient")</f>
        <v>Proficient</v>
      </c>
      <c r="M555" s="174" t="str">
        <f>IFERROR(__xludf.DUMMYFUNCTION("""COMPUTED_VALUE"""),"Unlisted")</f>
        <v>Unlisted</v>
      </c>
      <c r="N555" s="174" t="str">
        <f>IFERROR(__xludf.DUMMYFUNCTION("""COMPUTED_VALUE"""),"Unlisted")</f>
        <v>Unlisted</v>
      </c>
      <c r="O555" s="174" t="str">
        <f>IFERROR(__xludf.DUMMYFUNCTION("""COMPUTED_VALUE"""),"Proficient")</f>
        <v>Proficient</v>
      </c>
      <c r="P555" s="174" t="str">
        <f>IFERROR(__xludf.DUMMYFUNCTION("""COMPUTED_VALUE"""),"Unlisted")</f>
        <v>Unlisted</v>
      </c>
      <c r="Q555" s="174" t="str">
        <f>IFERROR(__xludf.DUMMYFUNCTION("""COMPUTED_VALUE"""),"Unlisted")</f>
        <v>Unlisted</v>
      </c>
      <c r="R555" s="174" t="str">
        <f>IFERROR(__xludf.DUMMYFUNCTION("""COMPUTED_VALUE"""),"Unlisted")</f>
        <v>Unlisted</v>
      </c>
    </row>
    <row r="556">
      <c r="A556" s="255" t="str">
        <f>IFERROR(__xludf.DUMMYFUNCTION("""COMPUTED_VALUE"""),"Ariados")</f>
        <v>Ariados</v>
      </c>
      <c r="B556" s="174" t="str">
        <f>IFERROR(__xludf.DUMMYFUNCTION("""COMPUTED_VALUE"""),"Unlisted")</f>
        <v>Unlisted</v>
      </c>
      <c r="C556" s="174" t="str">
        <f>IFERROR(__xludf.DUMMYFUNCTION("""COMPUTED_VALUE"""),"Unlisted")</f>
        <v>Unlisted</v>
      </c>
      <c r="D556" s="174" t="str">
        <f>IFERROR(__xludf.DUMMYFUNCTION("""COMPUTED_VALUE"""),"Unlisted")</f>
        <v>Unlisted</v>
      </c>
      <c r="E556" s="174" t="str">
        <f>IFERROR(__xludf.DUMMYFUNCTION("""COMPUTED_VALUE"""),"Unlisted")</f>
        <v>Unlisted</v>
      </c>
      <c r="F556" s="174" t="str">
        <f>IFERROR(__xludf.DUMMYFUNCTION("""COMPUTED_VALUE"""),"Unlisted")</f>
        <v>Unlisted</v>
      </c>
      <c r="G556" s="174" t="str">
        <f>IFERROR(__xludf.DUMMYFUNCTION("""COMPUTED_VALUE"""),"Proficient")</f>
        <v>Proficient</v>
      </c>
      <c r="H556" s="174" t="str">
        <f>IFERROR(__xludf.DUMMYFUNCTION("""COMPUTED_VALUE"""),"Unlisted")</f>
        <v>Unlisted</v>
      </c>
      <c r="I556" s="174" t="str">
        <f>IFERROR(__xludf.DUMMYFUNCTION("""COMPUTED_VALUE"""),"Unlisted")</f>
        <v>Unlisted</v>
      </c>
      <c r="J556" s="174" t="str">
        <f>IFERROR(__xludf.DUMMYFUNCTION("""COMPUTED_VALUE"""),"Unlisted")</f>
        <v>Unlisted</v>
      </c>
      <c r="K556" s="174" t="str">
        <f>IFERROR(__xludf.DUMMYFUNCTION("""COMPUTED_VALUE"""),"Unlisted")</f>
        <v>Unlisted</v>
      </c>
      <c r="L556" s="174" t="str">
        <f>IFERROR(__xludf.DUMMYFUNCTION("""COMPUTED_VALUE"""),"Proficient")</f>
        <v>Proficient</v>
      </c>
      <c r="M556" s="174" t="str">
        <f>IFERROR(__xludf.DUMMYFUNCTION("""COMPUTED_VALUE"""),"Unlisted")</f>
        <v>Unlisted</v>
      </c>
      <c r="N556" s="174" t="str">
        <f>IFERROR(__xludf.DUMMYFUNCTION("""COMPUTED_VALUE"""),"Unlisted")</f>
        <v>Unlisted</v>
      </c>
      <c r="O556" s="174" t="str">
        <f>IFERROR(__xludf.DUMMYFUNCTION("""COMPUTED_VALUE"""),"Proficient")</f>
        <v>Proficient</v>
      </c>
      <c r="P556" s="174" t="str">
        <f>IFERROR(__xludf.DUMMYFUNCTION("""COMPUTED_VALUE"""),"Unlisted")</f>
        <v>Unlisted</v>
      </c>
      <c r="Q556" s="174" t="str">
        <f>IFERROR(__xludf.DUMMYFUNCTION("""COMPUTED_VALUE"""),"Unlisted")</f>
        <v>Unlisted</v>
      </c>
      <c r="R556" s="174" t="str">
        <f>IFERROR(__xludf.DUMMYFUNCTION("""COMPUTED_VALUE"""),"Unlisted")</f>
        <v>Unlisted</v>
      </c>
    </row>
    <row r="557">
      <c r="A557" s="255" t="str">
        <f>IFERROR(__xludf.DUMMYFUNCTION("""COMPUTED_VALUE"""),"Yanma")</f>
        <v>Yanma</v>
      </c>
      <c r="B557" s="174" t="str">
        <f>IFERROR(__xludf.DUMMYFUNCTION("""COMPUTED_VALUE"""),"Mastered")</f>
        <v>Mastered</v>
      </c>
      <c r="C557" s="174" t="str">
        <f>IFERROR(__xludf.DUMMYFUNCTION("""COMPUTED_VALUE"""),"Unlisted")</f>
        <v>Unlisted</v>
      </c>
      <c r="D557" s="174" t="str">
        <f>IFERROR(__xludf.DUMMYFUNCTION("""COMPUTED_VALUE"""),"Unlisted")</f>
        <v>Unlisted</v>
      </c>
      <c r="E557" s="174" t="str">
        <f>IFERROR(__xludf.DUMMYFUNCTION("""COMPUTED_VALUE"""),"Unlisted")</f>
        <v>Unlisted</v>
      </c>
      <c r="F557" s="174" t="str">
        <f>IFERROR(__xludf.DUMMYFUNCTION("""COMPUTED_VALUE"""),"Unlisted")</f>
        <v>Unlisted</v>
      </c>
      <c r="G557" s="174" t="str">
        <f>IFERROR(__xludf.DUMMYFUNCTION("""COMPUTED_VALUE"""),"Unlisted")</f>
        <v>Unlisted</v>
      </c>
      <c r="H557" s="174" t="str">
        <f>IFERROR(__xludf.DUMMYFUNCTION("""COMPUTED_VALUE"""),"Unlisted")</f>
        <v>Unlisted</v>
      </c>
      <c r="I557" s="174" t="str">
        <f>IFERROR(__xludf.DUMMYFUNCTION("""COMPUTED_VALUE"""),"Unlisted")</f>
        <v>Unlisted</v>
      </c>
      <c r="J557" s="174" t="str">
        <f>IFERROR(__xludf.DUMMYFUNCTION("""COMPUTED_VALUE"""),"Unlisted")</f>
        <v>Unlisted</v>
      </c>
      <c r="K557" s="174" t="str">
        <f>IFERROR(__xludf.DUMMYFUNCTION("""COMPUTED_VALUE"""),"Proficient")</f>
        <v>Proficient</v>
      </c>
      <c r="L557" s="174" t="str">
        <f>IFERROR(__xludf.DUMMYFUNCTION("""COMPUTED_VALUE"""),"Unlisted")</f>
        <v>Unlisted</v>
      </c>
      <c r="M557" s="174" t="str">
        <f>IFERROR(__xludf.DUMMYFUNCTION("""COMPUTED_VALUE"""),"Unlisted")</f>
        <v>Unlisted</v>
      </c>
      <c r="N557" s="174" t="str">
        <f>IFERROR(__xludf.DUMMYFUNCTION("""COMPUTED_VALUE"""),"Unlisted")</f>
        <v>Unlisted</v>
      </c>
      <c r="O557" s="174" t="str">
        <f>IFERROR(__xludf.DUMMYFUNCTION("""COMPUTED_VALUE"""),"Proficient")</f>
        <v>Proficient</v>
      </c>
      <c r="P557" s="174" t="str">
        <f>IFERROR(__xludf.DUMMYFUNCTION("""COMPUTED_VALUE"""),"Unlisted")</f>
        <v>Unlisted</v>
      </c>
      <c r="Q557" s="174" t="str">
        <f>IFERROR(__xludf.DUMMYFUNCTION("""COMPUTED_VALUE"""),"Unlisted")</f>
        <v>Unlisted</v>
      </c>
      <c r="R557" s="174" t="str">
        <f>IFERROR(__xludf.DUMMYFUNCTION("""COMPUTED_VALUE"""),"Unlisted")</f>
        <v>Unlisted</v>
      </c>
    </row>
    <row r="558">
      <c r="A558" s="255" t="str">
        <f>IFERROR(__xludf.DUMMYFUNCTION("""COMPUTED_VALUE"""),"Yanmega")</f>
        <v>Yanmega</v>
      </c>
      <c r="B558" s="174" t="str">
        <f>IFERROR(__xludf.DUMMYFUNCTION("""COMPUTED_VALUE"""),"Mastered")</f>
        <v>Mastered</v>
      </c>
      <c r="C558" s="174" t="str">
        <f>IFERROR(__xludf.DUMMYFUNCTION("""COMPUTED_VALUE"""),"Unlisted")</f>
        <v>Unlisted</v>
      </c>
      <c r="D558" s="174" t="str">
        <f>IFERROR(__xludf.DUMMYFUNCTION("""COMPUTED_VALUE"""),"Unlisted")</f>
        <v>Unlisted</v>
      </c>
      <c r="E558" s="174" t="str">
        <f>IFERROR(__xludf.DUMMYFUNCTION("""COMPUTED_VALUE"""),"Unlisted")</f>
        <v>Unlisted</v>
      </c>
      <c r="F558" s="174" t="str">
        <f>IFERROR(__xludf.DUMMYFUNCTION("""COMPUTED_VALUE"""),"Unlisted")</f>
        <v>Unlisted</v>
      </c>
      <c r="G558" s="174" t="str">
        <f>IFERROR(__xludf.DUMMYFUNCTION("""COMPUTED_VALUE"""),"Unlisted")</f>
        <v>Unlisted</v>
      </c>
      <c r="H558" s="174" t="str">
        <f>IFERROR(__xludf.DUMMYFUNCTION("""COMPUTED_VALUE"""),"Unlisted")</f>
        <v>Unlisted</v>
      </c>
      <c r="I558" s="174" t="str">
        <f>IFERROR(__xludf.DUMMYFUNCTION("""COMPUTED_VALUE"""),"Unlisted")</f>
        <v>Unlisted</v>
      </c>
      <c r="J558" s="174" t="str">
        <f>IFERROR(__xludf.DUMMYFUNCTION("""COMPUTED_VALUE"""),"Unlisted")</f>
        <v>Unlisted</v>
      </c>
      <c r="K558" s="174" t="str">
        <f>IFERROR(__xludf.DUMMYFUNCTION("""COMPUTED_VALUE"""),"Proficient")</f>
        <v>Proficient</v>
      </c>
      <c r="L558" s="174" t="str">
        <f>IFERROR(__xludf.DUMMYFUNCTION("""COMPUTED_VALUE"""),"Unlisted")</f>
        <v>Unlisted</v>
      </c>
      <c r="M558" s="174" t="str">
        <f>IFERROR(__xludf.DUMMYFUNCTION("""COMPUTED_VALUE"""),"Unlisted")</f>
        <v>Unlisted</v>
      </c>
      <c r="N558" s="174" t="str">
        <f>IFERROR(__xludf.DUMMYFUNCTION("""COMPUTED_VALUE"""),"Unlisted")</f>
        <v>Unlisted</v>
      </c>
      <c r="O558" s="174" t="str">
        <f>IFERROR(__xludf.DUMMYFUNCTION("""COMPUTED_VALUE"""),"Proficient")</f>
        <v>Proficient</v>
      </c>
      <c r="P558" s="174" t="str">
        <f>IFERROR(__xludf.DUMMYFUNCTION("""COMPUTED_VALUE"""),"Unlisted")</f>
        <v>Unlisted</v>
      </c>
      <c r="Q558" s="174" t="str">
        <f>IFERROR(__xludf.DUMMYFUNCTION("""COMPUTED_VALUE"""),"Unlisted")</f>
        <v>Unlisted</v>
      </c>
      <c r="R558" s="174" t="str">
        <f>IFERROR(__xludf.DUMMYFUNCTION("""COMPUTED_VALUE"""),"Unlisted")</f>
        <v>Unlisted</v>
      </c>
    </row>
    <row r="559">
      <c r="A559" s="255" t="str">
        <f>IFERROR(__xludf.DUMMYFUNCTION("""COMPUTED_VALUE"""),"Pineco")</f>
        <v>Pineco</v>
      </c>
      <c r="B559" s="174" t="str">
        <f>IFERROR(__xludf.DUMMYFUNCTION("""COMPUTED_VALUE"""),"Unlisted")</f>
        <v>Unlisted</v>
      </c>
      <c r="C559" s="174" t="str">
        <f>IFERROR(__xludf.DUMMYFUNCTION("""COMPUTED_VALUE"""),"Unlisted")</f>
        <v>Unlisted</v>
      </c>
      <c r="D559" s="174" t="str">
        <f>IFERROR(__xludf.DUMMYFUNCTION("""COMPUTED_VALUE"""),"Unlisted")</f>
        <v>Unlisted</v>
      </c>
      <c r="E559" s="174" t="str">
        <f>IFERROR(__xludf.DUMMYFUNCTION("""COMPUTED_VALUE"""),"Unlisted")</f>
        <v>Unlisted</v>
      </c>
      <c r="F559" s="174" t="str">
        <f>IFERROR(__xludf.DUMMYFUNCTION("""COMPUTED_VALUE"""),"Unlisted")</f>
        <v>Unlisted</v>
      </c>
      <c r="G559" s="174" t="str">
        <f>IFERROR(__xludf.DUMMYFUNCTION("""COMPUTED_VALUE"""),"Unlisted")</f>
        <v>Unlisted</v>
      </c>
      <c r="H559" s="174" t="str">
        <f>IFERROR(__xludf.DUMMYFUNCTION("""COMPUTED_VALUE"""),"Unlisted")</f>
        <v>Unlisted</v>
      </c>
      <c r="I559" s="174" t="str">
        <f>IFERROR(__xludf.DUMMYFUNCTION("""COMPUTED_VALUE"""),"Unlisted")</f>
        <v>Unlisted</v>
      </c>
      <c r="J559" s="174" t="str">
        <f>IFERROR(__xludf.DUMMYFUNCTION("""COMPUTED_VALUE"""),"Unlisted")</f>
        <v>Unlisted</v>
      </c>
      <c r="K559" s="174" t="str">
        <f>IFERROR(__xludf.DUMMYFUNCTION("""COMPUTED_VALUE"""),"Proficient")</f>
        <v>Proficient</v>
      </c>
      <c r="L559" s="174" t="str">
        <f>IFERROR(__xludf.DUMMYFUNCTION("""COMPUTED_VALUE"""),"Unlisted")</f>
        <v>Unlisted</v>
      </c>
      <c r="M559" s="174" t="str">
        <f>IFERROR(__xludf.DUMMYFUNCTION("""COMPUTED_VALUE"""),"Unlisted")</f>
        <v>Unlisted</v>
      </c>
      <c r="N559" s="174" t="str">
        <f>IFERROR(__xludf.DUMMYFUNCTION("""COMPUTED_VALUE"""),"Unlisted")</f>
        <v>Unlisted</v>
      </c>
      <c r="O559" s="174" t="str">
        <f>IFERROR(__xludf.DUMMYFUNCTION("""COMPUTED_VALUE"""),"Proficient")</f>
        <v>Proficient</v>
      </c>
      <c r="P559" s="174" t="str">
        <f>IFERROR(__xludf.DUMMYFUNCTION("""COMPUTED_VALUE"""),"Unlisted")</f>
        <v>Unlisted</v>
      </c>
      <c r="Q559" s="174" t="str">
        <f>IFERROR(__xludf.DUMMYFUNCTION("""COMPUTED_VALUE"""),"Unlisted")</f>
        <v>Unlisted</v>
      </c>
      <c r="R559" s="174" t="str">
        <f>IFERROR(__xludf.DUMMYFUNCTION("""COMPUTED_VALUE"""),"Unlisted")</f>
        <v>Unlisted</v>
      </c>
    </row>
    <row r="560">
      <c r="A560" s="255" t="str">
        <f>IFERROR(__xludf.DUMMYFUNCTION("""COMPUTED_VALUE"""),"Forretress")</f>
        <v>Forretress</v>
      </c>
      <c r="B560" s="174" t="str">
        <f>IFERROR(__xludf.DUMMYFUNCTION("""COMPUTED_VALUE"""),"Unlisted")</f>
        <v>Unlisted</v>
      </c>
      <c r="C560" s="174" t="str">
        <f>IFERROR(__xludf.DUMMYFUNCTION("""COMPUTED_VALUE"""),"Unlisted")</f>
        <v>Unlisted</v>
      </c>
      <c r="D560" s="174" t="str">
        <f>IFERROR(__xludf.DUMMYFUNCTION("""COMPUTED_VALUE"""),"Unlisted")</f>
        <v>Unlisted</v>
      </c>
      <c r="E560" s="174" t="str">
        <f>IFERROR(__xludf.DUMMYFUNCTION("""COMPUTED_VALUE"""),"Unlisted")</f>
        <v>Unlisted</v>
      </c>
      <c r="F560" s="174" t="str">
        <f>IFERROR(__xludf.DUMMYFUNCTION("""COMPUTED_VALUE"""),"Unlisted")</f>
        <v>Unlisted</v>
      </c>
      <c r="G560" s="174" t="str">
        <f>IFERROR(__xludf.DUMMYFUNCTION("""COMPUTED_VALUE"""),"Unlisted")</f>
        <v>Unlisted</v>
      </c>
      <c r="H560" s="174" t="str">
        <f>IFERROR(__xludf.DUMMYFUNCTION("""COMPUTED_VALUE"""),"Unlisted")</f>
        <v>Unlisted</v>
      </c>
      <c r="I560" s="174" t="str">
        <f>IFERROR(__xludf.DUMMYFUNCTION("""COMPUTED_VALUE"""),"Unlisted")</f>
        <v>Unlisted</v>
      </c>
      <c r="J560" s="174" t="str">
        <f>IFERROR(__xludf.DUMMYFUNCTION("""COMPUTED_VALUE"""),"Unlisted")</f>
        <v>Unlisted</v>
      </c>
      <c r="K560" s="174" t="str">
        <f>IFERROR(__xludf.DUMMYFUNCTION("""COMPUTED_VALUE"""),"Proficient")</f>
        <v>Proficient</v>
      </c>
      <c r="L560" s="174" t="str">
        <f>IFERROR(__xludf.DUMMYFUNCTION("""COMPUTED_VALUE"""),"Unlisted")</f>
        <v>Unlisted</v>
      </c>
      <c r="M560" s="174" t="str">
        <f>IFERROR(__xludf.DUMMYFUNCTION("""COMPUTED_VALUE"""),"Unlisted")</f>
        <v>Unlisted</v>
      </c>
      <c r="N560" s="174" t="str">
        <f>IFERROR(__xludf.DUMMYFUNCTION("""COMPUTED_VALUE"""),"Unlisted")</f>
        <v>Unlisted</v>
      </c>
      <c r="O560" s="174" t="str">
        <f>IFERROR(__xludf.DUMMYFUNCTION("""COMPUTED_VALUE"""),"Proficient")</f>
        <v>Proficient</v>
      </c>
      <c r="P560" s="174" t="str">
        <f>IFERROR(__xludf.DUMMYFUNCTION("""COMPUTED_VALUE"""),"Unlisted")</f>
        <v>Unlisted</v>
      </c>
      <c r="Q560" s="174" t="str">
        <f>IFERROR(__xludf.DUMMYFUNCTION("""COMPUTED_VALUE"""),"Unlisted")</f>
        <v>Unlisted</v>
      </c>
      <c r="R560" s="174" t="str">
        <f>IFERROR(__xludf.DUMMYFUNCTION("""COMPUTED_VALUE"""),"Unlisted")</f>
        <v>Unlisted</v>
      </c>
    </row>
    <row r="561">
      <c r="A561" s="255" t="str">
        <f>IFERROR(__xludf.DUMMYFUNCTION("""COMPUTED_VALUE"""),"Surskit")</f>
        <v>Surskit</v>
      </c>
      <c r="B561" s="174" t="str">
        <f>IFERROR(__xludf.DUMMYFUNCTION("""COMPUTED_VALUE"""),"Proficient")</f>
        <v>Proficient</v>
      </c>
      <c r="C561" s="174" t="str">
        <f>IFERROR(__xludf.DUMMYFUNCTION("""COMPUTED_VALUE"""),"Unlisted")</f>
        <v>Unlisted</v>
      </c>
      <c r="D561" s="174" t="str">
        <f>IFERROR(__xludf.DUMMYFUNCTION("""COMPUTED_VALUE"""),"Unlisted")</f>
        <v>Unlisted</v>
      </c>
      <c r="E561" s="174" t="str">
        <f>IFERROR(__xludf.DUMMYFUNCTION("""COMPUTED_VALUE"""),"Unlisted")</f>
        <v>Unlisted</v>
      </c>
      <c r="F561" s="174" t="str">
        <f>IFERROR(__xludf.DUMMYFUNCTION("""COMPUTED_VALUE"""),"Unlisted")</f>
        <v>Unlisted</v>
      </c>
      <c r="G561" s="174" t="str">
        <f>IFERROR(__xludf.DUMMYFUNCTION("""COMPUTED_VALUE"""),"Unlisted")</f>
        <v>Unlisted</v>
      </c>
      <c r="H561" s="174" t="str">
        <f>IFERROR(__xludf.DUMMYFUNCTION("""COMPUTED_VALUE"""),"Unlisted")</f>
        <v>Unlisted</v>
      </c>
      <c r="I561" s="174" t="str">
        <f>IFERROR(__xludf.DUMMYFUNCTION("""COMPUTED_VALUE"""),"Unlisted")</f>
        <v>Unlisted</v>
      </c>
      <c r="J561" s="174" t="str">
        <f>IFERROR(__xludf.DUMMYFUNCTION("""COMPUTED_VALUE"""),"Unlisted")</f>
        <v>Unlisted</v>
      </c>
      <c r="K561" s="174" t="str">
        <f>IFERROR(__xludf.DUMMYFUNCTION("""COMPUTED_VALUE"""),"Unlisted")</f>
        <v>Unlisted</v>
      </c>
      <c r="L561" s="174" t="str">
        <f>IFERROR(__xludf.DUMMYFUNCTION("""COMPUTED_VALUE"""),"Proficient")</f>
        <v>Proficient</v>
      </c>
      <c r="M561" s="174" t="str">
        <f>IFERROR(__xludf.DUMMYFUNCTION("""COMPUTED_VALUE"""),"Unlisted")</f>
        <v>Unlisted</v>
      </c>
      <c r="N561" s="174" t="str">
        <f>IFERROR(__xludf.DUMMYFUNCTION("""COMPUTED_VALUE"""),"Unlisted")</f>
        <v>Unlisted</v>
      </c>
      <c r="O561" s="174" t="str">
        <f>IFERROR(__xludf.DUMMYFUNCTION("""COMPUTED_VALUE"""),"Unlisted")</f>
        <v>Unlisted</v>
      </c>
      <c r="P561" s="174" t="str">
        <f>IFERROR(__xludf.DUMMYFUNCTION("""COMPUTED_VALUE"""),"Unlisted")</f>
        <v>Unlisted</v>
      </c>
      <c r="Q561" s="174" t="str">
        <f>IFERROR(__xludf.DUMMYFUNCTION("""COMPUTED_VALUE"""),"Unlisted")</f>
        <v>Unlisted</v>
      </c>
      <c r="R561" s="174" t="str">
        <f>IFERROR(__xludf.DUMMYFUNCTION("""COMPUTED_VALUE"""),"Unlisted")</f>
        <v>Unlisted</v>
      </c>
    </row>
    <row r="562">
      <c r="A562" s="255" t="str">
        <f>IFERROR(__xludf.DUMMYFUNCTION("""COMPUTED_VALUE"""),"Masquerain")</f>
        <v>Masquerain</v>
      </c>
      <c r="B562" s="174" t="str">
        <f>IFERROR(__xludf.DUMMYFUNCTION("""COMPUTED_VALUE"""),"Proficient")</f>
        <v>Proficient</v>
      </c>
      <c r="C562" s="174" t="str">
        <f>IFERROR(__xludf.DUMMYFUNCTION("""COMPUTED_VALUE"""),"Unlisted")</f>
        <v>Unlisted</v>
      </c>
      <c r="D562" s="174" t="str">
        <f>IFERROR(__xludf.DUMMYFUNCTION("""COMPUTED_VALUE"""),"Unlisted")</f>
        <v>Unlisted</v>
      </c>
      <c r="E562" s="174" t="str">
        <f>IFERROR(__xludf.DUMMYFUNCTION("""COMPUTED_VALUE"""),"Unlisted")</f>
        <v>Unlisted</v>
      </c>
      <c r="F562" s="174" t="str">
        <f>IFERROR(__xludf.DUMMYFUNCTION("""COMPUTED_VALUE"""),"Unlisted")</f>
        <v>Unlisted</v>
      </c>
      <c r="G562" s="174" t="str">
        <f>IFERROR(__xludf.DUMMYFUNCTION("""COMPUTED_VALUE"""),"Unlisted")</f>
        <v>Unlisted</v>
      </c>
      <c r="H562" s="174" t="str">
        <f>IFERROR(__xludf.DUMMYFUNCTION("""COMPUTED_VALUE"""),"Unlisted")</f>
        <v>Unlisted</v>
      </c>
      <c r="I562" s="174" t="str">
        <f>IFERROR(__xludf.DUMMYFUNCTION("""COMPUTED_VALUE"""),"Unlisted")</f>
        <v>Unlisted</v>
      </c>
      <c r="J562" s="174" t="str">
        <f>IFERROR(__xludf.DUMMYFUNCTION("""COMPUTED_VALUE"""),"Unlisted")</f>
        <v>Unlisted</v>
      </c>
      <c r="K562" s="174" t="str">
        <f>IFERROR(__xludf.DUMMYFUNCTION("""COMPUTED_VALUE"""),"Unlisted")</f>
        <v>Unlisted</v>
      </c>
      <c r="L562" s="174" t="str">
        <f>IFERROR(__xludf.DUMMYFUNCTION("""COMPUTED_VALUE"""),"Proficient")</f>
        <v>Proficient</v>
      </c>
      <c r="M562" s="174" t="str">
        <f>IFERROR(__xludf.DUMMYFUNCTION("""COMPUTED_VALUE"""),"Unlisted")</f>
        <v>Unlisted</v>
      </c>
      <c r="N562" s="174" t="str">
        <f>IFERROR(__xludf.DUMMYFUNCTION("""COMPUTED_VALUE"""),"Unlisted")</f>
        <v>Unlisted</v>
      </c>
      <c r="O562" s="174" t="str">
        <f>IFERROR(__xludf.DUMMYFUNCTION("""COMPUTED_VALUE"""),"Unlisted")</f>
        <v>Unlisted</v>
      </c>
      <c r="P562" s="174" t="str">
        <f>IFERROR(__xludf.DUMMYFUNCTION("""COMPUTED_VALUE"""),"Unlisted")</f>
        <v>Unlisted</v>
      </c>
      <c r="Q562" s="174" t="str">
        <f>IFERROR(__xludf.DUMMYFUNCTION("""COMPUTED_VALUE"""),"Unlisted")</f>
        <v>Unlisted</v>
      </c>
      <c r="R562" s="174" t="str">
        <f>IFERROR(__xludf.DUMMYFUNCTION("""COMPUTED_VALUE"""),"Unlisted")</f>
        <v>Unlisted</v>
      </c>
    </row>
    <row r="563">
      <c r="A563" s="255" t="str">
        <f>IFERROR(__xludf.DUMMYFUNCTION("""COMPUTED_VALUE"""),"Nincada")</f>
        <v>Nincada</v>
      </c>
      <c r="B563" s="174" t="str">
        <f>IFERROR(__xludf.DUMMYFUNCTION("""COMPUTED_VALUE"""),"Mastered")</f>
        <v>Mastered</v>
      </c>
      <c r="C563" s="174" t="str">
        <f>IFERROR(__xludf.DUMMYFUNCTION("""COMPUTED_VALUE"""),"Inept")</f>
        <v>Inept</v>
      </c>
      <c r="D563" s="174" t="str">
        <f>IFERROR(__xludf.DUMMYFUNCTION("""COMPUTED_VALUE"""),"Unlisted")</f>
        <v>Unlisted</v>
      </c>
      <c r="E563" s="174" t="str">
        <f>IFERROR(__xludf.DUMMYFUNCTION("""COMPUTED_VALUE"""),"Unlisted")</f>
        <v>Unlisted</v>
      </c>
      <c r="F563" s="174" t="str">
        <f>IFERROR(__xludf.DUMMYFUNCTION("""COMPUTED_VALUE"""),"Unlisted")</f>
        <v>Unlisted</v>
      </c>
      <c r="G563" s="174" t="str">
        <f>IFERROR(__xludf.DUMMYFUNCTION("""COMPUTED_VALUE"""),"Unlisted")</f>
        <v>Unlisted</v>
      </c>
      <c r="H563" s="174" t="str">
        <f>IFERROR(__xludf.DUMMYFUNCTION("""COMPUTED_VALUE"""),"Unlisted")</f>
        <v>Unlisted</v>
      </c>
      <c r="I563" s="174" t="str">
        <f>IFERROR(__xludf.DUMMYFUNCTION("""COMPUTED_VALUE"""),"Unlisted")</f>
        <v>Unlisted</v>
      </c>
      <c r="J563" s="174" t="str">
        <f>IFERROR(__xludf.DUMMYFUNCTION("""COMPUTED_VALUE"""),"Unlisted")</f>
        <v>Unlisted</v>
      </c>
      <c r="K563" s="174" t="str">
        <f>IFERROR(__xludf.DUMMYFUNCTION("""COMPUTED_VALUE"""),"Unlisted")</f>
        <v>Unlisted</v>
      </c>
      <c r="L563" s="174" t="str">
        <f>IFERROR(__xludf.DUMMYFUNCTION("""COMPUTED_VALUE"""),"Proficient")</f>
        <v>Proficient</v>
      </c>
      <c r="M563" s="174" t="str">
        <f>IFERROR(__xludf.DUMMYFUNCTION("""COMPUTED_VALUE"""),"Unlisted")</f>
        <v>Unlisted</v>
      </c>
      <c r="N563" s="174" t="str">
        <f>IFERROR(__xludf.DUMMYFUNCTION("""COMPUTED_VALUE"""),"Unlisted")</f>
        <v>Unlisted</v>
      </c>
      <c r="O563" s="174" t="str">
        <f>IFERROR(__xludf.DUMMYFUNCTION("""COMPUTED_VALUE"""),"Proficient")</f>
        <v>Proficient</v>
      </c>
      <c r="P563" s="174" t="str">
        <f>IFERROR(__xludf.DUMMYFUNCTION("""COMPUTED_VALUE"""),"Unlisted")</f>
        <v>Unlisted</v>
      </c>
      <c r="Q563" s="174" t="str">
        <f>IFERROR(__xludf.DUMMYFUNCTION("""COMPUTED_VALUE"""),"Unlisted")</f>
        <v>Unlisted</v>
      </c>
      <c r="R563" s="174" t="str">
        <f>IFERROR(__xludf.DUMMYFUNCTION("""COMPUTED_VALUE"""),"Unlisted")</f>
        <v>Unlisted</v>
      </c>
    </row>
    <row r="564">
      <c r="A564" s="255" t="str">
        <f>IFERROR(__xludf.DUMMYFUNCTION("""COMPUTED_VALUE"""),"Ninjask")</f>
        <v>Ninjask</v>
      </c>
      <c r="B564" s="174" t="str">
        <f>IFERROR(__xludf.DUMMYFUNCTION("""COMPUTED_VALUE"""),"Mastered")</f>
        <v>Mastered</v>
      </c>
      <c r="C564" s="174" t="str">
        <f>IFERROR(__xludf.DUMMYFUNCTION("""COMPUTED_VALUE"""),"Unlisted")</f>
        <v>Unlisted</v>
      </c>
      <c r="D564" s="174" t="str">
        <f>IFERROR(__xludf.DUMMYFUNCTION("""COMPUTED_VALUE"""),"Unlisted")</f>
        <v>Unlisted</v>
      </c>
      <c r="E564" s="174" t="str">
        <f>IFERROR(__xludf.DUMMYFUNCTION("""COMPUTED_VALUE"""),"Proficient")</f>
        <v>Proficient</v>
      </c>
      <c r="F564" s="174" t="str">
        <f>IFERROR(__xludf.DUMMYFUNCTION("""COMPUTED_VALUE"""),"Unlisted")</f>
        <v>Unlisted</v>
      </c>
      <c r="G564" s="174" t="str">
        <f>IFERROR(__xludf.DUMMYFUNCTION("""COMPUTED_VALUE"""),"Unlisted")</f>
        <v>Unlisted</v>
      </c>
      <c r="H564" s="174" t="str">
        <f>IFERROR(__xludf.DUMMYFUNCTION("""COMPUTED_VALUE"""),"Unlisted")</f>
        <v>Unlisted</v>
      </c>
      <c r="I564" s="174" t="str">
        <f>IFERROR(__xludf.DUMMYFUNCTION("""COMPUTED_VALUE"""),"Unlisted")</f>
        <v>Unlisted</v>
      </c>
      <c r="J564" s="174" t="str">
        <f>IFERROR(__xludf.DUMMYFUNCTION("""COMPUTED_VALUE"""),"Unlisted")</f>
        <v>Unlisted</v>
      </c>
      <c r="K564" s="174" t="str">
        <f>IFERROR(__xludf.DUMMYFUNCTION("""COMPUTED_VALUE"""),"Unlisted")</f>
        <v>Unlisted</v>
      </c>
      <c r="L564" s="174" t="str">
        <f>IFERROR(__xludf.DUMMYFUNCTION("""COMPUTED_VALUE"""),"Proficient")</f>
        <v>Proficient</v>
      </c>
      <c r="M564" s="174" t="str">
        <f>IFERROR(__xludf.DUMMYFUNCTION("""COMPUTED_VALUE"""),"Unlisted")</f>
        <v>Unlisted</v>
      </c>
      <c r="N564" s="174" t="str">
        <f>IFERROR(__xludf.DUMMYFUNCTION("""COMPUTED_VALUE"""),"Unlisted")</f>
        <v>Unlisted</v>
      </c>
      <c r="O564" s="174" t="str">
        <f>IFERROR(__xludf.DUMMYFUNCTION("""COMPUTED_VALUE"""),"Unlisted")</f>
        <v>Unlisted</v>
      </c>
      <c r="P564" s="174" t="str">
        <f>IFERROR(__xludf.DUMMYFUNCTION("""COMPUTED_VALUE"""),"Unlisted")</f>
        <v>Unlisted</v>
      </c>
      <c r="Q564" s="174" t="str">
        <f>IFERROR(__xludf.DUMMYFUNCTION("""COMPUTED_VALUE"""),"Unlisted")</f>
        <v>Unlisted</v>
      </c>
      <c r="R564" s="174" t="str">
        <f>IFERROR(__xludf.DUMMYFUNCTION("""COMPUTED_VALUE"""),"Unlisted")</f>
        <v>Unlisted</v>
      </c>
    </row>
    <row r="565">
      <c r="A565" s="255" t="str">
        <f>IFERROR(__xludf.DUMMYFUNCTION("""COMPUTED_VALUE"""),"Shedinja")</f>
        <v>Shedinja</v>
      </c>
      <c r="B565" s="174" t="str">
        <f>IFERROR(__xludf.DUMMYFUNCTION("""COMPUTED_VALUE"""),"Mastered")</f>
        <v>Mastered</v>
      </c>
      <c r="C565" s="174" t="str">
        <f>IFERROR(__xludf.DUMMYFUNCTION("""COMPUTED_VALUE"""),"Unlisted")</f>
        <v>Unlisted</v>
      </c>
      <c r="D565" s="174" t="str">
        <f>IFERROR(__xludf.DUMMYFUNCTION("""COMPUTED_VALUE"""),"Unlisted")</f>
        <v>Unlisted</v>
      </c>
      <c r="E565" s="174" t="str">
        <f>IFERROR(__xludf.DUMMYFUNCTION("""COMPUTED_VALUE"""),"Unlisted")</f>
        <v>Unlisted</v>
      </c>
      <c r="F565" s="174" t="str">
        <f>IFERROR(__xludf.DUMMYFUNCTION("""COMPUTED_VALUE"""),"Unlisted")</f>
        <v>Unlisted</v>
      </c>
      <c r="G565" s="174" t="str">
        <f>IFERROR(__xludf.DUMMYFUNCTION("""COMPUTED_VALUE"""),"Proficient")</f>
        <v>Proficient</v>
      </c>
      <c r="H565" s="174" t="str">
        <f>IFERROR(__xludf.DUMMYFUNCTION("""COMPUTED_VALUE"""),"Unlisted")</f>
        <v>Unlisted</v>
      </c>
      <c r="I565" s="174" t="str">
        <f>IFERROR(__xludf.DUMMYFUNCTION("""COMPUTED_VALUE"""),"Unlisted")</f>
        <v>Unlisted</v>
      </c>
      <c r="J565" s="174" t="str">
        <f>IFERROR(__xludf.DUMMYFUNCTION("""COMPUTED_VALUE"""),"Unlisted")</f>
        <v>Unlisted</v>
      </c>
      <c r="K565" s="174" t="str">
        <f>IFERROR(__xludf.DUMMYFUNCTION("""COMPUTED_VALUE"""),"Unlisted")</f>
        <v>Unlisted</v>
      </c>
      <c r="L565" s="174" t="str">
        <f>IFERROR(__xludf.DUMMYFUNCTION("""COMPUTED_VALUE"""),"Proficient")</f>
        <v>Proficient</v>
      </c>
      <c r="M565" s="174" t="str">
        <f>IFERROR(__xludf.DUMMYFUNCTION("""COMPUTED_VALUE"""),"Unlisted")</f>
        <v>Unlisted</v>
      </c>
      <c r="N565" s="174" t="str">
        <f>IFERROR(__xludf.DUMMYFUNCTION("""COMPUTED_VALUE"""),"Unlisted")</f>
        <v>Unlisted</v>
      </c>
      <c r="O565" s="174" t="str">
        <f>IFERROR(__xludf.DUMMYFUNCTION("""COMPUTED_VALUE"""),"Unlisted")</f>
        <v>Unlisted</v>
      </c>
      <c r="P565" s="174" t="str">
        <f>IFERROR(__xludf.DUMMYFUNCTION("""COMPUTED_VALUE"""),"Unlisted")</f>
        <v>Unlisted</v>
      </c>
      <c r="Q565" s="174" t="str">
        <f>IFERROR(__xludf.DUMMYFUNCTION("""COMPUTED_VALUE"""),"Unlisted")</f>
        <v>Unlisted</v>
      </c>
      <c r="R565" s="174" t="str">
        <f>IFERROR(__xludf.DUMMYFUNCTION("""COMPUTED_VALUE"""),"Unlisted")</f>
        <v>Unlisted</v>
      </c>
    </row>
    <row r="566">
      <c r="A566" s="255" t="str">
        <f>IFERROR(__xludf.DUMMYFUNCTION("""COMPUTED_VALUE"""),"Kricketot")</f>
        <v>Kricketot</v>
      </c>
      <c r="B566" s="174" t="str">
        <f>IFERROR(__xludf.DUMMYFUNCTION("""COMPUTED_VALUE"""),"Proficient")</f>
        <v>Proficient</v>
      </c>
      <c r="C566" s="174" t="str">
        <f>IFERROR(__xludf.DUMMYFUNCTION("""COMPUTED_VALUE"""),"Unlisted")</f>
        <v>Unlisted</v>
      </c>
      <c r="D566" s="174" t="str">
        <f>IFERROR(__xludf.DUMMYFUNCTION("""COMPUTED_VALUE"""),"Unlisted")</f>
        <v>Unlisted</v>
      </c>
      <c r="E566" s="174" t="str">
        <f>IFERROR(__xludf.DUMMYFUNCTION("""COMPUTED_VALUE"""),"Inept")</f>
        <v>Inept</v>
      </c>
      <c r="F566" s="174" t="str">
        <f>IFERROR(__xludf.DUMMYFUNCTION("""COMPUTED_VALUE"""),"Unlisted")</f>
        <v>Unlisted</v>
      </c>
      <c r="G566" s="174" t="str">
        <f>IFERROR(__xludf.DUMMYFUNCTION("""COMPUTED_VALUE"""),"Proficient")</f>
        <v>Proficient</v>
      </c>
      <c r="H566" s="174" t="str">
        <f>IFERROR(__xludf.DUMMYFUNCTION("""COMPUTED_VALUE"""),"Unlisted")</f>
        <v>Unlisted</v>
      </c>
      <c r="I566" s="174" t="str">
        <f>IFERROR(__xludf.DUMMYFUNCTION("""COMPUTED_VALUE"""),"Unlisted")</f>
        <v>Unlisted</v>
      </c>
      <c r="J566" s="174" t="str">
        <f>IFERROR(__xludf.DUMMYFUNCTION("""COMPUTED_VALUE"""),"Unlisted")</f>
        <v>Unlisted</v>
      </c>
      <c r="K566" s="174" t="str">
        <f>IFERROR(__xludf.DUMMYFUNCTION("""COMPUTED_VALUE"""),"Unlisted")</f>
        <v>Unlisted</v>
      </c>
      <c r="L566" s="174" t="str">
        <f>IFERROR(__xludf.DUMMYFUNCTION("""COMPUTED_VALUE"""),"Unlisted")</f>
        <v>Unlisted</v>
      </c>
      <c r="M566" s="174" t="str">
        <f>IFERROR(__xludf.DUMMYFUNCTION("""COMPUTED_VALUE"""),"Unlisted")</f>
        <v>Unlisted</v>
      </c>
      <c r="N566" s="174" t="str">
        <f>IFERROR(__xludf.DUMMYFUNCTION("""COMPUTED_VALUE"""),"Unlisted")</f>
        <v>Unlisted</v>
      </c>
      <c r="O566" s="174" t="str">
        <f>IFERROR(__xludf.DUMMYFUNCTION("""COMPUTED_VALUE"""),"Unlisted")</f>
        <v>Unlisted</v>
      </c>
      <c r="P566" s="174" t="str">
        <f>IFERROR(__xludf.DUMMYFUNCTION("""COMPUTED_VALUE"""),"Unlisted")</f>
        <v>Unlisted</v>
      </c>
      <c r="Q566" s="174" t="str">
        <f>IFERROR(__xludf.DUMMYFUNCTION("""COMPUTED_VALUE"""),"Unlisted")</f>
        <v>Unlisted</v>
      </c>
      <c r="R566" s="174" t="str">
        <f>IFERROR(__xludf.DUMMYFUNCTION("""COMPUTED_VALUE"""),"Unlisted")</f>
        <v>Unlisted</v>
      </c>
    </row>
    <row r="567">
      <c r="A567" s="255" t="str">
        <f>IFERROR(__xludf.DUMMYFUNCTION("""COMPUTED_VALUE"""),"Kricketune")</f>
        <v>Kricketune</v>
      </c>
      <c r="B567" s="174" t="str">
        <f>IFERROR(__xludf.DUMMYFUNCTION("""COMPUTED_VALUE"""),"Proficient")</f>
        <v>Proficient</v>
      </c>
      <c r="C567" s="174" t="str">
        <f>IFERROR(__xludf.DUMMYFUNCTION("""COMPUTED_VALUE"""),"Unlisted")</f>
        <v>Unlisted</v>
      </c>
      <c r="D567" s="174" t="str">
        <f>IFERROR(__xludf.DUMMYFUNCTION("""COMPUTED_VALUE"""),"Unlisted")</f>
        <v>Unlisted</v>
      </c>
      <c r="E567" s="174" t="str">
        <f>IFERROR(__xludf.DUMMYFUNCTION("""COMPUTED_VALUE"""),"Unlisted")</f>
        <v>Unlisted</v>
      </c>
      <c r="F567" s="174" t="str">
        <f>IFERROR(__xludf.DUMMYFUNCTION("""COMPUTED_VALUE"""),"Unlisted")</f>
        <v>Unlisted</v>
      </c>
      <c r="G567" s="174" t="str">
        <f>IFERROR(__xludf.DUMMYFUNCTION("""COMPUTED_VALUE"""),"Proficient")</f>
        <v>Proficient</v>
      </c>
      <c r="H567" s="174" t="str">
        <f>IFERROR(__xludf.DUMMYFUNCTION("""COMPUTED_VALUE"""),"Unlisted")</f>
        <v>Unlisted</v>
      </c>
      <c r="I567" s="174" t="str">
        <f>IFERROR(__xludf.DUMMYFUNCTION("""COMPUTED_VALUE"""),"Unlisted")</f>
        <v>Unlisted</v>
      </c>
      <c r="J567" s="174" t="str">
        <f>IFERROR(__xludf.DUMMYFUNCTION("""COMPUTED_VALUE"""),"Unlisted")</f>
        <v>Unlisted</v>
      </c>
      <c r="K567" s="174" t="str">
        <f>IFERROR(__xludf.DUMMYFUNCTION("""COMPUTED_VALUE"""),"Unlisted")</f>
        <v>Unlisted</v>
      </c>
      <c r="L567" s="174" t="str">
        <f>IFERROR(__xludf.DUMMYFUNCTION("""COMPUTED_VALUE"""),"Unlisted")</f>
        <v>Unlisted</v>
      </c>
      <c r="M567" s="174" t="str">
        <f>IFERROR(__xludf.DUMMYFUNCTION("""COMPUTED_VALUE"""),"Unlisted")</f>
        <v>Unlisted</v>
      </c>
      <c r="N567" s="174" t="str">
        <f>IFERROR(__xludf.DUMMYFUNCTION("""COMPUTED_VALUE"""),"Unlisted")</f>
        <v>Unlisted</v>
      </c>
      <c r="O567" s="174" t="str">
        <f>IFERROR(__xludf.DUMMYFUNCTION("""COMPUTED_VALUE"""),"Unlisted")</f>
        <v>Unlisted</v>
      </c>
      <c r="P567" s="174" t="str">
        <f>IFERROR(__xludf.DUMMYFUNCTION("""COMPUTED_VALUE"""),"Unlisted")</f>
        <v>Unlisted</v>
      </c>
      <c r="Q567" s="174" t="str">
        <f>IFERROR(__xludf.DUMMYFUNCTION("""COMPUTED_VALUE"""),"Unlisted")</f>
        <v>Unlisted</v>
      </c>
      <c r="R567" s="174" t="str">
        <f>IFERROR(__xludf.DUMMYFUNCTION("""COMPUTED_VALUE"""),"Unlisted")</f>
        <v>Unlisted</v>
      </c>
    </row>
    <row r="568">
      <c r="A568" s="255" t="str">
        <f>IFERROR(__xludf.DUMMYFUNCTION("""COMPUTED_VALUE"""),"Burmy")</f>
        <v>Burmy</v>
      </c>
      <c r="B568" s="174" t="str">
        <f>IFERROR(__xludf.DUMMYFUNCTION("""COMPUTED_VALUE"""),"Unlisted")</f>
        <v>Unlisted</v>
      </c>
      <c r="C568" s="174" t="str">
        <f>IFERROR(__xludf.DUMMYFUNCTION("""COMPUTED_VALUE"""),"Unlisted")</f>
        <v>Unlisted</v>
      </c>
      <c r="D568" s="174" t="str">
        <f>IFERROR(__xludf.DUMMYFUNCTION("""COMPUTED_VALUE"""),"Unlisted")</f>
        <v>Unlisted</v>
      </c>
      <c r="E568" s="174" t="str">
        <f>IFERROR(__xludf.DUMMYFUNCTION("""COMPUTED_VALUE"""),"Unlisted")</f>
        <v>Unlisted</v>
      </c>
      <c r="F568" s="174" t="str">
        <f>IFERROR(__xludf.DUMMYFUNCTION("""COMPUTED_VALUE"""),"Unlisted")</f>
        <v>Unlisted</v>
      </c>
      <c r="G568" s="174" t="str">
        <f>IFERROR(__xludf.DUMMYFUNCTION("""COMPUTED_VALUE"""),"Unlisted")</f>
        <v>Unlisted</v>
      </c>
      <c r="H568" s="174" t="str">
        <f>IFERROR(__xludf.DUMMYFUNCTION("""COMPUTED_VALUE"""),"Unlisted")</f>
        <v>Unlisted</v>
      </c>
      <c r="I568" s="174" t="str">
        <f>IFERROR(__xludf.DUMMYFUNCTION("""COMPUTED_VALUE"""),"Unlisted")</f>
        <v>Unlisted</v>
      </c>
      <c r="J568" s="174" t="str">
        <f>IFERROR(__xludf.DUMMYFUNCTION("""COMPUTED_VALUE"""),"Unlisted")</f>
        <v>Unlisted</v>
      </c>
      <c r="K568" s="174" t="str">
        <f>IFERROR(__xludf.DUMMYFUNCTION("""COMPUTED_VALUE"""),"Proficient")</f>
        <v>Proficient</v>
      </c>
      <c r="L568" s="174" t="str">
        <f>IFERROR(__xludf.DUMMYFUNCTION("""COMPUTED_VALUE"""),"Proficient")</f>
        <v>Proficient</v>
      </c>
      <c r="M568" s="174" t="str">
        <f>IFERROR(__xludf.DUMMYFUNCTION("""COMPUTED_VALUE"""),"Unlisted")</f>
        <v>Unlisted</v>
      </c>
      <c r="N568" s="174" t="str">
        <f>IFERROR(__xludf.DUMMYFUNCTION("""COMPUTED_VALUE"""),"Unlisted")</f>
        <v>Unlisted</v>
      </c>
      <c r="O568" s="174" t="str">
        <f>IFERROR(__xludf.DUMMYFUNCTION("""COMPUTED_VALUE"""),"Mastered")</f>
        <v>Mastered</v>
      </c>
      <c r="P568" s="174" t="str">
        <f>IFERROR(__xludf.DUMMYFUNCTION("""COMPUTED_VALUE"""),"Unlisted")</f>
        <v>Unlisted</v>
      </c>
      <c r="Q568" s="174" t="str">
        <f>IFERROR(__xludf.DUMMYFUNCTION("""COMPUTED_VALUE"""),"Unlisted")</f>
        <v>Unlisted</v>
      </c>
      <c r="R568" s="174" t="str">
        <f>IFERROR(__xludf.DUMMYFUNCTION("""COMPUTED_VALUE"""),"Unlisted")</f>
        <v>Unlisted</v>
      </c>
    </row>
    <row r="569">
      <c r="A569" s="255" t="str">
        <f>IFERROR(__xludf.DUMMYFUNCTION("""COMPUTED_VALUE"""),"Wormadam Plant")</f>
        <v>Wormadam Plant</v>
      </c>
      <c r="B569" s="174" t="str">
        <f>IFERROR(__xludf.DUMMYFUNCTION("""COMPUTED_VALUE"""),"Unlisted")</f>
        <v>Unlisted</v>
      </c>
      <c r="C569" s="174" t="str">
        <f>IFERROR(__xludf.DUMMYFUNCTION("""COMPUTED_VALUE"""),"Unlisted")</f>
        <v>Unlisted</v>
      </c>
      <c r="D569" s="174" t="str">
        <f>IFERROR(__xludf.DUMMYFUNCTION("""COMPUTED_VALUE"""),"Unlisted")</f>
        <v>Unlisted</v>
      </c>
      <c r="E569" s="174" t="str">
        <f>IFERROR(__xludf.DUMMYFUNCTION("""COMPUTED_VALUE"""),"Unlisted")</f>
        <v>Unlisted</v>
      </c>
      <c r="F569" s="174" t="str">
        <f>IFERROR(__xludf.DUMMYFUNCTION("""COMPUTED_VALUE"""),"Unlisted")</f>
        <v>Unlisted</v>
      </c>
      <c r="G569" s="174" t="str">
        <f>IFERROR(__xludf.DUMMYFUNCTION("""COMPUTED_VALUE"""),"Unlisted")</f>
        <v>Unlisted</v>
      </c>
      <c r="H569" s="174" t="str">
        <f>IFERROR(__xludf.DUMMYFUNCTION("""COMPUTED_VALUE"""),"Unlisted")</f>
        <v>Unlisted</v>
      </c>
      <c r="I569" s="174" t="str">
        <f>IFERROR(__xludf.DUMMYFUNCTION("""COMPUTED_VALUE"""),"Unlisted")</f>
        <v>Unlisted</v>
      </c>
      <c r="J569" s="174" t="str">
        <f>IFERROR(__xludf.DUMMYFUNCTION("""COMPUTED_VALUE"""),"Unlisted")</f>
        <v>Unlisted</v>
      </c>
      <c r="K569" s="174" t="str">
        <f>IFERROR(__xludf.DUMMYFUNCTION("""COMPUTED_VALUE"""),"Proficient")</f>
        <v>Proficient</v>
      </c>
      <c r="L569" s="174" t="str">
        <f>IFERROR(__xludf.DUMMYFUNCTION("""COMPUTED_VALUE"""),"Proficient")</f>
        <v>Proficient</v>
      </c>
      <c r="M569" s="174" t="str">
        <f>IFERROR(__xludf.DUMMYFUNCTION("""COMPUTED_VALUE"""),"Unlisted")</f>
        <v>Unlisted</v>
      </c>
      <c r="N569" s="174" t="str">
        <f>IFERROR(__xludf.DUMMYFUNCTION("""COMPUTED_VALUE"""),"Unlisted")</f>
        <v>Unlisted</v>
      </c>
      <c r="O569" s="174" t="str">
        <f>IFERROR(__xludf.DUMMYFUNCTION("""COMPUTED_VALUE"""),"Mastered")</f>
        <v>Mastered</v>
      </c>
      <c r="P569" s="174" t="str">
        <f>IFERROR(__xludf.DUMMYFUNCTION("""COMPUTED_VALUE"""),"Unlisted")</f>
        <v>Unlisted</v>
      </c>
      <c r="Q569" s="174" t="str">
        <f>IFERROR(__xludf.DUMMYFUNCTION("""COMPUTED_VALUE"""),"Unlisted")</f>
        <v>Unlisted</v>
      </c>
      <c r="R569" s="174" t="str">
        <f>IFERROR(__xludf.DUMMYFUNCTION("""COMPUTED_VALUE"""),"Unlisted")</f>
        <v>Unlisted</v>
      </c>
    </row>
    <row r="570">
      <c r="A570" s="255" t="str">
        <f>IFERROR(__xludf.DUMMYFUNCTION("""COMPUTED_VALUE"""),"Wormadam Sandy")</f>
        <v>Wormadam Sandy</v>
      </c>
      <c r="B570" s="174" t="str">
        <f>IFERROR(__xludf.DUMMYFUNCTION("""COMPUTED_VALUE"""),"Unlisted")</f>
        <v>Unlisted</v>
      </c>
      <c r="C570" s="174" t="str">
        <f>IFERROR(__xludf.DUMMYFUNCTION("""COMPUTED_VALUE"""),"Unlisted")</f>
        <v>Unlisted</v>
      </c>
      <c r="D570" s="174" t="str">
        <f>IFERROR(__xludf.DUMMYFUNCTION("""COMPUTED_VALUE"""),"Unlisted")</f>
        <v>Unlisted</v>
      </c>
      <c r="E570" s="174" t="str">
        <f>IFERROR(__xludf.DUMMYFUNCTION("""COMPUTED_VALUE"""),"Unlisted")</f>
        <v>Unlisted</v>
      </c>
      <c r="F570" s="174" t="str">
        <f>IFERROR(__xludf.DUMMYFUNCTION("""COMPUTED_VALUE"""),"Unlisted")</f>
        <v>Unlisted</v>
      </c>
      <c r="G570" s="174" t="str">
        <f>IFERROR(__xludf.DUMMYFUNCTION("""COMPUTED_VALUE"""),"Unlisted")</f>
        <v>Unlisted</v>
      </c>
      <c r="H570" s="174" t="str">
        <f>IFERROR(__xludf.DUMMYFUNCTION("""COMPUTED_VALUE"""),"Unlisted")</f>
        <v>Unlisted</v>
      </c>
      <c r="I570" s="174" t="str">
        <f>IFERROR(__xludf.DUMMYFUNCTION("""COMPUTED_VALUE"""),"Unlisted")</f>
        <v>Unlisted</v>
      </c>
      <c r="J570" s="174" t="str">
        <f>IFERROR(__xludf.DUMMYFUNCTION("""COMPUTED_VALUE"""),"Unlisted")</f>
        <v>Unlisted</v>
      </c>
      <c r="K570" s="174" t="str">
        <f>IFERROR(__xludf.DUMMYFUNCTION("""COMPUTED_VALUE"""),"Proficient")</f>
        <v>Proficient</v>
      </c>
      <c r="L570" s="174" t="str">
        <f>IFERROR(__xludf.DUMMYFUNCTION("""COMPUTED_VALUE"""),"Proficient")</f>
        <v>Proficient</v>
      </c>
      <c r="M570" s="174" t="str">
        <f>IFERROR(__xludf.DUMMYFUNCTION("""COMPUTED_VALUE"""),"Unlisted")</f>
        <v>Unlisted</v>
      </c>
      <c r="N570" s="174" t="str">
        <f>IFERROR(__xludf.DUMMYFUNCTION("""COMPUTED_VALUE"""),"Unlisted")</f>
        <v>Unlisted</v>
      </c>
      <c r="O570" s="174" t="str">
        <f>IFERROR(__xludf.DUMMYFUNCTION("""COMPUTED_VALUE"""),"Mastered")</f>
        <v>Mastered</v>
      </c>
      <c r="P570" s="174" t="str">
        <f>IFERROR(__xludf.DUMMYFUNCTION("""COMPUTED_VALUE"""),"Unlisted")</f>
        <v>Unlisted</v>
      </c>
      <c r="Q570" s="174" t="str">
        <f>IFERROR(__xludf.DUMMYFUNCTION("""COMPUTED_VALUE"""),"Unlisted")</f>
        <v>Unlisted</v>
      </c>
      <c r="R570" s="174" t="str">
        <f>IFERROR(__xludf.DUMMYFUNCTION("""COMPUTED_VALUE"""),"Unlisted")</f>
        <v>Unlisted</v>
      </c>
    </row>
    <row r="571">
      <c r="A571" s="255" t="str">
        <f>IFERROR(__xludf.DUMMYFUNCTION("""COMPUTED_VALUE"""),"Wormadam Trash")</f>
        <v>Wormadam Trash</v>
      </c>
      <c r="B571" s="174" t="str">
        <f>IFERROR(__xludf.DUMMYFUNCTION("""COMPUTED_VALUE"""),"Unlisted")</f>
        <v>Unlisted</v>
      </c>
      <c r="C571" s="174" t="str">
        <f>IFERROR(__xludf.DUMMYFUNCTION("""COMPUTED_VALUE"""),"Unlisted")</f>
        <v>Unlisted</v>
      </c>
      <c r="D571" s="174" t="str">
        <f>IFERROR(__xludf.DUMMYFUNCTION("""COMPUTED_VALUE"""),"Unlisted")</f>
        <v>Unlisted</v>
      </c>
      <c r="E571" s="174" t="str">
        <f>IFERROR(__xludf.DUMMYFUNCTION("""COMPUTED_VALUE"""),"Unlisted")</f>
        <v>Unlisted</v>
      </c>
      <c r="F571" s="174" t="str">
        <f>IFERROR(__xludf.DUMMYFUNCTION("""COMPUTED_VALUE"""),"Unlisted")</f>
        <v>Unlisted</v>
      </c>
      <c r="G571" s="174" t="str">
        <f>IFERROR(__xludf.DUMMYFUNCTION("""COMPUTED_VALUE"""),"Unlisted")</f>
        <v>Unlisted</v>
      </c>
      <c r="H571" s="174" t="str">
        <f>IFERROR(__xludf.DUMMYFUNCTION("""COMPUTED_VALUE"""),"Unlisted")</f>
        <v>Unlisted</v>
      </c>
      <c r="I571" s="174" t="str">
        <f>IFERROR(__xludf.DUMMYFUNCTION("""COMPUTED_VALUE"""),"Unlisted")</f>
        <v>Unlisted</v>
      </c>
      <c r="J571" s="174" t="str">
        <f>IFERROR(__xludf.DUMMYFUNCTION("""COMPUTED_VALUE"""),"Unlisted")</f>
        <v>Unlisted</v>
      </c>
      <c r="K571" s="174" t="str">
        <f>IFERROR(__xludf.DUMMYFUNCTION("""COMPUTED_VALUE"""),"Proficient")</f>
        <v>Proficient</v>
      </c>
      <c r="L571" s="174" t="str">
        <f>IFERROR(__xludf.DUMMYFUNCTION("""COMPUTED_VALUE"""),"Proficient")</f>
        <v>Proficient</v>
      </c>
      <c r="M571" s="174" t="str">
        <f>IFERROR(__xludf.DUMMYFUNCTION("""COMPUTED_VALUE"""),"Unlisted")</f>
        <v>Unlisted</v>
      </c>
      <c r="N571" s="174" t="str">
        <f>IFERROR(__xludf.DUMMYFUNCTION("""COMPUTED_VALUE"""),"Unlisted")</f>
        <v>Unlisted</v>
      </c>
      <c r="O571" s="174" t="str">
        <f>IFERROR(__xludf.DUMMYFUNCTION("""COMPUTED_VALUE"""),"Mastered")</f>
        <v>Mastered</v>
      </c>
      <c r="P571" s="174" t="str">
        <f>IFERROR(__xludf.DUMMYFUNCTION("""COMPUTED_VALUE"""),"Unlisted")</f>
        <v>Unlisted</v>
      </c>
      <c r="Q571" s="174" t="str">
        <f>IFERROR(__xludf.DUMMYFUNCTION("""COMPUTED_VALUE"""),"Unlisted")</f>
        <v>Unlisted</v>
      </c>
      <c r="R571" s="174" t="str">
        <f>IFERROR(__xludf.DUMMYFUNCTION("""COMPUTED_VALUE"""),"Unlisted")</f>
        <v>Unlisted</v>
      </c>
    </row>
    <row r="572">
      <c r="A572" s="255" t="str">
        <f>IFERROR(__xludf.DUMMYFUNCTION("""COMPUTED_VALUE"""),"Mothim")</f>
        <v>Mothim</v>
      </c>
      <c r="B572" s="174" t="str">
        <f>IFERROR(__xludf.DUMMYFUNCTION("""COMPUTED_VALUE"""),"Unlisted")</f>
        <v>Unlisted</v>
      </c>
      <c r="C572" s="174" t="str">
        <f>IFERROR(__xludf.DUMMYFUNCTION("""COMPUTED_VALUE"""),"Unlisted")</f>
        <v>Unlisted</v>
      </c>
      <c r="D572" s="174" t="str">
        <f>IFERROR(__xludf.DUMMYFUNCTION("""COMPUTED_VALUE"""),"Unlisted")</f>
        <v>Unlisted</v>
      </c>
      <c r="E572" s="174" t="str">
        <f>IFERROR(__xludf.DUMMYFUNCTION("""COMPUTED_VALUE"""),"Unlisted")</f>
        <v>Unlisted</v>
      </c>
      <c r="F572" s="174" t="str">
        <f>IFERROR(__xludf.DUMMYFUNCTION("""COMPUTED_VALUE"""),"Unlisted")</f>
        <v>Unlisted</v>
      </c>
      <c r="G572" s="174" t="str">
        <f>IFERROR(__xludf.DUMMYFUNCTION("""COMPUTED_VALUE"""),"Unlisted")</f>
        <v>Unlisted</v>
      </c>
      <c r="H572" s="174" t="str">
        <f>IFERROR(__xludf.DUMMYFUNCTION("""COMPUTED_VALUE"""),"Unlisted")</f>
        <v>Unlisted</v>
      </c>
      <c r="I572" s="174" t="str">
        <f>IFERROR(__xludf.DUMMYFUNCTION("""COMPUTED_VALUE"""),"Unlisted")</f>
        <v>Unlisted</v>
      </c>
      <c r="J572" s="174" t="str">
        <f>IFERROR(__xludf.DUMMYFUNCTION("""COMPUTED_VALUE"""),"Unlisted")</f>
        <v>Unlisted</v>
      </c>
      <c r="K572" s="174" t="str">
        <f>IFERROR(__xludf.DUMMYFUNCTION("""COMPUTED_VALUE"""),"Proficient")</f>
        <v>Proficient</v>
      </c>
      <c r="L572" s="174" t="str">
        <f>IFERROR(__xludf.DUMMYFUNCTION("""COMPUTED_VALUE"""),"Proficient")</f>
        <v>Proficient</v>
      </c>
      <c r="M572" s="174" t="str">
        <f>IFERROR(__xludf.DUMMYFUNCTION("""COMPUTED_VALUE"""),"Unlisted")</f>
        <v>Unlisted</v>
      </c>
      <c r="N572" s="174" t="str">
        <f>IFERROR(__xludf.DUMMYFUNCTION("""COMPUTED_VALUE"""),"Unlisted")</f>
        <v>Unlisted</v>
      </c>
      <c r="O572" s="174" t="str">
        <f>IFERROR(__xludf.DUMMYFUNCTION("""COMPUTED_VALUE"""),"Mastered")</f>
        <v>Mastered</v>
      </c>
      <c r="P572" s="174" t="str">
        <f>IFERROR(__xludf.DUMMYFUNCTION("""COMPUTED_VALUE"""),"Unlisted")</f>
        <v>Unlisted</v>
      </c>
      <c r="Q572" s="174" t="str">
        <f>IFERROR(__xludf.DUMMYFUNCTION("""COMPUTED_VALUE"""),"Unlisted")</f>
        <v>Unlisted</v>
      </c>
      <c r="R572" s="174" t="str">
        <f>IFERROR(__xludf.DUMMYFUNCTION("""COMPUTED_VALUE"""),"Unlisted")</f>
        <v>Unlisted</v>
      </c>
    </row>
    <row r="573">
      <c r="A573" s="255" t="str">
        <f>IFERROR(__xludf.DUMMYFUNCTION("""COMPUTED_VALUE"""),"Combee")</f>
        <v>Combee</v>
      </c>
      <c r="B573" s="174" t="str">
        <f>IFERROR(__xludf.DUMMYFUNCTION("""COMPUTED_VALUE"""),"Proficient")</f>
        <v>Proficient</v>
      </c>
      <c r="C573" s="174" t="str">
        <f>IFERROR(__xludf.DUMMYFUNCTION("""COMPUTED_VALUE"""),"Unlisted")</f>
        <v>Unlisted</v>
      </c>
      <c r="D573" s="174" t="str">
        <f>IFERROR(__xludf.DUMMYFUNCTION("""COMPUTED_VALUE"""),"Unlisted")</f>
        <v>Unlisted</v>
      </c>
      <c r="E573" s="174" t="str">
        <f>IFERROR(__xludf.DUMMYFUNCTION("""COMPUTED_VALUE"""),"Inept")</f>
        <v>Inept</v>
      </c>
      <c r="F573" s="174" t="str">
        <f>IFERROR(__xludf.DUMMYFUNCTION("""COMPUTED_VALUE"""),"Unlisted")</f>
        <v>Unlisted</v>
      </c>
      <c r="G573" s="174" t="str">
        <f>IFERROR(__xludf.DUMMYFUNCTION("""COMPUTED_VALUE"""),"Proficient")</f>
        <v>Proficient</v>
      </c>
      <c r="H573" s="174" t="str">
        <f>IFERROR(__xludf.DUMMYFUNCTION("""COMPUTED_VALUE"""),"Unlisted")</f>
        <v>Unlisted</v>
      </c>
      <c r="I573" s="174" t="str">
        <f>IFERROR(__xludf.DUMMYFUNCTION("""COMPUTED_VALUE"""),"Unlisted")</f>
        <v>Unlisted</v>
      </c>
      <c r="J573" s="174" t="str">
        <f>IFERROR(__xludf.DUMMYFUNCTION("""COMPUTED_VALUE"""),"Unlisted")</f>
        <v>Unlisted</v>
      </c>
      <c r="K573" s="174" t="str">
        <f>IFERROR(__xludf.DUMMYFUNCTION("""COMPUTED_VALUE"""),"Unlisted")</f>
        <v>Unlisted</v>
      </c>
      <c r="L573" s="174" t="str">
        <f>IFERROR(__xludf.DUMMYFUNCTION("""COMPUTED_VALUE"""),"Unlisted")</f>
        <v>Unlisted</v>
      </c>
      <c r="M573" s="174" t="str">
        <f>IFERROR(__xludf.DUMMYFUNCTION("""COMPUTED_VALUE"""),"Unlisted")</f>
        <v>Unlisted</v>
      </c>
      <c r="N573" s="174" t="str">
        <f>IFERROR(__xludf.DUMMYFUNCTION("""COMPUTED_VALUE"""),"Unlisted")</f>
        <v>Unlisted</v>
      </c>
      <c r="O573" s="174" t="str">
        <f>IFERROR(__xludf.DUMMYFUNCTION("""COMPUTED_VALUE"""),"Unlisted")</f>
        <v>Unlisted</v>
      </c>
      <c r="P573" s="174" t="str">
        <f>IFERROR(__xludf.DUMMYFUNCTION("""COMPUTED_VALUE"""),"Unlisted")</f>
        <v>Unlisted</v>
      </c>
      <c r="Q573" s="174" t="str">
        <f>IFERROR(__xludf.DUMMYFUNCTION("""COMPUTED_VALUE"""),"Unlisted")</f>
        <v>Unlisted</v>
      </c>
      <c r="R573" s="174" t="str">
        <f>IFERROR(__xludf.DUMMYFUNCTION("""COMPUTED_VALUE"""),"Unlisted")</f>
        <v>Unlisted</v>
      </c>
    </row>
    <row r="574">
      <c r="A574" s="255" t="str">
        <f>IFERROR(__xludf.DUMMYFUNCTION("""COMPUTED_VALUE"""),"Vespiquen")</f>
        <v>Vespiquen</v>
      </c>
      <c r="B574" s="174" t="str">
        <f>IFERROR(__xludf.DUMMYFUNCTION("""COMPUTED_VALUE"""),"Proficient")</f>
        <v>Proficient</v>
      </c>
      <c r="C574" s="174" t="str">
        <f>IFERROR(__xludf.DUMMYFUNCTION("""COMPUTED_VALUE"""),"Unlisted")</f>
        <v>Unlisted</v>
      </c>
      <c r="D574" s="174" t="str">
        <f>IFERROR(__xludf.DUMMYFUNCTION("""COMPUTED_VALUE"""),"Unlisted")</f>
        <v>Unlisted</v>
      </c>
      <c r="E574" s="174" t="str">
        <f>IFERROR(__xludf.DUMMYFUNCTION("""COMPUTED_VALUE"""),"Unlisted")</f>
        <v>Unlisted</v>
      </c>
      <c r="F574" s="174" t="str">
        <f>IFERROR(__xludf.DUMMYFUNCTION("""COMPUTED_VALUE"""),"Proficient")</f>
        <v>Proficient</v>
      </c>
      <c r="G574" s="174" t="str">
        <f>IFERROR(__xludf.DUMMYFUNCTION("""COMPUTED_VALUE"""),"Proficient")</f>
        <v>Proficient</v>
      </c>
      <c r="H574" s="174" t="str">
        <f>IFERROR(__xludf.DUMMYFUNCTION("""COMPUTED_VALUE"""),"Unlisted")</f>
        <v>Unlisted</v>
      </c>
      <c r="I574" s="174" t="str">
        <f>IFERROR(__xludf.DUMMYFUNCTION("""COMPUTED_VALUE"""),"Unlisted")</f>
        <v>Unlisted</v>
      </c>
      <c r="J574" s="174" t="str">
        <f>IFERROR(__xludf.DUMMYFUNCTION("""COMPUTED_VALUE"""),"Unlisted")</f>
        <v>Unlisted</v>
      </c>
      <c r="K574" s="174" t="str">
        <f>IFERROR(__xludf.DUMMYFUNCTION("""COMPUTED_VALUE"""),"Unlisted")</f>
        <v>Unlisted</v>
      </c>
      <c r="L574" s="174" t="str">
        <f>IFERROR(__xludf.DUMMYFUNCTION("""COMPUTED_VALUE"""),"Unlisted")</f>
        <v>Unlisted</v>
      </c>
      <c r="M574" s="174" t="str">
        <f>IFERROR(__xludf.DUMMYFUNCTION("""COMPUTED_VALUE"""),"Unlisted")</f>
        <v>Unlisted</v>
      </c>
      <c r="N574" s="174" t="str">
        <f>IFERROR(__xludf.DUMMYFUNCTION("""COMPUTED_VALUE"""),"Unlisted")</f>
        <v>Unlisted</v>
      </c>
      <c r="O574" s="174" t="str">
        <f>IFERROR(__xludf.DUMMYFUNCTION("""COMPUTED_VALUE"""),"Unlisted")</f>
        <v>Unlisted</v>
      </c>
      <c r="P574" s="174" t="str">
        <f>IFERROR(__xludf.DUMMYFUNCTION("""COMPUTED_VALUE"""),"Unlisted")</f>
        <v>Unlisted</v>
      </c>
      <c r="Q574" s="174" t="str">
        <f>IFERROR(__xludf.DUMMYFUNCTION("""COMPUTED_VALUE"""),"Unlisted")</f>
        <v>Unlisted</v>
      </c>
      <c r="R574" s="174" t="str">
        <f>IFERROR(__xludf.DUMMYFUNCTION("""COMPUTED_VALUE"""),"Unlisted")</f>
        <v>Unlisted</v>
      </c>
    </row>
    <row r="575">
      <c r="A575" s="255" t="str">
        <f>IFERROR(__xludf.DUMMYFUNCTION("""COMPUTED_VALUE"""),"Dwebble")</f>
        <v>Dwebble</v>
      </c>
      <c r="B575" s="174" t="str">
        <f>IFERROR(__xludf.DUMMYFUNCTION("""COMPUTED_VALUE"""),"Unlisted")</f>
        <v>Unlisted</v>
      </c>
      <c r="C575" s="174" t="str">
        <f>IFERROR(__xludf.DUMMYFUNCTION("""COMPUTED_VALUE"""),"Unlisted")</f>
        <v>Unlisted</v>
      </c>
      <c r="D575" s="174" t="str">
        <f>IFERROR(__xludf.DUMMYFUNCTION("""COMPUTED_VALUE"""),"Unlisted")</f>
        <v>Unlisted</v>
      </c>
      <c r="E575" s="174" t="str">
        <f>IFERROR(__xludf.DUMMYFUNCTION("""COMPUTED_VALUE"""),"Unlisted")</f>
        <v>Unlisted</v>
      </c>
      <c r="F575" s="174" t="str">
        <f>IFERROR(__xludf.DUMMYFUNCTION("""COMPUTED_VALUE"""),"Unlisted")</f>
        <v>Unlisted</v>
      </c>
      <c r="G575" s="174" t="str">
        <f>IFERROR(__xludf.DUMMYFUNCTION("""COMPUTED_VALUE"""),"Proficient")</f>
        <v>Proficient</v>
      </c>
      <c r="H575" s="174" t="str">
        <f>IFERROR(__xludf.DUMMYFUNCTION("""COMPUTED_VALUE"""),"Unlisted")</f>
        <v>Unlisted</v>
      </c>
      <c r="I575" s="174" t="str">
        <f>IFERROR(__xludf.DUMMYFUNCTION("""COMPUTED_VALUE"""),"Unlisted")</f>
        <v>Unlisted</v>
      </c>
      <c r="J575" s="174" t="str">
        <f>IFERROR(__xludf.DUMMYFUNCTION("""COMPUTED_VALUE"""),"Proficient")</f>
        <v>Proficient</v>
      </c>
      <c r="K575" s="174" t="str">
        <f>IFERROR(__xludf.DUMMYFUNCTION("""COMPUTED_VALUE"""),"Unlisted")</f>
        <v>Unlisted</v>
      </c>
      <c r="L575" s="174" t="str">
        <f>IFERROR(__xludf.DUMMYFUNCTION("""COMPUTED_VALUE"""),"Proficient")</f>
        <v>Proficient</v>
      </c>
      <c r="M575" s="174" t="str">
        <f>IFERROR(__xludf.DUMMYFUNCTION("""COMPUTED_VALUE"""),"Unlisted")</f>
        <v>Unlisted</v>
      </c>
      <c r="N575" s="174" t="str">
        <f>IFERROR(__xludf.DUMMYFUNCTION("""COMPUTED_VALUE"""),"Unlisted")</f>
        <v>Unlisted</v>
      </c>
      <c r="O575" s="174" t="str">
        <f>IFERROR(__xludf.DUMMYFUNCTION("""COMPUTED_VALUE"""),"Unlisted")</f>
        <v>Unlisted</v>
      </c>
      <c r="P575" s="174" t="str">
        <f>IFERROR(__xludf.DUMMYFUNCTION("""COMPUTED_VALUE"""),"Unlisted")</f>
        <v>Unlisted</v>
      </c>
      <c r="Q575" s="174" t="str">
        <f>IFERROR(__xludf.DUMMYFUNCTION("""COMPUTED_VALUE"""),"Unlisted")</f>
        <v>Unlisted</v>
      </c>
      <c r="R575" s="174" t="str">
        <f>IFERROR(__xludf.DUMMYFUNCTION("""COMPUTED_VALUE"""),"Unlisted")</f>
        <v>Unlisted</v>
      </c>
    </row>
    <row r="576">
      <c r="A576" s="255" t="str">
        <f>IFERROR(__xludf.DUMMYFUNCTION("""COMPUTED_VALUE"""),"Crustle")</f>
        <v>Crustle</v>
      </c>
      <c r="B576" s="174" t="str">
        <f>IFERROR(__xludf.DUMMYFUNCTION("""COMPUTED_VALUE"""),"Unlisted")</f>
        <v>Unlisted</v>
      </c>
      <c r="C576" s="174" t="str">
        <f>IFERROR(__xludf.DUMMYFUNCTION("""COMPUTED_VALUE"""),"Mastered")</f>
        <v>Mastered</v>
      </c>
      <c r="D576" s="174" t="str">
        <f>IFERROR(__xludf.DUMMYFUNCTION("""COMPUTED_VALUE"""),"Unlisted")</f>
        <v>Unlisted</v>
      </c>
      <c r="E576" s="174" t="str">
        <f>IFERROR(__xludf.DUMMYFUNCTION("""COMPUTED_VALUE"""),"Unlisted")</f>
        <v>Unlisted</v>
      </c>
      <c r="F576" s="174" t="str">
        <f>IFERROR(__xludf.DUMMYFUNCTION("""COMPUTED_VALUE"""),"Unlisted")</f>
        <v>Unlisted</v>
      </c>
      <c r="G576" s="174" t="str">
        <f>IFERROR(__xludf.DUMMYFUNCTION("""COMPUTED_VALUE"""),"Proficient")</f>
        <v>Proficient</v>
      </c>
      <c r="H576" s="174" t="str">
        <f>IFERROR(__xludf.DUMMYFUNCTION("""COMPUTED_VALUE"""),"Unlisted")</f>
        <v>Unlisted</v>
      </c>
      <c r="I576" s="174" t="str">
        <f>IFERROR(__xludf.DUMMYFUNCTION("""COMPUTED_VALUE"""),"Unlisted")</f>
        <v>Unlisted</v>
      </c>
      <c r="J576" s="174" t="str">
        <f>IFERROR(__xludf.DUMMYFUNCTION("""COMPUTED_VALUE"""),"Proficient")</f>
        <v>Proficient</v>
      </c>
      <c r="K576" s="174" t="str">
        <f>IFERROR(__xludf.DUMMYFUNCTION("""COMPUTED_VALUE"""),"Unlisted")</f>
        <v>Unlisted</v>
      </c>
      <c r="L576" s="174" t="str">
        <f>IFERROR(__xludf.DUMMYFUNCTION("""COMPUTED_VALUE"""),"Unlisted")</f>
        <v>Unlisted</v>
      </c>
      <c r="M576" s="174" t="str">
        <f>IFERROR(__xludf.DUMMYFUNCTION("""COMPUTED_VALUE"""),"Unlisted")</f>
        <v>Unlisted</v>
      </c>
      <c r="N576" s="174" t="str">
        <f>IFERROR(__xludf.DUMMYFUNCTION("""COMPUTED_VALUE"""),"Unlisted")</f>
        <v>Unlisted</v>
      </c>
      <c r="O576" s="174" t="str">
        <f>IFERROR(__xludf.DUMMYFUNCTION("""COMPUTED_VALUE"""),"Unlisted")</f>
        <v>Unlisted</v>
      </c>
      <c r="P576" s="174" t="str">
        <f>IFERROR(__xludf.DUMMYFUNCTION("""COMPUTED_VALUE"""),"Unlisted")</f>
        <v>Unlisted</v>
      </c>
      <c r="Q576" s="174" t="str">
        <f>IFERROR(__xludf.DUMMYFUNCTION("""COMPUTED_VALUE"""),"Unlisted")</f>
        <v>Unlisted</v>
      </c>
      <c r="R576" s="174" t="str">
        <f>IFERROR(__xludf.DUMMYFUNCTION("""COMPUTED_VALUE"""),"Unlisted")</f>
        <v>Unlisted</v>
      </c>
    </row>
    <row r="577">
      <c r="A577" s="255" t="str">
        <f>IFERROR(__xludf.DUMMYFUNCTION("""COMPUTED_VALUE"""),"Karrablast")</f>
        <v>Karrablast</v>
      </c>
      <c r="B577" s="174" t="str">
        <f>IFERROR(__xludf.DUMMYFUNCTION("""COMPUTED_VALUE"""),"Proficient")</f>
        <v>Proficient</v>
      </c>
      <c r="C577" s="174" t="str">
        <f>IFERROR(__xludf.DUMMYFUNCTION("""COMPUTED_VALUE"""),"Unlisted")</f>
        <v>Unlisted</v>
      </c>
      <c r="D577" s="174" t="str">
        <f>IFERROR(__xludf.DUMMYFUNCTION("""COMPUTED_VALUE"""),"Unlisted")</f>
        <v>Unlisted</v>
      </c>
      <c r="E577" s="174" t="str">
        <f>IFERROR(__xludf.DUMMYFUNCTION("""COMPUTED_VALUE"""),"Unlisted")</f>
        <v>Unlisted</v>
      </c>
      <c r="F577" s="174" t="str">
        <f>IFERROR(__xludf.DUMMYFUNCTION("""COMPUTED_VALUE"""),"Unlisted")</f>
        <v>Unlisted</v>
      </c>
      <c r="G577" s="174" t="str">
        <f>IFERROR(__xludf.DUMMYFUNCTION("""COMPUTED_VALUE"""),"Proficient")</f>
        <v>Proficient</v>
      </c>
      <c r="H577" s="174" t="str">
        <f>IFERROR(__xludf.DUMMYFUNCTION("""COMPUTED_VALUE"""),"Unlisted")</f>
        <v>Unlisted</v>
      </c>
      <c r="I577" s="174" t="str">
        <f>IFERROR(__xludf.DUMMYFUNCTION("""COMPUTED_VALUE"""),"Unlisted")</f>
        <v>Unlisted</v>
      </c>
      <c r="J577" s="174" t="str">
        <f>IFERROR(__xludf.DUMMYFUNCTION("""COMPUTED_VALUE"""),"Unlisted")</f>
        <v>Unlisted</v>
      </c>
      <c r="K577" s="174" t="str">
        <f>IFERROR(__xludf.DUMMYFUNCTION("""COMPUTED_VALUE"""),"Unlisted")</f>
        <v>Unlisted</v>
      </c>
      <c r="L577" s="174" t="str">
        <f>IFERROR(__xludf.DUMMYFUNCTION("""COMPUTED_VALUE"""),"Unlisted")</f>
        <v>Unlisted</v>
      </c>
      <c r="M577" s="174" t="str">
        <f>IFERROR(__xludf.DUMMYFUNCTION("""COMPUTED_VALUE"""),"Unlisted")</f>
        <v>Unlisted</v>
      </c>
      <c r="N577" s="174" t="str">
        <f>IFERROR(__xludf.DUMMYFUNCTION("""COMPUTED_VALUE"""),"Unlisted")</f>
        <v>Unlisted</v>
      </c>
      <c r="O577" s="174" t="str">
        <f>IFERROR(__xludf.DUMMYFUNCTION("""COMPUTED_VALUE"""),"Unlisted")</f>
        <v>Unlisted</v>
      </c>
      <c r="P577" s="174" t="str">
        <f>IFERROR(__xludf.DUMMYFUNCTION("""COMPUTED_VALUE"""),"Unlisted")</f>
        <v>Unlisted</v>
      </c>
      <c r="Q577" s="174" t="str">
        <f>IFERROR(__xludf.DUMMYFUNCTION("""COMPUTED_VALUE"""),"Unlisted")</f>
        <v>Unlisted</v>
      </c>
      <c r="R577" s="174" t="str">
        <f>IFERROR(__xludf.DUMMYFUNCTION("""COMPUTED_VALUE"""),"Unlisted")</f>
        <v>Unlisted</v>
      </c>
    </row>
    <row r="578">
      <c r="A578" s="255" t="str">
        <f>IFERROR(__xludf.DUMMYFUNCTION("""COMPUTED_VALUE"""),"Escavalier")</f>
        <v>Escavalier</v>
      </c>
      <c r="B578" s="174" t="str">
        <f>IFERROR(__xludf.DUMMYFUNCTION("""COMPUTED_VALUE"""),"Proficient")</f>
        <v>Proficient</v>
      </c>
      <c r="C578" s="174" t="str">
        <f>IFERROR(__xludf.DUMMYFUNCTION("""COMPUTED_VALUE"""),"Unlisted")</f>
        <v>Unlisted</v>
      </c>
      <c r="D578" s="174" t="str">
        <f>IFERROR(__xludf.DUMMYFUNCTION("""COMPUTED_VALUE"""),"Unlisted")</f>
        <v>Unlisted</v>
      </c>
      <c r="E578" s="174" t="str">
        <f>IFERROR(__xludf.DUMMYFUNCTION("""COMPUTED_VALUE"""),"Mastered")</f>
        <v>Mastered</v>
      </c>
      <c r="F578" s="174" t="str">
        <f>IFERROR(__xludf.DUMMYFUNCTION("""COMPUTED_VALUE"""),"Unlisted")</f>
        <v>Unlisted</v>
      </c>
      <c r="G578" s="174" t="str">
        <f>IFERROR(__xludf.DUMMYFUNCTION("""COMPUTED_VALUE"""),"Proficient")</f>
        <v>Proficient</v>
      </c>
      <c r="H578" s="174" t="str">
        <f>IFERROR(__xludf.DUMMYFUNCTION("""COMPUTED_VALUE"""),"Unlisted")</f>
        <v>Unlisted</v>
      </c>
      <c r="I578" s="174" t="str">
        <f>IFERROR(__xludf.DUMMYFUNCTION("""COMPUTED_VALUE"""),"Unlisted")</f>
        <v>Unlisted</v>
      </c>
      <c r="J578" s="174" t="str">
        <f>IFERROR(__xludf.DUMMYFUNCTION("""COMPUTED_VALUE"""),"Unlisted")</f>
        <v>Unlisted</v>
      </c>
      <c r="K578" s="174" t="str">
        <f>IFERROR(__xludf.DUMMYFUNCTION("""COMPUTED_VALUE"""),"Unlisted")</f>
        <v>Unlisted</v>
      </c>
      <c r="L578" s="174" t="str">
        <f>IFERROR(__xludf.DUMMYFUNCTION("""COMPUTED_VALUE"""),"Unlisted")</f>
        <v>Unlisted</v>
      </c>
      <c r="M578" s="174" t="str">
        <f>IFERROR(__xludf.DUMMYFUNCTION("""COMPUTED_VALUE"""),"Unlisted")</f>
        <v>Unlisted</v>
      </c>
      <c r="N578" s="174" t="str">
        <f>IFERROR(__xludf.DUMMYFUNCTION("""COMPUTED_VALUE"""),"Unlisted")</f>
        <v>Unlisted</v>
      </c>
      <c r="O578" s="174" t="str">
        <f>IFERROR(__xludf.DUMMYFUNCTION("""COMPUTED_VALUE"""),"Unlisted")</f>
        <v>Unlisted</v>
      </c>
      <c r="P578" s="174" t="str">
        <f>IFERROR(__xludf.DUMMYFUNCTION("""COMPUTED_VALUE"""),"Unlisted")</f>
        <v>Unlisted</v>
      </c>
      <c r="Q578" s="174" t="str">
        <f>IFERROR(__xludf.DUMMYFUNCTION("""COMPUTED_VALUE"""),"Unlisted")</f>
        <v>Unlisted</v>
      </c>
      <c r="R578" s="174" t="str">
        <f>IFERROR(__xludf.DUMMYFUNCTION("""COMPUTED_VALUE"""),"Unlisted")</f>
        <v>Unlisted</v>
      </c>
    </row>
    <row r="579">
      <c r="A579" s="255" t="str">
        <f>IFERROR(__xludf.DUMMYFUNCTION("""COMPUTED_VALUE"""),"Shelmet")</f>
        <v>Shelmet</v>
      </c>
      <c r="B579" s="174" t="str">
        <f>IFERROR(__xludf.DUMMYFUNCTION("""COMPUTED_VALUE"""),"Unlisted")</f>
        <v>Unlisted</v>
      </c>
      <c r="C579" s="174" t="str">
        <f>IFERROR(__xludf.DUMMYFUNCTION("""COMPUTED_VALUE"""),"Unlisted")</f>
        <v>Unlisted</v>
      </c>
      <c r="D579" s="174" t="str">
        <f>IFERROR(__xludf.DUMMYFUNCTION("""COMPUTED_VALUE"""),"Unlisted")</f>
        <v>Unlisted</v>
      </c>
      <c r="E579" s="174" t="str">
        <f>IFERROR(__xludf.DUMMYFUNCTION("""COMPUTED_VALUE"""),"Unlisted")</f>
        <v>Unlisted</v>
      </c>
      <c r="F579" s="174" t="str">
        <f>IFERROR(__xludf.DUMMYFUNCTION("""COMPUTED_VALUE"""),"Unlisted")</f>
        <v>Unlisted</v>
      </c>
      <c r="G579" s="174" t="str">
        <f>IFERROR(__xludf.DUMMYFUNCTION("""COMPUTED_VALUE"""),"Proficient")</f>
        <v>Proficient</v>
      </c>
      <c r="H579" s="174" t="str">
        <f>IFERROR(__xludf.DUMMYFUNCTION("""COMPUTED_VALUE"""),"Unlisted")</f>
        <v>Unlisted</v>
      </c>
      <c r="I579" s="174" t="str">
        <f>IFERROR(__xludf.DUMMYFUNCTION("""COMPUTED_VALUE"""),"Unlisted")</f>
        <v>Unlisted</v>
      </c>
      <c r="J579" s="174" t="str">
        <f>IFERROR(__xludf.DUMMYFUNCTION("""COMPUTED_VALUE"""),"Unlisted")</f>
        <v>Unlisted</v>
      </c>
      <c r="K579" s="174" t="str">
        <f>IFERROR(__xludf.DUMMYFUNCTION("""COMPUTED_VALUE"""),"Proficient")</f>
        <v>Proficient</v>
      </c>
      <c r="L579" s="174" t="str">
        <f>IFERROR(__xludf.DUMMYFUNCTION("""COMPUTED_VALUE"""),"Unlisted")</f>
        <v>Unlisted</v>
      </c>
      <c r="M579" s="174" t="str">
        <f>IFERROR(__xludf.DUMMYFUNCTION("""COMPUTED_VALUE"""),"Unlisted")</f>
        <v>Unlisted</v>
      </c>
      <c r="N579" s="174" t="str">
        <f>IFERROR(__xludf.DUMMYFUNCTION("""COMPUTED_VALUE"""),"Unlisted")</f>
        <v>Unlisted</v>
      </c>
      <c r="O579" s="174" t="str">
        <f>IFERROR(__xludf.DUMMYFUNCTION("""COMPUTED_VALUE"""),"Unlisted")</f>
        <v>Unlisted</v>
      </c>
      <c r="P579" s="174" t="str">
        <f>IFERROR(__xludf.DUMMYFUNCTION("""COMPUTED_VALUE"""),"Unlisted")</f>
        <v>Unlisted</v>
      </c>
      <c r="Q579" s="174" t="str">
        <f>IFERROR(__xludf.DUMMYFUNCTION("""COMPUTED_VALUE"""),"Unlisted")</f>
        <v>Unlisted</v>
      </c>
      <c r="R579" s="174" t="str">
        <f>IFERROR(__xludf.DUMMYFUNCTION("""COMPUTED_VALUE"""),"Unlisted")</f>
        <v>Unlisted</v>
      </c>
    </row>
    <row r="580">
      <c r="A580" s="255" t="str">
        <f>IFERROR(__xludf.DUMMYFUNCTION("""COMPUTED_VALUE"""),"Accelgor")</f>
        <v>Accelgor</v>
      </c>
      <c r="B580" s="174" t="str">
        <f>IFERROR(__xludf.DUMMYFUNCTION("""COMPUTED_VALUE"""),"Mastered")</f>
        <v>Mastered</v>
      </c>
      <c r="C580" s="174" t="str">
        <f>IFERROR(__xludf.DUMMYFUNCTION("""COMPUTED_VALUE"""),"Unlisted")</f>
        <v>Unlisted</v>
      </c>
      <c r="D580" s="174" t="str">
        <f>IFERROR(__xludf.DUMMYFUNCTION("""COMPUTED_VALUE"""),"Unlisted")</f>
        <v>Unlisted</v>
      </c>
      <c r="E580" s="174" t="str">
        <f>IFERROR(__xludf.DUMMYFUNCTION("""COMPUTED_VALUE"""),"Unlisted")</f>
        <v>Unlisted</v>
      </c>
      <c r="F580" s="174" t="str">
        <f>IFERROR(__xludf.DUMMYFUNCTION("""COMPUTED_VALUE"""),"Unlisted")</f>
        <v>Unlisted</v>
      </c>
      <c r="G580" s="174" t="str">
        <f>IFERROR(__xludf.DUMMYFUNCTION("""COMPUTED_VALUE"""),"Proficient")</f>
        <v>Proficient</v>
      </c>
      <c r="H580" s="174" t="str">
        <f>IFERROR(__xludf.DUMMYFUNCTION("""COMPUTED_VALUE"""),"Unlisted")</f>
        <v>Unlisted</v>
      </c>
      <c r="I580" s="174" t="str">
        <f>IFERROR(__xludf.DUMMYFUNCTION("""COMPUTED_VALUE"""),"Unlisted")</f>
        <v>Unlisted</v>
      </c>
      <c r="J580" s="174" t="str">
        <f>IFERROR(__xludf.DUMMYFUNCTION("""COMPUTED_VALUE"""),"Unlisted")</f>
        <v>Unlisted</v>
      </c>
      <c r="K580" s="174" t="str">
        <f>IFERROR(__xludf.DUMMYFUNCTION("""COMPUTED_VALUE"""),"Unlisted")</f>
        <v>Unlisted</v>
      </c>
      <c r="L580" s="174" t="str">
        <f>IFERROR(__xludf.DUMMYFUNCTION("""COMPUTED_VALUE"""),"Proficient")</f>
        <v>Proficient</v>
      </c>
      <c r="M580" s="174" t="str">
        <f>IFERROR(__xludf.DUMMYFUNCTION("""COMPUTED_VALUE"""),"Unlisted")</f>
        <v>Unlisted</v>
      </c>
      <c r="N580" s="174" t="str">
        <f>IFERROR(__xludf.DUMMYFUNCTION("""COMPUTED_VALUE"""),"Unlisted")</f>
        <v>Unlisted</v>
      </c>
      <c r="O580" s="174" t="str">
        <f>IFERROR(__xludf.DUMMYFUNCTION("""COMPUTED_VALUE"""),"Unlisted")</f>
        <v>Unlisted</v>
      </c>
      <c r="P580" s="174" t="str">
        <f>IFERROR(__xludf.DUMMYFUNCTION("""COMPUTED_VALUE"""),"Unlisted")</f>
        <v>Unlisted</v>
      </c>
      <c r="Q580" s="174" t="str">
        <f>IFERROR(__xludf.DUMMYFUNCTION("""COMPUTED_VALUE"""),"Unlisted")</f>
        <v>Unlisted</v>
      </c>
      <c r="R580" s="174" t="str">
        <f>IFERROR(__xludf.DUMMYFUNCTION("""COMPUTED_VALUE"""),"Unlisted")</f>
        <v>Unlisted</v>
      </c>
    </row>
    <row r="581">
      <c r="A581" s="255" t="str">
        <f>IFERROR(__xludf.DUMMYFUNCTION("""COMPUTED_VALUE"""),"Joltik")</f>
        <v>Joltik</v>
      </c>
      <c r="B581" s="174" t="str">
        <f>IFERROR(__xludf.DUMMYFUNCTION("""COMPUTED_VALUE"""),"Proficient")</f>
        <v>Proficient</v>
      </c>
      <c r="C581" s="174" t="str">
        <f>IFERROR(__xludf.DUMMYFUNCTION("""COMPUTED_VALUE"""),"Unlisted")</f>
        <v>Unlisted</v>
      </c>
      <c r="D581" s="174" t="str">
        <f>IFERROR(__xludf.DUMMYFUNCTION("""COMPUTED_VALUE"""),"Unlisted")</f>
        <v>Unlisted</v>
      </c>
      <c r="E581" s="174" t="str">
        <f>IFERROR(__xludf.DUMMYFUNCTION("""COMPUTED_VALUE"""),"Unlisted")</f>
        <v>Unlisted</v>
      </c>
      <c r="F581" s="174" t="str">
        <f>IFERROR(__xludf.DUMMYFUNCTION("""COMPUTED_VALUE"""),"Unlisted")</f>
        <v>Unlisted</v>
      </c>
      <c r="G581" s="174" t="str">
        <f>IFERROR(__xludf.DUMMYFUNCTION("""COMPUTED_VALUE"""),"Unlisted")</f>
        <v>Unlisted</v>
      </c>
      <c r="H581" s="174" t="str">
        <f>IFERROR(__xludf.DUMMYFUNCTION("""COMPUTED_VALUE"""),"Unlisted")</f>
        <v>Unlisted</v>
      </c>
      <c r="I581" s="174" t="str">
        <f>IFERROR(__xludf.DUMMYFUNCTION("""COMPUTED_VALUE"""),"Unlisted")</f>
        <v>Unlisted</v>
      </c>
      <c r="J581" s="174" t="str">
        <f>IFERROR(__xludf.DUMMYFUNCTION("""COMPUTED_VALUE"""),"Unlisted")</f>
        <v>Unlisted</v>
      </c>
      <c r="K581" s="174" t="str">
        <f>IFERROR(__xludf.DUMMYFUNCTION("""COMPUTED_VALUE"""),"Unlisted")</f>
        <v>Unlisted</v>
      </c>
      <c r="L581" s="174" t="str">
        <f>IFERROR(__xludf.DUMMYFUNCTION("""COMPUTED_VALUE"""),"Proficient")</f>
        <v>Proficient</v>
      </c>
      <c r="M581" s="174" t="str">
        <f>IFERROR(__xludf.DUMMYFUNCTION("""COMPUTED_VALUE"""),"Unlisted")</f>
        <v>Unlisted</v>
      </c>
      <c r="N581" s="174" t="str">
        <f>IFERROR(__xludf.DUMMYFUNCTION("""COMPUTED_VALUE"""),"Unlisted")</f>
        <v>Unlisted</v>
      </c>
      <c r="O581" s="174" t="str">
        <f>IFERROR(__xludf.DUMMYFUNCTION("""COMPUTED_VALUE"""),"Unlisted")</f>
        <v>Unlisted</v>
      </c>
      <c r="P581" s="174" t="str">
        <f>IFERROR(__xludf.DUMMYFUNCTION("""COMPUTED_VALUE"""),"Unlisted")</f>
        <v>Unlisted</v>
      </c>
      <c r="Q581" s="174" t="str">
        <f>IFERROR(__xludf.DUMMYFUNCTION("""COMPUTED_VALUE"""),"Unlisted")</f>
        <v>Unlisted</v>
      </c>
      <c r="R581" s="174" t="str">
        <f>IFERROR(__xludf.DUMMYFUNCTION("""COMPUTED_VALUE"""),"Unlisted")</f>
        <v>Unlisted</v>
      </c>
    </row>
    <row r="582">
      <c r="A582" s="255" t="str">
        <f>IFERROR(__xludf.DUMMYFUNCTION("""COMPUTED_VALUE"""),"Galvantula")</f>
        <v>Galvantula</v>
      </c>
      <c r="B582" s="174" t="str">
        <f>IFERROR(__xludf.DUMMYFUNCTION("""COMPUTED_VALUE"""),"Proficient")</f>
        <v>Proficient</v>
      </c>
      <c r="C582" s="174" t="str">
        <f>IFERROR(__xludf.DUMMYFUNCTION("""COMPUTED_VALUE"""),"Unlisted")</f>
        <v>Unlisted</v>
      </c>
      <c r="D582" s="174" t="str">
        <f>IFERROR(__xludf.DUMMYFUNCTION("""COMPUTED_VALUE"""),"Unlisted")</f>
        <v>Unlisted</v>
      </c>
      <c r="E582" s="174" t="str">
        <f>IFERROR(__xludf.DUMMYFUNCTION("""COMPUTED_VALUE"""),"Unlisted")</f>
        <v>Unlisted</v>
      </c>
      <c r="F582" s="174" t="str">
        <f>IFERROR(__xludf.DUMMYFUNCTION("""COMPUTED_VALUE"""),"Unlisted")</f>
        <v>Unlisted</v>
      </c>
      <c r="G582" s="174" t="str">
        <f>IFERROR(__xludf.DUMMYFUNCTION("""COMPUTED_VALUE"""),"Unlisted")</f>
        <v>Unlisted</v>
      </c>
      <c r="H582" s="174" t="str">
        <f>IFERROR(__xludf.DUMMYFUNCTION("""COMPUTED_VALUE"""),"Unlisted")</f>
        <v>Unlisted</v>
      </c>
      <c r="I582" s="174" t="str">
        <f>IFERROR(__xludf.DUMMYFUNCTION("""COMPUTED_VALUE"""),"Unlisted")</f>
        <v>Unlisted</v>
      </c>
      <c r="J582" s="174" t="str">
        <f>IFERROR(__xludf.DUMMYFUNCTION("""COMPUTED_VALUE"""),"Unlisted")</f>
        <v>Unlisted</v>
      </c>
      <c r="K582" s="174" t="str">
        <f>IFERROR(__xludf.DUMMYFUNCTION("""COMPUTED_VALUE"""),"Unlisted")</f>
        <v>Unlisted</v>
      </c>
      <c r="L582" s="174" t="str">
        <f>IFERROR(__xludf.DUMMYFUNCTION("""COMPUTED_VALUE"""),"Proficient")</f>
        <v>Proficient</v>
      </c>
      <c r="M582" s="174" t="str">
        <f>IFERROR(__xludf.DUMMYFUNCTION("""COMPUTED_VALUE"""),"Unlisted")</f>
        <v>Unlisted</v>
      </c>
      <c r="N582" s="174" t="str">
        <f>IFERROR(__xludf.DUMMYFUNCTION("""COMPUTED_VALUE"""),"Unlisted")</f>
        <v>Unlisted</v>
      </c>
      <c r="O582" s="174" t="str">
        <f>IFERROR(__xludf.DUMMYFUNCTION("""COMPUTED_VALUE"""),"Unlisted")</f>
        <v>Unlisted</v>
      </c>
      <c r="P582" s="174" t="str">
        <f>IFERROR(__xludf.DUMMYFUNCTION("""COMPUTED_VALUE"""),"Unlisted")</f>
        <v>Unlisted</v>
      </c>
      <c r="Q582" s="174" t="str">
        <f>IFERROR(__xludf.DUMMYFUNCTION("""COMPUTED_VALUE"""),"Unlisted")</f>
        <v>Unlisted</v>
      </c>
      <c r="R582" s="174" t="str">
        <f>IFERROR(__xludf.DUMMYFUNCTION("""COMPUTED_VALUE"""),"Unlisted")</f>
        <v>Unlisted</v>
      </c>
    </row>
    <row r="583">
      <c r="A583" s="255" t="str">
        <f>IFERROR(__xludf.DUMMYFUNCTION("""COMPUTED_VALUE"""),"Larvesta")</f>
        <v>Larvesta</v>
      </c>
      <c r="B583" s="174" t="str">
        <f>IFERROR(__xludf.DUMMYFUNCTION("""COMPUTED_VALUE"""),"Inept")</f>
        <v>Inept</v>
      </c>
      <c r="C583" s="174" t="str">
        <f>IFERROR(__xludf.DUMMYFUNCTION("""COMPUTED_VALUE"""),"Unlisted")</f>
        <v>Unlisted</v>
      </c>
      <c r="D583" s="174" t="str">
        <f>IFERROR(__xludf.DUMMYFUNCTION("""COMPUTED_VALUE"""),"Unlisted")</f>
        <v>Unlisted</v>
      </c>
      <c r="E583" s="174" t="str">
        <f>IFERROR(__xludf.DUMMYFUNCTION("""COMPUTED_VALUE"""),"Unlisted")</f>
        <v>Unlisted</v>
      </c>
      <c r="F583" s="174" t="str">
        <f>IFERROR(__xludf.DUMMYFUNCTION("""COMPUTED_VALUE"""),"Unlisted")</f>
        <v>Unlisted</v>
      </c>
      <c r="G583" s="174" t="str">
        <f>IFERROR(__xludf.DUMMYFUNCTION("""COMPUTED_VALUE"""),"Proficient")</f>
        <v>Proficient</v>
      </c>
      <c r="H583" s="174" t="str">
        <f>IFERROR(__xludf.DUMMYFUNCTION("""COMPUTED_VALUE"""),"Unlisted")</f>
        <v>Unlisted</v>
      </c>
      <c r="I583" s="174" t="str">
        <f>IFERROR(__xludf.DUMMYFUNCTION("""COMPUTED_VALUE"""),"Unlisted")</f>
        <v>Unlisted</v>
      </c>
      <c r="J583" s="174" t="str">
        <f>IFERROR(__xludf.DUMMYFUNCTION("""COMPUTED_VALUE"""),"Unlisted")</f>
        <v>Unlisted</v>
      </c>
      <c r="K583" s="174" t="str">
        <f>IFERROR(__xludf.DUMMYFUNCTION("""COMPUTED_VALUE"""),"Proficient")</f>
        <v>Proficient</v>
      </c>
      <c r="L583" s="174" t="str">
        <f>IFERROR(__xludf.DUMMYFUNCTION("""COMPUTED_VALUE"""),"Unlisted")</f>
        <v>Unlisted</v>
      </c>
      <c r="M583" s="174" t="str">
        <f>IFERROR(__xludf.DUMMYFUNCTION("""COMPUTED_VALUE"""),"Unlisted")</f>
        <v>Unlisted</v>
      </c>
      <c r="N583" s="174" t="str">
        <f>IFERROR(__xludf.DUMMYFUNCTION("""COMPUTED_VALUE"""),"Unlisted")</f>
        <v>Unlisted</v>
      </c>
      <c r="O583" s="174" t="str">
        <f>IFERROR(__xludf.DUMMYFUNCTION("""COMPUTED_VALUE"""),"Unlisted")</f>
        <v>Unlisted</v>
      </c>
      <c r="P583" s="174" t="str">
        <f>IFERROR(__xludf.DUMMYFUNCTION("""COMPUTED_VALUE"""),"Unlisted")</f>
        <v>Unlisted</v>
      </c>
      <c r="Q583" s="174" t="str">
        <f>IFERROR(__xludf.DUMMYFUNCTION("""COMPUTED_VALUE"""),"Unlisted")</f>
        <v>Unlisted</v>
      </c>
      <c r="R583" s="174" t="str">
        <f>IFERROR(__xludf.DUMMYFUNCTION("""COMPUTED_VALUE"""),"Unlisted")</f>
        <v>Unlisted</v>
      </c>
    </row>
    <row r="584">
      <c r="A584" s="255" t="str">
        <f>IFERROR(__xludf.DUMMYFUNCTION("""COMPUTED_VALUE"""),"Volcarona")</f>
        <v>Volcarona</v>
      </c>
      <c r="B584" s="174" t="str">
        <f>IFERROR(__xludf.DUMMYFUNCTION("""COMPUTED_VALUE"""),"Unlisted")</f>
        <v>Unlisted</v>
      </c>
      <c r="C584" s="174" t="str">
        <f>IFERROR(__xludf.DUMMYFUNCTION("""COMPUTED_VALUE"""),"Unlisted")</f>
        <v>Unlisted</v>
      </c>
      <c r="D584" s="174" t="str">
        <f>IFERROR(__xludf.DUMMYFUNCTION("""COMPUTED_VALUE"""),"Unlisted")</f>
        <v>Unlisted</v>
      </c>
      <c r="E584" s="174" t="str">
        <f>IFERROR(__xludf.DUMMYFUNCTION("""COMPUTED_VALUE"""),"Unlisted")</f>
        <v>Unlisted</v>
      </c>
      <c r="F584" s="174" t="str">
        <f>IFERROR(__xludf.DUMMYFUNCTION("""COMPUTED_VALUE"""),"Unlisted")</f>
        <v>Unlisted</v>
      </c>
      <c r="G584" s="174" t="str">
        <f>IFERROR(__xludf.DUMMYFUNCTION("""COMPUTED_VALUE"""),"Proficient")</f>
        <v>Proficient</v>
      </c>
      <c r="H584" s="174" t="str">
        <f>IFERROR(__xludf.DUMMYFUNCTION("""COMPUTED_VALUE"""),"Unlisted")</f>
        <v>Unlisted</v>
      </c>
      <c r="I584" s="174" t="str">
        <f>IFERROR(__xludf.DUMMYFUNCTION("""COMPUTED_VALUE"""),"Unlisted")</f>
        <v>Unlisted</v>
      </c>
      <c r="J584" s="174" t="str">
        <f>IFERROR(__xludf.DUMMYFUNCTION("""COMPUTED_VALUE"""),"Unlisted")</f>
        <v>Unlisted</v>
      </c>
      <c r="K584" s="174" t="str">
        <f>IFERROR(__xludf.DUMMYFUNCTION("""COMPUTED_VALUE"""),"Proficient")</f>
        <v>Proficient</v>
      </c>
      <c r="L584" s="174" t="str">
        <f>IFERROR(__xludf.DUMMYFUNCTION("""COMPUTED_VALUE"""),"Unlisted")</f>
        <v>Unlisted</v>
      </c>
      <c r="M584" s="174" t="str">
        <f>IFERROR(__xludf.DUMMYFUNCTION("""COMPUTED_VALUE"""),"Unlisted")</f>
        <v>Unlisted</v>
      </c>
      <c r="N584" s="174" t="str">
        <f>IFERROR(__xludf.DUMMYFUNCTION("""COMPUTED_VALUE"""),"Unlisted")</f>
        <v>Unlisted</v>
      </c>
      <c r="O584" s="174" t="str">
        <f>IFERROR(__xludf.DUMMYFUNCTION("""COMPUTED_VALUE"""),"Unlisted")</f>
        <v>Unlisted</v>
      </c>
      <c r="P584" s="174" t="str">
        <f>IFERROR(__xludf.DUMMYFUNCTION("""COMPUTED_VALUE"""),"Unlisted")</f>
        <v>Unlisted</v>
      </c>
      <c r="Q584" s="174" t="str">
        <f>IFERROR(__xludf.DUMMYFUNCTION("""COMPUTED_VALUE"""),"Unlisted")</f>
        <v>Unlisted</v>
      </c>
      <c r="R584" s="174" t="str">
        <f>IFERROR(__xludf.DUMMYFUNCTION("""COMPUTED_VALUE"""),"Unlisted")</f>
        <v>Unlisted</v>
      </c>
    </row>
    <row r="585">
      <c r="A585" s="255" t="str">
        <f>IFERROR(__xludf.DUMMYFUNCTION("""COMPUTED_VALUE"""),"Cutiefly")</f>
        <v>Cutiefly</v>
      </c>
      <c r="B585" s="174" t="str">
        <f>IFERROR(__xludf.DUMMYFUNCTION("""COMPUTED_VALUE"""),"Proficient")</f>
        <v>Proficient</v>
      </c>
      <c r="C585" s="174" t="str">
        <f>IFERROR(__xludf.DUMMYFUNCTION("""COMPUTED_VALUE"""),"Inept")</f>
        <v>Inept</v>
      </c>
      <c r="D585" s="174" t="str">
        <f>IFERROR(__xludf.DUMMYFUNCTION("""COMPUTED_VALUE"""),"Proficient")</f>
        <v>Proficient</v>
      </c>
      <c r="E585" s="174" t="str">
        <f>IFERROR(__xludf.DUMMYFUNCTION("""COMPUTED_VALUE"""),"Inept")</f>
        <v>Inept</v>
      </c>
      <c r="F585" s="174" t="str">
        <f>IFERROR(__xludf.DUMMYFUNCTION("""COMPUTED_VALUE"""),"Unlisted")</f>
        <v>Unlisted</v>
      </c>
      <c r="G585" s="174" t="str">
        <f>IFERROR(__xludf.DUMMYFUNCTION("""COMPUTED_VALUE"""),"Unlisted")</f>
        <v>Unlisted</v>
      </c>
      <c r="H585" s="174" t="str">
        <f>IFERROR(__xludf.DUMMYFUNCTION("""COMPUTED_VALUE"""),"Unlisted")</f>
        <v>Unlisted</v>
      </c>
      <c r="I585" s="174" t="str">
        <f>IFERROR(__xludf.DUMMYFUNCTION("""COMPUTED_VALUE"""),"Unlisted")</f>
        <v>Unlisted</v>
      </c>
      <c r="J585" s="174" t="str">
        <f>IFERROR(__xludf.DUMMYFUNCTION("""COMPUTED_VALUE"""),"Proficient")</f>
        <v>Proficient</v>
      </c>
      <c r="K585" s="174" t="str">
        <f>IFERROR(__xludf.DUMMYFUNCTION("""COMPUTED_VALUE"""),"Unlisted")</f>
        <v>Unlisted</v>
      </c>
      <c r="L585" s="174" t="str">
        <f>IFERROR(__xludf.DUMMYFUNCTION("""COMPUTED_VALUE"""),"Unlisted")</f>
        <v>Unlisted</v>
      </c>
      <c r="M585" s="174" t="str">
        <f>IFERROR(__xludf.DUMMYFUNCTION("""COMPUTED_VALUE"""),"Unlisted")</f>
        <v>Unlisted</v>
      </c>
      <c r="N585" s="174" t="str">
        <f>IFERROR(__xludf.DUMMYFUNCTION("""COMPUTED_VALUE"""),"Unlisted")</f>
        <v>Unlisted</v>
      </c>
      <c r="O585" s="174" t="str">
        <f>IFERROR(__xludf.DUMMYFUNCTION("""COMPUTED_VALUE"""),"Unlisted")</f>
        <v>Unlisted</v>
      </c>
      <c r="P585" s="174" t="str">
        <f>IFERROR(__xludf.DUMMYFUNCTION("""COMPUTED_VALUE"""),"Unlisted")</f>
        <v>Unlisted</v>
      </c>
      <c r="Q585" s="174" t="str">
        <f>IFERROR(__xludf.DUMMYFUNCTION("""COMPUTED_VALUE"""),"Unlisted")</f>
        <v>Unlisted</v>
      </c>
      <c r="R585" s="174" t="str">
        <f>IFERROR(__xludf.DUMMYFUNCTION("""COMPUTED_VALUE"""),"Unlisted")</f>
        <v>Unlisted</v>
      </c>
    </row>
    <row r="586">
      <c r="A586" s="255" t="str">
        <f>IFERROR(__xludf.DUMMYFUNCTION("""COMPUTED_VALUE"""),"Ribombee")</f>
        <v>Ribombee</v>
      </c>
      <c r="B586" s="174" t="str">
        <f>IFERROR(__xludf.DUMMYFUNCTION("""COMPUTED_VALUE"""),"Proficient")</f>
        <v>Proficient</v>
      </c>
      <c r="C586" s="174" t="str">
        <f>IFERROR(__xludf.DUMMYFUNCTION("""COMPUTED_VALUE"""),"Inept")</f>
        <v>Inept</v>
      </c>
      <c r="D586" s="174" t="str">
        <f>IFERROR(__xludf.DUMMYFUNCTION("""COMPUTED_VALUE"""),"Proficient")</f>
        <v>Proficient</v>
      </c>
      <c r="E586" s="174" t="str">
        <f>IFERROR(__xludf.DUMMYFUNCTION("""COMPUTED_VALUE"""),"Unlisted")</f>
        <v>Unlisted</v>
      </c>
      <c r="F586" s="174" t="str">
        <f>IFERROR(__xludf.DUMMYFUNCTION("""COMPUTED_VALUE"""),"Unlisted")</f>
        <v>Unlisted</v>
      </c>
      <c r="G586" s="174" t="str">
        <f>IFERROR(__xludf.DUMMYFUNCTION("""COMPUTED_VALUE"""),"Unlisted")</f>
        <v>Unlisted</v>
      </c>
      <c r="H586" s="174" t="str">
        <f>IFERROR(__xludf.DUMMYFUNCTION("""COMPUTED_VALUE"""),"Unlisted")</f>
        <v>Unlisted</v>
      </c>
      <c r="I586" s="174" t="str">
        <f>IFERROR(__xludf.DUMMYFUNCTION("""COMPUTED_VALUE"""),"Unlisted")</f>
        <v>Unlisted</v>
      </c>
      <c r="J586" s="174" t="str">
        <f>IFERROR(__xludf.DUMMYFUNCTION("""COMPUTED_VALUE"""),"Proficient")</f>
        <v>Proficient</v>
      </c>
      <c r="K586" s="174" t="str">
        <f>IFERROR(__xludf.DUMMYFUNCTION("""COMPUTED_VALUE"""),"Unlisted")</f>
        <v>Unlisted</v>
      </c>
      <c r="L586" s="174" t="str">
        <f>IFERROR(__xludf.DUMMYFUNCTION("""COMPUTED_VALUE"""),"Unlisted")</f>
        <v>Unlisted</v>
      </c>
      <c r="M586" s="174" t="str">
        <f>IFERROR(__xludf.DUMMYFUNCTION("""COMPUTED_VALUE"""),"Unlisted")</f>
        <v>Unlisted</v>
      </c>
      <c r="N586" s="174" t="str">
        <f>IFERROR(__xludf.DUMMYFUNCTION("""COMPUTED_VALUE"""),"Unlisted")</f>
        <v>Unlisted</v>
      </c>
      <c r="O586" s="174" t="str">
        <f>IFERROR(__xludf.DUMMYFUNCTION("""COMPUTED_VALUE"""),"Unlisted")</f>
        <v>Unlisted</v>
      </c>
      <c r="P586" s="174" t="str">
        <f>IFERROR(__xludf.DUMMYFUNCTION("""COMPUTED_VALUE"""),"Unlisted")</f>
        <v>Unlisted</v>
      </c>
      <c r="Q586" s="174" t="str">
        <f>IFERROR(__xludf.DUMMYFUNCTION("""COMPUTED_VALUE"""),"Unlisted")</f>
        <v>Unlisted</v>
      </c>
      <c r="R586" s="174" t="str">
        <f>IFERROR(__xludf.DUMMYFUNCTION("""COMPUTED_VALUE"""),"Unlisted")</f>
        <v>Unlisted</v>
      </c>
    </row>
    <row r="587">
      <c r="A587" s="255" t="str">
        <f>IFERROR(__xludf.DUMMYFUNCTION("""COMPUTED_VALUE"""),"Wimpod")</f>
        <v>Wimpod</v>
      </c>
      <c r="B587" s="174" t="str">
        <f>IFERROR(__xludf.DUMMYFUNCTION("""COMPUTED_VALUE"""),"Proficient")</f>
        <v>Proficient</v>
      </c>
      <c r="C587" s="174" t="str">
        <f>IFERROR(__xludf.DUMMYFUNCTION("""COMPUTED_VALUE"""),"Inept")</f>
        <v>Inept</v>
      </c>
      <c r="D587" s="174" t="str">
        <f>IFERROR(__xludf.DUMMYFUNCTION("""COMPUTED_VALUE"""),"Unlisted")</f>
        <v>Unlisted</v>
      </c>
      <c r="E587" s="174" t="str">
        <f>IFERROR(__xludf.DUMMYFUNCTION("""COMPUTED_VALUE"""),"Inept")</f>
        <v>Inept</v>
      </c>
      <c r="F587" s="174" t="str">
        <f>IFERROR(__xludf.DUMMYFUNCTION("""COMPUTED_VALUE"""),"Unlisted")</f>
        <v>Unlisted</v>
      </c>
      <c r="G587" s="174" t="str">
        <f>IFERROR(__xludf.DUMMYFUNCTION("""COMPUTED_VALUE"""),"Unlisted")</f>
        <v>Unlisted</v>
      </c>
      <c r="H587" s="174" t="str">
        <f>IFERROR(__xludf.DUMMYFUNCTION("""COMPUTED_VALUE"""),"Unlisted")</f>
        <v>Unlisted</v>
      </c>
      <c r="I587" s="174" t="str">
        <f>IFERROR(__xludf.DUMMYFUNCTION("""COMPUTED_VALUE"""),"Unlisted")</f>
        <v>Unlisted</v>
      </c>
      <c r="J587" s="174" t="str">
        <f>IFERROR(__xludf.DUMMYFUNCTION("""COMPUTED_VALUE"""),"Unlisted")</f>
        <v>Unlisted</v>
      </c>
      <c r="K587" s="174" t="str">
        <f>IFERROR(__xludf.DUMMYFUNCTION("""COMPUTED_VALUE"""),"Unlisted")</f>
        <v>Unlisted</v>
      </c>
      <c r="L587" s="174" t="str">
        <f>IFERROR(__xludf.DUMMYFUNCTION("""COMPUTED_VALUE"""),"Proficient")</f>
        <v>Proficient</v>
      </c>
      <c r="M587" s="174" t="str">
        <f>IFERROR(__xludf.DUMMYFUNCTION("""COMPUTED_VALUE"""),"Unlisted")</f>
        <v>Unlisted</v>
      </c>
      <c r="N587" s="174" t="str">
        <f>IFERROR(__xludf.DUMMYFUNCTION("""COMPUTED_VALUE"""),"Unlisted")</f>
        <v>Unlisted</v>
      </c>
      <c r="O587" s="174" t="str">
        <f>IFERROR(__xludf.DUMMYFUNCTION("""COMPUTED_VALUE"""),"Proficient")</f>
        <v>Proficient</v>
      </c>
      <c r="P587" s="174" t="str">
        <f>IFERROR(__xludf.DUMMYFUNCTION("""COMPUTED_VALUE"""),"Unlisted")</f>
        <v>Unlisted</v>
      </c>
      <c r="Q587" s="174" t="str">
        <f>IFERROR(__xludf.DUMMYFUNCTION("""COMPUTED_VALUE"""),"Unlisted")</f>
        <v>Unlisted</v>
      </c>
      <c r="R587" s="174" t="str">
        <f>IFERROR(__xludf.DUMMYFUNCTION("""COMPUTED_VALUE"""),"Unlisted")</f>
        <v>Unlisted</v>
      </c>
    </row>
    <row r="588">
      <c r="A588" s="255" t="str">
        <f>IFERROR(__xludf.DUMMYFUNCTION("""COMPUTED_VALUE"""),"Golisopod")</f>
        <v>Golisopod</v>
      </c>
      <c r="B588" s="174" t="str">
        <f>IFERROR(__xludf.DUMMYFUNCTION("""COMPUTED_VALUE"""),"Unlisted")</f>
        <v>Unlisted</v>
      </c>
      <c r="C588" s="174" t="str">
        <f>IFERROR(__xludf.DUMMYFUNCTION("""COMPUTED_VALUE"""),"Proficient")</f>
        <v>Proficient</v>
      </c>
      <c r="D588" s="174" t="str">
        <f>IFERROR(__xludf.DUMMYFUNCTION("""COMPUTED_VALUE"""),"Unlisted")</f>
        <v>Unlisted</v>
      </c>
      <c r="E588" s="174" t="str">
        <f>IFERROR(__xludf.DUMMYFUNCTION("""COMPUTED_VALUE"""),"Proficient")</f>
        <v>Proficient</v>
      </c>
      <c r="F588" s="174" t="str">
        <f>IFERROR(__xludf.DUMMYFUNCTION("""COMPUTED_VALUE"""),"Unlisted")</f>
        <v>Unlisted</v>
      </c>
      <c r="G588" s="174" t="str">
        <f>IFERROR(__xludf.DUMMYFUNCTION("""COMPUTED_VALUE"""),"Unlisted")</f>
        <v>Unlisted</v>
      </c>
      <c r="H588" s="174" t="str">
        <f>IFERROR(__xludf.DUMMYFUNCTION("""COMPUTED_VALUE"""),"Unlisted")</f>
        <v>Unlisted</v>
      </c>
      <c r="I588" s="174" t="str">
        <f>IFERROR(__xludf.DUMMYFUNCTION("""COMPUTED_VALUE"""),"Unlisted")</f>
        <v>Unlisted</v>
      </c>
      <c r="J588" s="174" t="str">
        <f>IFERROR(__xludf.DUMMYFUNCTION("""COMPUTED_VALUE"""),"Unlisted")</f>
        <v>Unlisted</v>
      </c>
      <c r="K588" s="174" t="str">
        <f>IFERROR(__xludf.DUMMYFUNCTION("""COMPUTED_VALUE"""),"Unlisted")</f>
        <v>Unlisted</v>
      </c>
      <c r="L588" s="174" t="str">
        <f>IFERROR(__xludf.DUMMYFUNCTION("""COMPUTED_VALUE"""),"Unlisted")</f>
        <v>Unlisted</v>
      </c>
      <c r="M588" s="174" t="str">
        <f>IFERROR(__xludf.DUMMYFUNCTION("""COMPUTED_VALUE"""),"Unlisted")</f>
        <v>Unlisted</v>
      </c>
      <c r="N588" s="174" t="str">
        <f>IFERROR(__xludf.DUMMYFUNCTION("""COMPUTED_VALUE"""),"Unlisted")</f>
        <v>Unlisted</v>
      </c>
      <c r="O588" s="174" t="str">
        <f>IFERROR(__xludf.DUMMYFUNCTION("""COMPUTED_VALUE"""),"Proficient")</f>
        <v>Proficient</v>
      </c>
      <c r="P588" s="174" t="str">
        <f>IFERROR(__xludf.DUMMYFUNCTION("""COMPUTED_VALUE"""),"Unlisted")</f>
        <v>Unlisted</v>
      </c>
      <c r="Q588" s="174" t="str">
        <f>IFERROR(__xludf.DUMMYFUNCTION("""COMPUTED_VALUE"""),"Unlisted")</f>
        <v>Unlisted</v>
      </c>
      <c r="R588" s="174" t="str">
        <f>IFERROR(__xludf.DUMMYFUNCTION("""COMPUTED_VALUE"""),"Unlisted")</f>
        <v>Unlisted</v>
      </c>
    </row>
    <row r="589">
      <c r="A589" s="255" t="str">
        <f>IFERROR(__xludf.DUMMYFUNCTION("""COMPUTED_VALUE"""),"Tarountula")</f>
        <v>Tarountula</v>
      </c>
      <c r="B589" s="174" t="str">
        <f>IFERROR(__xludf.DUMMYFUNCTION("""COMPUTED_VALUE"""),"Unlisted")</f>
        <v>Unlisted</v>
      </c>
      <c r="C589" s="174" t="str">
        <f>IFERROR(__xludf.DUMMYFUNCTION("""COMPUTED_VALUE"""),"Unlisted")</f>
        <v>Unlisted</v>
      </c>
      <c r="D589" s="174" t="str">
        <f>IFERROR(__xludf.DUMMYFUNCTION("""COMPUTED_VALUE"""),"Unlisted")</f>
        <v>Unlisted</v>
      </c>
      <c r="E589" s="174" t="str">
        <f>IFERROR(__xludf.DUMMYFUNCTION("""COMPUTED_VALUE"""),"Unlisted")</f>
        <v>Unlisted</v>
      </c>
      <c r="F589" s="174" t="str">
        <f>IFERROR(__xludf.DUMMYFUNCTION("""COMPUTED_VALUE"""),"Unlisted")</f>
        <v>Unlisted</v>
      </c>
      <c r="G589" s="174" t="str">
        <f>IFERROR(__xludf.DUMMYFUNCTION("""COMPUTED_VALUE"""),"Proficient")</f>
        <v>Proficient</v>
      </c>
      <c r="H589" s="174" t="str">
        <f>IFERROR(__xludf.DUMMYFUNCTION("""COMPUTED_VALUE"""),"Unlisted")</f>
        <v>Unlisted</v>
      </c>
      <c r="I589" s="174" t="str">
        <f>IFERROR(__xludf.DUMMYFUNCTION("""COMPUTED_VALUE"""),"Unlisted")</f>
        <v>Unlisted</v>
      </c>
      <c r="J589" s="174" t="str">
        <f>IFERROR(__xludf.DUMMYFUNCTION("""COMPUTED_VALUE"""),"Unlisted")</f>
        <v>Unlisted</v>
      </c>
      <c r="K589" s="174" t="str">
        <f>IFERROR(__xludf.DUMMYFUNCTION("""COMPUTED_VALUE"""),"Proficient")</f>
        <v>Proficient</v>
      </c>
      <c r="L589" s="174" t="str">
        <f>IFERROR(__xludf.DUMMYFUNCTION("""COMPUTED_VALUE"""),"Mastered")</f>
        <v>Mastered</v>
      </c>
      <c r="M589" s="174" t="str">
        <f>IFERROR(__xludf.DUMMYFUNCTION("""COMPUTED_VALUE"""),"Unlisted")</f>
        <v>Unlisted</v>
      </c>
      <c r="N589" s="174" t="str">
        <f>IFERROR(__xludf.DUMMYFUNCTION("""COMPUTED_VALUE"""),"Unlisted")</f>
        <v>Unlisted</v>
      </c>
      <c r="O589" s="174" t="str">
        <f>IFERROR(__xludf.DUMMYFUNCTION("""COMPUTED_VALUE"""),"Unlisted")</f>
        <v>Unlisted</v>
      </c>
      <c r="P589" s="174" t="str">
        <f>IFERROR(__xludf.DUMMYFUNCTION("""COMPUTED_VALUE"""),"Unlisted")</f>
        <v>Unlisted</v>
      </c>
      <c r="Q589" s="174" t="str">
        <f>IFERROR(__xludf.DUMMYFUNCTION("""COMPUTED_VALUE"""),"Unlisted")</f>
        <v>Unlisted</v>
      </c>
      <c r="R589" s="174" t="str">
        <f>IFERROR(__xludf.DUMMYFUNCTION("""COMPUTED_VALUE"""),"Unlisted")</f>
        <v>Unlisted</v>
      </c>
    </row>
    <row r="590">
      <c r="A590" s="255" t="str">
        <f>IFERROR(__xludf.DUMMYFUNCTION("""COMPUTED_VALUE"""),"Spidops")</f>
        <v>Spidops</v>
      </c>
      <c r="B590" s="174" t="str">
        <f>IFERROR(__xludf.DUMMYFUNCTION("""COMPUTED_VALUE"""),"Unlisted")</f>
        <v>Unlisted</v>
      </c>
      <c r="C590" s="174" t="str">
        <f>IFERROR(__xludf.DUMMYFUNCTION("""COMPUTED_VALUE"""),"Unlisted")</f>
        <v>Unlisted</v>
      </c>
      <c r="D590" s="174" t="str">
        <f>IFERROR(__xludf.DUMMYFUNCTION("""COMPUTED_VALUE"""),"Unlisted")</f>
        <v>Unlisted</v>
      </c>
      <c r="E590" s="174" t="str">
        <f>IFERROR(__xludf.DUMMYFUNCTION("""COMPUTED_VALUE"""),"Unlisted")</f>
        <v>Unlisted</v>
      </c>
      <c r="F590" s="174" t="str">
        <f>IFERROR(__xludf.DUMMYFUNCTION("""COMPUTED_VALUE"""),"Unlisted")</f>
        <v>Unlisted</v>
      </c>
      <c r="G590" s="174" t="str">
        <f>IFERROR(__xludf.DUMMYFUNCTION("""COMPUTED_VALUE"""),"Proficient")</f>
        <v>Proficient</v>
      </c>
      <c r="H590" s="174" t="str">
        <f>IFERROR(__xludf.DUMMYFUNCTION("""COMPUTED_VALUE"""),"Unlisted")</f>
        <v>Unlisted</v>
      </c>
      <c r="I590" s="174" t="str">
        <f>IFERROR(__xludf.DUMMYFUNCTION("""COMPUTED_VALUE"""),"Unlisted")</f>
        <v>Unlisted</v>
      </c>
      <c r="J590" s="174" t="str">
        <f>IFERROR(__xludf.DUMMYFUNCTION("""COMPUTED_VALUE"""),"Unlisted")</f>
        <v>Unlisted</v>
      </c>
      <c r="K590" s="174" t="str">
        <f>IFERROR(__xludf.DUMMYFUNCTION("""COMPUTED_VALUE"""),"Proficient")</f>
        <v>Proficient</v>
      </c>
      <c r="L590" s="174" t="str">
        <f>IFERROR(__xludf.DUMMYFUNCTION("""COMPUTED_VALUE"""),"Mastered")</f>
        <v>Mastered</v>
      </c>
      <c r="M590" s="174" t="str">
        <f>IFERROR(__xludf.DUMMYFUNCTION("""COMPUTED_VALUE"""),"Unlisted")</f>
        <v>Unlisted</v>
      </c>
      <c r="N590" s="174" t="str">
        <f>IFERROR(__xludf.DUMMYFUNCTION("""COMPUTED_VALUE"""),"Unlisted")</f>
        <v>Unlisted</v>
      </c>
      <c r="O590" s="174" t="str">
        <f>IFERROR(__xludf.DUMMYFUNCTION("""COMPUTED_VALUE"""),"Unlisted")</f>
        <v>Unlisted</v>
      </c>
      <c r="P590" s="174" t="str">
        <f>IFERROR(__xludf.DUMMYFUNCTION("""COMPUTED_VALUE"""),"Unlisted")</f>
        <v>Unlisted</v>
      </c>
      <c r="Q590" s="174" t="str">
        <f>IFERROR(__xludf.DUMMYFUNCTION("""COMPUTED_VALUE"""),"Unlisted")</f>
        <v>Unlisted</v>
      </c>
      <c r="R590" s="174" t="str">
        <f>IFERROR(__xludf.DUMMYFUNCTION("""COMPUTED_VALUE"""),"Unlisted")</f>
        <v>Unlisted</v>
      </c>
    </row>
    <row r="591">
      <c r="A591" s="255" t="str">
        <f>IFERROR(__xludf.DUMMYFUNCTION("""COMPUTED_VALUE"""),"Nymble")</f>
        <v>Nymble</v>
      </c>
      <c r="B591" s="174" t="str">
        <f>IFERROR(__xludf.DUMMYFUNCTION("""COMPUTED_VALUE"""),"Mastered")</f>
        <v>Mastered</v>
      </c>
      <c r="C591" s="174" t="str">
        <f>IFERROR(__xludf.DUMMYFUNCTION("""COMPUTED_VALUE"""),"Unlisted")</f>
        <v>Unlisted</v>
      </c>
      <c r="D591" s="174" t="str">
        <f>IFERROR(__xludf.DUMMYFUNCTION("""COMPUTED_VALUE"""),"Unlisted")</f>
        <v>Unlisted</v>
      </c>
      <c r="E591" s="174" t="str">
        <f>IFERROR(__xludf.DUMMYFUNCTION("""COMPUTED_VALUE"""),"Unlisted")</f>
        <v>Unlisted</v>
      </c>
      <c r="F591" s="174" t="str">
        <f>IFERROR(__xludf.DUMMYFUNCTION("""COMPUTED_VALUE"""),"Unlisted")</f>
        <v>Unlisted</v>
      </c>
      <c r="G591" s="174" t="str">
        <f>IFERROR(__xludf.DUMMYFUNCTION("""COMPUTED_VALUE"""),"Proficient")</f>
        <v>Proficient</v>
      </c>
      <c r="H591" s="174" t="str">
        <f>IFERROR(__xludf.DUMMYFUNCTION("""COMPUTED_VALUE"""),"Unlisted")</f>
        <v>Unlisted</v>
      </c>
      <c r="I591" s="174" t="str">
        <f>IFERROR(__xludf.DUMMYFUNCTION("""COMPUTED_VALUE"""),"Unlisted")</f>
        <v>Unlisted</v>
      </c>
      <c r="J591" s="174" t="str">
        <f>IFERROR(__xludf.DUMMYFUNCTION("""COMPUTED_VALUE"""),"Unlisted")</f>
        <v>Unlisted</v>
      </c>
      <c r="K591" s="174" t="str">
        <f>IFERROR(__xludf.DUMMYFUNCTION("""COMPUTED_VALUE"""),"Unlisted")</f>
        <v>Unlisted</v>
      </c>
      <c r="L591" s="174" t="str">
        <f>IFERROR(__xludf.DUMMYFUNCTION("""COMPUTED_VALUE"""),"Proficient")</f>
        <v>Proficient</v>
      </c>
      <c r="M591" s="174" t="str">
        <f>IFERROR(__xludf.DUMMYFUNCTION("""COMPUTED_VALUE"""),"Unlisted")</f>
        <v>Unlisted</v>
      </c>
      <c r="N591" s="174" t="str">
        <f>IFERROR(__xludf.DUMMYFUNCTION("""COMPUTED_VALUE"""),"Unlisted")</f>
        <v>Unlisted</v>
      </c>
      <c r="O591" s="174" t="str">
        <f>IFERROR(__xludf.DUMMYFUNCTION("""COMPUTED_VALUE"""),"Unlisted")</f>
        <v>Unlisted</v>
      </c>
      <c r="P591" s="174" t="str">
        <f>IFERROR(__xludf.DUMMYFUNCTION("""COMPUTED_VALUE"""),"Unlisted")</f>
        <v>Unlisted</v>
      </c>
      <c r="Q591" s="174" t="str">
        <f>IFERROR(__xludf.DUMMYFUNCTION("""COMPUTED_VALUE"""),"Unlisted")</f>
        <v>Unlisted</v>
      </c>
      <c r="R591" s="174" t="str">
        <f>IFERROR(__xludf.DUMMYFUNCTION("""COMPUTED_VALUE"""),"Unlisted")</f>
        <v>Unlisted</v>
      </c>
    </row>
    <row r="592">
      <c r="A592" s="255" t="str">
        <f>IFERROR(__xludf.DUMMYFUNCTION("""COMPUTED_VALUE"""),"Lokix")</f>
        <v>Lokix</v>
      </c>
      <c r="B592" s="174" t="str">
        <f>IFERROR(__xludf.DUMMYFUNCTION("""COMPUTED_VALUE"""),"Mastered")</f>
        <v>Mastered</v>
      </c>
      <c r="C592" s="174" t="str">
        <f>IFERROR(__xludf.DUMMYFUNCTION("""COMPUTED_VALUE"""),"Unlisted")</f>
        <v>Unlisted</v>
      </c>
      <c r="D592" s="174" t="str">
        <f>IFERROR(__xludf.DUMMYFUNCTION("""COMPUTED_VALUE"""),"Unlisted")</f>
        <v>Unlisted</v>
      </c>
      <c r="E592" s="174" t="str">
        <f>IFERROR(__xludf.DUMMYFUNCTION("""COMPUTED_VALUE"""),"Proficient")</f>
        <v>Proficient</v>
      </c>
      <c r="F592" s="174" t="str">
        <f>IFERROR(__xludf.DUMMYFUNCTION("""COMPUTED_VALUE"""),"Unlisted")</f>
        <v>Unlisted</v>
      </c>
      <c r="G592" s="174" t="str">
        <f>IFERROR(__xludf.DUMMYFUNCTION("""COMPUTED_VALUE"""),"Proficient")</f>
        <v>Proficient</v>
      </c>
      <c r="H592" s="174" t="str">
        <f>IFERROR(__xludf.DUMMYFUNCTION("""COMPUTED_VALUE"""),"Unlisted")</f>
        <v>Unlisted</v>
      </c>
      <c r="I592" s="174" t="str">
        <f>IFERROR(__xludf.DUMMYFUNCTION("""COMPUTED_VALUE"""),"Unlisted")</f>
        <v>Unlisted</v>
      </c>
      <c r="J592" s="174" t="str">
        <f>IFERROR(__xludf.DUMMYFUNCTION("""COMPUTED_VALUE"""),"Unlisted")</f>
        <v>Unlisted</v>
      </c>
      <c r="K592" s="174" t="str">
        <f>IFERROR(__xludf.DUMMYFUNCTION("""COMPUTED_VALUE"""),"Unlisted")</f>
        <v>Unlisted</v>
      </c>
      <c r="L592" s="174" t="str">
        <f>IFERROR(__xludf.DUMMYFUNCTION("""COMPUTED_VALUE"""),"Unlisted")</f>
        <v>Unlisted</v>
      </c>
      <c r="M592" s="174" t="str">
        <f>IFERROR(__xludf.DUMMYFUNCTION("""COMPUTED_VALUE"""),"Unlisted")</f>
        <v>Unlisted</v>
      </c>
      <c r="N592" s="174" t="str">
        <f>IFERROR(__xludf.DUMMYFUNCTION("""COMPUTED_VALUE"""),"Unlisted")</f>
        <v>Unlisted</v>
      </c>
      <c r="O592" s="174" t="str">
        <f>IFERROR(__xludf.DUMMYFUNCTION("""COMPUTED_VALUE"""),"Unlisted")</f>
        <v>Unlisted</v>
      </c>
      <c r="P592" s="174" t="str">
        <f>IFERROR(__xludf.DUMMYFUNCTION("""COMPUTED_VALUE"""),"Unlisted")</f>
        <v>Unlisted</v>
      </c>
      <c r="Q592" s="174" t="str">
        <f>IFERROR(__xludf.DUMMYFUNCTION("""COMPUTED_VALUE"""),"Unlisted")</f>
        <v>Unlisted</v>
      </c>
      <c r="R592" s="174" t="str">
        <f>IFERROR(__xludf.DUMMYFUNCTION("""COMPUTED_VALUE"""),"Unlisted")</f>
        <v>Unlisted</v>
      </c>
    </row>
    <row r="593">
      <c r="A593" s="255" t="str">
        <f>IFERROR(__xludf.DUMMYFUNCTION("""COMPUTED_VALUE"""),"Rellor")</f>
        <v>Rellor</v>
      </c>
      <c r="B593" s="174" t="str">
        <f>IFERROR(__xludf.DUMMYFUNCTION("""COMPUTED_VALUE"""),"Unlisted")</f>
        <v>Unlisted</v>
      </c>
      <c r="C593" s="174" t="str">
        <f>IFERROR(__xludf.DUMMYFUNCTION("""COMPUTED_VALUE"""),"Inept")</f>
        <v>Inept</v>
      </c>
      <c r="D593" s="174" t="str">
        <f>IFERROR(__xludf.DUMMYFUNCTION("""COMPUTED_VALUE"""),"Unlisted")</f>
        <v>Unlisted</v>
      </c>
      <c r="E593" s="174" t="str">
        <f>IFERROR(__xludf.DUMMYFUNCTION("""COMPUTED_VALUE"""),"Unlisted")</f>
        <v>Unlisted</v>
      </c>
      <c r="F593" s="174" t="str">
        <f>IFERROR(__xludf.DUMMYFUNCTION("""COMPUTED_VALUE"""),"Unlisted")</f>
        <v>Unlisted</v>
      </c>
      <c r="G593" s="174" t="str">
        <f>IFERROR(__xludf.DUMMYFUNCTION("""COMPUTED_VALUE"""),"Proficient")</f>
        <v>Proficient</v>
      </c>
      <c r="H593" s="174" t="str">
        <f>IFERROR(__xludf.DUMMYFUNCTION("""COMPUTED_VALUE"""),"Unlisted")</f>
        <v>Unlisted</v>
      </c>
      <c r="I593" s="174" t="str">
        <f>IFERROR(__xludf.DUMMYFUNCTION("""COMPUTED_VALUE"""),"Unlisted")</f>
        <v>Unlisted</v>
      </c>
      <c r="J593" s="174" t="str">
        <f>IFERROR(__xludf.DUMMYFUNCTION("""COMPUTED_VALUE"""),"Proficient")</f>
        <v>Proficient</v>
      </c>
      <c r="K593" s="174" t="str">
        <f>IFERROR(__xludf.DUMMYFUNCTION("""COMPUTED_VALUE"""),"Unlisted")</f>
        <v>Unlisted</v>
      </c>
      <c r="L593" s="174" t="str">
        <f>IFERROR(__xludf.DUMMYFUNCTION("""COMPUTED_VALUE"""),"Unlisted")</f>
        <v>Unlisted</v>
      </c>
      <c r="M593" s="174" t="str">
        <f>IFERROR(__xludf.DUMMYFUNCTION("""COMPUTED_VALUE"""),"Unlisted")</f>
        <v>Unlisted</v>
      </c>
      <c r="N593" s="174" t="str">
        <f>IFERROR(__xludf.DUMMYFUNCTION("""COMPUTED_VALUE"""),"Unlisted")</f>
        <v>Unlisted</v>
      </c>
      <c r="O593" s="174" t="str">
        <f>IFERROR(__xludf.DUMMYFUNCTION("""COMPUTED_VALUE"""),"Unlisted")</f>
        <v>Unlisted</v>
      </c>
      <c r="P593" s="174" t="str">
        <f>IFERROR(__xludf.DUMMYFUNCTION("""COMPUTED_VALUE"""),"Unlisted")</f>
        <v>Unlisted</v>
      </c>
      <c r="Q593" s="174" t="str">
        <f>IFERROR(__xludf.DUMMYFUNCTION("""COMPUTED_VALUE"""),"Unlisted")</f>
        <v>Unlisted</v>
      </c>
      <c r="R593" s="174" t="str">
        <f>IFERROR(__xludf.DUMMYFUNCTION("""COMPUTED_VALUE"""),"Unlisted")</f>
        <v>Unlisted</v>
      </c>
    </row>
    <row r="594">
      <c r="A594" s="255" t="str">
        <f>IFERROR(__xludf.DUMMYFUNCTION("""COMPUTED_VALUE"""),"Rabsca")</f>
        <v>Rabsca</v>
      </c>
      <c r="B594" s="174" t="str">
        <f>IFERROR(__xludf.DUMMYFUNCTION("""COMPUTED_VALUE"""),"Unlisted")</f>
        <v>Unlisted</v>
      </c>
      <c r="C594" s="174" t="str">
        <f>IFERROR(__xludf.DUMMYFUNCTION("""COMPUTED_VALUE"""),"Inept")</f>
        <v>Inept</v>
      </c>
      <c r="D594" s="174" t="str">
        <f>IFERROR(__xludf.DUMMYFUNCTION("""COMPUTED_VALUE"""),"Unlisted")</f>
        <v>Unlisted</v>
      </c>
      <c r="E594" s="174" t="str">
        <f>IFERROR(__xludf.DUMMYFUNCTION("""COMPUTED_VALUE"""),"Unlisted")</f>
        <v>Unlisted</v>
      </c>
      <c r="F594" s="174" t="str">
        <f>IFERROR(__xludf.DUMMYFUNCTION("""COMPUTED_VALUE"""),"Unlisted")</f>
        <v>Unlisted</v>
      </c>
      <c r="G594" s="174" t="str">
        <f>IFERROR(__xludf.DUMMYFUNCTION("""COMPUTED_VALUE"""),"Proficient")</f>
        <v>Proficient</v>
      </c>
      <c r="H594" s="174" t="str">
        <f>IFERROR(__xludf.DUMMYFUNCTION("""COMPUTED_VALUE"""),"Unlisted")</f>
        <v>Unlisted</v>
      </c>
      <c r="I594" s="174" t="str">
        <f>IFERROR(__xludf.DUMMYFUNCTION("""COMPUTED_VALUE"""),"Unlisted")</f>
        <v>Unlisted</v>
      </c>
      <c r="J594" s="174" t="str">
        <f>IFERROR(__xludf.DUMMYFUNCTION("""COMPUTED_VALUE"""),"Proficient")</f>
        <v>Proficient</v>
      </c>
      <c r="K594" s="174" t="str">
        <f>IFERROR(__xludf.DUMMYFUNCTION("""COMPUTED_VALUE"""),"Unlisted")</f>
        <v>Unlisted</v>
      </c>
      <c r="L594" s="174" t="str">
        <f>IFERROR(__xludf.DUMMYFUNCTION("""COMPUTED_VALUE"""),"Unlisted")</f>
        <v>Unlisted</v>
      </c>
      <c r="M594" s="174" t="str">
        <f>IFERROR(__xludf.DUMMYFUNCTION("""COMPUTED_VALUE"""),"Unlisted")</f>
        <v>Unlisted</v>
      </c>
      <c r="N594" s="174" t="str">
        <f>IFERROR(__xludf.DUMMYFUNCTION("""COMPUTED_VALUE"""),"Unlisted")</f>
        <v>Unlisted</v>
      </c>
      <c r="O594" s="174" t="str">
        <f>IFERROR(__xludf.DUMMYFUNCTION("""COMPUTED_VALUE"""),"Unlisted")</f>
        <v>Unlisted</v>
      </c>
      <c r="P594" s="174" t="str">
        <f>IFERROR(__xludf.DUMMYFUNCTION("""COMPUTED_VALUE"""),"Unlisted")</f>
        <v>Unlisted</v>
      </c>
      <c r="Q594" s="174" t="str">
        <f>IFERROR(__xludf.DUMMYFUNCTION("""COMPUTED_VALUE"""),"Unlisted")</f>
        <v>Unlisted</v>
      </c>
      <c r="R594" s="174" t="str">
        <f>IFERROR(__xludf.DUMMYFUNCTION("""COMPUTED_VALUE"""),"Unlisted")</f>
        <v>Unlisted</v>
      </c>
    </row>
    <row r="595">
      <c r="A595" s="255" t="str">
        <f>IFERROR(__xludf.DUMMYFUNCTION("""COMPUTED_VALUE"""),"Murkrow")</f>
        <v>Murkrow</v>
      </c>
      <c r="B595" s="174" t="str">
        <f>IFERROR(__xludf.DUMMYFUNCTION("""COMPUTED_VALUE"""),"Unlisted")</f>
        <v>Unlisted</v>
      </c>
      <c r="C595" s="174" t="str">
        <f>IFERROR(__xludf.DUMMYFUNCTION("""COMPUTED_VALUE"""),"Unlisted")</f>
        <v>Unlisted</v>
      </c>
      <c r="D595" s="174" t="str">
        <f>IFERROR(__xludf.DUMMYFUNCTION("""COMPUTED_VALUE"""),"Unlisted")</f>
        <v>Unlisted</v>
      </c>
      <c r="E595" s="174" t="str">
        <f>IFERROR(__xludf.DUMMYFUNCTION("""COMPUTED_VALUE"""),"Unlisted")</f>
        <v>Unlisted</v>
      </c>
      <c r="F595" s="174" t="str">
        <f>IFERROR(__xludf.DUMMYFUNCTION("""COMPUTED_VALUE"""),"Unlisted")</f>
        <v>Unlisted</v>
      </c>
      <c r="G595" s="174" t="str">
        <f>IFERROR(__xludf.DUMMYFUNCTION("""COMPUTED_VALUE"""),"Unlisted")</f>
        <v>Unlisted</v>
      </c>
      <c r="H595" s="174" t="str">
        <f>IFERROR(__xludf.DUMMYFUNCTION("""COMPUTED_VALUE"""),"Proficient")</f>
        <v>Proficient</v>
      </c>
      <c r="I595" s="174" t="str">
        <f>IFERROR(__xludf.DUMMYFUNCTION("""COMPUTED_VALUE"""),"Unlisted")</f>
        <v>Unlisted</v>
      </c>
      <c r="J595" s="174" t="str">
        <f>IFERROR(__xludf.DUMMYFUNCTION("""COMPUTED_VALUE"""),"Proficient")</f>
        <v>Proficient</v>
      </c>
      <c r="K595" s="174" t="str">
        <f>IFERROR(__xludf.DUMMYFUNCTION("""COMPUTED_VALUE"""),"Unlisted")</f>
        <v>Unlisted</v>
      </c>
      <c r="L595" s="174" t="str">
        <f>IFERROR(__xludf.DUMMYFUNCTION("""COMPUTED_VALUE"""),"Mastered")</f>
        <v>Mastered</v>
      </c>
      <c r="M595" s="174" t="str">
        <f>IFERROR(__xludf.DUMMYFUNCTION("""COMPUTED_VALUE"""),"Unlisted")</f>
        <v>Unlisted</v>
      </c>
      <c r="N595" s="174" t="str">
        <f>IFERROR(__xludf.DUMMYFUNCTION("""COMPUTED_VALUE"""),"Unlisted")</f>
        <v>Unlisted</v>
      </c>
      <c r="O595" s="174" t="str">
        <f>IFERROR(__xludf.DUMMYFUNCTION("""COMPUTED_VALUE"""),"Unlisted")</f>
        <v>Unlisted</v>
      </c>
      <c r="P595" s="174" t="str">
        <f>IFERROR(__xludf.DUMMYFUNCTION("""COMPUTED_VALUE"""),"Unlisted")</f>
        <v>Unlisted</v>
      </c>
      <c r="Q595" s="174" t="str">
        <f>IFERROR(__xludf.DUMMYFUNCTION("""COMPUTED_VALUE"""),"Unlisted")</f>
        <v>Unlisted</v>
      </c>
      <c r="R595" s="174" t="str">
        <f>IFERROR(__xludf.DUMMYFUNCTION("""COMPUTED_VALUE"""),"Unlisted")</f>
        <v>Unlisted</v>
      </c>
    </row>
    <row r="596">
      <c r="A596" s="255" t="str">
        <f>IFERROR(__xludf.DUMMYFUNCTION("""COMPUTED_VALUE"""),"Honchkrow")</f>
        <v>Honchkrow</v>
      </c>
      <c r="B596" s="174" t="str">
        <f>IFERROR(__xludf.DUMMYFUNCTION("""COMPUTED_VALUE"""),"Unlisted")</f>
        <v>Unlisted</v>
      </c>
      <c r="C596" s="174" t="str">
        <f>IFERROR(__xludf.DUMMYFUNCTION("""COMPUTED_VALUE"""),"Unlisted")</f>
        <v>Unlisted</v>
      </c>
      <c r="D596" s="174" t="str">
        <f>IFERROR(__xludf.DUMMYFUNCTION("""COMPUTED_VALUE"""),"Unlisted")</f>
        <v>Unlisted</v>
      </c>
      <c r="E596" s="174" t="str">
        <f>IFERROR(__xludf.DUMMYFUNCTION("""COMPUTED_VALUE"""),"Unlisted")</f>
        <v>Unlisted</v>
      </c>
      <c r="F596" s="174" t="str">
        <f>IFERROR(__xludf.DUMMYFUNCTION("""COMPUTED_VALUE"""),"Unlisted")</f>
        <v>Unlisted</v>
      </c>
      <c r="G596" s="174" t="str">
        <f>IFERROR(__xludf.DUMMYFUNCTION("""COMPUTED_VALUE"""),"Unlisted")</f>
        <v>Unlisted</v>
      </c>
      <c r="H596" s="174" t="str">
        <f>IFERROR(__xludf.DUMMYFUNCTION("""COMPUTED_VALUE"""),"Proficient")</f>
        <v>Proficient</v>
      </c>
      <c r="I596" s="174" t="str">
        <f>IFERROR(__xludf.DUMMYFUNCTION("""COMPUTED_VALUE"""),"Unlisted")</f>
        <v>Unlisted</v>
      </c>
      <c r="J596" s="174" t="str">
        <f>IFERROR(__xludf.DUMMYFUNCTION("""COMPUTED_VALUE"""),"Proficient")</f>
        <v>Proficient</v>
      </c>
      <c r="K596" s="174" t="str">
        <f>IFERROR(__xludf.DUMMYFUNCTION("""COMPUTED_VALUE"""),"Unlisted")</f>
        <v>Unlisted</v>
      </c>
      <c r="L596" s="174" t="str">
        <f>IFERROR(__xludf.DUMMYFUNCTION("""COMPUTED_VALUE"""),"Mastered")</f>
        <v>Mastered</v>
      </c>
      <c r="M596" s="174" t="str">
        <f>IFERROR(__xludf.DUMMYFUNCTION("""COMPUTED_VALUE"""),"Unlisted")</f>
        <v>Unlisted</v>
      </c>
      <c r="N596" s="174" t="str">
        <f>IFERROR(__xludf.DUMMYFUNCTION("""COMPUTED_VALUE"""),"Unlisted")</f>
        <v>Unlisted</v>
      </c>
      <c r="O596" s="174" t="str">
        <f>IFERROR(__xludf.DUMMYFUNCTION("""COMPUTED_VALUE"""),"Unlisted")</f>
        <v>Unlisted</v>
      </c>
      <c r="P596" s="174" t="str">
        <f>IFERROR(__xludf.DUMMYFUNCTION("""COMPUTED_VALUE"""),"Unlisted")</f>
        <v>Unlisted</v>
      </c>
      <c r="Q596" s="174" t="str">
        <f>IFERROR(__xludf.DUMMYFUNCTION("""COMPUTED_VALUE"""),"Unlisted")</f>
        <v>Unlisted</v>
      </c>
      <c r="R596" s="174" t="str">
        <f>IFERROR(__xludf.DUMMYFUNCTION("""COMPUTED_VALUE"""),"Unlisted")</f>
        <v>Unlisted</v>
      </c>
    </row>
    <row r="597">
      <c r="A597" s="255" t="str">
        <f>IFERROR(__xludf.DUMMYFUNCTION("""COMPUTED_VALUE"""),"Sneasel")</f>
        <v>Sneasel</v>
      </c>
      <c r="B597" s="174" t="str">
        <f>IFERROR(__xludf.DUMMYFUNCTION("""COMPUTED_VALUE"""),"Mastered")</f>
        <v>Mastered</v>
      </c>
      <c r="C597" s="174" t="str">
        <f>IFERROR(__xludf.DUMMYFUNCTION("""COMPUTED_VALUE"""),"Unlisted")</f>
        <v>Unlisted</v>
      </c>
      <c r="D597" s="174" t="str">
        <f>IFERROR(__xludf.DUMMYFUNCTION("""COMPUTED_VALUE"""),"Unlisted")</f>
        <v>Unlisted</v>
      </c>
      <c r="E597" s="174" t="str">
        <f>IFERROR(__xludf.DUMMYFUNCTION("""COMPUTED_VALUE"""),"Proficient")</f>
        <v>Proficient</v>
      </c>
      <c r="F597" s="174" t="str">
        <f>IFERROR(__xludf.DUMMYFUNCTION("""COMPUTED_VALUE"""),"Unlisted")</f>
        <v>Unlisted</v>
      </c>
      <c r="G597" s="174" t="str">
        <f>IFERROR(__xludf.DUMMYFUNCTION("""COMPUTED_VALUE"""),"Unlisted")</f>
        <v>Unlisted</v>
      </c>
      <c r="H597" s="174" t="str">
        <f>IFERROR(__xludf.DUMMYFUNCTION("""COMPUTED_VALUE"""),"Unlisted")</f>
        <v>Unlisted</v>
      </c>
      <c r="I597" s="174" t="str">
        <f>IFERROR(__xludf.DUMMYFUNCTION("""COMPUTED_VALUE"""),"Unlisted")</f>
        <v>Unlisted</v>
      </c>
      <c r="J597" s="174" t="str">
        <f>IFERROR(__xludf.DUMMYFUNCTION("""COMPUTED_VALUE"""),"Unlisted")</f>
        <v>Unlisted</v>
      </c>
      <c r="K597" s="174" t="str">
        <f>IFERROR(__xludf.DUMMYFUNCTION("""COMPUTED_VALUE"""),"Unlisted")</f>
        <v>Unlisted</v>
      </c>
      <c r="L597" s="174" t="str">
        <f>IFERROR(__xludf.DUMMYFUNCTION("""COMPUTED_VALUE"""),"Proficient")</f>
        <v>Proficient</v>
      </c>
      <c r="M597" s="174" t="str">
        <f>IFERROR(__xludf.DUMMYFUNCTION("""COMPUTED_VALUE"""),"Unlisted")</f>
        <v>Unlisted</v>
      </c>
      <c r="N597" s="174" t="str">
        <f>IFERROR(__xludf.DUMMYFUNCTION("""COMPUTED_VALUE"""),"Unlisted")</f>
        <v>Unlisted</v>
      </c>
      <c r="O597" s="174" t="str">
        <f>IFERROR(__xludf.DUMMYFUNCTION("""COMPUTED_VALUE"""),"Unlisted")</f>
        <v>Unlisted</v>
      </c>
      <c r="P597" s="174" t="str">
        <f>IFERROR(__xludf.DUMMYFUNCTION("""COMPUTED_VALUE"""),"Unlisted")</f>
        <v>Unlisted</v>
      </c>
      <c r="Q597" s="174" t="str">
        <f>IFERROR(__xludf.DUMMYFUNCTION("""COMPUTED_VALUE"""),"Unlisted")</f>
        <v>Unlisted</v>
      </c>
      <c r="R597" s="174" t="str">
        <f>IFERROR(__xludf.DUMMYFUNCTION("""COMPUTED_VALUE"""),"Unlisted")</f>
        <v>Unlisted</v>
      </c>
    </row>
    <row r="598">
      <c r="A598" s="255" t="str">
        <f>IFERROR(__xludf.DUMMYFUNCTION("""COMPUTED_VALUE"""),"Weavile")</f>
        <v>Weavile</v>
      </c>
      <c r="B598" s="174" t="str">
        <f>IFERROR(__xludf.DUMMYFUNCTION("""COMPUTED_VALUE"""),"Mastered")</f>
        <v>Mastered</v>
      </c>
      <c r="C598" s="174" t="str">
        <f>IFERROR(__xludf.DUMMYFUNCTION("""COMPUTED_VALUE"""),"Unlisted")</f>
        <v>Unlisted</v>
      </c>
      <c r="D598" s="174" t="str">
        <f>IFERROR(__xludf.DUMMYFUNCTION("""COMPUTED_VALUE"""),"Unlisted")</f>
        <v>Unlisted</v>
      </c>
      <c r="E598" s="174" t="str">
        <f>IFERROR(__xludf.DUMMYFUNCTION("""COMPUTED_VALUE"""),"Proficient")</f>
        <v>Proficient</v>
      </c>
      <c r="F598" s="174" t="str">
        <f>IFERROR(__xludf.DUMMYFUNCTION("""COMPUTED_VALUE"""),"Unlisted")</f>
        <v>Unlisted</v>
      </c>
      <c r="G598" s="174" t="str">
        <f>IFERROR(__xludf.DUMMYFUNCTION("""COMPUTED_VALUE"""),"Unlisted")</f>
        <v>Unlisted</v>
      </c>
      <c r="H598" s="174" t="str">
        <f>IFERROR(__xludf.DUMMYFUNCTION("""COMPUTED_VALUE"""),"Unlisted")</f>
        <v>Unlisted</v>
      </c>
      <c r="I598" s="174" t="str">
        <f>IFERROR(__xludf.DUMMYFUNCTION("""COMPUTED_VALUE"""),"Unlisted")</f>
        <v>Unlisted</v>
      </c>
      <c r="J598" s="174" t="str">
        <f>IFERROR(__xludf.DUMMYFUNCTION("""COMPUTED_VALUE"""),"Unlisted")</f>
        <v>Unlisted</v>
      </c>
      <c r="K598" s="174" t="str">
        <f>IFERROR(__xludf.DUMMYFUNCTION("""COMPUTED_VALUE"""),"Unlisted")</f>
        <v>Unlisted</v>
      </c>
      <c r="L598" s="174" t="str">
        <f>IFERROR(__xludf.DUMMYFUNCTION("""COMPUTED_VALUE"""),"Proficient")</f>
        <v>Proficient</v>
      </c>
      <c r="M598" s="174" t="str">
        <f>IFERROR(__xludf.DUMMYFUNCTION("""COMPUTED_VALUE"""),"Unlisted")</f>
        <v>Unlisted</v>
      </c>
      <c r="N598" s="174" t="str">
        <f>IFERROR(__xludf.DUMMYFUNCTION("""COMPUTED_VALUE"""),"Unlisted")</f>
        <v>Unlisted</v>
      </c>
      <c r="O598" s="174" t="str">
        <f>IFERROR(__xludf.DUMMYFUNCTION("""COMPUTED_VALUE"""),"Unlisted")</f>
        <v>Unlisted</v>
      </c>
      <c r="P598" s="174" t="str">
        <f>IFERROR(__xludf.DUMMYFUNCTION("""COMPUTED_VALUE"""),"Unlisted")</f>
        <v>Unlisted</v>
      </c>
      <c r="Q598" s="174" t="str">
        <f>IFERROR(__xludf.DUMMYFUNCTION("""COMPUTED_VALUE"""),"Unlisted")</f>
        <v>Unlisted</v>
      </c>
      <c r="R598" s="174" t="str">
        <f>IFERROR(__xludf.DUMMYFUNCTION("""COMPUTED_VALUE"""),"Unlisted")</f>
        <v>Unlisted</v>
      </c>
    </row>
    <row r="599">
      <c r="A599" s="255" t="str">
        <f>IFERROR(__xludf.DUMMYFUNCTION("""COMPUTED_VALUE"""),"Houndour")</f>
        <v>Houndour</v>
      </c>
      <c r="B599" s="174" t="str">
        <f>IFERROR(__xludf.DUMMYFUNCTION("""COMPUTED_VALUE"""),"Unlisted")</f>
        <v>Unlisted</v>
      </c>
      <c r="C599" s="174" t="str">
        <f>IFERROR(__xludf.DUMMYFUNCTION("""COMPUTED_VALUE"""),"Unlisted")</f>
        <v>Unlisted</v>
      </c>
      <c r="D599" s="174" t="str">
        <f>IFERROR(__xludf.DUMMYFUNCTION("""COMPUTED_VALUE"""),"Unlisted")</f>
        <v>Unlisted</v>
      </c>
      <c r="E599" s="174" t="str">
        <f>IFERROR(__xludf.DUMMYFUNCTION("""COMPUTED_VALUE"""),"Unlisted")</f>
        <v>Unlisted</v>
      </c>
      <c r="F599" s="174" t="str">
        <f>IFERROR(__xludf.DUMMYFUNCTION("""COMPUTED_VALUE"""),"Proficient")</f>
        <v>Proficient</v>
      </c>
      <c r="G599" s="174" t="str">
        <f>IFERROR(__xludf.DUMMYFUNCTION("""COMPUTED_VALUE"""),"Unlisted")</f>
        <v>Unlisted</v>
      </c>
      <c r="H599" s="174" t="str">
        <f>IFERROR(__xludf.DUMMYFUNCTION("""COMPUTED_VALUE"""),"Unlisted")</f>
        <v>Unlisted</v>
      </c>
      <c r="I599" s="174" t="str">
        <f>IFERROR(__xludf.DUMMYFUNCTION("""COMPUTED_VALUE"""),"Unlisted")</f>
        <v>Unlisted</v>
      </c>
      <c r="J599" s="174" t="str">
        <f>IFERROR(__xludf.DUMMYFUNCTION("""COMPUTED_VALUE"""),"Unlisted")</f>
        <v>Unlisted</v>
      </c>
      <c r="K599" s="174" t="str">
        <f>IFERROR(__xludf.DUMMYFUNCTION("""COMPUTED_VALUE"""),"Mastered")</f>
        <v>Mastered</v>
      </c>
      <c r="L599" s="174" t="str">
        <f>IFERROR(__xludf.DUMMYFUNCTION("""COMPUTED_VALUE"""),"Proficient")</f>
        <v>Proficient</v>
      </c>
      <c r="M599" s="174" t="str">
        <f>IFERROR(__xludf.DUMMYFUNCTION("""COMPUTED_VALUE"""),"Unlisted")</f>
        <v>Unlisted</v>
      </c>
      <c r="N599" s="174" t="str">
        <f>IFERROR(__xludf.DUMMYFUNCTION("""COMPUTED_VALUE"""),"Unlisted")</f>
        <v>Unlisted</v>
      </c>
      <c r="O599" s="174" t="str">
        <f>IFERROR(__xludf.DUMMYFUNCTION("""COMPUTED_VALUE"""),"Unlisted")</f>
        <v>Unlisted</v>
      </c>
      <c r="P599" s="174" t="str">
        <f>IFERROR(__xludf.DUMMYFUNCTION("""COMPUTED_VALUE"""),"Unlisted")</f>
        <v>Unlisted</v>
      </c>
      <c r="Q599" s="174" t="str">
        <f>IFERROR(__xludf.DUMMYFUNCTION("""COMPUTED_VALUE"""),"Unlisted")</f>
        <v>Unlisted</v>
      </c>
      <c r="R599" s="174" t="str">
        <f>IFERROR(__xludf.DUMMYFUNCTION("""COMPUTED_VALUE"""),"Unlisted")</f>
        <v>Unlisted</v>
      </c>
    </row>
    <row r="600">
      <c r="A600" s="255" t="str">
        <f>IFERROR(__xludf.DUMMYFUNCTION("""COMPUTED_VALUE"""),"Houndoom")</f>
        <v>Houndoom</v>
      </c>
      <c r="B600" s="174" t="str">
        <f>IFERROR(__xludf.DUMMYFUNCTION("""COMPUTED_VALUE"""),"Unlisted")</f>
        <v>Unlisted</v>
      </c>
      <c r="C600" s="174" t="str">
        <f>IFERROR(__xludf.DUMMYFUNCTION("""COMPUTED_VALUE"""),"Unlisted")</f>
        <v>Unlisted</v>
      </c>
      <c r="D600" s="174" t="str">
        <f>IFERROR(__xludf.DUMMYFUNCTION("""COMPUTED_VALUE"""),"Unlisted")</f>
        <v>Unlisted</v>
      </c>
      <c r="E600" s="174" t="str">
        <f>IFERROR(__xludf.DUMMYFUNCTION("""COMPUTED_VALUE"""),"Unlisted")</f>
        <v>Unlisted</v>
      </c>
      <c r="F600" s="174" t="str">
        <f>IFERROR(__xludf.DUMMYFUNCTION("""COMPUTED_VALUE"""),"Proficient")</f>
        <v>Proficient</v>
      </c>
      <c r="G600" s="174" t="str">
        <f>IFERROR(__xludf.DUMMYFUNCTION("""COMPUTED_VALUE"""),"Unlisted")</f>
        <v>Unlisted</v>
      </c>
      <c r="H600" s="174" t="str">
        <f>IFERROR(__xludf.DUMMYFUNCTION("""COMPUTED_VALUE"""),"Unlisted")</f>
        <v>Unlisted</v>
      </c>
      <c r="I600" s="174" t="str">
        <f>IFERROR(__xludf.DUMMYFUNCTION("""COMPUTED_VALUE"""),"Unlisted")</f>
        <v>Unlisted</v>
      </c>
      <c r="J600" s="174" t="str">
        <f>IFERROR(__xludf.DUMMYFUNCTION("""COMPUTED_VALUE"""),"Unlisted")</f>
        <v>Unlisted</v>
      </c>
      <c r="K600" s="174" t="str">
        <f>IFERROR(__xludf.DUMMYFUNCTION("""COMPUTED_VALUE"""),"Mastered")</f>
        <v>Mastered</v>
      </c>
      <c r="L600" s="174" t="str">
        <f>IFERROR(__xludf.DUMMYFUNCTION("""COMPUTED_VALUE"""),"Proficient")</f>
        <v>Proficient</v>
      </c>
      <c r="M600" s="174" t="str">
        <f>IFERROR(__xludf.DUMMYFUNCTION("""COMPUTED_VALUE"""),"Unlisted")</f>
        <v>Unlisted</v>
      </c>
      <c r="N600" s="174" t="str">
        <f>IFERROR(__xludf.DUMMYFUNCTION("""COMPUTED_VALUE"""),"Unlisted")</f>
        <v>Unlisted</v>
      </c>
      <c r="O600" s="174" t="str">
        <f>IFERROR(__xludf.DUMMYFUNCTION("""COMPUTED_VALUE"""),"Unlisted")</f>
        <v>Unlisted</v>
      </c>
      <c r="P600" s="174" t="str">
        <f>IFERROR(__xludf.DUMMYFUNCTION("""COMPUTED_VALUE"""),"Unlisted")</f>
        <v>Unlisted</v>
      </c>
      <c r="Q600" s="174" t="str">
        <f>IFERROR(__xludf.DUMMYFUNCTION("""COMPUTED_VALUE"""),"Unlisted")</f>
        <v>Unlisted</v>
      </c>
      <c r="R600" s="174" t="str">
        <f>IFERROR(__xludf.DUMMYFUNCTION("""COMPUTED_VALUE"""),"Unlisted")</f>
        <v>Unlisted</v>
      </c>
    </row>
    <row r="601">
      <c r="A601" s="255" t="str">
        <f>IFERROR(__xludf.DUMMYFUNCTION("""COMPUTED_VALUE"""),"Poochyena")</f>
        <v>Poochyena</v>
      </c>
      <c r="B601" s="174" t="str">
        <f>IFERROR(__xludf.DUMMYFUNCTION("""COMPUTED_VALUE"""),"Unlisted")</f>
        <v>Unlisted</v>
      </c>
      <c r="C601" s="174" t="str">
        <f>IFERROR(__xludf.DUMMYFUNCTION("""COMPUTED_VALUE"""),"Proficient")</f>
        <v>Proficient</v>
      </c>
      <c r="D601" s="174" t="str">
        <f>IFERROR(__xludf.DUMMYFUNCTION("""COMPUTED_VALUE"""),"Unlisted")</f>
        <v>Unlisted</v>
      </c>
      <c r="E601" s="174" t="str">
        <f>IFERROR(__xludf.DUMMYFUNCTION("""COMPUTED_VALUE"""),"Unlisted")</f>
        <v>Unlisted</v>
      </c>
      <c r="F601" s="174" t="str">
        <f>IFERROR(__xludf.DUMMYFUNCTION("""COMPUTED_VALUE"""),"Proficient")</f>
        <v>Proficient</v>
      </c>
      <c r="G601" s="174" t="str">
        <f>IFERROR(__xludf.DUMMYFUNCTION("""COMPUTED_VALUE"""),"Unlisted")</f>
        <v>Unlisted</v>
      </c>
      <c r="H601" s="174" t="str">
        <f>IFERROR(__xludf.DUMMYFUNCTION("""COMPUTED_VALUE"""),"Unlisted")</f>
        <v>Unlisted</v>
      </c>
      <c r="I601" s="174" t="str">
        <f>IFERROR(__xludf.DUMMYFUNCTION("""COMPUTED_VALUE"""),"Unlisted")</f>
        <v>Unlisted</v>
      </c>
      <c r="J601" s="174" t="str">
        <f>IFERROR(__xludf.DUMMYFUNCTION("""COMPUTED_VALUE"""),"Unlisted")</f>
        <v>Unlisted</v>
      </c>
      <c r="K601" s="174" t="str">
        <f>IFERROR(__xludf.DUMMYFUNCTION("""COMPUTED_VALUE"""),"Unlisted")</f>
        <v>Unlisted</v>
      </c>
      <c r="L601" s="174" t="str">
        <f>IFERROR(__xludf.DUMMYFUNCTION("""COMPUTED_VALUE"""),"Unlisted")</f>
        <v>Unlisted</v>
      </c>
      <c r="M601" s="174" t="str">
        <f>IFERROR(__xludf.DUMMYFUNCTION("""COMPUTED_VALUE"""),"Unlisted")</f>
        <v>Unlisted</v>
      </c>
      <c r="N601" s="174" t="str">
        <f>IFERROR(__xludf.DUMMYFUNCTION("""COMPUTED_VALUE"""),"Unlisted")</f>
        <v>Unlisted</v>
      </c>
      <c r="O601" s="174" t="str">
        <f>IFERROR(__xludf.DUMMYFUNCTION("""COMPUTED_VALUE"""),"Unlisted")</f>
        <v>Unlisted</v>
      </c>
      <c r="P601" s="174" t="str">
        <f>IFERROR(__xludf.DUMMYFUNCTION("""COMPUTED_VALUE"""),"Unlisted")</f>
        <v>Unlisted</v>
      </c>
      <c r="Q601" s="174" t="str">
        <f>IFERROR(__xludf.DUMMYFUNCTION("""COMPUTED_VALUE"""),"Unlisted")</f>
        <v>Unlisted</v>
      </c>
      <c r="R601" s="174" t="str">
        <f>IFERROR(__xludf.DUMMYFUNCTION("""COMPUTED_VALUE"""),"Unlisted")</f>
        <v>Unlisted</v>
      </c>
    </row>
    <row r="602">
      <c r="A602" s="255" t="str">
        <f>IFERROR(__xludf.DUMMYFUNCTION("""COMPUTED_VALUE"""),"Mightyena")</f>
        <v>Mightyena</v>
      </c>
      <c r="B602" s="174" t="str">
        <f>IFERROR(__xludf.DUMMYFUNCTION("""COMPUTED_VALUE"""),"Unlisted")</f>
        <v>Unlisted</v>
      </c>
      <c r="C602" s="174" t="str">
        <f>IFERROR(__xludf.DUMMYFUNCTION("""COMPUTED_VALUE"""),"Proficient")</f>
        <v>Proficient</v>
      </c>
      <c r="D602" s="174" t="str">
        <f>IFERROR(__xludf.DUMMYFUNCTION("""COMPUTED_VALUE"""),"Unlisted")</f>
        <v>Unlisted</v>
      </c>
      <c r="E602" s="174" t="str">
        <f>IFERROR(__xludf.DUMMYFUNCTION("""COMPUTED_VALUE"""),"Unlisted")</f>
        <v>Unlisted</v>
      </c>
      <c r="F602" s="174" t="str">
        <f>IFERROR(__xludf.DUMMYFUNCTION("""COMPUTED_VALUE"""),"Proficient")</f>
        <v>Proficient</v>
      </c>
      <c r="G602" s="174" t="str">
        <f>IFERROR(__xludf.DUMMYFUNCTION("""COMPUTED_VALUE"""),"Unlisted")</f>
        <v>Unlisted</v>
      </c>
      <c r="H602" s="174" t="str">
        <f>IFERROR(__xludf.DUMMYFUNCTION("""COMPUTED_VALUE"""),"Unlisted")</f>
        <v>Unlisted</v>
      </c>
      <c r="I602" s="174" t="str">
        <f>IFERROR(__xludf.DUMMYFUNCTION("""COMPUTED_VALUE"""),"Proficient")</f>
        <v>Proficient</v>
      </c>
      <c r="J602" s="174" t="str">
        <f>IFERROR(__xludf.DUMMYFUNCTION("""COMPUTED_VALUE"""),"Unlisted")</f>
        <v>Unlisted</v>
      </c>
      <c r="K602" s="174" t="str">
        <f>IFERROR(__xludf.DUMMYFUNCTION("""COMPUTED_VALUE"""),"Unlisted")</f>
        <v>Unlisted</v>
      </c>
      <c r="L602" s="174" t="str">
        <f>IFERROR(__xludf.DUMMYFUNCTION("""COMPUTED_VALUE"""),"Unlisted")</f>
        <v>Unlisted</v>
      </c>
      <c r="M602" s="174" t="str">
        <f>IFERROR(__xludf.DUMMYFUNCTION("""COMPUTED_VALUE"""),"Unlisted")</f>
        <v>Unlisted</v>
      </c>
      <c r="N602" s="174" t="str">
        <f>IFERROR(__xludf.DUMMYFUNCTION("""COMPUTED_VALUE"""),"Unlisted")</f>
        <v>Unlisted</v>
      </c>
      <c r="O602" s="174" t="str">
        <f>IFERROR(__xludf.DUMMYFUNCTION("""COMPUTED_VALUE"""),"Unlisted")</f>
        <v>Unlisted</v>
      </c>
      <c r="P602" s="174" t="str">
        <f>IFERROR(__xludf.DUMMYFUNCTION("""COMPUTED_VALUE"""),"Unlisted")</f>
        <v>Unlisted</v>
      </c>
      <c r="Q602" s="174" t="str">
        <f>IFERROR(__xludf.DUMMYFUNCTION("""COMPUTED_VALUE"""),"Unlisted")</f>
        <v>Unlisted</v>
      </c>
      <c r="R602" s="174" t="str">
        <f>IFERROR(__xludf.DUMMYFUNCTION("""COMPUTED_VALUE"""),"Unlisted")</f>
        <v>Unlisted</v>
      </c>
    </row>
    <row r="603">
      <c r="A603" s="255" t="str">
        <f>IFERROR(__xludf.DUMMYFUNCTION("""COMPUTED_VALUE"""),"Purrloin")</f>
        <v>Purrloin</v>
      </c>
      <c r="B603" s="174" t="str">
        <f>IFERROR(__xludf.DUMMYFUNCTION("""COMPUTED_VALUE"""),"Proficient")</f>
        <v>Proficient</v>
      </c>
      <c r="C603" s="174" t="str">
        <f>IFERROR(__xludf.DUMMYFUNCTION("""COMPUTED_VALUE"""),"Unlisted")</f>
        <v>Unlisted</v>
      </c>
      <c r="D603" s="174" t="str">
        <f>IFERROR(__xludf.DUMMYFUNCTION("""COMPUTED_VALUE"""),"Unlisted")</f>
        <v>Unlisted</v>
      </c>
      <c r="E603" s="174" t="str">
        <f>IFERROR(__xludf.DUMMYFUNCTION("""COMPUTED_VALUE"""),"Unlisted")</f>
        <v>Unlisted</v>
      </c>
      <c r="F603" s="174" t="str">
        <f>IFERROR(__xludf.DUMMYFUNCTION("""COMPUTED_VALUE"""),"Unlisted")</f>
        <v>Unlisted</v>
      </c>
      <c r="G603" s="174" t="str">
        <f>IFERROR(__xludf.DUMMYFUNCTION("""COMPUTED_VALUE"""),"Unlisted")</f>
        <v>Unlisted</v>
      </c>
      <c r="H603" s="174" t="str">
        <f>IFERROR(__xludf.DUMMYFUNCTION("""COMPUTED_VALUE"""),"Proficient")</f>
        <v>Proficient</v>
      </c>
      <c r="I603" s="174" t="str">
        <f>IFERROR(__xludf.DUMMYFUNCTION("""COMPUTED_VALUE"""),"Unlisted")</f>
        <v>Unlisted</v>
      </c>
      <c r="J603" s="174" t="str">
        <f>IFERROR(__xludf.DUMMYFUNCTION("""COMPUTED_VALUE"""),"Unlisted")</f>
        <v>Unlisted</v>
      </c>
      <c r="K603" s="174" t="str">
        <f>IFERROR(__xludf.DUMMYFUNCTION("""COMPUTED_VALUE"""),"Unlisted")</f>
        <v>Unlisted</v>
      </c>
      <c r="L603" s="174" t="str">
        <f>IFERROR(__xludf.DUMMYFUNCTION("""COMPUTED_VALUE"""),"Mastered")</f>
        <v>Mastered</v>
      </c>
      <c r="M603" s="174" t="str">
        <f>IFERROR(__xludf.DUMMYFUNCTION("""COMPUTED_VALUE"""),"Unlisted")</f>
        <v>Unlisted</v>
      </c>
      <c r="N603" s="174" t="str">
        <f>IFERROR(__xludf.DUMMYFUNCTION("""COMPUTED_VALUE"""),"Unlisted")</f>
        <v>Unlisted</v>
      </c>
      <c r="O603" s="174" t="str">
        <f>IFERROR(__xludf.DUMMYFUNCTION("""COMPUTED_VALUE"""),"Unlisted")</f>
        <v>Unlisted</v>
      </c>
      <c r="P603" s="174" t="str">
        <f>IFERROR(__xludf.DUMMYFUNCTION("""COMPUTED_VALUE"""),"Unlisted")</f>
        <v>Unlisted</v>
      </c>
      <c r="Q603" s="174" t="str">
        <f>IFERROR(__xludf.DUMMYFUNCTION("""COMPUTED_VALUE"""),"Unlisted")</f>
        <v>Unlisted</v>
      </c>
      <c r="R603" s="174" t="str">
        <f>IFERROR(__xludf.DUMMYFUNCTION("""COMPUTED_VALUE"""),"Unlisted")</f>
        <v>Unlisted</v>
      </c>
    </row>
    <row r="604">
      <c r="A604" s="255" t="str">
        <f>IFERROR(__xludf.DUMMYFUNCTION("""COMPUTED_VALUE"""),"Liepard")</f>
        <v>Liepard</v>
      </c>
      <c r="B604" s="174" t="str">
        <f>IFERROR(__xludf.DUMMYFUNCTION("""COMPUTED_VALUE"""),"Proficient")</f>
        <v>Proficient</v>
      </c>
      <c r="C604" s="174" t="str">
        <f>IFERROR(__xludf.DUMMYFUNCTION("""COMPUTED_VALUE"""),"Unlisted")</f>
        <v>Unlisted</v>
      </c>
      <c r="D604" s="174" t="str">
        <f>IFERROR(__xludf.DUMMYFUNCTION("""COMPUTED_VALUE"""),"Unlisted")</f>
        <v>Unlisted</v>
      </c>
      <c r="E604" s="174" t="str">
        <f>IFERROR(__xludf.DUMMYFUNCTION("""COMPUTED_VALUE"""),"Unlisted")</f>
        <v>Unlisted</v>
      </c>
      <c r="F604" s="174" t="str">
        <f>IFERROR(__xludf.DUMMYFUNCTION("""COMPUTED_VALUE"""),"Unlisted")</f>
        <v>Unlisted</v>
      </c>
      <c r="G604" s="174" t="str">
        <f>IFERROR(__xludf.DUMMYFUNCTION("""COMPUTED_VALUE"""),"Unlisted")</f>
        <v>Unlisted</v>
      </c>
      <c r="H604" s="174" t="str">
        <f>IFERROR(__xludf.DUMMYFUNCTION("""COMPUTED_VALUE"""),"Proficient")</f>
        <v>Proficient</v>
      </c>
      <c r="I604" s="174" t="str">
        <f>IFERROR(__xludf.DUMMYFUNCTION("""COMPUTED_VALUE"""),"Unlisted")</f>
        <v>Unlisted</v>
      </c>
      <c r="J604" s="174" t="str">
        <f>IFERROR(__xludf.DUMMYFUNCTION("""COMPUTED_VALUE"""),"Unlisted")</f>
        <v>Unlisted</v>
      </c>
      <c r="K604" s="174" t="str">
        <f>IFERROR(__xludf.DUMMYFUNCTION("""COMPUTED_VALUE"""),"Unlisted")</f>
        <v>Unlisted</v>
      </c>
      <c r="L604" s="174" t="str">
        <f>IFERROR(__xludf.DUMMYFUNCTION("""COMPUTED_VALUE"""),"Mastered")</f>
        <v>Mastered</v>
      </c>
      <c r="M604" s="174" t="str">
        <f>IFERROR(__xludf.DUMMYFUNCTION("""COMPUTED_VALUE"""),"Unlisted")</f>
        <v>Unlisted</v>
      </c>
      <c r="N604" s="174" t="str">
        <f>IFERROR(__xludf.DUMMYFUNCTION("""COMPUTED_VALUE"""),"Unlisted")</f>
        <v>Unlisted</v>
      </c>
      <c r="O604" s="174" t="str">
        <f>IFERROR(__xludf.DUMMYFUNCTION("""COMPUTED_VALUE"""),"Unlisted")</f>
        <v>Unlisted</v>
      </c>
      <c r="P604" s="174" t="str">
        <f>IFERROR(__xludf.DUMMYFUNCTION("""COMPUTED_VALUE"""),"Unlisted")</f>
        <v>Unlisted</v>
      </c>
      <c r="Q604" s="174" t="str">
        <f>IFERROR(__xludf.DUMMYFUNCTION("""COMPUTED_VALUE"""),"Unlisted")</f>
        <v>Unlisted</v>
      </c>
      <c r="R604" s="174" t="str">
        <f>IFERROR(__xludf.DUMMYFUNCTION("""COMPUTED_VALUE"""),"Unlisted")</f>
        <v>Unlisted</v>
      </c>
    </row>
    <row r="605">
      <c r="A605" s="255" t="str">
        <f>IFERROR(__xludf.DUMMYFUNCTION("""COMPUTED_VALUE"""),"Scraggy")</f>
        <v>Scraggy</v>
      </c>
      <c r="B605" s="174" t="str">
        <f>IFERROR(__xludf.DUMMYFUNCTION("""COMPUTED_VALUE"""),"Unlisted")</f>
        <v>Unlisted</v>
      </c>
      <c r="C605" s="174" t="str">
        <f>IFERROR(__xludf.DUMMYFUNCTION("""COMPUTED_VALUE"""),"Proficient")</f>
        <v>Proficient</v>
      </c>
      <c r="D605" s="174" t="str">
        <f>IFERROR(__xludf.DUMMYFUNCTION("""COMPUTED_VALUE"""),"Unlisted")</f>
        <v>Unlisted</v>
      </c>
      <c r="E605" s="174" t="str">
        <f>IFERROR(__xludf.DUMMYFUNCTION("""COMPUTED_VALUE"""),"Mastered")</f>
        <v>Mastered</v>
      </c>
      <c r="F605" s="174" t="str">
        <f>IFERROR(__xludf.DUMMYFUNCTION("""COMPUTED_VALUE"""),"Unlisted")</f>
        <v>Unlisted</v>
      </c>
      <c r="G605" s="174" t="str">
        <f>IFERROR(__xludf.DUMMYFUNCTION("""COMPUTED_VALUE"""),"Unlisted")</f>
        <v>Unlisted</v>
      </c>
      <c r="H605" s="174" t="str">
        <f>IFERROR(__xludf.DUMMYFUNCTION("""COMPUTED_VALUE"""),"Proficient")</f>
        <v>Proficient</v>
      </c>
      <c r="I605" s="174" t="str">
        <f>IFERROR(__xludf.DUMMYFUNCTION("""COMPUTED_VALUE"""),"Unlisted")</f>
        <v>Unlisted</v>
      </c>
      <c r="J605" s="174" t="str">
        <f>IFERROR(__xludf.DUMMYFUNCTION("""COMPUTED_VALUE"""),"Unlisted")</f>
        <v>Unlisted</v>
      </c>
      <c r="K605" s="174" t="str">
        <f>IFERROR(__xludf.DUMMYFUNCTION("""COMPUTED_VALUE"""),"Unlisted")</f>
        <v>Unlisted</v>
      </c>
      <c r="L605" s="174" t="str">
        <f>IFERROR(__xludf.DUMMYFUNCTION("""COMPUTED_VALUE"""),"Unlisted")</f>
        <v>Unlisted</v>
      </c>
      <c r="M605" s="174" t="str">
        <f>IFERROR(__xludf.DUMMYFUNCTION("""COMPUTED_VALUE"""),"Unlisted")</f>
        <v>Unlisted</v>
      </c>
      <c r="N605" s="174" t="str">
        <f>IFERROR(__xludf.DUMMYFUNCTION("""COMPUTED_VALUE"""),"Unlisted")</f>
        <v>Unlisted</v>
      </c>
      <c r="O605" s="174" t="str">
        <f>IFERROR(__xludf.DUMMYFUNCTION("""COMPUTED_VALUE"""),"Unlisted")</f>
        <v>Unlisted</v>
      </c>
      <c r="P605" s="174" t="str">
        <f>IFERROR(__xludf.DUMMYFUNCTION("""COMPUTED_VALUE"""),"Unlisted")</f>
        <v>Unlisted</v>
      </c>
      <c r="Q605" s="174" t="str">
        <f>IFERROR(__xludf.DUMMYFUNCTION("""COMPUTED_VALUE"""),"Unlisted")</f>
        <v>Unlisted</v>
      </c>
      <c r="R605" s="174" t="str">
        <f>IFERROR(__xludf.DUMMYFUNCTION("""COMPUTED_VALUE"""),"Unlisted")</f>
        <v>Unlisted</v>
      </c>
    </row>
    <row r="606">
      <c r="A606" s="255" t="str">
        <f>IFERROR(__xludf.DUMMYFUNCTION("""COMPUTED_VALUE"""),"Scrafty")</f>
        <v>Scrafty</v>
      </c>
      <c r="B606" s="174" t="str">
        <f>IFERROR(__xludf.DUMMYFUNCTION("""COMPUTED_VALUE"""),"Unlisted")</f>
        <v>Unlisted</v>
      </c>
      <c r="C606" s="174" t="str">
        <f>IFERROR(__xludf.DUMMYFUNCTION("""COMPUTED_VALUE"""),"Proficient")</f>
        <v>Proficient</v>
      </c>
      <c r="D606" s="174" t="str">
        <f>IFERROR(__xludf.DUMMYFUNCTION("""COMPUTED_VALUE"""),"Unlisted")</f>
        <v>Unlisted</v>
      </c>
      <c r="E606" s="174" t="str">
        <f>IFERROR(__xludf.DUMMYFUNCTION("""COMPUTED_VALUE"""),"Mastered")</f>
        <v>Mastered</v>
      </c>
      <c r="F606" s="174" t="str">
        <f>IFERROR(__xludf.DUMMYFUNCTION("""COMPUTED_VALUE"""),"Unlisted")</f>
        <v>Unlisted</v>
      </c>
      <c r="G606" s="174" t="str">
        <f>IFERROR(__xludf.DUMMYFUNCTION("""COMPUTED_VALUE"""),"Unlisted")</f>
        <v>Unlisted</v>
      </c>
      <c r="H606" s="174" t="str">
        <f>IFERROR(__xludf.DUMMYFUNCTION("""COMPUTED_VALUE"""),"Proficient")</f>
        <v>Proficient</v>
      </c>
      <c r="I606" s="174" t="str">
        <f>IFERROR(__xludf.DUMMYFUNCTION("""COMPUTED_VALUE"""),"Unlisted")</f>
        <v>Unlisted</v>
      </c>
      <c r="J606" s="174" t="str">
        <f>IFERROR(__xludf.DUMMYFUNCTION("""COMPUTED_VALUE"""),"Unlisted")</f>
        <v>Unlisted</v>
      </c>
      <c r="K606" s="174" t="str">
        <f>IFERROR(__xludf.DUMMYFUNCTION("""COMPUTED_VALUE"""),"Unlisted")</f>
        <v>Unlisted</v>
      </c>
      <c r="L606" s="174" t="str">
        <f>IFERROR(__xludf.DUMMYFUNCTION("""COMPUTED_VALUE"""),"Unlisted")</f>
        <v>Unlisted</v>
      </c>
      <c r="M606" s="174" t="str">
        <f>IFERROR(__xludf.DUMMYFUNCTION("""COMPUTED_VALUE"""),"Unlisted")</f>
        <v>Unlisted</v>
      </c>
      <c r="N606" s="174" t="str">
        <f>IFERROR(__xludf.DUMMYFUNCTION("""COMPUTED_VALUE"""),"Unlisted")</f>
        <v>Unlisted</v>
      </c>
      <c r="O606" s="174" t="str">
        <f>IFERROR(__xludf.DUMMYFUNCTION("""COMPUTED_VALUE"""),"Unlisted")</f>
        <v>Unlisted</v>
      </c>
      <c r="P606" s="174" t="str">
        <f>IFERROR(__xludf.DUMMYFUNCTION("""COMPUTED_VALUE"""),"Unlisted")</f>
        <v>Unlisted</v>
      </c>
      <c r="Q606" s="174" t="str">
        <f>IFERROR(__xludf.DUMMYFUNCTION("""COMPUTED_VALUE"""),"Unlisted")</f>
        <v>Unlisted</v>
      </c>
      <c r="R606" s="174" t="str">
        <f>IFERROR(__xludf.DUMMYFUNCTION("""COMPUTED_VALUE"""),"Unlisted")</f>
        <v>Unlisted</v>
      </c>
    </row>
    <row r="607">
      <c r="A607" s="255" t="str">
        <f>IFERROR(__xludf.DUMMYFUNCTION("""COMPUTED_VALUE"""),"Zorua")</f>
        <v>Zorua</v>
      </c>
      <c r="B607" s="174" t="str">
        <f>IFERROR(__xludf.DUMMYFUNCTION("""COMPUTED_VALUE"""),"Proficient")</f>
        <v>Proficient</v>
      </c>
      <c r="C607" s="174" t="str">
        <f>IFERROR(__xludf.DUMMYFUNCTION("""COMPUTED_VALUE"""),"Unlisted")</f>
        <v>Unlisted</v>
      </c>
      <c r="D607" s="174" t="str">
        <f>IFERROR(__xludf.DUMMYFUNCTION("""COMPUTED_VALUE"""),"Unlisted")</f>
        <v>Unlisted</v>
      </c>
      <c r="E607" s="174" t="str">
        <f>IFERROR(__xludf.DUMMYFUNCTION("""COMPUTED_VALUE"""),"Unlisted")</f>
        <v>Unlisted</v>
      </c>
      <c r="F607" s="174" t="str">
        <f>IFERROR(__xludf.DUMMYFUNCTION("""COMPUTED_VALUE"""),"Unlisted")</f>
        <v>Unlisted</v>
      </c>
      <c r="G607" s="174" t="str">
        <f>IFERROR(__xludf.DUMMYFUNCTION("""COMPUTED_VALUE"""),"Unlisted")</f>
        <v>Unlisted</v>
      </c>
      <c r="H607" s="174" t="str">
        <f>IFERROR(__xludf.DUMMYFUNCTION("""COMPUTED_VALUE"""),"Mastered")</f>
        <v>Mastered</v>
      </c>
      <c r="I607" s="174" t="str">
        <f>IFERROR(__xludf.DUMMYFUNCTION("""COMPUTED_VALUE"""),"Unlisted")</f>
        <v>Unlisted</v>
      </c>
      <c r="J607" s="174" t="str">
        <f>IFERROR(__xludf.DUMMYFUNCTION("""COMPUTED_VALUE"""),"Unlisted")</f>
        <v>Unlisted</v>
      </c>
      <c r="K607" s="174" t="str">
        <f>IFERROR(__xludf.DUMMYFUNCTION("""COMPUTED_VALUE"""),"Unlisted")</f>
        <v>Unlisted</v>
      </c>
      <c r="L607" s="174" t="str">
        <f>IFERROR(__xludf.DUMMYFUNCTION("""COMPUTED_VALUE"""),"Proficient")</f>
        <v>Proficient</v>
      </c>
      <c r="M607" s="174" t="str">
        <f>IFERROR(__xludf.DUMMYFUNCTION("""COMPUTED_VALUE"""),"Unlisted")</f>
        <v>Unlisted</v>
      </c>
      <c r="N607" s="174" t="str">
        <f>IFERROR(__xludf.DUMMYFUNCTION("""COMPUTED_VALUE"""),"Unlisted")</f>
        <v>Unlisted</v>
      </c>
      <c r="O607" s="174" t="str">
        <f>IFERROR(__xludf.DUMMYFUNCTION("""COMPUTED_VALUE"""),"Unlisted")</f>
        <v>Unlisted</v>
      </c>
      <c r="P607" s="174" t="str">
        <f>IFERROR(__xludf.DUMMYFUNCTION("""COMPUTED_VALUE"""),"Unlisted")</f>
        <v>Unlisted</v>
      </c>
      <c r="Q607" s="174" t="str">
        <f>IFERROR(__xludf.DUMMYFUNCTION("""COMPUTED_VALUE"""),"Unlisted")</f>
        <v>Unlisted</v>
      </c>
      <c r="R607" s="174" t="str">
        <f>IFERROR(__xludf.DUMMYFUNCTION("""COMPUTED_VALUE"""),"Unlisted")</f>
        <v>Unlisted</v>
      </c>
    </row>
    <row r="608">
      <c r="A608" s="255" t="str">
        <f>IFERROR(__xludf.DUMMYFUNCTION("""COMPUTED_VALUE"""),"Zoroark")</f>
        <v>Zoroark</v>
      </c>
      <c r="B608" s="174" t="str">
        <f>IFERROR(__xludf.DUMMYFUNCTION("""COMPUTED_VALUE"""),"Proficient")</f>
        <v>Proficient</v>
      </c>
      <c r="C608" s="174" t="str">
        <f>IFERROR(__xludf.DUMMYFUNCTION("""COMPUTED_VALUE"""),"Unlisted")</f>
        <v>Unlisted</v>
      </c>
      <c r="D608" s="174" t="str">
        <f>IFERROR(__xludf.DUMMYFUNCTION("""COMPUTED_VALUE"""),"Unlisted")</f>
        <v>Unlisted</v>
      </c>
      <c r="E608" s="174" t="str">
        <f>IFERROR(__xludf.DUMMYFUNCTION("""COMPUTED_VALUE"""),"Unlisted")</f>
        <v>Unlisted</v>
      </c>
      <c r="F608" s="174" t="str">
        <f>IFERROR(__xludf.DUMMYFUNCTION("""COMPUTED_VALUE"""),"Unlisted")</f>
        <v>Unlisted</v>
      </c>
      <c r="G608" s="174" t="str">
        <f>IFERROR(__xludf.DUMMYFUNCTION("""COMPUTED_VALUE"""),"Unlisted")</f>
        <v>Unlisted</v>
      </c>
      <c r="H608" s="174" t="str">
        <f>IFERROR(__xludf.DUMMYFUNCTION("""COMPUTED_VALUE"""),"Mastered")</f>
        <v>Mastered</v>
      </c>
      <c r="I608" s="174" t="str">
        <f>IFERROR(__xludf.DUMMYFUNCTION("""COMPUTED_VALUE"""),"Unlisted")</f>
        <v>Unlisted</v>
      </c>
      <c r="J608" s="174" t="str">
        <f>IFERROR(__xludf.DUMMYFUNCTION("""COMPUTED_VALUE"""),"Unlisted")</f>
        <v>Unlisted</v>
      </c>
      <c r="K608" s="174" t="str">
        <f>IFERROR(__xludf.DUMMYFUNCTION("""COMPUTED_VALUE"""),"Unlisted")</f>
        <v>Unlisted</v>
      </c>
      <c r="L608" s="174" t="str">
        <f>IFERROR(__xludf.DUMMYFUNCTION("""COMPUTED_VALUE"""),"Proficient")</f>
        <v>Proficient</v>
      </c>
      <c r="M608" s="174" t="str">
        <f>IFERROR(__xludf.DUMMYFUNCTION("""COMPUTED_VALUE"""),"Unlisted")</f>
        <v>Unlisted</v>
      </c>
      <c r="N608" s="174" t="str">
        <f>IFERROR(__xludf.DUMMYFUNCTION("""COMPUTED_VALUE"""),"Unlisted")</f>
        <v>Unlisted</v>
      </c>
      <c r="O608" s="174" t="str">
        <f>IFERROR(__xludf.DUMMYFUNCTION("""COMPUTED_VALUE"""),"Unlisted")</f>
        <v>Unlisted</v>
      </c>
      <c r="P608" s="174" t="str">
        <f>IFERROR(__xludf.DUMMYFUNCTION("""COMPUTED_VALUE"""),"Unlisted")</f>
        <v>Unlisted</v>
      </c>
      <c r="Q608" s="174" t="str">
        <f>IFERROR(__xludf.DUMMYFUNCTION("""COMPUTED_VALUE"""),"Unlisted")</f>
        <v>Unlisted</v>
      </c>
      <c r="R608" s="174" t="str">
        <f>IFERROR(__xludf.DUMMYFUNCTION("""COMPUTED_VALUE"""),"Unlisted")</f>
        <v>Unlisted</v>
      </c>
    </row>
    <row r="609">
      <c r="A609" s="255" t="str">
        <f>IFERROR(__xludf.DUMMYFUNCTION("""COMPUTED_VALUE"""),"Vullaby")</f>
        <v>Vullaby</v>
      </c>
      <c r="B609" s="174" t="str">
        <f>IFERROR(__xludf.DUMMYFUNCTION("""COMPUTED_VALUE"""),"Unlisted")</f>
        <v>Unlisted</v>
      </c>
      <c r="C609" s="174" t="str">
        <f>IFERROR(__xludf.DUMMYFUNCTION("""COMPUTED_VALUE"""),"Unlisted")</f>
        <v>Unlisted</v>
      </c>
      <c r="D609" s="174" t="str">
        <f>IFERROR(__xludf.DUMMYFUNCTION("""COMPUTED_VALUE"""),"Unlisted")</f>
        <v>Unlisted</v>
      </c>
      <c r="E609" s="174" t="str">
        <f>IFERROR(__xludf.DUMMYFUNCTION("""COMPUTED_VALUE"""),"Unlisted")</f>
        <v>Unlisted</v>
      </c>
      <c r="F609" s="174" t="str">
        <f>IFERROR(__xludf.DUMMYFUNCTION("""COMPUTED_VALUE"""),"Unlisted")</f>
        <v>Unlisted</v>
      </c>
      <c r="G609" s="174" t="str">
        <f>IFERROR(__xludf.DUMMYFUNCTION("""COMPUTED_VALUE"""),"Unlisted")</f>
        <v>Unlisted</v>
      </c>
      <c r="H609" s="174" t="str">
        <f>IFERROR(__xludf.DUMMYFUNCTION("""COMPUTED_VALUE"""),"Unlisted")</f>
        <v>Unlisted</v>
      </c>
      <c r="I609" s="174" t="str">
        <f>IFERROR(__xludf.DUMMYFUNCTION("""COMPUTED_VALUE"""),"Unlisted")</f>
        <v>Unlisted</v>
      </c>
      <c r="J609" s="174" t="str">
        <f>IFERROR(__xludf.DUMMYFUNCTION("""COMPUTED_VALUE"""),"Unlisted")</f>
        <v>Unlisted</v>
      </c>
      <c r="K609" s="174" t="str">
        <f>IFERROR(__xludf.DUMMYFUNCTION("""COMPUTED_VALUE"""),"Mastered")</f>
        <v>Mastered</v>
      </c>
      <c r="L609" s="174" t="str">
        <f>IFERROR(__xludf.DUMMYFUNCTION("""COMPUTED_VALUE"""),"Unlisted")</f>
        <v>Unlisted</v>
      </c>
      <c r="M609" s="174" t="str">
        <f>IFERROR(__xludf.DUMMYFUNCTION("""COMPUTED_VALUE"""),"Unlisted")</f>
        <v>Unlisted</v>
      </c>
      <c r="N609" s="174" t="str">
        <f>IFERROR(__xludf.DUMMYFUNCTION("""COMPUTED_VALUE"""),"Unlisted")</f>
        <v>Unlisted</v>
      </c>
      <c r="O609" s="174" t="str">
        <f>IFERROR(__xludf.DUMMYFUNCTION("""COMPUTED_VALUE"""),"Proficient")</f>
        <v>Proficient</v>
      </c>
      <c r="P609" s="174" t="str">
        <f>IFERROR(__xludf.DUMMYFUNCTION("""COMPUTED_VALUE"""),"Unlisted")</f>
        <v>Unlisted</v>
      </c>
      <c r="Q609" s="174" t="str">
        <f>IFERROR(__xludf.DUMMYFUNCTION("""COMPUTED_VALUE"""),"Unlisted")</f>
        <v>Unlisted</v>
      </c>
      <c r="R609" s="174" t="str">
        <f>IFERROR(__xludf.DUMMYFUNCTION("""COMPUTED_VALUE"""),"Unlisted")</f>
        <v>Unlisted</v>
      </c>
    </row>
    <row r="610">
      <c r="A610" s="255" t="str">
        <f>IFERROR(__xludf.DUMMYFUNCTION("""COMPUTED_VALUE"""),"Mandibuzz")</f>
        <v>Mandibuzz</v>
      </c>
      <c r="B610" s="174" t="str">
        <f>IFERROR(__xludf.DUMMYFUNCTION("""COMPUTED_VALUE"""),"Unlisted")</f>
        <v>Unlisted</v>
      </c>
      <c r="C610" s="174" t="str">
        <f>IFERROR(__xludf.DUMMYFUNCTION("""COMPUTED_VALUE"""),"Unlisted")</f>
        <v>Unlisted</v>
      </c>
      <c r="D610" s="174" t="str">
        <f>IFERROR(__xludf.DUMMYFUNCTION("""COMPUTED_VALUE"""),"Unlisted")</f>
        <v>Unlisted</v>
      </c>
      <c r="E610" s="174" t="str">
        <f>IFERROR(__xludf.DUMMYFUNCTION("""COMPUTED_VALUE"""),"Unlisted")</f>
        <v>Unlisted</v>
      </c>
      <c r="F610" s="174" t="str">
        <f>IFERROR(__xludf.DUMMYFUNCTION("""COMPUTED_VALUE"""),"Proficient")</f>
        <v>Proficient</v>
      </c>
      <c r="G610" s="174" t="str">
        <f>IFERROR(__xludf.DUMMYFUNCTION("""COMPUTED_VALUE"""),"Unlisted")</f>
        <v>Unlisted</v>
      </c>
      <c r="H610" s="174" t="str">
        <f>IFERROR(__xludf.DUMMYFUNCTION("""COMPUTED_VALUE"""),"Unlisted")</f>
        <v>Unlisted</v>
      </c>
      <c r="I610" s="174" t="str">
        <f>IFERROR(__xludf.DUMMYFUNCTION("""COMPUTED_VALUE"""),"Unlisted")</f>
        <v>Unlisted</v>
      </c>
      <c r="J610" s="174" t="str">
        <f>IFERROR(__xludf.DUMMYFUNCTION("""COMPUTED_VALUE"""),"Unlisted")</f>
        <v>Unlisted</v>
      </c>
      <c r="K610" s="174" t="str">
        <f>IFERROR(__xludf.DUMMYFUNCTION("""COMPUTED_VALUE"""),"Mastered")</f>
        <v>Mastered</v>
      </c>
      <c r="L610" s="174" t="str">
        <f>IFERROR(__xludf.DUMMYFUNCTION("""COMPUTED_VALUE"""),"Unlisted")</f>
        <v>Unlisted</v>
      </c>
      <c r="M610" s="174" t="str">
        <f>IFERROR(__xludf.DUMMYFUNCTION("""COMPUTED_VALUE"""),"Unlisted")</f>
        <v>Unlisted</v>
      </c>
      <c r="N610" s="174" t="str">
        <f>IFERROR(__xludf.DUMMYFUNCTION("""COMPUTED_VALUE"""),"Unlisted")</f>
        <v>Unlisted</v>
      </c>
      <c r="O610" s="174" t="str">
        <f>IFERROR(__xludf.DUMMYFUNCTION("""COMPUTED_VALUE"""),"Proficient")</f>
        <v>Proficient</v>
      </c>
      <c r="P610" s="174" t="str">
        <f>IFERROR(__xludf.DUMMYFUNCTION("""COMPUTED_VALUE"""),"Unlisted")</f>
        <v>Unlisted</v>
      </c>
      <c r="Q610" s="174" t="str">
        <f>IFERROR(__xludf.DUMMYFUNCTION("""COMPUTED_VALUE"""),"Unlisted")</f>
        <v>Unlisted</v>
      </c>
      <c r="R610" s="174" t="str">
        <f>IFERROR(__xludf.DUMMYFUNCTION("""COMPUTED_VALUE"""),"Unlisted")</f>
        <v>Unlisted</v>
      </c>
    </row>
    <row r="611">
      <c r="A611" s="255" t="str">
        <f>IFERROR(__xludf.DUMMYFUNCTION("""COMPUTED_VALUE"""),"Inkay")</f>
        <v>Inkay</v>
      </c>
      <c r="B611" s="174" t="str">
        <f>IFERROR(__xludf.DUMMYFUNCTION("""COMPUTED_VALUE"""),"Unlisted")</f>
        <v>Unlisted</v>
      </c>
      <c r="C611" s="174" t="str">
        <f>IFERROR(__xludf.DUMMYFUNCTION("""COMPUTED_VALUE"""),"Unlisted")</f>
        <v>Unlisted</v>
      </c>
      <c r="D611" s="174" t="str">
        <f>IFERROR(__xludf.DUMMYFUNCTION("""COMPUTED_VALUE"""),"Unlisted")</f>
        <v>Unlisted</v>
      </c>
      <c r="E611" s="174" t="str">
        <f>IFERROR(__xludf.DUMMYFUNCTION("""COMPUTED_VALUE"""),"Proficient")</f>
        <v>Proficient</v>
      </c>
      <c r="F611" s="174" t="str">
        <f>IFERROR(__xludf.DUMMYFUNCTION("""COMPUTED_VALUE"""),"Unlisted")</f>
        <v>Unlisted</v>
      </c>
      <c r="G611" s="174" t="str">
        <f>IFERROR(__xludf.DUMMYFUNCTION("""COMPUTED_VALUE"""),"Mastered")</f>
        <v>Mastered</v>
      </c>
      <c r="H611" s="174" t="str">
        <f>IFERROR(__xludf.DUMMYFUNCTION("""COMPUTED_VALUE"""),"Unlisted")</f>
        <v>Unlisted</v>
      </c>
      <c r="I611" s="174" t="str">
        <f>IFERROR(__xludf.DUMMYFUNCTION("""COMPUTED_VALUE"""),"Unlisted")</f>
        <v>Unlisted</v>
      </c>
      <c r="J611" s="174" t="str">
        <f>IFERROR(__xludf.DUMMYFUNCTION("""COMPUTED_VALUE"""),"Unlisted")</f>
        <v>Unlisted</v>
      </c>
      <c r="K611" s="174" t="str">
        <f>IFERROR(__xludf.DUMMYFUNCTION("""COMPUTED_VALUE"""),"Proficient")</f>
        <v>Proficient</v>
      </c>
      <c r="L611" s="174" t="str">
        <f>IFERROR(__xludf.DUMMYFUNCTION("""COMPUTED_VALUE"""),"Unlisted")</f>
        <v>Unlisted</v>
      </c>
      <c r="M611" s="174" t="str">
        <f>IFERROR(__xludf.DUMMYFUNCTION("""COMPUTED_VALUE"""),"Unlisted")</f>
        <v>Unlisted</v>
      </c>
      <c r="N611" s="174" t="str">
        <f>IFERROR(__xludf.DUMMYFUNCTION("""COMPUTED_VALUE"""),"Unlisted")</f>
        <v>Unlisted</v>
      </c>
      <c r="O611" s="174" t="str">
        <f>IFERROR(__xludf.DUMMYFUNCTION("""COMPUTED_VALUE"""),"Unlisted")</f>
        <v>Unlisted</v>
      </c>
      <c r="P611" s="174" t="str">
        <f>IFERROR(__xludf.DUMMYFUNCTION("""COMPUTED_VALUE"""),"Unlisted")</f>
        <v>Unlisted</v>
      </c>
      <c r="Q611" s="174" t="str">
        <f>IFERROR(__xludf.DUMMYFUNCTION("""COMPUTED_VALUE"""),"Unlisted")</f>
        <v>Unlisted</v>
      </c>
      <c r="R611" s="174" t="str">
        <f>IFERROR(__xludf.DUMMYFUNCTION("""COMPUTED_VALUE"""),"Unlisted")</f>
        <v>Unlisted</v>
      </c>
    </row>
    <row r="612">
      <c r="A612" s="255" t="str">
        <f>IFERROR(__xludf.DUMMYFUNCTION("""COMPUTED_VALUE"""),"Malamar")</f>
        <v>Malamar</v>
      </c>
      <c r="B612" s="174" t="str">
        <f>IFERROR(__xludf.DUMMYFUNCTION("""COMPUTED_VALUE"""),"Unlisted")</f>
        <v>Unlisted</v>
      </c>
      <c r="C612" s="174" t="str">
        <f>IFERROR(__xludf.DUMMYFUNCTION("""COMPUTED_VALUE"""),"Unlisted")</f>
        <v>Unlisted</v>
      </c>
      <c r="D612" s="174" t="str">
        <f>IFERROR(__xludf.DUMMYFUNCTION("""COMPUTED_VALUE"""),"Unlisted")</f>
        <v>Unlisted</v>
      </c>
      <c r="E612" s="174" t="str">
        <f>IFERROR(__xludf.DUMMYFUNCTION("""COMPUTED_VALUE"""),"Proficient")</f>
        <v>Proficient</v>
      </c>
      <c r="F612" s="174" t="str">
        <f>IFERROR(__xludf.DUMMYFUNCTION("""COMPUTED_VALUE"""),"Unlisted")</f>
        <v>Unlisted</v>
      </c>
      <c r="G612" s="174" t="str">
        <f>IFERROR(__xludf.DUMMYFUNCTION("""COMPUTED_VALUE"""),"Mastered")</f>
        <v>Mastered</v>
      </c>
      <c r="H612" s="174" t="str">
        <f>IFERROR(__xludf.DUMMYFUNCTION("""COMPUTED_VALUE"""),"Unlisted")</f>
        <v>Unlisted</v>
      </c>
      <c r="I612" s="174" t="str">
        <f>IFERROR(__xludf.DUMMYFUNCTION("""COMPUTED_VALUE"""),"Unlisted")</f>
        <v>Unlisted</v>
      </c>
      <c r="J612" s="174" t="str">
        <f>IFERROR(__xludf.DUMMYFUNCTION("""COMPUTED_VALUE"""),"Unlisted")</f>
        <v>Unlisted</v>
      </c>
      <c r="K612" s="174" t="str">
        <f>IFERROR(__xludf.DUMMYFUNCTION("""COMPUTED_VALUE"""),"Proficient")</f>
        <v>Proficient</v>
      </c>
      <c r="L612" s="174" t="str">
        <f>IFERROR(__xludf.DUMMYFUNCTION("""COMPUTED_VALUE"""),"Unlisted")</f>
        <v>Unlisted</v>
      </c>
      <c r="M612" s="174" t="str">
        <f>IFERROR(__xludf.DUMMYFUNCTION("""COMPUTED_VALUE"""),"Unlisted")</f>
        <v>Unlisted</v>
      </c>
      <c r="N612" s="174" t="str">
        <f>IFERROR(__xludf.DUMMYFUNCTION("""COMPUTED_VALUE"""),"Unlisted")</f>
        <v>Unlisted</v>
      </c>
      <c r="O612" s="174" t="str">
        <f>IFERROR(__xludf.DUMMYFUNCTION("""COMPUTED_VALUE"""),"Unlisted")</f>
        <v>Unlisted</v>
      </c>
      <c r="P612" s="174" t="str">
        <f>IFERROR(__xludf.DUMMYFUNCTION("""COMPUTED_VALUE"""),"Unlisted")</f>
        <v>Unlisted</v>
      </c>
      <c r="Q612" s="174" t="str">
        <f>IFERROR(__xludf.DUMMYFUNCTION("""COMPUTED_VALUE"""),"Unlisted")</f>
        <v>Unlisted</v>
      </c>
      <c r="R612" s="174" t="str">
        <f>IFERROR(__xludf.DUMMYFUNCTION("""COMPUTED_VALUE"""),"Unlisted")</f>
        <v>Unlisted</v>
      </c>
    </row>
    <row r="613">
      <c r="A613" s="255" t="str">
        <f>IFERROR(__xludf.DUMMYFUNCTION("""COMPUTED_VALUE"""),"Nickit")</f>
        <v>Nickit</v>
      </c>
      <c r="B613" s="174" t="str">
        <f>IFERROR(__xludf.DUMMYFUNCTION("""COMPUTED_VALUE"""),"Unlisted")</f>
        <v>Unlisted</v>
      </c>
      <c r="C613" s="174" t="str">
        <f>IFERROR(__xludf.DUMMYFUNCTION("""COMPUTED_VALUE"""),"Unlisted")</f>
        <v>Unlisted</v>
      </c>
      <c r="D613" s="174" t="str">
        <f>IFERROR(__xludf.DUMMYFUNCTION("""COMPUTED_VALUE"""),"Unlisted")</f>
        <v>Unlisted</v>
      </c>
      <c r="E613" s="174" t="str">
        <f>IFERROR(__xludf.DUMMYFUNCTION("""COMPUTED_VALUE"""),"Unlisted")</f>
        <v>Unlisted</v>
      </c>
      <c r="F613" s="174" t="str">
        <f>IFERROR(__xludf.DUMMYFUNCTION("""COMPUTED_VALUE"""),"Unlisted")</f>
        <v>Unlisted</v>
      </c>
      <c r="G613" s="174" t="str">
        <f>IFERROR(__xludf.DUMMYFUNCTION("""COMPUTED_VALUE"""),"Unlisted")</f>
        <v>Unlisted</v>
      </c>
      <c r="H613" s="174" t="str">
        <f>IFERROR(__xludf.DUMMYFUNCTION("""COMPUTED_VALUE"""),"Proficient")</f>
        <v>Proficient</v>
      </c>
      <c r="I613" s="174" t="str">
        <f>IFERROR(__xludf.DUMMYFUNCTION("""COMPUTED_VALUE"""),"Unlisted")</f>
        <v>Unlisted</v>
      </c>
      <c r="J613" s="174" t="str">
        <f>IFERROR(__xludf.DUMMYFUNCTION("""COMPUTED_VALUE"""),"Unlisted")</f>
        <v>Unlisted</v>
      </c>
      <c r="K613" s="174" t="str">
        <f>IFERROR(__xludf.DUMMYFUNCTION("""COMPUTED_VALUE"""),"Proficient")</f>
        <v>Proficient</v>
      </c>
      <c r="L613" s="174" t="str">
        <f>IFERROR(__xludf.DUMMYFUNCTION("""COMPUTED_VALUE"""),"Mastered")</f>
        <v>Mastered</v>
      </c>
      <c r="M613" s="174" t="str">
        <f>IFERROR(__xludf.DUMMYFUNCTION("""COMPUTED_VALUE"""),"Unlisted")</f>
        <v>Unlisted</v>
      </c>
      <c r="N613" s="174" t="str">
        <f>IFERROR(__xludf.DUMMYFUNCTION("""COMPUTED_VALUE"""),"Unlisted")</f>
        <v>Unlisted</v>
      </c>
      <c r="O613" s="174" t="str">
        <f>IFERROR(__xludf.DUMMYFUNCTION("""COMPUTED_VALUE"""),"Unlisted")</f>
        <v>Unlisted</v>
      </c>
      <c r="P613" s="174" t="str">
        <f>IFERROR(__xludf.DUMMYFUNCTION("""COMPUTED_VALUE"""),"Unlisted")</f>
        <v>Unlisted</v>
      </c>
      <c r="Q613" s="174" t="str">
        <f>IFERROR(__xludf.DUMMYFUNCTION("""COMPUTED_VALUE"""),"Unlisted")</f>
        <v>Unlisted</v>
      </c>
      <c r="R613" s="174" t="str">
        <f>IFERROR(__xludf.DUMMYFUNCTION("""COMPUTED_VALUE"""),"Unlisted")</f>
        <v>Unlisted</v>
      </c>
    </row>
    <row r="614">
      <c r="A614" s="255" t="str">
        <f>IFERROR(__xludf.DUMMYFUNCTION("""COMPUTED_VALUE"""),"Thievul")</f>
        <v>Thievul</v>
      </c>
      <c r="B614" s="174" t="str">
        <f>IFERROR(__xludf.DUMMYFUNCTION("""COMPUTED_VALUE"""),"Unlisted")</f>
        <v>Unlisted</v>
      </c>
      <c r="C614" s="174" t="str">
        <f>IFERROR(__xludf.DUMMYFUNCTION("""COMPUTED_VALUE"""),"Unlisted")</f>
        <v>Unlisted</v>
      </c>
      <c r="D614" s="174" t="str">
        <f>IFERROR(__xludf.DUMMYFUNCTION("""COMPUTED_VALUE"""),"Unlisted")</f>
        <v>Unlisted</v>
      </c>
      <c r="E614" s="174" t="str">
        <f>IFERROR(__xludf.DUMMYFUNCTION("""COMPUTED_VALUE"""),"Unlisted")</f>
        <v>Unlisted</v>
      </c>
      <c r="F614" s="174" t="str">
        <f>IFERROR(__xludf.DUMMYFUNCTION("""COMPUTED_VALUE"""),"Unlisted")</f>
        <v>Unlisted</v>
      </c>
      <c r="G614" s="174" t="str">
        <f>IFERROR(__xludf.DUMMYFUNCTION("""COMPUTED_VALUE"""),"Unlisted")</f>
        <v>Unlisted</v>
      </c>
      <c r="H614" s="174" t="str">
        <f>IFERROR(__xludf.DUMMYFUNCTION("""COMPUTED_VALUE"""),"Proficient")</f>
        <v>Proficient</v>
      </c>
      <c r="I614" s="174" t="str">
        <f>IFERROR(__xludf.DUMMYFUNCTION("""COMPUTED_VALUE"""),"Unlisted")</f>
        <v>Unlisted</v>
      </c>
      <c r="J614" s="174" t="str">
        <f>IFERROR(__xludf.DUMMYFUNCTION("""COMPUTED_VALUE"""),"Unlisted")</f>
        <v>Unlisted</v>
      </c>
      <c r="K614" s="174" t="str">
        <f>IFERROR(__xludf.DUMMYFUNCTION("""COMPUTED_VALUE"""),"Proficient")</f>
        <v>Proficient</v>
      </c>
      <c r="L614" s="174" t="str">
        <f>IFERROR(__xludf.DUMMYFUNCTION("""COMPUTED_VALUE"""),"Mastered")</f>
        <v>Mastered</v>
      </c>
      <c r="M614" s="174" t="str">
        <f>IFERROR(__xludf.DUMMYFUNCTION("""COMPUTED_VALUE"""),"Unlisted")</f>
        <v>Unlisted</v>
      </c>
      <c r="N614" s="174" t="str">
        <f>IFERROR(__xludf.DUMMYFUNCTION("""COMPUTED_VALUE"""),"Unlisted")</f>
        <v>Unlisted</v>
      </c>
      <c r="O614" s="174" t="str">
        <f>IFERROR(__xludf.DUMMYFUNCTION("""COMPUTED_VALUE"""),"Unlisted")</f>
        <v>Unlisted</v>
      </c>
      <c r="P614" s="174" t="str">
        <f>IFERROR(__xludf.DUMMYFUNCTION("""COMPUTED_VALUE"""),"Unlisted")</f>
        <v>Unlisted</v>
      </c>
      <c r="Q614" s="174" t="str">
        <f>IFERROR(__xludf.DUMMYFUNCTION("""COMPUTED_VALUE"""),"Unlisted")</f>
        <v>Unlisted</v>
      </c>
      <c r="R614" s="174" t="str">
        <f>IFERROR(__xludf.DUMMYFUNCTION("""COMPUTED_VALUE"""),"Unlisted")</f>
        <v>Unlisted</v>
      </c>
    </row>
    <row r="615">
      <c r="A615" s="255" t="str">
        <f>IFERROR(__xludf.DUMMYFUNCTION("""COMPUTED_VALUE"""),"Maschiff")</f>
        <v>Maschiff</v>
      </c>
      <c r="B615" s="174" t="str">
        <f>IFERROR(__xludf.DUMMYFUNCTION("""COMPUTED_VALUE"""),"Unlisted")</f>
        <v>Unlisted</v>
      </c>
      <c r="C615" s="174" t="str">
        <f>IFERROR(__xludf.DUMMYFUNCTION("""COMPUTED_VALUE"""),"Unlisted")</f>
        <v>Unlisted</v>
      </c>
      <c r="D615" s="174" t="str">
        <f>IFERROR(__xludf.DUMMYFUNCTION("""COMPUTED_VALUE"""),"Unlisted")</f>
        <v>Unlisted</v>
      </c>
      <c r="E615" s="174" t="str">
        <f>IFERROR(__xludf.DUMMYFUNCTION("""COMPUTED_VALUE"""),"Unlisted")</f>
        <v>Unlisted</v>
      </c>
      <c r="F615" s="174" t="str">
        <f>IFERROR(__xludf.DUMMYFUNCTION("""COMPUTED_VALUE"""),"Unlisted")</f>
        <v>Unlisted</v>
      </c>
      <c r="G615" s="174" t="str">
        <f>IFERROR(__xludf.DUMMYFUNCTION("""COMPUTED_VALUE"""),"Proficient")</f>
        <v>Proficient</v>
      </c>
      <c r="H615" s="174" t="str">
        <f>IFERROR(__xludf.DUMMYFUNCTION("""COMPUTED_VALUE"""),"Unlisted")</f>
        <v>Unlisted</v>
      </c>
      <c r="I615" s="174" t="str">
        <f>IFERROR(__xludf.DUMMYFUNCTION("""COMPUTED_VALUE"""),"Proficient")</f>
        <v>Proficient</v>
      </c>
      <c r="J615" s="174" t="str">
        <f>IFERROR(__xludf.DUMMYFUNCTION("""COMPUTED_VALUE"""),"Unlisted")</f>
        <v>Unlisted</v>
      </c>
      <c r="K615" s="174" t="str">
        <f>IFERROR(__xludf.DUMMYFUNCTION("""COMPUTED_VALUE"""),"Proficient")</f>
        <v>Proficient</v>
      </c>
      <c r="L615" s="174" t="str">
        <f>IFERROR(__xludf.DUMMYFUNCTION("""COMPUTED_VALUE"""),"Unlisted")</f>
        <v>Unlisted</v>
      </c>
      <c r="M615" s="174" t="str">
        <f>IFERROR(__xludf.DUMMYFUNCTION("""COMPUTED_VALUE"""),"Unlisted")</f>
        <v>Unlisted</v>
      </c>
      <c r="N615" s="174" t="str">
        <f>IFERROR(__xludf.DUMMYFUNCTION("""COMPUTED_VALUE"""),"Unlisted")</f>
        <v>Unlisted</v>
      </c>
      <c r="O615" s="174" t="str">
        <f>IFERROR(__xludf.DUMMYFUNCTION("""COMPUTED_VALUE"""),"Unlisted")</f>
        <v>Unlisted</v>
      </c>
      <c r="P615" s="174" t="str">
        <f>IFERROR(__xludf.DUMMYFUNCTION("""COMPUTED_VALUE"""),"Unlisted")</f>
        <v>Unlisted</v>
      </c>
      <c r="Q615" s="174" t="str">
        <f>IFERROR(__xludf.DUMMYFUNCTION("""COMPUTED_VALUE"""),"Unlisted")</f>
        <v>Unlisted</v>
      </c>
      <c r="R615" s="174" t="str">
        <f>IFERROR(__xludf.DUMMYFUNCTION("""COMPUTED_VALUE"""),"Unlisted")</f>
        <v>Unlisted</v>
      </c>
    </row>
    <row r="616">
      <c r="A616" s="255" t="str">
        <f>IFERROR(__xludf.DUMMYFUNCTION("""COMPUTED_VALUE"""),"Mabosstiff")</f>
        <v>Mabosstiff</v>
      </c>
      <c r="B616" s="174" t="str">
        <f>IFERROR(__xludf.DUMMYFUNCTION("""COMPUTED_VALUE"""),"Unlisted")</f>
        <v>Unlisted</v>
      </c>
      <c r="C616" s="174" t="str">
        <f>IFERROR(__xludf.DUMMYFUNCTION("""COMPUTED_VALUE"""),"Unlisted")</f>
        <v>Unlisted</v>
      </c>
      <c r="D616" s="174" t="str">
        <f>IFERROR(__xludf.DUMMYFUNCTION("""COMPUTED_VALUE"""),"Unlisted")</f>
        <v>Unlisted</v>
      </c>
      <c r="E616" s="174" t="str">
        <f>IFERROR(__xludf.DUMMYFUNCTION("""COMPUTED_VALUE"""),"Unlisted")</f>
        <v>Unlisted</v>
      </c>
      <c r="F616" s="174" t="str">
        <f>IFERROR(__xludf.DUMMYFUNCTION("""COMPUTED_VALUE"""),"Unlisted")</f>
        <v>Unlisted</v>
      </c>
      <c r="G616" s="174" t="str">
        <f>IFERROR(__xludf.DUMMYFUNCTION("""COMPUTED_VALUE"""),"Proficient")</f>
        <v>Proficient</v>
      </c>
      <c r="H616" s="174" t="str">
        <f>IFERROR(__xludf.DUMMYFUNCTION("""COMPUTED_VALUE"""),"Unlisted")</f>
        <v>Unlisted</v>
      </c>
      <c r="I616" s="174" t="str">
        <f>IFERROR(__xludf.DUMMYFUNCTION("""COMPUTED_VALUE"""),"Proficient")</f>
        <v>Proficient</v>
      </c>
      <c r="J616" s="174" t="str">
        <f>IFERROR(__xludf.DUMMYFUNCTION("""COMPUTED_VALUE"""),"Unlisted")</f>
        <v>Unlisted</v>
      </c>
      <c r="K616" s="174" t="str">
        <f>IFERROR(__xludf.DUMMYFUNCTION("""COMPUTED_VALUE"""),"Proficient")</f>
        <v>Proficient</v>
      </c>
      <c r="L616" s="174" t="str">
        <f>IFERROR(__xludf.DUMMYFUNCTION("""COMPUTED_VALUE"""),"Unlisted")</f>
        <v>Unlisted</v>
      </c>
      <c r="M616" s="174" t="str">
        <f>IFERROR(__xludf.DUMMYFUNCTION("""COMPUTED_VALUE"""),"Unlisted")</f>
        <v>Unlisted</v>
      </c>
      <c r="N616" s="174" t="str">
        <f>IFERROR(__xludf.DUMMYFUNCTION("""COMPUTED_VALUE"""),"Unlisted")</f>
        <v>Unlisted</v>
      </c>
      <c r="O616" s="174" t="str">
        <f>IFERROR(__xludf.DUMMYFUNCTION("""COMPUTED_VALUE"""),"Unlisted")</f>
        <v>Unlisted</v>
      </c>
      <c r="P616" s="174" t="str">
        <f>IFERROR(__xludf.DUMMYFUNCTION("""COMPUTED_VALUE"""),"Unlisted")</f>
        <v>Unlisted</v>
      </c>
      <c r="Q616" s="174" t="str">
        <f>IFERROR(__xludf.DUMMYFUNCTION("""COMPUTED_VALUE"""),"Unlisted")</f>
        <v>Unlisted</v>
      </c>
      <c r="R616" s="174" t="str">
        <f>IFERROR(__xludf.DUMMYFUNCTION("""COMPUTED_VALUE"""),"Unlisted")</f>
        <v>Unlisted</v>
      </c>
    </row>
    <row r="617">
      <c r="A617" s="255" t="str">
        <f>IFERROR(__xludf.DUMMYFUNCTION("""COMPUTED_VALUE"""),"Voltorb")</f>
        <v>Voltorb</v>
      </c>
      <c r="B617" s="174" t="str">
        <f>IFERROR(__xludf.DUMMYFUNCTION("""COMPUTED_VALUE"""),"Proficient")</f>
        <v>Proficient</v>
      </c>
      <c r="C617" s="174" t="str">
        <f>IFERROR(__xludf.DUMMYFUNCTION("""COMPUTED_VALUE"""),"Unlisted")</f>
        <v>Unlisted</v>
      </c>
      <c r="D617" s="174" t="str">
        <f>IFERROR(__xludf.DUMMYFUNCTION("""COMPUTED_VALUE"""),"Unlisted")</f>
        <v>Unlisted</v>
      </c>
      <c r="E617" s="174" t="str">
        <f>IFERROR(__xludf.DUMMYFUNCTION("""COMPUTED_VALUE"""),"Unlisted")</f>
        <v>Unlisted</v>
      </c>
      <c r="F617" s="174" t="str">
        <f>IFERROR(__xludf.DUMMYFUNCTION("""COMPUTED_VALUE"""),"Unlisted")</f>
        <v>Unlisted</v>
      </c>
      <c r="G617" s="174" t="str">
        <f>IFERROR(__xludf.DUMMYFUNCTION("""COMPUTED_VALUE"""),"Proficient")</f>
        <v>Proficient</v>
      </c>
      <c r="H617" s="174" t="str">
        <f>IFERROR(__xludf.DUMMYFUNCTION("""COMPUTED_VALUE"""),"Unlisted")</f>
        <v>Unlisted</v>
      </c>
      <c r="I617" s="174" t="str">
        <f>IFERROR(__xludf.DUMMYFUNCTION("""COMPUTED_VALUE"""),"Unlisted")</f>
        <v>Unlisted</v>
      </c>
      <c r="J617" s="174" t="str">
        <f>IFERROR(__xludf.DUMMYFUNCTION("""COMPUTED_VALUE"""),"Unlisted")</f>
        <v>Unlisted</v>
      </c>
      <c r="K617" s="174" t="str">
        <f>IFERROR(__xludf.DUMMYFUNCTION("""COMPUTED_VALUE"""),"Unlisted")</f>
        <v>Unlisted</v>
      </c>
      <c r="L617" s="174" t="str">
        <f>IFERROR(__xludf.DUMMYFUNCTION("""COMPUTED_VALUE"""),"Proficient")</f>
        <v>Proficient</v>
      </c>
      <c r="M617" s="174" t="str">
        <f>IFERROR(__xludf.DUMMYFUNCTION("""COMPUTED_VALUE"""),"Unlisted")</f>
        <v>Unlisted</v>
      </c>
      <c r="N617" s="174" t="str">
        <f>IFERROR(__xludf.DUMMYFUNCTION("""COMPUTED_VALUE"""),"Unlisted")</f>
        <v>Unlisted</v>
      </c>
      <c r="O617" s="174" t="str">
        <f>IFERROR(__xludf.DUMMYFUNCTION("""COMPUTED_VALUE"""),"Unlisted")</f>
        <v>Unlisted</v>
      </c>
      <c r="P617" s="174" t="str">
        <f>IFERROR(__xludf.DUMMYFUNCTION("""COMPUTED_VALUE"""),"Unlisted")</f>
        <v>Unlisted</v>
      </c>
      <c r="Q617" s="174" t="str">
        <f>IFERROR(__xludf.DUMMYFUNCTION("""COMPUTED_VALUE"""),"Unlisted")</f>
        <v>Unlisted</v>
      </c>
      <c r="R617" s="174" t="str">
        <f>IFERROR(__xludf.DUMMYFUNCTION("""COMPUTED_VALUE"""),"Unlisted")</f>
        <v>Unlisted</v>
      </c>
    </row>
    <row r="618">
      <c r="A618" s="255" t="str">
        <f>IFERROR(__xludf.DUMMYFUNCTION("""COMPUTED_VALUE"""),"Electrode")</f>
        <v>Electrode</v>
      </c>
      <c r="B618" s="174" t="str">
        <f>IFERROR(__xludf.DUMMYFUNCTION("""COMPUTED_VALUE"""),"Proficient")</f>
        <v>Proficient</v>
      </c>
      <c r="C618" s="174" t="str">
        <f>IFERROR(__xludf.DUMMYFUNCTION("""COMPUTED_VALUE"""),"Unlisted")</f>
        <v>Unlisted</v>
      </c>
      <c r="D618" s="174" t="str">
        <f>IFERROR(__xludf.DUMMYFUNCTION("""COMPUTED_VALUE"""),"Unlisted")</f>
        <v>Unlisted</v>
      </c>
      <c r="E618" s="174" t="str">
        <f>IFERROR(__xludf.DUMMYFUNCTION("""COMPUTED_VALUE"""),"Unlisted")</f>
        <v>Unlisted</v>
      </c>
      <c r="F618" s="174" t="str">
        <f>IFERROR(__xludf.DUMMYFUNCTION("""COMPUTED_VALUE"""),"Unlisted")</f>
        <v>Unlisted</v>
      </c>
      <c r="G618" s="174" t="str">
        <f>IFERROR(__xludf.DUMMYFUNCTION("""COMPUTED_VALUE"""),"Proficient")</f>
        <v>Proficient</v>
      </c>
      <c r="H618" s="174" t="str">
        <f>IFERROR(__xludf.DUMMYFUNCTION("""COMPUTED_VALUE"""),"Unlisted")</f>
        <v>Unlisted</v>
      </c>
      <c r="I618" s="174" t="str">
        <f>IFERROR(__xludf.DUMMYFUNCTION("""COMPUTED_VALUE"""),"Unlisted")</f>
        <v>Unlisted</v>
      </c>
      <c r="J618" s="174" t="str">
        <f>IFERROR(__xludf.DUMMYFUNCTION("""COMPUTED_VALUE"""),"Unlisted")</f>
        <v>Unlisted</v>
      </c>
      <c r="K618" s="174" t="str">
        <f>IFERROR(__xludf.DUMMYFUNCTION("""COMPUTED_VALUE"""),"Unlisted")</f>
        <v>Unlisted</v>
      </c>
      <c r="L618" s="174" t="str">
        <f>IFERROR(__xludf.DUMMYFUNCTION("""COMPUTED_VALUE"""),"Proficient")</f>
        <v>Proficient</v>
      </c>
      <c r="M618" s="174" t="str">
        <f>IFERROR(__xludf.DUMMYFUNCTION("""COMPUTED_VALUE"""),"Unlisted")</f>
        <v>Unlisted</v>
      </c>
      <c r="N618" s="174" t="str">
        <f>IFERROR(__xludf.DUMMYFUNCTION("""COMPUTED_VALUE"""),"Unlisted")</f>
        <v>Unlisted</v>
      </c>
      <c r="O618" s="174" t="str">
        <f>IFERROR(__xludf.DUMMYFUNCTION("""COMPUTED_VALUE"""),"Unlisted")</f>
        <v>Unlisted</v>
      </c>
      <c r="P618" s="174" t="str">
        <f>IFERROR(__xludf.DUMMYFUNCTION("""COMPUTED_VALUE"""),"Unlisted")</f>
        <v>Unlisted</v>
      </c>
      <c r="Q618" s="174" t="str">
        <f>IFERROR(__xludf.DUMMYFUNCTION("""COMPUTED_VALUE"""),"Unlisted")</f>
        <v>Unlisted</v>
      </c>
      <c r="R618" s="174" t="str">
        <f>IFERROR(__xludf.DUMMYFUNCTION("""COMPUTED_VALUE"""),"Unlisted")</f>
        <v>Unlisted</v>
      </c>
    </row>
    <row r="619">
      <c r="A619" s="255" t="str">
        <f>IFERROR(__xludf.DUMMYFUNCTION("""COMPUTED_VALUE"""),"Electrike")</f>
        <v>Electrike</v>
      </c>
      <c r="B619" s="174" t="str">
        <f>IFERROR(__xludf.DUMMYFUNCTION("""COMPUTED_VALUE"""),"Proficient")</f>
        <v>Proficient</v>
      </c>
      <c r="C619" s="174" t="str">
        <f>IFERROR(__xludf.DUMMYFUNCTION("""COMPUTED_VALUE"""),"Unlisted")</f>
        <v>Unlisted</v>
      </c>
      <c r="D619" s="174" t="str">
        <f>IFERROR(__xludf.DUMMYFUNCTION("""COMPUTED_VALUE"""),"Unlisted")</f>
        <v>Unlisted</v>
      </c>
      <c r="E619" s="174" t="str">
        <f>IFERROR(__xludf.DUMMYFUNCTION("""COMPUTED_VALUE"""),"Proficient")</f>
        <v>Proficient</v>
      </c>
      <c r="F619" s="174" t="str">
        <f>IFERROR(__xludf.DUMMYFUNCTION("""COMPUTED_VALUE"""),"Unlisted")</f>
        <v>Unlisted</v>
      </c>
      <c r="G619" s="174" t="str">
        <f>IFERROR(__xludf.DUMMYFUNCTION("""COMPUTED_VALUE"""),"Unlisted")</f>
        <v>Unlisted</v>
      </c>
      <c r="H619" s="174" t="str">
        <f>IFERROR(__xludf.DUMMYFUNCTION("""COMPUTED_VALUE"""),"Unlisted")</f>
        <v>Unlisted</v>
      </c>
      <c r="I619" s="174" t="str">
        <f>IFERROR(__xludf.DUMMYFUNCTION("""COMPUTED_VALUE"""),"Unlisted")</f>
        <v>Unlisted</v>
      </c>
      <c r="J619" s="174" t="str">
        <f>IFERROR(__xludf.DUMMYFUNCTION("""COMPUTED_VALUE"""),"Unlisted")</f>
        <v>Unlisted</v>
      </c>
      <c r="K619" s="174" t="str">
        <f>IFERROR(__xludf.DUMMYFUNCTION("""COMPUTED_VALUE"""),"Unlisted")</f>
        <v>Unlisted</v>
      </c>
      <c r="L619" s="174" t="str">
        <f>IFERROR(__xludf.DUMMYFUNCTION("""COMPUTED_VALUE"""),"Proficient")</f>
        <v>Proficient</v>
      </c>
      <c r="M619" s="174" t="str">
        <f>IFERROR(__xludf.DUMMYFUNCTION("""COMPUTED_VALUE"""),"Unlisted")</f>
        <v>Unlisted</v>
      </c>
      <c r="N619" s="174" t="str">
        <f>IFERROR(__xludf.DUMMYFUNCTION("""COMPUTED_VALUE"""),"Unlisted")</f>
        <v>Unlisted</v>
      </c>
      <c r="O619" s="174" t="str">
        <f>IFERROR(__xludf.DUMMYFUNCTION("""COMPUTED_VALUE"""),"Unlisted")</f>
        <v>Unlisted</v>
      </c>
      <c r="P619" s="174" t="str">
        <f>IFERROR(__xludf.DUMMYFUNCTION("""COMPUTED_VALUE"""),"Unlisted")</f>
        <v>Unlisted</v>
      </c>
      <c r="Q619" s="174" t="str">
        <f>IFERROR(__xludf.DUMMYFUNCTION("""COMPUTED_VALUE"""),"Unlisted")</f>
        <v>Unlisted</v>
      </c>
      <c r="R619" s="174" t="str">
        <f>IFERROR(__xludf.DUMMYFUNCTION("""COMPUTED_VALUE"""),"Unlisted")</f>
        <v>Unlisted</v>
      </c>
    </row>
    <row r="620">
      <c r="A620" s="255" t="str">
        <f>IFERROR(__xludf.DUMMYFUNCTION("""COMPUTED_VALUE"""),"Manectric")</f>
        <v>Manectric</v>
      </c>
      <c r="B620" s="174" t="str">
        <f>IFERROR(__xludf.DUMMYFUNCTION("""COMPUTED_VALUE"""),"Proficient")</f>
        <v>Proficient</v>
      </c>
      <c r="C620" s="174" t="str">
        <f>IFERROR(__xludf.DUMMYFUNCTION("""COMPUTED_VALUE"""),"Unlisted")</f>
        <v>Unlisted</v>
      </c>
      <c r="D620" s="174" t="str">
        <f>IFERROR(__xludf.DUMMYFUNCTION("""COMPUTED_VALUE"""),"Unlisted")</f>
        <v>Unlisted</v>
      </c>
      <c r="E620" s="174" t="str">
        <f>IFERROR(__xludf.DUMMYFUNCTION("""COMPUTED_VALUE"""),"Proficient")</f>
        <v>Proficient</v>
      </c>
      <c r="F620" s="174" t="str">
        <f>IFERROR(__xludf.DUMMYFUNCTION("""COMPUTED_VALUE"""),"Unlisted")</f>
        <v>Unlisted</v>
      </c>
      <c r="G620" s="174" t="str">
        <f>IFERROR(__xludf.DUMMYFUNCTION("""COMPUTED_VALUE"""),"Unlisted")</f>
        <v>Unlisted</v>
      </c>
      <c r="H620" s="174" t="str">
        <f>IFERROR(__xludf.DUMMYFUNCTION("""COMPUTED_VALUE"""),"Unlisted")</f>
        <v>Unlisted</v>
      </c>
      <c r="I620" s="174" t="str">
        <f>IFERROR(__xludf.DUMMYFUNCTION("""COMPUTED_VALUE"""),"Unlisted")</f>
        <v>Unlisted</v>
      </c>
      <c r="J620" s="174" t="str">
        <f>IFERROR(__xludf.DUMMYFUNCTION("""COMPUTED_VALUE"""),"Unlisted")</f>
        <v>Unlisted</v>
      </c>
      <c r="K620" s="174" t="str">
        <f>IFERROR(__xludf.DUMMYFUNCTION("""COMPUTED_VALUE"""),"Unlisted")</f>
        <v>Unlisted</v>
      </c>
      <c r="L620" s="174" t="str">
        <f>IFERROR(__xludf.DUMMYFUNCTION("""COMPUTED_VALUE"""),"Proficient")</f>
        <v>Proficient</v>
      </c>
      <c r="M620" s="174" t="str">
        <f>IFERROR(__xludf.DUMMYFUNCTION("""COMPUTED_VALUE"""),"Unlisted")</f>
        <v>Unlisted</v>
      </c>
      <c r="N620" s="174" t="str">
        <f>IFERROR(__xludf.DUMMYFUNCTION("""COMPUTED_VALUE"""),"Unlisted")</f>
        <v>Unlisted</v>
      </c>
      <c r="O620" s="174" t="str">
        <f>IFERROR(__xludf.DUMMYFUNCTION("""COMPUTED_VALUE"""),"Unlisted")</f>
        <v>Unlisted</v>
      </c>
      <c r="P620" s="174" t="str">
        <f>IFERROR(__xludf.DUMMYFUNCTION("""COMPUTED_VALUE"""),"Unlisted")</f>
        <v>Unlisted</v>
      </c>
      <c r="Q620" s="174" t="str">
        <f>IFERROR(__xludf.DUMMYFUNCTION("""COMPUTED_VALUE"""),"Unlisted")</f>
        <v>Unlisted</v>
      </c>
      <c r="R620" s="174" t="str">
        <f>IFERROR(__xludf.DUMMYFUNCTION("""COMPUTED_VALUE"""),"Unlisted")</f>
        <v>Unlisted</v>
      </c>
    </row>
    <row r="621">
      <c r="A621" s="255" t="str">
        <f>IFERROR(__xludf.DUMMYFUNCTION("""COMPUTED_VALUE"""),"Blitzle")</f>
        <v>Blitzle</v>
      </c>
      <c r="B621" s="174" t="str">
        <f>IFERROR(__xludf.DUMMYFUNCTION("""COMPUTED_VALUE"""),"Mastered")</f>
        <v>Mastered</v>
      </c>
      <c r="C621" s="174" t="str">
        <f>IFERROR(__xludf.DUMMYFUNCTION("""COMPUTED_VALUE"""),"Proficient")</f>
        <v>Proficient</v>
      </c>
      <c r="D621" s="174" t="str">
        <f>IFERROR(__xludf.DUMMYFUNCTION("""COMPUTED_VALUE"""),"Unlisted")</f>
        <v>Unlisted</v>
      </c>
      <c r="E621" s="174" t="str">
        <f>IFERROR(__xludf.DUMMYFUNCTION("""COMPUTED_VALUE"""),"Proficient")</f>
        <v>Proficient</v>
      </c>
      <c r="F621" s="174" t="str">
        <f>IFERROR(__xludf.DUMMYFUNCTION("""COMPUTED_VALUE"""),"Unlisted")</f>
        <v>Unlisted</v>
      </c>
      <c r="G621" s="174" t="str">
        <f>IFERROR(__xludf.DUMMYFUNCTION("""COMPUTED_VALUE"""),"Unlisted")</f>
        <v>Unlisted</v>
      </c>
      <c r="H621" s="174" t="str">
        <f>IFERROR(__xludf.DUMMYFUNCTION("""COMPUTED_VALUE"""),"Unlisted")</f>
        <v>Unlisted</v>
      </c>
      <c r="I621" s="174" t="str">
        <f>IFERROR(__xludf.DUMMYFUNCTION("""COMPUTED_VALUE"""),"Unlisted")</f>
        <v>Unlisted</v>
      </c>
      <c r="J621" s="174" t="str">
        <f>IFERROR(__xludf.DUMMYFUNCTION("""COMPUTED_VALUE"""),"Unlisted")</f>
        <v>Unlisted</v>
      </c>
      <c r="K621" s="174" t="str">
        <f>IFERROR(__xludf.DUMMYFUNCTION("""COMPUTED_VALUE"""),"Unlisted")</f>
        <v>Unlisted</v>
      </c>
      <c r="L621" s="174" t="str">
        <f>IFERROR(__xludf.DUMMYFUNCTION("""COMPUTED_VALUE"""),"Unlisted")</f>
        <v>Unlisted</v>
      </c>
      <c r="M621" s="174" t="str">
        <f>IFERROR(__xludf.DUMMYFUNCTION("""COMPUTED_VALUE"""),"Unlisted")</f>
        <v>Unlisted</v>
      </c>
      <c r="N621" s="174" t="str">
        <f>IFERROR(__xludf.DUMMYFUNCTION("""COMPUTED_VALUE"""),"Unlisted")</f>
        <v>Unlisted</v>
      </c>
      <c r="O621" s="174" t="str">
        <f>IFERROR(__xludf.DUMMYFUNCTION("""COMPUTED_VALUE"""),"Unlisted")</f>
        <v>Unlisted</v>
      </c>
      <c r="P621" s="174" t="str">
        <f>IFERROR(__xludf.DUMMYFUNCTION("""COMPUTED_VALUE"""),"Unlisted")</f>
        <v>Unlisted</v>
      </c>
      <c r="Q621" s="174" t="str">
        <f>IFERROR(__xludf.DUMMYFUNCTION("""COMPUTED_VALUE"""),"Unlisted")</f>
        <v>Unlisted</v>
      </c>
      <c r="R621" s="174" t="str">
        <f>IFERROR(__xludf.DUMMYFUNCTION("""COMPUTED_VALUE"""),"Unlisted")</f>
        <v>Unlisted</v>
      </c>
    </row>
    <row r="622">
      <c r="A622" s="255" t="str">
        <f>IFERROR(__xludf.DUMMYFUNCTION("""COMPUTED_VALUE"""),"Zebstrika")</f>
        <v>Zebstrika</v>
      </c>
      <c r="B622" s="174" t="str">
        <f>IFERROR(__xludf.DUMMYFUNCTION("""COMPUTED_VALUE"""),"Mastered")</f>
        <v>Mastered</v>
      </c>
      <c r="C622" s="174" t="str">
        <f>IFERROR(__xludf.DUMMYFUNCTION("""COMPUTED_VALUE"""),"Proficient")</f>
        <v>Proficient</v>
      </c>
      <c r="D622" s="174" t="str">
        <f>IFERROR(__xludf.DUMMYFUNCTION("""COMPUTED_VALUE"""),"Unlisted")</f>
        <v>Unlisted</v>
      </c>
      <c r="E622" s="174" t="str">
        <f>IFERROR(__xludf.DUMMYFUNCTION("""COMPUTED_VALUE"""),"Proficient")</f>
        <v>Proficient</v>
      </c>
      <c r="F622" s="174" t="str">
        <f>IFERROR(__xludf.DUMMYFUNCTION("""COMPUTED_VALUE"""),"Unlisted")</f>
        <v>Unlisted</v>
      </c>
      <c r="G622" s="174" t="str">
        <f>IFERROR(__xludf.DUMMYFUNCTION("""COMPUTED_VALUE"""),"Unlisted")</f>
        <v>Unlisted</v>
      </c>
      <c r="H622" s="174" t="str">
        <f>IFERROR(__xludf.DUMMYFUNCTION("""COMPUTED_VALUE"""),"Unlisted")</f>
        <v>Unlisted</v>
      </c>
      <c r="I622" s="174" t="str">
        <f>IFERROR(__xludf.DUMMYFUNCTION("""COMPUTED_VALUE"""),"Unlisted")</f>
        <v>Unlisted</v>
      </c>
      <c r="J622" s="174" t="str">
        <f>IFERROR(__xludf.DUMMYFUNCTION("""COMPUTED_VALUE"""),"Unlisted")</f>
        <v>Unlisted</v>
      </c>
      <c r="K622" s="174" t="str">
        <f>IFERROR(__xludf.DUMMYFUNCTION("""COMPUTED_VALUE"""),"Unlisted")</f>
        <v>Unlisted</v>
      </c>
      <c r="L622" s="174" t="str">
        <f>IFERROR(__xludf.DUMMYFUNCTION("""COMPUTED_VALUE"""),"Unlisted")</f>
        <v>Unlisted</v>
      </c>
      <c r="M622" s="174" t="str">
        <f>IFERROR(__xludf.DUMMYFUNCTION("""COMPUTED_VALUE"""),"Unlisted")</f>
        <v>Unlisted</v>
      </c>
      <c r="N622" s="174" t="str">
        <f>IFERROR(__xludf.DUMMYFUNCTION("""COMPUTED_VALUE"""),"Unlisted")</f>
        <v>Unlisted</v>
      </c>
      <c r="O622" s="174" t="str">
        <f>IFERROR(__xludf.DUMMYFUNCTION("""COMPUTED_VALUE"""),"Unlisted")</f>
        <v>Unlisted</v>
      </c>
      <c r="P622" s="174" t="str">
        <f>IFERROR(__xludf.DUMMYFUNCTION("""COMPUTED_VALUE"""),"Unlisted")</f>
        <v>Unlisted</v>
      </c>
      <c r="Q622" s="174" t="str">
        <f>IFERROR(__xludf.DUMMYFUNCTION("""COMPUTED_VALUE"""),"Unlisted")</f>
        <v>Unlisted</v>
      </c>
      <c r="R622" s="174" t="str">
        <f>IFERROR(__xludf.DUMMYFUNCTION("""COMPUTED_VALUE"""),"Unlisted")</f>
        <v>Unlisted</v>
      </c>
    </row>
    <row r="623">
      <c r="A623" s="255" t="str">
        <f>IFERROR(__xludf.DUMMYFUNCTION("""COMPUTED_VALUE"""),"Helioptile")</f>
        <v>Helioptile</v>
      </c>
      <c r="B623" s="174" t="str">
        <f>IFERROR(__xludf.DUMMYFUNCTION("""COMPUTED_VALUE"""),"Proficient")</f>
        <v>Proficient</v>
      </c>
      <c r="C623" s="174" t="str">
        <f>IFERROR(__xludf.DUMMYFUNCTION("""COMPUTED_VALUE"""),"Proficient")</f>
        <v>Proficient</v>
      </c>
      <c r="D623" s="174" t="str">
        <f>IFERROR(__xludf.DUMMYFUNCTION("""COMPUTED_VALUE"""),"Unlisted")</f>
        <v>Unlisted</v>
      </c>
      <c r="E623" s="174" t="str">
        <f>IFERROR(__xludf.DUMMYFUNCTION("""COMPUTED_VALUE"""),"Unlisted")</f>
        <v>Unlisted</v>
      </c>
      <c r="F623" s="174" t="str">
        <f>IFERROR(__xludf.DUMMYFUNCTION("""COMPUTED_VALUE"""),"Unlisted")</f>
        <v>Unlisted</v>
      </c>
      <c r="G623" s="174" t="str">
        <f>IFERROR(__xludf.DUMMYFUNCTION("""COMPUTED_VALUE"""),"Unlisted")</f>
        <v>Unlisted</v>
      </c>
      <c r="H623" s="174" t="str">
        <f>IFERROR(__xludf.DUMMYFUNCTION("""COMPUTED_VALUE"""),"Unlisted")</f>
        <v>Unlisted</v>
      </c>
      <c r="I623" s="174" t="str">
        <f>IFERROR(__xludf.DUMMYFUNCTION("""COMPUTED_VALUE"""),"Unlisted")</f>
        <v>Unlisted</v>
      </c>
      <c r="J623" s="174" t="str">
        <f>IFERROR(__xludf.DUMMYFUNCTION("""COMPUTED_VALUE"""),"Unlisted")</f>
        <v>Unlisted</v>
      </c>
      <c r="K623" s="174" t="str">
        <f>IFERROR(__xludf.DUMMYFUNCTION("""COMPUTED_VALUE"""),"Unlisted")</f>
        <v>Unlisted</v>
      </c>
      <c r="L623" s="174" t="str">
        <f>IFERROR(__xludf.DUMMYFUNCTION("""COMPUTED_VALUE"""),"Unlisted")</f>
        <v>Unlisted</v>
      </c>
      <c r="M623" s="174" t="str">
        <f>IFERROR(__xludf.DUMMYFUNCTION("""COMPUTED_VALUE"""),"Unlisted")</f>
        <v>Unlisted</v>
      </c>
      <c r="N623" s="174" t="str">
        <f>IFERROR(__xludf.DUMMYFUNCTION("""COMPUTED_VALUE"""),"Unlisted")</f>
        <v>Unlisted</v>
      </c>
      <c r="O623" s="174" t="str">
        <f>IFERROR(__xludf.DUMMYFUNCTION("""COMPUTED_VALUE"""),"Proficient")</f>
        <v>Proficient</v>
      </c>
      <c r="P623" s="174" t="str">
        <f>IFERROR(__xludf.DUMMYFUNCTION("""COMPUTED_VALUE"""),"Unlisted")</f>
        <v>Unlisted</v>
      </c>
      <c r="Q623" s="174" t="str">
        <f>IFERROR(__xludf.DUMMYFUNCTION("""COMPUTED_VALUE"""),"Unlisted")</f>
        <v>Unlisted</v>
      </c>
      <c r="R623" s="174" t="str">
        <f>IFERROR(__xludf.DUMMYFUNCTION("""COMPUTED_VALUE"""),"Unlisted")</f>
        <v>Unlisted</v>
      </c>
    </row>
    <row r="624">
      <c r="A624" s="255" t="str">
        <f>IFERROR(__xludf.DUMMYFUNCTION("""COMPUTED_VALUE"""),"Heliolisk")</f>
        <v>Heliolisk</v>
      </c>
      <c r="B624" s="174" t="str">
        <f>IFERROR(__xludf.DUMMYFUNCTION("""COMPUTED_VALUE"""),"Proficient")</f>
        <v>Proficient</v>
      </c>
      <c r="C624" s="174" t="str">
        <f>IFERROR(__xludf.DUMMYFUNCTION("""COMPUTED_VALUE"""),"Proficient")</f>
        <v>Proficient</v>
      </c>
      <c r="D624" s="174" t="str">
        <f>IFERROR(__xludf.DUMMYFUNCTION("""COMPUTED_VALUE"""),"Unlisted")</f>
        <v>Unlisted</v>
      </c>
      <c r="E624" s="174" t="str">
        <f>IFERROR(__xludf.DUMMYFUNCTION("""COMPUTED_VALUE"""),"Unlisted")</f>
        <v>Unlisted</v>
      </c>
      <c r="F624" s="174" t="str">
        <f>IFERROR(__xludf.DUMMYFUNCTION("""COMPUTED_VALUE"""),"Unlisted")</f>
        <v>Unlisted</v>
      </c>
      <c r="G624" s="174" t="str">
        <f>IFERROR(__xludf.DUMMYFUNCTION("""COMPUTED_VALUE"""),"Unlisted")</f>
        <v>Unlisted</v>
      </c>
      <c r="H624" s="174" t="str">
        <f>IFERROR(__xludf.DUMMYFUNCTION("""COMPUTED_VALUE"""),"Unlisted")</f>
        <v>Unlisted</v>
      </c>
      <c r="I624" s="174" t="str">
        <f>IFERROR(__xludf.DUMMYFUNCTION("""COMPUTED_VALUE"""),"Unlisted")</f>
        <v>Unlisted</v>
      </c>
      <c r="J624" s="174" t="str">
        <f>IFERROR(__xludf.DUMMYFUNCTION("""COMPUTED_VALUE"""),"Unlisted")</f>
        <v>Unlisted</v>
      </c>
      <c r="K624" s="174" t="str">
        <f>IFERROR(__xludf.DUMMYFUNCTION("""COMPUTED_VALUE"""),"Unlisted")</f>
        <v>Unlisted</v>
      </c>
      <c r="L624" s="174" t="str">
        <f>IFERROR(__xludf.DUMMYFUNCTION("""COMPUTED_VALUE"""),"Unlisted")</f>
        <v>Unlisted</v>
      </c>
      <c r="M624" s="174" t="str">
        <f>IFERROR(__xludf.DUMMYFUNCTION("""COMPUTED_VALUE"""),"Unlisted")</f>
        <v>Unlisted</v>
      </c>
      <c r="N624" s="174" t="str">
        <f>IFERROR(__xludf.DUMMYFUNCTION("""COMPUTED_VALUE"""),"Unlisted")</f>
        <v>Unlisted</v>
      </c>
      <c r="O624" s="174" t="str">
        <f>IFERROR(__xludf.DUMMYFUNCTION("""COMPUTED_VALUE"""),"Proficient")</f>
        <v>Proficient</v>
      </c>
      <c r="P624" s="174" t="str">
        <f>IFERROR(__xludf.DUMMYFUNCTION("""COMPUTED_VALUE"""),"Unlisted")</f>
        <v>Unlisted</v>
      </c>
      <c r="Q624" s="174" t="str">
        <f>IFERROR(__xludf.DUMMYFUNCTION("""COMPUTED_VALUE"""),"Unlisted")</f>
        <v>Unlisted</v>
      </c>
      <c r="R624" s="174" t="str">
        <f>IFERROR(__xludf.DUMMYFUNCTION("""COMPUTED_VALUE"""),"Unlisted")</f>
        <v>Unlisted</v>
      </c>
    </row>
    <row r="625">
      <c r="A625" s="255" t="str">
        <f>IFERROR(__xludf.DUMMYFUNCTION("""COMPUTED_VALUE"""),"Yamper")</f>
        <v>Yamper</v>
      </c>
      <c r="B625" s="174" t="str">
        <f>IFERROR(__xludf.DUMMYFUNCTION("""COMPUTED_VALUE"""),"Proficient")</f>
        <v>Proficient</v>
      </c>
      <c r="C625" s="174" t="str">
        <f>IFERROR(__xludf.DUMMYFUNCTION("""COMPUTED_VALUE"""),"Proficient")</f>
        <v>Proficient</v>
      </c>
      <c r="D625" s="174" t="str">
        <f>IFERROR(__xludf.DUMMYFUNCTION("""COMPUTED_VALUE"""),"Proficient")</f>
        <v>Proficient</v>
      </c>
      <c r="E625" s="174" t="str">
        <f>IFERROR(__xludf.DUMMYFUNCTION("""COMPUTED_VALUE"""),"Unlisted")</f>
        <v>Unlisted</v>
      </c>
      <c r="F625" s="174" t="str">
        <f>IFERROR(__xludf.DUMMYFUNCTION("""COMPUTED_VALUE"""),"Unlisted")</f>
        <v>Unlisted</v>
      </c>
      <c r="G625" s="174" t="str">
        <f>IFERROR(__xludf.DUMMYFUNCTION("""COMPUTED_VALUE"""),"Inept")</f>
        <v>Inept</v>
      </c>
      <c r="H625" s="174" t="str">
        <f>IFERROR(__xludf.DUMMYFUNCTION("""COMPUTED_VALUE"""),"Unlisted")</f>
        <v>Unlisted</v>
      </c>
      <c r="I625" s="174" t="str">
        <f>IFERROR(__xludf.DUMMYFUNCTION("""COMPUTED_VALUE"""),"Unlisted")</f>
        <v>Unlisted</v>
      </c>
      <c r="J625" s="174" t="str">
        <f>IFERROR(__xludf.DUMMYFUNCTION("""COMPUTED_VALUE"""),"Unlisted")</f>
        <v>Unlisted</v>
      </c>
      <c r="K625" s="174" t="str">
        <f>IFERROR(__xludf.DUMMYFUNCTION("""COMPUTED_VALUE"""),"Unlisted")</f>
        <v>Unlisted</v>
      </c>
      <c r="L625" s="174" t="str">
        <f>IFERROR(__xludf.DUMMYFUNCTION("""COMPUTED_VALUE"""),"Unlisted")</f>
        <v>Unlisted</v>
      </c>
      <c r="M625" s="174" t="str">
        <f>IFERROR(__xludf.DUMMYFUNCTION("""COMPUTED_VALUE"""),"Unlisted")</f>
        <v>Unlisted</v>
      </c>
      <c r="N625" s="174" t="str">
        <f>IFERROR(__xludf.DUMMYFUNCTION("""COMPUTED_VALUE"""),"Unlisted")</f>
        <v>Unlisted</v>
      </c>
      <c r="O625" s="174" t="str">
        <f>IFERROR(__xludf.DUMMYFUNCTION("""COMPUTED_VALUE"""),"Unlisted")</f>
        <v>Unlisted</v>
      </c>
      <c r="P625" s="174" t="str">
        <f>IFERROR(__xludf.DUMMYFUNCTION("""COMPUTED_VALUE"""),"Unlisted")</f>
        <v>Unlisted</v>
      </c>
      <c r="Q625" s="174" t="str">
        <f>IFERROR(__xludf.DUMMYFUNCTION("""COMPUTED_VALUE"""),"Unlisted")</f>
        <v>Unlisted</v>
      </c>
      <c r="R625" s="174" t="str">
        <f>IFERROR(__xludf.DUMMYFUNCTION("""COMPUTED_VALUE"""),"Unlisted")</f>
        <v>Unlisted</v>
      </c>
    </row>
    <row r="626">
      <c r="A626" s="255" t="str">
        <f>IFERROR(__xludf.DUMMYFUNCTION("""COMPUTED_VALUE"""),"Boltund")</f>
        <v>Boltund</v>
      </c>
      <c r="B626" s="174" t="str">
        <f>IFERROR(__xludf.DUMMYFUNCTION("""COMPUTED_VALUE"""),"Proficient")</f>
        <v>Proficient</v>
      </c>
      <c r="C626" s="174" t="str">
        <f>IFERROR(__xludf.DUMMYFUNCTION("""COMPUTED_VALUE"""),"Proficient")</f>
        <v>Proficient</v>
      </c>
      <c r="D626" s="174" t="str">
        <f>IFERROR(__xludf.DUMMYFUNCTION("""COMPUTED_VALUE"""),"Proficient")</f>
        <v>Proficient</v>
      </c>
      <c r="E626" s="174" t="str">
        <f>IFERROR(__xludf.DUMMYFUNCTION("""COMPUTED_VALUE"""),"Unlisted")</f>
        <v>Unlisted</v>
      </c>
      <c r="F626" s="174" t="str">
        <f>IFERROR(__xludf.DUMMYFUNCTION("""COMPUTED_VALUE"""),"Unlisted")</f>
        <v>Unlisted</v>
      </c>
      <c r="G626" s="174" t="str">
        <f>IFERROR(__xludf.DUMMYFUNCTION("""COMPUTED_VALUE"""),"Inept")</f>
        <v>Inept</v>
      </c>
      <c r="H626" s="174" t="str">
        <f>IFERROR(__xludf.DUMMYFUNCTION("""COMPUTED_VALUE"""),"Unlisted")</f>
        <v>Unlisted</v>
      </c>
      <c r="I626" s="174" t="str">
        <f>IFERROR(__xludf.DUMMYFUNCTION("""COMPUTED_VALUE"""),"Unlisted")</f>
        <v>Unlisted</v>
      </c>
      <c r="J626" s="174" t="str">
        <f>IFERROR(__xludf.DUMMYFUNCTION("""COMPUTED_VALUE"""),"Unlisted")</f>
        <v>Unlisted</v>
      </c>
      <c r="K626" s="174" t="str">
        <f>IFERROR(__xludf.DUMMYFUNCTION("""COMPUTED_VALUE"""),"Unlisted")</f>
        <v>Unlisted</v>
      </c>
      <c r="L626" s="174" t="str">
        <f>IFERROR(__xludf.DUMMYFUNCTION("""COMPUTED_VALUE"""),"Unlisted")</f>
        <v>Unlisted</v>
      </c>
      <c r="M626" s="174" t="str">
        <f>IFERROR(__xludf.DUMMYFUNCTION("""COMPUTED_VALUE"""),"Unlisted")</f>
        <v>Unlisted</v>
      </c>
      <c r="N626" s="174" t="str">
        <f>IFERROR(__xludf.DUMMYFUNCTION("""COMPUTED_VALUE"""),"Unlisted")</f>
        <v>Unlisted</v>
      </c>
      <c r="O626" s="174" t="str">
        <f>IFERROR(__xludf.DUMMYFUNCTION("""COMPUTED_VALUE"""),"Unlisted")</f>
        <v>Unlisted</v>
      </c>
      <c r="P626" s="174" t="str">
        <f>IFERROR(__xludf.DUMMYFUNCTION("""COMPUTED_VALUE"""),"Unlisted")</f>
        <v>Unlisted</v>
      </c>
      <c r="Q626" s="174" t="str">
        <f>IFERROR(__xludf.DUMMYFUNCTION("""COMPUTED_VALUE"""),"Unlisted")</f>
        <v>Unlisted</v>
      </c>
      <c r="R626" s="174" t="str">
        <f>IFERROR(__xludf.DUMMYFUNCTION("""COMPUTED_VALUE"""),"Unlisted")</f>
        <v>Unlisted</v>
      </c>
    </row>
    <row r="627">
      <c r="A627" s="255" t="str">
        <f>IFERROR(__xludf.DUMMYFUNCTION("""COMPUTED_VALUE"""),"Toxel")</f>
        <v>Toxel</v>
      </c>
      <c r="B627" s="174" t="str">
        <f>IFERROR(__xludf.DUMMYFUNCTION("""COMPUTED_VALUE"""),"Unlisted")</f>
        <v>Unlisted</v>
      </c>
      <c r="C627" s="174" t="str">
        <f>IFERROR(__xludf.DUMMYFUNCTION("""COMPUTED_VALUE"""),"Inept")</f>
        <v>Inept</v>
      </c>
      <c r="D627" s="174" t="str">
        <f>IFERROR(__xludf.DUMMYFUNCTION("""COMPUTED_VALUE"""),"Unlisted")</f>
        <v>Unlisted</v>
      </c>
      <c r="E627" s="174" t="str">
        <f>IFERROR(__xludf.DUMMYFUNCTION("""COMPUTED_VALUE"""),"Inept")</f>
        <v>Inept</v>
      </c>
      <c r="F627" s="174" t="str">
        <f>IFERROR(__xludf.DUMMYFUNCTION("""COMPUTED_VALUE"""),"Unlisted")</f>
        <v>Unlisted</v>
      </c>
      <c r="G627" s="174" t="str">
        <f>IFERROR(__xludf.DUMMYFUNCTION("""COMPUTED_VALUE"""),"Mastered")</f>
        <v>Mastered</v>
      </c>
      <c r="H627" s="174" t="str">
        <f>IFERROR(__xludf.DUMMYFUNCTION("""COMPUTED_VALUE"""),"Unlisted")</f>
        <v>Unlisted</v>
      </c>
      <c r="I627" s="174" t="str">
        <f>IFERROR(__xludf.DUMMYFUNCTION("""COMPUTED_VALUE"""),"Unlisted")</f>
        <v>Unlisted</v>
      </c>
      <c r="J627" s="174" t="str">
        <f>IFERROR(__xludf.DUMMYFUNCTION("""COMPUTED_VALUE"""),"Unlisted")</f>
        <v>Unlisted</v>
      </c>
      <c r="K627" s="174" t="str">
        <f>IFERROR(__xludf.DUMMYFUNCTION("""COMPUTED_VALUE"""),"Proficient")</f>
        <v>Proficient</v>
      </c>
      <c r="L627" s="174" t="str">
        <f>IFERROR(__xludf.DUMMYFUNCTION("""COMPUTED_VALUE"""),"Unlisted")</f>
        <v>Unlisted</v>
      </c>
      <c r="M627" s="174" t="str">
        <f>IFERROR(__xludf.DUMMYFUNCTION("""COMPUTED_VALUE"""),"Unlisted")</f>
        <v>Unlisted</v>
      </c>
      <c r="N627" s="174" t="str">
        <f>IFERROR(__xludf.DUMMYFUNCTION("""COMPUTED_VALUE"""),"Unlisted")</f>
        <v>Unlisted</v>
      </c>
      <c r="O627" s="174" t="str">
        <f>IFERROR(__xludf.DUMMYFUNCTION("""COMPUTED_VALUE"""),"Unlisted")</f>
        <v>Unlisted</v>
      </c>
      <c r="P627" s="174" t="str">
        <f>IFERROR(__xludf.DUMMYFUNCTION("""COMPUTED_VALUE"""),"Unlisted")</f>
        <v>Unlisted</v>
      </c>
      <c r="Q627" s="174" t="str">
        <f>IFERROR(__xludf.DUMMYFUNCTION("""COMPUTED_VALUE"""),"Unlisted")</f>
        <v>Unlisted</v>
      </c>
      <c r="R627" s="174" t="str">
        <f>IFERROR(__xludf.DUMMYFUNCTION("""COMPUTED_VALUE"""),"Unlisted")</f>
        <v>Unlisted</v>
      </c>
    </row>
    <row r="628">
      <c r="A628" s="255" t="str">
        <f>IFERROR(__xludf.DUMMYFUNCTION("""COMPUTED_VALUE"""),"Toxtricity")</f>
        <v>Toxtricity</v>
      </c>
      <c r="B628" s="174" t="str">
        <f>IFERROR(__xludf.DUMMYFUNCTION("""COMPUTED_VALUE"""),"Unlisted")</f>
        <v>Unlisted</v>
      </c>
      <c r="C628" s="174" t="str">
        <f>IFERROR(__xludf.DUMMYFUNCTION("""COMPUTED_VALUE"""),"Unlisted")</f>
        <v>Unlisted</v>
      </c>
      <c r="D628" s="174" t="str">
        <f>IFERROR(__xludf.DUMMYFUNCTION("""COMPUTED_VALUE"""),"Unlisted")</f>
        <v>Unlisted</v>
      </c>
      <c r="E628" s="174" t="str">
        <f>IFERROR(__xludf.DUMMYFUNCTION("""COMPUTED_VALUE"""),"Proficient")</f>
        <v>Proficient</v>
      </c>
      <c r="F628" s="174" t="str">
        <f>IFERROR(__xludf.DUMMYFUNCTION("""COMPUTED_VALUE"""),"Unlisted")</f>
        <v>Unlisted</v>
      </c>
      <c r="G628" s="174" t="str">
        <f>IFERROR(__xludf.DUMMYFUNCTION("""COMPUTED_VALUE"""),"Mastered")</f>
        <v>Mastered</v>
      </c>
      <c r="H628" s="174" t="str">
        <f>IFERROR(__xludf.DUMMYFUNCTION("""COMPUTED_VALUE"""),"Unlisted")</f>
        <v>Unlisted</v>
      </c>
      <c r="I628" s="174" t="str">
        <f>IFERROR(__xludf.DUMMYFUNCTION("""COMPUTED_VALUE"""),"Unlisted")</f>
        <v>Unlisted</v>
      </c>
      <c r="J628" s="174" t="str">
        <f>IFERROR(__xludf.DUMMYFUNCTION("""COMPUTED_VALUE"""),"Unlisted")</f>
        <v>Unlisted</v>
      </c>
      <c r="K628" s="174" t="str">
        <f>IFERROR(__xludf.DUMMYFUNCTION("""COMPUTED_VALUE"""),"Proficient")</f>
        <v>Proficient</v>
      </c>
      <c r="L628" s="174" t="str">
        <f>IFERROR(__xludf.DUMMYFUNCTION("""COMPUTED_VALUE"""),"Unlisted")</f>
        <v>Unlisted</v>
      </c>
      <c r="M628" s="174" t="str">
        <f>IFERROR(__xludf.DUMMYFUNCTION("""COMPUTED_VALUE"""),"Unlisted")</f>
        <v>Unlisted</v>
      </c>
      <c r="N628" s="174" t="str">
        <f>IFERROR(__xludf.DUMMYFUNCTION("""COMPUTED_VALUE"""),"Unlisted")</f>
        <v>Unlisted</v>
      </c>
      <c r="O628" s="174" t="str">
        <f>IFERROR(__xludf.DUMMYFUNCTION("""COMPUTED_VALUE"""),"Unlisted")</f>
        <v>Unlisted</v>
      </c>
      <c r="P628" s="174" t="str">
        <f>IFERROR(__xludf.DUMMYFUNCTION("""COMPUTED_VALUE"""),"Unlisted")</f>
        <v>Unlisted</v>
      </c>
      <c r="Q628" s="174" t="str">
        <f>IFERROR(__xludf.DUMMYFUNCTION("""COMPUTED_VALUE"""),"Unlisted")</f>
        <v>Unlisted</v>
      </c>
      <c r="R628" s="174" t="str">
        <f>IFERROR(__xludf.DUMMYFUNCTION("""COMPUTED_VALUE"""),"Unlisted")</f>
        <v>Unlisted</v>
      </c>
    </row>
    <row r="629">
      <c r="A629" s="255" t="str">
        <f>IFERROR(__xludf.DUMMYFUNCTION("""COMPUTED_VALUE"""),"Tadbulb")</f>
        <v>Tadbulb</v>
      </c>
      <c r="B629" s="174" t="str">
        <f>IFERROR(__xludf.DUMMYFUNCTION("""COMPUTED_VALUE"""),"Unlisted")</f>
        <v>Unlisted</v>
      </c>
      <c r="C629" s="174" t="str">
        <f>IFERROR(__xludf.DUMMYFUNCTION("""COMPUTED_VALUE"""),"Inept")</f>
        <v>Inept</v>
      </c>
      <c r="D629" s="174" t="str">
        <f>IFERROR(__xludf.DUMMYFUNCTION("""COMPUTED_VALUE"""),"Unlisted")</f>
        <v>Unlisted</v>
      </c>
      <c r="E629" s="174" t="str">
        <f>IFERROR(__xludf.DUMMYFUNCTION("""COMPUTED_VALUE"""),"Unlisted")</f>
        <v>Unlisted</v>
      </c>
      <c r="F629" s="174" t="str">
        <f>IFERROR(__xludf.DUMMYFUNCTION("""COMPUTED_VALUE"""),"Unlisted")</f>
        <v>Unlisted</v>
      </c>
      <c r="G629" s="174" t="str">
        <f>IFERROR(__xludf.DUMMYFUNCTION("""COMPUTED_VALUE"""),"Proficient")</f>
        <v>Proficient</v>
      </c>
      <c r="H629" s="174" t="str">
        <f>IFERROR(__xludf.DUMMYFUNCTION("""COMPUTED_VALUE"""),"Unlisted")</f>
        <v>Unlisted</v>
      </c>
      <c r="I629" s="174" t="str">
        <f>IFERROR(__xludf.DUMMYFUNCTION("""COMPUTED_VALUE"""),"Unlisted")</f>
        <v>Unlisted</v>
      </c>
      <c r="J629" s="174" t="str">
        <f>IFERROR(__xludf.DUMMYFUNCTION("""COMPUTED_VALUE"""),"Inept")</f>
        <v>Inept</v>
      </c>
      <c r="K629" s="174" t="str">
        <f>IFERROR(__xludf.DUMMYFUNCTION("""COMPUTED_VALUE"""),"Unlisted")</f>
        <v>Unlisted</v>
      </c>
      <c r="L629" s="174" t="str">
        <f>IFERROR(__xludf.DUMMYFUNCTION("""COMPUTED_VALUE"""),"Unlisted")</f>
        <v>Unlisted</v>
      </c>
      <c r="M629" s="174" t="str">
        <f>IFERROR(__xludf.DUMMYFUNCTION("""COMPUTED_VALUE"""),"Unlisted")</f>
        <v>Unlisted</v>
      </c>
      <c r="N629" s="174" t="str">
        <f>IFERROR(__xludf.DUMMYFUNCTION("""COMPUTED_VALUE"""),"Unlisted")</f>
        <v>Unlisted</v>
      </c>
      <c r="O629" s="174" t="str">
        <f>IFERROR(__xludf.DUMMYFUNCTION("""COMPUTED_VALUE"""),"Proficient")</f>
        <v>Proficient</v>
      </c>
      <c r="P629" s="174" t="str">
        <f>IFERROR(__xludf.DUMMYFUNCTION("""COMPUTED_VALUE"""),"Unlisted")</f>
        <v>Unlisted</v>
      </c>
      <c r="Q629" s="174" t="str">
        <f>IFERROR(__xludf.DUMMYFUNCTION("""COMPUTED_VALUE"""),"Unlisted")</f>
        <v>Unlisted</v>
      </c>
      <c r="R629" s="174" t="str">
        <f>IFERROR(__xludf.DUMMYFUNCTION("""COMPUTED_VALUE"""),"Unlisted")</f>
        <v>Unlisted</v>
      </c>
    </row>
    <row r="630">
      <c r="A630" s="255" t="str">
        <f>IFERROR(__xludf.DUMMYFUNCTION("""COMPUTED_VALUE"""),"Bellibolt")</f>
        <v>Bellibolt</v>
      </c>
      <c r="B630" s="174" t="str">
        <f>IFERROR(__xludf.DUMMYFUNCTION("""COMPUTED_VALUE"""),"Unlisted")</f>
        <v>Unlisted</v>
      </c>
      <c r="C630" s="174" t="str">
        <f>IFERROR(__xludf.DUMMYFUNCTION("""COMPUTED_VALUE"""),"Unlisted")</f>
        <v>Unlisted</v>
      </c>
      <c r="D630" s="174" t="str">
        <f>IFERROR(__xludf.DUMMYFUNCTION("""COMPUTED_VALUE"""),"Unlisted")</f>
        <v>Unlisted</v>
      </c>
      <c r="E630" s="174" t="str">
        <f>IFERROR(__xludf.DUMMYFUNCTION("""COMPUTED_VALUE"""),"Unlisted")</f>
        <v>Unlisted</v>
      </c>
      <c r="F630" s="174" t="str">
        <f>IFERROR(__xludf.DUMMYFUNCTION("""COMPUTED_VALUE"""),"Unlisted")</f>
        <v>Unlisted</v>
      </c>
      <c r="G630" s="174" t="str">
        <f>IFERROR(__xludf.DUMMYFUNCTION("""COMPUTED_VALUE"""),"Proficient")</f>
        <v>Proficient</v>
      </c>
      <c r="H630" s="174" t="str">
        <f>IFERROR(__xludf.DUMMYFUNCTION("""COMPUTED_VALUE"""),"Unlisted")</f>
        <v>Unlisted</v>
      </c>
      <c r="I630" s="174" t="str">
        <f>IFERROR(__xludf.DUMMYFUNCTION("""COMPUTED_VALUE"""),"Unlisted")</f>
        <v>Unlisted</v>
      </c>
      <c r="J630" s="174" t="str">
        <f>IFERROR(__xludf.DUMMYFUNCTION("""COMPUTED_VALUE"""),"Inept")</f>
        <v>Inept</v>
      </c>
      <c r="K630" s="174" t="str">
        <f>IFERROR(__xludf.DUMMYFUNCTION("""COMPUTED_VALUE"""),"Unlisted")</f>
        <v>Unlisted</v>
      </c>
      <c r="L630" s="174" t="str">
        <f>IFERROR(__xludf.DUMMYFUNCTION("""COMPUTED_VALUE"""),"Unlisted")</f>
        <v>Unlisted</v>
      </c>
      <c r="M630" s="174" t="str">
        <f>IFERROR(__xludf.DUMMYFUNCTION("""COMPUTED_VALUE"""),"Unlisted")</f>
        <v>Unlisted</v>
      </c>
      <c r="N630" s="174" t="str">
        <f>IFERROR(__xludf.DUMMYFUNCTION("""COMPUTED_VALUE"""),"Unlisted")</f>
        <v>Unlisted</v>
      </c>
      <c r="O630" s="174" t="str">
        <f>IFERROR(__xludf.DUMMYFUNCTION("""COMPUTED_VALUE"""),"Proficient")</f>
        <v>Proficient</v>
      </c>
      <c r="P630" s="174" t="str">
        <f>IFERROR(__xludf.DUMMYFUNCTION("""COMPUTED_VALUE"""),"Unlisted")</f>
        <v>Unlisted</v>
      </c>
      <c r="Q630" s="174" t="str">
        <f>IFERROR(__xludf.DUMMYFUNCTION("""COMPUTED_VALUE"""),"Unlisted")</f>
        <v>Unlisted</v>
      </c>
      <c r="R630" s="174" t="str">
        <f>IFERROR(__xludf.DUMMYFUNCTION("""COMPUTED_VALUE"""),"Unlisted")</f>
        <v>Unlisted</v>
      </c>
    </row>
    <row r="631">
      <c r="A631" s="255" t="str">
        <f>IFERROR(__xludf.DUMMYFUNCTION("""COMPUTED_VALUE"""),"Snubbull")</f>
        <v>Snubbull</v>
      </c>
      <c r="B631" s="174" t="str">
        <f>IFERROR(__xludf.DUMMYFUNCTION("""COMPUTED_VALUE"""),"Unlisted")</f>
        <v>Unlisted</v>
      </c>
      <c r="C631" s="174" t="str">
        <f>IFERROR(__xludf.DUMMYFUNCTION("""COMPUTED_VALUE"""),"Proficient")</f>
        <v>Proficient</v>
      </c>
      <c r="D631" s="174" t="str">
        <f>IFERROR(__xludf.DUMMYFUNCTION("""COMPUTED_VALUE"""),"Unlisted")</f>
        <v>Unlisted</v>
      </c>
      <c r="E631" s="174" t="str">
        <f>IFERROR(__xludf.DUMMYFUNCTION("""COMPUTED_VALUE"""),"Unlisted")</f>
        <v>Unlisted</v>
      </c>
      <c r="F631" s="174" t="str">
        <f>IFERROR(__xludf.DUMMYFUNCTION("""COMPUTED_VALUE"""),"Unlisted")</f>
        <v>Unlisted</v>
      </c>
      <c r="G631" s="174" t="str">
        <f>IFERROR(__xludf.DUMMYFUNCTION("""COMPUTED_VALUE"""),"Proficient")</f>
        <v>Proficient</v>
      </c>
      <c r="H631" s="174" t="str">
        <f>IFERROR(__xludf.DUMMYFUNCTION("""COMPUTED_VALUE"""),"Unlisted")</f>
        <v>Unlisted</v>
      </c>
      <c r="I631" s="174" t="str">
        <f>IFERROR(__xludf.DUMMYFUNCTION("""COMPUTED_VALUE"""),"Unlisted")</f>
        <v>Unlisted</v>
      </c>
      <c r="J631" s="174" t="str">
        <f>IFERROR(__xludf.DUMMYFUNCTION("""COMPUTED_VALUE"""),"Unlisted")</f>
        <v>Unlisted</v>
      </c>
      <c r="K631" s="174" t="str">
        <f>IFERROR(__xludf.DUMMYFUNCTION("""COMPUTED_VALUE"""),"Unlisted")</f>
        <v>Unlisted</v>
      </c>
      <c r="L631" s="174" t="str">
        <f>IFERROR(__xludf.DUMMYFUNCTION("""COMPUTED_VALUE"""),"Unlisted")</f>
        <v>Unlisted</v>
      </c>
      <c r="M631" s="174" t="str">
        <f>IFERROR(__xludf.DUMMYFUNCTION("""COMPUTED_VALUE"""),"Unlisted")</f>
        <v>Unlisted</v>
      </c>
      <c r="N631" s="174" t="str">
        <f>IFERROR(__xludf.DUMMYFUNCTION("""COMPUTED_VALUE"""),"Unlisted")</f>
        <v>Unlisted</v>
      </c>
      <c r="O631" s="174" t="str">
        <f>IFERROR(__xludf.DUMMYFUNCTION("""COMPUTED_VALUE"""),"Unlisted")</f>
        <v>Unlisted</v>
      </c>
      <c r="P631" s="174" t="str">
        <f>IFERROR(__xludf.DUMMYFUNCTION("""COMPUTED_VALUE"""),"Unlisted")</f>
        <v>Unlisted</v>
      </c>
      <c r="Q631" s="174" t="str">
        <f>IFERROR(__xludf.DUMMYFUNCTION("""COMPUTED_VALUE"""),"Unlisted")</f>
        <v>Unlisted</v>
      </c>
      <c r="R631" s="174" t="str">
        <f>IFERROR(__xludf.DUMMYFUNCTION("""COMPUTED_VALUE"""),"Unlisted")</f>
        <v>Unlisted</v>
      </c>
    </row>
    <row r="632">
      <c r="A632" s="255" t="str">
        <f>IFERROR(__xludf.DUMMYFUNCTION("""COMPUTED_VALUE"""),"Granbull")</f>
        <v>Granbull</v>
      </c>
      <c r="B632" s="174" t="str">
        <f>IFERROR(__xludf.DUMMYFUNCTION("""COMPUTED_VALUE"""),"Unlisted")</f>
        <v>Unlisted</v>
      </c>
      <c r="C632" s="174" t="str">
        <f>IFERROR(__xludf.DUMMYFUNCTION("""COMPUTED_VALUE"""),"Proficient")</f>
        <v>Proficient</v>
      </c>
      <c r="D632" s="174" t="str">
        <f>IFERROR(__xludf.DUMMYFUNCTION("""COMPUTED_VALUE"""),"Unlisted")</f>
        <v>Unlisted</v>
      </c>
      <c r="E632" s="174" t="str">
        <f>IFERROR(__xludf.DUMMYFUNCTION("""COMPUTED_VALUE"""),"Unlisted")</f>
        <v>Unlisted</v>
      </c>
      <c r="F632" s="174" t="str">
        <f>IFERROR(__xludf.DUMMYFUNCTION("""COMPUTED_VALUE"""),"Unlisted")</f>
        <v>Unlisted</v>
      </c>
      <c r="G632" s="174" t="str">
        <f>IFERROR(__xludf.DUMMYFUNCTION("""COMPUTED_VALUE"""),"Proficient")</f>
        <v>Proficient</v>
      </c>
      <c r="H632" s="174" t="str">
        <f>IFERROR(__xludf.DUMMYFUNCTION("""COMPUTED_VALUE"""),"Unlisted")</f>
        <v>Unlisted</v>
      </c>
      <c r="I632" s="174" t="str">
        <f>IFERROR(__xludf.DUMMYFUNCTION("""COMPUTED_VALUE"""),"Unlisted")</f>
        <v>Unlisted</v>
      </c>
      <c r="J632" s="174" t="str">
        <f>IFERROR(__xludf.DUMMYFUNCTION("""COMPUTED_VALUE"""),"Unlisted")</f>
        <v>Unlisted</v>
      </c>
      <c r="K632" s="174" t="str">
        <f>IFERROR(__xludf.DUMMYFUNCTION("""COMPUTED_VALUE"""),"Unlisted")</f>
        <v>Unlisted</v>
      </c>
      <c r="L632" s="174" t="str">
        <f>IFERROR(__xludf.DUMMYFUNCTION("""COMPUTED_VALUE"""),"Unlisted")</f>
        <v>Unlisted</v>
      </c>
      <c r="M632" s="174" t="str">
        <f>IFERROR(__xludf.DUMMYFUNCTION("""COMPUTED_VALUE"""),"Unlisted")</f>
        <v>Unlisted</v>
      </c>
      <c r="N632" s="174" t="str">
        <f>IFERROR(__xludf.DUMMYFUNCTION("""COMPUTED_VALUE"""),"Unlisted")</f>
        <v>Unlisted</v>
      </c>
      <c r="O632" s="174" t="str">
        <f>IFERROR(__xludf.DUMMYFUNCTION("""COMPUTED_VALUE"""),"Unlisted")</f>
        <v>Unlisted</v>
      </c>
      <c r="P632" s="174" t="str">
        <f>IFERROR(__xludf.DUMMYFUNCTION("""COMPUTED_VALUE"""),"Unlisted")</f>
        <v>Unlisted</v>
      </c>
      <c r="Q632" s="174" t="str">
        <f>IFERROR(__xludf.DUMMYFUNCTION("""COMPUTED_VALUE"""),"Unlisted")</f>
        <v>Unlisted</v>
      </c>
      <c r="R632" s="174" t="str">
        <f>IFERROR(__xludf.DUMMYFUNCTION("""COMPUTED_VALUE"""),"Unlisted")</f>
        <v>Unlisted</v>
      </c>
    </row>
    <row r="633">
      <c r="A633" s="255" t="str">
        <f>IFERROR(__xludf.DUMMYFUNCTION("""COMPUTED_VALUE"""),"Spritzee")</f>
        <v>Spritzee</v>
      </c>
      <c r="B633" s="174" t="str">
        <f>IFERROR(__xludf.DUMMYFUNCTION("""COMPUTED_VALUE"""),"Unlisted")</f>
        <v>Unlisted</v>
      </c>
      <c r="C633" s="174" t="str">
        <f>IFERROR(__xludf.DUMMYFUNCTION("""COMPUTED_VALUE"""),"Unlisted")</f>
        <v>Unlisted</v>
      </c>
      <c r="D633" s="174" t="str">
        <f>IFERROR(__xludf.DUMMYFUNCTION("""COMPUTED_VALUE"""),"Proficient")</f>
        <v>Proficient</v>
      </c>
      <c r="E633" s="174" t="str">
        <f>IFERROR(__xludf.DUMMYFUNCTION("""COMPUTED_VALUE"""),"Inept")</f>
        <v>Inept</v>
      </c>
      <c r="F633" s="174" t="str">
        <f>IFERROR(__xludf.DUMMYFUNCTION("""COMPUTED_VALUE"""),"Unlisted")</f>
        <v>Unlisted</v>
      </c>
      <c r="G633" s="174" t="str">
        <f>IFERROR(__xludf.DUMMYFUNCTION("""COMPUTED_VALUE"""),"Proficient")</f>
        <v>Proficient</v>
      </c>
      <c r="H633" s="174" t="str">
        <f>IFERROR(__xludf.DUMMYFUNCTION("""COMPUTED_VALUE"""),"Unlisted")</f>
        <v>Unlisted</v>
      </c>
      <c r="I633" s="174" t="str">
        <f>IFERROR(__xludf.DUMMYFUNCTION("""COMPUTED_VALUE"""),"Unlisted")</f>
        <v>Unlisted</v>
      </c>
      <c r="J633" s="174" t="str">
        <f>IFERROR(__xludf.DUMMYFUNCTION("""COMPUTED_VALUE"""),"Unlisted")</f>
        <v>Unlisted</v>
      </c>
      <c r="K633" s="174" t="str">
        <f>IFERROR(__xludf.DUMMYFUNCTION("""COMPUTED_VALUE"""),"Proficient")</f>
        <v>Proficient</v>
      </c>
      <c r="L633" s="174" t="str">
        <f>IFERROR(__xludf.DUMMYFUNCTION("""COMPUTED_VALUE"""),"Unlisted")</f>
        <v>Unlisted</v>
      </c>
      <c r="M633" s="174" t="str">
        <f>IFERROR(__xludf.DUMMYFUNCTION("""COMPUTED_VALUE"""),"Unlisted")</f>
        <v>Unlisted</v>
      </c>
      <c r="N633" s="174" t="str">
        <f>IFERROR(__xludf.DUMMYFUNCTION("""COMPUTED_VALUE"""),"Unlisted")</f>
        <v>Unlisted</v>
      </c>
      <c r="O633" s="174" t="str">
        <f>IFERROR(__xludf.DUMMYFUNCTION("""COMPUTED_VALUE"""),"Unlisted")</f>
        <v>Unlisted</v>
      </c>
      <c r="P633" s="174" t="str">
        <f>IFERROR(__xludf.DUMMYFUNCTION("""COMPUTED_VALUE"""),"Unlisted")</f>
        <v>Unlisted</v>
      </c>
      <c r="Q633" s="174" t="str">
        <f>IFERROR(__xludf.DUMMYFUNCTION("""COMPUTED_VALUE"""),"Unlisted")</f>
        <v>Unlisted</v>
      </c>
      <c r="R633" s="174" t="str">
        <f>IFERROR(__xludf.DUMMYFUNCTION("""COMPUTED_VALUE"""),"Unlisted")</f>
        <v>Unlisted</v>
      </c>
    </row>
    <row r="634">
      <c r="A634" s="255" t="str">
        <f>IFERROR(__xludf.DUMMYFUNCTION("""COMPUTED_VALUE"""),"Aromatisse")</f>
        <v>Aromatisse</v>
      </c>
      <c r="B634" s="174" t="str">
        <f>IFERROR(__xludf.DUMMYFUNCTION("""COMPUTED_VALUE"""),"Unlisted")</f>
        <v>Unlisted</v>
      </c>
      <c r="C634" s="174" t="str">
        <f>IFERROR(__xludf.DUMMYFUNCTION("""COMPUTED_VALUE"""),"Unlisted")</f>
        <v>Unlisted</v>
      </c>
      <c r="D634" s="174" t="str">
        <f>IFERROR(__xludf.DUMMYFUNCTION("""COMPUTED_VALUE"""),"Proficient")</f>
        <v>Proficient</v>
      </c>
      <c r="E634" s="174" t="str">
        <f>IFERROR(__xludf.DUMMYFUNCTION("""COMPUTED_VALUE"""),"Inept")</f>
        <v>Inept</v>
      </c>
      <c r="F634" s="174" t="str">
        <f>IFERROR(__xludf.DUMMYFUNCTION("""COMPUTED_VALUE"""),"Unlisted")</f>
        <v>Unlisted</v>
      </c>
      <c r="G634" s="174" t="str">
        <f>IFERROR(__xludf.DUMMYFUNCTION("""COMPUTED_VALUE"""),"Proficient")</f>
        <v>Proficient</v>
      </c>
      <c r="H634" s="174" t="str">
        <f>IFERROR(__xludf.DUMMYFUNCTION("""COMPUTED_VALUE"""),"Unlisted")</f>
        <v>Unlisted</v>
      </c>
      <c r="I634" s="174" t="str">
        <f>IFERROR(__xludf.DUMMYFUNCTION("""COMPUTED_VALUE"""),"Unlisted")</f>
        <v>Unlisted</v>
      </c>
      <c r="J634" s="174" t="str">
        <f>IFERROR(__xludf.DUMMYFUNCTION("""COMPUTED_VALUE"""),"Unlisted")</f>
        <v>Unlisted</v>
      </c>
      <c r="K634" s="174" t="str">
        <f>IFERROR(__xludf.DUMMYFUNCTION("""COMPUTED_VALUE"""),"Proficient")</f>
        <v>Proficient</v>
      </c>
      <c r="L634" s="174" t="str">
        <f>IFERROR(__xludf.DUMMYFUNCTION("""COMPUTED_VALUE"""),"Unlisted")</f>
        <v>Unlisted</v>
      </c>
      <c r="M634" s="174" t="str">
        <f>IFERROR(__xludf.DUMMYFUNCTION("""COMPUTED_VALUE"""),"Unlisted")</f>
        <v>Unlisted</v>
      </c>
      <c r="N634" s="174" t="str">
        <f>IFERROR(__xludf.DUMMYFUNCTION("""COMPUTED_VALUE"""),"Unlisted")</f>
        <v>Unlisted</v>
      </c>
      <c r="O634" s="174" t="str">
        <f>IFERROR(__xludf.DUMMYFUNCTION("""COMPUTED_VALUE"""),"Unlisted")</f>
        <v>Unlisted</v>
      </c>
      <c r="P634" s="174" t="str">
        <f>IFERROR(__xludf.DUMMYFUNCTION("""COMPUTED_VALUE"""),"Unlisted")</f>
        <v>Unlisted</v>
      </c>
      <c r="Q634" s="174" t="str">
        <f>IFERROR(__xludf.DUMMYFUNCTION("""COMPUTED_VALUE"""),"Unlisted")</f>
        <v>Unlisted</v>
      </c>
      <c r="R634" s="174" t="str">
        <f>IFERROR(__xludf.DUMMYFUNCTION("""COMPUTED_VALUE"""),"Unlisted")</f>
        <v>Unlisted</v>
      </c>
    </row>
    <row r="635">
      <c r="A635" s="255" t="str">
        <f>IFERROR(__xludf.DUMMYFUNCTION("""COMPUTED_VALUE"""),"Swirlix")</f>
        <v>Swirlix</v>
      </c>
      <c r="B635" s="174" t="str">
        <f>IFERROR(__xludf.DUMMYFUNCTION("""COMPUTED_VALUE"""),"Unlisted")</f>
        <v>Unlisted</v>
      </c>
      <c r="C635" s="174" t="str">
        <f>IFERROR(__xludf.DUMMYFUNCTION("""COMPUTED_VALUE"""),"Unlisted")</f>
        <v>Unlisted</v>
      </c>
      <c r="D635" s="174" t="str">
        <f>IFERROR(__xludf.DUMMYFUNCTION("""COMPUTED_VALUE"""),"Unlisted")</f>
        <v>Unlisted</v>
      </c>
      <c r="E635" s="174" t="str">
        <f>IFERROR(__xludf.DUMMYFUNCTION("""COMPUTED_VALUE"""),"Unlisted")</f>
        <v>Unlisted</v>
      </c>
      <c r="F635" s="174" t="str">
        <f>IFERROR(__xludf.DUMMYFUNCTION("""COMPUTED_VALUE"""),"Unlisted")</f>
        <v>Unlisted</v>
      </c>
      <c r="G635" s="174" t="str">
        <f>IFERROR(__xludf.DUMMYFUNCTION("""COMPUTED_VALUE"""),"Proficient")</f>
        <v>Proficient</v>
      </c>
      <c r="H635" s="174" t="str">
        <f>IFERROR(__xludf.DUMMYFUNCTION("""COMPUTED_VALUE"""),"Unlisted")</f>
        <v>Unlisted</v>
      </c>
      <c r="I635" s="174" t="str">
        <f>IFERROR(__xludf.DUMMYFUNCTION("""COMPUTED_VALUE"""),"Unlisted")</f>
        <v>Unlisted</v>
      </c>
      <c r="J635" s="174" t="str">
        <f>IFERROR(__xludf.DUMMYFUNCTION("""COMPUTED_VALUE"""),"Unlisted")</f>
        <v>Unlisted</v>
      </c>
      <c r="K635" s="174" t="str">
        <f>IFERROR(__xludf.DUMMYFUNCTION("""COMPUTED_VALUE"""),"Proficient")</f>
        <v>Proficient</v>
      </c>
      <c r="L635" s="174" t="str">
        <f>IFERROR(__xludf.DUMMYFUNCTION("""COMPUTED_VALUE"""),"Unlisted")</f>
        <v>Unlisted</v>
      </c>
      <c r="M635" s="174" t="str">
        <f>IFERROR(__xludf.DUMMYFUNCTION("""COMPUTED_VALUE"""),"Unlisted")</f>
        <v>Unlisted</v>
      </c>
      <c r="N635" s="174" t="str">
        <f>IFERROR(__xludf.DUMMYFUNCTION("""COMPUTED_VALUE"""),"Unlisted")</f>
        <v>Unlisted</v>
      </c>
      <c r="O635" s="174" t="str">
        <f>IFERROR(__xludf.DUMMYFUNCTION("""COMPUTED_VALUE"""),"Unlisted")</f>
        <v>Unlisted</v>
      </c>
      <c r="P635" s="174" t="str">
        <f>IFERROR(__xludf.DUMMYFUNCTION("""COMPUTED_VALUE"""),"Unlisted")</f>
        <v>Unlisted</v>
      </c>
      <c r="Q635" s="174" t="str">
        <f>IFERROR(__xludf.DUMMYFUNCTION("""COMPUTED_VALUE"""),"Unlisted")</f>
        <v>Unlisted</v>
      </c>
      <c r="R635" s="174" t="str">
        <f>IFERROR(__xludf.DUMMYFUNCTION("""COMPUTED_VALUE"""),"Unlisted")</f>
        <v>Unlisted</v>
      </c>
    </row>
    <row r="636">
      <c r="A636" s="255" t="str">
        <f>IFERROR(__xludf.DUMMYFUNCTION("""COMPUTED_VALUE"""),"Slurpuff")</f>
        <v>Slurpuff</v>
      </c>
      <c r="B636" s="174" t="str">
        <f>IFERROR(__xludf.DUMMYFUNCTION("""COMPUTED_VALUE"""),"Unlisted")</f>
        <v>Unlisted</v>
      </c>
      <c r="C636" s="174" t="str">
        <f>IFERROR(__xludf.DUMMYFUNCTION("""COMPUTED_VALUE"""),"Unlisted")</f>
        <v>Unlisted</v>
      </c>
      <c r="D636" s="174" t="str">
        <f>IFERROR(__xludf.DUMMYFUNCTION("""COMPUTED_VALUE"""),"Unlisted")</f>
        <v>Unlisted</v>
      </c>
      <c r="E636" s="174" t="str">
        <f>IFERROR(__xludf.DUMMYFUNCTION("""COMPUTED_VALUE"""),"Unlisted")</f>
        <v>Unlisted</v>
      </c>
      <c r="F636" s="174" t="str">
        <f>IFERROR(__xludf.DUMMYFUNCTION("""COMPUTED_VALUE"""),"Unlisted")</f>
        <v>Unlisted</v>
      </c>
      <c r="G636" s="174" t="str">
        <f>IFERROR(__xludf.DUMMYFUNCTION("""COMPUTED_VALUE"""),"Proficient")</f>
        <v>Proficient</v>
      </c>
      <c r="H636" s="174" t="str">
        <f>IFERROR(__xludf.DUMMYFUNCTION("""COMPUTED_VALUE"""),"Unlisted")</f>
        <v>Unlisted</v>
      </c>
      <c r="I636" s="174" t="str">
        <f>IFERROR(__xludf.DUMMYFUNCTION("""COMPUTED_VALUE"""),"Unlisted")</f>
        <v>Unlisted</v>
      </c>
      <c r="J636" s="174" t="str">
        <f>IFERROR(__xludf.DUMMYFUNCTION("""COMPUTED_VALUE"""),"Unlisted")</f>
        <v>Unlisted</v>
      </c>
      <c r="K636" s="174" t="str">
        <f>IFERROR(__xludf.DUMMYFUNCTION("""COMPUTED_VALUE"""),"Proficient")</f>
        <v>Proficient</v>
      </c>
      <c r="L636" s="174" t="str">
        <f>IFERROR(__xludf.DUMMYFUNCTION("""COMPUTED_VALUE"""),"Unlisted")</f>
        <v>Unlisted</v>
      </c>
      <c r="M636" s="174" t="str">
        <f>IFERROR(__xludf.DUMMYFUNCTION("""COMPUTED_VALUE"""),"Unlisted")</f>
        <v>Unlisted</v>
      </c>
      <c r="N636" s="174" t="str">
        <f>IFERROR(__xludf.DUMMYFUNCTION("""COMPUTED_VALUE"""),"Unlisted")</f>
        <v>Unlisted</v>
      </c>
      <c r="O636" s="174" t="str">
        <f>IFERROR(__xludf.DUMMYFUNCTION("""COMPUTED_VALUE"""),"Unlisted")</f>
        <v>Unlisted</v>
      </c>
      <c r="P636" s="174" t="str">
        <f>IFERROR(__xludf.DUMMYFUNCTION("""COMPUTED_VALUE"""),"Unlisted")</f>
        <v>Unlisted</v>
      </c>
      <c r="Q636" s="174" t="str">
        <f>IFERROR(__xludf.DUMMYFUNCTION("""COMPUTED_VALUE"""),"Unlisted")</f>
        <v>Unlisted</v>
      </c>
      <c r="R636" s="174" t="str">
        <f>IFERROR(__xludf.DUMMYFUNCTION("""COMPUTED_VALUE"""),"Unlisted")</f>
        <v>Unlisted</v>
      </c>
    </row>
    <row r="637">
      <c r="A637" s="255" t="str">
        <f>IFERROR(__xludf.DUMMYFUNCTION("""COMPUTED_VALUE"""),"Milcery")</f>
        <v>Milcery</v>
      </c>
      <c r="B637" s="174" t="str">
        <f>IFERROR(__xludf.DUMMYFUNCTION("""COMPUTED_VALUE"""),"Unlisted")</f>
        <v>Unlisted</v>
      </c>
      <c r="C637" s="174" t="str">
        <f>IFERROR(__xludf.DUMMYFUNCTION("""COMPUTED_VALUE"""),"Inept")</f>
        <v>Inept</v>
      </c>
      <c r="D637" s="174" t="str">
        <f>IFERROR(__xludf.DUMMYFUNCTION("""COMPUTED_VALUE"""),"Proficient")</f>
        <v>Proficient</v>
      </c>
      <c r="E637" s="174" t="str">
        <f>IFERROR(__xludf.DUMMYFUNCTION("""COMPUTED_VALUE"""),"Inept")</f>
        <v>Inept</v>
      </c>
      <c r="F637" s="174" t="str">
        <f>IFERROR(__xludf.DUMMYFUNCTION("""COMPUTED_VALUE"""),"Unlisted")</f>
        <v>Unlisted</v>
      </c>
      <c r="G637" s="174" t="str">
        <f>IFERROR(__xludf.DUMMYFUNCTION("""COMPUTED_VALUE"""),"Mastered")</f>
        <v>Mastered</v>
      </c>
      <c r="H637" s="174" t="str">
        <f>IFERROR(__xludf.DUMMYFUNCTION("""COMPUTED_VALUE"""),"Unlisted")</f>
        <v>Unlisted</v>
      </c>
      <c r="I637" s="174" t="str">
        <f>IFERROR(__xludf.DUMMYFUNCTION("""COMPUTED_VALUE"""),"Unlisted")</f>
        <v>Unlisted</v>
      </c>
      <c r="J637" s="174" t="str">
        <f>IFERROR(__xludf.DUMMYFUNCTION("""COMPUTED_VALUE"""),"Proficient")</f>
        <v>Proficient</v>
      </c>
      <c r="K637" s="174" t="str">
        <f>IFERROR(__xludf.DUMMYFUNCTION("""COMPUTED_VALUE"""),"Unlisted")</f>
        <v>Unlisted</v>
      </c>
      <c r="L637" s="174" t="str">
        <f>IFERROR(__xludf.DUMMYFUNCTION("""COMPUTED_VALUE"""),"Unlisted")</f>
        <v>Unlisted</v>
      </c>
      <c r="M637" s="174" t="str">
        <f>IFERROR(__xludf.DUMMYFUNCTION("""COMPUTED_VALUE"""),"Unlisted")</f>
        <v>Unlisted</v>
      </c>
      <c r="N637" s="174" t="str">
        <f>IFERROR(__xludf.DUMMYFUNCTION("""COMPUTED_VALUE"""),"Unlisted")</f>
        <v>Unlisted</v>
      </c>
      <c r="O637" s="174" t="str">
        <f>IFERROR(__xludf.DUMMYFUNCTION("""COMPUTED_VALUE"""),"Unlisted")</f>
        <v>Unlisted</v>
      </c>
      <c r="P637" s="174" t="str">
        <f>IFERROR(__xludf.DUMMYFUNCTION("""COMPUTED_VALUE"""),"Unlisted")</f>
        <v>Unlisted</v>
      </c>
      <c r="Q637" s="174" t="str">
        <f>IFERROR(__xludf.DUMMYFUNCTION("""COMPUTED_VALUE"""),"Unlisted")</f>
        <v>Unlisted</v>
      </c>
      <c r="R637" s="174" t="str">
        <f>IFERROR(__xludf.DUMMYFUNCTION("""COMPUTED_VALUE"""),"Unlisted")</f>
        <v>Unlisted</v>
      </c>
    </row>
    <row r="638">
      <c r="A638" s="255" t="str">
        <f>IFERROR(__xludf.DUMMYFUNCTION("""COMPUTED_VALUE"""),"Alcremie")</f>
        <v>Alcremie</v>
      </c>
      <c r="B638" s="174" t="str">
        <f>IFERROR(__xludf.DUMMYFUNCTION("""COMPUTED_VALUE"""),"Unlisted")</f>
        <v>Unlisted</v>
      </c>
      <c r="C638" s="174" t="str">
        <f>IFERROR(__xludf.DUMMYFUNCTION("""COMPUTED_VALUE"""),"Inept")</f>
        <v>Inept</v>
      </c>
      <c r="D638" s="174" t="str">
        <f>IFERROR(__xludf.DUMMYFUNCTION("""COMPUTED_VALUE"""),"Proficient")</f>
        <v>Proficient</v>
      </c>
      <c r="E638" s="174" t="str">
        <f>IFERROR(__xludf.DUMMYFUNCTION("""COMPUTED_VALUE"""),"Inept")</f>
        <v>Inept</v>
      </c>
      <c r="F638" s="174" t="str">
        <f>IFERROR(__xludf.DUMMYFUNCTION("""COMPUTED_VALUE"""),"Unlisted")</f>
        <v>Unlisted</v>
      </c>
      <c r="G638" s="174" t="str">
        <f>IFERROR(__xludf.DUMMYFUNCTION("""COMPUTED_VALUE"""),"Mastered")</f>
        <v>Mastered</v>
      </c>
      <c r="H638" s="174" t="str">
        <f>IFERROR(__xludf.DUMMYFUNCTION("""COMPUTED_VALUE"""),"Unlisted")</f>
        <v>Unlisted</v>
      </c>
      <c r="I638" s="174" t="str">
        <f>IFERROR(__xludf.DUMMYFUNCTION("""COMPUTED_VALUE"""),"Unlisted")</f>
        <v>Unlisted</v>
      </c>
      <c r="J638" s="174" t="str">
        <f>IFERROR(__xludf.DUMMYFUNCTION("""COMPUTED_VALUE"""),"Proficient")</f>
        <v>Proficient</v>
      </c>
      <c r="K638" s="174" t="str">
        <f>IFERROR(__xludf.DUMMYFUNCTION("""COMPUTED_VALUE"""),"Unlisted")</f>
        <v>Unlisted</v>
      </c>
      <c r="L638" s="174" t="str">
        <f>IFERROR(__xludf.DUMMYFUNCTION("""COMPUTED_VALUE"""),"Unlisted")</f>
        <v>Unlisted</v>
      </c>
      <c r="M638" s="174" t="str">
        <f>IFERROR(__xludf.DUMMYFUNCTION("""COMPUTED_VALUE"""),"Unlisted")</f>
        <v>Unlisted</v>
      </c>
      <c r="N638" s="174" t="str">
        <f>IFERROR(__xludf.DUMMYFUNCTION("""COMPUTED_VALUE"""),"Unlisted")</f>
        <v>Unlisted</v>
      </c>
      <c r="O638" s="174" t="str">
        <f>IFERROR(__xludf.DUMMYFUNCTION("""COMPUTED_VALUE"""),"Unlisted")</f>
        <v>Unlisted</v>
      </c>
      <c r="P638" s="174" t="str">
        <f>IFERROR(__xludf.DUMMYFUNCTION("""COMPUTED_VALUE"""),"Unlisted")</f>
        <v>Unlisted</v>
      </c>
      <c r="Q638" s="174" t="str">
        <f>IFERROR(__xludf.DUMMYFUNCTION("""COMPUTED_VALUE"""),"Unlisted")</f>
        <v>Unlisted</v>
      </c>
      <c r="R638" s="174" t="str">
        <f>IFERROR(__xludf.DUMMYFUNCTION("""COMPUTED_VALUE"""),"Unlisted")</f>
        <v>Unlisted</v>
      </c>
    </row>
    <row r="639">
      <c r="A639" s="255" t="str">
        <f>IFERROR(__xludf.DUMMYFUNCTION("""COMPUTED_VALUE"""),"Fidough")</f>
        <v>Fidough</v>
      </c>
      <c r="B639" s="174" t="str">
        <f>IFERROR(__xludf.DUMMYFUNCTION("""COMPUTED_VALUE"""),"Unlisted")</f>
        <v>Unlisted</v>
      </c>
      <c r="C639" s="174" t="str">
        <f>IFERROR(__xludf.DUMMYFUNCTION("""COMPUTED_VALUE"""),"Unlisted")</f>
        <v>Unlisted</v>
      </c>
      <c r="D639" s="174" t="str">
        <f>IFERROR(__xludf.DUMMYFUNCTION("""COMPUTED_VALUE"""),"Proficient")</f>
        <v>Proficient</v>
      </c>
      <c r="E639" s="174" t="str">
        <f>IFERROR(__xludf.DUMMYFUNCTION("""COMPUTED_VALUE"""),"Unlisted")</f>
        <v>Unlisted</v>
      </c>
      <c r="F639" s="174" t="str">
        <f>IFERROR(__xludf.DUMMYFUNCTION("""COMPUTED_VALUE"""),"Unlisted")</f>
        <v>Unlisted</v>
      </c>
      <c r="G639" s="174" t="str">
        <f>IFERROR(__xludf.DUMMYFUNCTION("""COMPUTED_VALUE"""),"Unlisted")</f>
        <v>Unlisted</v>
      </c>
      <c r="H639" s="174" t="str">
        <f>IFERROR(__xludf.DUMMYFUNCTION("""COMPUTED_VALUE"""),"Unlisted")</f>
        <v>Unlisted</v>
      </c>
      <c r="I639" s="174" t="str">
        <f>IFERROR(__xludf.DUMMYFUNCTION("""COMPUTED_VALUE"""),"Unlisted")</f>
        <v>Unlisted</v>
      </c>
      <c r="J639" s="174" t="str">
        <f>IFERROR(__xludf.DUMMYFUNCTION("""COMPUTED_VALUE"""),"Unlisted")</f>
        <v>Unlisted</v>
      </c>
      <c r="K639" s="174" t="str">
        <f>IFERROR(__xludf.DUMMYFUNCTION("""COMPUTED_VALUE"""),"Proficient")</f>
        <v>Proficient</v>
      </c>
      <c r="L639" s="174" t="str">
        <f>IFERROR(__xludf.DUMMYFUNCTION("""COMPUTED_VALUE"""),"Unlisted")</f>
        <v>Unlisted</v>
      </c>
      <c r="M639" s="174" t="str">
        <f>IFERROR(__xludf.DUMMYFUNCTION("""COMPUTED_VALUE"""),"Unlisted")</f>
        <v>Unlisted</v>
      </c>
      <c r="N639" s="174" t="str">
        <f>IFERROR(__xludf.DUMMYFUNCTION("""COMPUTED_VALUE"""),"Unlisted")</f>
        <v>Unlisted</v>
      </c>
      <c r="O639" s="174" t="str">
        <f>IFERROR(__xludf.DUMMYFUNCTION("""COMPUTED_VALUE"""),"Unlisted")</f>
        <v>Unlisted</v>
      </c>
      <c r="P639" s="174" t="str">
        <f>IFERROR(__xludf.DUMMYFUNCTION("""COMPUTED_VALUE"""),"Unlisted")</f>
        <v>Unlisted</v>
      </c>
      <c r="Q639" s="174" t="str">
        <f>IFERROR(__xludf.DUMMYFUNCTION("""COMPUTED_VALUE"""),"Unlisted")</f>
        <v>Unlisted</v>
      </c>
      <c r="R639" s="174" t="str">
        <f>IFERROR(__xludf.DUMMYFUNCTION("""COMPUTED_VALUE"""),"Unlisted")</f>
        <v>Unlisted</v>
      </c>
    </row>
    <row r="640">
      <c r="A640" s="255" t="str">
        <f>IFERROR(__xludf.DUMMYFUNCTION("""COMPUTED_VALUE"""),"Dachsbun")</f>
        <v>Dachsbun</v>
      </c>
      <c r="B640" s="174" t="str">
        <f>IFERROR(__xludf.DUMMYFUNCTION("""COMPUTED_VALUE"""),"Unlisted")</f>
        <v>Unlisted</v>
      </c>
      <c r="C640" s="174" t="str">
        <f>IFERROR(__xludf.DUMMYFUNCTION("""COMPUTED_VALUE"""),"Unlisted")</f>
        <v>Unlisted</v>
      </c>
      <c r="D640" s="174" t="str">
        <f>IFERROR(__xludf.DUMMYFUNCTION("""COMPUTED_VALUE"""),"Proficient")</f>
        <v>Proficient</v>
      </c>
      <c r="E640" s="174" t="str">
        <f>IFERROR(__xludf.DUMMYFUNCTION("""COMPUTED_VALUE"""),"Unlisted")</f>
        <v>Unlisted</v>
      </c>
      <c r="F640" s="174" t="str">
        <f>IFERROR(__xludf.DUMMYFUNCTION("""COMPUTED_VALUE"""),"Unlisted")</f>
        <v>Unlisted</v>
      </c>
      <c r="G640" s="174" t="str">
        <f>IFERROR(__xludf.DUMMYFUNCTION("""COMPUTED_VALUE"""),"Unlisted")</f>
        <v>Unlisted</v>
      </c>
      <c r="H640" s="174" t="str">
        <f>IFERROR(__xludf.DUMMYFUNCTION("""COMPUTED_VALUE"""),"Unlisted")</f>
        <v>Unlisted</v>
      </c>
      <c r="I640" s="174" t="str">
        <f>IFERROR(__xludf.DUMMYFUNCTION("""COMPUTED_VALUE"""),"Unlisted")</f>
        <v>Unlisted</v>
      </c>
      <c r="J640" s="174" t="str">
        <f>IFERROR(__xludf.DUMMYFUNCTION("""COMPUTED_VALUE"""),"Unlisted")</f>
        <v>Unlisted</v>
      </c>
      <c r="K640" s="174" t="str">
        <f>IFERROR(__xludf.DUMMYFUNCTION("""COMPUTED_VALUE"""),"Proficient")</f>
        <v>Proficient</v>
      </c>
      <c r="L640" s="174" t="str">
        <f>IFERROR(__xludf.DUMMYFUNCTION("""COMPUTED_VALUE"""),"Unlisted")</f>
        <v>Unlisted</v>
      </c>
      <c r="M640" s="174" t="str">
        <f>IFERROR(__xludf.DUMMYFUNCTION("""COMPUTED_VALUE"""),"Unlisted")</f>
        <v>Unlisted</v>
      </c>
      <c r="N640" s="174" t="str">
        <f>IFERROR(__xludf.DUMMYFUNCTION("""COMPUTED_VALUE"""),"Unlisted")</f>
        <v>Unlisted</v>
      </c>
      <c r="O640" s="174" t="str">
        <f>IFERROR(__xludf.DUMMYFUNCTION("""COMPUTED_VALUE"""),"Unlisted")</f>
        <v>Unlisted</v>
      </c>
      <c r="P640" s="174" t="str">
        <f>IFERROR(__xludf.DUMMYFUNCTION("""COMPUTED_VALUE"""),"Unlisted")</f>
        <v>Unlisted</v>
      </c>
      <c r="Q640" s="174" t="str">
        <f>IFERROR(__xludf.DUMMYFUNCTION("""COMPUTED_VALUE"""),"Unlisted")</f>
        <v>Unlisted</v>
      </c>
      <c r="R640" s="174" t="str">
        <f>IFERROR(__xludf.DUMMYFUNCTION("""COMPUTED_VALUE"""),"Unlisted")</f>
        <v>Unlisted</v>
      </c>
    </row>
    <row r="641">
      <c r="A641" s="255" t="str">
        <f>IFERROR(__xludf.DUMMYFUNCTION("""COMPUTED_VALUE"""),"Mankey")</f>
        <v>Mankey</v>
      </c>
      <c r="B641" s="174" t="str">
        <f>IFERROR(__xludf.DUMMYFUNCTION("""COMPUTED_VALUE"""),"Unlisted")</f>
        <v>Unlisted</v>
      </c>
      <c r="C641" s="174" t="str">
        <f>IFERROR(__xludf.DUMMYFUNCTION("""COMPUTED_VALUE"""),"Proficient")</f>
        <v>Proficient</v>
      </c>
      <c r="D641" s="174" t="str">
        <f>IFERROR(__xludf.DUMMYFUNCTION("""COMPUTED_VALUE"""),"Unlisted")</f>
        <v>Unlisted</v>
      </c>
      <c r="E641" s="174" t="str">
        <f>IFERROR(__xludf.DUMMYFUNCTION("""COMPUTED_VALUE"""),"Mastered")</f>
        <v>Mastered</v>
      </c>
      <c r="F641" s="174" t="str">
        <f>IFERROR(__xludf.DUMMYFUNCTION("""COMPUTED_VALUE"""),"Unlisted")</f>
        <v>Unlisted</v>
      </c>
      <c r="G641" s="174" t="str">
        <f>IFERROR(__xludf.DUMMYFUNCTION("""COMPUTED_VALUE"""),"Inept")</f>
        <v>Inept</v>
      </c>
      <c r="H641" s="174" t="str">
        <f>IFERROR(__xludf.DUMMYFUNCTION("""COMPUTED_VALUE"""),"Unlisted")</f>
        <v>Unlisted</v>
      </c>
      <c r="I641" s="174" t="str">
        <f>IFERROR(__xludf.DUMMYFUNCTION("""COMPUTED_VALUE"""),"Proficient")</f>
        <v>Proficient</v>
      </c>
      <c r="J641" s="174" t="str">
        <f>IFERROR(__xludf.DUMMYFUNCTION("""COMPUTED_VALUE"""),"Inept")</f>
        <v>Inept</v>
      </c>
      <c r="K641" s="174" t="str">
        <f>IFERROR(__xludf.DUMMYFUNCTION("""COMPUTED_VALUE"""),"Unlisted")</f>
        <v>Unlisted</v>
      </c>
      <c r="L641" s="174" t="str">
        <f>IFERROR(__xludf.DUMMYFUNCTION("""COMPUTED_VALUE"""),"Unlisted")</f>
        <v>Unlisted</v>
      </c>
      <c r="M641" s="174" t="str">
        <f>IFERROR(__xludf.DUMMYFUNCTION("""COMPUTED_VALUE"""),"Unlisted")</f>
        <v>Unlisted</v>
      </c>
      <c r="N641" s="174" t="str">
        <f>IFERROR(__xludf.DUMMYFUNCTION("""COMPUTED_VALUE"""),"Unlisted")</f>
        <v>Unlisted</v>
      </c>
      <c r="O641" s="174" t="str">
        <f>IFERROR(__xludf.DUMMYFUNCTION("""COMPUTED_VALUE"""),"Unlisted")</f>
        <v>Unlisted</v>
      </c>
      <c r="P641" s="174" t="str">
        <f>IFERROR(__xludf.DUMMYFUNCTION("""COMPUTED_VALUE"""),"Unlisted")</f>
        <v>Unlisted</v>
      </c>
      <c r="Q641" s="174" t="str">
        <f>IFERROR(__xludf.DUMMYFUNCTION("""COMPUTED_VALUE"""),"Unlisted")</f>
        <v>Unlisted</v>
      </c>
      <c r="R641" s="174" t="str">
        <f>IFERROR(__xludf.DUMMYFUNCTION("""COMPUTED_VALUE"""),"Unlisted")</f>
        <v>Unlisted</v>
      </c>
    </row>
    <row r="642">
      <c r="A642" s="255" t="str">
        <f>IFERROR(__xludf.DUMMYFUNCTION("""COMPUTED_VALUE"""),"Primeape")</f>
        <v>Primeape</v>
      </c>
      <c r="B642" s="174" t="str">
        <f>IFERROR(__xludf.DUMMYFUNCTION("""COMPUTED_VALUE"""),"Unlisted")</f>
        <v>Unlisted</v>
      </c>
      <c r="C642" s="174" t="str">
        <f>IFERROR(__xludf.DUMMYFUNCTION("""COMPUTED_VALUE"""),"Proficient")</f>
        <v>Proficient</v>
      </c>
      <c r="D642" s="174" t="str">
        <f>IFERROR(__xludf.DUMMYFUNCTION("""COMPUTED_VALUE"""),"Unlisted")</f>
        <v>Unlisted</v>
      </c>
      <c r="E642" s="174" t="str">
        <f>IFERROR(__xludf.DUMMYFUNCTION("""COMPUTED_VALUE"""),"Mastered")</f>
        <v>Mastered</v>
      </c>
      <c r="F642" s="174" t="str">
        <f>IFERROR(__xludf.DUMMYFUNCTION("""COMPUTED_VALUE"""),"Unlisted")</f>
        <v>Unlisted</v>
      </c>
      <c r="G642" s="174" t="str">
        <f>IFERROR(__xludf.DUMMYFUNCTION("""COMPUTED_VALUE"""),"Inept")</f>
        <v>Inept</v>
      </c>
      <c r="H642" s="174" t="str">
        <f>IFERROR(__xludf.DUMMYFUNCTION("""COMPUTED_VALUE"""),"Unlisted")</f>
        <v>Unlisted</v>
      </c>
      <c r="I642" s="174" t="str">
        <f>IFERROR(__xludf.DUMMYFUNCTION("""COMPUTED_VALUE"""),"Proficient")</f>
        <v>Proficient</v>
      </c>
      <c r="J642" s="174" t="str">
        <f>IFERROR(__xludf.DUMMYFUNCTION("""COMPUTED_VALUE"""),"Inept")</f>
        <v>Inept</v>
      </c>
      <c r="K642" s="174" t="str">
        <f>IFERROR(__xludf.DUMMYFUNCTION("""COMPUTED_VALUE"""),"Unlisted")</f>
        <v>Unlisted</v>
      </c>
      <c r="L642" s="174" t="str">
        <f>IFERROR(__xludf.DUMMYFUNCTION("""COMPUTED_VALUE"""),"Unlisted")</f>
        <v>Unlisted</v>
      </c>
      <c r="M642" s="174" t="str">
        <f>IFERROR(__xludf.DUMMYFUNCTION("""COMPUTED_VALUE"""),"Unlisted")</f>
        <v>Unlisted</v>
      </c>
      <c r="N642" s="174" t="str">
        <f>IFERROR(__xludf.DUMMYFUNCTION("""COMPUTED_VALUE"""),"Unlisted")</f>
        <v>Unlisted</v>
      </c>
      <c r="O642" s="174" t="str">
        <f>IFERROR(__xludf.DUMMYFUNCTION("""COMPUTED_VALUE"""),"Unlisted")</f>
        <v>Unlisted</v>
      </c>
      <c r="P642" s="174" t="str">
        <f>IFERROR(__xludf.DUMMYFUNCTION("""COMPUTED_VALUE"""),"Unlisted")</f>
        <v>Unlisted</v>
      </c>
      <c r="Q642" s="174" t="str">
        <f>IFERROR(__xludf.DUMMYFUNCTION("""COMPUTED_VALUE"""),"Unlisted")</f>
        <v>Unlisted</v>
      </c>
      <c r="R642" s="174" t="str">
        <f>IFERROR(__xludf.DUMMYFUNCTION("""COMPUTED_VALUE"""),"Unlisted")</f>
        <v>Unlisted</v>
      </c>
    </row>
    <row r="643">
      <c r="A643" s="255" t="str">
        <f>IFERROR(__xludf.DUMMYFUNCTION("""COMPUTED_VALUE"""),"Annihilape")</f>
        <v>Annihilape</v>
      </c>
      <c r="B643" s="174" t="str">
        <f>IFERROR(__xludf.DUMMYFUNCTION("""COMPUTED_VALUE"""),"Unlisted")</f>
        <v>Unlisted</v>
      </c>
      <c r="C643" s="174" t="str">
        <f>IFERROR(__xludf.DUMMYFUNCTION("""COMPUTED_VALUE"""),"Proficient")</f>
        <v>Proficient</v>
      </c>
      <c r="D643" s="174" t="str">
        <f>IFERROR(__xludf.DUMMYFUNCTION("""COMPUTED_VALUE"""),"Unlisted")</f>
        <v>Unlisted</v>
      </c>
      <c r="E643" s="174" t="str">
        <f>IFERROR(__xludf.DUMMYFUNCTION("""COMPUTED_VALUE"""),"Mastered")</f>
        <v>Mastered</v>
      </c>
      <c r="F643" s="174" t="str">
        <f>IFERROR(__xludf.DUMMYFUNCTION("""COMPUTED_VALUE"""),"Unlisted")</f>
        <v>Unlisted</v>
      </c>
      <c r="G643" s="174" t="str">
        <f>IFERROR(__xludf.DUMMYFUNCTION("""COMPUTED_VALUE"""),"Unlisted")</f>
        <v>Unlisted</v>
      </c>
      <c r="H643" s="174" t="str">
        <f>IFERROR(__xludf.DUMMYFUNCTION("""COMPUTED_VALUE"""),"Unlisted")</f>
        <v>Unlisted</v>
      </c>
      <c r="I643" s="174" t="str">
        <f>IFERROR(__xludf.DUMMYFUNCTION("""COMPUTED_VALUE"""),"Proficient")</f>
        <v>Proficient</v>
      </c>
      <c r="J643" s="174" t="str">
        <f>IFERROR(__xludf.DUMMYFUNCTION("""COMPUTED_VALUE"""),"Unlisted")</f>
        <v>Unlisted</v>
      </c>
      <c r="K643" s="174" t="str">
        <f>IFERROR(__xludf.DUMMYFUNCTION("""COMPUTED_VALUE"""),"Unlisted")</f>
        <v>Unlisted</v>
      </c>
      <c r="L643" s="174" t="str">
        <f>IFERROR(__xludf.DUMMYFUNCTION("""COMPUTED_VALUE"""),"Unlisted")</f>
        <v>Unlisted</v>
      </c>
      <c r="M643" s="174" t="str">
        <f>IFERROR(__xludf.DUMMYFUNCTION("""COMPUTED_VALUE"""),"Unlisted")</f>
        <v>Unlisted</v>
      </c>
      <c r="N643" s="174" t="str">
        <f>IFERROR(__xludf.DUMMYFUNCTION("""COMPUTED_VALUE"""),"Unlisted")</f>
        <v>Unlisted</v>
      </c>
      <c r="O643" s="174" t="str">
        <f>IFERROR(__xludf.DUMMYFUNCTION("""COMPUTED_VALUE"""),"Unlisted")</f>
        <v>Unlisted</v>
      </c>
      <c r="P643" s="174" t="str">
        <f>IFERROR(__xludf.DUMMYFUNCTION("""COMPUTED_VALUE"""),"Unlisted")</f>
        <v>Unlisted</v>
      </c>
      <c r="Q643" s="174" t="str">
        <f>IFERROR(__xludf.DUMMYFUNCTION("""COMPUTED_VALUE"""),"Unlisted")</f>
        <v>Unlisted</v>
      </c>
      <c r="R643" s="174" t="str">
        <f>IFERROR(__xludf.DUMMYFUNCTION("""COMPUTED_VALUE"""),"Unlisted")</f>
        <v>Unlisted</v>
      </c>
    </row>
    <row r="644">
      <c r="A644" s="255" t="str">
        <f>IFERROR(__xludf.DUMMYFUNCTION("""COMPUTED_VALUE"""),"Tyrogue")</f>
        <v>Tyrogue</v>
      </c>
      <c r="B644" s="174" t="str">
        <f>IFERROR(__xludf.DUMMYFUNCTION("""COMPUTED_VALUE"""),"Proficient")</f>
        <v>Proficient</v>
      </c>
      <c r="C644" s="174" t="str">
        <f>IFERROR(__xludf.DUMMYFUNCTION("""COMPUTED_VALUE"""),"Proficient")</f>
        <v>Proficient</v>
      </c>
      <c r="D644" s="174" t="str">
        <f>IFERROR(__xludf.DUMMYFUNCTION("""COMPUTED_VALUE"""),"Unlisted")</f>
        <v>Unlisted</v>
      </c>
      <c r="E644" s="174" t="str">
        <f>IFERROR(__xludf.DUMMYFUNCTION("""COMPUTED_VALUE"""),"Mastered")</f>
        <v>Mastered</v>
      </c>
      <c r="F644" s="174" t="str">
        <f>IFERROR(__xludf.DUMMYFUNCTION("""COMPUTED_VALUE"""),"Unlisted")</f>
        <v>Unlisted</v>
      </c>
      <c r="G644" s="174" t="str">
        <f>IFERROR(__xludf.DUMMYFUNCTION("""COMPUTED_VALUE"""),"Unlisted")</f>
        <v>Unlisted</v>
      </c>
      <c r="H644" s="174" t="str">
        <f>IFERROR(__xludf.DUMMYFUNCTION("""COMPUTED_VALUE"""),"Unlisted")</f>
        <v>Unlisted</v>
      </c>
      <c r="I644" s="174" t="str">
        <f>IFERROR(__xludf.DUMMYFUNCTION("""COMPUTED_VALUE"""),"Unlisted")</f>
        <v>Unlisted</v>
      </c>
      <c r="J644" s="174" t="str">
        <f>IFERROR(__xludf.DUMMYFUNCTION("""COMPUTED_VALUE"""),"Unlisted")</f>
        <v>Unlisted</v>
      </c>
      <c r="K644" s="174" t="str">
        <f>IFERROR(__xludf.DUMMYFUNCTION("""COMPUTED_VALUE"""),"Unlisted")</f>
        <v>Unlisted</v>
      </c>
      <c r="L644" s="174" t="str">
        <f>IFERROR(__xludf.DUMMYFUNCTION("""COMPUTED_VALUE"""),"Unlisted")</f>
        <v>Unlisted</v>
      </c>
      <c r="M644" s="174" t="str">
        <f>IFERROR(__xludf.DUMMYFUNCTION("""COMPUTED_VALUE"""),"Unlisted")</f>
        <v>Unlisted</v>
      </c>
      <c r="N644" s="174" t="str">
        <f>IFERROR(__xludf.DUMMYFUNCTION("""COMPUTED_VALUE"""),"Unlisted")</f>
        <v>Unlisted</v>
      </c>
      <c r="O644" s="174" t="str">
        <f>IFERROR(__xludf.DUMMYFUNCTION("""COMPUTED_VALUE"""),"Unlisted")</f>
        <v>Unlisted</v>
      </c>
      <c r="P644" s="174" t="str">
        <f>IFERROR(__xludf.DUMMYFUNCTION("""COMPUTED_VALUE"""),"Unlisted")</f>
        <v>Unlisted</v>
      </c>
      <c r="Q644" s="174" t="str">
        <f>IFERROR(__xludf.DUMMYFUNCTION("""COMPUTED_VALUE"""),"Unlisted")</f>
        <v>Unlisted</v>
      </c>
      <c r="R644" s="174" t="str">
        <f>IFERROR(__xludf.DUMMYFUNCTION("""COMPUTED_VALUE"""),"Unlisted")</f>
        <v>Unlisted</v>
      </c>
    </row>
    <row r="645">
      <c r="A645" s="255" t="str">
        <f>IFERROR(__xludf.DUMMYFUNCTION("""COMPUTED_VALUE"""),"Hitmonlee")</f>
        <v>Hitmonlee</v>
      </c>
      <c r="B645" s="174" t="str">
        <f>IFERROR(__xludf.DUMMYFUNCTION("""COMPUTED_VALUE"""),"Proficient")</f>
        <v>Proficient</v>
      </c>
      <c r="C645" s="174" t="str">
        <f>IFERROR(__xludf.DUMMYFUNCTION("""COMPUTED_VALUE"""),"Proficient")</f>
        <v>Proficient</v>
      </c>
      <c r="D645" s="174" t="str">
        <f>IFERROR(__xludf.DUMMYFUNCTION("""COMPUTED_VALUE"""),"Unlisted")</f>
        <v>Unlisted</v>
      </c>
      <c r="E645" s="174" t="str">
        <f>IFERROR(__xludf.DUMMYFUNCTION("""COMPUTED_VALUE"""),"Mastered")</f>
        <v>Mastered</v>
      </c>
      <c r="F645" s="174" t="str">
        <f>IFERROR(__xludf.DUMMYFUNCTION("""COMPUTED_VALUE"""),"Unlisted")</f>
        <v>Unlisted</v>
      </c>
      <c r="G645" s="174" t="str">
        <f>IFERROR(__xludf.DUMMYFUNCTION("""COMPUTED_VALUE"""),"Unlisted")</f>
        <v>Unlisted</v>
      </c>
      <c r="H645" s="174" t="str">
        <f>IFERROR(__xludf.DUMMYFUNCTION("""COMPUTED_VALUE"""),"Unlisted")</f>
        <v>Unlisted</v>
      </c>
      <c r="I645" s="174" t="str">
        <f>IFERROR(__xludf.DUMMYFUNCTION("""COMPUTED_VALUE"""),"Unlisted")</f>
        <v>Unlisted</v>
      </c>
      <c r="J645" s="174" t="str">
        <f>IFERROR(__xludf.DUMMYFUNCTION("""COMPUTED_VALUE"""),"Unlisted")</f>
        <v>Unlisted</v>
      </c>
      <c r="K645" s="174" t="str">
        <f>IFERROR(__xludf.DUMMYFUNCTION("""COMPUTED_VALUE"""),"Unlisted")</f>
        <v>Unlisted</v>
      </c>
      <c r="L645" s="174" t="str">
        <f>IFERROR(__xludf.DUMMYFUNCTION("""COMPUTED_VALUE"""),"Unlisted")</f>
        <v>Unlisted</v>
      </c>
      <c r="M645" s="174" t="str">
        <f>IFERROR(__xludf.DUMMYFUNCTION("""COMPUTED_VALUE"""),"Unlisted")</f>
        <v>Unlisted</v>
      </c>
      <c r="N645" s="174" t="str">
        <f>IFERROR(__xludf.DUMMYFUNCTION("""COMPUTED_VALUE"""),"Unlisted")</f>
        <v>Unlisted</v>
      </c>
      <c r="O645" s="174" t="str">
        <f>IFERROR(__xludf.DUMMYFUNCTION("""COMPUTED_VALUE"""),"Unlisted")</f>
        <v>Unlisted</v>
      </c>
      <c r="P645" s="174" t="str">
        <f>IFERROR(__xludf.DUMMYFUNCTION("""COMPUTED_VALUE"""),"Unlisted")</f>
        <v>Unlisted</v>
      </c>
      <c r="Q645" s="174" t="str">
        <f>IFERROR(__xludf.DUMMYFUNCTION("""COMPUTED_VALUE"""),"Unlisted")</f>
        <v>Unlisted</v>
      </c>
      <c r="R645" s="174" t="str">
        <f>IFERROR(__xludf.DUMMYFUNCTION("""COMPUTED_VALUE"""),"Unlisted")</f>
        <v>Unlisted</v>
      </c>
    </row>
    <row r="646">
      <c r="A646" s="255" t="str">
        <f>IFERROR(__xludf.DUMMYFUNCTION("""COMPUTED_VALUE"""),"Hitmonchan")</f>
        <v>Hitmonchan</v>
      </c>
      <c r="B646" s="174" t="str">
        <f>IFERROR(__xludf.DUMMYFUNCTION("""COMPUTED_VALUE"""),"Unlisted")</f>
        <v>Unlisted</v>
      </c>
      <c r="C646" s="174" t="str">
        <f>IFERROR(__xludf.DUMMYFUNCTION("""COMPUTED_VALUE"""),"Proficient")</f>
        <v>Proficient</v>
      </c>
      <c r="D646" s="174" t="str">
        <f>IFERROR(__xludf.DUMMYFUNCTION("""COMPUTED_VALUE"""),"Unlisted")</f>
        <v>Unlisted</v>
      </c>
      <c r="E646" s="174" t="str">
        <f>IFERROR(__xludf.DUMMYFUNCTION("""COMPUTED_VALUE"""),"Mastered")</f>
        <v>Mastered</v>
      </c>
      <c r="F646" s="174" t="str">
        <f>IFERROR(__xludf.DUMMYFUNCTION("""COMPUTED_VALUE"""),"Unlisted")</f>
        <v>Unlisted</v>
      </c>
      <c r="G646" s="174" t="str">
        <f>IFERROR(__xludf.DUMMYFUNCTION("""COMPUTED_VALUE"""),"Proficient")</f>
        <v>Proficient</v>
      </c>
      <c r="H646" s="174" t="str">
        <f>IFERROR(__xludf.DUMMYFUNCTION("""COMPUTED_VALUE"""),"Unlisted")</f>
        <v>Unlisted</v>
      </c>
      <c r="I646" s="174" t="str">
        <f>IFERROR(__xludf.DUMMYFUNCTION("""COMPUTED_VALUE"""),"Unlisted")</f>
        <v>Unlisted</v>
      </c>
      <c r="J646" s="174" t="str">
        <f>IFERROR(__xludf.DUMMYFUNCTION("""COMPUTED_VALUE"""),"Unlisted")</f>
        <v>Unlisted</v>
      </c>
      <c r="K646" s="174" t="str">
        <f>IFERROR(__xludf.DUMMYFUNCTION("""COMPUTED_VALUE"""),"Unlisted")</f>
        <v>Unlisted</v>
      </c>
      <c r="L646" s="174" t="str">
        <f>IFERROR(__xludf.DUMMYFUNCTION("""COMPUTED_VALUE"""),"Unlisted")</f>
        <v>Unlisted</v>
      </c>
      <c r="M646" s="174" t="str">
        <f>IFERROR(__xludf.DUMMYFUNCTION("""COMPUTED_VALUE"""),"Unlisted")</f>
        <v>Unlisted</v>
      </c>
      <c r="N646" s="174" t="str">
        <f>IFERROR(__xludf.DUMMYFUNCTION("""COMPUTED_VALUE"""),"Unlisted")</f>
        <v>Unlisted</v>
      </c>
      <c r="O646" s="174" t="str">
        <f>IFERROR(__xludf.DUMMYFUNCTION("""COMPUTED_VALUE"""),"Unlisted")</f>
        <v>Unlisted</v>
      </c>
      <c r="P646" s="174" t="str">
        <f>IFERROR(__xludf.DUMMYFUNCTION("""COMPUTED_VALUE"""),"Unlisted")</f>
        <v>Unlisted</v>
      </c>
      <c r="Q646" s="174" t="str">
        <f>IFERROR(__xludf.DUMMYFUNCTION("""COMPUTED_VALUE"""),"Unlisted")</f>
        <v>Unlisted</v>
      </c>
      <c r="R646" s="174" t="str">
        <f>IFERROR(__xludf.DUMMYFUNCTION("""COMPUTED_VALUE"""),"Unlisted")</f>
        <v>Unlisted</v>
      </c>
    </row>
    <row r="647">
      <c r="A647" s="255" t="str">
        <f>IFERROR(__xludf.DUMMYFUNCTION("""COMPUTED_VALUE"""),"Hitmontop")</f>
        <v>Hitmontop</v>
      </c>
      <c r="B647" s="174" t="str">
        <f>IFERROR(__xludf.DUMMYFUNCTION("""COMPUTED_VALUE"""),"Mastered")</f>
        <v>Mastered</v>
      </c>
      <c r="C647" s="174" t="str">
        <f>IFERROR(__xludf.DUMMYFUNCTION("""COMPUTED_VALUE"""),"Proficient")</f>
        <v>Proficient</v>
      </c>
      <c r="D647" s="174" t="str">
        <f>IFERROR(__xludf.DUMMYFUNCTION("""COMPUTED_VALUE"""),"Unlisted")</f>
        <v>Unlisted</v>
      </c>
      <c r="E647" s="174" t="str">
        <f>IFERROR(__xludf.DUMMYFUNCTION("""COMPUTED_VALUE"""),"Proficient")</f>
        <v>Proficient</v>
      </c>
      <c r="F647" s="174" t="str">
        <f>IFERROR(__xludf.DUMMYFUNCTION("""COMPUTED_VALUE"""),"Unlisted")</f>
        <v>Unlisted</v>
      </c>
      <c r="G647" s="174" t="str">
        <f>IFERROR(__xludf.DUMMYFUNCTION("""COMPUTED_VALUE"""),"Unlisted")</f>
        <v>Unlisted</v>
      </c>
      <c r="H647" s="174" t="str">
        <f>IFERROR(__xludf.DUMMYFUNCTION("""COMPUTED_VALUE"""),"Unlisted")</f>
        <v>Unlisted</v>
      </c>
      <c r="I647" s="174" t="str">
        <f>IFERROR(__xludf.DUMMYFUNCTION("""COMPUTED_VALUE"""),"Unlisted")</f>
        <v>Unlisted</v>
      </c>
      <c r="J647" s="174" t="str">
        <f>IFERROR(__xludf.DUMMYFUNCTION("""COMPUTED_VALUE"""),"Unlisted")</f>
        <v>Unlisted</v>
      </c>
      <c r="K647" s="174" t="str">
        <f>IFERROR(__xludf.DUMMYFUNCTION("""COMPUTED_VALUE"""),"Unlisted")</f>
        <v>Unlisted</v>
      </c>
      <c r="L647" s="174" t="str">
        <f>IFERROR(__xludf.DUMMYFUNCTION("""COMPUTED_VALUE"""),"Unlisted")</f>
        <v>Unlisted</v>
      </c>
      <c r="M647" s="174" t="str">
        <f>IFERROR(__xludf.DUMMYFUNCTION("""COMPUTED_VALUE"""),"Unlisted")</f>
        <v>Unlisted</v>
      </c>
      <c r="N647" s="174" t="str">
        <f>IFERROR(__xludf.DUMMYFUNCTION("""COMPUTED_VALUE"""),"Unlisted")</f>
        <v>Unlisted</v>
      </c>
      <c r="O647" s="174" t="str">
        <f>IFERROR(__xludf.DUMMYFUNCTION("""COMPUTED_VALUE"""),"Unlisted")</f>
        <v>Unlisted</v>
      </c>
      <c r="P647" s="174" t="str">
        <f>IFERROR(__xludf.DUMMYFUNCTION("""COMPUTED_VALUE"""),"Unlisted")</f>
        <v>Unlisted</v>
      </c>
      <c r="Q647" s="174" t="str">
        <f>IFERROR(__xludf.DUMMYFUNCTION("""COMPUTED_VALUE"""),"Unlisted")</f>
        <v>Unlisted</v>
      </c>
      <c r="R647" s="174" t="str">
        <f>IFERROR(__xludf.DUMMYFUNCTION("""COMPUTED_VALUE"""),"Unlisted")</f>
        <v>Unlisted</v>
      </c>
    </row>
    <row r="648">
      <c r="A648" s="255" t="str">
        <f>IFERROR(__xludf.DUMMYFUNCTION("""COMPUTED_VALUE"""),"Makuhita")</f>
        <v>Makuhita</v>
      </c>
      <c r="B648" s="174" t="str">
        <f>IFERROR(__xludf.DUMMYFUNCTION("""COMPUTED_VALUE"""),"Unlisted")</f>
        <v>Unlisted</v>
      </c>
      <c r="C648" s="174" t="str">
        <f>IFERROR(__xludf.DUMMYFUNCTION("""COMPUTED_VALUE"""),"Mastered")</f>
        <v>Mastered</v>
      </c>
      <c r="D648" s="174" t="str">
        <f>IFERROR(__xludf.DUMMYFUNCTION("""COMPUTED_VALUE"""),"Unlisted")</f>
        <v>Unlisted</v>
      </c>
      <c r="E648" s="174" t="str">
        <f>IFERROR(__xludf.DUMMYFUNCTION("""COMPUTED_VALUE"""),"Proficient")</f>
        <v>Proficient</v>
      </c>
      <c r="F648" s="174" t="str">
        <f>IFERROR(__xludf.DUMMYFUNCTION("""COMPUTED_VALUE"""),"Unlisted")</f>
        <v>Unlisted</v>
      </c>
      <c r="G648" s="174" t="str">
        <f>IFERROR(__xludf.DUMMYFUNCTION("""COMPUTED_VALUE"""),"Proficient")</f>
        <v>Proficient</v>
      </c>
      <c r="H648" s="174" t="str">
        <f>IFERROR(__xludf.DUMMYFUNCTION("""COMPUTED_VALUE"""),"Unlisted")</f>
        <v>Unlisted</v>
      </c>
      <c r="I648" s="174" t="str">
        <f>IFERROR(__xludf.DUMMYFUNCTION("""COMPUTED_VALUE"""),"Unlisted")</f>
        <v>Unlisted</v>
      </c>
      <c r="J648" s="174" t="str">
        <f>IFERROR(__xludf.DUMMYFUNCTION("""COMPUTED_VALUE"""),"Unlisted")</f>
        <v>Unlisted</v>
      </c>
      <c r="K648" s="174" t="str">
        <f>IFERROR(__xludf.DUMMYFUNCTION("""COMPUTED_VALUE"""),"Unlisted")</f>
        <v>Unlisted</v>
      </c>
      <c r="L648" s="174" t="str">
        <f>IFERROR(__xludf.DUMMYFUNCTION("""COMPUTED_VALUE"""),"Unlisted")</f>
        <v>Unlisted</v>
      </c>
      <c r="M648" s="174" t="str">
        <f>IFERROR(__xludf.DUMMYFUNCTION("""COMPUTED_VALUE"""),"Unlisted")</f>
        <v>Unlisted</v>
      </c>
      <c r="N648" s="174" t="str">
        <f>IFERROR(__xludf.DUMMYFUNCTION("""COMPUTED_VALUE"""),"Unlisted")</f>
        <v>Unlisted</v>
      </c>
      <c r="O648" s="174" t="str">
        <f>IFERROR(__xludf.DUMMYFUNCTION("""COMPUTED_VALUE"""),"Unlisted")</f>
        <v>Unlisted</v>
      </c>
      <c r="P648" s="174" t="str">
        <f>IFERROR(__xludf.DUMMYFUNCTION("""COMPUTED_VALUE"""),"Unlisted")</f>
        <v>Unlisted</v>
      </c>
      <c r="Q648" s="174" t="str">
        <f>IFERROR(__xludf.DUMMYFUNCTION("""COMPUTED_VALUE"""),"Unlisted")</f>
        <v>Unlisted</v>
      </c>
      <c r="R648" s="174" t="str">
        <f>IFERROR(__xludf.DUMMYFUNCTION("""COMPUTED_VALUE"""),"Unlisted")</f>
        <v>Unlisted</v>
      </c>
    </row>
    <row r="649">
      <c r="A649" s="255" t="str">
        <f>IFERROR(__xludf.DUMMYFUNCTION("""COMPUTED_VALUE"""),"Hariyama")</f>
        <v>Hariyama</v>
      </c>
      <c r="B649" s="174" t="str">
        <f>IFERROR(__xludf.DUMMYFUNCTION("""COMPUTED_VALUE"""),"Unlisted")</f>
        <v>Unlisted</v>
      </c>
      <c r="C649" s="174" t="str">
        <f>IFERROR(__xludf.DUMMYFUNCTION("""COMPUTED_VALUE"""),"Mastered")</f>
        <v>Mastered</v>
      </c>
      <c r="D649" s="174" t="str">
        <f>IFERROR(__xludf.DUMMYFUNCTION("""COMPUTED_VALUE"""),"Unlisted")</f>
        <v>Unlisted</v>
      </c>
      <c r="E649" s="174" t="str">
        <f>IFERROR(__xludf.DUMMYFUNCTION("""COMPUTED_VALUE"""),"Proficient")</f>
        <v>Proficient</v>
      </c>
      <c r="F649" s="174" t="str">
        <f>IFERROR(__xludf.DUMMYFUNCTION("""COMPUTED_VALUE"""),"Unlisted")</f>
        <v>Unlisted</v>
      </c>
      <c r="G649" s="174" t="str">
        <f>IFERROR(__xludf.DUMMYFUNCTION("""COMPUTED_VALUE"""),"Proficient")</f>
        <v>Proficient</v>
      </c>
      <c r="H649" s="174" t="str">
        <f>IFERROR(__xludf.DUMMYFUNCTION("""COMPUTED_VALUE"""),"Unlisted")</f>
        <v>Unlisted</v>
      </c>
      <c r="I649" s="174" t="str">
        <f>IFERROR(__xludf.DUMMYFUNCTION("""COMPUTED_VALUE"""),"Unlisted")</f>
        <v>Unlisted</v>
      </c>
      <c r="J649" s="174" t="str">
        <f>IFERROR(__xludf.DUMMYFUNCTION("""COMPUTED_VALUE"""),"Unlisted")</f>
        <v>Unlisted</v>
      </c>
      <c r="K649" s="174" t="str">
        <f>IFERROR(__xludf.DUMMYFUNCTION("""COMPUTED_VALUE"""),"Unlisted")</f>
        <v>Unlisted</v>
      </c>
      <c r="L649" s="174" t="str">
        <f>IFERROR(__xludf.DUMMYFUNCTION("""COMPUTED_VALUE"""),"Unlisted")</f>
        <v>Unlisted</v>
      </c>
      <c r="M649" s="174" t="str">
        <f>IFERROR(__xludf.DUMMYFUNCTION("""COMPUTED_VALUE"""),"Unlisted")</f>
        <v>Unlisted</v>
      </c>
      <c r="N649" s="174" t="str">
        <f>IFERROR(__xludf.DUMMYFUNCTION("""COMPUTED_VALUE"""),"Unlisted")</f>
        <v>Unlisted</v>
      </c>
      <c r="O649" s="174" t="str">
        <f>IFERROR(__xludf.DUMMYFUNCTION("""COMPUTED_VALUE"""),"Unlisted")</f>
        <v>Unlisted</v>
      </c>
      <c r="P649" s="174" t="str">
        <f>IFERROR(__xludf.DUMMYFUNCTION("""COMPUTED_VALUE"""),"Unlisted")</f>
        <v>Unlisted</v>
      </c>
      <c r="Q649" s="174" t="str">
        <f>IFERROR(__xludf.DUMMYFUNCTION("""COMPUTED_VALUE"""),"Unlisted")</f>
        <v>Unlisted</v>
      </c>
      <c r="R649" s="174" t="str">
        <f>IFERROR(__xludf.DUMMYFUNCTION("""COMPUTED_VALUE"""),"Unlisted")</f>
        <v>Unlisted</v>
      </c>
    </row>
    <row r="650">
      <c r="A650" s="255" t="str">
        <f>IFERROR(__xludf.DUMMYFUNCTION("""COMPUTED_VALUE"""),"Meditite")</f>
        <v>Meditite</v>
      </c>
      <c r="B650" s="174" t="str">
        <f>IFERROR(__xludf.DUMMYFUNCTION("""COMPUTED_VALUE"""),"Unlisted")</f>
        <v>Unlisted</v>
      </c>
      <c r="C650" s="174" t="str">
        <f>IFERROR(__xludf.DUMMYFUNCTION("""COMPUTED_VALUE"""),"Proficient")</f>
        <v>Proficient</v>
      </c>
      <c r="D650" s="174" t="str">
        <f>IFERROR(__xludf.DUMMYFUNCTION("""COMPUTED_VALUE"""),"Unlisted")</f>
        <v>Unlisted</v>
      </c>
      <c r="E650" s="174" t="str">
        <f>IFERROR(__xludf.DUMMYFUNCTION("""COMPUTED_VALUE"""),"Proficient")</f>
        <v>Proficient</v>
      </c>
      <c r="F650" s="174" t="str">
        <f>IFERROR(__xludf.DUMMYFUNCTION("""COMPUTED_VALUE"""),"Unlisted")</f>
        <v>Unlisted</v>
      </c>
      <c r="G650" s="174" t="str">
        <f>IFERROR(__xludf.DUMMYFUNCTION("""COMPUTED_VALUE"""),"Mastered")</f>
        <v>Mastered</v>
      </c>
      <c r="H650" s="174" t="str">
        <f>IFERROR(__xludf.DUMMYFUNCTION("""COMPUTED_VALUE"""),"Unlisted")</f>
        <v>Unlisted</v>
      </c>
      <c r="I650" s="174" t="str">
        <f>IFERROR(__xludf.DUMMYFUNCTION("""COMPUTED_VALUE"""),"Unlisted")</f>
        <v>Unlisted</v>
      </c>
      <c r="J650" s="174" t="str">
        <f>IFERROR(__xludf.DUMMYFUNCTION("""COMPUTED_VALUE"""),"Unlisted")</f>
        <v>Unlisted</v>
      </c>
      <c r="K650" s="174" t="str">
        <f>IFERROR(__xludf.DUMMYFUNCTION("""COMPUTED_VALUE"""),"Unlisted")</f>
        <v>Unlisted</v>
      </c>
      <c r="L650" s="174" t="str">
        <f>IFERROR(__xludf.DUMMYFUNCTION("""COMPUTED_VALUE"""),"Unlisted")</f>
        <v>Unlisted</v>
      </c>
      <c r="M650" s="174" t="str">
        <f>IFERROR(__xludf.DUMMYFUNCTION("""COMPUTED_VALUE"""),"Unlisted")</f>
        <v>Unlisted</v>
      </c>
      <c r="N650" s="174" t="str">
        <f>IFERROR(__xludf.DUMMYFUNCTION("""COMPUTED_VALUE"""),"Unlisted")</f>
        <v>Unlisted</v>
      </c>
      <c r="O650" s="174" t="str">
        <f>IFERROR(__xludf.DUMMYFUNCTION("""COMPUTED_VALUE"""),"Unlisted")</f>
        <v>Unlisted</v>
      </c>
      <c r="P650" s="174" t="str">
        <f>IFERROR(__xludf.DUMMYFUNCTION("""COMPUTED_VALUE"""),"Unlisted")</f>
        <v>Unlisted</v>
      </c>
      <c r="Q650" s="174" t="str">
        <f>IFERROR(__xludf.DUMMYFUNCTION("""COMPUTED_VALUE"""),"Unlisted")</f>
        <v>Unlisted</v>
      </c>
      <c r="R650" s="174" t="str">
        <f>IFERROR(__xludf.DUMMYFUNCTION("""COMPUTED_VALUE"""),"Unlisted")</f>
        <v>Unlisted</v>
      </c>
    </row>
    <row r="651">
      <c r="A651" s="255" t="str">
        <f>IFERROR(__xludf.DUMMYFUNCTION("""COMPUTED_VALUE"""),"Medicham")</f>
        <v>Medicham</v>
      </c>
      <c r="B651" s="174" t="str">
        <f>IFERROR(__xludf.DUMMYFUNCTION("""COMPUTED_VALUE"""),"Unlisted")</f>
        <v>Unlisted</v>
      </c>
      <c r="C651" s="174" t="str">
        <f>IFERROR(__xludf.DUMMYFUNCTION("""COMPUTED_VALUE"""),"Proficient")</f>
        <v>Proficient</v>
      </c>
      <c r="D651" s="174" t="str">
        <f>IFERROR(__xludf.DUMMYFUNCTION("""COMPUTED_VALUE"""),"Unlisted")</f>
        <v>Unlisted</v>
      </c>
      <c r="E651" s="174" t="str">
        <f>IFERROR(__xludf.DUMMYFUNCTION("""COMPUTED_VALUE"""),"Proficient")</f>
        <v>Proficient</v>
      </c>
      <c r="F651" s="174" t="str">
        <f>IFERROR(__xludf.DUMMYFUNCTION("""COMPUTED_VALUE"""),"Unlisted")</f>
        <v>Unlisted</v>
      </c>
      <c r="G651" s="174" t="str">
        <f>IFERROR(__xludf.DUMMYFUNCTION("""COMPUTED_VALUE"""),"Mastered")</f>
        <v>Mastered</v>
      </c>
      <c r="H651" s="174" t="str">
        <f>IFERROR(__xludf.DUMMYFUNCTION("""COMPUTED_VALUE"""),"Unlisted")</f>
        <v>Unlisted</v>
      </c>
      <c r="I651" s="174" t="str">
        <f>IFERROR(__xludf.DUMMYFUNCTION("""COMPUTED_VALUE"""),"Unlisted")</f>
        <v>Unlisted</v>
      </c>
      <c r="J651" s="174" t="str">
        <f>IFERROR(__xludf.DUMMYFUNCTION("""COMPUTED_VALUE"""),"Unlisted")</f>
        <v>Unlisted</v>
      </c>
      <c r="K651" s="174" t="str">
        <f>IFERROR(__xludf.DUMMYFUNCTION("""COMPUTED_VALUE"""),"Unlisted")</f>
        <v>Unlisted</v>
      </c>
      <c r="L651" s="174" t="str">
        <f>IFERROR(__xludf.DUMMYFUNCTION("""COMPUTED_VALUE"""),"Unlisted")</f>
        <v>Unlisted</v>
      </c>
      <c r="M651" s="174" t="str">
        <f>IFERROR(__xludf.DUMMYFUNCTION("""COMPUTED_VALUE"""),"Unlisted")</f>
        <v>Unlisted</v>
      </c>
      <c r="N651" s="174" t="str">
        <f>IFERROR(__xludf.DUMMYFUNCTION("""COMPUTED_VALUE"""),"Unlisted")</f>
        <v>Unlisted</v>
      </c>
      <c r="O651" s="174" t="str">
        <f>IFERROR(__xludf.DUMMYFUNCTION("""COMPUTED_VALUE"""),"Unlisted")</f>
        <v>Unlisted</v>
      </c>
      <c r="P651" s="174" t="str">
        <f>IFERROR(__xludf.DUMMYFUNCTION("""COMPUTED_VALUE"""),"Unlisted")</f>
        <v>Unlisted</v>
      </c>
      <c r="Q651" s="174" t="str">
        <f>IFERROR(__xludf.DUMMYFUNCTION("""COMPUTED_VALUE"""),"Unlisted")</f>
        <v>Unlisted</v>
      </c>
      <c r="R651" s="174" t="str">
        <f>IFERROR(__xludf.DUMMYFUNCTION("""COMPUTED_VALUE"""),"Unlisted")</f>
        <v>Unlisted</v>
      </c>
    </row>
    <row r="652">
      <c r="A652" s="255" t="str">
        <f>IFERROR(__xludf.DUMMYFUNCTION("""COMPUTED_VALUE"""),"Riolu")</f>
        <v>Riolu</v>
      </c>
      <c r="B652" s="174" t="str">
        <f>IFERROR(__xludf.DUMMYFUNCTION("""COMPUTED_VALUE"""),"Unlisted")</f>
        <v>Unlisted</v>
      </c>
      <c r="C652" s="174" t="str">
        <f>IFERROR(__xludf.DUMMYFUNCTION("""COMPUTED_VALUE"""),"Unlisted")</f>
        <v>Unlisted</v>
      </c>
      <c r="D652" s="174" t="str">
        <f>IFERROR(__xludf.DUMMYFUNCTION("""COMPUTED_VALUE"""),"Unlisted")</f>
        <v>Unlisted</v>
      </c>
      <c r="E652" s="174" t="str">
        <f>IFERROR(__xludf.DUMMYFUNCTION("""COMPUTED_VALUE"""),"Proficient")</f>
        <v>Proficient</v>
      </c>
      <c r="F652" s="174" t="str">
        <f>IFERROR(__xludf.DUMMYFUNCTION("""COMPUTED_VALUE"""),"Unlisted")</f>
        <v>Unlisted</v>
      </c>
      <c r="G652" s="174" t="str">
        <f>IFERROR(__xludf.DUMMYFUNCTION("""COMPUTED_VALUE"""),"Mastered")</f>
        <v>Mastered</v>
      </c>
      <c r="H652" s="174" t="str">
        <f>IFERROR(__xludf.DUMMYFUNCTION("""COMPUTED_VALUE"""),"Unlisted")</f>
        <v>Unlisted</v>
      </c>
      <c r="I652" s="174" t="str">
        <f>IFERROR(__xludf.DUMMYFUNCTION("""COMPUTED_VALUE"""),"Unlisted")</f>
        <v>Unlisted</v>
      </c>
      <c r="J652" s="174" t="str">
        <f>IFERROR(__xludf.DUMMYFUNCTION("""COMPUTED_VALUE"""),"Proficient")</f>
        <v>Proficient</v>
      </c>
      <c r="K652" s="174" t="str">
        <f>IFERROR(__xludf.DUMMYFUNCTION("""COMPUTED_VALUE"""),"Unlisted")</f>
        <v>Unlisted</v>
      </c>
      <c r="L652" s="174" t="str">
        <f>IFERROR(__xludf.DUMMYFUNCTION("""COMPUTED_VALUE"""),"Unlisted")</f>
        <v>Unlisted</v>
      </c>
      <c r="M652" s="174" t="str">
        <f>IFERROR(__xludf.DUMMYFUNCTION("""COMPUTED_VALUE"""),"Unlisted")</f>
        <v>Unlisted</v>
      </c>
      <c r="N652" s="174" t="str">
        <f>IFERROR(__xludf.DUMMYFUNCTION("""COMPUTED_VALUE"""),"Unlisted")</f>
        <v>Unlisted</v>
      </c>
      <c r="O652" s="174" t="str">
        <f>IFERROR(__xludf.DUMMYFUNCTION("""COMPUTED_VALUE"""),"Unlisted")</f>
        <v>Unlisted</v>
      </c>
      <c r="P652" s="174" t="str">
        <f>IFERROR(__xludf.DUMMYFUNCTION("""COMPUTED_VALUE"""),"Unlisted")</f>
        <v>Unlisted</v>
      </c>
      <c r="Q652" s="174" t="str">
        <f>IFERROR(__xludf.DUMMYFUNCTION("""COMPUTED_VALUE"""),"Unlisted")</f>
        <v>Unlisted</v>
      </c>
      <c r="R652" s="174" t="str">
        <f>IFERROR(__xludf.DUMMYFUNCTION("""COMPUTED_VALUE"""),"Unlisted")</f>
        <v>Unlisted</v>
      </c>
    </row>
    <row r="653">
      <c r="A653" s="255" t="str">
        <f>IFERROR(__xludf.DUMMYFUNCTION("""COMPUTED_VALUE"""),"Lucario")</f>
        <v>Lucario</v>
      </c>
      <c r="B653" s="174" t="str">
        <f>IFERROR(__xludf.DUMMYFUNCTION("""COMPUTED_VALUE"""),"Unlisted")</f>
        <v>Unlisted</v>
      </c>
      <c r="C653" s="174" t="str">
        <f>IFERROR(__xludf.DUMMYFUNCTION("""COMPUTED_VALUE"""),"Proficient")</f>
        <v>Proficient</v>
      </c>
      <c r="D653" s="174" t="str">
        <f>IFERROR(__xludf.DUMMYFUNCTION("""COMPUTED_VALUE"""),"Unlisted")</f>
        <v>Unlisted</v>
      </c>
      <c r="E653" s="174" t="str">
        <f>IFERROR(__xludf.DUMMYFUNCTION("""COMPUTED_VALUE"""),"Proficient")</f>
        <v>Proficient</v>
      </c>
      <c r="F653" s="174" t="str">
        <f>IFERROR(__xludf.DUMMYFUNCTION("""COMPUTED_VALUE"""),"Unlisted")</f>
        <v>Unlisted</v>
      </c>
      <c r="G653" s="174" t="str">
        <f>IFERROR(__xludf.DUMMYFUNCTION("""COMPUTED_VALUE"""),"Mastered")</f>
        <v>Mastered</v>
      </c>
      <c r="H653" s="174" t="str">
        <f>IFERROR(__xludf.DUMMYFUNCTION("""COMPUTED_VALUE"""),"Inept")</f>
        <v>Inept</v>
      </c>
      <c r="I653" s="174" t="str">
        <f>IFERROR(__xludf.DUMMYFUNCTION("""COMPUTED_VALUE"""),"Unlisted")</f>
        <v>Unlisted</v>
      </c>
      <c r="J653" s="174" t="str">
        <f>IFERROR(__xludf.DUMMYFUNCTION("""COMPUTED_VALUE"""),"Proficient")</f>
        <v>Proficient</v>
      </c>
      <c r="K653" s="174" t="str">
        <f>IFERROR(__xludf.DUMMYFUNCTION("""COMPUTED_VALUE"""),"Unlisted")</f>
        <v>Unlisted</v>
      </c>
      <c r="L653" s="174" t="str">
        <f>IFERROR(__xludf.DUMMYFUNCTION("""COMPUTED_VALUE"""),"Unlisted")</f>
        <v>Unlisted</v>
      </c>
      <c r="M653" s="174" t="str">
        <f>IFERROR(__xludf.DUMMYFUNCTION("""COMPUTED_VALUE"""),"Unlisted")</f>
        <v>Unlisted</v>
      </c>
      <c r="N653" s="174" t="str">
        <f>IFERROR(__xludf.DUMMYFUNCTION("""COMPUTED_VALUE"""),"Unlisted")</f>
        <v>Unlisted</v>
      </c>
      <c r="O653" s="174" t="str">
        <f>IFERROR(__xludf.DUMMYFUNCTION("""COMPUTED_VALUE"""),"Unlisted")</f>
        <v>Unlisted</v>
      </c>
      <c r="P653" s="174" t="str">
        <f>IFERROR(__xludf.DUMMYFUNCTION("""COMPUTED_VALUE"""),"Unlisted")</f>
        <v>Unlisted</v>
      </c>
      <c r="Q653" s="174" t="str">
        <f>IFERROR(__xludf.DUMMYFUNCTION("""COMPUTED_VALUE"""),"Unlisted")</f>
        <v>Unlisted</v>
      </c>
      <c r="R653" s="174" t="str">
        <f>IFERROR(__xludf.DUMMYFUNCTION("""COMPUTED_VALUE"""),"Unlisted")</f>
        <v>Unlisted</v>
      </c>
    </row>
    <row r="654">
      <c r="A654" s="255" t="str">
        <f>IFERROR(__xludf.DUMMYFUNCTION("""COMPUTED_VALUE"""),"Mienfoo")</f>
        <v>Mienfoo</v>
      </c>
      <c r="B654" s="174" t="str">
        <f>IFERROR(__xludf.DUMMYFUNCTION("""COMPUTED_VALUE"""),"Unlisted")</f>
        <v>Unlisted</v>
      </c>
      <c r="C654" s="174" t="str">
        <f>IFERROR(__xludf.DUMMYFUNCTION("""COMPUTED_VALUE"""),"Proficient")</f>
        <v>Proficient</v>
      </c>
      <c r="D654" s="174" t="str">
        <f>IFERROR(__xludf.DUMMYFUNCTION("""COMPUTED_VALUE"""),"Unlisted")</f>
        <v>Unlisted</v>
      </c>
      <c r="E654" s="174" t="str">
        <f>IFERROR(__xludf.DUMMYFUNCTION("""COMPUTED_VALUE"""),"Proficient")</f>
        <v>Proficient</v>
      </c>
      <c r="F654" s="174" t="str">
        <f>IFERROR(__xludf.DUMMYFUNCTION("""COMPUTED_VALUE"""),"Unlisted")</f>
        <v>Unlisted</v>
      </c>
      <c r="G654" s="174" t="str">
        <f>IFERROR(__xludf.DUMMYFUNCTION("""COMPUTED_VALUE"""),"Mastered")</f>
        <v>Mastered</v>
      </c>
      <c r="H654" s="174" t="str">
        <f>IFERROR(__xludf.DUMMYFUNCTION("""COMPUTED_VALUE"""),"Unlisted")</f>
        <v>Unlisted</v>
      </c>
      <c r="I654" s="174" t="str">
        <f>IFERROR(__xludf.DUMMYFUNCTION("""COMPUTED_VALUE"""),"Unlisted")</f>
        <v>Unlisted</v>
      </c>
      <c r="J654" s="174" t="str">
        <f>IFERROR(__xludf.DUMMYFUNCTION("""COMPUTED_VALUE"""),"Unlisted")</f>
        <v>Unlisted</v>
      </c>
      <c r="K654" s="174" t="str">
        <f>IFERROR(__xludf.DUMMYFUNCTION("""COMPUTED_VALUE"""),"Unlisted")</f>
        <v>Unlisted</v>
      </c>
      <c r="L654" s="174" t="str">
        <f>IFERROR(__xludf.DUMMYFUNCTION("""COMPUTED_VALUE"""),"Unlisted")</f>
        <v>Unlisted</v>
      </c>
      <c r="M654" s="174" t="str">
        <f>IFERROR(__xludf.DUMMYFUNCTION("""COMPUTED_VALUE"""),"Unlisted")</f>
        <v>Unlisted</v>
      </c>
      <c r="N654" s="174" t="str">
        <f>IFERROR(__xludf.DUMMYFUNCTION("""COMPUTED_VALUE"""),"Unlisted")</f>
        <v>Unlisted</v>
      </c>
      <c r="O654" s="174" t="str">
        <f>IFERROR(__xludf.DUMMYFUNCTION("""COMPUTED_VALUE"""),"Unlisted")</f>
        <v>Unlisted</v>
      </c>
      <c r="P654" s="174" t="str">
        <f>IFERROR(__xludf.DUMMYFUNCTION("""COMPUTED_VALUE"""),"Unlisted")</f>
        <v>Unlisted</v>
      </c>
      <c r="Q654" s="174" t="str">
        <f>IFERROR(__xludf.DUMMYFUNCTION("""COMPUTED_VALUE"""),"Unlisted")</f>
        <v>Unlisted</v>
      </c>
      <c r="R654" s="174" t="str">
        <f>IFERROR(__xludf.DUMMYFUNCTION("""COMPUTED_VALUE"""),"Unlisted")</f>
        <v>Unlisted</v>
      </c>
    </row>
    <row r="655">
      <c r="A655" s="255" t="str">
        <f>IFERROR(__xludf.DUMMYFUNCTION("""COMPUTED_VALUE"""),"Mienshao")</f>
        <v>Mienshao</v>
      </c>
      <c r="B655" s="174" t="str">
        <f>IFERROR(__xludf.DUMMYFUNCTION("""COMPUTED_VALUE"""),"Unlisted")</f>
        <v>Unlisted</v>
      </c>
      <c r="C655" s="174" t="str">
        <f>IFERROR(__xludf.DUMMYFUNCTION("""COMPUTED_VALUE"""),"Proficient")</f>
        <v>Proficient</v>
      </c>
      <c r="D655" s="174" t="str">
        <f>IFERROR(__xludf.DUMMYFUNCTION("""COMPUTED_VALUE"""),"Unlisted")</f>
        <v>Unlisted</v>
      </c>
      <c r="E655" s="174" t="str">
        <f>IFERROR(__xludf.DUMMYFUNCTION("""COMPUTED_VALUE"""),"Proficient")</f>
        <v>Proficient</v>
      </c>
      <c r="F655" s="174" t="str">
        <f>IFERROR(__xludf.DUMMYFUNCTION("""COMPUTED_VALUE"""),"Unlisted")</f>
        <v>Unlisted</v>
      </c>
      <c r="G655" s="174" t="str">
        <f>IFERROR(__xludf.DUMMYFUNCTION("""COMPUTED_VALUE"""),"Mastered")</f>
        <v>Mastered</v>
      </c>
      <c r="H655" s="174" t="str">
        <f>IFERROR(__xludf.DUMMYFUNCTION("""COMPUTED_VALUE"""),"Unlisted")</f>
        <v>Unlisted</v>
      </c>
      <c r="I655" s="174" t="str">
        <f>IFERROR(__xludf.DUMMYFUNCTION("""COMPUTED_VALUE"""),"Unlisted")</f>
        <v>Unlisted</v>
      </c>
      <c r="J655" s="174" t="str">
        <f>IFERROR(__xludf.DUMMYFUNCTION("""COMPUTED_VALUE"""),"Unlisted")</f>
        <v>Unlisted</v>
      </c>
      <c r="K655" s="174" t="str">
        <f>IFERROR(__xludf.DUMMYFUNCTION("""COMPUTED_VALUE"""),"Unlisted")</f>
        <v>Unlisted</v>
      </c>
      <c r="L655" s="174" t="str">
        <f>IFERROR(__xludf.DUMMYFUNCTION("""COMPUTED_VALUE"""),"Unlisted")</f>
        <v>Unlisted</v>
      </c>
      <c r="M655" s="174" t="str">
        <f>IFERROR(__xludf.DUMMYFUNCTION("""COMPUTED_VALUE"""),"Unlisted")</f>
        <v>Unlisted</v>
      </c>
      <c r="N655" s="174" t="str">
        <f>IFERROR(__xludf.DUMMYFUNCTION("""COMPUTED_VALUE"""),"Unlisted")</f>
        <v>Unlisted</v>
      </c>
      <c r="O655" s="174" t="str">
        <f>IFERROR(__xludf.DUMMYFUNCTION("""COMPUTED_VALUE"""),"Unlisted")</f>
        <v>Unlisted</v>
      </c>
      <c r="P655" s="174" t="str">
        <f>IFERROR(__xludf.DUMMYFUNCTION("""COMPUTED_VALUE"""),"Unlisted")</f>
        <v>Unlisted</v>
      </c>
      <c r="Q655" s="174" t="str">
        <f>IFERROR(__xludf.DUMMYFUNCTION("""COMPUTED_VALUE"""),"Unlisted")</f>
        <v>Unlisted</v>
      </c>
      <c r="R655" s="174" t="str">
        <f>IFERROR(__xludf.DUMMYFUNCTION("""COMPUTED_VALUE"""),"Unlisted")</f>
        <v>Unlisted</v>
      </c>
    </row>
    <row r="656">
      <c r="A656" s="255" t="str">
        <f>IFERROR(__xludf.DUMMYFUNCTION("""COMPUTED_VALUE"""),"Pancham")</f>
        <v>Pancham</v>
      </c>
      <c r="B656" s="174" t="str">
        <f>IFERROR(__xludf.DUMMYFUNCTION("""COMPUTED_VALUE"""),"Unlisted")</f>
        <v>Unlisted</v>
      </c>
      <c r="C656" s="174" t="str">
        <f>IFERROR(__xludf.DUMMYFUNCTION("""COMPUTED_VALUE"""),"Proficient")</f>
        <v>Proficient</v>
      </c>
      <c r="D656" s="174" t="str">
        <f>IFERROR(__xludf.DUMMYFUNCTION("""COMPUTED_VALUE"""),"Unlisted")</f>
        <v>Unlisted</v>
      </c>
      <c r="E656" s="174" t="str">
        <f>IFERROR(__xludf.DUMMYFUNCTION("""COMPUTED_VALUE"""),"Mastered")</f>
        <v>Mastered</v>
      </c>
      <c r="F656" s="174" t="str">
        <f>IFERROR(__xludf.DUMMYFUNCTION("""COMPUTED_VALUE"""),"Unlisted")</f>
        <v>Unlisted</v>
      </c>
      <c r="G656" s="174" t="str">
        <f>IFERROR(__xludf.DUMMYFUNCTION("""COMPUTED_VALUE"""),"Unlisted")</f>
        <v>Unlisted</v>
      </c>
      <c r="H656" s="174" t="str">
        <f>IFERROR(__xludf.DUMMYFUNCTION("""COMPUTED_VALUE"""),"Unlisted")</f>
        <v>Unlisted</v>
      </c>
      <c r="I656" s="174" t="str">
        <f>IFERROR(__xludf.DUMMYFUNCTION("""COMPUTED_VALUE"""),"Unlisted")</f>
        <v>Unlisted</v>
      </c>
      <c r="J656" s="174" t="str">
        <f>IFERROR(__xludf.DUMMYFUNCTION("""COMPUTED_VALUE"""),"Unlisted")</f>
        <v>Unlisted</v>
      </c>
      <c r="K656" s="174" t="str">
        <f>IFERROR(__xludf.DUMMYFUNCTION("""COMPUTED_VALUE"""),"Unlisted")</f>
        <v>Unlisted</v>
      </c>
      <c r="L656" s="174" t="str">
        <f>IFERROR(__xludf.DUMMYFUNCTION("""COMPUTED_VALUE"""),"Unlisted")</f>
        <v>Unlisted</v>
      </c>
      <c r="M656" s="174" t="str">
        <f>IFERROR(__xludf.DUMMYFUNCTION("""COMPUTED_VALUE"""),"Unlisted")</f>
        <v>Unlisted</v>
      </c>
      <c r="N656" s="174" t="str">
        <f>IFERROR(__xludf.DUMMYFUNCTION("""COMPUTED_VALUE"""),"Unlisted")</f>
        <v>Unlisted</v>
      </c>
      <c r="O656" s="174" t="str">
        <f>IFERROR(__xludf.DUMMYFUNCTION("""COMPUTED_VALUE"""),"Unlisted")</f>
        <v>Unlisted</v>
      </c>
      <c r="P656" s="174" t="str">
        <f>IFERROR(__xludf.DUMMYFUNCTION("""COMPUTED_VALUE"""),"Unlisted")</f>
        <v>Unlisted</v>
      </c>
      <c r="Q656" s="174" t="str">
        <f>IFERROR(__xludf.DUMMYFUNCTION("""COMPUTED_VALUE"""),"Unlisted")</f>
        <v>Unlisted</v>
      </c>
      <c r="R656" s="174" t="str">
        <f>IFERROR(__xludf.DUMMYFUNCTION("""COMPUTED_VALUE"""),"Unlisted")</f>
        <v>Unlisted</v>
      </c>
    </row>
    <row r="657">
      <c r="A657" s="255" t="str">
        <f>IFERROR(__xludf.DUMMYFUNCTION("""COMPUTED_VALUE"""),"Pangoro")</f>
        <v>Pangoro</v>
      </c>
      <c r="B657" s="174" t="str">
        <f>IFERROR(__xludf.DUMMYFUNCTION("""COMPUTED_VALUE"""),"Unlisted")</f>
        <v>Unlisted</v>
      </c>
      <c r="C657" s="174" t="str">
        <f>IFERROR(__xludf.DUMMYFUNCTION("""COMPUTED_VALUE"""),"Proficient")</f>
        <v>Proficient</v>
      </c>
      <c r="D657" s="174" t="str">
        <f>IFERROR(__xludf.DUMMYFUNCTION("""COMPUTED_VALUE"""),"Unlisted")</f>
        <v>Unlisted</v>
      </c>
      <c r="E657" s="174" t="str">
        <f>IFERROR(__xludf.DUMMYFUNCTION("""COMPUTED_VALUE"""),"Mastered")</f>
        <v>Mastered</v>
      </c>
      <c r="F657" s="174" t="str">
        <f>IFERROR(__xludf.DUMMYFUNCTION("""COMPUTED_VALUE"""),"Unlisted")</f>
        <v>Unlisted</v>
      </c>
      <c r="G657" s="174" t="str">
        <f>IFERROR(__xludf.DUMMYFUNCTION("""COMPUTED_VALUE"""),"Unlisted")</f>
        <v>Unlisted</v>
      </c>
      <c r="H657" s="174" t="str">
        <f>IFERROR(__xludf.DUMMYFUNCTION("""COMPUTED_VALUE"""),"Unlisted")</f>
        <v>Unlisted</v>
      </c>
      <c r="I657" s="174" t="str">
        <f>IFERROR(__xludf.DUMMYFUNCTION("""COMPUTED_VALUE"""),"Proficient")</f>
        <v>Proficient</v>
      </c>
      <c r="J657" s="174" t="str">
        <f>IFERROR(__xludf.DUMMYFUNCTION("""COMPUTED_VALUE"""),"Unlisted")</f>
        <v>Unlisted</v>
      </c>
      <c r="K657" s="174" t="str">
        <f>IFERROR(__xludf.DUMMYFUNCTION("""COMPUTED_VALUE"""),"Unlisted")</f>
        <v>Unlisted</v>
      </c>
      <c r="L657" s="174" t="str">
        <f>IFERROR(__xludf.DUMMYFUNCTION("""COMPUTED_VALUE"""),"Unlisted")</f>
        <v>Unlisted</v>
      </c>
      <c r="M657" s="174" t="str">
        <f>IFERROR(__xludf.DUMMYFUNCTION("""COMPUTED_VALUE"""),"Unlisted")</f>
        <v>Unlisted</v>
      </c>
      <c r="N657" s="174" t="str">
        <f>IFERROR(__xludf.DUMMYFUNCTION("""COMPUTED_VALUE"""),"Unlisted")</f>
        <v>Unlisted</v>
      </c>
      <c r="O657" s="174" t="str">
        <f>IFERROR(__xludf.DUMMYFUNCTION("""COMPUTED_VALUE"""),"Unlisted")</f>
        <v>Unlisted</v>
      </c>
      <c r="P657" s="174" t="str">
        <f>IFERROR(__xludf.DUMMYFUNCTION("""COMPUTED_VALUE"""),"Unlisted")</f>
        <v>Unlisted</v>
      </c>
      <c r="Q657" s="174" t="str">
        <f>IFERROR(__xludf.DUMMYFUNCTION("""COMPUTED_VALUE"""),"Unlisted")</f>
        <v>Unlisted</v>
      </c>
      <c r="R657" s="174" t="str">
        <f>IFERROR(__xludf.DUMMYFUNCTION("""COMPUTED_VALUE"""),"Unlisted")</f>
        <v>Unlisted</v>
      </c>
    </row>
    <row r="658">
      <c r="A658" s="255" t="str">
        <f>IFERROR(__xludf.DUMMYFUNCTION("""COMPUTED_VALUE"""),"Crabrawler")</f>
        <v>Crabrawler</v>
      </c>
      <c r="B658" s="174" t="str">
        <f>IFERROR(__xludf.DUMMYFUNCTION("""COMPUTED_VALUE"""),"Unlisted")</f>
        <v>Unlisted</v>
      </c>
      <c r="C658" s="174" t="str">
        <f>IFERROR(__xludf.DUMMYFUNCTION("""COMPUTED_VALUE"""),"Proficient")</f>
        <v>Proficient</v>
      </c>
      <c r="D658" s="174" t="str">
        <f>IFERROR(__xludf.DUMMYFUNCTION("""COMPUTED_VALUE"""),"Unlisted")</f>
        <v>Unlisted</v>
      </c>
      <c r="E658" s="174" t="str">
        <f>IFERROR(__xludf.DUMMYFUNCTION("""COMPUTED_VALUE"""),"Proficient")</f>
        <v>Proficient</v>
      </c>
      <c r="F658" s="174" t="str">
        <f>IFERROR(__xludf.DUMMYFUNCTION("""COMPUTED_VALUE"""),"Unlisted")</f>
        <v>Unlisted</v>
      </c>
      <c r="G658" s="174" t="str">
        <f>IFERROR(__xludf.DUMMYFUNCTION("""COMPUTED_VALUE"""),"Proficient")</f>
        <v>Proficient</v>
      </c>
      <c r="H658" s="174" t="str">
        <f>IFERROR(__xludf.DUMMYFUNCTION("""COMPUTED_VALUE"""),"Unlisted")</f>
        <v>Unlisted</v>
      </c>
      <c r="I658" s="174" t="str">
        <f>IFERROR(__xludf.DUMMYFUNCTION("""COMPUTED_VALUE"""),"Unlisted")</f>
        <v>Unlisted</v>
      </c>
      <c r="J658" s="174" t="str">
        <f>IFERROR(__xludf.DUMMYFUNCTION("""COMPUTED_VALUE"""),"Unlisted")</f>
        <v>Unlisted</v>
      </c>
      <c r="K658" s="174" t="str">
        <f>IFERROR(__xludf.DUMMYFUNCTION("""COMPUTED_VALUE"""),"Unlisted")</f>
        <v>Unlisted</v>
      </c>
      <c r="L658" s="174" t="str">
        <f>IFERROR(__xludf.DUMMYFUNCTION("""COMPUTED_VALUE"""),"Unlisted")</f>
        <v>Unlisted</v>
      </c>
      <c r="M658" s="174" t="str">
        <f>IFERROR(__xludf.DUMMYFUNCTION("""COMPUTED_VALUE"""),"Unlisted")</f>
        <v>Unlisted</v>
      </c>
      <c r="N658" s="174" t="str">
        <f>IFERROR(__xludf.DUMMYFUNCTION("""COMPUTED_VALUE"""),"Unlisted")</f>
        <v>Unlisted</v>
      </c>
      <c r="O658" s="174" t="str">
        <f>IFERROR(__xludf.DUMMYFUNCTION("""COMPUTED_VALUE"""),"Unlisted")</f>
        <v>Unlisted</v>
      </c>
      <c r="P658" s="174" t="str">
        <f>IFERROR(__xludf.DUMMYFUNCTION("""COMPUTED_VALUE"""),"Unlisted")</f>
        <v>Unlisted</v>
      </c>
      <c r="Q658" s="174" t="str">
        <f>IFERROR(__xludf.DUMMYFUNCTION("""COMPUTED_VALUE"""),"Unlisted")</f>
        <v>Unlisted</v>
      </c>
      <c r="R658" s="174" t="str">
        <f>IFERROR(__xludf.DUMMYFUNCTION("""COMPUTED_VALUE"""),"Unlisted")</f>
        <v>Unlisted</v>
      </c>
    </row>
    <row r="659">
      <c r="A659" s="255" t="str">
        <f>IFERROR(__xludf.DUMMYFUNCTION("""COMPUTED_VALUE"""),"Crabominable")</f>
        <v>Crabominable</v>
      </c>
      <c r="B659" s="174" t="str">
        <f>IFERROR(__xludf.DUMMYFUNCTION("""COMPUTED_VALUE"""),"Unlisted")</f>
        <v>Unlisted</v>
      </c>
      <c r="C659" s="174" t="str">
        <f>IFERROR(__xludf.DUMMYFUNCTION("""COMPUTED_VALUE"""),"Proficient")</f>
        <v>Proficient</v>
      </c>
      <c r="D659" s="174" t="str">
        <f>IFERROR(__xludf.DUMMYFUNCTION("""COMPUTED_VALUE"""),"Unlisted")</f>
        <v>Unlisted</v>
      </c>
      <c r="E659" s="174" t="str">
        <f>IFERROR(__xludf.DUMMYFUNCTION("""COMPUTED_VALUE"""),"Proficient")</f>
        <v>Proficient</v>
      </c>
      <c r="F659" s="174" t="str">
        <f>IFERROR(__xludf.DUMMYFUNCTION("""COMPUTED_VALUE"""),"Unlisted")</f>
        <v>Unlisted</v>
      </c>
      <c r="G659" s="174" t="str">
        <f>IFERROR(__xludf.DUMMYFUNCTION("""COMPUTED_VALUE"""),"Proficient")</f>
        <v>Proficient</v>
      </c>
      <c r="H659" s="174" t="str">
        <f>IFERROR(__xludf.DUMMYFUNCTION("""COMPUTED_VALUE"""),"Unlisted")</f>
        <v>Unlisted</v>
      </c>
      <c r="I659" s="174" t="str">
        <f>IFERROR(__xludf.DUMMYFUNCTION("""COMPUTED_VALUE"""),"Unlisted")</f>
        <v>Unlisted</v>
      </c>
      <c r="J659" s="174" t="str">
        <f>IFERROR(__xludf.DUMMYFUNCTION("""COMPUTED_VALUE"""),"Unlisted")</f>
        <v>Unlisted</v>
      </c>
      <c r="K659" s="174" t="str">
        <f>IFERROR(__xludf.DUMMYFUNCTION("""COMPUTED_VALUE"""),"Unlisted")</f>
        <v>Unlisted</v>
      </c>
      <c r="L659" s="174" t="str">
        <f>IFERROR(__xludf.DUMMYFUNCTION("""COMPUTED_VALUE"""),"Unlisted")</f>
        <v>Unlisted</v>
      </c>
      <c r="M659" s="174" t="str">
        <f>IFERROR(__xludf.DUMMYFUNCTION("""COMPUTED_VALUE"""),"Unlisted")</f>
        <v>Unlisted</v>
      </c>
      <c r="N659" s="174" t="str">
        <f>IFERROR(__xludf.DUMMYFUNCTION("""COMPUTED_VALUE"""),"Unlisted")</f>
        <v>Unlisted</v>
      </c>
      <c r="O659" s="174" t="str">
        <f>IFERROR(__xludf.DUMMYFUNCTION("""COMPUTED_VALUE"""),"Unlisted")</f>
        <v>Unlisted</v>
      </c>
      <c r="P659" s="174" t="str">
        <f>IFERROR(__xludf.DUMMYFUNCTION("""COMPUTED_VALUE"""),"Unlisted")</f>
        <v>Unlisted</v>
      </c>
      <c r="Q659" s="174" t="str">
        <f>IFERROR(__xludf.DUMMYFUNCTION("""COMPUTED_VALUE"""),"Unlisted")</f>
        <v>Unlisted</v>
      </c>
      <c r="R659" s="174" t="str">
        <f>IFERROR(__xludf.DUMMYFUNCTION("""COMPUTED_VALUE"""),"Unlisted")</f>
        <v>Unlisted</v>
      </c>
    </row>
    <row r="660">
      <c r="A660" s="255" t="str">
        <f>IFERROR(__xludf.DUMMYFUNCTION("""COMPUTED_VALUE"""),"Clobbopus")</f>
        <v>Clobbopus</v>
      </c>
      <c r="B660" s="174" t="str">
        <f>IFERROR(__xludf.DUMMYFUNCTION("""COMPUTED_VALUE"""),"Unlisted")</f>
        <v>Unlisted</v>
      </c>
      <c r="C660" s="174" t="str">
        <f>IFERROR(__xludf.DUMMYFUNCTION("""COMPUTED_VALUE"""),"Unlisted")</f>
        <v>Unlisted</v>
      </c>
      <c r="D660" s="174" t="str">
        <f>IFERROR(__xludf.DUMMYFUNCTION("""COMPUTED_VALUE"""),"Unlisted")</f>
        <v>Unlisted</v>
      </c>
      <c r="E660" s="174" t="str">
        <f>IFERROR(__xludf.DUMMYFUNCTION("""COMPUTED_VALUE"""),"Mastered")</f>
        <v>Mastered</v>
      </c>
      <c r="F660" s="174" t="str">
        <f>IFERROR(__xludf.DUMMYFUNCTION("""COMPUTED_VALUE"""),"Unlisted")</f>
        <v>Unlisted</v>
      </c>
      <c r="G660" s="174" t="str">
        <f>IFERROR(__xludf.DUMMYFUNCTION("""COMPUTED_VALUE"""),"Unlisted")</f>
        <v>Unlisted</v>
      </c>
      <c r="H660" s="174" t="str">
        <f>IFERROR(__xludf.DUMMYFUNCTION("""COMPUTED_VALUE"""),"Proficient")</f>
        <v>Proficient</v>
      </c>
      <c r="I660" s="174" t="str">
        <f>IFERROR(__xludf.DUMMYFUNCTION("""COMPUTED_VALUE"""),"Unlisted")</f>
        <v>Unlisted</v>
      </c>
      <c r="J660" s="174" t="str">
        <f>IFERROR(__xludf.DUMMYFUNCTION("""COMPUTED_VALUE"""),"Proficient")</f>
        <v>Proficient</v>
      </c>
      <c r="K660" s="174" t="str">
        <f>IFERROR(__xludf.DUMMYFUNCTION("""COMPUTED_VALUE"""),"Unlisted")</f>
        <v>Unlisted</v>
      </c>
      <c r="L660" s="174" t="str">
        <f>IFERROR(__xludf.DUMMYFUNCTION("""COMPUTED_VALUE"""),"Unlisted")</f>
        <v>Unlisted</v>
      </c>
      <c r="M660" s="174" t="str">
        <f>IFERROR(__xludf.DUMMYFUNCTION("""COMPUTED_VALUE"""),"Unlisted")</f>
        <v>Unlisted</v>
      </c>
      <c r="N660" s="174" t="str">
        <f>IFERROR(__xludf.DUMMYFUNCTION("""COMPUTED_VALUE"""),"Unlisted")</f>
        <v>Unlisted</v>
      </c>
      <c r="O660" s="174" t="str">
        <f>IFERROR(__xludf.DUMMYFUNCTION("""COMPUTED_VALUE"""),"Unlisted")</f>
        <v>Unlisted</v>
      </c>
      <c r="P660" s="174" t="str">
        <f>IFERROR(__xludf.DUMMYFUNCTION("""COMPUTED_VALUE"""),"Unlisted")</f>
        <v>Unlisted</v>
      </c>
      <c r="Q660" s="174" t="str">
        <f>IFERROR(__xludf.DUMMYFUNCTION("""COMPUTED_VALUE"""),"Unlisted")</f>
        <v>Unlisted</v>
      </c>
      <c r="R660" s="174" t="str">
        <f>IFERROR(__xludf.DUMMYFUNCTION("""COMPUTED_VALUE"""),"Unlisted")</f>
        <v>Unlisted</v>
      </c>
    </row>
    <row r="661">
      <c r="A661" s="255" t="str">
        <f>IFERROR(__xludf.DUMMYFUNCTION("""COMPUTED_VALUE"""),"Grapploct")</f>
        <v>Grapploct</v>
      </c>
      <c r="B661" s="174" t="str">
        <f>IFERROR(__xludf.DUMMYFUNCTION("""COMPUTED_VALUE"""),"Unlisted")</f>
        <v>Unlisted</v>
      </c>
      <c r="C661" s="174" t="str">
        <f>IFERROR(__xludf.DUMMYFUNCTION("""COMPUTED_VALUE"""),"Unlisted")</f>
        <v>Unlisted</v>
      </c>
      <c r="D661" s="174" t="str">
        <f>IFERROR(__xludf.DUMMYFUNCTION("""COMPUTED_VALUE"""),"Unlisted")</f>
        <v>Unlisted</v>
      </c>
      <c r="E661" s="174" t="str">
        <f>IFERROR(__xludf.DUMMYFUNCTION("""COMPUTED_VALUE"""),"Mastered")</f>
        <v>Mastered</v>
      </c>
      <c r="F661" s="174" t="str">
        <f>IFERROR(__xludf.DUMMYFUNCTION("""COMPUTED_VALUE"""),"Unlisted")</f>
        <v>Unlisted</v>
      </c>
      <c r="G661" s="174" t="str">
        <f>IFERROR(__xludf.DUMMYFUNCTION("""COMPUTED_VALUE"""),"Unlisted")</f>
        <v>Unlisted</v>
      </c>
      <c r="H661" s="174" t="str">
        <f>IFERROR(__xludf.DUMMYFUNCTION("""COMPUTED_VALUE"""),"Proficient")</f>
        <v>Proficient</v>
      </c>
      <c r="I661" s="174" t="str">
        <f>IFERROR(__xludf.DUMMYFUNCTION("""COMPUTED_VALUE"""),"Unlisted")</f>
        <v>Unlisted</v>
      </c>
      <c r="J661" s="174" t="str">
        <f>IFERROR(__xludf.DUMMYFUNCTION("""COMPUTED_VALUE"""),"Proficient")</f>
        <v>Proficient</v>
      </c>
      <c r="K661" s="174" t="str">
        <f>IFERROR(__xludf.DUMMYFUNCTION("""COMPUTED_VALUE"""),"Unlisted")</f>
        <v>Unlisted</v>
      </c>
      <c r="L661" s="174" t="str">
        <f>IFERROR(__xludf.DUMMYFUNCTION("""COMPUTED_VALUE"""),"Unlisted")</f>
        <v>Unlisted</v>
      </c>
      <c r="M661" s="174" t="str">
        <f>IFERROR(__xludf.DUMMYFUNCTION("""COMPUTED_VALUE"""),"Unlisted")</f>
        <v>Unlisted</v>
      </c>
      <c r="N661" s="174" t="str">
        <f>IFERROR(__xludf.DUMMYFUNCTION("""COMPUTED_VALUE"""),"Unlisted")</f>
        <v>Unlisted</v>
      </c>
      <c r="O661" s="174" t="str">
        <f>IFERROR(__xludf.DUMMYFUNCTION("""COMPUTED_VALUE"""),"Unlisted")</f>
        <v>Unlisted</v>
      </c>
      <c r="P661" s="174" t="str">
        <f>IFERROR(__xludf.DUMMYFUNCTION("""COMPUTED_VALUE"""),"Unlisted")</f>
        <v>Unlisted</v>
      </c>
      <c r="Q661" s="174" t="str">
        <f>IFERROR(__xludf.DUMMYFUNCTION("""COMPUTED_VALUE"""),"Unlisted")</f>
        <v>Unlisted</v>
      </c>
      <c r="R661" s="174" t="str">
        <f>IFERROR(__xludf.DUMMYFUNCTION("""COMPUTED_VALUE"""),"Unlisted")</f>
        <v>Unlisted</v>
      </c>
    </row>
    <row r="662">
      <c r="A662" s="255" t="str">
        <f>IFERROR(__xludf.DUMMYFUNCTION("""COMPUTED_VALUE"""),"Vulpix")</f>
        <v>Vulpix</v>
      </c>
      <c r="B662" s="174" t="str">
        <f>IFERROR(__xludf.DUMMYFUNCTION("""COMPUTED_VALUE"""),"Proficient")</f>
        <v>Proficient</v>
      </c>
      <c r="C662" s="174" t="str">
        <f>IFERROR(__xludf.DUMMYFUNCTION("""COMPUTED_VALUE"""),"Inept")</f>
        <v>Inept</v>
      </c>
      <c r="D662" s="174" t="str">
        <f>IFERROR(__xludf.DUMMYFUNCTION("""COMPUTED_VALUE"""),"Proficient")</f>
        <v>Proficient</v>
      </c>
      <c r="E662" s="174" t="str">
        <f>IFERROR(__xludf.DUMMYFUNCTION("""COMPUTED_VALUE"""),"Unlisted")</f>
        <v>Unlisted</v>
      </c>
      <c r="F662" s="174" t="str">
        <f>IFERROR(__xludf.DUMMYFUNCTION("""COMPUTED_VALUE"""),"Unlisted")</f>
        <v>Unlisted</v>
      </c>
      <c r="G662" s="174" t="str">
        <f>IFERROR(__xludf.DUMMYFUNCTION("""COMPUTED_VALUE"""),"Unlisted")</f>
        <v>Unlisted</v>
      </c>
      <c r="H662" s="174" t="str">
        <f>IFERROR(__xludf.DUMMYFUNCTION("""COMPUTED_VALUE"""),"Unlisted")</f>
        <v>Unlisted</v>
      </c>
      <c r="I662" s="174" t="str">
        <f>IFERROR(__xludf.DUMMYFUNCTION("""COMPUTED_VALUE"""),"Unlisted")</f>
        <v>Unlisted</v>
      </c>
      <c r="J662" s="174" t="str">
        <f>IFERROR(__xludf.DUMMYFUNCTION("""COMPUTED_VALUE"""),"Proficient")</f>
        <v>Proficient</v>
      </c>
      <c r="K662" s="174" t="str">
        <f>IFERROR(__xludf.DUMMYFUNCTION("""COMPUTED_VALUE"""),"Unlisted")</f>
        <v>Unlisted</v>
      </c>
      <c r="L662" s="174" t="str">
        <f>IFERROR(__xludf.DUMMYFUNCTION("""COMPUTED_VALUE"""),"Unlisted")</f>
        <v>Unlisted</v>
      </c>
      <c r="M662" s="174" t="str">
        <f>IFERROR(__xludf.DUMMYFUNCTION("""COMPUTED_VALUE"""),"Unlisted")</f>
        <v>Unlisted</v>
      </c>
      <c r="N662" s="174" t="str">
        <f>IFERROR(__xludf.DUMMYFUNCTION("""COMPUTED_VALUE"""),"Unlisted")</f>
        <v>Unlisted</v>
      </c>
      <c r="O662" s="174" t="str">
        <f>IFERROR(__xludf.DUMMYFUNCTION("""COMPUTED_VALUE"""),"Unlisted")</f>
        <v>Unlisted</v>
      </c>
      <c r="P662" s="174" t="str">
        <f>IFERROR(__xludf.DUMMYFUNCTION("""COMPUTED_VALUE"""),"Unlisted")</f>
        <v>Unlisted</v>
      </c>
      <c r="Q662" s="174" t="str">
        <f>IFERROR(__xludf.DUMMYFUNCTION("""COMPUTED_VALUE"""),"Unlisted")</f>
        <v>Unlisted</v>
      </c>
      <c r="R662" s="174" t="str">
        <f>IFERROR(__xludf.DUMMYFUNCTION("""COMPUTED_VALUE"""),"Unlisted")</f>
        <v>Unlisted</v>
      </c>
    </row>
    <row r="663">
      <c r="A663" s="255" t="str">
        <f>IFERROR(__xludf.DUMMYFUNCTION("""COMPUTED_VALUE"""),"Ninetales")</f>
        <v>Ninetales</v>
      </c>
      <c r="B663" s="174" t="str">
        <f>IFERROR(__xludf.DUMMYFUNCTION("""COMPUTED_VALUE"""),"Proficient")</f>
        <v>Proficient</v>
      </c>
      <c r="C663" s="174" t="str">
        <f>IFERROR(__xludf.DUMMYFUNCTION("""COMPUTED_VALUE"""),"Inept")</f>
        <v>Inept</v>
      </c>
      <c r="D663" s="174" t="str">
        <f>IFERROR(__xludf.DUMMYFUNCTION("""COMPUTED_VALUE"""),"Proficient")</f>
        <v>Proficient</v>
      </c>
      <c r="E663" s="174" t="str">
        <f>IFERROR(__xludf.DUMMYFUNCTION("""COMPUTED_VALUE"""),"Unlisted")</f>
        <v>Unlisted</v>
      </c>
      <c r="F663" s="174" t="str">
        <f>IFERROR(__xludf.DUMMYFUNCTION("""COMPUTED_VALUE"""),"Unlisted")</f>
        <v>Unlisted</v>
      </c>
      <c r="G663" s="174" t="str">
        <f>IFERROR(__xludf.DUMMYFUNCTION("""COMPUTED_VALUE"""),"Unlisted")</f>
        <v>Unlisted</v>
      </c>
      <c r="H663" s="174" t="str">
        <f>IFERROR(__xludf.DUMMYFUNCTION("""COMPUTED_VALUE"""),"Unlisted")</f>
        <v>Unlisted</v>
      </c>
      <c r="I663" s="174" t="str">
        <f>IFERROR(__xludf.DUMMYFUNCTION("""COMPUTED_VALUE"""),"Unlisted")</f>
        <v>Unlisted</v>
      </c>
      <c r="J663" s="174" t="str">
        <f>IFERROR(__xludf.DUMMYFUNCTION("""COMPUTED_VALUE"""),"Proficient")</f>
        <v>Proficient</v>
      </c>
      <c r="K663" s="174" t="str">
        <f>IFERROR(__xludf.DUMMYFUNCTION("""COMPUTED_VALUE"""),"Unlisted")</f>
        <v>Unlisted</v>
      </c>
      <c r="L663" s="174" t="str">
        <f>IFERROR(__xludf.DUMMYFUNCTION("""COMPUTED_VALUE"""),"Unlisted")</f>
        <v>Unlisted</v>
      </c>
      <c r="M663" s="174" t="str">
        <f>IFERROR(__xludf.DUMMYFUNCTION("""COMPUTED_VALUE"""),"Unlisted")</f>
        <v>Unlisted</v>
      </c>
      <c r="N663" s="174" t="str">
        <f>IFERROR(__xludf.DUMMYFUNCTION("""COMPUTED_VALUE"""),"Unlisted")</f>
        <v>Unlisted</v>
      </c>
      <c r="O663" s="174" t="str">
        <f>IFERROR(__xludf.DUMMYFUNCTION("""COMPUTED_VALUE"""),"Unlisted")</f>
        <v>Unlisted</v>
      </c>
      <c r="P663" s="174" t="str">
        <f>IFERROR(__xludf.DUMMYFUNCTION("""COMPUTED_VALUE"""),"Unlisted")</f>
        <v>Unlisted</v>
      </c>
      <c r="Q663" s="174" t="str">
        <f>IFERROR(__xludf.DUMMYFUNCTION("""COMPUTED_VALUE"""),"Unlisted")</f>
        <v>Unlisted</v>
      </c>
      <c r="R663" s="174" t="str">
        <f>IFERROR(__xludf.DUMMYFUNCTION("""COMPUTED_VALUE"""),"Unlisted")</f>
        <v>Unlisted</v>
      </c>
    </row>
    <row r="664">
      <c r="A664" s="255" t="str">
        <f>IFERROR(__xludf.DUMMYFUNCTION("""COMPUTED_VALUE"""),"Growlithe")</f>
        <v>Growlithe</v>
      </c>
      <c r="B664" s="174" t="str">
        <f>IFERROR(__xludf.DUMMYFUNCTION("""COMPUTED_VALUE"""),"Unlisted")</f>
        <v>Unlisted</v>
      </c>
      <c r="C664" s="174" t="str">
        <f>IFERROR(__xludf.DUMMYFUNCTION("""COMPUTED_VALUE"""),"Proficient")</f>
        <v>Proficient</v>
      </c>
      <c r="D664" s="174" t="str">
        <f>IFERROR(__xludf.DUMMYFUNCTION("""COMPUTED_VALUE"""),"Unlisted")</f>
        <v>Unlisted</v>
      </c>
      <c r="E664" s="174" t="str">
        <f>IFERROR(__xludf.DUMMYFUNCTION("""COMPUTED_VALUE"""),"Proficient")</f>
        <v>Proficient</v>
      </c>
      <c r="F664" s="174" t="str">
        <f>IFERROR(__xludf.DUMMYFUNCTION("""COMPUTED_VALUE"""),"Unlisted")</f>
        <v>Unlisted</v>
      </c>
      <c r="G664" s="174" t="str">
        <f>IFERROR(__xludf.DUMMYFUNCTION("""COMPUTED_VALUE"""),"Inept")</f>
        <v>Inept</v>
      </c>
      <c r="H664" s="174" t="str">
        <f>IFERROR(__xludf.DUMMYFUNCTION("""COMPUTED_VALUE"""),"Unlisted")</f>
        <v>Unlisted</v>
      </c>
      <c r="I664" s="174" t="str">
        <f>IFERROR(__xludf.DUMMYFUNCTION("""COMPUTED_VALUE"""),"Unlisted")</f>
        <v>Unlisted</v>
      </c>
      <c r="J664" s="174" t="str">
        <f>IFERROR(__xludf.DUMMYFUNCTION("""COMPUTED_VALUE"""),"Unlisted")</f>
        <v>Unlisted</v>
      </c>
      <c r="K664" s="174" t="str">
        <f>IFERROR(__xludf.DUMMYFUNCTION("""COMPUTED_VALUE"""),"Mastered")</f>
        <v>Mastered</v>
      </c>
      <c r="L664" s="174" t="str">
        <f>IFERROR(__xludf.DUMMYFUNCTION("""COMPUTED_VALUE"""),"Unlisted")</f>
        <v>Unlisted</v>
      </c>
      <c r="M664" s="174" t="str">
        <f>IFERROR(__xludf.DUMMYFUNCTION("""COMPUTED_VALUE"""),"Unlisted")</f>
        <v>Unlisted</v>
      </c>
      <c r="N664" s="174" t="str">
        <f>IFERROR(__xludf.DUMMYFUNCTION("""COMPUTED_VALUE"""),"Unlisted")</f>
        <v>Unlisted</v>
      </c>
      <c r="O664" s="174" t="str">
        <f>IFERROR(__xludf.DUMMYFUNCTION("""COMPUTED_VALUE"""),"Unlisted")</f>
        <v>Unlisted</v>
      </c>
      <c r="P664" s="174" t="str">
        <f>IFERROR(__xludf.DUMMYFUNCTION("""COMPUTED_VALUE"""),"Unlisted")</f>
        <v>Unlisted</v>
      </c>
      <c r="Q664" s="174" t="str">
        <f>IFERROR(__xludf.DUMMYFUNCTION("""COMPUTED_VALUE"""),"Unlisted")</f>
        <v>Unlisted</v>
      </c>
      <c r="R664" s="174" t="str">
        <f>IFERROR(__xludf.DUMMYFUNCTION("""COMPUTED_VALUE"""),"Unlisted")</f>
        <v>Unlisted</v>
      </c>
    </row>
    <row r="665">
      <c r="A665" s="255" t="str">
        <f>IFERROR(__xludf.DUMMYFUNCTION("""COMPUTED_VALUE"""),"Arcanine")</f>
        <v>Arcanine</v>
      </c>
      <c r="B665" s="174" t="str">
        <f>IFERROR(__xludf.DUMMYFUNCTION("""COMPUTED_VALUE"""),"Unlisted")</f>
        <v>Unlisted</v>
      </c>
      <c r="C665" s="174" t="str">
        <f>IFERROR(__xludf.DUMMYFUNCTION("""COMPUTED_VALUE"""),"Proficient")</f>
        <v>Proficient</v>
      </c>
      <c r="D665" s="174" t="str">
        <f>IFERROR(__xludf.DUMMYFUNCTION("""COMPUTED_VALUE"""),"Unlisted")</f>
        <v>Unlisted</v>
      </c>
      <c r="E665" s="174" t="str">
        <f>IFERROR(__xludf.DUMMYFUNCTION("""COMPUTED_VALUE"""),"Proficient")</f>
        <v>Proficient</v>
      </c>
      <c r="F665" s="174" t="str">
        <f>IFERROR(__xludf.DUMMYFUNCTION("""COMPUTED_VALUE"""),"Unlisted")</f>
        <v>Unlisted</v>
      </c>
      <c r="G665" s="174" t="str">
        <f>IFERROR(__xludf.DUMMYFUNCTION("""COMPUTED_VALUE"""),"Inept")</f>
        <v>Inept</v>
      </c>
      <c r="H665" s="174" t="str">
        <f>IFERROR(__xludf.DUMMYFUNCTION("""COMPUTED_VALUE"""),"Unlisted")</f>
        <v>Unlisted</v>
      </c>
      <c r="I665" s="174" t="str">
        <f>IFERROR(__xludf.DUMMYFUNCTION("""COMPUTED_VALUE"""),"Unlisted")</f>
        <v>Unlisted</v>
      </c>
      <c r="J665" s="174" t="str">
        <f>IFERROR(__xludf.DUMMYFUNCTION("""COMPUTED_VALUE"""),"Unlisted")</f>
        <v>Unlisted</v>
      </c>
      <c r="K665" s="174" t="str">
        <f>IFERROR(__xludf.DUMMYFUNCTION("""COMPUTED_VALUE"""),"Mastered")</f>
        <v>Mastered</v>
      </c>
      <c r="L665" s="174" t="str">
        <f>IFERROR(__xludf.DUMMYFUNCTION("""COMPUTED_VALUE"""),"Unlisted")</f>
        <v>Unlisted</v>
      </c>
      <c r="M665" s="174" t="str">
        <f>IFERROR(__xludf.DUMMYFUNCTION("""COMPUTED_VALUE"""),"Unlisted")</f>
        <v>Unlisted</v>
      </c>
      <c r="N665" s="174" t="str">
        <f>IFERROR(__xludf.DUMMYFUNCTION("""COMPUTED_VALUE"""),"Unlisted")</f>
        <v>Unlisted</v>
      </c>
      <c r="O665" s="174" t="str">
        <f>IFERROR(__xludf.DUMMYFUNCTION("""COMPUTED_VALUE"""),"Unlisted")</f>
        <v>Unlisted</v>
      </c>
      <c r="P665" s="174" t="str">
        <f>IFERROR(__xludf.DUMMYFUNCTION("""COMPUTED_VALUE"""),"Unlisted")</f>
        <v>Unlisted</v>
      </c>
      <c r="Q665" s="174" t="str">
        <f>IFERROR(__xludf.DUMMYFUNCTION("""COMPUTED_VALUE"""),"Unlisted")</f>
        <v>Unlisted</v>
      </c>
      <c r="R665" s="174" t="str">
        <f>IFERROR(__xludf.DUMMYFUNCTION("""COMPUTED_VALUE"""),"Unlisted")</f>
        <v>Unlisted</v>
      </c>
    </row>
    <row r="666">
      <c r="A666" s="255" t="str">
        <f>IFERROR(__xludf.DUMMYFUNCTION("""COMPUTED_VALUE"""),"Ponyta")</f>
        <v>Ponyta</v>
      </c>
      <c r="B666" s="174" t="str">
        <f>IFERROR(__xludf.DUMMYFUNCTION("""COMPUTED_VALUE"""),"Proficient")</f>
        <v>Proficient</v>
      </c>
      <c r="C666" s="174" t="str">
        <f>IFERROR(__xludf.DUMMYFUNCTION("""COMPUTED_VALUE"""),"Unlisted")</f>
        <v>Unlisted</v>
      </c>
      <c r="D666" s="174" t="str">
        <f>IFERROR(__xludf.DUMMYFUNCTION("""COMPUTED_VALUE"""),"Unlisted")</f>
        <v>Unlisted</v>
      </c>
      <c r="E666" s="174" t="str">
        <f>IFERROR(__xludf.DUMMYFUNCTION("""COMPUTED_VALUE"""),"Unlisted")</f>
        <v>Unlisted</v>
      </c>
      <c r="F666" s="174" t="str">
        <f>IFERROR(__xludf.DUMMYFUNCTION("""COMPUTED_VALUE"""),"Unlisted")</f>
        <v>Unlisted</v>
      </c>
      <c r="G666" s="174" t="str">
        <f>IFERROR(__xludf.DUMMYFUNCTION("""COMPUTED_VALUE"""),"Unlisted")</f>
        <v>Unlisted</v>
      </c>
      <c r="H666" s="174" t="str">
        <f>IFERROR(__xludf.DUMMYFUNCTION("""COMPUTED_VALUE"""),"Unlisted")</f>
        <v>Unlisted</v>
      </c>
      <c r="I666" s="174" t="str">
        <f>IFERROR(__xludf.DUMMYFUNCTION("""COMPUTED_VALUE"""),"Unlisted")</f>
        <v>Unlisted</v>
      </c>
      <c r="J666" s="174" t="str">
        <f>IFERROR(__xludf.DUMMYFUNCTION("""COMPUTED_VALUE"""),"Unlisted")</f>
        <v>Unlisted</v>
      </c>
      <c r="K666" s="174" t="str">
        <f>IFERROR(__xludf.DUMMYFUNCTION("""COMPUTED_VALUE"""),"Unlisted")</f>
        <v>Unlisted</v>
      </c>
      <c r="L666" s="174" t="str">
        <f>IFERROR(__xludf.DUMMYFUNCTION("""COMPUTED_VALUE"""),"Unlisted")</f>
        <v>Unlisted</v>
      </c>
      <c r="M666" s="174" t="str">
        <f>IFERROR(__xludf.DUMMYFUNCTION("""COMPUTED_VALUE"""),"Unlisted")</f>
        <v>Unlisted</v>
      </c>
      <c r="N666" s="174" t="str">
        <f>IFERROR(__xludf.DUMMYFUNCTION("""COMPUTED_VALUE"""),"Unlisted")</f>
        <v>Unlisted</v>
      </c>
      <c r="O666" s="174" t="str">
        <f>IFERROR(__xludf.DUMMYFUNCTION("""COMPUTED_VALUE"""),"Proficient")</f>
        <v>Proficient</v>
      </c>
      <c r="P666" s="174" t="str">
        <f>IFERROR(__xludf.DUMMYFUNCTION("""COMPUTED_VALUE"""),"Unlisted")</f>
        <v>Unlisted</v>
      </c>
      <c r="Q666" s="174" t="str">
        <f>IFERROR(__xludf.DUMMYFUNCTION("""COMPUTED_VALUE"""),"Unlisted")</f>
        <v>Unlisted</v>
      </c>
      <c r="R666" s="174" t="str">
        <f>IFERROR(__xludf.DUMMYFUNCTION("""COMPUTED_VALUE"""),"Unlisted")</f>
        <v>Unlisted</v>
      </c>
    </row>
    <row r="667">
      <c r="A667" s="255" t="str">
        <f>IFERROR(__xludf.DUMMYFUNCTION("""COMPUTED_VALUE"""),"Rapidash")</f>
        <v>Rapidash</v>
      </c>
      <c r="B667" s="174" t="str">
        <f>IFERROR(__xludf.DUMMYFUNCTION("""COMPUTED_VALUE"""),"Proficient")</f>
        <v>Proficient</v>
      </c>
      <c r="C667" s="174" t="str">
        <f>IFERROR(__xludf.DUMMYFUNCTION("""COMPUTED_VALUE"""),"Proficient")</f>
        <v>Proficient</v>
      </c>
      <c r="D667" s="174" t="str">
        <f>IFERROR(__xludf.DUMMYFUNCTION("""COMPUTED_VALUE"""),"Unlisted")</f>
        <v>Unlisted</v>
      </c>
      <c r="E667" s="174" t="str">
        <f>IFERROR(__xludf.DUMMYFUNCTION("""COMPUTED_VALUE"""),"Unlisted")</f>
        <v>Unlisted</v>
      </c>
      <c r="F667" s="174" t="str">
        <f>IFERROR(__xludf.DUMMYFUNCTION("""COMPUTED_VALUE"""),"Unlisted")</f>
        <v>Unlisted</v>
      </c>
      <c r="G667" s="174" t="str">
        <f>IFERROR(__xludf.DUMMYFUNCTION("""COMPUTED_VALUE"""),"Unlisted")</f>
        <v>Unlisted</v>
      </c>
      <c r="H667" s="174" t="str">
        <f>IFERROR(__xludf.DUMMYFUNCTION("""COMPUTED_VALUE"""),"Unlisted")</f>
        <v>Unlisted</v>
      </c>
      <c r="I667" s="174" t="str">
        <f>IFERROR(__xludf.DUMMYFUNCTION("""COMPUTED_VALUE"""),"Unlisted")</f>
        <v>Unlisted</v>
      </c>
      <c r="J667" s="174" t="str">
        <f>IFERROR(__xludf.DUMMYFUNCTION("""COMPUTED_VALUE"""),"Unlisted")</f>
        <v>Unlisted</v>
      </c>
      <c r="K667" s="174" t="str">
        <f>IFERROR(__xludf.DUMMYFUNCTION("""COMPUTED_VALUE"""),"Unlisted")</f>
        <v>Unlisted</v>
      </c>
      <c r="L667" s="174" t="str">
        <f>IFERROR(__xludf.DUMMYFUNCTION("""COMPUTED_VALUE"""),"Unlisted")</f>
        <v>Unlisted</v>
      </c>
      <c r="M667" s="174" t="str">
        <f>IFERROR(__xludf.DUMMYFUNCTION("""COMPUTED_VALUE"""),"Unlisted")</f>
        <v>Unlisted</v>
      </c>
      <c r="N667" s="174" t="str">
        <f>IFERROR(__xludf.DUMMYFUNCTION("""COMPUTED_VALUE"""),"Unlisted")</f>
        <v>Unlisted</v>
      </c>
      <c r="O667" s="174" t="str">
        <f>IFERROR(__xludf.DUMMYFUNCTION("""COMPUTED_VALUE"""),"Proficient")</f>
        <v>Proficient</v>
      </c>
      <c r="P667" s="174" t="str">
        <f>IFERROR(__xludf.DUMMYFUNCTION("""COMPUTED_VALUE"""),"Unlisted")</f>
        <v>Unlisted</v>
      </c>
      <c r="Q667" s="174" t="str">
        <f>IFERROR(__xludf.DUMMYFUNCTION("""COMPUTED_VALUE"""),"Unlisted")</f>
        <v>Unlisted</v>
      </c>
      <c r="R667" s="174" t="str">
        <f>IFERROR(__xludf.DUMMYFUNCTION("""COMPUTED_VALUE"""),"Unlisted")</f>
        <v>Unlisted</v>
      </c>
    </row>
    <row r="668">
      <c r="A668" s="255" t="str">
        <f>IFERROR(__xludf.DUMMYFUNCTION("""COMPUTED_VALUE"""),"Slugma")</f>
        <v>Slugma</v>
      </c>
      <c r="B668" s="174" t="str">
        <f>IFERROR(__xludf.DUMMYFUNCTION("""COMPUTED_VALUE"""),"Inept")</f>
        <v>Inept</v>
      </c>
      <c r="C668" s="174" t="str">
        <f>IFERROR(__xludf.DUMMYFUNCTION("""COMPUTED_VALUE"""),"Unlisted")</f>
        <v>Unlisted</v>
      </c>
      <c r="D668" s="174" t="str">
        <f>IFERROR(__xludf.DUMMYFUNCTION("""COMPUTED_VALUE"""),"Unlisted")</f>
        <v>Unlisted</v>
      </c>
      <c r="E668" s="174" t="str">
        <f>IFERROR(__xludf.DUMMYFUNCTION("""COMPUTED_VALUE"""),"Unlisted")</f>
        <v>Unlisted</v>
      </c>
      <c r="F668" s="174" t="str">
        <f>IFERROR(__xludf.DUMMYFUNCTION("""COMPUTED_VALUE"""),"Unlisted")</f>
        <v>Unlisted</v>
      </c>
      <c r="G668" s="174" t="str">
        <f>IFERROR(__xludf.DUMMYFUNCTION("""COMPUTED_VALUE"""),"Proficient")</f>
        <v>Proficient</v>
      </c>
      <c r="H668" s="174" t="str">
        <f>IFERROR(__xludf.DUMMYFUNCTION("""COMPUTED_VALUE"""),"Unlisted")</f>
        <v>Unlisted</v>
      </c>
      <c r="I668" s="174" t="str">
        <f>IFERROR(__xludf.DUMMYFUNCTION("""COMPUTED_VALUE"""),"Unlisted")</f>
        <v>Unlisted</v>
      </c>
      <c r="J668" s="174" t="str">
        <f>IFERROR(__xludf.DUMMYFUNCTION("""COMPUTED_VALUE"""),"Unlisted")</f>
        <v>Unlisted</v>
      </c>
      <c r="K668" s="174" t="str">
        <f>IFERROR(__xludf.DUMMYFUNCTION("""COMPUTED_VALUE"""),"Proficient")</f>
        <v>Proficient</v>
      </c>
      <c r="L668" s="174" t="str">
        <f>IFERROR(__xludf.DUMMYFUNCTION("""COMPUTED_VALUE"""),"Unlisted")</f>
        <v>Unlisted</v>
      </c>
      <c r="M668" s="174" t="str">
        <f>IFERROR(__xludf.DUMMYFUNCTION("""COMPUTED_VALUE"""),"Unlisted")</f>
        <v>Unlisted</v>
      </c>
      <c r="N668" s="174" t="str">
        <f>IFERROR(__xludf.DUMMYFUNCTION("""COMPUTED_VALUE"""),"Unlisted")</f>
        <v>Unlisted</v>
      </c>
      <c r="O668" s="174" t="str">
        <f>IFERROR(__xludf.DUMMYFUNCTION("""COMPUTED_VALUE"""),"Unlisted")</f>
        <v>Unlisted</v>
      </c>
      <c r="P668" s="174" t="str">
        <f>IFERROR(__xludf.DUMMYFUNCTION("""COMPUTED_VALUE"""),"Unlisted")</f>
        <v>Unlisted</v>
      </c>
      <c r="Q668" s="174" t="str">
        <f>IFERROR(__xludf.DUMMYFUNCTION("""COMPUTED_VALUE"""),"Unlisted")</f>
        <v>Unlisted</v>
      </c>
      <c r="R668" s="174" t="str">
        <f>IFERROR(__xludf.DUMMYFUNCTION("""COMPUTED_VALUE"""),"Unlisted")</f>
        <v>Unlisted</v>
      </c>
    </row>
    <row r="669">
      <c r="A669" s="255" t="str">
        <f>IFERROR(__xludf.DUMMYFUNCTION("""COMPUTED_VALUE"""),"Magcargo")</f>
        <v>Magcargo</v>
      </c>
      <c r="B669" s="174" t="str">
        <f>IFERROR(__xludf.DUMMYFUNCTION("""COMPUTED_VALUE"""),"Inept")</f>
        <v>Inept</v>
      </c>
      <c r="C669" s="174" t="str">
        <f>IFERROR(__xludf.DUMMYFUNCTION("""COMPUTED_VALUE"""),"Unlisted")</f>
        <v>Unlisted</v>
      </c>
      <c r="D669" s="174" t="str">
        <f>IFERROR(__xludf.DUMMYFUNCTION("""COMPUTED_VALUE"""),"Unlisted")</f>
        <v>Unlisted</v>
      </c>
      <c r="E669" s="174" t="str">
        <f>IFERROR(__xludf.DUMMYFUNCTION("""COMPUTED_VALUE"""),"Unlisted")</f>
        <v>Unlisted</v>
      </c>
      <c r="F669" s="174" t="str">
        <f>IFERROR(__xludf.DUMMYFUNCTION("""COMPUTED_VALUE"""),"Unlisted")</f>
        <v>Unlisted</v>
      </c>
      <c r="G669" s="174" t="str">
        <f>IFERROR(__xludf.DUMMYFUNCTION("""COMPUTED_VALUE"""),"Proficient")</f>
        <v>Proficient</v>
      </c>
      <c r="H669" s="174" t="str">
        <f>IFERROR(__xludf.DUMMYFUNCTION("""COMPUTED_VALUE"""),"Unlisted")</f>
        <v>Unlisted</v>
      </c>
      <c r="I669" s="174" t="str">
        <f>IFERROR(__xludf.DUMMYFUNCTION("""COMPUTED_VALUE"""),"Unlisted")</f>
        <v>Unlisted</v>
      </c>
      <c r="J669" s="174" t="str">
        <f>IFERROR(__xludf.DUMMYFUNCTION("""COMPUTED_VALUE"""),"Unlisted")</f>
        <v>Unlisted</v>
      </c>
      <c r="K669" s="174" t="str">
        <f>IFERROR(__xludf.DUMMYFUNCTION("""COMPUTED_VALUE"""),"Proficient")</f>
        <v>Proficient</v>
      </c>
      <c r="L669" s="174" t="str">
        <f>IFERROR(__xludf.DUMMYFUNCTION("""COMPUTED_VALUE"""),"Unlisted")</f>
        <v>Unlisted</v>
      </c>
      <c r="M669" s="174" t="str">
        <f>IFERROR(__xludf.DUMMYFUNCTION("""COMPUTED_VALUE"""),"Unlisted")</f>
        <v>Unlisted</v>
      </c>
      <c r="N669" s="174" t="str">
        <f>IFERROR(__xludf.DUMMYFUNCTION("""COMPUTED_VALUE"""),"Unlisted")</f>
        <v>Unlisted</v>
      </c>
      <c r="O669" s="174" t="str">
        <f>IFERROR(__xludf.DUMMYFUNCTION("""COMPUTED_VALUE"""),"Unlisted")</f>
        <v>Unlisted</v>
      </c>
      <c r="P669" s="174" t="str">
        <f>IFERROR(__xludf.DUMMYFUNCTION("""COMPUTED_VALUE"""),"Unlisted")</f>
        <v>Unlisted</v>
      </c>
      <c r="Q669" s="174" t="str">
        <f>IFERROR(__xludf.DUMMYFUNCTION("""COMPUTED_VALUE"""),"Unlisted")</f>
        <v>Unlisted</v>
      </c>
      <c r="R669" s="174" t="str">
        <f>IFERROR(__xludf.DUMMYFUNCTION("""COMPUTED_VALUE"""),"Unlisted")</f>
        <v>Unlisted</v>
      </c>
    </row>
    <row r="670">
      <c r="A670" s="255" t="str">
        <f>IFERROR(__xludf.DUMMYFUNCTION("""COMPUTED_VALUE"""),"Numel")</f>
        <v>Numel</v>
      </c>
      <c r="B670" s="174" t="str">
        <f>IFERROR(__xludf.DUMMYFUNCTION("""COMPUTED_VALUE"""),"Unlisted")</f>
        <v>Unlisted</v>
      </c>
      <c r="C670" s="174" t="str">
        <f>IFERROR(__xludf.DUMMYFUNCTION("""COMPUTED_VALUE"""),"Proficient")</f>
        <v>Proficient</v>
      </c>
      <c r="D670" s="174" t="str">
        <f>IFERROR(__xludf.DUMMYFUNCTION("""COMPUTED_VALUE"""),"Unlisted")</f>
        <v>Unlisted</v>
      </c>
      <c r="E670" s="174" t="str">
        <f>IFERROR(__xludf.DUMMYFUNCTION("""COMPUTED_VALUE"""),"Unlisted")</f>
        <v>Unlisted</v>
      </c>
      <c r="F670" s="174" t="str">
        <f>IFERROR(__xludf.DUMMYFUNCTION("""COMPUTED_VALUE"""),"Unlisted")</f>
        <v>Unlisted</v>
      </c>
      <c r="G670" s="174" t="str">
        <f>IFERROR(__xludf.DUMMYFUNCTION("""COMPUTED_VALUE"""),"Proficient")</f>
        <v>Proficient</v>
      </c>
      <c r="H670" s="174" t="str">
        <f>IFERROR(__xludf.DUMMYFUNCTION("""COMPUTED_VALUE"""),"Unlisted")</f>
        <v>Unlisted</v>
      </c>
      <c r="I670" s="174" t="str">
        <f>IFERROR(__xludf.DUMMYFUNCTION("""COMPUTED_VALUE"""),"Unlisted")</f>
        <v>Unlisted</v>
      </c>
      <c r="J670" s="174" t="str">
        <f>IFERROR(__xludf.DUMMYFUNCTION("""COMPUTED_VALUE"""),"Unlisted")</f>
        <v>Unlisted</v>
      </c>
      <c r="K670" s="174" t="str">
        <f>IFERROR(__xludf.DUMMYFUNCTION("""COMPUTED_VALUE"""),"Unlisted")</f>
        <v>Unlisted</v>
      </c>
      <c r="L670" s="174" t="str">
        <f>IFERROR(__xludf.DUMMYFUNCTION("""COMPUTED_VALUE"""),"Unlisted")</f>
        <v>Unlisted</v>
      </c>
      <c r="M670" s="174" t="str">
        <f>IFERROR(__xludf.DUMMYFUNCTION("""COMPUTED_VALUE"""),"Unlisted")</f>
        <v>Unlisted</v>
      </c>
      <c r="N670" s="174" t="str">
        <f>IFERROR(__xludf.DUMMYFUNCTION("""COMPUTED_VALUE"""),"Unlisted")</f>
        <v>Unlisted</v>
      </c>
      <c r="O670" s="174" t="str">
        <f>IFERROR(__xludf.DUMMYFUNCTION("""COMPUTED_VALUE"""),"Unlisted")</f>
        <v>Unlisted</v>
      </c>
      <c r="P670" s="174" t="str">
        <f>IFERROR(__xludf.DUMMYFUNCTION("""COMPUTED_VALUE"""),"Unlisted")</f>
        <v>Unlisted</v>
      </c>
      <c r="Q670" s="174" t="str">
        <f>IFERROR(__xludf.DUMMYFUNCTION("""COMPUTED_VALUE"""),"Unlisted")</f>
        <v>Unlisted</v>
      </c>
      <c r="R670" s="174" t="str">
        <f>IFERROR(__xludf.DUMMYFUNCTION("""COMPUTED_VALUE"""),"Unlisted")</f>
        <v>Unlisted</v>
      </c>
    </row>
    <row r="671">
      <c r="A671" s="255" t="str">
        <f>IFERROR(__xludf.DUMMYFUNCTION("""COMPUTED_VALUE"""),"Camerupt")</f>
        <v>Camerupt</v>
      </c>
      <c r="B671" s="174" t="str">
        <f>IFERROR(__xludf.DUMMYFUNCTION("""COMPUTED_VALUE"""),"Unlisted")</f>
        <v>Unlisted</v>
      </c>
      <c r="C671" s="174" t="str">
        <f>IFERROR(__xludf.DUMMYFUNCTION("""COMPUTED_VALUE"""),"Proficient")</f>
        <v>Proficient</v>
      </c>
      <c r="D671" s="174" t="str">
        <f>IFERROR(__xludf.DUMMYFUNCTION("""COMPUTED_VALUE"""),"Unlisted")</f>
        <v>Unlisted</v>
      </c>
      <c r="E671" s="174" t="str">
        <f>IFERROR(__xludf.DUMMYFUNCTION("""COMPUTED_VALUE"""),"Unlisted")</f>
        <v>Unlisted</v>
      </c>
      <c r="F671" s="174" t="str">
        <f>IFERROR(__xludf.DUMMYFUNCTION("""COMPUTED_VALUE"""),"Unlisted")</f>
        <v>Unlisted</v>
      </c>
      <c r="G671" s="174" t="str">
        <f>IFERROR(__xludf.DUMMYFUNCTION("""COMPUTED_VALUE"""),"Proficient")</f>
        <v>Proficient</v>
      </c>
      <c r="H671" s="174" t="str">
        <f>IFERROR(__xludf.DUMMYFUNCTION("""COMPUTED_VALUE"""),"Unlisted")</f>
        <v>Unlisted</v>
      </c>
      <c r="I671" s="174" t="str">
        <f>IFERROR(__xludf.DUMMYFUNCTION("""COMPUTED_VALUE"""),"Unlisted")</f>
        <v>Unlisted</v>
      </c>
      <c r="J671" s="174" t="str">
        <f>IFERROR(__xludf.DUMMYFUNCTION("""COMPUTED_VALUE"""),"Unlisted")</f>
        <v>Unlisted</v>
      </c>
      <c r="K671" s="174" t="str">
        <f>IFERROR(__xludf.DUMMYFUNCTION("""COMPUTED_VALUE"""),"Unlisted")</f>
        <v>Unlisted</v>
      </c>
      <c r="L671" s="174" t="str">
        <f>IFERROR(__xludf.DUMMYFUNCTION("""COMPUTED_VALUE"""),"Unlisted")</f>
        <v>Unlisted</v>
      </c>
      <c r="M671" s="174" t="str">
        <f>IFERROR(__xludf.DUMMYFUNCTION("""COMPUTED_VALUE"""),"Unlisted")</f>
        <v>Unlisted</v>
      </c>
      <c r="N671" s="174" t="str">
        <f>IFERROR(__xludf.DUMMYFUNCTION("""COMPUTED_VALUE"""),"Unlisted")</f>
        <v>Unlisted</v>
      </c>
      <c r="O671" s="174" t="str">
        <f>IFERROR(__xludf.DUMMYFUNCTION("""COMPUTED_VALUE"""),"Unlisted")</f>
        <v>Unlisted</v>
      </c>
      <c r="P671" s="174" t="str">
        <f>IFERROR(__xludf.DUMMYFUNCTION("""COMPUTED_VALUE"""),"Unlisted")</f>
        <v>Unlisted</v>
      </c>
      <c r="Q671" s="174" t="str">
        <f>IFERROR(__xludf.DUMMYFUNCTION("""COMPUTED_VALUE"""),"Unlisted")</f>
        <v>Unlisted</v>
      </c>
      <c r="R671" s="174" t="str">
        <f>IFERROR(__xludf.DUMMYFUNCTION("""COMPUTED_VALUE"""),"Unlisted")</f>
        <v>Unlisted</v>
      </c>
    </row>
    <row r="672">
      <c r="A672" s="255" t="str">
        <f>IFERROR(__xludf.DUMMYFUNCTION("""COMPUTED_VALUE"""),"Pansear")</f>
        <v>Pansear</v>
      </c>
      <c r="B672" s="174" t="str">
        <f>IFERROR(__xludf.DUMMYFUNCTION("""COMPUTED_VALUE"""),"Mastered")</f>
        <v>Mastered</v>
      </c>
      <c r="C672" s="174" t="str">
        <f>IFERROR(__xludf.DUMMYFUNCTION("""COMPUTED_VALUE"""),"Unlisted")</f>
        <v>Unlisted</v>
      </c>
      <c r="D672" s="174" t="str">
        <f>IFERROR(__xludf.DUMMYFUNCTION("""COMPUTED_VALUE"""),"Unlisted")</f>
        <v>Unlisted</v>
      </c>
      <c r="E672" s="174" t="str">
        <f>IFERROR(__xludf.DUMMYFUNCTION("""COMPUTED_VALUE"""),"Unlisted")</f>
        <v>Unlisted</v>
      </c>
      <c r="F672" s="174" t="str">
        <f>IFERROR(__xludf.DUMMYFUNCTION("""COMPUTED_VALUE"""),"Unlisted")</f>
        <v>Unlisted</v>
      </c>
      <c r="G672" s="174" t="str">
        <f>IFERROR(__xludf.DUMMYFUNCTION("""COMPUTED_VALUE"""),"Proficient")</f>
        <v>Proficient</v>
      </c>
      <c r="H672" s="174" t="str">
        <f>IFERROR(__xludf.DUMMYFUNCTION("""COMPUTED_VALUE"""),"Unlisted")</f>
        <v>Unlisted</v>
      </c>
      <c r="I672" s="174" t="str">
        <f>IFERROR(__xludf.DUMMYFUNCTION("""COMPUTED_VALUE"""),"Unlisted")</f>
        <v>Unlisted</v>
      </c>
      <c r="J672" s="174" t="str">
        <f>IFERROR(__xludf.DUMMYFUNCTION("""COMPUTED_VALUE"""),"Unlisted")</f>
        <v>Unlisted</v>
      </c>
      <c r="K672" s="174" t="str">
        <f>IFERROR(__xludf.DUMMYFUNCTION("""COMPUTED_VALUE"""),"Proficient")</f>
        <v>Proficient</v>
      </c>
      <c r="L672" s="174" t="str">
        <f>IFERROR(__xludf.DUMMYFUNCTION("""COMPUTED_VALUE"""),"Unlisted")</f>
        <v>Unlisted</v>
      </c>
      <c r="M672" s="174" t="str">
        <f>IFERROR(__xludf.DUMMYFUNCTION("""COMPUTED_VALUE"""),"Unlisted")</f>
        <v>Unlisted</v>
      </c>
      <c r="N672" s="174" t="str">
        <f>IFERROR(__xludf.DUMMYFUNCTION("""COMPUTED_VALUE"""),"Unlisted")</f>
        <v>Unlisted</v>
      </c>
      <c r="O672" s="174" t="str">
        <f>IFERROR(__xludf.DUMMYFUNCTION("""COMPUTED_VALUE"""),"Unlisted")</f>
        <v>Unlisted</v>
      </c>
      <c r="P672" s="174" t="str">
        <f>IFERROR(__xludf.DUMMYFUNCTION("""COMPUTED_VALUE"""),"Unlisted")</f>
        <v>Unlisted</v>
      </c>
      <c r="Q672" s="174" t="str">
        <f>IFERROR(__xludf.DUMMYFUNCTION("""COMPUTED_VALUE"""),"Unlisted")</f>
        <v>Unlisted</v>
      </c>
      <c r="R672" s="174" t="str">
        <f>IFERROR(__xludf.DUMMYFUNCTION("""COMPUTED_VALUE"""),"Unlisted")</f>
        <v>Unlisted</v>
      </c>
    </row>
    <row r="673">
      <c r="A673" s="255" t="str">
        <f>IFERROR(__xludf.DUMMYFUNCTION("""COMPUTED_VALUE"""),"Simisear")</f>
        <v>Simisear</v>
      </c>
      <c r="B673" s="174" t="str">
        <f>IFERROR(__xludf.DUMMYFUNCTION("""COMPUTED_VALUE"""),"Mastered")</f>
        <v>Mastered</v>
      </c>
      <c r="C673" s="174" t="str">
        <f>IFERROR(__xludf.DUMMYFUNCTION("""COMPUTED_VALUE"""),"Unlisted")</f>
        <v>Unlisted</v>
      </c>
      <c r="D673" s="174" t="str">
        <f>IFERROR(__xludf.DUMMYFUNCTION("""COMPUTED_VALUE"""),"Unlisted")</f>
        <v>Unlisted</v>
      </c>
      <c r="E673" s="174" t="str">
        <f>IFERROR(__xludf.DUMMYFUNCTION("""COMPUTED_VALUE"""),"Unlisted")</f>
        <v>Unlisted</v>
      </c>
      <c r="F673" s="174" t="str">
        <f>IFERROR(__xludf.DUMMYFUNCTION("""COMPUTED_VALUE"""),"Unlisted")</f>
        <v>Unlisted</v>
      </c>
      <c r="G673" s="174" t="str">
        <f>IFERROR(__xludf.DUMMYFUNCTION("""COMPUTED_VALUE"""),"Proficient")</f>
        <v>Proficient</v>
      </c>
      <c r="H673" s="174" t="str">
        <f>IFERROR(__xludf.DUMMYFUNCTION("""COMPUTED_VALUE"""),"Unlisted")</f>
        <v>Unlisted</v>
      </c>
      <c r="I673" s="174" t="str">
        <f>IFERROR(__xludf.DUMMYFUNCTION("""COMPUTED_VALUE"""),"Unlisted")</f>
        <v>Unlisted</v>
      </c>
      <c r="J673" s="174" t="str">
        <f>IFERROR(__xludf.DUMMYFUNCTION("""COMPUTED_VALUE"""),"Unlisted")</f>
        <v>Unlisted</v>
      </c>
      <c r="K673" s="174" t="str">
        <f>IFERROR(__xludf.DUMMYFUNCTION("""COMPUTED_VALUE"""),"Proficient")</f>
        <v>Proficient</v>
      </c>
      <c r="L673" s="174" t="str">
        <f>IFERROR(__xludf.DUMMYFUNCTION("""COMPUTED_VALUE"""),"Unlisted")</f>
        <v>Unlisted</v>
      </c>
      <c r="M673" s="174" t="str">
        <f>IFERROR(__xludf.DUMMYFUNCTION("""COMPUTED_VALUE"""),"Unlisted")</f>
        <v>Unlisted</v>
      </c>
      <c r="N673" s="174" t="str">
        <f>IFERROR(__xludf.DUMMYFUNCTION("""COMPUTED_VALUE"""),"Unlisted")</f>
        <v>Unlisted</v>
      </c>
      <c r="O673" s="174" t="str">
        <f>IFERROR(__xludf.DUMMYFUNCTION("""COMPUTED_VALUE"""),"Unlisted")</f>
        <v>Unlisted</v>
      </c>
      <c r="P673" s="174" t="str">
        <f>IFERROR(__xludf.DUMMYFUNCTION("""COMPUTED_VALUE"""),"Unlisted")</f>
        <v>Unlisted</v>
      </c>
      <c r="Q673" s="174" t="str">
        <f>IFERROR(__xludf.DUMMYFUNCTION("""COMPUTED_VALUE"""),"Unlisted")</f>
        <v>Unlisted</v>
      </c>
      <c r="R673" s="174" t="str">
        <f>IFERROR(__xludf.DUMMYFUNCTION("""COMPUTED_VALUE"""),"Unlisted")</f>
        <v>Unlisted</v>
      </c>
    </row>
    <row r="674">
      <c r="A674" s="255" t="str">
        <f>IFERROR(__xludf.DUMMYFUNCTION("""COMPUTED_VALUE"""),"Darumaka")</f>
        <v>Darumaka</v>
      </c>
      <c r="B674" s="174" t="str">
        <f>IFERROR(__xludf.DUMMYFUNCTION("""COMPUTED_VALUE"""),"Unlisted")</f>
        <v>Unlisted</v>
      </c>
      <c r="C674" s="174" t="str">
        <f>IFERROR(__xludf.DUMMYFUNCTION("""COMPUTED_VALUE"""),"Mastered")</f>
        <v>Mastered</v>
      </c>
      <c r="D674" s="174" t="str">
        <f>IFERROR(__xludf.DUMMYFUNCTION("""COMPUTED_VALUE"""),"Unlisted")</f>
        <v>Unlisted</v>
      </c>
      <c r="E674" s="174" t="str">
        <f>IFERROR(__xludf.DUMMYFUNCTION("""COMPUTED_VALUE"""),"Proficient")</f>
        <v>Proficient</v>
      </c>
      <c r="F674" s="174" t="str">
        <f>IFERROR(__xludf.DUMMYFUNCTION("""COMPUTED_VALUE"""),"Unlisted")</f>
        <v>Unlisted</v>
      </c>
      <c r="G674" s="174" t="str">
        <f>IFERROR(__xludf.DUMMYFUNCTION("""COMPUTED_VALUE"""),"Proficient")</f>
        <v>Proficient</v>
      </c>
      <c r="H674" s="174" t="str">
        <f>IFERROR(__xludf.DUMMYFUNCTION("""COMPUTED_VALUE"""),"Unlisted")</f>
        <v>Unlisted</v>
      </c>
      <c r="I674" s="174" t="str">
        <f>IFERROR(__xludf.DUMMYFUNCTION("""COMPUTED_VALUE"""),"Unlisted")</f>
        <v>Unlisted</v>
      </c>
      <c r="J674" s="174" t="str">
        <f>IFERROR(__xludf.DUMMYFUNCTION("""COMPUTED_VALUE"""),"Unlisted")</f>
        <v>Unlisted</v>
      </c>
      <c r="K674" s="174" t="str">
        <f>IFERROR(__xludf.DUMMYFUNCTION("""COMPUTED_VALUE"""),"Unlisted")</f>
        <v>Unlisted</v>
      </c>
      <c r="L674" s="174" t="str">
        <f>IFERROR(__xludf.DUMMYFUNCTION("""COMPUTED_VALUE"""),"Unlisted")</f>
        <v>Unlisted</v>
      </c>
      <c r="M674" s="174" t="str">
        <f>IFERROR(__xludf.DUMMYFUNCTION("""COMPUTED_VALUE"""),"Unlisted")</f>
        <v>Unlisted</v>
      </c>
      <c r="N674" s="174" t="str">
        <f>IFERROR(__xludf.DUMMYFUNCTION("""COMPUTED_VALUE"""),"Unlisted")</f>
        <v>Unlisted</v>
      </c>
      <c r="O674" s="174" t="str">
        <f>IFERROR(__xludf.DUMMYFUNCTION("""COMPUTED_VALUE"""),"Unlisted")</f>
        <v>Unlisted</v>
      </c>
      <c r="P674" s="174" t="str">
        <f>IFERROR(__xludf.DUMMYFUNCTION("""COMPUTED_VALUE"""),"Unlisted")</f>
        <v>Unlisted</v>
      </c>
      <c r="Q674" s="174" t="str">
        <f>IFERROR(__xludf.DUMMYFUNCTION("""COMPUTED_VALUE"""),"Unlisted")</f>
        <v>Unlisted</v>
      </c>
      <c r="R674" s="174" t="str">
        <f>IFERROR(__xludf.DUMMYFUNCTION("""COMPUTED_VALUE"""),"Unlisted")</f>
        <v>Unlisted</v>
      </c>
    </row>
    <row r="675">
      <c r="A675" s="255" t="str">
        <f>IFERROR(__xludf.DUMMYFUNCTION("""COMPUTED_VALUE"""),"Darmanitan")</f>
        <v>Darmanitan</v>
      </c>
      <c r="B675" s="174" t="str">
        <f>IFERROR(__xludf.DUMMYFUNCTION("""COMPUTED_VALUE"""),"Unlisted")</f>
        <v>Unlisted</v>
      </c>
      <c r="C675" s="174" t="str">
        <f>IFERROR(__xludf.DUMMYFUNCTION("""COMPUTED_VALUE"""),"Mastered")</f>
        <v>Mastered</v>
      </c>
      <c r="D675" s="174" t="str">
        <f>IFERROR(__xludf.DUMMYFUNCTION("""COMPUTED_VALUE"""),"Unlisted")</f>
        <v>Unlisted</v>
      </c>
      <c r="E675" s="174" t="str">
        <f>IFERROR(__xludf.DUMMYFUNCTION("""COMPUTED_VALUE"""),"Proficient")</f>
        <v>Proficient</v>
      </c>
      <c r="F675" s="174" t="str">
        <f>IFERROR(__xludf.DUMMYFUNCTION("""COMPUTED_VALUE"""),"Unlisted")</f>
        <v>Unlisted</v>
      </c>
      <c r="G675" s="174" t="str">
        <f>IFERROR(__xludf.DUMMYFUNCTION("""COMPUTED_VALUE"""),"Proficient")</f>
        <v>Proficient</v>
      </c>
      <c r="H675" s="174" t="str">
        <f>IFERROR(__xludf.DUMMYFUNCTION("""COMPUTED_VALUE"""),"Unlisted")</f>
        <v>Unlisted</v>
      </c>
      <c r="I675" s="174" t="str">
        <f>IFERROR(__xludf.DUMMYFUNCTION("""COMPUTED_VALUE"""),"Unlisted")</f>
        <v>Unlisted</v>
      </c>
      <c r="J675" s="174" t="str">
        <f>IFERROR(__xludf.DUMMYFUNCTION("""COMPUTED_VALUE"""),"Unlisted")</f>
        <v>Unlisted</v>
      </c>
      <c r="K675" s="174" t="str">
        <f>IFERROR(__xludf.DUMMYFUNCTION("""COMPUTED_VALUE"""),"Unlisted")</f>
        <v>Unlisted</v>
      </c>
      <c r="L675" s="174" t="str">
        <f>IFERROR(__xludf.DUMMYFUNCTION("""COMPUTED_VALUE"""),"Unlisted")</f>
        <v>Unlisted</v>
      </c>
      <c r="M675" s="174" t="str">
        <f>IFERROR(__xludf.DUMMYFUNCTION("""COMPUTED_VALUE"""),"Unlisted")</f>
        <v>Unlisted</v>
      </c>
      <c r="N675" s="174" t="str">
        <f>IFERROR(__xludf.DUMMYFUNCTION("""COMPUTED_VALUE"""),"Unlisted")</f>
        <v>Unlisted</v>
      </c>
      <c r="O675" s="174" t="str">
        <f>IFERROR(__xludf.DUMMYFUNCTION("""COMPUTED_VALUE"""),"Unlisted")</f>
        <v>Unlisted</v>
      </c>
      <c r="P675" s="174" t="str">
        <f>IFERROR(__xludf.DUMMYFUNCTION("""COMPUTED_VALUE"""),"Unlisted")</f>
        <v>Unlisted</v>
      </c>
      <c r="Q675" s="174" t="str">
        <f>IFERROR(__xludf.DUMMYFUNCTION("""COMPUTED_VALUE"""),"Unlisted")</f>
        <v>Unlisted</v>
      </c>
      <c r="R675" s="174" t="str">
        <f>IFERROR(__xludf.DUMMYFUNCTION("""COMPUTED_VALUE"""),"Unlisted")</f>
        <v>Unlisted</v>
      </c>
    </row>
    <row r="676">
      <c r="A676" s="255" t="str">
        <f>IFERROR(__xludf.DUMMYFUNCTION("""COMPUTED_VALUE"""),"Darmanitan Zen")</f>
        <v>Darmanitan Zen</v>
      </c>
      <c r="B676" s="174" t="str">
        <f>IFERROR(__xludf.DUMMYFUNCTION("""COMPUTED_VALUE"""),"Unlisted")</f>
        <v>Unlisted</v>
      </c>
      <c r="C676" s="174" t="str">
        <f>IFERROR(__xludf.DUMMYFUNCTION("""COMPUTED_VALUE"""),"Mastered")</f>
        <v>Mastered</v>
      </c>
      <c r="D676" s="174" t="str">
        <f>IFERROR(__xludf.DUMMYFUNCTION("""COMPUTED_VALUE"""),"Unlisted")</f>
        <v>Unlisted</v>
      </c>
      <c r="E676" s="174" t="str">
        <f>IFERROR(__xludf.DUMMYFUNCTION("""COMPUTED_VALUE"""),"Proficient")</f>
        <v>Proficient</v>
      </c>
      <c r="F676" s="174" t="str">
        <f>IFERROR(__xludf.DUMMYFUNCTION("""COMPUTED_VALUE"""),"Unlisted")</f>
        <v>Unlisted</v>
      </c>
      <c r="G676" s="174" t="str">
        <f>IFERROR(__xludf.DUMMYFUNCTION("""COMPUTED_VALUE"""),"Proficient")</f>
        <v>Proficient</v>
      </c>
      <c r="H676" s="174" t="str">
        <f>IFERROR(__xludf.DUMMYFUNCTION("""COMPUTED_VALUE"""),"Unlisted")</f>
        <v>Unlisted</v>
      </c>
      <c r="I676" s="174" t="str">
        <f>IFERROR(__xludf.DUMMYFUNCTION("""COMPUTED_VALUE"""),"Unlisted")</f>
        <v>Unlisted</v>
      </c>
      <c r="J676" s="174" t="str">
        <f>IFERROR(__xludf.DUMMYFUNCTION("""COMPUTED_VALUE"""),"Unlisted")</f>
        <v>Unlisted</v>
      </c>
      <c r="K676" s="174" t="str">
        <f>IFERROR(__xludf.DUMMYFUNCTION("""COMPUTED_VALUE"""),"Unlisted")</f>
        <v>Unlisted</v>
      </c>
      <c r="L676" s="174" t="str">
        <f>IFERROR(__xludf.DUMMYFUNCTION("""COMPUTED_VALUE"""),"Unlisted")</f>
        <v>Unlisted</v>
      </c>
      <c r="M676" s="174" t="str">
        <f>IFERROR(__xludf.DUMMYFUNCTION("""COMPUTED_VALUE"""),"Unlisted")</f>
        <v>Unlisted</v>
      </c>
      <c r="N676" s="174" t="str">
        <f>IFERROR(__xludf.DUMMYFUNCTION("""COMPUTED_VALUE"""),"Unlisted")</f>
        <v>Unlisted</v>
      </c>
      <c r="O676" s="174" t="str">
        <f>IFERROR(__xludf.DUMMYFUNCTION("""COMPUTED_VALUE"""),"Unlisted")</f>
        <v>Unlisted</v>
      </c>
      <c r="P676" s="174" t="str">
        <f>IFERROR(__xludf.DUMMYFUNCTION("""COMPUTED_VALUE"""),"Unlisted")</f>
        <v>Unlisted</v>
      </c>
      <c r="Q676" s="174" t="str">
        <f>IFERROR(__xludf.DUMMYFUNCTION("""COMPUTED_VALUE"""),"Unlisted")</f>
        <v>Unlisted</v>
      </c>
      <c r="R676" s="174" t="str">
        <f>IFERROR(__xludf.DUMMYFUNCTION("""COMPUTED_VALUE"""),"Unlisted")</f>
        <v>Unlisted</v>
      </c>
    </row>
    <row r="677">
      <c r="A677" s="255" t="str">
        <f>IFERROR(__xludf.DUMMYFUNCTION("""COMPUTED_VALUE"""),"Litleo")</f>
        <v>Litleo</v>
      </c>
      <c r="B677" s="174" t="str">
        <f>IFERROR(__xludf.DUMMYFUNCTION("""COMPUTED_VALUE"""),"Unlisted")</f>
        <v>Unlisted</v>
      </c>
      <c r="C677" s="174" t="str">
        <f>IFERROR(__xludf.DUMMYFUNCTION("""COMPUTED_VALUE"""),"Proficient")</f>
        <v>Proficient</v>
      </c>
      <c r="D677" s="174" t="str">
        <f>IFERROR(__xludf.DUMMYFUNCTION("""COMPUTED_VALUE"""),"Unlisted")</f>
        <v>Unlisted</v>
      </c>
      <c r="E677" s="174" t="str">
        <f>IFERROR(__xludf.DUMMYFUNCTION("""COMPUTED_VALUE"""),"Proficient")</f>
        <v>Proficient</v>
      </c>
      <c r="F677" s="174" t="str">
        <f>IFERROR(__xludf.DUMMYFUNCTION("""COMPUTED_VALUE"""),"Unlisted")</f>
        <v>Unlisted</v>
      </c>
      <c r="G677" s="174" t="str">
        <f>IFERROR(__xludf.DUMMYFUNCTION("""COMPUTED_VALUE"""),"Unlisted")</f>
        <v>Unlisted</v>
      </c>
      <c r="H677" s="174" t="str">
        <f>IFERROR(__xludf.DUMMYFUNCTION("""COMPUTED_VALUE"""),"Unlisted")</f>
        <v>Unlisted</v>
      </c>
      <c r="I677" s="174" t="str">
        <f>IFERROR(__xludf.DUMMYFUNCTION("""COMPUTED_VALUE"""),"Unlisted")</f>
        <v>Unlisted</v>
      </c>
      <c r="J677" s="174" t="str">
        <f>IFERROR(__xludf.DUMMYFUNCTION("""COMPUTED_VALUE"""),"Unlisted")</f>
        <v>Unlisted</v>
      </c>
      <c r="K677" s="174" t="str">
        <f>IFERROR(__xludf.DUMMYFUNCTION("""COMPUTED_VALUE"""),"Unlisted")</f>
        <v>Unlisted</v>
      </c>
      <c r="L677" s="174" t="str">
        <f>IFERROR(__xludf.DUMMYFUNCTION("""COMPUTED_VALUE"""),"Unlisted")</f>
        <v>Unlisted</v>
      </c>
      <c r="M677" s="174" t="str">
        <f>IFERROR(__xludf.DUMMYFUNCTION("""COMPUTED_VALUE"""),"Unlisted")</f>
        <v>Unlisted</v>
      </c>
      <c r="N677" s="174" t="str">
        <f>IFERROR(__xludf.DUMMYFUNCTION("""COMPUTED_VALUE"""),"Unlisted")</f>
        <v>Unlisted</v>
      </c>
      <c r="O677" s="174" t="str">
        <f>IFERROR(__xludf.DUMMYFUNCTION("""COMPUTED_VALUE"""),"Unlisted")</f>
        <v>Unlisted</v>
      </c>
      <c r="P677" s="174" t="str">
        <f>IFERROR(__xludf.DUMMYFUNCTION("""COMPUTED_VALUE"""),"Unlisted")</f>
        <v>Unlisted</v>
      </c>
      <c r="Q677" s="174" t="str">
        <f>IFERROR(__xludf.DUMMYFUNCTION("""COMPUTED_VALUE"""),"Unlisted")</f>
        <v>Unlisted</v>
      </c>
      <c r="R677" s="174" t="str">
        <f>IFERROR(__xludf.DUMMYFUNCTION("""COMPUTED_VALUE"""),"Unlisted")</f>
        <v>Unlisted</v>
      </c>
    </row>
    <row r="678">
      <c r="A678" s="255" t="str">
        <f>IFERROR(__xludf.DUMMYFUNCTION("""COMPUTED_VALUE"""),"Pyroar")</f>
        <v>Pyroar</v>
      </c>
      <c r="B678" s="174" t="str">
        <f>IFERROR(__xludf.DUMMYFUNCTION("""COMPUTED_VALUE"""),"Unlisted")</f>
        <v>Unlisted</v>
      </c>
      <c r="C678" s="174" t="str">
        <f>IFERROR(__xludf.DUMMYFUNCTION("""COMPUTED_VALUE"""),"Proficient")</f>
        <v>Proficient</v>
      </c>
      <c r="D678" s="174" t="str">
        <f>IFERROR(__xludf.DUMMYFUNCTION("""COMPUTED_VALUE"""),"Unlisted")</f>
        <v>Unlisted</v>
      </c>
      <c r="E678" s="174" t="str">
        <f>IFERROR(__xludf.DUMMYFUNCTION("""COMPUTED_VALUE"""),"Proficient")</f>
        <v>Proficient</v>
      </c>
      <c r="F678" s="174" t="str">
        <f>IFERROR(__xludf.DUMMYFUNCTION("""COMPUTED_VALUE"""),"Proficient")</f>
        <v>Proficient</v>
      </c>
      <c r="G678" s="174" t="str">
        <f>IFERROR(__xludf.DUMMYFUNCTION("""COMPUTED_VALUE"""),"Unlisted")</f>
        <v>Unlisted</v>
      </c>
      <c r="H678" s="174" t="str">
        <f>IFERROR(__xludf.DUMMYFUNCTION("""COMPUTED_VALUE"""),"Unlisted")</f>
        <v>Unlisted</v>
      </c>
      <c r="I678" s="174" t="str">
        <f>IFERROR(__xludf.DUMMYFUNCTION("""COMPUTED_VALUE"""),"Unlisted")</f>
        <v>Unlisted</v>
      </c>
      <c r="J678" s="174" t="str">
        <f>IFERROR(__xludf.DUMMYFUNCTION("""COMPUTED_VALUE"""),"Unlisted")</f>
        <v>Unlisted</v>
      </c>
      <c r="K678" s="174" t="str">
        <f>IFERROR(__xludf.DUMMYFUNCTION("""COMPUTED_VALUE"""),"Unlisted")</f>
        <v>Unlisted</v>
      </c>
      <c r="L678" s="174" t="str">
        <f>IFERROR(__xludf.DUMMYFUNCTION("""COMPUTED_VALUE"""),"Unlisted")</f>
        <v>Unlisted</v>
      </c>
      <c r="M678" s="174" t="str">
        <f>IFERROR(__xludf.DUMMYFUNCTION("""COMPUTED_VALUE"""),"Unlisted")</f>
        <v>Unlisted</v>
      </c>
      <c r="N678" s="174" t="str">
        <f>IFERROR(__xludf.DUMMYFUNCTION("""COMPUTED_VALUE"""),"Unlisted")</f>
        <v>Unlisted</v>
      </c>
      <c r="O678" s="174" t="str">
        <f>IFERROR(__xludf.DUMMYFUNCTION("""COMPUTED_VALUE"""),"Unlisted")</f>
        <v>Unlisted</v>
      </c>
      <c r="P678" s="174" t="str">
        <f>IFERROR(__xludf.DUMMYFUNCTION("""COMPUTED_VALUE"""),"Unlisted")</f>
        <v>Unlisted</v>
      </c>
      <c r="Q678" s="174" t="str">
        <f>IFERROR(__xludf.DUMMYFUNCTION("""COMPUTED_VALUE"""),"Unlisted")</f>
        <v>Unlisted</v>
      </c>
      <c r="R678" s="174" t="str">
        <f>IFERROR(__xludf.DUMMYFUNCTION("""COMPUTED_VALUE"""),"Unlisted")</f>
        <v>Unlisted</v>
      </c>
    </row>
    <row r="679">
      <c r="A679" s="255" t="str">
        <f>IFERROR(__xludf.DUMMYFUNCTION("""COMPUTED_VALUE"""),"Sizzlipede")</f>
        <v>Sizzlipede</v>
      </c>
      <c r="B679" s="174" t="str">
        <f>IFERROR(__xludf.DUMMYFUNCTION("""COMPUTED_VALUE"""),"Proficient")</f>
        <v>Proficient</v>
      </c>
      <c r="C679" s="174" t="str">
        <f>IFERROR(__xludf.DUMMYFUNCTION("""COMPUTED_VALUE"""),"Unlisted")</f>
        <v>Unlisted</v>
      </c>
      <c r="D679" s="174" t="str">
        <f>IFERROR(__xludf.DUMMYFUNCTION("""COMPUTED_VALUE"""),"Unlisted")</f>
        <v>Unlisted</v>
      </c>
      <c r="E679" s="174" t="str">
        <f>IFERROR(__xludf.DUMMYFUNCTION("""COMPUTED_VALUE"""),"Unlisted")</f>
        <v>Unlisted</v>
      </c>
      <c r="F679" s="174" t="str">
        <f>IFERROR(__xludf.DUMMYFUNCTION("""COMPUTED_VALUE"""),"Unlisted")</f>
        <v>Unlisted</v>
      </c>
      <c r="G679" s="174" t="str">
        <f>IFERROR(__xludf.DUMMYFUNCTION("""COMPUTED_VALUE"""),"Unlisted")</f>
        <v>Unlisted</v>
      </c>
      <c r="H679" s="174" t="str">
        <f>IFERROR(__xludf.DUMMYFUNCTION("""COMPUTED_VALUE"""),"Unlisted")</f>
        <v>Unlisted</v>
      </c>
      <c r="I679" s="174" t="str">
        <f>IFERROR(__xludf.DUMMYFUNCTION("""COMPUTED_VALUE"""),"Unlisted")</f>
        <v>Unlisted</v>
      </c>
      <c r="J679" s="174" t="str">
        <f>IFERROR(__xludf.DUMMYFUNCTION("""COMPUTED_VALUE"""),"Unlisted")</f>
        <v>Unlisted</v>
      </c>
      <c r="K679" s="174" t="str">
        <f>IFERROR(__xludf.DUMMYFUNCTION("""COMPUTED_VALUE"""),"Unlisted")</f>
        <v>Unlisted</v>
      </c>
      <c r="L679" s="174" t="str">
        <f>IFERROR(__xludf.DUMMYFUNCTION("""COMPUTED_VALUE"""),"Proficient")</f>
        <v>Proficient</v>
      </c>
      <c r="M679" s="174" t="str">
        <f>IFERROR(__xludf.DUMMYFUNCTION("""COMPUTED_VALUE"""),"Unlisted")</f>
        <v>Unlisted</v>
      </c>
      <c r="N679" s="174" t="str">
        <f>IFERROR(__xludf.DUMMYFUNCTION("""COMPUTED_VALUE"""),"Unlisted")</f>
        <v>Unlisted</v>
      </c>
      <c r="O679" s="174" t="str">
        <f>IFERROR(__xludf.DUMMYFUNCTION("""COMPUTED_VALUE"""),"Unlisted")</f>
        <v>Unlisted</v>
      </c>
      <c r="P679" s="174" t="str">
        <f>IFERROR(__xludf.DUMMYFUNCTION("""COMPUTED_VALUE"""),"Unlisted")</f>
        <v>Unlisted</v>
      </c>
      <c r="Q679" s="174" t="str">
        <f>IFERROR(__xludf.DUMMYFUNCTION("""COMPUTED_VALUE"""),"Unlisted")</f>
        <v>Unlisted</v>
      </c>
      <c r="R679" s="174" t="str">
        <f>IFERROR(__xludf.DUMMYFUNCTION("""COMPUTED_VALUE"""),"Unlisted")</f>
        <v>Unlisted</v>
      </c>
    </row>
    <row r="680">
      <c r="A680" s="255" t="str">
        <f>IFERROR(__xludf.DUMMYFUNCTION("""COMPUTED_VALUE"""),"Centiskorch")</f>
        <v>Centiskorch</v>
      </c>
      <c r="B680" s="174" t="str">
        <f>IFERROR(__xludf.DUMMYFUNCTION("""COMPUTED_VALUE"""),"Proficient")</f>
        <v>Proficient</v>
      </c>
      <c r="C680" s="174" t="str">
        <f>IFERROR(__xludf.DUMMYFUNCTION("""COMPUTED_VALUE"""),"Proficient")</f>
        <v>Proficient</v>
      </c>
      <c r="D680" s="174" t="str">
        <f>IFERROR(__xludf.DUMMYFUNCTION("""COMPUTED_VALUE"""),"Unlisted")</f>
        <v>Unlisted</v>
      </c>
      <c r="E680" s="174" t="str">
        <f>IFERROR(__xludf.DUMMYFUNCTION("""COMPUTED_VALUE"""),"Unlisted")</f>
        <v>Unlisted</v>
      </c>
      <c r="F680" s="174" t="str">
        <f>IFERROR(__xludf.DUMMYFUNCTION("""COMPUTED_VALUE"""),"Unlisted")</f>
        <v>Unlisted</v>
      </c>
      <c r="G680" s="174" t="str">
        <f>IFERROR(__xludf.DUMMYFUNCTION("""COMPUTED_VALUE"""),"Unlisted")</f>
        <v>Unlisted</v>
      </c>
      <c r="H680" s="174" t="str">
        <f>IFERROR(__xludf.DUMMYFUNCTION("""COMPUTED_VALUE"""),"Unlisted")</f>
        <v>Unlisted</v>
      </c>
      <c r="I680" s="174" t="str">
        <f>IFERROR(__xludf.DUMMYFUNCTION("""COMPUTED_VALUE"""),"Unlisted")</f>
        <v>Unlisted</v>
      </c>
      <c r="J680" s="174" t="str">
        <f>IFERROR(__xludf.DUMMYFUNCTION("""COMPUTED_VALUE"""),"Unlisted")</f>
        <v>Unlisted</v>
      </c>
      <c r="K680" s="174" t="str">
        <f>IFERROR(__xludf.DUMMYFUNCTION("""COMPUTED_VALUE"""),"Unlisted")</f>
        <v>Unlisted</v>
      </c>
      <c r="L680" s="174" t="str">
        <f>IFERROR(__xludf.DUMMYFUNCTION("""COMPUTED_VALUE"""),"Proficient")</f>
        <v>Proficient</v>
      </c>
      <c r="M680" s="174" t="str">
        <f>IFERROR(__xludf.DUMMYFUNCTION("""COMPUTED_VALUE"""),"Unlisted")</f>
        <v>Unlisted</v>
      </c>
      <c r="N680" s="174" t="str">
        <f>IFERROR(__xludf.DUMMYFUNCTION("""COMPUTED_VALUE"""),"Unlisted")</f>
        <v>Unlisted</v>
      </c>
      <c r="O680" s="174" t="str">
        <f>IFERROR(__xludf.DUMMYFUNCTION("""COMPUTED_VALUE"""),"Unlisted")</f>
        <v>Unlisted</v>
      </c>
      <c r="P680" s="174" t="str">
        <f>IFERROR(__xludf.DUMMYFUNCTION("""COMPUTED_VALUE"""),"Unlisted")</f>
        <v>Unlisted</v>
      </c>
      <c r="Q680" s="174" t="str">
        <f>IFERROR(__xludf.DUMMYFUNCTION("""COMPUTED_VALUE"""),"Unlisted")</f>
        <v>Unlisted</v>
      </c>
      <c r="R680" s="174" t="str">
        <f>IFERROR(__xludf.DUMMYFUNCTION("""COMPUTED_VALUE"""),"Unlisted")</f>
        <v>Unlisted</v>
      </c>
    </row>
    <row r="681">
      <c r="A681" s="255" t="str">
        <f>IFERROR(__xludf.DUMMYFUNCTION("""COMPUTED_VALUE"""),"Charcadet")</f>
        <v>Charcadet</v>
      </c>
      <c r="B681" s="174" t="str">
        <f>IFERROR(__xludf.DUMMYFUNCTION("""COMPUTED_VALUE"""),"Unlisted")</f>
        <v>Unlisted</v>
      </c>
      <c r="C681" s="174" t="str">
        <f>IFERROR(__xludf.DUMMYFUNCTION("""COMPUTED_VALUE"""),"Proficient")</f>
        <v>Proficient</v>
      </c>
      <c r="D681" s="174" t="str">
        <f>IFERROR(__xludf.DUMMYFUNCTION("""COMPUTED_VALUE"""),"Unlisted")</f>
        <v>Unlisted</v>
      </c>
      <c r="E681" s="174" t="str">
        <f>IFERROR(__xludf.DUMMYFUNCTION("""COMPUTED_VALUE"""),"Mastered")</f>
        <v>Mastered</v>
      </c>
      <c r="F681" s="174" t="str">
        <f>IFERROR(__xludf.DUMMYFUNCTION("""COMPUTED_VALUE"""),"Unlisted")</f>
        <v>Unlisted</v>
      </c>
      <c r="G681" s="174" t="str">
        <f>IFERROR(__xludf.DUMMYFUNCTION("""COMPUTED_VALUE"""),"Proficient")</f>
        <v>Proficient</v>
      </c>
      <c r="H681" s="174" t="str">
        <f>IFERROR(__xludf.DUMMYFUNCTION("""COMPUTED_VALUE"""),"Unlisted")</f>
        <v>Unlisted</v>
      </c>
      <c r="I681" s="174" t="str">
        <f>IFERROR(__xludf.DUMMYFUNCTION("""COMPUTED_VALUE"""),"Unlisted")</f>
        <v>Unlisted</v>
      </c>
      <c r="J681" s="174" t="str">
        <f>IFERROR(__xludf.DUMMYFUNCTION("""COMPUTED_VALUE"""),"Unlisted")</f>
        <v>Unlisted</v>
      </c>
      <c r="K681" s="174" t="str">
        <f>IFERROR(__xludf.DUMMYFUNCTION("""COMPUTED_VALUE"""),"Unlisted")</f>
        <v>Unlisted</v>
      </c>
      <c r="L681" s="174" t="str">
        <f>IFERROR(__xludf.DUMMYFUNCTION("""COMPUTED_VALUE"""),"Unlisted")</f>
        <v>Unlisted</v>
      </c>
      <c r="M681" s="174" t="str">
        <f>IFERROR(__xludf.DUMMYFUNCTION("""COMPUTED_VALUE"""),"Unlisted")</f>
        <v>Unlisted</v>
      </c>
      <c r="N681" s="174" t="str">
        <f>IFERROR(__xludf.DUMMYFUNCTION("""COMPUTED_VALUE"""),"Unlisted")</f>
        <v>Unlisted</v>
      </c>
      <c r="O681" s="174" t="str">
        <f>IFERROR(__xludf.DUMMYFUNCTION("""COMPUTED_VALUE"""),"Unlisted")</f>
        <v>Unlisted</v>
      </c>
      <c r="P681" s="174" t="str">
        <f>IFERROR(__xludf.DUMMYFUNCTION("""COMPUTED_VALUE"""),"Unlisted")</f>
        <v>Unlisted</v>
      </c>
      <c r="Q681" s="174" t="str">
        <f>IFERROR(__xludf.DUMMYFUNCTION("""COMPUTED_VALUE"""),"Unlisted")</f>
        <v>Unlisted</v>
      </c>
      <c r="R681" s="174" t="str">
        <f>IFERROR(__xludf.DUMMYFUNCTION("""COMPUTED_VALUE"""),"Unlisted")</f>
        <v>Unlisted</v>
      </c>
    </row>
    <row r="682">
      <c r="A682" s="255" t="str">
        <f>IFERROR(__xludf.DUMMYFUNCTION("""COMPUTED_VALUE"""),"Armarouge")</f>
        <v>Armarouge</v>
      </c>
      <c r="B682" s="174" t="str">
        <f>IFERROR(__xludf.DUMMYFUNCTION("""COMPUTED_VALUE"""),"Unlisted")</f>
        <v>Unlisted</v>
      </c>
      <c r="C682" s="174" t="str">
        <f>IFERROR(__xludf.DUMMYFUNCTION("""COMPUTED_VALUE"""),"Proficient")</f>
        <v>Proficient</v>
      </c>
      <c r="D682" s="174" t="str">
        <f>IFERROR(__xludf.DUMMYFUNCTION("""COMPUTED_VALUE"""),"Unlisted")</f>
        <v>Unlisted</v>
      </c>
      <c r="E682" s="174" t="str">
        <f>IFERROR(__xludf.DUMMYFUNCTION("""COMPUTED_VALUE"""),"Mastered")</f>
        <v>Mastered</v>
      </c>
      <c r="F682" s="174" t="str">
        <f>IFERROR(__xludf.DUMMYFUNCTION("""COMPUTED_VALUE"""),"Unlisted")</f>
        <v>Unlisted</v>
      </c>
      <c r="G682" s="174" t="str">
        <f>IFERROR(__xludf.DUMMYFUNCTION("""COMPUTED_VALUE"""),"Proficient")</f>
        <v>Proficient</v>
      </c>
      <c r="H682" s="174" t="str">
        <f>IFERROR(__xludf.DUMMYFUNCTION("""COMPUTED_VALUE"""),"Unlisted")</f>
        <v>Unlisted</v>
      </c>
      <c r="I682" s="174" t="str">
        <f>IFERROR(__xludf.DUMMYFUNCTION("""COMPUTED_VALUE"""),"Unlisted")</f>
        <v>Unlisted</v>
      </c>
      <c r="J682" s="174" t="str">
        <f>IFERROR(__xludf.DUMMYFUNCTION("""COMPUTED_VALUE"""),"Unlisted")</f>
        <v>Unlisted</v>
      </c>
      <c r="K682" s="174" t="str">
        <f>IFERROR(__xludf.DUMMYFUNCTION("""COMPUTED_VALUE"""),"Unlisted")</f>
        <v>Unlisted</v>
      </c>
      <c r="L682" s="174" t="str">
        <f>IFERROR(__xludf.DUMMYFUNCTION("""COMPUTED_VALUE"""),"Unlisted")</f>
        <v>Unlisted</v>
      </c>
      <c r="M682" s="174" t="str">
        <f>IFERROR(__xludf.DUMMYFUNCTION("""COMPUTED_VALUE"""),"Unlisted")</f>
        <v>Unlisted</v>
      </c>
      <c r="N682" s="174" t="str">
        <f>IFERROR(__xludf.DUMMYFUNCTION("""COMPUTED_VALUE"""),"Unlisted")</f>
        <v>Unlisted</v>
      </c>
      <c r="O682" s="174" t="str">
        <f>IFERROR(__xludf.DUMMYFUNCTION("""COMPUTED_VALUE"""),"Unlisted")</f>
        <v>Unlisted</v>
      </c>
      <c r="P682" s="174" t="str">
        <f>IFERROR(__xludf.DUMMYFUNCTION("""COMPUTED_VALUE"""),"Unlisted")</f>
        <v>Unlisted</v>
      </c>
      <c r="Q682" s="174" t="str">
        <f>IFERROR(__xludf.DUMMYFUNCTION("""COMPUTED_VALUE"""),"Unlisted")</f>
        <v>Unlisted</v>
      </c>
      <c r="R682" s="174" t="str">
        <f>IFERROR(__xludf.DUMMYFUNCTION("""COMPUTED_VALUE"""),"Unlisted")</f>
        <v>Unlisted</v>
      </c>
    </row>
    <row r="683">
      <c r="A683" s="255" t="str">
        <f>IFERROR(__xludf.DUMMYFUNCTION("""COMPUTED_VALUE"""),"Ceruledge")</f>
        <v>Ceruledge</v>
      </c>
      <c r="B683" s="174" t="str">
        <f>IFERROR(__xludf.DUMMYFUNCTION("""COMPUTED_VALUE"""),"Unlisted")</f>
        <v>Unlisted</v>
      </c>
      <c r="C683" s="174" t="str">
        <f>IFERROR(__xludf.DUMMYFUNCTION("""COMPUTED_VALUE"""),"Proficient")</f>
        <v>Proficient</v>
      </c>
      <c r="D683" s="174" t="str">
        <f>IFERROR(__xludf.DUMMYFUNCTION("""COMPUTED_VALUE"""),"Unlisted")</f>
        <v>Unlisted</v>
      </c>
      <c r="E683" s="174" t="str">
        <f>IFERROR(__xludf.DUMMYFUNCTION("""COMPUTED_VALUE"""),"Mastered")</f>
        <v>Mastered</v>
      </c>
      <c r="F683" s="174" t="str">
        <f>IFERROR(__xludf.DUMMYFUNCTION("""COMPUTED_VALUE"""),"Unlisted")</f>
        <v>Unlisted</v>
      </c>
      <c r="G683" s="174" t="str">
        <f>IFERROR(__xludf.DUMMYFUNCTION("""COMPUTED_VALUE"""),"Proficient")</f>
        <v>Proficient</v>
      </c>
      <c r="H683" s="174" t="str">
        <f>IFERROR(__xludf.DUMMYFUNCTION("""COMPUTED_VALUE"""),"Unlisted")</f>
        <v>Unlisted</v>
      </c>
      <c r="I683" s="174" t="str">
        <f>IFERROR(__xludf.DUMMYFUNCTION("""COMPUTED_VALUE"""),"Unlisted")</f>
        <v>Unlisted</v>
      </c>
      <c r="J683" s="174" t="str">
        <f>IFERROR(__xludf.DUMMYFUNCTION("""COMPUTED_VALUE"""),"Unlisted")</f>
        <v>Unlisted</v>
      </c>
      <c r="K683" s="174" t="str">
        <f>IFERROR(__xludf.DUMMYFUNCTION("""COMPUTED_VALUE"""),"Unlisted")</f>
        <v>Unlisted</v>
      </c>
      <c r="L683" s="174" t="str">
        <f>IFERROR(__xludf.DUMMYFUNCTION("""COMPUTED_VALUE"""),"Unlisted")</f>
        <v>Unlisted</v>
      </c>
      <c r="M683" s="174" t="str">
        <f>IFERROR(__xludf.DUMMYFUNCTION("""COMPUTED_VALUE"""),"Unlisted")</f>
        <v>Unlisted</v>
      </c>
      <c r="N683" s="174" t="str">
        <f>IFERROR(__xludf.DUMMYFUNCTION("""COMPUTED_VALUE"""),"Unlisted")</f>
        <v>Unlisted</v>
      </c>
      <c r="O683" s="174" t="str">
        <f>IFERROR(__xludf.DUMMYFUNCTION("""COMPUTED_VALUE"""),"Unlisted")</f>
        <v>Unlisted</v>
      </c>
      <c r="P683" s="174" t="str">
        <f>IFERROR(__xludf.DUMMYFUNCTION("""COMPUTED_VALUE"""),"Unlisted")</f>
        <v>Unlisted</v>
      </c>
      <c r="Q683" s="174" t="str">
        <f>IFERROR(__xludf.DUMMYFUNCTION("""COMPUTED_VALUE"""),"Unlisted")</f>
        <v>Unlisted</v>
      </c>
      <c r="R683" s="174" t="str">
        <f>IFERROR(__xludf.DUMMYFUNCTION("""COMPUTED_VALUE"""),"Unlisted")</f>
        <v>Unlisted</v>
      </c>
    </row>
    <row r="684">
      <c r="A684" s="255" t="str">
        <f>IFERROR(__xludf.DUMMYFUNCTION("""COMPUTED_VALUE"""),"Noibat")</f>
        <v>Noibat</v>
      </c>
      <c r="B684" s="174" t="str">
        <f>IFERROR(__xludf.DUMMYFUNCTION("""COMPUTED_VALUE"""),"Mastered")</f>
        <v>Mastered</v>
      </c>
      <c r="C684" s="174" t="str">
        <f>IFERROR(__xludf.DUMMYFUNCTION("""COMPUTED_VALUE"""),"Unlisted")</f>
        <v>Unlisted</v>
      </c>
      <c r="D684" s="174" t="str">
        <f>IFERROR(__xludf.DUMMYFUNCTION("""COMPUTED_VALUE"""),"Unlisted")</f>
        <v>Unlisted</v>
      </c>
      <c r="E684" s="174" t="str">
        <f>IFERROR(__xludf.DUMMYFUNCTION("""COMPUTED_VALUE"""),"Unlisted")</f>
        <v>Unlisted</v>
      </c>
      <c r="F684" s="174" t="str">
        <f>IFERROR(__xludf.DUMMYFUNCTION("""COMPUTED_VALUE"""),"Unlisted")</f>
        <v>Unlisted</v>
      </c>
      <c r="G684" s="174" t="str">
        <f>IFERROR(__xludf.DUMMYFUNCTION("""COMPUTED_VALUE"""),"Unlisted")</f>
        <v>Unlisted</v>
      </c>
      <c r="H684" s="174" t="str">
        <f>IFERROR(__xludf.DUMMYFUNCTION("""COMPUTED_VALUE"""),"Unlisted")</f>
        <v>Unlisted</v>
      </c>
      <c r="I684" s="174" t="str">
        <f>IFERROR(__xludf.DUMMYFUNCTION("""COMPUTED_VALUE"""),"Unlisted")</f>
        <v>Unlisted</v>
      </c>
      <c r="J684" s="174" t="str">
        <f>IFERROR(__xludf.DUMMYFUNCTION("""COMPUTED_VALUE"""),"Unlisted")</f>
        <v>Unlisted</v>
      </c>
      <c r="K684" s="174" t="str">
        <f>IFERROR(__xludf.DUMMYFUNCTION("""COMPUTED_VALUE"""),"Proficient")</f>
        <v>Proficient</v>
      </c>
      <c r="L684" s="174" t="str">
        <f>IFERROR(__xludf.DUMMYFUNCTION("""COMPUTED_VALUE"""),"Proficient")</f>
        <v>Proficient</v>
      </c>
      <c r="M684" s="174" t="str">
        <f>IFERROR(__xludf.DUMMYFUNCTION("""COMPUTED_VALUE"""),"Unlisted")</f>
        <v>Unlisted</v>
      </c>
      <c r="N684" s="174" t="str">
        <f>IFERROR(__xludf.DUMMYFUNCTION("""COMPUTED_VALUE"""),"Unlisted")</f>
        <v>Unlisted</v>
      </c>
      <c r="O684" s="174" t="str">
        <f>IFERROR(__xludf.DUMMYFUNCTION("""COMPUTED_VALUE"""),"Unlisted")</f>
        <v>Unlisted</v>
      </c>
      <c r="P684" s="174" t="str">
        <f>IFERROR(__xludf.DUMMYFUNCTION("""COMPUTED_VALUE"""),"Unlisted")</f>
        <v>Unlisted</v>
      </c>
      <c r="Q684" s="174" t="str">
        <f>IFERROR(__xludf.DUMMYFUNCTION("""COMPUTED_VALUE"""),"Unlisted")</f>
        <v>Unlisted</v>
      </c>
      <c r="R684" s="174" t="str">
        <f>IFERROR(__xludf.DUMMYFUNCTION("""COMPUTED_VALUE"""),"Unlisted")</f>
        <v>Unlisted</v>
      </c>
    </row>
    <row r="685">
      <c r="A685" s="255" t="str">
        <f>IFERROR(__xludf.DUMMYFUNCTION("""COMPUTED_VALUE"""),"Noivern")</f>
        <v>Noivern</v>
      </c>
      <c r="B685" s="174" t="str">
        <f>IFERROR(__xludf.DUMMYFUNCTION("""COMPUTED_VALUE"""),"Mastered")</f>
        <v>Mastered</v>
      </c>
      <c r="C685" s="174" t="str">
        <f>IFERROR(__xludf.DUMMYFUNCTION("""COMPUTED_VALUE"""),"Unlisted")</f>
        <v>Unlisted</v>
      </c>
      <c r="D685" s="174" t="str">
        <f>IFERROR(__xludf.DUMMYFUNCTION("""COMPUTED_VALUE"""),"Unlisted")</f>
        <v>Unlisted</v>
      </c>
      <c r="E685" s="174" t="str">
        <f>IFERROR(__xludf.DUMMYFUNCTION("""COMPUTED_VALUE"""),"Unlisted")</f>
        <v>Unlisted</v>
      </c>
      <c r="F685" s="174" t="str">
        <f>IFERROR(__xludf.DUMMYFUNCTION("""COMPUTED_VALUE"""),"Unlisted")</f>
        <v>Unlisted</v>
      </c>
      <c r="G685" s="174" t="str">
        <f>IFERROR(__xludf.DUMMYFUNCTION("""COMPUTED_VALUE"""),"Unlisted")</f>
        <v>Unlisted</v>
      </c>
      <c r="H685" s="174" t="str">
        <f>IFERROR(__xludf.DUMMYFUNCTION("""COMPUTED_VALUE"""),"Unlisted")</f>
        <v>Unlisted</v>
      </c>
      <c r="I685" s="174" t="str">
        <f>IFERROR(__xludf.DUMMYFUNCTION("""COMPUTED_VALUE"""),"Unlisted")</f>
        <v>Unlisted</v>
      </c>
      <c r="J685" s="174" t="str">
        <f>IFERROR(__xludf.DUMMYFUNCTION("""COMPUTED_VALUE"""),"Unlisted")</f>
        <v>Unlisted</v>
      </c>
      <c r="K685" s="174" t="str">
        <f>IFERROR(__xludf.DUMMYFUNCTION("""COMPUTED_VALUE"""),"Proficient")</f>
        <v>Proficient</v>
      </c>
      <c r="L685" s="174" t="str">
        <f>IFERROR(__xludf.DUMMYFUNCTION("""COMPUTED_VALUE"""),"Proficient")</f>
        <v>Proficient</v>
      </c>
      <c r="M685" s="174" t="str">
        <f>IFERROR(__xludf.DUMMYFUNCTION("""COMPUTED_VALUE"""),"Unlisted")</f>
        <v>Unlisted</v>
      </c>
      <c r="N685" s="174" t="str">
        <f>IFERROR(__xludf.DUMMYFUNCTION("""COMPUTED_VALUE"""),"Unlisted")</f>
        <v>Unlisted</v>
      </c>
      <c r="O685" s="174" t="str">
        <f>IFERROR(__xludf.DUMMYFUNCTION("""COMPUTED_VALUE"""),"Unlisted")</f>
        <v>Unlisted</v>
      </c>
      <c r="P685" s="174" t="str">
        <f>IFERROR(__xludf.DUMMYFUNCTION("""COMPUTED_VALUE"""),"Unlisted")</f>
        <v>Unlisted</v>
      </c>
      <c r="Q685" s="174" t="str">
        <f>IFERROR(__xludf.DUMMYFUNCTION("""COMPUTED_VALUE"""),"Unlisted")</f>
        <v>Unlisted</v>
      </c>
      <c r="R685" s="174" t="str">
        <f>IFERROR(__xludf.DUMMYFUNCTION("""COMPUTED_VALUE"""),"Unlisted")</f>
        <v>Unlisted</v>
      </c>
    </row>
    <row r="686">
      <c r="A686" s="255" t="str">
        <f>IFERROR(__xludf.DUMMYFUNCTION("""COMPUTED_VALUE"""),"Wattrel")</f>
        <v>Wattrel</v>
      </c>
      <c r="B686" s="174" t="str">
        <f>IFERROR(__xludf.DUMMYFUNCTION("""COMPUTED_VALUE"""),"Mastered")</f>
        <v>Mastered</v>
      </c>
      <c r="C686" s="174" t="str">
        <f>IFERROR(__xludf.DUMMYFUNCTION("""COMPUTED_VALUE"""),"Unlisted")</f>
        <v>Unlisted</v>
      </c>
      <c r="D686" s="174" t="str">
        <f>IFERROR(__xludf.DUMMYFUNCTION("""COMPUTED_VALUE"""),"Unlisted")</f>
        <v>Unlisted</v>
      </c>
      <c r="E686" s="174" t="str">
        <f>IFERROR(__xludf.DUMMYFUNCTION("""COMPUTED_VALUE"""),"Unlisted")</f>
        <v>Unlisted</v>
      </c>
      <c r="F686" s="174" t="str">
        <f>IFERROR(__xludf.DUMMYFUNCTION("""COMPUTED_VALUE"""),"Unlisted")</f>
        <v>Unlisted</v>
      </c>
      <c r="G686" s="174" t="str">
        <f>IFERROR(__xludf.DUMMYFUNCTION("""COMPUTED_VALUE"""),"Unlisted")</f>
        <v>Unlisted</v>
      </c>
      <c r="H686" s="174" t="str">
        <f>IFERROR(__xludf.DUMMYFUNCTION("""COMPUTED_VALUE"""),"Unlisted")</f>
        <v>Unlisted</v>
      </c>
      <c r="I686" s="174" t="str">
        <f>IFERROR(__xludf.DUMMYFUNCTION("""COMPUTED_VALUE"""),"Unlisted")</f>
        <v>Unlisted</v>
      </c>
      <c r="J686" s="174" t="str">
        <f>IFERROR(__xludf.DUMMYFUNCTION("""COMPUTED_VALUE"""),"Proficient")</f>
        <v>Proficient</v>
      </c>
      <c r="K686" s="174" t="str">
        <f>IFERROR(__xludf.DUMMYFUNCTION("""COMPUTED_VALUE"""),"Proficient")</f>
        <v>Proficient</v>
      </c>
      <c r="L686" s="174" t="str">
        <f>IFERROR(__xludf.DUMMYFUNCTION("""COMPUTED_VALUE"""),"Unlisted")</f>
        <v>Unlisted</v>
      </c>
      <c r="M686" s="174" t="str">
        <f>IFERROR(__xludf.DUMMYFUNCTION("""COMPUTED_VALUE"""),"Unlisted")</f>
        <v>Unlisted</v>
      </c>
      <c r="N686" s="174" t="str">
        <f>IFERROR(__xludf.DUMMYFUNCTION("""COMPUTED_VALUE"""),"Unlisted")</f>
        <v>Unlisted</v>
      </c>
      <c r="O686" s="174" t="str">
        <f>IFERROR(__xludf.DUMMYFUNCTION("""COMPUTED_VALUE"""),"Unlisted")</f>
        <v>Unlisted</v>
      </c>
      <c r="P686" s="174" t="str">
        <f>IFERROR(__xludf.DUMMYFUNCTION("""COMPUTED_VALUE"""),"Unlisted")</f>
        <v>Unlisted</v>
      </c>
      <c r="Q686" s="174" t="str">
        <f>IFERROR(__xludf.DUMMYFUNCTION("""COMPUTED_VALUE"""),"Unlisted")</f>
        <v>Unlisted</v>
      </c>
      <c r="R686" s="174" t="str">
        <f>IFERROR(__xludf.DUMMYFUNCTION("""COMPUTED_VALUE"""),"Unlisted")</f>
        <v>Unlisted</v>
      </c>
    </row>
    <row r="687">
      <c r="A687" s="255" t="str">
        <f>IFERROR(__xludf.DUMMYFUNCTION("""COMPUTED_VALUE"""),"Kilowattrel")</f>
        <v>Kilowattrel</v>
      </c>
      <c r="B687" s="174" t="str">
        <f>IFERROR(__xludf.DUMMYFUNCTION("""COMPUTED_VALUE"""),"Mastered")</f>
        <v>Mastered</v>
      </c>
      <c r="C687" s="174" t="str">
        <f>IFERROR(__xludf.DUMMYFUNCTION("""COMPUTED_VALUE"""),"Unlisted")</f>
        <v>Unlisted</v>
      </c>
      <c r="D687" s="174" t="str">
        <f>IFERROR(__xludf.DUMMYFUNCTION("""COMPUTED_VALUE"""),"Unlisted")</f>
        <v>Unlisted</v>
      </c>
      <c r="E687" s="174" t="str">
        <f>IFERROR(__xludf.DUMMYFUNCTION("""COMPUTED_VALUE"""),"Unlisted")</f>
        <v>Unlisted</v>
      </c>
      <c r="F687" s="174" t="str">
        <f>IFERROR(__xludf.DUMMYFUNCTION("""COMPUTED_VALUE"""),"Unlisted")</f>
        <v>Unlisted</v>
      </c>
      <c r="G687" s="174" t="str">
        <f>IFERROR(__xludf.DUMMYFUNCTION("""COMPUTED_VALUE"""),"Unlisted")</f>
        <v>Unlisted</v>
      </c>
      <c r="H687" s="174" t="str">
        <f>IFERROR(__xludf.DUMMYFUNCTION("""COMPUTED_VALUE"""),"Unlisted")</f>
        <v>Unlisted</v>
      </c>
      <c r="I687" s="174" t="str">
        <f>IFERROR(__xludf.DUMMYFUNCTION("""COMPUTED_VALUE"""),"Unlisted")</f>
        <v>Unlisted</v>
      </c>
      <c r="J687" s="174" t="str">
        <f>IFERROR(__xludf.DUMMYFUNCTION("""COMPUTED_VALUE"""),"Proficient")</f>
        <v>Proficient</v>
      </c>
      <c r="K687" s="174" t="str">
        <f>IFERROR(__xludf.DUMMYFUNCTION("""COMPUTED_VALUE"""),"Proficient")</f>
        <v>Proficient</v>
      </c>
      <c r="L687" s="174" t="str">
        <f>IFERROR(__xludf.DUMMYFUNCTION("""COMPUTED_VALUE"""),"Unlisted")</f>
        <v>Unlisted</v>
      </c>
      <c r="M687" s="174" t="str">
        <f>IFERROR(__xludf.DUMMYFUNCTION("""COMPUTED_VALUE"""),"Unlisted")</f>
        <v>Unlisted</v>
      </c>
      <c r="N687" s="174" t="str">
        <f>IFERROR(__xludf.DUMMYFUNCTION("""COMPUTED_VALUE"""),"Unlisted")</f>
        <v>Unlisted</v>
      </c>
      <c r="O687" s="174" t="str">
        <f>IFERROR(__xludf.DUMMYFUNCTION("""COMPUTED_VALUE"""),"Unlisted")</f>
        <v>Unlisted</v>
      </c>
      <c r="P687" s="174" t="str">
        <f>IFERROR(__xludf.DUMMYFUNCTION("""COMPUTED_VALUE"""),"Unlisted")</f>
        <v>Unlisted</v>
      </c>
      <c r="Q687" s="174" t="str">
        <f>IFERROR(__xludf.DUMMYFUNCTION("""COMPUTED_VALUE"""),"Unlisted")</f>
        <v>Unlisted</v>
      </c>
      <c r="R687" s="174" t="str">
        <f>IFERROR(__xludf.DUMMYFUNCTION("""COMPUTED_VALUE"""),"Unlisted")</f>
        <v>Unlisted</v>
      </c>
    </row>
    <row r="688">
      <c r="A688" s="255" t="str">
        <f>IFERROR(__xludf.DUMMYFUNCTION("""COMPUTED_VALUE"""),"Misdreavus")</f>
        <v>Misdreavus</v>
      </c>
      <c r="B688" s="174" t="str">
        <f>IFERROR(__xludf.DUMMYFUNCTION("""COMPUTED_VALUE"""),"Unlisted")</f>
        <v>Unlisted</v>
      </c>
      <c r="C688" s="174" t="str">
        <f>IFERROR(__xludf.DUMMYFUNCTION("""COMPUTED_VALUE"""),"Inept")</f>
        <v>Inept</v>
      </c>
      <c r="D688" s="174" t="str">
        <f>IFERROR(__xludf.DUMMYFUNCTION("""COMPUTED_VALUE"""),"Unlisted")</f>
        <v>Unlisted</v>
      </c>
      <c r="E688" s="174" t="str">
        <f>IFERROR(__xludf.DUMMYFUNCTION("""COMPUTED_VALUE"""),"Unlisted")</f>
        <v>Unlisted</v>
      </c>
      <c r="F688" s="174" t="str">
        <f>IFERROR(__xludf.DUMMYFUNCTION("""COMPUTED_VALUE"""),"Unlisted")</f>
        <v>Unlisted</v>
      </c>
      <c r="G688" s="174" t="str">
        <f>IFERROR(__xludf.DUMMYFUNCTION("""COMPUTED_VALUE"""),"Proficient")</f>
        <v>Proficient</v>
      </c>
      <c r="H688" s="174" t="str">
        <f>IFERROR(__xludf.DUMMYFUNCTION("""COMPUTED_VALUE"""),"Proficient")</f>
        <v>Proficient</v>
      </c>
      <c r="I688" s="174" t="str">
        <f>IFERROR(__xludf.DUMMYFUNCTION("""COMPUTED_VALUE"""),"Unlisted")</f>
        <v>Unlisted</v>
      </c>
      <c r="J688" s="174" t="str">
        <f>IFERROR(__xludf.DUMMYFUNCTION("""COMPUTED_VALUE"""),"Unlisted")</f>
        <v>Unlisted</v>
      </c>
      <c r="K688" s="174" t="str">
        <f>IFERROR(__xludf.DUMMYFUNCTION("""COMPUTED_VALUE"""),"Unlisted")</f>
        <v>Unlisted</v>
      </c>
      <c r="L688" s="174" t="str">
        <f>IFERROR(__xludf.DUMMYFUNCTION("""COMPUTED_VALUE"""),"Proficient")</f>
        <v>Proficient</v>
      </c>
      <c r="M688" s="174" t="str">
        <f>IFERROR(__xludf.DUMMYFUNCTION("""COMPUTED_VALUE"""),"Unlisted")</f>
        <v>Unlisted</v>
      </c>
      <c r="N688" s="174" t="str">
        <f>IFERROR(__xludf.DUMMYFUNCTION("""COMPUTED_VALUE"""),"Unlisted")</f>
        <v>Unlisted</v>
      </c>
      <c r="O688" s="174" t="str">
        <f>IFERROR(__xludf.DUMMYFUNCTION("""COMPUTED_VALUE"""),"Unlisted")</f>
        <v>Unlisted</v>
      </c>
      <c r="P688" s="174" t="str">
        <f>IFERROR(__xludf.DUMMYFUNCTION("""COMPUTED_VALUE"""),"Unlisted")</f>
        <v>Unlisted</v>
      </c>
      <c r="Q688" s="174" t="str">
        <f>IFERROR(__xludf.DUMMYFUNCTION("""COMPUTED_VALUE"""),"Unlisted")</f>
        <v>Unlisted</v>
      </c>
      <c r="R688" s="174" t="str">
        <f>IFERROR(__xludf.DUMMYFUNCTION("""COMPUTED_VALUE"""),"Unlisted")</f>
        <v>Unlisted</v>
      </c>
    </row>
    <row r="689">
      <c r="A689" s="255" t="str">
        <f>IFERROR(__xludf.DUMMYFUNCTION("""COMPUTED_VALUE"""),"Mismagius")</f>
        <v>Mismagius</v>
      </c>
      <c r="B689" s="174" t="str">
        <f>IFERROR(__xludf.DUMMYFUNCTION("""COMPUTED_VALUE"""),"Unlisted")</f>
        <v>Unlisted</v>
      </c>
      <c r="C689" s="174" t="str">
        <f>IFERROR(__xludf.DUMMYFUNCTION("""COMPUTED_VALUE"""),"Inept")</f>
        <v>Inept</v>
      </c>
      <c r="D689" s="174" t="str">
        <f>IFERROR(__xludf.DUMMYFUNCTION("""COMPUTED_VALUE"""),"Unlisted")</f>
        <v>Unlisted</v>
      </c>
      <c r="E689" s="174" t="str">
        <f>IFERROR(__xludf.DUMMYFUNCTION("""COMPUTED_VALUE"""),"Unlisted")</f>
        <v>Unlisted</v>
      </c>
      <c r="F689" s="174" t="str">
        <f>IFERROR(__xludf.DUMMYFUNCTION("""COMPUTED_VALUE"""),"Unlisted")</f>
        <v>Unlisted</v>
      </c>
      <c r="G689" s="174" t="str">
        <f>IFERROR(__xludf.DUMMYFUNCTION("""COMPUTED_VALUE"""),"Proficient")</f>
        <v>Proficient</v>
      </c>
      <c r="H689" s="174" t="str">
        <f>IFERROR(__xludf.DUMMYFUNCTION("""COMPUTED_VALUE"""),"Proficient")</f>
        <v>Proficient</v>
      </c>
      <c r="I689" s="174" t="str">
        <f>IFERROR(__xludf.DUMMYFUNCTION("""COMPUTED_VALUE"""),"Unlisted")</f>
        <v>Unlisted</v>
      </c>
      <c r="J689" s="174" t="str">
        <f>IFERROR(__xludf.DUMMYFUNCTION("""COMPUTED_VALUE"""),"Unlisted")</f>
        <v>Unlisted</v>
      </c>
      <c r="K689" s="174" t="str">
        <f>IFERROR(__xludf.DUMMYFUNCTION("""COMPUTED_VALUE"""),"Unlisted")</f>
        <v>Unlisted</v>
      </c>
      <c r="L689" s="174" t="str">
        <f>IFERROR(__xludf.DUMMYFUNCTION("""COMPUTED_VALUE"""),"Proficient")</f>
        <v>Proficient</v>
      </c>
      <c r="M689" s="174" t="str">
        <f>IFERROR(__xludf.DUMMYFUNCTION("""COMPUTED_VALUE"""),"Unlisted")</f>
        <v>Unlisted</v>
      </c>
      <c r="N689" s="174" t="str">
        <f>IFERROR(__xludf.DUMMYFUNCTION("""COMPUTED_VALUE"""),"Unlisted")</f>
        <v>Unlisted</v>
      </c>
      <c r="O689" s="174" t="str">
        <f>IFERROR(__xludf.DUMMYFUNCTION("""COMPUTED_VALUE"""),"Unlisted")</f>
        <v>Unlisted</v>
      </c>
      <c r="P689" s="174" t="str">
        <f>IFERROR(__xludf.DUMMYFUNCTION("""COMPUTED_VALUE"""),"Unlisted")</f>
        <v>Unlisted</v>
      </c>
      <c r="Q689" s="174" t="str">
        <f>IFERROR(__xludf.DUMMYFUNCTION("""COMPUTED_VALUE"""),"Unlisted")</f>
        <v>Unlisted</v>
      </c>
      <c r="R689" s="174" t="str">
        <f>IFERROR(__xludf.DUMMYFUNCTION("""COMPUTED_VALUE"""),"Unlisted")</f>
        <v>Unlisted</v>
      </c>
    </row>
    <row r="690">
      <c r="A690" s="255" t="str">
        <f>IFERROR(__xludf.DUMMYFUNCTION("""COMPUTED_VALUE"""),"Shuppet")</f>
        <v>Shuppet</v>
      </c>
      <c r="B690" s="174" t="str">
        <f>IFERROR(__xludf.DUMMYFUNCTION("""COMPUTED_VALUE"""),"Unlisted")</f>
        <v>Unlisted</v>
      </c>
      <c r="C690" s="174" t="str">
        <f>IFERROR(__xludf.DUMMYFUNCTION("""COMPUTED_VALUE"""),"Unlisted")</f>
        <v>Unlisted</v>
      </c>
      <c r="D690" s="174" t="str">
        <f>IFERROR(__xludf.DUMMYFUNCTION("""COMPUTED_VALUE"""),"Unlisted")</f>
        <v>Unlisted</v>
      </c>
      <c r="E690" s="174" t="str">
        <f>IFERROR(__xludf.DUMMYFUNCTION("""COMPUTED_VALUE"""),"Unlisted")</f>
        <v>Unlisted</v>
      </c>
      <c r="F690" s="174" t="str">
        <f>IFERROR(__xludf.DUMMYFUNCTION("""COMPUTED_VALUE"""),"Unlisted")</f>
        <v>Unlisted</v>
      </c>
      <c r="G690" s="174" t="str">
        <f>IFERROR(__xludf.DUMMYFUNCTION("""COMPUTED_VALUE"""),"Unlisted")</f>
        <v>Unlisted</v>
      </c>
      <c r="H690" s="174" t="str">
        <f>IFERROR(__xludf.DUMMYFUNCTION("""COMPUTED_VALUE"""),"Proficient")</f>
        <v>Proficient</v>
      </c>
      <c r="I690" s="174" t="str">
        <f>IFERROR(__xludf.DUMMYFUNCTION("""COMPUTED_VALUE"""),"Proficient")</f>
        <v>Proficient</v>
      </c>
      <c r="J690" s="174" t="str">
        <f>IFERROR(__xludf.DUMMYFUNCTION("""COMPUTED_VALUE"""),"Unlisted")</f>
        <v>Unlisted</v>
      </c>
      <c r="K690" s="174" t="str">
        <f>IFERROR(__xludf.DUMMYFUNCTION("""COMPUTED_VALUE"""),"Unlisted")</f>
        <v>Unlisted</v>
      </c>
      <c r="L690" s="174" t="str">
        <f>IFERROR(__xludf.DUMMYFUNCTION("""COMPUTED_VALUE"""),"Mastered")</f>
        <v>Mastered</v>
      </c>
      <c r="M690" s="174" t="str">
        <f>IFERROR(__xludf.DUMMYFUNCTION("""COMPUTED_VALUE"""),"Unlisted")</f>
        <v>Unlisted</v>
      </c>
      <c r="N690" s="174" t="str">
        <f>IFERROR(__xludf.DUMMYFUNCTION("""COMPUTED_VALUE"""),"Unlisted")</f>
        <v>Unlisted</v>
      </c>
      <c r="O690" s="174" t="str">
        <f>IFERROR(__xludf.DUMMYFUNCTION("""COMPUTED_VALUE"""),"Unlisted")</f>
        <v>Unlisted</v>
      </c>
      <c r="P690" s="174" t="str">
        <f>IFERROR(__xludf.DUMMYFUNCTION("""COMPUTED_VALUE"""),"Unlisted")</f>
        <v>Unlisted</v>
      </c>
      <c r="Q690" s="174" t="str">
        <f>IFERROR(__xludf.DUMMYFUNCTION("""COMPUTED_VALUE"""),"Unlisted")</f>
        <v>Unlisted</v>
      </c>
      <c r="R690" s="174" t="str">
        <f>IFERROR(__xludf.DUMMYFUNCTION("""COMPUTED_VALUE"""),"Unlisted")</f>
        <v>Unlisted</v>
      </c>
    </row>
    <row r="691">
      <c r="A691" s="255" t="str">
        <f>IFERROR(__xludf.DUMMYFUNCTION("""COMPUTED_VALUE"""),"Banette")</f>
        <v>Banette</v>
      </c>
      <c r="B691" s="174" t="str">
        <f>IFERROR(__xludf.DUMMYFUNCTION("""COMPUTED_VALUE"""),"Unlisted")</f>
        <v>Unlisted</v>
      </c>
      <c r="C691" s="174" t="str">
        <f>IFERROR(__xludf.DUMMYFUNCTION("""COMPUTED_VALUE"""),"Unlisted")</f>
        <v>Unlisted</v>
      </c>
      <c r="D691" s="174" t="str">
        <f>IFERROR(__xludf.DUMMYFUNCTION("""COMPUTED_VALUE"""),"Unlisted")</f>
        <v>Unlisted</v>
      </c>
      <c r="E691" s="174" t="str">
        <f>IFERROR(__xludf.DUMMYFUNCTION("""COMPUTED_VALUE"""),"Unlisted")</f>
        <v>Unlisted</v>
      </c>
      <c r="F691" s="174" t="str">
        <f>IFERROR(__xludf.DUMMYFUNCTION("""COMPUTED_VALUE"""),"Unlisted")</f>
        <v>Unlisted</v>
      </c>
      <c r="G691" s="174" t="str">
        <f>IFERROR(__xludf.DUMMYFUNCTION("""COMPUTED_VALUE"""),"Unlisted")</f>
        <v>Unlisted</v>
      </c>
      <c r="H691" s="174" t="str">
        <f>IFERROR(__xludf.DUMMYFUNCTION("""COMPUTED_VALUE"""),"Proficient")</f>
        <v>Proficient</v>
      </c>
      <c r="I691" s="174" t="str">
        <f>IFERROR(__xludf.DUMMYFUNCTION("""COMPUTED_VALUE"""),"Proficient")</f>
        <v>Proficient</v>
      </c>
      <c r="J691" s="174" t="str">
        <f>IFERROR(__xludf.DUMMYFUNCTION("""COMPUTED_VALUE"""),"Unlisted")</f>
        <v>Unlisted</v>
      </c>
      <c r="K691" s="174" t="str">
        <f>IFERROR(__xludf.DUMMYFUNCTION("""COMPUTED_VALUE"""),"Unlisted")</f>
        <v>Unlisted</v>
      </c>
      <c r="L691" s="174" t="str">
        <f>IFERROR(__xludf.DUMMYFUNCTION("""COMPUTED_VALUE"""),"Mastered")</f>
        <v>Mastered</v>
      </c>
      <c r="M691" s="174" t="str">
        <f>IFERROR(__xludf.DUMMYFUNCTION("""COMPUTED_VALUE"""),"Unlisted")</f>
        <v>Unlisted</v>
      </c>
      <c r="N691" s="174" t="str">
        <f>IFERROR(__xludf.DUMMYFUNCTION("""COMPUTED_VALUE"""),"Unlisted")</f>
        <v>Unlisted</v>
      </c>
      <c r="O691" s="174" t="str">
        <f>IFERROR(__xludf.DUMMYFUNCTION("""COMPUTED_VALUE"""),"Unlisted")</f>
        <v>Unlisted</v>
      </c>
      <c r="P691" s="174" t="str">
        <f>IFERROR(__xludf.DUMMYFUNCTION("""COMPUTED_VALUE"""),"Unlisted")</f>
        <v>Unlisted</v>
      </c>
      <c r="Q691" s="174" t="str">
        <f>IFERROR(__xludf.DUMMYFUNCTION("""COMPUTED_VALUE"""),"Unlisted")</f>
        <v>Unlisted</v>
      </c>
      <c r="R691" s="174" t="str">
        <f>IFERROR(__xludf.DUMMYFUNCTION("""COMPUTED_VALUE"""),"Unlisted")</f>
        <v>Unlisted</v>
      </c>
    </row>
    <row r="692">
      <c r="A692" s="255" t="str">
        <f>IFERROR(__xludf.DUMMYFUNCTION("""COMPUTED_VALUE"""),"Drifloon")</f>
        <v>Drifloon</v>
      </c>
      <c r="B692" s="174" t="str">
        <f>IFERROR(__xludf.DUMMYFUNCTION("""COMPUTED_VALUE"""),"Proficient")</f>
        <v>Proficient</v>
      </c>
      <c r="C692" s="174" t="str">
        <f>IFERROR(__xludf.DUMMYFUNCTION("""COMPUTED_VALUE"""),"Inept")</f>
        <v>Inept</v>
      </c>
      <c r="D692" s="174" t="str">
        <f>IFERROR(__xludf.DUMMYFUNCTION("""COMPUTED_VALUE"""),"Unlisted")</f>
        <v>Unlisted</v>
      </c>
      <c r="E692" s="174" t="str">
        <f>IFERROR(__xludf.DUMMYFUNCTION("""COMPUTED_VALUE"""),"Inept")</f>
        <v>Inept</v>
      </c>
      <c r="F692" s="174" t="str">
        <f>IFERROR(__xludf.DUMMYFUNCTION("""COMPUTED_VALUE"""),"Unlisted")</f>
        <v>Unlisted</v>
      </c>
      <c r="G692" s="174" t="str">
        <f>IFERROR(__xludf.DUMMYFUNCTION("""COMPUTED_VALUE"""),"Unlisted")</f>
        <v>Unlisted</v>
      </c>
      <c r="H692" s="174" t="str">
        <f>IFERROR(__xludf.DUMMYFUNCTION("""COMPUTED_VALUE"""),"Unlisted")</f>
        <v>Unlisted</v>
      </c>
      <c r="I692" s="174" t="str">
        <f>IFERROR(__xludf.DUMMYFUNCTION("""COMPUTED_VALUE"""),"Unlisted")</f>
        <v>Unlisted</v>
      </c>
      <c r="J692" s="174" t="str">
        <f>IFERROR(__xludf.DUMMYFUNCTION("""COMPUTED_VALUE"""),"Proficient")</f>
        <v>Proficient</v>
      </c>
      <c r="K692" s="174" t="str">
        <f>IFERROR(__xludf.DUMMYFUNCTION("""COMPUTED_VALUE"""),"Unlisted")</f>
        <v>Unlisted</v>
      </c>
      <c r="L692" s="174" t="str">
        <f>IFERROR(__xludf.DUMMYFUNCTION("""COMPUTED_VALUE"""),"Proficient")</f>
        <v>Proficient</v>
      </c>
      <c r="M692" s="174" t="str">
        <f>IFERROR(__xludf.DUMMYFUNCTION("""COMPUTED_VALUE"""),"Unlisted")</f>
        <v>Unlisted</v>
      </c>
      <c r="N692" s="174" t="str">
        <f>IFERROR(__xludf.DUMMYFUNCTION("""COMPUTED_VALUE"""),"Unlisted")</f>
        <v>Unlisted</v>
      </c>
      <c r="O692" s="174" t="str">
        <f>IFERROR(__xludf.DUMMYFUNCTION("""COMPUTED_VALUE"""),"Unlisted")</f>
        <v>Unlisted</v>
      </c>
      <c r="P692" s="174" t="str">
        <f>IFERROR(__xludf.DUMMYFUNCTION("""COMPUTED_VALUE"""),"Unlisted")</f>
        <v>Unlisted</v>
      </c>
      <c r="Q692" s="174" t="str">
        <f>IFERROR(__xludf.DUMMYFUNCTION("""COMPUTED_VALUE"""),"Unlisted")</f>
        <v>Unlisted</v>
      </c>
      <c r="R692" s="174" t="str">
        <f>IFERROR(__xludf.DUMMYFUNCTION("""COMPUTED_VALUE"""),"Unlisted")</f>
        <v>Unlisted</v>
      </c>
    </row>
    <row r="693">
      <c r="A693" s="255" t="str">
        <f>IFERROR(__xludf.DUMMYFUNCTION("""COMPUTED_VALUE"""),"Drifblim")</f>
        <v>Drifblim</v>
      </c>
      <c r="B693" s="174" t="str">
        <f>IFERROR(__xludf.DUMMYFUNCTION("""COMPUTED_VALUE"""),"Proficient")</f>
        <v>Proficient</v>
      </c>
      <c r="C693" s="174" t="str">
        <f>IFERROR(__xludf.DUMMYFUNCTION("""COMPUTED_VALUE"""),"Unlisted")</f>
        <v>Unlisted</v>
      </c>
      <c r="D693" s="174" t="str">
        <f>IFERROR(__xludf.DUMMYFUNCTION("""COMPUTED_VALUE"""),"Unlisted")</f>
        <v>Unlisted</v>
      </c>
      <c r="E693" s="174" t="str">
        <f>IFERROR(__xludf.DUMMYFUNCTION("""COMPUTED_VALUE"""),"Inept")</f>
        <v>Inept</v>
      </c>
      <c r="F693" s="174" t="str">
        <f>IFERROR(__xludf.DUMMYFUNCTION("""COMPUTED_VALUE"""),"Unlisted")</f>
        <v>Unlisted</v>
      </c>
      <c r="G693" s="174" t="str">
        <f>IFERROR(__xludf.DUMMYFUNCTION("""COMPUTED_VALUE"""),"Unlisted")</f>
        <v>Unlisted</v>
      </c>
      <c r="H693" s="174" t="str">
        <f>IFERROR(__xludf.DUMMYFUNCTION("""COMPUTED_VALUE"""),"Unlisted")</f>
        <v>Unlisted</v>
      </c>
      <c r="I693" s="174" t="str">
        <f>IFERROR(__xludf.DUMMYFUNCTION("""COMPUTED_VALUE"""),"Unlisted")</f>
        <v>Unlisted</v>
      </c>
      <c r="J693" s="174" t="str">
        <f>IFERROR(__xludf.DUMMYFUNCTION("""COMPUTED_VALUE"""),"Proficient")</f>
        <v>Proficient</v>
      </c>
      <c r="K693" s="174" t="str">
        <f>IFERROR(__xludf.DUMMYFUNCTION("""COMPUTED_VALUE"""),"Unlisted")</f>
        <v>Unlisted</v>
      </c>
      <c r="L693" s="174" t="str">
        <f>IFERROR(__xludf.DUMMYFUNCTION("""COMPUTED_VALUE"""),"Proficient")</f>
        <v>Proficient</v>
      </c>
      <c r="M693" s="174" t="str">
        <f>IFERROR(__xludf.DUMMYFUNCTION("""COMPUTED_VALUE"""),"Unlisted")</f>
        <v>Unlisted</v>
      </c>
      <c r="N693" s="174" t="str">
        <f>IFERROR(__xludf.DUMMYFUNCTION("""COMPUTED_VALUE"""),"Unlisted")</f>
        <v>Unlisted</v>
      </c>
      <c r="O693" s="174" t="str">
        <f>IFERROR(__xludf.DUMMYFUNCTION("""COMPUTED_VALUE"""),"Unlisted")</f>
        <v>Unlisted</v>
      </c>
      <c r="P693" s="174" t="str">
        <f>IFERROR(__xludf.DUMMYFUNCTION("""COMPUTED_VALUE"""),"Unlisted")</f>
        <v>Unlisted</v>
      </c>
      <c r="Q693" s="174" t="str">
        <f>IFERROR(__xludf.DUMMYFUNCTION("""COMPUTED_VALUE"""),"Unlisted")</f>
        <v>Unlisted</v>
      </c>
      <c r="R693" s="174" t="str">
        <f>IFERROR(__xludf.DUMMYFUNCTION("""COMPUTED_VALUE"""),"Unlisted")</f>
        <v>Unlisted</v>
      </c>
    </row>
    <row r="694">
      <c r="A694" s="255" t="str">
        <f>IFERROR(__xludf.DUMMYFUNCTION("""COMPUTED_VALUE"""),"Yamask")</f>
        <v>Yamask</v>
      </c>
      <c r="B694" s="174" t="str">
        <f>IFERROR(__xludf.DUMMYFUNCTION("""COMPUTED_VALUE"""),"Unlisted")</f>
        <v>Unlisted</v>
      </c>
      <c r="C694" s="174" t="str">
        <f>IFERROR(__xludf.DUMMYFUNCTION("""COMPUTED_VALUE"""),"Unlisted")</f>
        <v>Unlisted</v>
      </c>
      <c r="D694" s="174" t="str">
        <f>IFERROR(__xludf.DUMMYFUNCTION("""COMPUTED_VALUE"""),"Unlisted")</f>
        <v>Unlisted</v>
      </c>
      <c r="E694" s="174" t="str">
        <f>IFERROR(__xludf.DUMMYFUNCTION("""COMPUTED_VALUE"""),"Unlisted")</f>
        <v>Unlisted</v>
      </c>
      <c r="F694" s="174" t="str">
        <f>IFERROR(__xludf.DUMMYFUNCTION("""COMPUTED_VALUE"""),"Unlisted")</f>
        <v>Unlisted</v>
      </c>
      <c r="G694" s="174" t="str">
        <f>IFERROR(__xludf.DUMMYFUNCTION("""COMPUTED_VALUE"""),"Mastered")</f>
        <v>Mastered</v>
      </c>
      <c r="H694" s="174" t="str">
        <f>IFERROR(__xludf.DUMMYFUNCTION("""COMPUTED_VALUE"""),"Unlisted")</f>
        <v>Unlisted</v>
      </c>
      <c r="I694" s="174" t="str">
        <f>IFERROR(__xludf.DUMMYFUNCTION("""COMPUTED_VALUE"""),"Unlisted")</f>
        <v>Unlisted</v>
      </c>
      <c r="J694" s="174" t="str">
        <f>IFERROR(__xludf.DUMMYFUNCTION("""COMPUTED_VALUE"""),"Unlisted")</f>
        <v>Unlisted</v>
      </c>
      <c r="K694" s="174" t="str">
        <f>IFERROR(__xludf.DUMMYFUNCTION("""COMPUTED_VALUE"""),"Proficient")</f>
        <v>Proficient</v>
      </c>
      <c r="L694" s="174" t="str">
        <f>IFERROR(__xludf.DUMMYFUNCTION("""COMPUTED_VALUE"""),"Proficient")</f>
        <v>Proficient</v>
      </c>
      <c r="M694" s="174" t="str">
        <f>IFERROR(__xludf.DUMMYFUNCTION("""COMPUTED_VALUE"""),"Unlisted")</f>
        <v>Unlisted</v>
      </c>
      <c r="N694" s="174" t="str">
        <f>IFERROR(__xludf.DUMMYFUNCTION("""COMPUTED_VALUE"""),"Unlisted")</f>
        <v>Unlisted</v>
      </c>
      <c r="O694" s="174" t="str">
        <f>IFERROR(__xludf.DUMMYFUNCTION("""COMPUTED_VALUE"""),"Unlisted")</f>
        <v>Unlisted</v>
      </c>
      <c r="P694" s="174" t="str">
        <f>IFERROR(__xludf.DUMMYFUNCTION("""COMPUTED_VALUE"""),"Unlisted")</f>
        <v>Unlisted</v>
      </c>
      <c r="Q694" s="174" t="str">
        <f>IFERROR(__xludf.DUMMYFUNCTION("""COMPUTED_VALUE"""),"Unlisted")</f>
        <v>Unlisted</v>
      </c>
      <c r="R694" s="174" t="str">
        <f>IFERROR(__xludf.DUMMYFUNCTION("""COMPUTED_VALUE"""),"Unlisted")</f>
        <v>Unlisted</v>
      </c>
    </row>
    <row r="695">
      <c r="A695" s="255" t="str">
        <f>IFERROR(__xludf.DUMMYFUNCTION("""COMPUTED_VALUE"""),"Cofagrigus")</f>
        <v>Cofagrigus</v>
      </c>
      <c r="B695" s="174" t="str">
        <f>IFERROR(__xludf.DUMMYFUNCTION("""COMPUTED_VALUE"""),"Unlisted")</f>
        <v>Unlisted</v>
      </c>
      <c r="C695" s="174" t="str">
        <f>IFERROR(__xludf.DUMMYFUNCTION("""COMPUTED_VALUE"""),"Unlisted")</f>
        <v>Unlisted</v>
      </c>
      <c r="D695" s="174" t="str">
        <f>IFERROR(__xludf.DUMMYFUNCTION("""COMPUTED_VALUE"""),"Unlisted")</f>
        <v>Unlisted</v>
      </c>
      <c r="E695" s="174" t="str">
        <f>IFERROR(__xludf.DUMMYFUNCTION("""COMPUTED_VALUE"""),"Unlisted")</f>
        <v>Unlisted</v>
      </c>
      <c r="F695" s="174" t="str">
        <f>IFERROR(__xludf.DUMMYFUNCTION("""COMPUTED_VALUE"""),"Unlisted")</f>
        <v>Unlisted</v>
      </c>
      <c r="G695" s="174" t="str">
        <f>IFERROR(__xludf.DUMMYFUNCTION("""COMPUTED_VALUE"""),"Mastered")</f>
        <v>Mastered</v>
      </c>
      <c r="H695" s="174" t="str">
        <f>IFERROR(__xludf.DUMMYFUNCTION("""COMPUTED_VALUE"""),"Unlisted")</f>
        <v>Unlisted</v>
      </c>
      <c r="I695" s="174" t="str">
        <f>IFERROR(__xludf.DUMMYFUNCTION("""COMPUTED_VALUE"""),"Unlisted")</f>
        <v>Unlisted</v>
      </c>
      <c r="J695" s="174" t="str">
        <f>IFERROR(__xludf.DUMMYFUNCTION("""COMPUTED_VALUE"""),"Unlisted")</f>
        <v>Unlisted</v>
      </c>
      <c r="K695" s="174" t="str">
        <f>IFERROR(__xludf.DUMMYFUNCTION("""COMPUTED_VALUE"""),"Proficient")</f>
        <v>Proficient</v>
      </c>
      <c r="L695" s="174" t="str">
        <f>IFERROR(__xludf.DUMMYFUNCTION("""COMPUTED_VALUE"""),"Proficient")</f>
        <v>Proficient</v>
      </c>
      <c r="M695" s="174" t="str">
        <f>IFERROR(__xludf.DUMMYFUNCTION("""COMPUTED_VALUE"""),"Unlisted")</f>
        <v>Unlisted</v>
      </c>
      <c r="N695" s="174" t="str">
        <f>IFERROR(__xludf.DUMMYFUNCTION("""COMPUTED_VALUE"""),"Unlisted")</f>
        <v>Unlisted</v>
      </c>
      <c r="O695" s="174" t="str">
        <f>IFERROR(__xludf.DUMMYFUNCTION("""COMPUTED_VALUE"""),"Unlisted")</f>
        <v>Unlisted</v>
      </c>
      <c r="P695" s="174" t="str">
        <f>IFERROR(__xludf.DUMMYFUNCTION("""COMPUTED_VALUE"""),"Unlisted")</f>
        <v>Unlisted</v>
      </c>
      <c r="Q695" s="174" t="str">
        <f>IFERROR(__xludf.DUMMYFUNCTION("""COMPUTED_VALUE"""),"Unlisted")</f>
        <v>Unlisted</v>
      </c>
      <c r="R695" s="174" t="str">
        <f>IFERROR(__xludf.DUMMYFUNCTION("""COMPUTED_VALUE"""),"Unlisted")</f>
        <v>Unlisted</v>
      </c>
    </row>
    <row r="696">
      <c r="A696" s="255" t="str">
        <f>IFERROR(__xludf.DUMMYFUNCTION("""COMPUTED_VALUE"""),"Phantump")</f>
        <v>Phantump</v>
      </c>
      <c r="B696" s="174" t="str">
        <f>IFERROR(__xludf.DUMMYFUNCTION("""COMPUTED_VALUE"""),"Unlisted")</f>
        <v>Unlisted</v>
      </c>
      <c r="C696" s="174" t="str">
        <f>IFERROR(__xludf.DUMMYFUNCTION("""COMPUTED_VALUE"""),"Unlisted")</f>
        <v>Unlisted</v>
      </c>
      <c r="D696" s="174" t="str">
        <f>IFERROR(__xludf.DUMMYFUNCTION("""COMPUTED_VALUE"""),"Unlisted")</f>
        <v>Unlisted</v>
      </c>
      <c r="E696" s="174" t="str">
        <f>IFERROR(__xludf.DUMMYFUNCTION("""COMPUTED_VALUE"""),"Unlisted")</f>
        <v>Unlisted</v>
      </c>
      <c r="F696" s="174" t="str">
        <f>IFERROR(__xludf.DUMMYFUNCTION("""COMPUTED_VALUE"""),"Unlisted")</f>
        <v>Unlisted</v>
      </c>
      <c r="G696" s="174" t="str">
        <f>IFERROR(__xludf.DUMMYFUNCTION("""COMPUTED_VALUE"""),"Proficient")</f>
        <v>Proficient</v>
      </c>
      <c r="H696" s="174" t="str">
        <f>IFERROR(__xludf.DUMMYFUNCTION("""COMPUTED_VALUE"""),"Unlisted")</f>
        <v>Unlisted</v>
      </c>
      <c r="I696" s="174" t="str">
        <f>IFERROR(__xludf.DUMMYFUNCTION("""COMPUTED_VALUE"""),"Unlisted")</f>
        <v>Unlisted</v>
      </c>
      <c r="J696" s="174" t="str">
        <f>IFERROR(__xludf.DUMMYFUNCTION("""COMPUTED_VALUE"""),"Unlisted")</f>
        <v>Unlisted</v>
      </c>
      <c r="K696" s="174" t="str">
        <f>IFERROR(__xludf.DUMMYFUNCTION("""COMPUTED_VALUE"""),"Unlisted")</f>
        <v>Unlisted</v>
      </c>
      <c r="L696" s="174" t="str">
        <f>IFERROR(__xludf.DUMMYFUNCTION("""COMPUTED_VALUE"""),"Proficient")</f>
        <v>Proficient</v>
      </c>
      <c r="M696" s="174" t="str">
        <f>IFERROR(__xludf.DUMMYFUNCTION("""COMPUTED_VALUE"""),"Unlisted")</f>
        <v>Unlisted</v>
      </c>
      <c r="N696" s="174" t="str">
        <f>IFERROR(__xludf.DUMMYFUNCTION("""COMPUTED_VALUE"""),"Unlisted")</f>
        <v>Unlisted</v>
      </c>
      <c r="O696" s="174" t="str">
        <f>IFERROR(__xludf.DUMMYFUNCTION("""COMPUTED_VALUE"""),"Unlisted")</f>
        <v>Unlisted</v>
      </c>
      <c r="P696" s="174" t="str">
        <f>IFERROR(__xludf.DUMMYFUNCTION("""COMPUTED_VALUE"""),"Unlisted")</f>
        <v>Unlisted</v>
      </c>
      <c r="Q696" s="174" t="str">
        <f>IFERROR(__xludf.DUMMYFUNCTION("""COMPUTED_VALUE"""),"Unlisted")</f>
        <v>Unlisted</v>
      </c>
      <c r="R696" s="174" t="str">
        <f>IFERROR(__xludf.DUMMYFUNCTION("""COMPUTED_VALUE"""),"Unlisted")</f>
        <v>Unlisted</v>
      </c>
    </row>
    <row r="697">
      <c r="A697" s="255" t="str">
        <f>IFERROR(__xludf.DUMMYFUNCTION("""COMPUTED_VALUE"""),"Trevenant")</f>
        <v>Trevenant</v>
      </c>
      <c r="B697" s="174" t="str">
        <f>IFERROR(__xludf.DUMMYFUNCTION("""COMPUTED_VALUE"""),"Unlisted")</f>
        <v>Unlisted</v>
      </c>
      <c r="C697" s="174" t="str">
        <f>IFERROR(__xludf.DUMMYFUNCTION("""COMPUTED_VALUE"""),"Proficient")</f>
        <v>Proficient</v>
      </c>
      <c r="D697" s="174" t="str">
        <f>IFERROR(__xludf.DUMMYFUNCTION("""COMPUTED_VALUE"""),"Unlisted")</f>
        <v>Unlisted</v>
      </c>
      <c r="E697" s="174" t="str">
        <f>IFERROR(__xludf.DUMMYFUNCTION("""COMPUTED_VALUE"""),"Unlisted")</f>
        <v>Unlisted</v>
      </c>
      <c r="F697" s="174" t="str">
        <f>IFERROR(__xludf.DUMMYFUNCTION("""COMPUTED_VALUE"""),"Unlisted")</f>
        <v>Unlisted</v>
      </c>
      <c r="G697" s="174" t="str">
        <f>IFERROR(__xludf.DUMMYFUNCTION("""COMPUTED_VALUE"""),"Proficient")</f>
        <v>Proficient</v>
      </c>
      <c r="H697" s="174" t="str">
        <f>IFERROR(__xludf.DUMMYFUNCTION("""COMPUTED_VALUE"""),"Unlisted")</f>
        <v>Unlisted</v>
      </c>
      <c r="I697" s="174" t="str">
        <f>IFERROR(__xludf.DUMMYFUNCTION("""COMPUTED_VALUE"""),"Unlisted")</f>
        <v>Unlisted</v>
      </c>
      <c r="J697" s="174" t="str">
        <f>IFERROR(__xludf.DUMMYFUNCTION("""COMPUTED_VALUE"""),"Unlisted")</f>
        <v>Unlisted</v>
      </c>
      <c r="K697" s="174" t="str">
        <f>IFERROR(__xludf.DUMMYFUNCTION("""COMPUTED_VALUE"""),"Unlisted")</f>
        <v>Unlisted</v>
      </c>
      <c r="L697" s="174" t="str">
        <f>IFERROR(__xludf.DUMMYFUNCTION("""COMPUTED_VALUE"""),"Proficient")</f>
        <v>Proficient</v>
      </c>
      <c r="M697" s="174" t="str">
        <f>IFERROR(__xludf.DUMMYFUNCTION("""COMPUTED_VALUE"""),"Unlisted")</f>
        <v>Unlisted</v>
      </c>
      <c r="N697" s="174" t="str">
        <f>IFERROR(__xludf.DUMMYFUNCTION("""COMPUTED_VALUE"""),"Unlisted")</f>
        <v>Unlisted</v>
      </c>
      <c r="O697" s="174" t="str">
        <f>IFERROR(__xludf.DUMMYFUNCTION("""COMPUTED_VALUE"""),"Unlisted")</f>
        <v>Unlisted</v>
      </c>
      <c r="P697" s="174" t="str">
        <f>IFERROR(__xludf.DUMMYFUNCTION("""COMPUTED_VALUE"""),"Unlisted")</f>
        <v>Unlisted</v>
      </c>
      <c r="Q697" s="174" t="str">
        <f>IFERROR(__xludf.DUMMYFUNCTION("""COMPUTED_VALUE"""),"Unlisted")</f>
        <v>Unlisted</v>
      </c>
      <c r="R697" s="174" t="str">
        <f>IFERROR(__xludf.DUMMYFUNCTION("""COMPUTED_VALUE"""),"Unlisted")</f>
        <v>Unlisted</v>
      </c>
    </row>
    <row r="698">
      <c r="A698" s="255" t="str">
        <f>IFERROR(__xludf.DUMMYFUNCTION("""COMPUTED_VALUE"""),"Pumpkaboo")</f>
        <v>Pumpkaboo</v>
      </c>
      <c r="B698" s="174" t="str">
        <f>IFERROR(__xludf.DUMMYFUNCTION("""COMPUTED_VALUE"""),"Unlisted")</f>
        <v>Unlisted</v>
      </c>
      <c r="C698" s="174" t="str">
        <f>IFERROR(__xludf.DUMMYFUNCTION("""COMPUTED_VALUE"""),"Unlisted")</f>
        <v>Unlisted</v>
      </c>
      <c r="D698" s="174" t="str">
        <f>IFERROR(__xludf.DUMMYFUNCTION("""COMPUTED_VALUE"""),"Unlisted")</f>
        <v>Unlisted</v>
      </c>
      <c r="E698" s="174" t="str">
        <f>IFERROR(__xludf.DUMMYFUNCTION("""COMPUTED_VALUE"""),"Unlisted")</f>
        <v>Unlisted</v>
      </c>
      <c r="F698" s="174" t="str">
        <f>IFERROR(__xludf.DUMMYFUNCTION("""COMPUTED_VALUE"""),"Unlisted")</f>
        <v>Unlisted</v>
      </c>
      <c r="G698" s="174" t="str">
        <f>IFERROR(__xludf.DUMMYFUNCTION("""COMPUTED_VALUE"""),"Proficient")</f>
        <v>Proficient</v>
      </c>
      <c r="H698" s="174" t="str">
        <f>IFERROR(__xludf.DUMMYFUNCTION("""COMPUTED_VALUE"""),"Unlisted")</f>
        <v>Unlisted</v>
      </c>
      <c r="I698" s="174" t="str">
        <f>IFERROR(__xludf.DUMMYFUNCTION("""COMPUTED_VALUE"""),"Unlisted")</f>
        <v>Unlisted</v>
      </c>
      <c r="J698" s="174" t="str">
        <f>IFERROR(__xludf.DUMMYFUNCTION("""COMPUTED_VALUE"""),"Proficient")</f>
        <v>Proficient</v>
      </c>
      <c r="K698" s="174" t="str">
        <f>IFERROR(__xludf.DUMMYFUNCTION("""COMPUTED_VALUE"""),"Unlisted")</f>
        <v>Unlisted</v>
      </c>
      <c r="L698" s="174" t="str">
        <f>IFERROR(__xludf.DUMMYFUNCTION("""COMPUTED_VALUE"""),"Unlisted")</f>
        <v>Unlisted</v>
      </c>
      <c r="M698" s="174" t="str">
        <f>IFERROR(__xludf.DUMMYFUNCTION("""COMPUTED_VALUE"""),"Unlisted")</f>
        <v>Unlisted</v>
      </c>
      <c r="N698" s="174" t="str">
        <f>IFERROR(__xludf.DUMMYFUNCTION("""COMPUTED_VALUE"""),"Unlisted")</f>
        <v>Unlisted</v>
      </c>
      <c r="O698" s="174" t="str">
        <f>IFERROR(__xludf.DUMMYFUNCTION("""COMPUTED_VALUE"""),"Unlisted")</f>
        <v>Unlisted</v>
      </c>
      <c r="P698" s="174" t="str">
        <f>IFERROR(__xludf.DUMMYFUNCTION("""COMPUTED_VALUE"""),"Unlisted")</f>
        <v>Unlisted</v>
      </c>
      <c r="Q698" s="174" t="str">
        <f>IFERROR(__xludf.DUMMYFUNCTION("""COMPUTED_VALUE"""),"Unlisted")</f>
        <v>Unlisted</v>
      </c>
      <c r="R698" s="174" t="str">
        <f>IFERROR(__xludf.DUMMYFUNCTION("""COMPUTED_VALUE"""),"Unlisted")</f>
        <v>Unlisted</v>
      </c>
    </row>
    <row r="699">
      <c r="A699" s="255" t="str">
        <f>IFERROR(__xludf.DUMMYFUNCTION("""COMPUTED_VALUE"""),"Gourgeist")</f>
        <v>Gourgeist</v>
      </c>
      <c r="B699" s="174" t="str">
        <f>IFERROR(__xludf.DUMMYFUNCTION("""COMPUTED_VALUE"""),"Unlisted")</f>
        <v>Unlisted</v>
      </c>
      <c r="C699" s="174" t="str">
        <f>IFERROR(__xludf.DUMMYFUNCTION("""COMPUTED_VALUE"""),"Unlisted")</f>
        <v>Unlisted</v>
      </c>
      <c r="D699" s="174" t="str">
        <f>IFERROR(__xludf.DUMMYFUNCTION("""COMPUTED_VALUE"""),"Unlisted")</f>
        <v>Unlisted</v>
      </c>
      <c r="E699" s="174" t="str">
        <f>IFERROR(__xludf.DUMMYFUNCTION("""COMPUTED_VALUE"""),"Unlisted")</f>
        <v>Unlisted</v>
      </c>
      <c r="F699" s="174" t="str">
        <f>IFERROR(__xludf.DUMMYFUNCTION("""COMPUTED_VALUE"""),"Unlisted")</f>
        <v>Unlisted</v>
      </c>
      <c r="G699" s="174" t="str">
        <f>IFERROR(__xludf.DUMMYFUNCTION("""COMPUTED_VALUE"""),"Proficient")</f>
        <v>Proficient</v>
      </c>
      <c r="H699" s="174" t="str">
        <f>IFERROR(__xludf.DUMMYFUNCTION("""COMPUTED_VALUE"""),"Unlisted")</f>
        <v>Unlisted</v>
      </c>
      <c r="I699" s="174" t="str">
        <f>IFERROR(__xludf.DUMMYFUNCTION("""COMPUTED_VALUE"""),"Unlisted")</f>
        <v>Unlisted</v>
      </c>
      <c r="J699" s="174" t="str">
        <f>IFERROR(__xludf.DUMMYFUNCTION("""COMPUTED_VALUE"""),"Proficient")</f>
        <v>Proficient</v>
      </c>
      <c r="K699" s="174" t="str">
        <f>IFERROR(__xludf.DUMMYFUNCTION("""COMPUTED_VALUE"""),"Unlisted")</f>
        <v>Unlisted</v>
      </c>
      <c r="L699" s="174" t="str">
        <f>IFERROR(__xludf.DUMMYFUNCTION("""COMPUTED_VALUE"""),"Unlisted")</f>
        <v>Unlisted</v>
      </c>
      <c r="M699" s="174" t="str">
        <f>IFERROR(__xludf.DUMMYFUNCTION("""COMPUTED_VALUE"""),"Unlisted")</f>
        <v>Unlisted</v>
      </c>
      <c r="N699" s="174" t="str">
        <f>IFERROR(__xludf.DUMMYFUNCTION("""COMPUTED_VALUE"""),"Unlisted")</f>
        <v>Unlisted</v>
      </c>
      <c r="O699" s="174" t="str">
        <f>IFERROR(__xludf.DUMMYFUNCTION("""COMPUTED_VALUE"""),"Unlisted")</f>
        <v>Unlisted</v>
      </c>
      <c r="P699" s="174" t="str">
        <f>IFERROR(__xludf.DUMMYFUNCTION("""COMPUTED_VALUE"""),"Unlisted")</f>
        <v>Unlisted</v>
      </c>
      <c r="Q699" s="174" t="str">
        <f>IFERROR(__xludf.DUMMYFUNCTION("""COMPUTED_VALUE"""),"Unlisted")</f>
        <v>Unlisted</v>
      </c>
      <c r="R699" s="174" t="str">
        <f>IFERROR(__xludf.DUMMYFUNCTION("""COMPUTED_VALUE"""),"Unlisted")</f>
        <v>Unlisted</v>
      </c>
    </row>
    <row r="700">
      <c r="A700" s="255" t="str">
        <f>IFERROR(__xludf.DUMMYFUNCTION("""COMPUTED_VALUE"""),"Sandygast")</f>
        <v>Sandygast</v>
      </c>
      <c r="B700" s="174" t="str">
        <f>IFERROR(__xludf.DUMMYFUNCTION("""COMPUTED_VALUE"""),"Inept")</f>
        <v>Inept</v>
      </c>
      <c r="C700" s="174" t="str">
        <f>IFERROR(__xludf.DUMMYFUNCTION("""COMPUTED_VALUE"""),"Unlisted")</f>
        <v>Unlisted</v>
      </c>
      <c r="D700" s="174" t="str">
        <f>IFERROR(__xludf.DUMMYFUNCTION("""COMPUTED_VALUE"""),"Unlisted")</f>
        <v>Unlisted</v>
      </c>
      <c r="E700" s="174" t="str">
        <f>IFERROR(__xludf.DUMMYFUNCTION("""COMPUTED_VALUE"""),"Unlisted")</f>
        <v>Unlisted</v>
      </c>
      <c r="F700" s="174" t="str">
        <f>IFERROR(__xludf.DUMMYFUNCTION("""COMPUTED_VALUE"""),"Unlisted")</f>
        <v>Unlisted</v>
      </c>
      <c r="G700" s="174" t="str">
        <f>IFERROR(__xludf.DUMMYFUNCTION("""COMPUTED_VALUE"""),"Unlisted")</f>
        <v>Unlisted</v>
      </c>
      <c r="H700" s="174" t="str">
        <f>IFERROR(__xludf.DUMMYFUNCTION("""COMPUTED_VALUE"""),"Unlisted")</f>
        <v>Unlisted</v>
      </c>
      <c r="I700" s="174" t="str">
        <f>IFERROR(__xludf.DUMMYFUNCTION("""COMPUTED_VALUE"""),"Unlisted")</f>
        <v>Unlisted</v>
      </c>
      <c r="J700" s="174" t="str">
        <f>IFERROR(__xludf.DUMMYFUNCTION("""COMPUTED_VALUE"""),"Unlisted")</f>
        <v>Unlisted</v>
      </c>
      <c r="K700" s="174" t="str">
        <f>IFERROR(__xludf.DUMMYFUNCTION("""COMPUTED_VALUE"""),"Proficient")</f>
        <v>Proficient</v>
      </c>
      <c r="L700" s="174" t="str">
        <f>IFERROR(__xludf.DUMMYFUNCTION("""COMPUTED_VALUE"""),"Proficient")</f>
        <v>Proficient</v>
      </c>
      <c r="M700" s="174" t="str">
        <f>IFERROR(__xludf.DUMMYFUNCTION("""COMPUTED_VALUE"""),"Unlisted")</f>
        <v>Unlisted</v>
      </c>
      <c r="N700" s="174" t="str">
        <f>IFERROR(__xludf.DUMMYFUNCTION("""COMPUTED_VALUE"""),"Unlisted")</f>
        <v>Unlisted</v>
      </c>
      <c r="O700" s="174" t="str">
        <f>IFERROR(__xludf.DUMMYFUNCTION("""COMPUTED_VALUE"""),"Unlisted")</f>
        <v>Unlisted</v>
      </c>
      <c r="P700" s="174" t="str">
        <f>IFERROR(__xludf.DUMMYFUNCTION("""COMPUTED_VALUE"""),"Unlisted")</f>
        <v>Unlisted</v>
      </c>
      <c r="Q700" s="174" t="str">
        <f>IFERROR(__xludf.DUMMYFUNCTION("""COMPUTED_VALUE"""),"Unlisted")</f>
        <v>Unlisted</v>
      </c>
      <c r="R700" s="174" t="str">
        <f>IFERROR(__xludf.DUMMYFUNCTION("""COMPUTED_VALUE"""),"Unlisted")</f>
        <v>Unlisted</v>
      </c>
    </row>
    <row r="701">
      <c r="A701" s="255" t="str">
        <f>IFERROR(__xludf.DUMMYFUNCTION("""COMPUTED_VALUE"""),"Palossand")</f>
        <v>Palossand</v>
      </c>
      <c r="B701" s="174" t="str">
        <f>IFERROR(__xludf.DUMMYFUNCTION("""COMPUTED_VALUE"""),"Inept")</f>
        <v>Inept</v>
      </c>
      <c r="C701" s="174" t="str">
        <f>IFERROR(__xludf.DUMMYFUNCTION("""COMPUTED_VALUE"""),"Unlisted")</f>
        <v>Unlisted</v>
      </c>
      <c r="D701" s="174" t="str">
        <f>IFERROR(__xludf.DUMMYFUNCTION("""COMPUTED_VALUE"""),"Unlisted")</f>
        <v>Unlisted</v>
      </c>
      <c r="E701" s="174" t="str">
        <f>IFERROR(__xludf.DUMMYFUNCTION("""COMPUTED_VALUE"""),"Unlisted")</f>
        <v>Unlisted</v>
      </c>
      <c r="F701" s="174" t="str">
        <f>IFERROR(__xludf.DUMMYFUNCTION("""COMPUTED_VALUE"""),"Unlisted")</f>
        <v>Unlisted</v>
      </c>
      <c r="G701" s="174" t="str">
        <f>IFERROR(__xludf.DUMMYFUNCTION("""COMPUTED_VALUE"""),"Unlisted")</f>
        <v>Unlisted</v>
      </c>
      <c r="H701" s="174" t="str">
        <f>IFERROR(__xludf.DUMMYFUNCTION("""COMPUTED_VALUE"""),"Unlisted")</f>
        <v>Unlisted</v>
      </c>
      <c r="I701" s="174" t="str">
        <f>IFERROR(__xludf.DUMMYFUNCTION("""COMPUTED_VALUE"""),"Unlisted")</f>
        <v>Unlisted</v>
      </c>
      <c r="J701" s="174" t="str">
        <f>IFERROR(__xludf.DUMMYFUNCTION("""COMPUTED_VALUE"""),"Unlisted")</f>
        <v>Unlisted</v>
      </c>
      <c r="K701" s="174" t="str">
        <f>IFERROR(__xludf.DUMMYFUNCTION("""COMPUTED_VALUE"""),"Proficient")</f>
        <v>Proficient</v>
      </c>
      <c r="L701" s="174" t="str">
        <f>IFERROR(__xludf.DUMMYFUNCTION("""COMPUTED_VALUE"""),"Proficient")</f>
        <v>Proficient</v>
      </c>
      <c r="M701" s="174" t="str">
        <f>IFERROR(__xludf.DUMMYFUNCTION("""COMPUTED_VALUE"""),"Unlisted")</f>
        <v>Unlisted</v>
      </c>
      <c r="N701" s="174" t="str">
        <f>IFERROR(__xludf.DUMMYFUNCTION("""COMPUTED_VALUE"""),"Unlisted")</f>
        <v>Unlisted</v>
      </c>
      <c r="O701" s="174" t="str">
        <f>IFERROR(__xludf.DUMMYFUNCTION("""COMPUTED_VALUE"""),"Unlisted")</f>
        <v>Unlisted</v>
      </c>
      <c r="P701" s="174" t="str">
        <f>IFERROR(__xludf.DUMMYFUNCTION("""COMPUTED_VALUE"""),"Unlisted")</f>
        <v>Unlisted</v>
      </c>
      <c r="Q701" s="174" t="str">
        <f>IFERROR(__xludf.DUMMYFUNCTION("""COMPUTED_VALUE"""),"Unlisted")</f>
        <v>Unlisted</v>
      </c>
      <c r="R701" s="174" t="str">
        <f>IFERROR(__xludf.DUMMYFUNCTION("""COMPUTED_VALUE"""),"Unlisted")</f>
        <v>Unlisted</v>
      </c>
    </row>
    <row r="702">
      <c r="A702" s="255" t="str">
        <f>IFERROR(__xludf.DUMMYFUNCTION("""COMPUTED_VALUE"""),"Sinistea")</f>
        <v>Sinistea</v>
      </c>
      <c r="B702" s="174" t="str">
        <f>IFERROR(__xludf.DUMMYFUNCTION("""COMPUTED_VALUE"""),"Proficient")</f>
        <v>Proficient</v>
      </c>
      <c r="C702" s="174" t="str">
        <f>IFERROR(__xludf.DUMMYFUNCTION("""COMPUTED_VALUE"""),"Unlisted")</f>
        <v>Unlisted</v>
      </c>
      <c r="D702" s="174" t="str">
        <f>IFERROR(__xludf.DUMMYFUNCTION("""COMPUTED_VALUE"""),"Unlisted")</f>
        <v>Unlisted</v>
      </c>
      <c r="E702" s="174" t="str">
        <f>IFERROR(__xludf.DUMMYFUNCTION("""COMPUTED_VALUE"""),"Inept")</f>
        <v>Inept</v>
      </c>
      <c r="F702" s="174" t="str">
        <f>IFERROR(__xludf.DUMMYFUNCTION("""COMPUTED_VALUE"""),"Unlisted")</f>
        <v>Unlisted</v>
      </c>
      <c r="G702" s="174" t="str">
        <f>IFERROR(__xludf.DUMMYFUNCTION("""COMPUTED_VALUE"""),"Unlisted")</f>
        <v>Unlisted</v>
      </c>
      <c r="H702" s="174" t="str">
        <f>IFERROR(__xludf.DUMMYFUNCTION("""COMPUTED_VALUE"""),"Proficient")</f>
        <v>Proficient</v>
      </c>
      <c r="I702" s="174" t="str">
        <f>IFERROR(__xludf.DUMMYFUNCTION("""COMPUTED_VALUE"""),"Unlisted")</f>
        <v>Unlisted</v>
      </c>
      <c r="J702" s="174" t="str">
        <f>IFERROR(__xludf.DUMMYFUNCTION("""COMPUTED_VALUE"""),"Unlisted")</f>
        <v>Unlisted</v>
      </c>
      <c r="K702" s="174" t="str">
        <f>IFERROR(__xludf.DUMMYFUNCTION("""COMPUTED_VALUE"""),"Unlisted")</f>
        <v>Unlisted</v>
      </c>
      <c r="L702" s="174" t="str">
        <f>IFERROR(__xludf.DUMMYFUNCTION("""COMPUTED_VALUE"""),"Mastered")</f>
        <v>Mastered</v>
      </c>
      <c r="M702" s="174" t="str">
        <f>IFERROR(__xludf.DUMMYFUNCTION("""COMPUTED_VALUE"""),"Unlisted")</f>
        <v>Unlisted</v>
      </c>
      <c r="N702" s="174" t="str">
        <f>IFERROR(__xludf.DUMMYFUNCTION("""COMPUTED_VALUE"""),"Unlisted")</f>
        <v>Unlisted</v>
      </c>
      <c r="O702" s="174" t="str">
        <f>IFERROR(__xludf.DUMMYFUNCTION("""COMPUTED_VALUE"""),"Unlisted")</f>
        <v>Unlisted</v>
      </c>
      <c r="P702" s="174" t="str">
        <f>IFERROR(__xludf.DUMMYFUNCTION("""COMPUTED_VALUE"""),"Unlisted")</f>
        <v>Unlisted</v>
      </c>
      <c r="Q702" s="174" t="str">
        <f>IFERROR(__xludf.DUMMYFUNCTION("""COMPUTED_VALUE"""),"Unlisted")</f>
        <v>Unlisted</v>
      </c>
      <c r="R702" s="174" t="str">
        <f>IFERROR(__xludf.DUMMYFUNCTION("""COMPUTED_VALUE"""),"Unlisted")</f>
        <v>Unlisted</v>
      </c>
    </row>
    <row r="703">
      <c r="A703" s="255" t="str">
        <f>IFERROR(__xludf.DUMMYFUNCTION("""COMPUTED_VALUE"""),"Polteageist")</f>
        <v>Polteageist</v>
      </c>
      <c r="B703" s="174" t="str">
        <f>IFERROR(__xludf.DUMMYFUNCTION("""COMPUTED_VALUE"""),"Proficient")</f>
        <v>Proficient</v>
      </c>
      <c r="C703" s="174" t="str">
        <f>IFERROR(__xludf.DUMMYFUNCTION("""COMPUTED_VALUE"""),"Unlisted")</f>
        <v>Unlisted</v>
      </c>
      <c r="D703" s="174" t="str">
        <f>IFERROR(__xludf.DUMMYFUNCTION("""COMPUTED_VALUE"""),"Unlisted")</f>
        <v>Unlisted</v>
      </c>
      <c r="E703" s="174" t="str">
        <f>IFERROR(__xludf.DUMMYFUNCTION("""COMPUTED_VALUE"""),"Inept")</f>
        <v>Inept</v>
      </c>
      <c r="F703" s="174" t="str">
        <f>IFERROR(__xludf.DUMMYFUNCTION("""COMPUTED_VALUE"""),"Unlisted")</f>
        <v>Unlisted</v>
      </c>
      <c r="G703" s="174" t="str">
        <f>IFERROR(__xludf.DUMMYFUNCTION("""COMPUTED_VALUE"""),"Unlisted")</f>
        <v>Unlisted</v>
      </c>
      <c r="H703" s="174" t="str">
        <f>IFERROR(__xludf.DUMMYFUNCTION("""COMPUTED_VALUE"""),"Proficient")</f>
        <v>Proficient</v>
      </c>
      <c r="I703" s="174" t="str">
        <f>IFERROR(__xludf.DUMMYFUNCTION("""COMPUTED_VALUE"""),"Unlisted")</f>
        <v>Unlisted</v>
      </c>
      <c r="J703" s="174" t="str">
        <f>IFERROR(__xludf.DUMMYFUNCTION("""COMPUTED_VALUE"""),"Unlisted")</f>
        <v>Unlisted</v>
      </c>
      <c r="K703" s="174" t="str">
        <f>IFERROR(__xludf.DUMMYFUNCTION("""COMPUTED_VALUE"""),"Unlisted")</f>
        <v>Unlisted</v>
      </c>
      <c r="L703" s="174" t="str">
        <f>IFERROR(__xludf.DUMMYFUNCTION("""COMPUTED_VALUE"""),"Mastered")</f>
        <v>Mastered</v>
      </c>
      <c r="M703" s="174" t="str">
        <f>IFERROR(__xludf.DUMMYFUNCTION("""COMPUTED_VALUE"""),"Unlisted")</f>
        <v>Unlisted</v>
      </c>
      <c r="N703" s="174" t="str">
        <f>IFERROR(__xludf.DUMMYFUNCTION("""COMPUTED_VALUE"""),"Unlisted")</f>
        <v>Unlisted</v>
      </c>
      <c r="O703" s="174" t="str">
        <f>IFERROR(__xludf.DUMMYFUNCTION("""COMPUTED_VALUE"""),"Unlisted")</f>
        <v>Unlisted</v>
      </c>
      <c r="P703" s="174" t="str">
        <f>IFERROR(__xludf.DUMMYFUNCTION("""COMPUTED_VALUE"""),"Unlisted")</f>
        <v>Unlisted</v>
      </c>
      <c r="Q703" s="174" t="str">
        <f>IFERROR(__xludf.DUMMYFUNCTION("""COMPUTED_VALUE"""),"Unlisted")</f>
        <v>Unlisted</v>
      </c>
      <c r="R703" s="174" t="str">
        <f>IFERROR(__xludf.DUMMYFUNCTION("""COMPUTED_VALUE"""),"Unlisted")</f>
        <v>Unlisted</v>
      </c>
    </row>
    <row r="704">
      <c r="A704" s="255" t="str">
        <f>IFERROR(__xludf.DUMMYFUNCTION("""COMPUTED_VALUE"""),"Greavard")</f>
        <v>Greavard</v>
      </c>
      <c r="B704" s="174" t="str">
        <f>IFERROR(__xludf.DUMMYFUNCTION("""COMPUTED_VALUE"""),"Unlisted")</f>
        <v>Unlisted</v>
      </c>
      <c r="C704" s="174" t="str">
        <f>IFERROR(__xludf.DUMMYFUNCTION("""COMPUTED_VALUE"""),"Unlisted")</f>
        <v>Unlisted</v>
      </c>
      <c r="D704" s="174" t="str">
        <f>IFERROR(__xludf.DUMMYFUNCTION("""COMPUTED_VALUE"""),"Unlisted")</f>
        <v>Unlisted</v>
      </c>
      <c r="E704" s="174" t="str">
        <f>IFERROR(__xludf.DUMMYFUNCTION("""COMPUTED_VALUE"""),"Unlisted")</f>
        <v>Unlisted</v>
      </c>
      <c r="F704" s="174" t="str">
        <f>IFERROR(__xludf.DUMMYFUNCTION("""COMPUTED_VALUE"""),"Unlisted")</f>
        <v>Unlisted</v>
      </c>
      <c r="G704" s="174" t="str">
        <f>IFERROR(__xludf.DUMMYFUNCTION("""COMPUTED_VALUE"""),"Unlisted")</f>
        <v>Unlisted</v>
      </c>
      <c r="H704" s="174" t="str">
        <f>IFERROR(__xludf.DUMMYFUNCTION("""COMPUTED_VALUE"""),"Unlisted")</f>
        <v>Unlisted</v>
      </c>
      <c r="I704" s="174" t="str">
        <f>IFERROR(__xludf.DUMMYFUNCTION("""COMPUTED_VALUE"""),"Unlisted")</f>
        <v>Unlisted</v>
      </c>
      <c r="J704" s="174" t="str">
        <f>IFERROR(__xludf.DUMMYFUNCTION("""COMPUTED_VALUE"""),"Proficient")</f>
        <v>Proficient</v>
      </c>
      <c r="K704" s="174" t="str">
        <f>IFERROR(__xludf.DUMMYFUNCTION("""COMPUTED_VALUE"""),"Proficient")</f>
        <v>Proficient</v>
      </c>
      <c r="L704" s="174" t="str">
        <f>IFERROR(__xludf.DUMMYFUNCTION("""COMPUTED_VALUE"""),"Proficient")</f>
        <v>Proficient</v>
      </c>
      <c r="M704" s="174" t="str">
        <f>IFERROR(__xludf.DUMMYFUNCTION("""COMPUTED_VALUE"""),"Unlisted")</f>
        <v>Unlisted</v>
      </c>
      <c r="N704" s="174" t="str">
        <f>IFERROR(__xludf.DUMMYFUNCTION("""COMPUTED_VALUE"""),"Unlisted")</f>
        <v>Unlisted</v>
      </c>
      <c r="O704" s="174" t="str">
        <f>IFERROR(__xludf.DUMMYFUNCTION("""COMPUTED_VALUE"""),"Unlisted")</f>
        <v>Unlisted</v>
      </c>
      <c r="P704" s="174" t="str">
        <f>IFERROR(__xludf.DUMMYFUNCTION("""COMPUTED_VALUE"""),"Unlisted")</f>
        <v>Unlisted</v>
      </c>
      <c r="Q704" s="174" t="str">
        <f>IFERROR(__xludf.DUMMYFUNCTION("""COMPUTED_VALUE"""),"Unlisted")</f>
        <v>Unlisted</v>
      </c>
      <c r="R704" s="174" t="str">
        <f>IFERROR(__xludf.DUMMYFUNCTION("""COMPUTED_VALUE"""),"Unlisted")</f>
        <v>Unlisted</v>
      </c>
    </row>
    <row r="705">
      <c r="A705" s="255" t="str">
        <f>IFERROR(__xludf.DUMMYFUNCTION("""COMPUTED_VALUE"""),"Houndstone")</f>
        <v>Houndstone</v>
      </c>
      <c r="B705" s="174" t="str">
        <f>IFERROR(__xludf.DUMMYFUNCTION("""COMPUTED_VALUE"""),"Unlisted")</f>
        <v>Unlisted</v>
      </c>
      <c r="C705" s="174" t="str">
        <f>IFERROR(__xludf.DUMMYFUNCTION("""COMPUTED_VALUE"""),"Unlisted")</f>
        <v>Unlisted</v>
      </c>
      <c r="D705" s="174" t="str">
        <f>IFERROR(__xludf.DUMMYFUNCTION("""COMPUTED_VALUE"""),"Unlisted")</f>
        <v>Unlisted</v>
      </c>
      <c r="E705" s="174" t="str">
        <f>IFERROR(__xludf.DUMMYFUNCTION("""COMPUTED_VALUE"""),"Unlisted")</f>
        <v>Unlisted</v>
      </c>
      <c r="F705" s="174" t="str">
        <f>IFERROR(__xludf.DUMMYFUNCTION("""COMPUTED_VALUE"""),"Unlisted")</f>
        <v>Unlisted</v>
      </c>
      <c r="G705" s="174" t="str">
        <f>IFERROR(__xludf.DUMMYFUNCTION("""COMPUTED_VALUE"""),"Unlisted")</f>
        <v>Unlisted</v>
      </c>
      <c r="H705" s="174" t="str">
        <f>IFERROR(__xludf.DUMMYFUNCTION("""COMPUTED_VALUE"""),"Unlisted")</f>
        <v>Unlisted</v>
      </c>
      <c r="I705" s="174" t="str">
        <f>IFERROR(__xludf.DUMMYFUNCTION("""COMPUTED_VALUE"""),"Unlisted")</f>
        <v>Unlisted</v>
      </c>
      <c r="J705" s="174" t="str">
        <f>IFERROR(__xludf.DUMMYFUNCTION("""COMPUTED_VALUE"""),"Proficient")</f>
        <v>Proficient</v>
      </c>
      <c r="K705" s="174" t="str">
        <f>IFERROR(__xludf.DUMMYFUNCTION("""COMPUTED_VALUE"""),"Proficient")</f>
        <v>Proficient</v>
      </c>
      <c r="L705" s="174" t="str">
        <f>IFERROR(__xludf.DUMMYFUNCTION("""COMPUTED_VALUE"""),"Proficient")</f>
        <v>Proficient</v>
      </c>
      <c r="M705" s="174" t="str">
        <f>IFERROR(__xludf.DUMMYFUNCTION("""COMPUTED_VALUE"""),"Unlisted")</f>
        <v>Unlisted</v>
      </c>
      <c r="N705" s="174" t="str">
        <f>IFERROR(__xludf.DUMMYFUNCTION("""COMPUTED_VALUE"""),"Unlisted")</f>
        <v>Unlisted</v>
      </c>
      <c r="O705" s="174" t="str">
        <f>IFERROR(__xludf.DUMMYFUNCTION("""COMPUTED_VALUE"""),"Unlisted")</f>
        <v>Unlisted</v>
      </c>
      <c r="P705" s="174" t="str">
        <f>IFERROR(__xludf.DUMMYFUNCTION("""COMPUTED_VALUE"""),"Unlisted")</f>
        <v>Unlisted</v>
      </c>
      <c r="Q705" s="174" t="str">
        <f>IFERROR(__xludf.DUMMYFUNCTION("""COMPUTED_VALUE"""),"Unlisted")</f>
        <v>Unlisted</v>
      </c>
      <c r="R705" s="174" t="str">
        <f>IFERROR(__xludf.DUMMYFUNCTION("""COMPUTED_VALUE"""),"Unlisted")</f>
        <v>Unlisted</v>
      </c>
    </row>
    <row r="706">
      <c r="A706" s="255" t="str">
        <f>IFERROR(__xludf.DUMMYFUNCTION("""COMPUTED_VALUE"""),"Exeggcute")</f>
        <v>Exeggcute</v>
      </c>
      <c r="B706" s="174" t="str">
        <f>IFERROR(__xludf.DUMMYFUNCTION("""COMPUTED_VALUE"""),"Inept")</f>
        <v>Inept</v>
      </c>
      <c r="C706" s="174" t="str">
        <f>IFERROR(__xludf.DUMMYFUNCTION("""COMPUTED_VALUE"""),"Unlisted")</f>
        <v>Unlisted</v>
      </c>
      <c r="D706" s="174" t="str">
        <f>IFERROR(__xludf.DUMMYFUNCTION("""COMPUTED_VALUE"""),"Unlisted")</f>
        <v>Unlisted</v>
      </c>
      <c r="E706" s="174" t="str">
        <f>IFERROR(__xludf.DUMMYFUNCTION("""COMPUTED_VALUE"""),"Unlisted")</f>
        <v>Unlisted</v>
      </c>
      <c r="F706" s="174" t="str">
        <f>IFERROR(__xludf.DUMMYFUNCTION("""COMPUTED_VALUE"""),"Unlisted")</f>
        <v>Unlisted</v>
      </c>
      <c r="G706" s="174" t="str">
        <f>IFERROR(__xludf.DUMMYFUNCTION("""COMPUTED_VALUE"""),"Proficient")</f>
        <v>Proficient</v>
      </c>
      <c r="H706" s="174" t="str">
        <f>IFERROR(__xludf.DUMMYFUNCTION("""COMPUTED_VALUE"""),"Unlisted")</f>
        <v>Unlisted</v>
      </c>
      <c r="I706" s="174" t="str">
        <f>IFERROR(__xludf.DUMMYFUNCTION("""COMPUTED_VALUE"""),"Unlisted")</f>
        <v>Unlisted</v>
      </c>
      <c r="J706" s="174" t="str">
        <f>IFERROR(__xludf.DUMMYFUNCTION("""COMPUTED_VALUE"""),"Unlisted")</f>
        <v>Unlisted</v>
      </c>
      <c r="K706" s="174" t="str">
        <f>IFERROR(__xludf.DUMMYFUNCTION("""COMPUTED_VALUE"""),"Proficient")</f>
        <v>Proficient</v>
      </c>
      <c r="L706" s="174" t="str">
        <f>IFERROR(__xludf.DUMMYFUNCTION("""COMPUTED_VALUE"""),"Unlisted")</f>
        <v>Unlisted</v>
      </c>
      <c r="M706" s="174" t="str">
        <f>IFERROR(__xludf.DUMMYFUNCTION("""COMPUTED_VALUE"""),"Unlisted")</f>
        <v>Unlisted</v>
      </c>
      <c r="N706" s="174" t="str">
        <f>IFERROR(__xludf.DUMMYFUNCTION("""COMPUTED_VALUE"""),"Unlisted")</f>
        <v>Unlisted</v>
      </c>
      <c r="O706" s="174" t="str">
        <f>IFERROR(__xludf.DUMMYFUNCTION("""COMPUTED_VALUE"""),"Unlisted")</f>
        <v>Unlisted</v>
      </c>
      <c r="P706" s="174" t="str">
        <f>IFERROR(__xludf.DUMMYFUNCTION("""COMPUTED_VALUE"""),"Unlisted")</f>
        <v>Unlisted</v>
      </c>
      <c r="Q706" s="174" t="str">
        <f>IFERROR(__xludf.DUMMYFUNCTION("""COMPUTED_VALUE"""),"Unlisted")</f>
        <v>Unlisted</v>
      </c>
      <c r="R706" s="174" t="str">
        <f>IFERROR(__xludf.DUMMYFUNCTION("""COMPUTED_VALUE"""),"Unlisted")</f>
        <v>Unlisted</v>
      </c>
    </row>
    <row r="707">
      <c r="A707" s="255" t="str">
        <f>IFERROR(__xludf.DUMMYFUNCTION("""COMPUTED_VALUE"""),"Exeggutor")</f>
        <v>Exeggutor</v>
      </c>
      <c r="B707" s="174" t="str">
        <f>IFERROR(__xludf.DUMMYFUNCTION("""COMPUTED_VALUE"""),"Inept")</f>
        <v>Inept</v>
      </c>
      <c r="C707" s="174" t="str">
        <f>IFERROR(__xludf.DUMMYFUNCTION("""COMPUTED_VALUE"""),"Proficient")</f>
        <v>Proficient</v>
      </c>
      <c r="D707" s="174" t="str">
        <f>IFERROR(__xludf.DUMMYFUNCTION("""COMPUTED_VALUE"""),"Unlisted")</f>
        <v>Unlisted</v>
      </c>
      <c r="E707" s="174" t="str">
        <f>IFERROR(__xludf.DUMMYFUNCTION("""COMPUTED_VALUE"""),"Unlisted")</f>
        <v>Unlisted</v>
      </c>
      <c r="F707" s="174" t="str">
        <f>IFERROR(__xludf.DUMMYFUNCTION("""COMPUTED_VALUE"""),"Unlisted")</f>
        <v>Unlisted</v>
      </c>
      <c r="G707" s="174" t="str">
        <f>IFERROR(__xludf.DUMMYFUNCTION("""COMPUTED_VALUE"""),"Proficient")</f>
        <v>Proficient</v>
      </c>
      <c r="H707" s="174" t="str">
        <f>IFERROR(__xludf.DUMMYFUNCTION("""COMPUTED_VALUE"""),"Unlisted")</f>
        <v>Unlisted</v>
      </c>
      <c r="I707" s="174" t="str">
        <f>IFERROR(__xludf.DUMMYFUNCTION("""COMPUTED_VALUE"""),"Unlisted")</f>
        <v>Unlisted</v>
      </c>
      <c r="J707" s="174" t="str">
        <f>IFERROR(__xludf.DUMMYFUNCTION("""COMPUTED_VALUE"""),"Unlisted")</f>
        <v>Unlisted</v>
      </c>
      <c r="K707" s="174" t="str">
        <f>IFERROR(__xludf.DUMMYFUNCTION("""COMPUTED_VALUE"""),"Proficient")</f>
        <v>Proficient</v>
      </c>
      <c r="L707" s="174" t="str">
        <f>IFERROR(__xludf.DUMMYFUNCTION("""COMPUTED_VALUE"""),"Unlisted")</f>
        <v>Unlisted</v>
      </c>
      <c r="M707" s="174" t="str">
        <f>IFERROR(__xludf.DUMMYFUNCTION("""COMPUTED_VALUE"""),"Unlisted")</f>
        <v>Unlisted</v>
      </c>
      <c r="N707" s="174" t="str">
        <f>IFERROR(__xludf.DUMMYFUNCTION("""COMPUTED_VALUE"""),"Unlisted")</f>
        <v>Unlisted</v>
      </c>
      <c r="O707" s="174" t="str">
        <f>IFERROR(__xludf.DUMMYFUNCTION("""COMPUTED_VALUE"""),"Unlisted")</f>
        <v>Unlisted</v>
      </c>
      <c r="P707" s="174" t="str">
        <f>IFERROR(__xludf.DUMMYFUNCTION("""COMPUTED_VALUE"""),"Unlisted")</f>
        <v>Unlisted</v>
      </c>
      <c r="Q707" s="174" t="str">
        <f>IFERROR(__xludf.DUMMYFUNCTION("""COMPUTED_VALUE"""),"Unlisted")</f>
        <v>Unlisted</v>
      </c>
      <c r="R707" s="174" t="str">
        <f>IFERROR(__xludf.DUMMYFUNCTION("""COMPUTED_VALUE"""),"Unlisted")</f>
        <v>Unlisted</v>
      </c>
    </row>
    <row r="708">
      <c r="A708" s="255" t="str">
        <f>IFERROR(__xludf.DUMMYFUNCTION("""COMPUTED_VALUE"""),"Alolan Exeggutor")</f>
        <v>Alolan Exeggutor</v>
      </c>
      <c r="B708" s="174" t="str">
        <f>IFERROR(__xludf.DUMMYFUNCTION("""COMPUTED_VALUE"""),"Inept")</f>
        <v>Inept</v>
      </c>
      <c r="C708" s="174" t="str">
        <f>IFERROR(__xludf.DUMMYFUNCTION("""COMPUTED_VALUE"""),"Proficient")</f>
        <v>Proficient</v>
      </c>
      <c r="D708" s="174" t="str">
        <f>IFERROR(__xludf.DUMMYFUNCTION("""COMPUTED_VALUE"""),"Unlisted")</f>
        <v>Unlisted</v>
      </c>
      <c r="E708" s="174" t="str">
        <f>IFERROR(__xludf.DUMMYFUNCTION("""COMPUTED_VALUE"""),"Unlisted")</f>
        <v>Unlisted</v>
      </c>
      <c r="F708" s="174" t="str">
        <f>IFERROR(__xludf.DUMMYFUNCTION("""COMPUTED_VALUE"""),"Unlisted")</f>
        <v>Unlisted</v>
      </c>
      <c r="G708" s="174" t="str">
        <f>IFERROR(__xludf.DUMMYFUNCTION("""COMPUTED_VALUE"""),"Proficient")</f>
        <v>Proficient</v>
      </c>
      <c r="H708" s="174" t="str">
        <f>IFERROR(__xludf.DUMMYFUNCTION("""COMPUTED_VALUE"""),"Unlisted")</f>
        <v>Unlisted</v>
      </c>
      <c r="I708" s="174" t="str">
        <f>IFERROR(__xludf.DUMMYFUNCTION("""COMPUTED_VALUE"""),"Unlisted")</f>
        <v>Unlisted</v>
      </c>
      <c r="J708" s="174" t="str">
        <f>IFERROR(__xludf.DUMMYFUNCTION("""COMPUTED_VALUE"""),"Unlisted")</f>
        <v>Unlisted</v>
      </c>
      <c r="K708" s="174" t="str">
        <f>IFERROR(__xludf.DUMMYFUNCTION("""COMPUTED_VALUE"""),"Proficient")</f>
        <v>Proficient</v>
      </c>
      <c r="L708" s="174" t="str">
        <f>IFERROR(__xludf.DUMMYFUNCTION("""COMPUTED_VALUE"""),"Unlisted")</f>
        <v>Unlisted</v>
      </c>
      <c r="M708" s="174" t="str">
        <f>IFERROR(__xludf.DUMMYFUNCTION("""COMPUTED_VALUE"""),"Unlisted")</f>
        <v>Unlisted</v>
      </c>
      <c r="N708" s="174" t="str">
        <f>IFERROR(__xludf.DUMMYFUNCTION("""COMPUTED_VALUE"""),"Unlisted")</f>
        <v>Unlisted</v>
      </c>
      <c r="O708" s="174" t="str">
        <f>IFERROR(__xludf.DUMMYFUNCTION("""COMPUTED_VALUE"""),"Unlisted")</f>
        <v>Unlisted</v>
      </c>
      <c r="P708" s="174" t="str">
        <f>IFERROR(__xludf.DUMMYFUNCTION("""COMPUTED_VALUE"""),"Unlisted")</f>
        <v>Unlisted</v>
      </c>
      <c r="Q708" s="174" t="str">
        <f>IFERROR(__xludf.DUMMYFUNCTION("""COMPUTED_VALUE"""),"Unlisted")</f>
        <v>Unlisted</v>
      </c>
      <c r="R708" s="174" t="str">
        <f>IFERROR(__xludf.DUMMYFUNCTION("""COMPUTED_VALUE"""),"Unlisted")</f>
        <v>Unlisted</v>
      </c>
    </row>
    <row r="709">
      <c r="A709" s="255" t="str">
        <f>IFERROR(__xludf.DUMMYFUNCTION("""COMPUTED_VALUE"""),"Tangela")</f>
        <v>Tangela</v>
      </c>
      <c r="B709" s="174" t="str">
        <f>IFERROR(__xludf.DUMMYFUNCTION("""COMPUTED_VALUE"""),"Unlisted")</f>
        <v>Unlisted</v>
      </c>
      <c r="C709" s="174" t="str">
        <f>IFERROR(__xludf.DUMMYFUNCTION("""COMPUTED_VALUE"""),"Proficient")</f>
        <v>Proficient</v>
      </c>
      <c r="D709" s="174" t="str">
        <f>IFERROR(__xludf.DUMMYFUNCTION("""COMPUTED_VALUE"""),"Unlisted")</f>
        <v>Unlisted</v>
      </c>
      <c r="E709" s="174" t="str">
        <f>IFERROR(__xludf.DUMMYFUNCTION("""COMPUTED_VALUE"""),"Unlisted")</f>
        <v>Unlisted</v>
      </c>
      <c r="F709" s="174" t="str">
        <f>IFERROR(__xludf.DUMMYFUNCTION("""COMPUTED_VALUE"""),"Unlisted")</f>
        <v>Unlisted</v>
      </c>
      <c r="G709" s="174" t="str">
        <f>IFERROR(__xludf.DUMMYFUNCTION("""COMPUTED_VALUE"""),"Proficient")</f>
        <v>Proficient</v>
      </c>
      <c r="H709" s="174" t="str">
        <f>IFERROR(__xludf.DUMMYFUNCTION("""COMPUTED_VALUE"""),"Unlisted")</f>
        <v>Unlisted</v>
      </c>
      <c r="I709" s="174" t="str">
        <f>IFERROR(__xludf.DUMMYFUNCTION("""COMPUTED_VALUE"""),"Unlisted")</f>
        <v>Unlisted</v>
      </c>
      <c r="J709" s="174" t="str">
        <f>IFERROR(__xludf.DUMMYFUNCTION("""COMPUTED_VALUE"""),"Unlisted")</f>
        <v>Unlisted</v>
      </c>
      <c r="K709" s="174" t="str">
        <f>IFERROR(__xludf.DUMMYFUNCTION("""COMPUTED_VALUE"""),"Unlisted")</f>
        <v>Unlisted</v>
      </c>
      <c r="L709" s="174" t="str">
        <f>IFERROR(__xludf.DUMMYFUNCTION("""COMPUTED_VALUE"""),"Unlisted")</f>
        <v>Unlisted</v>
      </c>
      <c r="M709" s="174" t="str">
        <f>IFERROR(__xludf.DUMMYFUNCTION("""COMPUTED_VALUE"""),"Unlisted")</f>
        <v>Unlisted</v>
      </c>
      <c r="N709" s="174" t="str">
        <f>IFERROR(__xludf.DUMMYFUNCTION("""COMPUTED_VALUE"""),"Unlisted")</f>
        <v>Unlisted</v>
      </c>
      <c r="O709" s="174" t="str">
        <f>IFERROR(__xludf.DUMMYFUNCTION("""COMPUTED_VALUE"""),"Unlisted")</f>
        <v>Unlisted</v>
      </c>
      <c r="P709" s="174" t="str">
        <f>IFERROR(__xludf.DUMMYFUNCTION("""COMPUTED_VALUE"""),"Unlisted")</f>
        <v>Unlisted</v>
      </c>
      <c r="Q709" s="174" t="str">
        <f>IFERROR(__xludf.DUMMYFUNCTION("""COMPUTED_VALUE"""),"Unlisted")</f>
        <v>Unlisted</v>
      </c>
      <c r="R709" s="174" t="str">
        <f>IFERROR(__xludf.DUMMYFUNCTION("""COMPUTED_VALUE"""),"Unlisted")</f>
        <v>Unlisted</v>
      </c>
    </row>
    <row r="710">
      <c r="A710" s="255" t="str">
        <f>IFERROR(__xludf.DUMMYFUNCTION("""COMPUTED_VALUE"""),"Tangrowth")</f>
        <v>Tangrowth</v>
      </c>
      <c r="B710" s="174" t="str">
        <f>IFERROR(__xludf.DUMMYFUNCTION("""COMPUTED_VALUE"""),"Unlisted")</f>
        <v>Unlisted</v>
      </c>
      <c r="C710" s="174" t="str">
        <f>IFERROR(__xludf.DUMMYFUNCTION("""COMPUTED_VALUE"""),"Proficient")</f>
        <v>Proficient</v>
      </c>
      <c r="D710" s="174" t="str">
        <f>IFERROR(__xludf.DUMMYFUNCTION("""COMPUTED_VALUE"""),"Unlisted")</f>
        <v>Unlisted</v>
      </c>
      <c r="E710" s="174" t="str">
        <f>IFERROR(__xludf.DUMMYFUNCTION("""COMPUTED_VALUE"""),"Unlisted")</f>
        <v>Unlisted</v>
      </c>
      <c r="F710" s="174" t="str">
        <f>IFERROR(__xludf.DUMMYFUNCTION("""COMPUTED_VALUE"""),"Unlisted")</f>
        <v>Unlisted</v>
      </c>
      <c r="G710" s="174" t="str">
        <f>IFERROR(__xludf.DUMMYFUNCTION("""COMPUTED_VALUE"""),"Proficient")</f>
        <v>Proficient</v>
      </c>
      <c r="H710" s="174" t="str">
        <f>IFERROR(__xludf.DUMMYFUNCTION("""COMPUTED_VALUE"""),"Unlisted")</f>
        <v>Unlisted</v>
      </c>
      <c r="I710" s="174" t="str">
        <f>IFERROR(__xludf.DUMMYFUNCTION("""COMPUTED_VALUE"""),"Unlisted")</f>
        <v>Unlisted</v>
      </c>
      <c r="J710" s="174" t="str">
        <f>IFERROR(__xludf.DUMMYFUNCTION("""COMPUTED_VALUE"""),"Unlisted")</f>
        <v>Unlisted</v>
      </c>
      <c r="K710" s="174" t="str">
        <f>IFERROR(__xludf.DUMMYFUNCTION("""COMPUTED_VALUE"""),"Unlisted")</f>
        <v>Unlisted</v>
      </c>
      <c r="L710" s="174" t="str">
        <f>IFERROR(__xludf.DUMMYFUNCTION("""COMPUTED_VALUE"""),"Unlisted")</f>
        <v>Unlisted</v>
      </c>
      <c r="M710" s="174" t="str">
        <f>IFERROR(__xludf.DUMMYFUNCTION("""COMPUTED_VALUE"""),"Unlisted")</f>
        <v>Unlisted</v>
      </c>
      <c r="N710" s="174" t="str">
        <f>IFERROR(__xludf.DUMMYFUNCTION("""COMPUTED_VALUE"""),"Unlisted")</f>
        <v>Unlisted</v>
      </c>
      <c r="O710" s="174" t="str">
        <f>IFERROR(__xludf.DUMMYFUNCTION("""COMPUTED_VALUE"""),"Unlisted")</f>
        <v>Unlisted</v>
      </c>
      <c r="P710" s="174" t="str">
        <f>IFERROR(__xludf.DUMMYFUNCTION("""COMPUTED_VALUE"""),"Unlisted")</f>
        <v>Unlisted</v>
      </c>
      <c r="Q710" s="174" t="str">
        <f>IFERROR(__xludf.DUMMYFUNCTION("""COMPUTED_VALUE"""),"Unlisted")</f>
        <v>Unlisted</v>
      </c>
      <c r="R710" s="174" t="str">
        <f>IFERROR(__xludf.DUMMYFUNCTION("""COMPUTED_VALUE"""),"Unlisted")</f>
        <v>Unlisted</v>
      </c>
    </row>
    <row r="711">
      <c r="A711" s="255" t="str">
        <f>IFERROR(__xludf.DUMMYFUNCTION("""COMPUTED_VALUE"""),"Sunkern")</f>
        <v>Sunkern</v>
      </c>
      <c r="B711" s="174" t="str">
        <f>IFERROR(__xludf.DUMMYFUNCTION("""COMPUTED_VALUE"""),"Unlisted")</f>
        <v>Unlisted</v>
      </c>
      <c r="C711" s="174" t="str">
        <f>IFERROR(__xludf.DUMMYFUNCTION("""COMPUTED_VALUE"""),"Unlisted")</f>
        <v>Unlisted</v>
      </c>
      <c r="D711" s="174" t="str">
        <f>IFERROR(__xludf.DUMMYFUNCTION("""COMPUTED_VALUE"""),"Unlisted")</f>
        <v>Unlisted</v>
      </c>
      <c r="E711" s="174" t="str">
        <f>IFERROR(__xludf.DUMMYFUNCTION("""COMPUTED_VALUE"""),"Unlisted")</f>
        <v>Unlisted</v>
      </c>
      <c r="F711" s="174" t="str">
        <f>IFERROR(__xludf.DUMMYFUNCTION("""COMPUTED_VALUE"""),"Unlisted")</f>
        <v>Unlisted</v>
      </c>
      <c r="G711" s="174" t="str">
        <f>IFERROR(__xludf.DUMMYFUNCTION("""COMPUTED_VALUE"""),"Proficient")</f>
        <v>Proficient</v>
      </c>
      <c r="H711" s="174" t="str">
        <f>IFERROR(__xludf.DUMMYFUNCTION("""COMPUTED_VALUE"""),"Unlisted")</f>
        <v>Unlisted</v>
      </c>
      <c r="I711" s="174" t="str">
        <f>IFERROR(__xludf.DUMMYFUNCTION("""COMPUTED_VALUE"""),"Unlisted")</f>
        <v>Unlisted</v>
      </c>
      <c r="J711" s="174" t="str">
        <f>IFERROR(__xludf.DUMMYFUNCTION("""COMPUTED_VALUE"""),"Unlisted")</f>
        <v>Unlisted</v>
      </c>
      <c r="K711" s="174" t="str">
        <f>IFERROR(__xludf.DUMMYFUNCTION("""COMPUTED_VALUE"""),"Unlisted")</f>
        <v>Unlisted</v>
      </c>
      <c r="L711" s="174" t="str">
        <f>IFERROR(__xludf.DUMMYFUNCTION("""COMPUTED_VALUE"""),"Unlisted")</f>
        <v>Unlisted</v>
      </c>
      <c r="M711" s="174" t="str">
        <f>IFERROR(__xludf.DUMMYFUNCTION("""COMPUTED_VALUE"""),"Unlisted")</f>
        <v>Unlisted</v>
      </c>
      <c r="N711" s="174" t="str">
        <f>IFERROR(__xludf.DUMMYFUNCTION("""COMPUTED_VALUE"""),"Unlisted")</f>
        <v>Unlisted</v>
      </c>
      <c r="O711" s="174" t="str">
        <f>IFERROR(__xludf.DUMMYFUNCTION("""COMPUTED_VALUE"""),"Proficient")</f>
        <v>Proficient</v>
      </c>
      <c r="P711" s="174" t="str">
        <f>IFERROR(__xludf.DUMMYFUNCTION("""COMPUTED_VALUE"""),"Unlisted")</f>
        <v>Unlisted</v>
      </c>
      <c r="Q711" s="174" t="str">
        <f>IFERROR(__xludf.DUMMYFUNCTION("""COMPUTED_VALUE"""),"Unlisted")</f>
        <v>Unlisted</v>
      </c>
      <c r="R711" s="174" t="str">
        <f>IFERROR(__xludf.DUMMYFUNCTION("""COMPUTED_VALUE"""),"Unlisted")</f>
        <v>Unlisted</v>
      </c>
    </row>
    <row r="712">
      <c r="A712" s="255" t="str">
        <f>IFERROR(__xludf.DUMMYFUNCTION("""COMPUTED_VALUE"""),"Sunflora")</f>
        <v>Sunflora</v>
      </c>
      <c r="B712" s="174" t="str">
        <f>IFERROR(__xludf.DUMMYFUNCTION("""COMPUTED_VALUE"""),"Unlisted")</f>
        <v>Unlisted</v>
      </c>
      <c r="C712" s="174" t="str">
        <f>IFERROR(__xludf.DUMMYFUNCTION("""COMPUTED_VALUE"""),"Unlisted")</f>
        <v>Unlisted</v>
      </c>
      <c r="D712" s="174" t="str">
        <f>IFERROR(__xludf.DUMMYFUNCTION("""COMPUTED_VALUE"""),"Unlisted")</f>
        <v>Unlisted</v>
      </c>
      <c r="E712" s="174" t="str">
        <f>IFERROR(__xludf.DUMMYFUNCTION("""COMPUTED_VALUE"""),"Unlisted")</f>
        <v>Unlisted</v>
      </c>
      <c r="F712" s="174" t="str">
        <f>IFERROR(__xludf.DUMMYFUNCTION("""COMPUTED_VALUE"""),"Unlisted")</f>
        <v>Unlisted</v>
      </c>
      <c r="G712" s="174" t="str">
        <f>IFERROR(__xludf.DUMMYFUNCTION("""COMPUTED_VALUE"""),"Proficient")</f>
        <v>Proficient</v>
      </c>
      <c r="H712" s="174" t="str">
        <f>IFERROR(__xludf.DUMMYFUNCTION("""COMPUTED_VALUE"""),"Unlisted")</f>
        <v>Unlisted</v>
      </c>
      <c r="I712" s="174" t="str">
        <f>IFERROR(__xludf.DUMMYFUNCTION("""COMPUTED_VALUE"""),"Unlisted")</f>
        <v>Unlisted</v>
      </c>
      <c r="J712" s="174" t="str">
        <f>IFERROR(__xludf.DUMMYFUNCTION("""COMPUTED_VALUE"""),"Unlisted")</f>
        <v>Unlisted</v>
      </c>
      <c r="K712" s="174" t="str">
        <f>IFERROR(__xludf.DUMMYFUNCTION("""COMPUTED_VALUE"""),"Unlisted")</f>
        <v>Unlisted</v>
      </c>
      <c r="L712" s="174" t="str">
        <f>IFERROR(__xludf.DUMMYFUNCTION("""COMPUTED_VALUE"""),"Unlisted")</f>
        <v>Unlisted</v>
      </c>
      <c r="M712" s="174" t="str">
        <f>IFERROR(__xludf.DUMMYFUNCTION("""COMPUTED_VALUE"""),"Unlisted")</f>
        <v>Unlisted</v>
      </c>
      <c r="N712" s="174" t="str">
        <f>IFERROR(__xludf.DUMMYFUNCTION("""COMPUTED_VALUE"""),"Unlisted")</f>
        <v>Unlisted</v>
      </c>
      <c r="O712" s="174" t="str">
        <f>IFERROR(__xludf.DUMMYFUNCTION("""COMPUTED_VALUE"""),"Proficient")</f>
        <v>Proficient</v>
      </c>
      <c r="P712" s="174" t="str">
        <f>IFERROR(__xludf.DUMMYFUNCTION("""COMPUTED_VALUE"""),"Unlisted")</f>
        <v>Unlisted</v>
      </c>
      <c r="Q712" s="174" t="str">
        <f>IFERROR(__xludf.DUMMYFUNCTION("""COMPUTED_VALUE"""),"Unlisted")</f>
        <v>Unlisted</v>
      </c>
      <c r="R712" s="174" t="str">
        <f>IFERROR(__xludf.DUMMYFUNCTION("""COMPUTED_VALUE"""),"Unlisted")</f>
        <v>Unlisted</v>
      </c>
    </row>
    <row r="713">
      <c r="A713" s="255" t="str">
        <f>IFERROR(__xludf.DUMMYFUNCTION("""COMPUTED_VALUE"""),"Shroomish")</f>
        <v>Shroomish</v>
      </c>
      <c r="B713" s="174" t="str">
        <f>IFERROR(__xludf.DUMMYFUNCTION("""COMPUTED_VALUE"""),"Unlisted")</f>
        <v>Unlisted</v>
      </c>
      <c r="C713" s="174" t="str">
        <f>IFERROR(__xludf.DUMMYFUNCTION("""COMPUTED_VALUE"""),"Proficient")</f>
        <v>Proficient</v>
      </c>
      <c r="D713" s="174" t="str">
        <f>IFERROR(__xludf.DUMMYFUNCTION("""COMPUTED_VALUE"""),"Unlisted")</f>
        <v>Unlisted</v>
      </c>
      <c r="E713" s="174" t="str">
        <f>IFERROR(__xludf.DUMMYFUNCTION("""COMPUTED_VALUE"""),"Proficient")</f>
        <v>Proficient</v>
      </c>
      <c r="F713" s="174" t="str">
        <f>IFERROR(__xludf.DUMMYFUNCTION("""COMPUTED_VALUE"""),"Unlisted")</f>
        <v>Unlisted</v>
      </c>
      <c r="G713" s="174" t="str">
        <f>IFERROR(__xludf.DUMMYFUNCTION("""COMPUTED_VALUE"""),"Unlisted")</f>
        <v>Unlisted</v>
      </c>
      <c r="H713" s="174" t="str">
        <f>IFERROR(__xludf.DUMMYFUNCTION("""COMPUTED_VALUE"""),"Unlisted")</f>
        <v>Unlisted</v>
      </c>
      <c r="I713" s="174" t="str">
        <f>IFERROR(__xludf.DUMMYFUNCTION("""COMPUTED_VALUE"""),"Unlisted")</f>
        <v>Unlisted</v>
      </c>
      <c r="J713" s="174" t="str">
        <f>IFERROR(__xludf.DUMMYFUNCTION("""COMPUTED_VALUE"""),"Unlisted")</f>
        <v>Unlisted</v>
      </c>
      <c r="K713" s="174" t="str">
        <f>IFERROR(__xludf.DUMMYFUNCTION("""COMPUTED_VALUE"""),"Unlisted")</f>
        <v>Unlisted</v>
      </c>
      <c r="L713" s="174" t="str">
        <f>IFERROR(__xludf.DUMMYFUNCTION("""COMPUTED_VALUE"""),"Unlisted")</f>
        <v>Unlisted</v>
      </c>
      <c r="M713" s="174" t="str">
        <f>IFERROR(__xludf.DUMMYFUNCTION("""COMPUTED_VALUE"""),"Unlisted")</f>
        <v>Unlisted</v>
      </c>
      <c r="N713" s="174" t="str">
        <f>IFERROR(__xludf.DUMMYFUNCTION("""COMPUTED_VALUE"""),"Unlisted")</f>
        <v>Unlisted</v>
      </c>
      <c r="O713" s="174" t="str">
        <f>IFERROR(__xludf.DUMMYFUNCTION("""COMPUTED_VALUE"""),"Proficient")</f>
        <v>Proficient</v>
      </c>
      <c r="P713" s="174" t="str">
        <f>IFERROR(__xludf.DUMMYFUNCTION("""COMPUTED_VALUE"""),"Unlisted")</f>
        <v>Unlisted</v>
      </c>
      <c r="Q713" s="174" t="str">
        <f>IFERROR(__xludf.DUMMYFUNCTION("""COMPUTED_VALUE"""),"Unlisted")</f>
        <v>Unlisted</v>
      </c>
      <c r="R713" s="174" t="str">
        <f>IFERROR(__xludf.DUMMYFUNCTION("""COMPUTED_VALUE"""),"Unlisted")</f>
        <v>Unlisted</v>
      </c>
    </row>
    <row r="714">
      <c r="A714" s="255" t="str">
        <f>IFERROR(__xludf.DUMMYFUNCTION("""COMPUTED_VALUE"""),"Breloom")</f>
        <v>Breloom</v>
      </c>
      <c r="B714" s="174" t="str">
        <f>IFERROR(__xludf.DUMMYFUNCTION("""COMPUTED_VALUE"""),"Unlisted")</f>
        <v>Unlisted</v>
      </c>
      <c r="C714" s="174" t="str">
        <f>IFERROR(__xludf.DUMMYFUNCTION("""COMPUTED_VALUE"""),"Proficient")</f>
        <v>Proficient</v>
      </c>
      <c r="D714" s="174" t="str">
        <f>IFERROR(__xludf.DUMMYFUNCTION("""COMPUTED_VALUE"""),"Unlisted")</f>
        <v>Unlisted</v>
      </c>
      <c r="E714" s="174" t="str">
        <f>IFERROR(__xludf.DUMMYFUNCTION("""COMPUTED_VALUE"""),"Proficient")</f>
        <v>Proficient</v>
      </c>
      <c r="F714" s="174" t="str">
        <f>IFERROR(__xludf.DUMMYFUNCTION("""COMPUTED_VALUE"""),"Unlisted")</f>
        <v>Unlisted</v>
      </c>
      <c r="G714" s="174" t="str">
        <f>IFERROR(__xludf.DUMMYFUNCTION("""COMPUTED_VALUE"""),"Unlisted")</f>
        <v>Unlisted</v>
      </c>
      <c r="H714" s="174" t="str">
        <f>IFERROR(__xludf.DUMMYFUNCTION("""COMPUTED_VALUE"""),"Unlisted")</f>
        <v>Unlisted</v>
      </c>
      <c r="I714" s="174" t="str">
        <f>IFERROR(__xludf.DUMMYFUNCTION("""COMPUTED_VALUE"""),"Unlisted")</f>
        <v>Unlisted</v>
      </c>
      <c r="J714" s="174" t="str">
        <f>IFERROR(__xludf.DUMMYFUNCTION("""COMPUTED_VALUE"""),"Unlisted")</f>
        <v>Unlisted</v>
      </c>
      <c r="K714" s="174" t="str">
        <f>IFERROR(__xludf.DUMMYFUNCTION("""COMPUTED_VALUE"""),"Unlisted")</f>
        <v>Unlisted</v>
      </c>
      <c r="L714" s="174" t="str">
        <f>IFERROR(__xludf.DUMMYFUNCTION("""COMPUTED_VALUE"""),"Unlisted")</f>
        <v>Unlisted</v>
      </c>
      <c r="M714" s="174" t="str">
        <f>IFERROR(__xludf.DUMMYFUNCTION("""COMPUTED_VALUE"""),"Unlisted")</f>
        <v>Unlisted</v>
      </c>
      <c r="N714" s="174" t="str">
        <f>IFERROR(__xludf.DUMMYFUNCTION("""COMPUTED_VALUE"""),"Unlisted")</f>
        <v>Unlisted</v>
      </c>
      <c r="O714" s="174" t="str">
        <f>IFERROR(__xludf.DUMMYFUNCTION("""COMPUTED_VALUE"""),"Proficient")</f>
        <v>Proficient</v>
      </c>
      <c r="P714" s="174" t="str">
        <f>IFERROR(__xludf.DUMMYFUNCTION("""COMPUTED_VALUE"""),"Unlisted")</f>
        <v>Unlisted</v>
      </c>
      <c r="Q714" s="174" t="str">
        <f>IFERROR(__xludf.DUMMYFUNCTION("""COMPUTED_VALUE"""),"Unlisted")</f>
        <v>Unlisted</v>
      </c>
      <c r="R714" s="174" t="str">
        <f>IFERROR(__xludf.DUMMYFUNCTION("""COMPUTED_VALUE"""),"Unlisted")</f>
        <v>Unlisted</v>
      </c>
    </row>
    <row r="715">
      <c r="A715" s="255" t="str">
        <f>IFERROR(__xludf.DUMMYFUNCTION("""COMPUTED_VALUE"""),"Cacnea")</f>
        <v>Cacnea</v>
      </c>
      <c r="B715" s="174" t="str">
        <f>IFERROR(__xludf.DUMMYFUNCTION("""COMPUTED_VALUE"""),"Unlisted")</f>
        <v>Unlisted</v>
      </c>
      <c r="C715" s="174" t="str">
        <f>IFERROR(__xludf.DUMMYFUNCTION("""COMPUTED_VALUE"""),"Proficient")</f>
        <v>Proficient</v>
      </c>
      <c r="D715" s="174" t="str">
        <f>IFERROR(__xludf.DUMMYFUNCTION("""COMPUTED_VALUE"""),"Unlisted")</f>
        <v>Unlisted</v>
      </c>
      <c r="E715" s="174" t="str">
        <f>IFERROR(__xludf.DUMMYFUNCTION("""COMPUTED_VALUE"""),"Unlisted")</f>
        <v>Unlisted</v>
      </c>
      <c r="F715" s="174" t="str">
        <f>IFERROR(__xludf.DUMMYFUNCTION("""COMPUTED_VALUE"""),"Unlisted")</f>
        <v>Unlisted</v>
      </c>
      <c r="G715" s="174" t="str">
        <f>IFERROR(__xludf.DUMMYFUNCTION("""COMPUTED_VALUE"""),"Unlisted")</f>
        <v>Unlisted</v>
      </c>
      <c r="H715" s="174" t="str">
        <f>IFERROR(__xludf.DUMMYFUNCTION("""COMPUTED_VALUE"""),"Unlisted")</f>
        <v>Unlisted</v>
      </c>
      <c r="I715" s="174" t="str">
        <f>IFERROR(__xludf.DUMMYFUNCTION("""COMPUTED_VALUE"""),"Unlisted")</f>
        <v>Unlisted</v>
      </c>
      <c r="J715" s="174" t="str">
        <f>IFERROR(__xludf.DUMMYFUNCTION("""COMPUTED_VALUE"""),"Unlisted")</f>
        <v>Unlisted</v>
      </c>
      <c r="K715" s="174" t="str">
        <f>IFERROR(__xludf.DUMMYFUNCTION("""COMPUTED_VALUE"""),"Unlisted")</f>
        <v>Unlisted</v>
      </c>
      <c r="L715" s="174" t="str">
        <f>IFERROR(__xludf.DUMMYFUNCTION("""COMPUTED_VALUE"""),"Proficient")</f>
        <v>Proficient</v>
      </c>
      <c r="M715" s="174" t="str">
        <f>IFERROR(__xludf.DUMMYFUNCTION("""COMPUTED_VALUE"""),"Unlisted")</f>
        <v>Unlisted</v>
      </c>
      <c r="N715" s="174" t="str">
        <f>IFERROR(__xludf.DUMMYFUNCTION("""COMPUTED_VALUE"""),"Unlisted")</f>
        <v>Unlisted</v>
      </c>
      <c r="O715" s="174" t="str">
        <f>IFERROR(__xludf.DUMMYFUNCTION("""COMPUTED_VALUE"""),"Proficient")</f>
        <v>Proficient</v>
      </c>
      <c r="P715" s="174" t="str">
        <f>IFERROR(__xludf.DUMMYFUNCTION("""COMPUTED_VALUE"""),"Unlisted")</f>
        <v>Unlisted</v>
      </c>
      <c r="Q715" s="174" t="str">
        <f>IFERROR(__xludf.DUMMYFUNCTION("""COMPUTED_VALUE"""),"Unlisted")</f>
        <v>Unlisted</v>
      </c>
      <c r="R715" s="174" t="str">
        <f>IFERROR(__xludf.DUMMYFUNCTION("""COMPUTED_VALUE"""),"Unlisted")</f>
        <v>Unlisted</v>
      </c>
    </row>
    <row r="716">
      <c r="A716" s="255" t="str">
        <f>IFERROR(__xludf.DUMMYFUNCTION("""COMPUTED_VALUE"""),"Cacturne")</f>
        <v>Cacturne</v>
      </c>
      <c r="B716" s="174" t="str">
        <f>IFERROR(__xludf.DUMMYFUNCTION("""COMPUTED_VALUE"""),"Unlisted")</f>
        <v>Unlisted</v>
      </c>
      <c r="C716" s="174" t="str">
        <f>IFERROR(__xludf.DUMMYFUNCTION("""COMPUTED_VALUE"""),"Proficient")</f>
        <v>Proficient</v>
      </c>
      <c r="D716" s="174" t="str">
        <f>IFERROR(__xludf.DUMMYFUNCTION("""COMPUTED_VALUE"""),"Unlisted")</f>
        <v>Unlisted</v>
      </c>
      <c r="E716" s="174" t="str">
        <f>IFERROR(__xludf.DUMMYFUNCTION("""COMPUTED_VALUE"""),"Unlisted")</f>
        <v>Unlisted</v>
      </c>
      <c r="F716" s="174" t="str">
        <f>IFERROR(__xludf.DUMMYFUNCTION("""COMPUTED_VALUE"""),"Unlisted")</f>
        <v>Unlisted</v>
      </c>
      <c r="G716" s="174" t="str">
        <f>IFERROR(__xludf.DUMMYFUNCTION("""COMPUTED_VALUE"""),"Unlisted")</f>
        <v>Unlisted</v>
      </c>
      <c r="H716" s="174" t="str">
        <f>IFERROR(__xludf.DUMMYFUNCTION("""COMPUTED_VALUE"""),"Unlisted")</f>
        <v>Unlisted</v>
      </c>
      <c r="I716" s="174" t="str">
        <f>IFERROR(__xludf.DUMMYFUNCTION("""COMPUTED_VALUE"""),"Unlisted")</f>
        <v>Unlisted</v>
      </c>
      <c r="J716" s="174" t="str">
        <f>IFERROR(__xludf.DUMMYFUNCTION("""COMPUTED_VALUE"""),"Unlisted")</f>
        <v>Unlisted</v>
      </c>
      <c r="K716" s="174" t="str">
        <f>IFERROR(__xludf.DUMMYFUNCTION("""COMPUTED_VALUE"""),"Unlisted")</f>
        <v>Unlisted</v>
      </c>
      <c r="L716" s="174" t="str">
        <f>IFERROR(__xludf.DUMMYFUNCTION("""COMPUTED_VALUE"""),"Proficient")</f>
        <v>Proficient</v>
      </c>
      <c r="M716" s="174" t="str">
        <f>IFERROR(__xludf.DUMMYFUNCTION("""COMPUTED_VALUE"""),"Unlisted")</f>
        <v>Unlisted</v>
      </c>
      <c r="N716" s="174" t="str">
        <f>IFERROR(__xludf.DUMMYFUNCTION("""COMPUTED_VALUE"""),"Unlisted")</f>
        <v>Unlisted</v>
      </c>
      <c r="O716" s="174" t="str">
        <f>IFERROR(__xludf.DUMMYFUNCTION("""COMPUTED_VALUE"""),"Proficient")</f>
        <v>Proficient</v>
      </c>
      <c r="P716" s="174" t="str">
        <f>IFERROR(__xludf.DUMMYFUNCTION("""COMPUTED_VALUE"""),"Unlisted")</f>
        <v>Unlisted</v>
      </c>
      <c r="Q716" s="174" t="str">
        <f>IFERROR(__xludf.DUMMYFUNCTION("""COMPUTED_VALUE"""),"Unlisted")</f>
        <v>Unlisted</v>
      </c>
      <c r="R716" s="174" t="str">
        <f>IFERROR(__xludf.DUMMYFUNCTION("""COMPUTED_VALUE"""),"Unlisted")</f>
        <v>Unlisted</v>
      </c>
    </row>
    <row r="717">
      <c r="A717" s="255" t="str">
        <f>IFERROR(__xludf.DUMMYFUNCTION("""COMPUTED_VALUE"""),"Cherubi")</f>
        <v>Cherubi</v>
      </c>
      <c r="B717" s="174" t="str">
        <f>IFERROR(__xludf.DUMMYFUNCTION("""COMPUTED_VALUE"""),"Unlisted")</f>
        <v>Unlisted</v>
      </c>
      <c r="C717" s="174" t="str">
        <f>IFERROR(__xludf.DUMMYFUNCTION("""COMPUTED_VALUE"""),"Unlisted")</f>
        <v>Unlisted</v>
      </c>
      <c r="D717" s="174" t="str">
        <f>IFERROR(__xludf.DUMMYFUNCTION("""COMPUTED_VALUE"""),"Proficient")</f>
        <v>Proficient</v>
      </c>
      <c r="E717" s="174" t="str">
        <f>IFERROR(__xludf.DUMMYFUNCTION("""COMPUTED_VALUE"""),"Unlisted")</f>
        <v>Unlisted</v>
      </c>
      <c r="F717" s="174" t="str">
        <f>IFERROR(__xludf.DUMMYFUNCTION("""COMPUTED_VALUE"""),"Unlisted")</f>
        <v>Unlisted</v>
      </c>
      <c r="G717" s="174" t="str">
        <f>IFERROR(__xludf.DUMMYFUNCTION("""COMPUTED_VALUE"""),"Proficient")</f>
        <v>Proficient</v>
      </c>
      <c r="H717" s="174" t="str">
        <f>IFERROR(__xludf.DUMMYFUNCTION("""COMPUTED_VALUE"""),"Unlisted")</f>
        <v>Unlisted</v>
      </c>
      <c r="I717" s="174" t="str">
        <f>IFERROR(__xludf.DUMMYFUNCTION("""COMPUTED_VALUE"""),"Unlisted")</f>
        <v>Unlisted</v>
      </c>
      <c r="J717" s="174" t="str">
        <f>IFERROR(__xludf.DUMMYFUNCTION("""COMPUTED_VALUE"""),"Unlisted")</f>
        <v>Unlisted</v>
      </c>
      <c r="K717" s="174" t="str">
        <f>IFERROR(__xludf.DUMMYFUNCTION("""COMPUTED_VALUE"""),"Proficient")</f>
        <v>Proficient</v>
      </c>
      <c r="L717" s="174" t="str">
        <f>IFERROR(__xludf.DUMMYFUNCTION("""COMPUTED_VALUE"""),"Unlisted")</f>
        <v>Unlisted</v>
      </c>
      <c r="M717" s="174" t="str">
        <f>IFERROR(__xludf.DUMMYFUNCTION("""COMPUTED_VALUE"""),"Unlisted")</f>
        <v>Unlisted</v>
      </c>
      <c r="N717" s="174" t="str">
        <f>IFERROR(__xludf.DUMMYFUNCTION("""COMPUTED_VALUE"""),"Unlisted")</f>
        <v>Unlisted</v>
      </c>
      <c r="O717" s="174" t="str">
        <f>IFERROR(__xludf.DUMMYFUNCTION("""COMPUTED_VALUE"""),"Unlisted")</f>
        <v>Unlisted</v>
      </c>
      <c r="P717" s="174" t="str">
        <f>IFERROR(__xludf.DUMMYFUNCTION("""COMPUTED_VALUE"""),"Unlisted")</f>
        <v>Unlisted</v>
      </c>
      <c r="Q717" s="174" t="str">
        <f>IFERROR(__xludf.DUMMYFUNCTION("""COMPUTED_VALUE"""),"Unlisted")</f>
        <v>Unlisted</v>
      </c>
      <c r="R717" s="174" t="str">
        <f>IFERROR(__xludf.DUMMYFUNCTION("""COMPUTED_VALUE"""),"Unlisted")</f>
        <v>Unlisted</v>
      </c>
    </row>
    <row r="718">
      <c r="A718" s="255" t="str">
        <f>IFERROR(__xludf.DUMMYFUNCTION("""COMPUTED_VALUE"""),"Cherrim")</f>
        <v>Cherrim</v>
      </c>
      <c r="B718" s="174" t="str">
        <f>IFERROR(__xludf.DUMMYFUNCTION("""COMPUTED_VALUE"""),"Unlisted")</f>
        <v>Unlisted</v>
      </c>
      <c r="C718" s="174" t="str">
        <f>IFERROR(__xludf.DUMMYFUNCTION("""COMPUTED_VALUE"""),"Unlisted")</f>
        <v>Unlisted</v>
      </c>
      <c r="D718" s="174" t="str">
        <f>IFERROR(__xludf.DUMMYFUNCTION("""COMPUTED_VALUE"""),"Proficient")</f>
        <v>Proficient</v>
      </c>
      <c r="E718" s="174" t="str">
        <f>IFERROR(__xludf.DUMMYFUNCTION("""COMPUTED_VALUE"""),"Unlisted")</f>
        <v>Unlisted</v>
      </c>
      <c r="F718" s="174" t="str">
        <f>IFERROR(__xludf.DUMMYFUNCTION("""COMPUTED_VALUE"""),"Unlisted")</f>
        <v>Unlisted</v>
      </c>
      <c r="G718" s="174" t="str">
        <f>IFERROR(__xludf.DUMMYFUNCTION("""COMPUTED_VALUE"""),"Proficient")</f>
        <v>Proficient</v>
      </c>
      <c r="H718" s="174" t="str">
        <f>IFERROR(__xludf.DUMMYFUNCTION("""COMPUTED_VALUE"""),"Unlisted")</f>
        <v>Unlisted</v>
      </c>
      <c r="I718" s="174" t="str">
        <f>IFERROR(__xludf.DUMMYFUNCTION("""COMPUTED_VALUE"""),"Unlisted")</f>
        <v>Unlisted</v>
      </c>
      <c r="J718" s="174" t="str">
        <f>IFERROR(__xludf.DUMMYFUNCTION("""COMPUTED_VALUE"""),"Unlisted")</f>
        <v>Unlisted</v>
      </c>
      <c r="K718" s="174" t="str">
        <f>IFERROR(__xludf.DUMMYFUNCTION("""COMPUTED_VALUE"""),"Proficient")</f>
        <v>Proficient</v>
      </c>
      <c r="L718" s="174" t="str">
        <f>IFERROR(__xludf.DUMMYFUNCTION("""COMPUTED_VALUE"""),"Unlisted")</f>
        <v>Unlisted</v>
      </c>
      <c r="M718" s="174" t="str">
        <f>IFERROR(__xludf.DUMMYFUNCTION("""COMPUTED_VALUE"""),"Unlisted")</f>
        <v>Unlisted</v>
      </c>
      <c r="N718" s="174" t="str">
        <f>IFERROR(__xludf.DUMMYFUNCTION("""COMPUTED_VALUE"""),"Unlisted")</f>
        <v>Unlisted</v>
      </c>
      <c r="O718" s="174" t="str">
        <f>IFERROR(__xludf.DUMMYFUNCTION("""COMPUTED_VALUE"""),"Unlisted")</f>
        <v>Unlisted</v>
      </c>
      <c r="P718" s="174" t="str">
        <f>IFERROR(__xludf.DUMMYFUNCTION("""COMPUTED_VALUE"""),"Unlisted")</f>
        <v>Unlisted</v>
      </c>
      <c r="Q718" s="174" t="str">
        <f>IFERROR(__xludf.DUMMYFUNCTION("""COMPUTED_VALUE"""),"Unlisted")</f>
        <v>Unlisted</v>
      </c>
      <c r="R718" s="174" t="str">
        <f>IFERROR(__xludf.DUMMYFUNCTION("""COMPUTED_VALUE"""),"Unlisted")</f>
        <v>Unlisted</v>
      </c>
    </row>
    <row r="719">
      <c r="A719" s="255" t="str">
        <f>IFERROR(__xludf.DUMMYFUNCTION("""COMPUTED_VALUE"""),"Snover")</f>
        <v>Snover</v>
      </c>
      <c r="B719" s="174" t="str">
        <f>IFERROR(__xludf.DUMMYFUNCTION("""COMPUTED_VALUE"""),"Inept")</f>
        <v>Inept</v>
      </c>
      <c r="C719" s="174" t="str">
        <f>IFERROR(__xludf.DUMMYFUNCTION("""COMPUTED_VALUE"""),"Mastered")</f>
        <v>Mastered</v>
      </c>
      <c r="D719" s="174" t="str">
        <f>IFERROR(__xludf.DUMMYFUNCTION("""COMPUTED_VALUE"""),"Unlisted")</f>
        <v>Unlisted</v>
      </c>
      <c r="E719" s="174" t="str">
        <f>IFERROR(__xludf.DUMMYFUNCTION("""COMPUTED_VALUE"""),"Proficient")</f>
        <v>Proficient</v>
      </c>
      <c r="F719" s="174" t="str">
        <f>IFERROR(__xludf.DUMMYFUNCTION("""COMPUTED_VALUE"""),"Unlisted")</f>
        <v>Unlisted</v>
      </c>
      <c r="G719" s="174" t="str">
        <f>IFERROR(__xludf.DUMMYFUNCTION("""COMPUTED_VALUE"""),"Proficient")</f>
        <v>Proficient</v>
      </c>
      <c r="H719" s="174" t="str">
        <f>IFERROR(__xludf.DUMMYFUNCTION("""COMPUTED_VALUE"""),"Unlisted")</f>
        <v>Unlisted</v>
      </c>
      <c r="I719" s="174" t="str">
        <f>IFERROR(__xludf.DUMMYFUNCTION("""COMPUTED_VALUE"""),"Unlisted")</f>
        <v>Unlisted</v>
      </c>
      <c r="J719" s="174" t="str">
        <f>IFERROR(__xludf.DUMMYFUNCTION("""COMPUTED_VALUE"""),"Unlisted")</f>
        <v>Unlisted</v>
      </c>
      <c r="K719" s="174" t="str">
        <f>IFERROR(__xludf.DUMMYFUNCTION("""COMPUTED_VALUE"""),"Unlisted")</f>
        <v>Unlisted</v>
      </c>
      <c r="L719" s="174" t="str">
        <f>IFERROR(__xludf.DUMMYFUNCTION("""COMPUTED_VALUE"""),"Unlisted")</f>
        <v>Unlisted</v>
      </c>
      <c r="M719" s="174" t="str">
        <f>IFERROR(__xludf.DUMMYFUNCTION("""COMPUTED_VALUE"""),"Unlisted")</f>
        <v>Unlisted</v>
      </c>
      <c r="N719" s="174" t="str">
        <f>IFERROR(__xludf.DUMMYFUNCTION("""COMPUTED_VALUE"""),"Unlisted")</f>
        <v>Unlisted</v>
      </c>
      <c r="O719" s="174" t="str">
        <f>IFERROR(__xludf.DUMMYFUNCTION("""COMPUTED_VALUE"""),"Proficient")</f>
        <v>Proficient</v>
      </c>
      <c r="P719" s="174" t="str">
        <f>IFERROR(__xludf.DUMMYFUNCTION("""COMPUTED_VALUE"""),"Unlisted")</f>
        <v>Unlisted</v>
      </c>
      <c r="Q719" s="174" t="str">
        <f>IFERROR(__xludf.DUMMYFUNCTION("""COMPUTED_VALUE"""),"Unlisted")</f>
        <v>Unlisted</v>
      </c>
      <c r="R719" s="174" t="str">
        <f>IFERROR(__xludf.DUMMYFUNCTION("""COMPUTED_VALUE"""),"Unlisted")</f>
        <v>Unlisted</v>
      </c>
    </row>
    <row r="720">
      <c r="A720" s="255" t="str">
        <f>IFERROR(__xludf.DUMMYFUNCTION("""COMPUTED_VALUE"""),"Abomasnow")</f>
        <v>Abomasnow</v>
      </c>
      <c r="B720" s="174" t="str">
        <f>IFERROR(__xludf.DUMMYFUNCTION("""COMPUTED_VALUE"""),"Inept")</f>
        <v>Inept</v>
      </c>
      <c r="C720" s="174" t="str">
        <f>IFERROR(__xludf.DUMMYFUNCTION("""COMPUTED_VALUE"""),"Mastered")</f>
        <v>Mastered</v>
      </c>
      <c r="D720" s="174" t="str">
        <f>IFERROR(__xludf.DUMMYFUNCTION("""COMPUTED_VALUE"""),"Unlisted")</f>
        <v>Unlisted</v>
      </c>
      <c r="E720" s="174" t="str">
        <f>IFERROR(__xludf.DUMMYFUNCTION("""COMPUTED_VALUE"""),"Proficient")</f>
        <v>Proficient</v>
      </c>
      <c r="F720" s="174" t="str">
        <f>IFERROR(__xludf.DUMMYFUNCTION("""COMPUTED_VALUE"""),"Unlisted")</f>
        <v>Unlisted</v>
      </c>
      <c r="G720" s="174" t="str">
        <f>IFERROR(__xludf.DUMMYFUNCTION("""COMPUTED_VALUE"""),"Proficient")</f>
        <v>Proficient</v>
      </c>
      <c r="H720" s="174" t="str">
        <f>IFERROR(__xludf.DUMMYFUNCTION("""COMPUTED_VALUE"""),"Unlisted")</f>
        <v>Unlisted</v>
      </c>
      <c r="I720" s="174" t="str">
        <f>IFERROR(__xludf.DUMMYFUNCTION("""COMPUTED_VALUE"""),"Unlisted")</f>
        <v>Unlisted</v>
      </c>
      <c r="J720" s="174" t="str">
        <f>IFERROR(__xludf.DUMMYFUNCTION("""COMPUTED_VALUE"""),"Unlisted")</f>
        <v>Unlisted</v>
      </c>
      <c r="K720" s="174" t="str">
        <f>IFERROR(__xludf.DUMMYFUNCTION("""COMPUTED_VALUE"""),"Unlisted")</f>
        <v>Unlisted</v>
      </c>
      <c r="L720" s="174" t="str">
        <f>IFERROR(__xludf.DUMMYFUNCTION("""COMPUTED_VALUE"""),"Unlisted")</f>
        <v>Unlisted</v>
      </c>
      <c r="M720" s="174" t="str">
        <f>IFERROR(__xludf.DUMMYFUNCTION("""COMPUTED_VALUE"""),"Unlisted")</f>
        <v>Unlisted</v>
      </c>
      <c r="N720" s="174" t="str">
        <f>IFERROR(__xludf.DUMMYFUNCTION("""COMPUTED_VALUE"""),"Unlisted")</f>
        <v>Unlisted</v>
      </c>
      <c r="O720" s="174" t="str">
        <f>IFERROR(__xludf.DUMMYFUNCTION("""COMPUTED_VALUE"""),"Proficient")</f>
        <v>Proficient</v>
      </c>
      <c r="P720" s="174" t="str">
        <f>IFERROR(__xludf.DUMMYFUNCTION("""COMPUTED_VALUE"""),"Unlisted")</f>
        <v>Unlisted</v>
      </c>
      <c r="Q720" s="174" t="str">
        <f>IFERROR(__xludf.DUMMYFUNCTION("""COMPUTED_VALUE"""),"Unlisted")</f>
        <v>Unlisted</v>
      </c>
      <c r="R720" s="174" t="str">
        <f>IFERROR(__xludf.DUMMYFUNCTION("""COMPUTED_VALUE"""),"Unlisted")</f>
        <v>Unlisted</v>
      </c>
    </row>
    <row r="721">
      <c r="A721" s="255" t="str">
        <f>IFERROR(__xludf.DUMMYFUNCTION("""COMPUTED_VALUE"""),"Pansage")</f>
        <v>Pansage</v>
      </c>
      <c r="B721" s="174" t="str">
        <f>IFERROR(__xludf.DUMMYFUNCTION("""COMPUTED_VALUE"""),"Mastered")</f>
        <v>Mastered</v>
      </c>
      <c r="C721" s="174" t="str">
        <f>IFERROR(__xludf.DUMMYFUNCTION("""COMPUTED_VALUE"""),"Unlisted")</f>
        <v>Unlisted</v>
      </c>
      <c r="D721" s="174" t="str">
        <f>IFERROR(__xludf.DUMMYFUNCTION("""COMPUTED_VALUE"""),"Unlisted")</f>
        <v>Unlisted</v>
      </c>
      <c r="E721" s="174" t="str">
        <f>IFERROR(__xludf.DUMMYFUNCTION("""COMPUTED_VALUE"""),"Unlisted")</f>
        <v>Unlisted</v>
      </c>
      <c r="F721" s="174" t="str">
        <f>IFERROR(__xludf.DUMMYFUNCTION("""COMPUTED_VALUE"""),"Unlisted")</f>
        <v>Unlisted</v>
      </c>
      <c r="G721" s="174" t="str">
        <f>IFERROR(__xludf.DUMMYFUNCTION("""COMPUTED_VALUE"""),"Proficient")</f>
        <v>Proficient</v>
      </c>
      <c r="H721" s="174" t="str">
        <f>IFERROR(__xludf.DUMMYFUNCTION("""COMPUTED_VALUE"""),"Unlisted")</f>
        <v>Unlisted</v>
      </c>
      <c r="I721" s="174" t="str">
        <f>IFERROR(__xludf.DUMMYFUNCTION("""COMPUTED_VALUE"""),"Unlisted")</f>
        <v>Unlisted</v>
      </c>
      <c r="J721" s="174" t="str">
        <f>IFERROR(__xludf.DUMMYFUNCTION("""COMPUTED_VALUE"""),"Unlisted")</f>
        <v>Unlisted</v>
      </c>
      <c r="K721" s="174" t="str">
        <f>IFERROR(__xludf.DUMMYFUNCTION("""COMPUTED_VALUE"""),"Unlisted")</f>
        <v>Unlisted</v>
      </c>
      <c r="L721" s="174" t="str">
        <f>IFERROR(__xludf.DUMMYFUNCTION("""COMPUTED_VALUE"""),"Proficient")</f>
        <v>Proficient</v>
      </c>
      <c r="M721" s="174" t="str">
        <f>IFERROR(__xludf.DUMMYFUNCTION("""COMPUTED_VALUE"""),"Unlisted")</f>
        <v>Unlisted</v>
      </c>
      <c r="N721" s="174" t="str">
        <f>IFERROR(__xludf.DUMMYFUNCTION("""COMPUTED_VALUE"""),"Unlisted")</f>
        <v>Unlisted</v>
      </c>
      <c r="O721" s="174" t="str">
        <f>IFERROR(__xludf.DUMMYFUNCTION("""COMPUTED_VALUE"""),"Unlisted")</f>
        <v>Unlisted</v>
      </c>
      <c r="P721" s="174" t="str">
        <f>IFERROR(__xludf.DUMMYFUNCTION("""COMPUTED_VALUE"""),"Unlisted")</f>
        <v>Unlisted</v>
      </c>
      <c r="Q721" s="174" t="str">
        <f>IFERROR(__xludf.DUMMYFUNCTION("""COMPUTED_VALUE"""),"Unlisted")</f>
        <v>Unlisted</v>
      </c>
      <c r="R721" s="174" t="str">
        <f>IFERROR(__xludf.DUMMYFUNCTION("""COMPUTED_VALUE"""),"Unlisted")</f>
        <v>Unlisted</v>
      </c>
    </row>
    <row r="722">
      <c r="A722" s="255" t="str">
        <f>IFERROR(__xludf.DUMMYFUNCTION("""COMPUTED_VALUE"""),"Simisage")</f>
        <v>Simisage</v>
      </c>
      <c r="B722" s="174" t="str">
        <f>IFERROR(__xludf.DUMMYFUNCTION("""COMPUTED_VALUE"""),"Mastered")</f>
        <v>Mastered</v>
      </c>
      <c r="C722" s="174" t="str">
        <f>IFERROR(__xludf.DUMMYFUNCTION("""COMPUTED_VALUE"""),"Unlisted")</f>
        <v>Unlisted</v>
      </c>
      <c r="D722" s="174" t="str">
        <f>IFERROR(__xludf.DUMMYFUNCTION("""COMPUTED_VALUE"""),"Unlisted")</f>
        <v>Unlisted</v>
      </c>
      <c r="E722" s="174" t="str">
        <f>IFERROR(__xludf.DUMMYFUNCTION("""COMPUTED_VALUE"""),"Unlisted")</f>
        <v>Unlisted</v>
      </c>
      <c r="F722" s="174" t="str">
        <f>IFERROR(__xludf.DUMMYFUNCTION("""COMPUTED_VALUE"""),"Unlisted")</f>
        <v>Unlisted</v>
      </c>
      <c r="G722" s="174" t="str">
        <f>IFERROR(__xludf.DUMMYFUNCTION("""COMPUTED_VALUE"""),"Proficient")</f>
        <v>Proficient</v>
      </c>
      <c r="H722" s="174" t="str">
        <f>IFERROR(__xludf.DUMMYFUNCTION("""COMPUTED_VALUE"""),"Unlisted")</f>
        <v>Unlisted</v>
      </c>
      <c r="I722" s="174" t="str">
        <f>IFERROR(__xludf.DUMMYFUNCTION("""COMPUTED_VALUE"""),"Unlisted")</f>
        <v>Unlisted</v>
      </c>
      <c r="J722" s="174" t="str">
        <f>IFERROR(__xludf.DUMMYFUNCTION("""COMPUTED_VALUE"""),"Unlisted")</f>
        <v>Unlisted</v>
      </c>
      <c r="K722" s="174" t="str">
        <f>IFERROR(__xludf.DUMMYFUNCTION("""COMPUTED_VALUE"""),"Unlisted")</f>
        <v>Unlisted</v>
      </c>
      <c r="L722" s="174" t="str">
        <f>IFERROR(__xludf.DUMMYFUNCTION("""COMPUTED_VALUE"""),"Proficient")</f>
        <v>Proficient</v>
      </c>
      <c r="M722" s="174" t="str">
        <f>IFERROR(__xludf.DUMMYFUNCTION("""COMPUTED_VALUE"""),"Unlisted")</f>
        <v>Unlisted</v>
      </c>
      <c r="N722" s="174" t="str">
        <f>IFERROR(__xludf.DUMMYFUNCTION("""COMPUTED_VALUE"""),"Unlisted")</f>
        <v>Unlisted</v>
      </c>
      <c r="O722" s="174" t="str">
        <f>IFERROR(__xludf.DUMMYFUNCTION("""COMPUTED_VALUE"""),"Unlisted")</f>
        <v>Unlisted</v>
      </c>
      <c r="P722" s="174" t="str">
        <f>IFERROR(__xludf.DUMMYFUNCTION("""COMPUTED_VALUE"""),"Unlisted")</f>
        <v>Unlisted</v>
      </c>
      <c r="Q722" s="174" t="str">
        <f>IFERROR(__xludf.DUMMYFUNCTION("""COMPUTED_VALUE"""),"Unlisted")</f>
        <v>Unlisted</v>
      </c>
      <c r="R722" s="174" t="str">
        <f>IFERROR(__xludf.DUMMYFUNCTION("""COMPUTED_VALUE"""),"Unlisted")</f>
        <v>Unlisted</v>
      </c>
    </row>
    <row r="723">
      <c r="A723" s="255" t="str">
        <f>IFERROR(__xludf.DUMMYFUNCTION("""COMPUTED_VALUE"""),"Cottonee")</f>
        <v>Cottonee</v>
      </c>
      <c r="B723" s="174" t="str">
        <f>IFERROR(__xludf.DUMMYFUNCTION("""COMPUTED_VALUE"""),"Proficient")</f>
        <v>Proficient</v>
      </c>
      <c r="C723" s="174" t="str">
        <f>IFERROR(__xludf.DUMMYFUNCTION("""COMPUTED_VALUE"""),"Inept")</f>
        <v>Inept</v>
      </c>
      <c r="D723" s="174" t="str">
        <f>IFERROR(__xludf.DUMMYFUNCTION("""COMPUTED_VALUE"""),"Unlisted")</f>
        <v>Unlisted</v>
      </c>
      <c r="E723" s="174" t="str">
        <f>IFERROR(__xludf.DUMMYFUNCTION("""COMPUTED_VALUE"""),"Unlisted")</f>
        <v>Unlisted</v>
      </c>
      <c r="F723" s="174" t="str">
        <f>IFERROR(__xludf.DUMMYFUNCTION("""COMPUTED_VALUE"""),"Unlisted")</f>
        <v>Unlisted</v>
      </c>
      <c r="G723" s="174" t="str">
        <f>IFERROR(__xludf.DUMMYFUNCTION("""COMPUTED_VALUE"""),"Unlisted")</f>
        <v>Unlisted</v>
      </c>
      <c r="H723" s="174" t="str">
        <f>IFERROR(__xludf.DUMMYFUNCTION("""COMPUTED_VALUE"""),"Proficient")</f>
        <v>Proficient</v>
      </c>
      <c r="I723" s="174" t="str">
        <f>IFERROR(__xludf.DUMMYFUNCTION("""COMPUTED_VALUE"""),"Unlisted")</f>
        <v>Unlisted</v>
      </c>
      <c r="J723" s="174" t="str">
        <f>IFERROR(__xludf.DUMMYFUNCTION("""COMPUTED_VALUE"""),"Unlisted")</f>
        <v>Unlisted</v>
      </c>
      <c r="K723" s="174" t="str">
        <f>IFERROR(__xludf.DUMMYFUNCTION("""COMPUTED_VALUE"""),"Unlisted")</f>
        <v>Unlisted</v>
      </c>
      <c r="L723" s="174" t="str">
        <f>IFERROR(__xludf.DUMMYFUNCTION("""COMPUTED_VALUE"""),"Proficient")</f>
        <v>Proficient</v>
      </c>
      <c r="M723" s="174" t="str">
        <f>IFERROR(__xludf.DUMMYFUNCTION("""COMPUTED_VALUE"""),"Unlisted")</f>
        <v>Unlisted</v>
      </c>
      <c r="N723" s="174" t="str">
        <f>IFERROR(__xludf.DUMMYFUNCTION("""COMPUTED_VALUE"""),"Unlisted")</f>
        <v>Unlisted</v>
      </c>
      <c r="O723" s="174" t="str">
        <f>IFERROR(__xludf.DUMMYFUNCTION("""COMPUTED_VALUE"""),"Unlisted")</f>
        <v>Unlisted</v>
      </c>
      <c r="P723" s="174" t="str">
        <f>IFERROR(__xludf.DUMMYFUNCTION("""COMPUTED_VALUE"""),"Unlisted")</f>
        <v>Unlisted</v>
      </c>
      <c r="Q723" s="174" t="str">
        <f>IFERROR(__xludf.DUMMYFUNCTION("""COMPUTED_VALUE"""),"Unlisted")</f>
        <v>Unlisted</v>
      </c>
      <c r="R723" s="174" t="str">
        <f>IFERROR(__xludf.DUMMYFUNCTION("""COMPUTED_VALUE"""),"Unlisted")</f>
        <v>Unlisted</v>
      </c>
    </row>
    <row r="724">
      <c r="A724" s="255" t="str">
        <f>IFERROR(__xludf.DUMMYFUNCTION("""COMPUTED_VALUE"""),"Whimsicott")</f>
        <v>Whimsicott</v>
      </c>
      <c r="B724" s="174" t="str">
        <f>IFERROR(__xludf.DUMMYFUNCTION("""COMPUTED_VALUE"""),"Proficient")</f>
        <v>Proficient</v>
      </c>
      <c r="C724" s="174" t="str">
        <f>IFERROR(__xludf.DUMMYFUNCTION("""COMPUTED_VALUE"""),"Inept")</f>
        <v>Inept</v>
      </c>
      <c r="D724" s="174" t="str">
        <f>IFERROR(__xludf.DUMMYFUNCTION("""COMPUTED_VALUE"""),"Unlisted")</f>
        <v>Unlisted</v>
      </c>
      <c r="E724" s="174" t="str">
        <f>IFERROR(__xludf.DUMMYFUNCTION("""COMPUTED_VALUE"""),"Unlisted")</f>
        <v>Unlisted</v>
      </c>
      <c r="F724" s="174" t="str">
        <f>IFERROR(__xludf.DUMMYFUNCTION("""COMPUTED_VALUE"""),"Unlisted")</f>
        <v>Unlisted</v>
      </c>
      <c r="G724" s="174" t="str">
        <f>IFERROR(__xludf.DUMMYFUNCTION("""COMPUTED_VALUE"""),"Unlisted")</f>
        <v>Unlisted</v>
      </c>
      <c r="H724" s="174" t="str">
        <f>IFERROR(__xludf.DUMMYFUNCTION("""COMPUTED_VALUE"""),"Proficient")</f>
        <v>Proficient</v>
      </c>
      <c r="I724" s="174" t="str">
        <f>IFERROR(__xludf.DUMMYFUNCTION("""COMPUTED_VALUE"""),"Unlisted")</f>
        <v>Unlisted</v>
      </c>
      <c r="J724" s="174" t="str">
        <f>IFERROR(__xludf.DUMMYFUNCTION("""COMPUTED_VALUE"""),"Unlisted")</f>
        <v>Unlisted</v>
      </c>
      <c r="K724" s="174" t="str">
        <f>IFERROR(__xludf.DUMMYFUNCTION("""COMPUTED_VALUE"""),"Unlisted")</f>
        <v>Unlisted</v>
      </c>
      <c r="L724" s="174" t="str">
        <f>IFERROR(__xludf.DUMMYFUNCTION("""COMPUTED_VALUE"""),"Proficient")</f>
        <v>Proficient</v>
      </c>
      <c r="M724" s="174" t="str">
        <f>IFERROR(__xludf.DUMMYFUNCTION("""COMPUTED_VALUE"""),"Unlisted")</f>
        <v>Unlisted</v>
      </c>
      <c r="N724" s="174" t="str">
        <f>IFERROR(__xludf.DUMMYFUNCTION("""COMPUTED_VALUE"""),"Unlisted")</f>
        <v>Unlisted</v>
      </c>
      <c r="O724" s="174" t="str">
        <f>IFERROR(__xludf.DUMMYFUNCTION("""COMPUTED_VALUE"""),"Unlisted")</f>
        <v>Unlisted</v>
      </c>
      <c r="P724" s="174" t="str">
        <f>IFERROR(__xludf.DUMMYFUNCTION("""COMPUTED_VALUE"""),"Unlisted")</f>
        <v>Unlisted</v>
      </c>
      <c r="Q724" s="174" t="str">
        <f>IFERROR(__xludf.DUMMYFUNCTION("""COMPUTED_VALUE"""),"Unlisted")</f>
        <v>Unlisted</v>
      </c>
      <c r="R724" s="174" t="str">
        <f>IFERROR(__xludf.DUMMYFUNCTION("""COMPUTED_VALUE"""),"Unlisted")</f>
        <v>Unlisted</v>
      </c>
    </row>
    <row r="725">
      <c r="A725" s="255" t="str">
        <f>IFERROR(__xludf.DUMMYFUNCTION("""COMPUTED_VALUE"""),"Petilil")</f>
        <v>Petilil</v>
      </c>
      <c r="B725" s="174" t="str">
        <f>IFERROR(__xludf.DUMMYFUNCTION("""COMPUTED_VALUE"""),"Proficient")</f>
        <v>Proficient</v>
      </c>
      <c r="C725" s="174" t="str">
        <f>IFERROR(__xludf.DUMMYFUNCTION("""COMPUTED_VALUE"""),"Unlisted")</f>
        <v>Unlisted</v>
      </c>
      <c r="D725" s="174" t="str">
        <f>IFERROR(__xludf.DUMMYFUNCTION("""COMPUTED_VALUE"""),"Proficient")</f>
        <v>Proficient</v>
      </c>
      <c r="E725" s="174" t="str">
        <f>IFERROR(__xludf.DUMMYFUNCTION("""COMPUTED_VALUE"""),"Unlisted")</f>
        <v>Unlisted</v>
      </c>
      <c r="F725" s="174" t="str">
        <f>IFERROR(__xludf.DUMMYFUNCTION("""COMPUTED_VALUE"""),"Unlisted")</f>
        <v>Unlisted</v>
      </c>
      <c r="G725" s="174" t="str">
        <f>IFERROR(__xludf.DUMMYFUNCTION("""COMPUTED_VALUE"""),"Proficient")</f>
        <v>Proficient</v>
      </c>
      <c r="H725" s="174" t="str">
        <f>IFERROR(__xludf.DUMMYFUNCTION("""COMPUTED_VALUE"""),"Unlisted")</f>
        <v>Unlisted</v>
      </c>
      <c r="I725" s="174" t="str">
        <f>IFERROR(__xludf.DUMMYFUNCTION("""COMPUTED_VALUE"""),"Unlisted")</f>
        <v>Unlisted</v>
      </c>
      <c r="J725" s="174" t="str">
        <f>IFERROR(__xludf.DUMMYFUNCTION("""COMPUTED_VALUE"""),"Unlisted")</f>
        <v>Unlisted</v>
      </c>
      <c r="K725" s="174" t="str">
        <f>IFERROR(__xludf.DUMMYFUNCTION("""COMPUTED_VALUE"""),"Unlisted")</f>
        <v>Unlisted</v>
      </c>
      <c r="L725" s="174" t="str">
        <f>IFERROR(__xludf.DUMMYFUNCTION("""COMPUTED_VALUE"""),"Unlisted")</f>
        <v>Unlisted</v>
      </c>
      <c r="M725" s="174" t="str">
        <f>IFERROR(__xludf.DUMMYFUNCTION("""COMPUTED_VALUE"""),"Unlisted")</f>
        <v>Unlisted</v>
      </c>
      <c r="N725" s="174" t="str">
        <f>IFERROR(__xludf.DUMMYFUNCTION("""COMPUTED_VALUE"""),"Unlisted")</f>
        <v>Unlisted</v>
      </c>
      <c r="O725" s="174" t="str">
        <f>IFERROR(__xludf.DUMMYFUNCTION("""COMPUTED_VALUE"""),"Unlisted")</f>
        <v>Unlisted</v>
      </c>
      <c r="P725" s="174" t="str">
        <f>IFERROR(__xludf.DUMMYFUNCTION("""COMPUTED_VALUE"""),"Unlisted")</f>
        <v>Unlisted</v>
      </c>
      <c r="Q725" s="174" t="str">
        <f>IFERROR(__xludf.DUMMYFUNCTION("""COMPUTED_VALUE"""),"Unlisted")</f>
        <v>Unlisted</v>
      </c>
      <c r="R725" s="174" t="str">
        <f>IFERROR(__xludf.DUMMYFUNCTION("""COMPUTED_VALUE"""),"Unlisted")</f>
        <v>Unlisted</v>
      </c>
    </row>
    <row r="726">
      <c r="A726" s="255" t="str">
        <f>IFERROR(__xludf.DUMMYFUNCTION("""COMPUTED_VALUE"""),"Lilligant")</f>
        <v>Lilligant</v>
      </c>
      <c r="B726" s="174" t="str">
        <f>IFERROR(__xludf.DUMMYFUNCTION("""COMPUTED_VALUE"""),"Proficient")</f>
        <v>Proficient</v>
      </c>
      <c r="C726" s="174" t="str">
        <f>IFERROR(__xludf.DUMMYFUNCTION("""COMPUTED_VALUE"""),"Unlisted")</f>
        <v>Unlisted</v>
      </c>
      <c r="D726" s="174" t="str">
        <f>IFERROR(__xludf.DUMMYFUNCTION("""COMPUTED_VALUE"""),"Proficient")</f>
        <v>Proficient</v>
      </c>
      <c r="E726" s="174" t="str">
        <f>IFERROR(__xludf.DUMMYFUNCTION("""COMPUTED_VALUE"""),"Unlisted")</f>
        <v>Unlisted</v>
      </c>
      <c r="F726" s="174" t="str">
        <f>IFERROR(__xludf.DUMMYFUNCTION("""COMPUTED_VALUE"""),"Unlisted")</f>
        <v>Unlisted</v>
      </c>
      <c r="G726" s="174" t="str">
        <f>IFERROR(__xludf.DUMMYFUNCTION("""COMPUTED_VALUE"""),"Proficient")</f>
        <v>Proficient</v>
      </c>
      <c r="H726" s="174" t="str">
        <f>IFERROR(__xludf.DUMMYFUNCTION("""COMPUTED_VALUE"""),"Unlisted")</f>
        <v>Unlisted</v>
      </c>
      <c r="I726" s="174" t="str">
        <f>IFERROR(__xludf.DUMMYFUNCTION("""COMPUTED_VALUE"""),"Unlisted")</f>
        <v>Unlisted</v>
      </c>
      <c r="J726" s="174" t="str">
        <f>IFERROR(__xludf.DUMMYFUNCTION("""COMPUTED_VALUE"""),"Unlisted")</f>
        <v>Unlisted</v>
      </c>
      <c r="K726" s="174" t="str">
        <f>IFERROR(__xludf.DUMMYFUNCTION("""COMPUTED_VALUE"""),"Unlisted")</f>
        <v>Unlisted</v>
      </c>
      <c r="L726" s="174" t="str">
        <f>IFERROR(__xludf.DUMMYFUNCTION("""COMPUTED_VALUE"""),"Unlisted")</f>
        <v>Unlisted</v>
      </c>
      <c r="M726" s="174" t="str">
        <f>IFERROR(__xludf.DUMMYFUNCTION("""COMPUTED_VALUE"""),"Unlisted")</f>
        <v>Unlisted</v>
      </c>
      <c r="N726" s="174" t="str">
        <f>IFERROR(__xludf.DUMMYFUNCTION("""COMPUTED_VALUE"""),"Unlisted")</f>
        <v>Unlisted</v>
      </c>
      <c r="O726" s="174" t="str">
        <f>IFERROR(__xludf.DUMMYFUNCTION("""COMPUTED_VALUE"""),"Unlisted")</f>
        <v>Unlisted</v>
      </c>
      <c r="P726" s="174" t="str">
        <f>IFERROR(__xludf.DUMMYFUNCTION("""COMPUTED_VALUE"""),"Unlisted")</f>
        <v>Unlisted</v>
      </c>
      <c r="Q726" s="174" t="str">
        <f>IFERROR(__xludf.DUMMYFUNCTION("""COMPUTED_VALUE"""),"Unlisted")</f>
        <v>Unlisted</v>
      </c>
      <c r="R726" s="174" t="str">
        <f>IFERROR(__xludf.DUMMYFUNCTION("""COMPUTED_VALUE"""),"Unlisted")</f>
        <v>Unlisted</v>
      </c>
    </row>
    <row r="727">
      <c r="A727" s="255" t="str">
        <f>IFERROR(__xludf.DUMMYFUNCTION("""COMPUTED_VALUE"""),"Hisuian Lilligant")</f>
        <v>Hisuian Lilligant</v>
      </c>
      <c r="B727" s="174" t="str">
        <f>IFERROR(__xludf.DUMMYFUNCTION("""COMPUTED_VALUE"""),"Mastered")</f>
        <v>Mastered</v>
      </c>
      <c r="C727" s="174" t="str">
        <f>IFERROR(__xludf.DUMMYFUNCTION("""COMPUTED_VALUE"""),"Unlisted")</f>
        <v>Unlisted</v>
      </c>
      <c r="D727" s="174" t="str">
        <f>IFERROR(__xludf.DUMMYFUNCTION("""COMPUTED_VALUE"""),"Proficient")</f>
        <v>Proficient</v>
      </c>
      <c r="E727" s="174" t="str">
        <f>IFERROR(__xludf.DUMMYFUNCTION("""COMPUTED_VALUE"""),"Unlisted")</f>
        <v>Unlisted</v>
      </c>
      <c r="F727" s="174" t="str">
        <f>IFERROR(__xludf.DUMMYFUNCTION("""COMPUTED_VALUE"""),"Unlisted")</f>
        <v>Unlisted</v>
      </c>
      <c r="G727" s="174" t="str">
        <f>IFERROR(__xludf.DUMMYFUNCTION("""COMPUTED_VALUE"""),"Proficient")</f>
        <v>Proficient</v>
      </c>
      <c r="H727" s="174" t="str">
        <f>IFERROR(__xludf.DUMMYFUNCTION("""COMPUTED_VALUE"""),"Unlisted")</f>
        <v>Unlisted</v>
      </c>
      <c r="I727" s="174" t="str">
        <f>IFERROR(__xludf.DUMMYFUNCTION("""COMPUTED_VALUE"""),"Unlisted")</f>
        <v>Unlisted</v>
      </c>
      <c r="J727" s="174" t="str">
        <f>IFERROR(__xludf.DUMMYFUNCTION("""COMPUTED_VALUE"""),"Unlisted")</f>
        <v>Unlisted</v>
      </c>
      <c r="K727" s="174" t="str">
        <f>IFERROR(__xludf.DUMMYFUNCTION("""COMPUTED_VALUE"""),"Unlisted")</f>
        <v>Unlisted</v>
      </c>
      <c r="L727" s="174" t="str">
        <f>IFERROR(__xludf.DUMMYFUNCTION("""COMPUTED_VALUE"""),"Unlisted")</f>
        <v>Unlisted</v>
      </c>
      <c r="M727" s="174" t="str">
        <f>IFERROR(__xludf.DUMMYFUNCTION("""COMPUTED_VALUE"""),"Unlisted")</f>
        <v>Unlisted</v>
      </c>
      <c r="N727" s="174" t="str">
        <f>IFERROR(__xludf.DUMMYFUNCTION("""COMPUTED_VALUE"""),"Unlisted")</f>
        <v>Unlisted</v>
      </c>
      <c r="O727" s="174" t="str">
        <f>IFERROR(__xludf.DUMMYFUNCTION("""COMPUTED_VALUE"""),"Unlisted")</f>
        <v>Unlisted</v>
      </c>
      <c r="P727" s="174" t="str">
        <f>IFERROR(__xludf.DUMMYFUNCTION("""COMPUTED_VALUE"""),"Unlisted")</f>
        <v>Unlisted</v>
      </c>
      <c r="Q727" s="174" t="str">
        <f>IFERROR(__xludf.DUMMYFUNCTION("""COMPUTED_VALUE"""),"Unlisted")</f>
        <v>Unlisted</v>
      </c>
      <c r="R727" s="174" t="str">
        <f>IFERROR(__xludf.DUMMYFUNCTION("""COMPUTED_VALUE"""),"Unlisted")</f>
        <v>Unlisted</v>
      </c>
    </row>
    <row r="728">
      <c r="A728" s="255" t="str">
        <f>IFERROR(__xludf.DUMMYFUNCTION("""COMPUTED_VALUE"""),"Foongus")</f>
        <v>Foongus</v>
      </c>
      <c r="B728" s="174" t="str">
        <f>IFERROR(__xludf.DUMMYFUNCTION("""COMPUTED_VALUE"""),"Unlisted")</f>
        <v>Unlisted</v>
      </c>
      <c r="C728" s="174" t="str">
        <f>IFERROR(__xludf.DUMMYFUNCTION("""COMPUTED_VALUE"""),"Unlisted")</f>
        <v>Unlisted</v>
      </c>
      <c r="D728" s="174" t="str">
        <f>IFERROR(__xludf.DUMMYFUNCTION("""COMPUTED_VALUE"""),"Unlisted")</f>
        <v>Unlisted</v>
      </c>
      <c r="E728" s="174" t="str">
        <f>IFERROR(__xludf.DUMMYFUNCTION("""COMPUTED_VALUE"""),"Unlisted")</f>
        <v>Unlisted</v>
      </c>
      <c r="F728" s="174" t="str">
        <f>IFERROR(__xludf.DUMMYFUNCTION("""COMPUTED_VALUE"""),"Unlisted")</f>
        <v>Unlisted</v>
      </c>
      <c r="G728" s="174" t="str">
        <f>IFERROR(__xludf.DUMMYFUNCTION("""COMPUTED_VALUE"""),"Unlisted")</f>
        <v>Unlisted</v>
      </c>
      <c r="H728" s="174" t="str">
        <f>IFERROR(__xludf.DUMMYFUNCTION("""COMPUTED_VALUE"""),"Unlisted")</f>
        <v>Unlisted</v>
      </c>
      <c r="I728" s="174" t="str">
        <f>IFERROR(__xludf.DUMMYFUNCTION("""COMPUTED_VALUE"""),"Unlisted")</f>
        <v>Unlisted</v>
      </c>
      <c r="J728" s="174" t="str">
        <f>IFERROR(__xludf.DUMMYFUNCTION("""COMPUTED_VALUE"""),"Unlisted")</f>
        <v>Unlisted</v>
      </c>
      <c r="K728" s="174" t="str">
        <f>IFERROR(__xludf.DUMMYFUNCTION("""COMPUTED_VALUE"""),"Unlisted")</f>
        <v>Unlisted</v>
      </c>
      <c r="L728" s="174" t="str">
        <f>IFERROR(__xludf.DUMMYFUNCTION("""COMPUTED_VALUE"""),"Proficient")</f>
        <v>Proficient</v>
      </c>
      <c r="M728" s="174" t="str">
        <f>IFERROR(__xludf.DUMMYFUNCTION("""COMPUTED_VALUE"""),"Unlisted")</f>
        <v>Unlisted</v>
      </c>
      <c r="N728" s="174" t="str">
        <f>IFERROR(__xludf.DUMMYFUNCTION("""COMPUTED_VALUE"""),"Unlisted")</f>
        <v>Unlisted</v>
      </c>
      <c r="O728" s="174" t="str">
        <f>IFERROR(__xludf.DUMMYFUNCTION("""COMPUTED_VALUE"""),"Proficient")</f>
        <v>Proficient</v>
      </c>
      <c r="P728" s="174" t="str">
        <f>IFERROR(__xludf.DUMMYFUNCTION("""COMPUTED_VALUE"""),"Unlisted")</f>
        <v>Unlisted</v>
      </c>
      <c r="Q728" s="174" t="str">
        <f>IFERROR(__xludf.DUMMYFUNCTION("""COMPUTED_VALUE"""),"Unlisted")</f>
        <v>Unlisted</v>
      </c>
      <c r="R728" s="174" t="str">
        <f>IFERROR(__xludf.DUMMYFUNCTION("""COMPUTED_VALUE"""),"Unlisted")</f>
        <v>Unlisted</v>
      </c>
    </row>
    <row r="729">
      <c r="A729" s="255" t="str">
        <f>IFERROR(__xludf.DUMMYFUNCTION("""COMPUTED_VALUE"""),"Amoonguss")</f>
        <v>Amoonguss</v>
      </c>
      <c r="B729" s="174" t="str">
        <f>IFERROR(__xludf.DUMMYFUNCTION("""COMPUTED_VALUE"""),"Unlisted")</f>
        <v>Unlisted</v>
      </c>
      <c r="C729" s="174" t="str">
        <f>IFERROR(__xludf.DUMMYFUNCTION("""COMPUTED_VALUE"""),"Unlisted")</f>
        <v>Unlisted</v>
      </c>
      <c r="D729" s="174" t="str">
        <f>IFERROR(__xludf.DUMMYFUNCTION("""COMPUTED_VALUE"""),"Unlisted")</f>
        <v>Unlisted</v>
      </c>
      <c r="E729" s="174" t="str">
        <f>IFERROR(__xludf.DUMMYFUNCTION("""COMPUTED_VALUE"""),"Unlisted")</f>
        <v>Unlisted</v>
      </c>
      <c r="F729" s="174" t="str">
        <f>IFERROR(__xludf.DUMMYFUNCTION("""COMPUTED_VALUE"""),"Unlisted")</f>
        <v>Unlisted</v>
      </c>
      <c r="G729" s="174" t="str">
        <f>IFERROR(__xludf.DUMMYFUNCTION("""COMPUTED_VALUE"""),"Unlisted")</f>
        <v>Unlisted</v>
      </c>
      <c r="H729" s="174" t="str">
        <f>IFERROR(__xludf.DUMMYFUNCTION("""COMPUTED_VALUE"""),"Unlisted")</f>
        <v>Unlisted</v>
      </c>
      <c r="I729" s="174" t="str">
        <f>IFERROR(__xludf.DUMMYFUNCTION("""COMPUTED_VALUE"""),"Unlisted")</f>
        <v>Unlisted</v>
      </c>
      <c r="J729" s="174" t="str">
        <f>IFERROR(__xludf.DUMMYFUNCTION("""COMPUTED_VALUE"""),"Unlisted")</f>
        <v>Unlisted</v>
      </c>
      <c r="K729" s="174" t="str">
        <f>IFERROR(__xludf.DUMMYFUNCTION("""COMPUTED_VALUE"""),"Unlisted")</f>
        <v>Unlisted</v>
      </c>
      <c r="L729" s="174" t="str">
        <f>IFERROR(__xludf.DUMMYFUNCTION("""COMPUTED_VALUE"""),"Proficient")</f>
        <v>Proficient</v>
      </c>
      <c r="M729" s="174" t="str">
        <f>IFERROR(__xludf.DUMMYFUNCTION("""COMPUTED_VALUE"""),"Unlisted")</f>
        <v>Unlisted</v>
      </c>
      <c r="N729" s="174" t="str">
        <f>IFERROR(__xludf.DUMMYFUNCTION("""COMPUTED_VALUE"""),"Unlisted")</f>
        <v>Unlisted</v>
      </c>
      <c r="O729" s="174" t="str">
        <f>IFERROR(__xludf.DUMMYFUNCTION("""COMPUTED_VALUE"""),"Proficient")</f>
        <v>Proficient</v>
      </c>
      <c r="P729" s="174" t="str">
        <f>IFERROR(__xludf.DUMMYFUNCTION("""COMPUTED_VALUE"""),"Unlisted")</f>
        <v>Unlisted</v>
      </c>
      <c r="Q729" s="174" t="str">
        <f>IFERROR(__xludf.DUMMYFUNCTION("""COMPUTED_VALUE"""),"Unlisted")</f>
        <v>Unlisted</v>
      </c>
      <c r="R729" s="174" t="str">
        <f>IFERROR(__xludf.DUMMYFUNCTION("""COMPUTED_VALUE"""),"Unlisted")</f>
        <v>Unlisted</v>
      </c>
    </row>
    <row r="730">
      <c r="A730" s="255" t="str">
        <f>IFERROR(__xludf.DUMMYFUNCTION("""COMPUTED_VALUE"""),"Ferroseed")</f>
        <v>Ferroseed</v>
      </c>
      <c r="B730" s="174" t="str">
        <f>IFERROR(__xludf.DUMMYFUNCTION("""COMPUTED_VALUE"""),"Unlisted")</f>
        <v>Unlisted</v>
      </c>
      <c r="C730" s="174" t="str">
        <f>IFERROR(__xludf.DUMMYFUNCTION("""COMPUTED_VALUE"""),"Proficient")</f>
        <v>Proficient</v>
      </c>
      <c r="D730" s="174" t="str">
        <f>IFERROR(__xludf.DUMMYFUNCTION("""COMPUTED_VALUE"""),"Unlisted")</f>
        <v>Unlisted</v>
      </c>
      <c r="E730" s="174" t="str">
        <f>IFERROR(__xludf.DUMMYFUNCTION("""COMPUTED_VALUE"""),"Unlisted")</f>
        <v>Unlisted</v>
      </c>
      <c r="F730" s="174" t="str">
        <f>IFERROR(__xludf.DUMMYFUNCTION("""COMPUTED_VALUE"""),"Unlisted")</f>
        <v>Unlisted</v>
      </c>
      <c r="G730" s="174" t="str">
        <f>IFERROR(__xludf.DUMMYFUNCTION("""COMPUTED_VALUE"""),"Proficient")</f>
        <v>Proficient</v>
      </c>
      <c r="H730" s="174" t="str">
        <f>IFERROR(__xludf.DUMMYFUNCTION("""COMPUTED_VALUE"""),"Unlisted")</f>
        <v>Unlisted</v>
      </c>
      <c r="I730" s="174" t="str">
        <f>IFERROR(__xludf.DUMMYFUNCTION("""COMPUTED_VALUE"""),"Unlisted")</f>
        <v>Unlisted</v>
      </c>
      <c r="J730" s="174" t="str">
        <f>IFERROR(__xludf.DUMMYFUNCTION("""COMPUTED_VALUE"""),"Unlisted")</f>
        <v>Unlisted</v>
      </c>
      <c r="K730" s="174" t="str">
        <f>IFERROR(__xludf.DUMMYFUNCTION("""COMPUTED_VALUE"""),"Unlisted")</f>
        <v>Unlisted</v>
      </c>
      <c r="L730" s="174" t="str">
        <f>IFERROR(__xludf.DUMMYFUNCTION("""COMPUTED_VALUE"""),"Unlisted")</f>
        <v>Unlisted</v>
      </c>
      <c r="M730" s="174" t="str">
        <f>IFERROR(__xludf.DUMMYFUNCTION("""COMPUTED_VALUE"""),"Unlisted")</f>
        <v>Unlisted</v>
      </c>
      <c r="N730" s="174" t="str">
        <f>IFERROR(__xludf.DUMMYFUNCTION("""COMPUTED_VALUE"""),"Unlisted")</f>
        <v>Unlisted</v>
      </c>
      <c r="O730" s="174" t="str">
        <f>IFERROR(__xludf.DUMMYFUNCTION("""COMPUTED_VALUE"""),"Proficient")</f>
        <v>Proficient</v>
      </c>
      <c r="P730" s="174" t="str">
        <f>IFERROR(__xludf.DUMMYFUNCTION("""COMPUTED_VALUE"""),"Unlisted")</f>
        <v>Unlisted</v>
      </c>
      <c r="Q730" s="174" t="str">
        <f>IFERROR(__xludf.DUMMYFUNCTION("""COMPUTED_VALUE"""),"Unlisted")</f>
        <v>Unlisted</v>
      </c>
      <c r="R730" s="174" t="str">
        <f>IFERROR(__xludf.DUMMYFUNCTION("""COMPUTED_VALUE"""),"Unlisted")</f>
        <v>Unlisted</v>
      </c>
    </row>
    <row r="731">
      <c r="A731" s="255" t="str">
        <f>IFERROR(__xludf.DUMMYFUNCTION("""COMPUTED_VALUE"""),"Ferrothorn")</f>
        <v>Ferrothorn</v>
      </c>
      <c r="B731" s="174" t="str">
        <f>IFERROR(__xludf.DUMMYFUNCTION("""COMPUTED_VALUE"""),"Unlisted")</f>
        <v>Unlisted</v>
      </c>
      <c r="C731" s="174" t="str">
        <f>IFERROR(__xludf.DUMMYFUNCTION("""COMPUTED_VALUE"""),"Proficient")</f>
        <v>Proficient</v>
      </c>
      <c r="D731" s="174" t="str">
        <f>IFERROR(__xludf.DUMMYFUNCTION("""COMPUTED_VALUE"""),"Unlisted")</f>
        <v>Unlisted</v>
      </c>
      <c r="E731" s="174" t="str">
        <f>IFERROR(__xludf.DUMMYFUNCTION("""COMPUTED_VALUE"""),"Unlisted")</f>
        <v>Unlisted</v>
      </c>
      <c r="F731" s="174" t="str">
        <f>IFERROR(__xludf.DUMMYFUNCTION("""COMPUTED_VALUE"""),"Unlisted")</f>
        <v>Unlisted</v>
      </c>
      <c r="G731" s="174" t="str">
        <f>IFERROR(__xludf.DUMMYFUNCTION("""COMPUTED_VALUE"""),"Proficient")</f>
        <v>Proficient</v>
      </c>
      <c r="H731" s="174" t="str">
        <f>IFERROR(__xludf.DUMMYFUNCTION("""COMPUTED_VALUE"""),"Unlisted")</f>
        <v>Unlisted</v>
      </c>
      <c r="I731" s="174" t="str">
        <f>IFERROR(__xludf.DUMMYFUNCTION("""COMPUTED_VALUE"""),"Unlisted")</f>
        <v>Unlisted</v>
      </c>
      <c r="J731" s="174" t="str">
        <f>IFERROR(__xludf.DUMMYFUNCTION("""COMPUTED_VALUE"""),"Unlisted")</f>
        <v>Unlisted</v>
      </c>
      <c r="K731" s="174" t="str">
        <f>IFERROR(__xludf.DUMMYFUNCTION("""COMPUTED_VALUE"""),"Unlisted")</f>
        <v>Unlisted</v>
      </c>
      <c r="L731" s="174" t="str">
        <f>IFERROR(__xludf.DUMMYFUNCTION("""COMPUTED_VALUE"""),"Unlisted")</f>
        <v>Unlisted</v>
      </c>
      <c r="M731" s="174" t="str">
        <f>IFERROR(__xludf.DUMMYFUNCTION("""COMPUTED_VALUE"""),"Unlisted")</f>
        <v>Unlisted</v>
      </c>
      <c r="N731" s="174" t="str">
        <f>IFERROR(__xludf.DUMMYFUNCTION("""COMPUTED_VALUE"""),"Unlisted")</f>
        <v>Unlisted</v>
      </c>
      <c r="O731" s="174" t="str">
        <f>IFERROR(__xludf.DUMMYFUNCTION("""COMPUTED_VALUE"""),"Proficient")</f>
        <v>Proficient</v>
      </c>
      <c r="P731" s="174" t="str">
        <f>IFERROR(__xludf.DUMMYFUNCTION("""COMPUTED_VALUE"""),"Unlisted")</f>
        <v>Unlisted</v>
      </c>
      <c r="Q731" s="174" t="str">
        <f>IFERROR(__xludf.DUMMYFUNCTION("""COMPUTED_VALUE"""),"Unlisted")</f>
        <v>Unlisted</v>
      </c>
      <c r="R731" s="174" t="str">
        <f>IFERROR(__xludf.DUMMYFUNCTION("""COMPUTED_VALUE"""),"Unlisted")</f>
        <v>Unlisted</v>
      </c>
    </row>
    <row r="732">
      <c r="A732" s="255" t="str">
        <f>IFERROR(__xludf.DUMMYFUNCTION("""COMPUTED_VALUE"""),"Skiddo")</f>
        <v>Skiddo</v>
      </c>
      <c r="B732" s="174" t="str">
        <f>IFERROR(__xludf.DUMMYFUNCTION("""COMPUTED_VALUE"""),"Proficient")</f>
        <v>Proficient</v>
      </c>
      <c r="C732" s="174" t="str">
        <f>IFERROR(__xludf.DUMMYFUNCTION("""COMPUTED_VALUE"""),"Mastered")</f>
        <v>Mastered</v>
      </c>
      <c r="D732" s="174" t="str">
        <f>IFERROR(__xludf.DUMMYFUNCTION("""COMPUTED_VALUE"""),"Unlisted")</f>
        <v>Unlisted</v>
      </c>
      <c r="E732" s="174" t="str">
        <f>IFERROR(__xludf.DUMMYFUNCTION("""COMPUTED_VALUE"""),"Unlisted")</f>
        <v>Unlisted</v>
      </c>
      <c r="F732" s="174" t="str">
        <f>IFERROR(__xludf.DUMMYFUNCTION("""COMPUTED_VALUE"""),"Unlisted")</f>
        <v>Unlisted</v>
      </c>
      <c r="G732" s="174" t="str">
        <f>IFERROR(__xludf.DUMMYFUNCTION("""COMPUTED_VALUE"""),"Unlisted")</f>
        <v>Unlisted</v>
      </c>
      <c r="H732" s="174" t="str">
        <f>IFERROR(__xludf.DUMMYFUNCTION("""COMPUTED_VALUE"""),"Unlisted")</f>
        <v>Unlisted</v>
      </c>
      <c r="I732" s="174" t="str">
        <f>IFERROR(__xludf.DUMMYFUNCTION("""COMPUTED_VALUE"""),"Unlisted")</f>
        <v>Unlisted</v>
      </c>
      <c r="J732" s="174" t="str">
        <f>IFERROR(__xludf.DUMMYFUNCTION("""COMPUTED_VALUE"""),"Unlisted")</f>
        <v>Unlisted</v>
      </c>
      <c r="K732" s="174" t="str">
        <f>IFERROR(__xludf.DUMMYFUNCTION("""COMPUTED_VALUE"""),"Unlisted")</f>
        <v>Unlisted</v>
      </c>
      <c r="L732" s="174" t="str">
        <f>IFERROR(__xludf.DUMMYFUNCTION("""COMPUTED_VALUE"""),"Proficient")</f>
        <v>Proficient</v>
      </c>
      <c r="M732" s="174" t="str">
        <f>IFERROR(__xludf.DUMMYFUNCTION("""COMPUTED_VALUE"""),"Unlisted")</f>
        <v>Unlisted</v>
      </c>
      <c r="N732" s="174" t="str">
        <f>IFERROR(__xludf.DUMMYFUNCTION("""COMPUTED_VALUE"""),"Unlisted")</f>
        <v>Unlisted</v>
      </c>
      <c r="O732" s="174" t="str">
        <f>IFERROR(__xludf.DUMMYFUNCTION("""COMPUTED_VALUE"""),"Unlisted")</f>
        <v>Unlisted</v>
      </c>
      <c r="P732" s="174" t="str">
        <f>IFERROR(__xludf.DUMMYFUNCTION("""COMPUTED_VALUE"""),"Unlisted")</f>
        <v>Unlisted</v>
      </c>
      <c r="Q732" s="174" t="str">
        <f>IFERROR(__xludf.DUMMYFUNCTION("""COMPUTED_VALUE"""),"Unlisted")</f>
        <v>Unlisted</v>
      </c>
      <c r="R732" s="174" t="str">
        <f>IFERROR(__xludf.DUMMYFUNCTION("""COMPUTED_VALUE"""),"Unlisted")</f>
        <v>Unlisted</v>
      </c>
    </row>
    <row r="733">
      <c r="A733" s="255" t="str">
        <f>IFERROR(__xludf.DUMMYFUNCTION("""COMPUTED_VALUE"""),"Gogoat")</f>
        <v>Gogoat</v>
      </c>
      <c r="B733" s="174" t="str">
        <f>IFERROR(__xludf.DUMMYFUNCTION("""COMPUTED_VALUE"""),"Proficient")</f>
        <v>Proficient</v>
      </c>
      <c r="C733" s="174" t="str">
        <f>IFERROR(__xludf.DUMMYFUNCTION("""COMPUTED_VALUE"""),"Mastered")</f>
        <v>Mastered</v>
      </c>
      <c r="D733" s="174" t="str">
        <f>IFERROR(__xludf.DUMMYFUNCTION("""COMPUTED_VALUE"""),"Unlisted")</f>
        <v>Unlisted</v>
      </c>
      <c r="E733" s="174" t="str">
        <f>IFERROR(__xludf.DUMMYFUNCTION("""COMPUTED_VALUE"""),"Unlisted")</f>
        <v>Unlisted</v>
      </c>
      <c r="F733" s="174" t="str">
        <f>IFERROR(__xludf.DUMMYFUNCTION("""COMPUTED_VALUE"""),"Unlisted")</f>
        <v>Unlisted</v>
      </c>
      <c r="G733" s="174" t="str">
        <f>IFERROR(__xludf.DUMMYFUNCTION("""COMPUTED_VALUE"""),"Unlisted")</f>
        <v>Unlisted</v>
      </c>
      <c r="H733" s="174" t="str">
        <f>IFERROR(__xludf.DUMMYFUNCTION("""COMPUTED_VALUE"""),"Unlisted")</f>
        <v>Unlisted</v>
      </c>
      <c r="I733" s="174" t="str">
        <f>IFERROR(__xludf.DUMMYFUNCTION("""COMPUTED_VALUE"""),"Unlisted")</f>
        <v>Unlisted</v>
      </c>
      <c r="J733" s="174" t="str">
        <f>IFERROR(__xludf.DUMMYFUNCTION("""COMPUTED_VALUE"""),"Unlisted")</f>
        <v>Unlisted</v>
      </c>
      <c r="K733" s="174" t="str">
        <f>IFERROR(__xludf.DUMMYFUNCTION("""COMPUTED_VALUE"""),"Unlisted")</f>
        <v>Unlisted</v>
      </c>
      <c r="L733" s="174" t="str">
        <f>IFERROR(__xludf.DUMMYFUNCTION("""COMPUTED_VALUE"""),"Proficient")</f>
        <v>Proficient</v>
      </c>
      <c r="M733" s="174" t="str">
        <f>IFERROR(__xludf.DUMMYFUNCTION("""COMPUTED_VALUE"""),"Unlisted")</f>
        <v>Unlisted</v>
      </c>
      <c r="N733" s="174" t="str">
        <f>IFERROR(__xludf.DUMMYFUNCTION("""COMPUTED_VALUE"""),"Unlisted")</f>
        <v>Unlisted</v>
      </c>
      <c r="O733" s="174" t="str">
        <f>IFERROR(__xludf.DUMMYFUNCTION("""COMPUTED_VALUE"""),"Unlisted")</f>
        <v>Unlisted</v>
      </c>
      <c r="P733" s="174" t="str">
        <f>IFERROR(__xludf.DUMMYFUNCTION("""COMPUTED_VALUE"""),"Unlisted")</f>
        <v>Unlisted</v>
      </c>
      <c r="Q733" s="174" t="str">
        <f>IFERROR(__xludf.DUMMYFUNCTION("""COMPUTED_VALUE"""),"Unlisted")</f>
        <v>Unlisted</v>
      </c>
      <c r="R733" s="174" t="str">
        <f>IFERROR(__xludf.DUMMYFUNCTION("""COMPUTED_VALUE"""),"Unlisted")</f>
        <v>Unlisted</v>
      </c>
    </row>
    <row r="734">
      <c r="A734" s="255" t="str">
        <f>IFERROR(__xludf.DUMMYFUNCTION("""COMPUTED_VALUE"""),"Fomantis")</f>
        <v>Fomantis</v>
      </c>
      <c r="B734" s="174" t="str">
        <f>IFERROR(__xludf.DUMMYFUNCTION("""COMPUTED_VALUE"""),"Proficient")</f>
        <v>Proficient</v>
      </c>
      <c r="C734" s="174" t="str">
        <f>IFERROR(__xludf.DUMMYFUNCTION("""COMPUTED_VALUE"""),"Unlisted")</f>
        <v>Unlisted</v>
      </c>
      <c r="D734" s="174" t="str">
        <f>IFERROR(__xludf.DUMMYFUNCTION("""COMPUTED_VALUE"""),"Unlisted")</f>
        <v>Unlisted</v>
      </c>
      <c r="E734" s="174" t="str">
        <f>IFERROR(__xludf.DUMMYFUNCTION("""COMPUTED_VALUE"""),"Unlisted")</f>
        <v>Unlisted</v>
      </c>
      <c r="F734" s="174" t="str">
        <f>IFERROR(__xludf.DUMMYFUNCTION("""COMPUTED_VALUE"""),"Unlisted")</f>
        <v>Unlisted</v>
      </c>
      <c r="G734" s="174" t="str">
        <f>IFERROR(__xludf.DUMMYFUNCTION("""COMPUTED_VALUE"""),"Unlisted")</f>
        <v>Unlisted</v>
      </c>
      <c r="H734" s="174" t="str">
        <f>IFERROR(__xludf.DUMMYFUNCTION("""COMPUTED_VALUE"""),"Unlisted")</f>
        <v>Unlisted</v>
      </c>
      <c r="I734" s="174" t="str">
        <f>IFERROR(__xludf.DUMMYFUNCTION("""COMPUTED_VALUE"""),"Unlisted")</f>
        <v>Unlisted</v>
      </c>
      <c r="J734" s="174" t="str">
        <f>IFERROR(__xludf.DUMMYFUNCTION("""COMPUTED_VALUE"""),"Unlisted")</f>
        <v>Unlisted</v>
      </c>
      <c r="K734" s="174" t="str">
        <f>IFERROR(__xludf.DUMMYFUNCTION("""COMPUTED_VALUE"""),"Unlisted")</f>
        <v>Unlisted</v>
      </c>
      <c r="L734" s="174" t="str">
        <f>IFERROR(__xludf.DUMMYFUNCTION("""COMPUTED_VALUE"""),"Proficient")</f>
        <v>Proficient</v>
      </c>
      <c r="M734" s="174" t="str">
        <f>IFERROR(__xludf.DUMMYFUNCTION("""COMPUTED_VALUE"""),"Unlisted")</f>
        <v>Unlisted</v>
      </c>
      <c r="N734" s="174" t="str">
        <f>IFERROR(__xludf.DUMMYFUNCTION("""COMPUTED_VALUE"""),"Unlisted")</f>
        <v>Unlisted</v>
      </c>
      <c r="O734" s="174" t="str">
        <f>IFERROR(__xludf.DUMMYFUNCTION("""COMPUTED_VALUE"""),"Unlisted")</f>
        <v>Unlisted</v>
      </c>
      <c r="P734" s="174" t="str">
        <f>IFERROR(__xludf.DUMMYFUNCTION("""COMPUTED_VALUE"""),"Unlisted")</f>
        <v>Unlisted</v>
      </c>
      <c r="Q734" s="174" t="str">
        <f>IFERROR(__xludf.DUMMYFUNCTION("""COMPUTED_VALUE"""),"Unlisted")</f>
        <v>Unlisted</v>
      </c>
      <c r="R734" s="174" t="str">
        <f>IFERROR(__xludf.DUMMYFUNCTION("""COMPUTED_VALUE"""),"Unlisted")</f>
        <v>Unlisted</v>
      </c>
    </row>
    <row r="735">
      <c r="A735" s="255" t="str">
        <f>IFERROR(__xludf.DUMMYFUNCTION("""COMPUTED_VALUE"""),"Lurantis")</f>
        <v>Lurantis</v>
      </c>
      <c r="B735" s="174" t="str">
        <f>IFERROR(__xludf.DUMMYFUNCTION("""COMPUTED_VALUE"""),"Proficient")</f>
        <v>Proficient</v>
      </c>
      <c r="C735" s="174" t="str">
        <f>IFERROR(__xludf.DUMMYFUNCTION("""COMPUTED_VALUE"""),"Unlisted")</f>
        <v>Unlisted</v>
      </c>
      <c r="D735" s="174" t="str">
        <f>IFERROR(__xludf.DUMMYFUNCTION("""COMPUTED_VALUE"""),"Unlisted")</f>
        <v>Unlisted</v>
      </c>
      <c r="E735" s="174" t="str">
        <f>IFERROR(__xludf.DUMMYFUNCTION("""COMPUTED_VALUE"""),"Unlisted")</f>
        <v>Unlisted</v>
      </c>
      <c r="F735" s="174" t="str">
        <f>IFERROR(__xludf.DUMMYFUNCTION("""COMPUTED_VALUE"""),"Unlisted")</f>
        <v>Unlisted</v>
      </c>
      <c r="G735" s="174" t="str">
        <f>IFERROR(__xludf.DUMMYFUNCTION("""COMPUTED_VALUE"""),"Unlisted")</f>
        <v>Unlisted</v>
      </c>
      <c r="H735" s="174" t="str">
        <f>IFERROR(__xludf.DUMMYFUNCTION("""COMPUTED_VALUE"""),"Unlisted")</f>
        <v>Unlisted</v>
      </c>
      <c r="I735" s="174" t="str">
        <f>IFERROR(__xludf.DUMMYFUNCTION("""COMPUTED_VALUE"""),"Unlisted")</f>
        <v>Unlisted</v>
      </c>
      <c r="J735" s="174" t="str">
        <f>IFERROR(__xludf.DUMMYFUNCTION("""COMPUTED_VALUE"""),"Unlisted")</f>
        <v>Unlisted</v>
      </c>
      <c r="K735" s="174" t="str">
        <f>IFERROR(__xludf.DUMMYFUNCTION("""COMPUTED_VALUE"""),"Unlisted")</f>
        <v>Unlisted</v>
      </c>
      <c r="L735" s="174" t="str">
        <f>IFERROR(__xludf.DUMMYFUNCTION("""COMPUTED_VALUE"""),"Proficient")</f>
        <v>Proficient</v>
      </c>
      <c r="M735" s="174" t="str">
        <f>IFERROR(__xludf.DUMMYFUNCTION("""COMPUTED_VALUE"""),"Unlisted")</f>
        <v>Unlisted</v>
      </c>
      <c r="N735" s="174" t="str">
        <f>IFERROR(__xludf.DUMMYFUNCTION("""COMPUTED_VALUE"""),"Unlisted")</f>
        <v>Unlisted</v>
      </c>
      <c r="O735" s="174" t="str">
        <f>IFERROR(__xludf.DUMMYFUNCTION("""COMPUTED_VALUE"""),"Unlisted")</f>
        <v>Unlisted</v>
      </c>
      <c r="P735" s="174" t="str">
        <f>IFERROR(__xludf.DUMMYFUNCTION("""COMPUTED_VALUE"""),"Unlisted")</f>
        <v>Unlisted</v>
      </c>
      <c r="Q735" s="174" t="str">
        <f>IFERROR(__xludf.DUMMYFUNCTION("""COMPUTED_VALUE"""),"Unlisted")</f>
        <v>Unlisted</v>
      </c>
      <c r="R735" s="174" t="str">
        <f>IFERROR(__xludf.DUMMYFUNCTION("""COMPUTED_VALUE"""),"Unlisted")</f>
        <v>Unlisted</v>
      </c>
    </row>
    <row r="736">
      <c r="A736" s="255" t="str">
        <f>IFERROR(__xludf.DUMMYFUNCTION("""COMPUTED_VALUE"""),"Morelull")</f>
        <v>Morelull</v>
      </c>
      <c r="B736" s="174" t="str">
        <f>IFERROR(__xludf.DUMMYFUNCTION("""COMPUTED_VALUE"""),"Unlisted")</f>
        <v>Unlisted</v>
      </c>
      <c r="C736" s="174" t="str">
        <f>IFERROR(__xludf.DUMMYFUNCTION("""COMPUTED_VALUE"""),"Unlisted")</f>
        <v>Unlisted</v>
      </c>
      <c r="D736" s="174" t="str">
        <f>IFERROR(__xludf.DUMMYFUNCTION("""COMPUTED_VALUE"""),"Unlisted")</f>
        <v>Unlisted</v>
      </c>
      <c r="E736" s="174" t="str">
        <f>IFERROR(__xludf.DUMMYFUNCTION("""COMPUTED_VALUE"""),"Unlisted")</f>
        <v>Unlisted</v>
      </c>
      <c r="F736" s="174" t="str">
        <f>IFERROR(__xludf.DUMMYFUNCTION("""COMPUTED_VALUE"""),"Unlisted")</f>
        <v>Unlisted</v>
      </c>
      <c r="G736" s="174" t="str">
        <f>IFERROR(__xludf.DUMMYFUNCTION("""COMPUTED_VALUE"""),"Proficient")</f>
        <v>Proficient</v>
      </c>
      <c r="H736" s="174" t="str">
        <f>IFERROR(__xludf.DUMMYFUNCTION("""COMPUTED_VALUE"""),"Unlisted")</f>
        <v>Unlisted</v>
      </c>
      <c r="I736" s="174" t="str">
        <f>IFERROR(__xludf.DUMMYFUNCTION("""COMPUTED_VALUE"""),"Unlisted")</f>
        <v>Unlisted</v>
      </c>
      <c r="J736" s="174" t="str">
        <f>IFERROR(__xludf.DUMMYFUNCTION("""COMPUTED_VALUE"""),"Unlisted")</f>
        <v>Unlisted</v>
      </c>
      <c r="K736" s="174" t="str">
        <f>IFERROR(__xludf.DUMMYFUNCTION("""COMPUTED_VALUE"""),"Unlisted")</f>
        <v>Unlisted</v>
      </c>
      <c r="L736" s="174" t="str">
        <f>IFERROR(__xludf.DUMMYFUNCTION("""COMPUTED_VALUE"""),"Unlisted")</f>
        <v>Unlisted</v>
      </c>
      <c r="M736" s="174" t="str">
        <f>IFERROR(__xludf.DUMMYFUNCTION("""COMPUTED_VALUE"""),"Unlisted")</f>
        <v>Unlisted</v>
      </c>
      <c r="N736" s="174" t="str">
        <f>IFERROR(__xludf.DUMMYFUNCTION("""COMPUTED_VALUE"""),"Unlisted")</f>
        <v>Unlisted</v>
      </c>
      <c r="O736" s="174" t="str">
        <f>IFERROR(__xludf.DUMMYFUNCTION("""COMPUTED_VALUE"""),"Proficient")</f>
        <v>Proficient</v>
      </c>
      <c r="P736" s="174" t="str">
        <f>IFERROR(__xludf.DUMMYFUNCTION("""COMPUTED_VALUE"""),"Unlisted")</f>
        <v>Unlisted</v>
      </c>
      <c r="Q736" s="174" t="str">
        <f>IFERROR(__xludf.DUMMYFUNCTION("""COMPUTED_VALUE"""),"Unlisted")</f>
        <v>Unlisted</v>
      </c>
      <c r="R736" s="174" t="str">
        <f>IFERROR(__xludf.DUMMYFUNCTION("""COMPUTED_VALUE"""),"Unlisted")</f>
        <v>Unlisted</v>
      </c>
    </row>
    <row r="737">
      <c r="A737" s="255" t="str">
        <f>IFERROR(__xludf.DUMMYFUNCTION("""COMPUTED_VALUE"""),"Shiinotic")</f>
        <v>Shiinotic</v>
      </c>
      <c r="B737" s="174" t="str">
        <f>IFERROR(__xludf.DUMMYFUNCTION("""COMPUTED_VALUE"""),"Unlisted")</f>
        <v>Unlisted</v>
      </c>
      <c r="C737" s="174" t="str">
        <f>IFERROR(__xludf.DUMMYFUNCTION("""COMPUTED_VALUE"""),"Unlisted")</f>
        <v>Unlisted</v>
      </c>
      <c r="D737" s="174" t="str">
        <f>IFERROR(__xludf.DUMMYFUNCTION("""COMPUTED_VALUE"""),"Unlisted")</f>
        <v>Unlisted</v>
      </c>
      <c r="E737" s="174" t="str">
        <f>IFERROR(__xludf.DUMMYFUNCTION("""COMPUTED_VALUE"""),"Unlisted")</f>
        <v>Unlisted</v>
      </c>
      <c r="F737" s="174" t="str">
        <f>IFERROR(__xludf.DUMMYFUNCTION("""COMPUTED_VALUE"""),"Unlisted")</f>
        <v>Unlisted</v>
      </c>
      <c r="G737" s="174" t="str">
        <f>IFERROR(__xludf.DUMMYFUNCTION("""COMPUTED_VALUE"""),"Proficient")</f>
        <v>Proficient</v>
      </c>
      <c r="H737" s="174" t="str">
        <f>IFERROR(__xludf.DUMMYFUNCTION("""COMPUTED_VALUE"""),"Unlisted")</f>
        <v>Unlisted</v>
      </c>
      <c r="I737" s="174" t="str">
        <f>IFERROR(__xludf.DUMMYFUNCTION("""COMPUTED_VALUE"""),"Unlisted")</f>
        <v>Unlisted</v>
      </c>
      <c r="J737" s="174" t="str">
        <f>IFERROR(__xludf.DUMMYFUNCTION("""COMPUTED_VALUE"""),"Unlisted")</f>
        <v>Unlisted</v>
      </c>
      <c r="K737" s="174" t="str">
        <f>IFERROR(__xludf.DUMMYFUNCTION("""COMPUTED_VALUE"""),"Unlisted")</f>
        <v>Unlisted</v>
      </c>
      <c r="L737" s="174" t="str">
        <f>IFERROR(__xludf.DUMMYFUNCTION("""COMPUTED_VALUE"""),"Inept")</f>
        <v>Inept</v>
      </c>
      <c r="M737" s="174" t="str">
        <f>IFERROR(__xludf.DUMMYFUNCTION("""COMPUTED_VALUE"""),"Unlisted")</f>
        <v>Unlisted</v>
      </c>
      <c r="N737" s="174" t="str">
        <f>IFERROR(__xludf.DUMMYFUNCTION("""COMPUTED_VALUE"""),"Unlisted")</f>
        <v>Unlisted</v>
      </c>
      <c r="O737" s="174" t="str">
        <f>IFERROR(__xludf.DUMMYFUNCTION("""COMPUTED_VALUE"""),"Proficient")</f>
        <v>Proficient</v>
      </c>
      <c r="P737" s="174" t="str">
        <f>IFERROR(__xludf.DUMMYFUNCTION("""COMPUTED_VALUE"""),"Unlisted")</f>
        <v>Unlisted</v>
      </c>
      <c r="Q737" s="174" t="str">
        <f>IFERROR(__xludf.DUMMYFUNCTION("""COMPUTED_VALUE"""),"Unlisted")</f>
        <v>Unlisted</v>
      </c>
      <c r="R737" s="174" t="str">
        <f>IFERROR(__xludf.DUMMYFUNCTION("""COMPUTED_VALUE"""),"Unlisted")</f>
        <v>Unlisted</v>
      </c>
    </row>
    <row r="738">
      <c r="A738" s="255" t="str">
        <f>IFERROR(__xludf.DUMMYFUNCTION("""COMPUTED_VALUE"""),"Gossifleur")</f>
        <v>Gossifleur</v>
      </c>
      <c r="B738" s="174" t="str">
        <f>IFERROR(__xludf.DUMMYFUNCTION("""COMPUTED_VALUE"""),"Unlisted")</f>
        <v>Unlisted</v>
      </c>
      <c r="C738" s="174" t="str">
        <f>IFERROR(__xludf.DUMMYFUNCTION("""COMPUTED_VALUE"""),"Unlisted")</f>
        <v>Unlisted</v>
      </c>
      <c r="D738" s="174" t="str">
        <f>IFERROR(__xludf.DUMMYFUNCTION("""COMPUTED_VALUE"""),"Unlisted")</f>
        <v>Unlisted</v>
      </c>
      <c r="E738" s="174" t="str">
        <f>IFERROR(__xludf.DUMMYFUNCTION("""COMPUTED_VALUE"""),"Inept")</f>
        <v>Inept</v>
      </c>
      <c r="F738" s="174" t="str">
        <f>IFERROR(__xludf.DUMMYFUNCTION("""COMPUTED_VALUE"""),"Unlisted")</f>
        <v>Unlisted</v>
      </c>
      <c r="G738" s="174" t="str">
        <f>IFERROR(__xludf.DUMMYFUNCTION("""COMPUTED_VALUE"""),"Proficient")</f>
        <v>Proficient</v>
      </c>
      <c r="H738" s="174" t="str">
        <f>IFERROR(__xludf.DUMMYFUNCTION("""COMPUTED_VALUE"""),"Unlisted")</f>
        <v>Unlisted</v>
      </c>
      <c r="I738" s="174" t="str">
        <f>IFERROR(__xludf.DUMMYFUNCTION("""COMPUTED_VALUE"""),"Unlisted")</f>
        <v>Unlisted</v>
      </c>
      <c r="J738" s="174" t="str">
        <f>IFERROR(__xludf.DUMMYFUNCTION("""COMPUTED_VALUE"""),"Proficient")</f>
        <v>Proficient</v>
      </c>
      <c r="K738" s="174" t="str">
        <f>IFERROR(__xludf.DUMMYFUNCTION("""COMPUTED_VALUE"""),"Unlisted")</f>
        <v>Unlisted</v>
      </c>
      <c r="L738" s="174" t="str">
        <f>IFERROR(__xludf.DUMMYFUNCTION("""COMPUTED_VALUE"""),"Unlisted")</f>
        <v>Unlisted</v>
      </c>
      <c r="M738" s="174" t="str">
        <f>IFERROR(__xludf.DUMMYFUNCTION("""COMPUTED_VALUE"""),"Unlisted")</f>
        <v>Unlisted</v>
      </c>
      <c r="N738" s="174" t="str">
        <f>IFERROR(__xludf.DUMMYFUNCTION("""COMPUTED_VALUE"""),"Unlisted")</f>
        <v>Unlisted</v>
      </c>
      <c r="O738" s="174" t="str">
        <f>IFERROR(__xludf.DUMMYFUNCTION("""COMPUTED_VALUE"""),"Proficient")</f>
        <v>Proficient</v>
      </c>
      <c r="P738" s="174" t="str">
        <f>IFERROR(__xludf.DUMMYFUNCTION("""COMPUTED_VALUE"""),"Unlisted")</f>
        <v>Unlisted</v>
      </c>
      <c r="Q738" s="174" t="str">
        <f>IFERROR(__xludf.DUMMYFUNCTION("""COMPUTED_VALUE"""),"Unlisted")</f>
        <v>Unlisted</v>
      </c>
      <c r="R738" s="174" t="str">
        <f>IFERROR(__xludf.DUMMYFUNCTION("""COMPUTED_VALUE"""),"Unlisted")</f>
        <v>Unlisted</v>
      </c>
    </row>
    <row r="739">
      <c r="A739" s="255" t="str">
        <f>IFERROR(__xludf.DUMMYFUNCTION("""COMPUTED_VALUE"""),"Eldegoss")</f>
        <v>Eldegoss</v>
      </c>
      <c r="B739" s="174" t="str">
        <f>IFERROR(__xludf.DUMMYFUNCTION("""COMPUTED_VALUE"""),"Unlisted")</f>
        <v>Unlisted</v>
      </c>
      <c r="C739" s="174" t="str">
        <f>IFERROR(__xludf.DUMMYFUNCTION("""COMPUTED_VALUE"""),"Unlisted")</f>
        <v>Unlisted</v>
      </c>
      <c r="D739" s="174" t="str">
        <f>IFERROR(__xludf.DUMMYFUNCTION("""COMPUTED_VALUE"""),"Unlisted")</f>
        <v>Unlisted</v>
      </c>
      <c r="E739" s="174" t="str">
        <f>IFERROR(__xludf.DUMMYFUNCTION("""COMPUTED_VALUE"""),"Inept")</f>
        <v>Inept</v>
      </c>
      <c r="F739" s="174" t="str">
        <f>IFERROR(__xludf.DUMMYFUNCTION("""COMPUTED_VALUE"""),"Unlisted")</f>
        <v>Unlisted</v>
      </c>
      <c r="G739" s="174" t="str">
        <f>IFERROR(__xludf.DUMMYFUNCTION("""COMPUTED_VALUE"""),"Proficient")</f>
        <v>Proficient</v>
      </c>
      <c r="H739" s="174" t="str">
        <f>IFERROR(__xludf.DUMMYFUNCTION("""COMPUTED_VALUE"""),"Unlisted")</f>
        <v>Unlisted</v>
      </c>
      <c r="I739" s="174" t="str">
        <f>IFERROR(__xludf.DUMMYFUNCTION("""COMPUTED_VALUE"""),"Unlisted")</f>
        <v>Unlisted</v>
      </c>
      <c r="J739" s="174" t="str">
        <f>IFERROR(__xludf.DUMMYFUNCTION("""COMPUTED_VALUE"""),"Proficient")</f>
        <v>Proficient</v>
      </c>
      <c r="K739" s="174" t="str">
        <f>IFERROR(__xludf.DUMMYFUNCTION("""COMPUTED_VALUE"""),"Unlisted")</f>
        <v>Unlisted</v>
      </c>
      <c r="L739" s="174" t="str">
        <f>IFERROR(__xludf.DUMMYFUNCTION("""COMPUTED_VALUE"""),"Unlisted")</f>
        <v>Unlisted</v>
      </c>
      <c r="M739" s="174" t="str">
        <f>IFERROR(__xludf.DUMMYFUNCTION("""COMPUTED_VALUE"""),"Unlisted")</f>
        <v>Unlisted</v>
      </c>
      <c r="N739" s="174" t="str">
        <f>IFERROR(__xludf.DUMMYFUNCTION("""COMPUTED_VALUE"""),"Unlisted")</f>
        <v>Unlisted</v>
      </c>
      <c r="O739" s="174" t="str">
        <f>IFERROR(__xludf.DUMMYFUNCTION("""COMPUTED_VALUE"""),"Proficient")</f>
        <v>Proficient</v>
      </c>
      <c r="P739" s="174" t="str">
        <f>IFERROR(__xludf.DUMMYFUNCTION("""COMPUTED_VALUE"""),"Unlisted")</f>
        <v>Unlisted</v>
      </c>
      <c r="Q739" s="174" t="str">
        <f>IFERROR(__xludf.DUMMYFUNCTION("""COMPUTED_VALUE"""),"Unlisted")</f>
        <v>Unlisted</v>
      </c>
      <c r="R739" s="174" t="str">
        <f>IFERROR(__xludf.DUMMYFUNCTION("""COMPUTED_VALUE"""),"Unlisted")</f>
        <v>Unlisted</v>
      </c>
    </row>
    <row r="740">
      <c r="A740" s="255" t="str">
        <f>IFERROR(__xludf.DUMMYFUNCTION("""COMPUTED_VALUE"""),"Applin")</f>
        <v>Applin</v>
      </c>
      <c r="B740" s="174" t="str">
        <f>IFERROR(__xludf.DUMMYFUNCTION("""COMPUTED_VALUE"""),"Unlisted")</f>
        <v>Unlisted</v>
      </c>
      <c r="C740" s="174" t="str">
        <f>IFERROR(__xludf.DUMMYFUNCTION("""COMPUTED_VALUE"""),"Unlisted")</f>
        <v>Unlisted</v>
      </c>
      <c r="D740" s="174" t="str">
        <f>IFERROR(__xludf.DUMMYFUNCTION("""COMPUTED_VALUE"""),"Unlisted")</f>
        <v>Unlisted</v>
      </c>
      <c r="E740" s="174" t="str">
        <f>IFERROR(__xludf.DUMMYFUNCTION("""COMPUTED_VALUE"""),"Unlisted")</f>
        <v>Unlisted</v>
      </c>
      <c r="F740" s="174" t="str">
        <f>IFERROR(__xludf.DUMMYFUNCTION("""COMPUTED_VALUE"""),"Unlisted")</f>
        <v>Unlisted</v>
      </c>
      <c r="G740" s="174" t="str">
        <f>IFERROR(__xludf.DUMMYFUNCTION("""COMPUTED_VALUE"""),"Unlisted")</f>
        <v>Unlisted</v>
      </c>
      <c r="H740" s="174" t="str">
        <f>IFERROR(__xludf.DUMMYFUNCTION("""COMPUTED_VALUE"""),"Unlisted")</f>
        <v>Unlisted</v>
      </c>
      <c r="I740" s="174" t="str">
        <f>IFERROR(__xludf.DUMMYFUNCTION("""COMPUTED_VALUE"""),"Unlisted")</f>
        <v>Unlisted</v>
      </c>
      <c r="J740" s="174" t="str">
        <f>IFERROR(__xludf.DUMMYFUNCTION("""COMPUTED_VALUE"""),"Unlisted")</f>
        <v>Unlisted</v>
      </c>
      <c r="K740" s="174" t="str">
        <f>IFERROR(__xludf.DUMMYFUNCTION("""COMPUTED_VALUE"""),"Unlisted")</f>
        <v>Unlisted</v>
      </c>
      <c r="L740" s="174" t="str">
        <f>IFERROR(__xludf.DUMMYFUNCTION("""COMPUTED_VALUE"""),"Proficient")</f>
        <v>Proficient</v>
      </c>
      <c r="M740" s="174" t="str">
        <f>IFERROR(__xludf.DUMMYFUNCTION("""COMPUTED_VALUE"""),"Unlisted")</f>
        <v>Unlisted</v>
      </c>
      <c r="N740" s="174" t="str">
        <f>IFERROR(__xludf.DUMMYFUNCTION("""COMPUTED_VALUE"""),"Unlisted")</f>
        <v>Unlisted</v>
      </c>
      <c r="O740" s="174" t="str">
        <f>IFERROR(__xludf.DUMMYFUNCTION("""COMPUTED_VALUE"""),"Proficient")</f>
        <v>Proficient</v>
      </c>
      <c r="P740" s="174" t="str">
        <f>IFERROR(__xludf.DUMMYFUNCTION("""COMPUTED_VALUE"""),"Unlisted")</f>
        <v>Unlisted</v>
      </c>
      <c r="Q740" s="174" t="str">
        <f>IFERROR(__xludf.DUMMYFUNCTION("""COMPUTED_VALUE"""),"Unlisted")</f>
        <v>Unlisted</v>
      </c>
      <c r="R740" s="174" t="str">
        <f>IFERROR(__xludf.DUMMYFUNCTION("""COMPUTED_VALUE"""),"Unlisted")</f>
        <v>Unlisted</v>
      </c>
    </row>
    <row r="741">
      <c r="A741" s="255" t="str">
        <f>IFERROR(__xludf.DUMMYFUNCTION("""COMPUTED_VALUE"""),"Flapple")</f>
        <v>Flapple</v>
      </c>
      <c r="B741" s="174" t="str">
        <f>IFERROR(__xludf.DUMMYFUNCTION("""COMPUTED_VALUE"""),"Mastered")</f>
        <v>Mastered</v>
      </c>
      <c r="C741" s="174" t="str">
        <f>IFERROR(__xludf.DUMMYFUNCTION("""COMPUTED_VALUE"""),"Unlisted")</f>
        <v>Unlisted</v>
      </c>
      <c r="D741" s="174" t="str">
        <f>IFERROR(__xludf.DUMMYFUNCTION("""COMPUTED_VALUE"""),"Unlisted")</f>
        <v>Unlisted</v>
      </c>
      <c r="E741" s="174" t="str">
        <f>IFERROR(__xludf.DUMMYFUNCTION("""COMPUTED_VALUE"""),"Proficient")</f>
        <v>Proficient</v>
      </c>
      <c r="F741" s="174" t="str">
        <f>IFERROR(__xludf.DUMMYFUNCTION("""COMPUTED_VALUE"""),"Unlisted")</f>
        <v>Unlisted</v>
      </c>
      <c r="G741" s="174" t="str">
        <f>IFERROR(__xludf.DUMMYFUNCTION("""COMPUTED_VALUE"""),"Unlisted")</f>
        <v>Unlisted</v>
      </c>
      <c r="H741" s="174" t="str">
        <f>IFERROR(__xludf.DUMMYFUNCTION("""COMPUTED_VALUE"""),"Unlisted")</f>
        <v>Unlisted</v>
      </c>
      <c r="I741" s="174" t="str">
        <f>IFERROR(__xludf.DUMMYFUNCTION("""COMPUTED_VALUE"""),"Unlisted")</f>
        <v>Unlisted</v>
      </c>
      <c r="J741" s="174" t="str">
        <f>IFERROR(__xludf.DUMMYFUNCTION("""COMPUTED_VALUE"""),"Unlisted")</f>
        <v>Unlisted</v>
      </c>
      <c r="K741" s="174" t="str">
        <f>IFERROR(__xludf.DUMMYFUNCTION("""COMPUTED_VALUE"""),"Unlisted")</f>
        <v>Unlisted</v>
      </c>
      <c r="L741" s="174" t="str">
        <f>IFERROR(__xludf.DUMMYFUNCTION("""COMPUTED_VALUE"""),"Unlisted")</f>
        <v>Unlisted</v>
      </c>
      <c r="M741" s="174" t="str">
        <f>IFERROR(__xludf.DUMMYFUNCTION("""COMPUTED_VALUE"""),"Unlisted")</f>
        <v>Unlisted</v>
      </c>
      <c r="N741" s="174" t="str">
        <f>IFERROR(__xludf.DUMMYFUNCTION("""COMPUTED_VALUE"""),"Unlisted")</f>
        <v>Unlisted</v>
      </c>
      <c r="O741" s="174" t="str">
        <f>IFERROR(__xludf.DUMMYFUNCTION("""COMPUTED_VALUE"""),"Proficient")</f>
        <v>Proficient</v>
      </c>
      <c r="P741" s="174" t="str">
        <f>IFERROR(__xludf.DUMMYFUNCTION("""COMPUTED_VALUE"""),"Unlisted")</f>
        <v>Unlisted</v>
      </c>
      <c r="Q741" s="174" t="str">
        <f>IFERROR(__xludf.DUMMYFUNCTION("""COMPUTED_VALUE"""),"Unlisted")</f>
        <v>Unlisted</v>
      </c>
      <c r="R741" s="174" t="str">
        <f>IFERROR(__xludf.DUMMYFUNCTION("""COMPUTED_VALUE"""),"Unlisted")</f>
        <v>Unlisted</v>
      </c>
    </row>
    <row r="742">
      <c r="A742" s="255" t="str">
        <f>IFERROR(__xludf.DUMMYFUNCTION("""COMPUTED_VALUE"""),"Appletun")</f>
        <v>Appletun</v>
      </c>
      <c r="B742" s="174" t="str">
        <f>IFERROR(__xludf.DUMMYFUNCTION("""COMPUTED_VALUE"""),"Unlisted")</f>
        <v>Unlisted</v>
      </c>
      <c r="C742" s="174" t="str">
        <f>IFERROR(__xludf.DUMMYFUNCTION("""COMPUTED_VALUE"""),"Proficient")</f>
        <v>Proficient</v>
      </c>
      <c r="D742" s="174" t="str">
        <f>IFERROR(__xludf.DUMMYFUNCTION("""COMPUTED_VALUE"""),"Unlisted")</f>
        <v>Unlisted</v>
      </c>
      <c r="E742" s="174" t="str">
        <f>IFERROR(__xludf.DUMMYFUNCTION("""COMPUTED_VALUE"""),"Unlisted")</f>
        <v>Unlisted</v>
      </c>
      <c r="F742" s="174" t="str">
        <f>IFERROR(__xludf.DUMMYFUNCTION("""COMPUTED_VALUE"""),"Unlisted")</f>
        <v>Unlisted</v>
      </c>
      <c r="G742" s="174" t="str">
        <f>IFERROR(__xludf.DUMMYFUNCTION("""COMPUTED_VALUE"""),"Proficient")</f>
        <v>Proficient</v>
      </c>
      <c r="H742" s="174" t="str">
        <f>IFERROR(__xludf.DUMMYFUNCTION("""COMPUTED_VALUE"""),"Unlisted")</f>
        <v>Unlisted</v>
      </c>
      <c r="I742" s="174" t="str">
        <f>IFERROR(__xludf.DUMMYFUNCTION("""COMPUTED_VALUE"""),"Unlisted")</f>
        <v>Unlisted</v>
      </c>
      <c r="J742" s="174" t="str">
        <f>IFERROR(__xludf.DUMMYFUNCTION("""COMPUTED_VALUE"""),"Unlisted")</f>
        <v>Unlisted</v>
      </c>
      <c r="K742" s="174" t="str">
        <f>IFERROR(__xludf.DUMMYFUNCTION("""COMPUTED_VALUE"""),"Unlisted")</f>
        <v>Unlisted</v>
      </c>
      <c r="L742" s="174" t="str">
        <f>IFERROR(__xludf.DUMMYFUNCTION("""COMPUTED_VALUE"""),"Unlisted")</f>
        <v>Unlisted</v>
      </c>
      <c r="M742" s="174" t="str">
        <f>IFERROR(__xludf.DUMMYFUNCTION("""COMPUTED_VALUE"""),"Unlisted")</f>
        <v>Unlisted</v>
      </c>
      <c r="N742" s="174" t="str">
        <f>IFERROR(__xludf.DUMMYFUNCTION("""COMPUTED_VALUE"""),"Unlisted")</f>
        <v>Unlisted</v>
      </c>
      <c r="O742" s="174" t="str">
        <f>IFERROR(__xludf.DUMMYFUNCTION("""COMPUTED_VALUE"""),"Proficient")</f>
        <v>Proficient</v>
      </c>
      <c r="P742" s="174" t="str">
        <f>IFERROR(__xludf.DUMMYFUNCTION("""COMPUTED_VALUE"""),"Unlisted")</f>
        <v>Unlisted</v>
      </c>
      <c r="Q742" s="174" t="str">
        <f>IFERROR(__xludf.DUMMYFUNCTION("""COMPUTED_VALUE"""),"Unlisted")</f>
        <v>Unlisted</v>
      </c>
      <c r="R742" s="174" t="str">
        <f>IFERROR(__xludf.DUMMYFUNCTION("""COMPUTED_VALUE"""),"Unlisted")</f>
        <v>Unlisted</v>
      </c>
    </row>
    <row r="743">
      <c r="A743" s="255" t="str">
        <f>IFERROR(__xludf.DUMMYFUNCTION("""COMPUTED_VALUE"""),"Dipplin")</f>
        <v>Dipplin</v>
      </c>
      <c r="B743" s="174" t="str">
        <f>IFERROR(__xludf.DUMMYFUNCTION("""COMPUTED_VALUE"""),"Unlisted")</f>
        <v>Unlisted</v>
      </c>
      <c r="C743" s="174" t="str">
        <f>IFERROR(__xludf.DUMMYFUNCTION("""COMPUTED_VALUE"""),"Unlisted")</f>
        <v>Unlisted</v>
      </c>
      <c r="D743" s="174" t="str">
        <f>IFERROR(__xludf.DUMMYFUNCTION("""COMPUTED_VALUE"""),"Unlisted")</f>
        <v>Unlisted</v>
      </c>
      <c r="E743" s="174" t="str">
        <f>IFERROR(__xludf.DUMMYFUNCTION("""COMPUTED_VALUE"""),"Unlisted")</f>
        <v>Unlisted</v>
      </c>
      <c r="F743" s="174" t="str">
        <f>IFERROR(__xludf.DUMMYFUNCTION("""COMPUTED_VALUE"""),"Unlisted")</f>
        <v>Unlisted</v>
      </c>
      <c r="G743" s="174" t="str">
        <f>IFERROR(__xludf.DUMMYFUNCTION("""COMPUTED_VALUE"""),"Unlisted")</f>
        <v>Unlisted</v>
      </c>
      <c r="H743" s="174" t="str">
        <f>IFERROR(__xludf.DUMMYFUNCTION("""COMPUTED_VALUE"""),"Unlisted")</f>
        <v>Unlisted</v>
      </c>
      <c r="I743" s="174" t="str">
        <f>IFERROR(__xludf.DUMMYFUNCTION("""COMPUTED_VALUE"""),"Unlisted")</f>
        <v>Unlisted</v>
      </c>
      <c r="J743" s="174" t="str">
        <f>IFERROR(__xludf.DUMMYFUNCTION("""COMPUTED_VALUE"""),"Unlisted")</f>
        <v>Unlisted</v>
      </c>
      <c r="K743" s="174" t="str">
        <f>IFERROR(__xludf.DUMMYFUNCTION("""COMPUTED_VALUE"""),"Unlisted")</f>
        <v>Unlisted</v>
      </c>
      <c r="L743" s="174" t="str">
        <f>IFERROR(__xludf.DUMMYFUNCTION("""COMPUTED_VALUE"""),"Proficient")</f>
        <v>Proficient</v>
      </c>
      <c r="M743" s="174" t="str">
        <f>IFERROR(__xludf.DUMMYFUNCTION("""COMPUTED_VALUE"""),"Unlisted")</f>
        <v>Unlisted</v>
      </c>
      <c r="N743" s="174" t="str">
        <f>IFERROR(__xludf.DUMMYFUNCTION("""COMPUTED_VALUE"""),"Unlisted")</f>
        <v>Unlisted</v>
      </c>
      <c r="O743" s="174" t="str">
        <f>IFERROR(__xludf.DUMMYFUNCTION("""COMPUTED_VALUE"""),"Unlisted")</f>
        <v>Unlisted</v>
      </c>
      <c r="P743" s="174" t="str">
        <f>IFERROR(__xludf.DUMMYFUNCTION("""COMPUTED_VALUE"""),"Unlisted")</f>
        <v>Unlisted</v>
      </c>
      <c r="Q743" s="174" t="str">
        <f>IFERROR(__xludf.DUMMYFUNCTION("""COMPUTED_VALUE"""),"Unlisted")</f>
        <v>Unlisted</v>
      </c>
      <c r="R743" s="174" t="str">
        <f>IFERROR(__xludf.DUMMYFUNCTION("""COMPUTED_VALUE"""),"Unlisted")</f>
        <v>Unlisted</v>
      </c>
    </row>
    <row r="744">
      <c r="A744" s="255" t="str">
        <f>IFERROR(__xludf.DUMMYFUNCTION("""COMPUTED_VALUE"""),"Hydrapple")</f>
        <v>Hydrapple</v>
      </c>
      <c r="B744" s="174" t="str">
        <f>IFERROR(__xludf.DUMMYFUNCTION("""COMPUTED_VALUE"""),"Unlisted")</f>
        <v>Unlisted</v>
      </c>
      <c r="C744" s="174" t="str">
        <f>IFERROR(__xludf.DUMMYFUNCTION("""COMPUTED_VALUE"""),"Proficient")</f>
        <v>Proficient</v>
      </c>
      <c r="D744" s="174" t="str">
        <f>IFERROR(__xludf.DUMMYFUNCTION("""COMPUTED_VALUE"""),"Unlisted")</f>
        <v>Unlisted</v>
      </c>
      <c r="E744" s="174" t="str">
        <f>IFERROR(__xludf.DUMMYFUNCTION("""COMPUTED_VALUE"""),"Unlisted")</f>
        <v>Unlisted</v>
      </c>
      <c r="F744" s="174" t="str">
        <f>IFERROR(__xludf.DUMMYFUNCTION("""COMPUTED_VALUE"""),"Unlisted")</f>
        <v>Unlisted</v>
      </c>
      <c r="G744" s="174" t="str">
        <f>IFERROR(__xludf.DUMMYFUNCTION("""COMPUTED_VALUE"""),"Unlisted")</f>
        <v>Unlisted</v>
      </c>
      <c r="H744" s="174" t="str">
        <f>IFERROR(__xludf.DUMMYFUNCTION("""COMPUTED_VALUE"""),"Unlisted")</f>
        <v>Unlisted</v>
      </c>
      <c r="I744" s="174" t="str">
        <f>IFERROR(__xludf.DUMMYFUNCTION("""COMPUTED_VALUE"""),"Unlisted")</f>
        <v>Unlisted</v>
      </c>
      <c r="J744" s="174" t="str">
        <f>IFERROR(__xludf.DUMMYFUNCTION("""COMPUTED_VALUE"""),"Unlisted")</f>
        <v>Unlisted</v>
      </c>
      <c r="K744" s="174" t="str">
        <f>IFERROR(__xludf.DUMMYFUNCTION("""COMPUTED_VALUE"""),"Unlisted")</f>
        <v>Unlisted</v>
      </c>
      <c r="L744" s="174" t="str">
        <f>IFERROR(__xludf.DUMMYFUNCTION("""COMPUTED_VALUE"""),"Unlisted")</f>
        <v>Unlisted</v>
      </c>
      <c r="M744" s="174" t="str">
        <f>IFERROR(__xludf.DUMMYFUNCTION("""COMPUTED_VALUE"""),"Unlisted")</f>
        <v>Unlisted</v>
      </c>
      <c r="N744" s="174" t="str">
        <f>IFERROR(__xludf.DUMMYFUNCTION("""COMPUTED_VALUE"""),"Unlisted")</f>
        <v>Unlisted</v>
      </c>
      <c r="O744" s="174" t="str">
        <f>IFERROR(__xludf.DUMMYFUNCTION("""COMPUTED_VALUE"""),"Unlisted")</f>
        <v>Unlisted</v>
      </c>
      <c r="P744" s="174" t="str">
        <f>IFERROR(__xludf.DUMMYFUNCTION("""COMPUTED_VALUE"""),"Unlisted")</f>
        <v>Unlisted</v>
      </c>
      <c r="Q744" s="174" t="str">
        <f>IFERROR(__xludf.DUMMYFUNCTION("""COMPUTED_VALUE"""),"Unlisted")</f>
        <v>Unlisted</v>
      </c>
      <c r="R744" s="174" t="str">
        <f>IFERROR(__xludf.DUMMYFUNCTION("""COMPUTED_VALUE"""),"Unlisted")</f>
        <v>Unlisted</v>
      </c>
    </row>
    <row r="745">
      <c r="A745" s="255" t="str">
        <f>IFERROR(__xludf.DUMMYFUNCTION("""COMPUTED_VALUE"""),"Capsakid")</f>
        <v>Capsakid</v>
      </c>
      <c r="B745" s="174" t="str">
        <f>IFERROR(__xludf.DUMMYFUNCTION("""COMPUTED_VALUE"""),"Unlisted")</f>
        <v>Unlisted</v>
      </c>
      <c r="C745" s="174" t="str">
        <f>IFERROR(__xludf.DUMMYFUNCTION("""COMPUTED_VALUE"""),"Proficient")</f>
        <v>Proficient</v>
      </c>
      <c r="D745" s="174" t="str">
        <f>IFERROR(__xludf.DUMMYFUNCTION("""COMPUTED_VALUE"""),"Unlisted")</f>
        <v>Unlisted</v>
      </c>
      <c r="E745" s="174" t="str">
        <f>IFERROR(__xludf.DUMMYFUNCTION("""COMPUTED_VALUE"""),"Unlisted")</f>
        <v>Unlisted</v>
      </c>
      <c r="F745" s="174" t="str">
        <f>IFERROR(__xludf.DUMMYFUNCTION("""COMPUTED_VALUE"""),"Unlisted")</f>
        <v>Unlisted</v>
      </c>
      <c r="G745" s="174" t="str">
        <f>IFERROR(__xludf.DUMMYFUNCTION("""COMPUTED_VALUE"""),"Proficient")</f>
        <v>Proficient</v>
      </c>
      <c r="H745" s="174" t="str">
        <f>IFERROR(__xludf.DUMMYFUNCTION("""COMPUTED_VALUE"""),"Proficient")</f>
        <v>Proficient</v>
      </c>
      <c r="I745" s="174" t="str">
        <f>IFERROR(__xludf.DUMMYFUNCTION("""COMPUTED_VALUE"""),"Unlisted")</f>
        <v>Unlisted</v>
      </c>
      <c r="J745" s="174" t="str">
        <f>IFERROR(__xludf.DUMMYFUNCTION("""COMPUTED_VALUE"""),"Unlisted")</f>
        <v>Unlisted</v>
      </c>
      <c r="K745" s="174" t="str">
        <f>IFERROR(__xludf.DUMMYFUNCTION("""COMPUTED_VALUE"""),"Unlisted")</f>
        <v>Unlisted</v>
      </c>
      <c r="L745" s="174" t="str">
        <f>IFERROR(__xludf.DUMMYFUNCTION("""COMPUTED_VALUE"""),"Unlisted")</f>
        <v>Unlisted</v>
      </c>
      <c r="M745" s="174" t="str">
        <f>IFERROR(__xludf.DUMMYFUNCTION("""COMPUTED_VALUE"""),"Unlisted")</f>
        <v>Unlisted</v>
      </c>
      <c r="N745" s="174" t="str">
        <f>IFERROR(__xludf.DUMMYFUNCTION("""COMPUTED_VALUE"""),"Unlisted")</f>
        <v>Unlisted</v>
      </c>
      <c r="O745" s="174" t="str">
        <f>IFERROR(__xludf.DUMMYFUNCTION("""COMPUTED_VALUE"""),"Unlisted")</f>
        <v>Unlisted</v>
      </c>
      <c r="P745" s="174" t="str">
        <f>IFERROR(__xludf.DUMMYFUNCTION("""COMPUTED_VALUE"""),"Unlisted")</f>
        <v>Unlisted</v>
      </c>
      <c r="Q745" s="174" t="str">
        <f>IFERROR(__xludf.DUMMYFUNCTION("""COMPUTED_VALUE"""),"Unlisted")</f>
        <v>Unlisted</v>
      </c>
      <c r="R745" s="174" t="str">
        <f>IFERROR(__xludf.DUMMYFUNCTION("""COMPUTED_VALUE"""),"Unlisted")</f>
        <v>Unlisted</v>
      </c>
    </row>
    <row r="746">
      <c r="A746" s="255" t="str">
        <f>IFERROR(__xludf.DUMMYFUNCTION("""COMPUTED_VALUE"""),"Scovillain")</f>
        <v>Scovillain</v>
      </c>
      <c r="B746" s="174" t="str">
        <f>IFERROR(__xludf.DUMMYFUNCTION("""COMPUTED_VALUE"""),"Unlisted")</f>
        <v>Unlisted</v>
      </c>
      <c r="C746" s="174" t="str">
        <f>IFERROR(__xludf.DUMMYFUNCTION("""COMPUTED_VALUE"""),"Proficient")</f>
        <v>Proficient</v>
      </c>
      <c r="D746" s="174" t="str">
        <f>IFERROR(__xludf.DUMMYFUNCTION("""COMPUTED_VALUE"""),"Unlisted")</f>
        <v>Unlisted</v>
      </c>
      <c r="E746" s="174" t="str">
        <f>IFERROR(__xludf.DUMMYFUNCTION("""COMPUTED_VALUE"""),"Unlisted")</f>
        <v>Unlisted</v>
      </c>
      <c r="F746" s="174" t="str">
        <f>IFERROR(__xludf.DUMMYFUNCTION("""COMPUTED_VALUE"""),"Unlisted")</f>
        <v>Unlisted</v>
      </c>
      <c r="G746" s="174" t="str">
        <f>IFERROR(__xludf.DUMMYFUNCTION("""COMPUTED_VALUE"""),"Proficient")</f>
        <v>Proficient</v>
      </c>
      <c r="H746" s="174" t="str">
        <f>IFERROR(__xludf.DUMMYFUNCTION("""COMPUTED_VALUE"""),"Proficient")</f>
        <v>Proficient</v>
      </c>
      <c r="I746" s="174" t="str">
        <f>IFERROR(__xludf.DUMMYFUNCTION("""COMPUTED_VALUE"""),"Unlisted")</f>
        <v>Unlisted</v>
      </c>
      <c r="J746" s="174" t="str">
        <f>IFERROR(__xludf.DUMMYFUNCTION("""COMPUTED_VALUE"""),"Unlisted")</f>
        <v>Unlisted</v>
      </c>
      <c r="K746" s="174" t="str">
        <f>IFERROR(__xludf.DUMMYFUNCTION("""COMPUTED_VALUE"""),"Unlisted")</f>
        <v>Unlisted</v>
      </c>
      <c r="L746" s="174" t="str">
        <f>IFERROR(__xludf.DUMMYFUNCTION("""COMPUTED_VALUE"""),"Unlisted")</f>
        <v>Unlisted</v>
      </c>
      <c r="M746" s="174" t="str">
        <f>IFERROR(__xludf.DUMMYFUNCTION("""COMPUTED_VALUE"""),"Unlisted")</f>
        <v>Unlisted</v>
      </c>
      <c r="N746" s="174" t="str">
        <f>IFERROR(__xludf.DUMMYFUNCTION("""COMPUTED_VALUE"""),"Unlisted")</f>
        <v>Unlisted</v>
      </c>
      <c r="O746" s="174" t="str">
        <f>IFERROR(__xludf.DUMMYFUNCTION("""COMPUTED_VALUE"""),"Unlisted")</f>
        <v>Unlisted</v>
      </c>
      <c r="P746" s="174" t="str">
        <f>IFERROR(__xludf.DUMMYFUNCTION("""COMPUTED_VALUE"""),"Unlisted")</f>
        <v>Unlisted</v>
      </c>
      <c r="Q746" s="174" t="str">
        <f>IFERROR(__xludf.DUMMYFUNCTION("""COMPUTED_VALUE"""),"Unlisted")</f>
        <v>Unlisted</v>
      </c>
      <c r="R746" s="174" t="str">
        <f>IFERROR(__xludf.DUMMYFUNCTION("""COMPUTED_VALUE"""),"Unlisted")</f>
        <v>Unlisted</v>
      </c>
    </row>
    <row r="747">
      <c r="A747" s="255" t="str">
        <f>IFERROR(__xludf.DUMMYFUNCTION("""COMPUTED_VALUE"""),"Bramblin")</f>
        <v>Bramblin</v>
      </c>
      <c r="B747" s="174" t="str">
        <f>IFERROR(__xludf.DUMMYFUNCTION("""COMPUTED_VALUE"""),"Unlisted")</f>
        <v>Unlisted</v>
      </c>
      <c r="C747" s="174" t="str">
        <f>IFERROR(__xludf.DUMMYFUNCTION("""COMPUTED_VALUE"""),"Inept")</f>
        <v>Inept</v>
      </c>
      <c r="D747" s="174" t="str">
        <f>IFERROR(__xludf.DUMMYFUNCTION("""COMPUTED_VALUE"""),"Unlisted")</f>
        <v>Unlisted</v>
      </c>
      <c r="E747" s="174" t="str">
        <f>IFERROR(__xludf.DUMMYFUNCTION("""COMPUTED_VALUE"""),"Unlisted")</f>
        <v>Unlisted</v>
      </c>
      <c r="F747" s="174" t="str">
        <f>IFERROR(__xludf.DUMMYFUNCTION("""COMPUTED_VALUE"""),"Unlisted")</f>
        <v>Unlisted</v>
      </c>
      <c r="G747" s="174" t="str">
        <f>IFERROR(__xludf.DUMMYFUNCTION("""COMPUTED_VALUE"""),"Proficient")</f>
        <v>Proficient</v>
      </c>
      <c r="H747" s="174" t="str">
        <f>IFERROR(__xludf.DUMMYFUNCTION("""COMPUTED_VALUE"""),"Unlisted")</f>
        <v>Unlisted</v>
      </c>
      <c r="I747" s="174" t="str">
        <f>IFERROR(__xludf.DUMMYFUNCTION("""COMPUTED_VALUE"""),"Unlisted")</f>
        <v>Unlisted</v>
      </c>
      <c r="J747" s="174" t="str">
        <f>IFERROR(__xludf.DUMMYFUNCTION("""COMPUTED_VALUE"""),"Unlisted")</f>
        <v>Unlisted</v>
      </c>
      <c r="K747" s="174" t="str">
        <f>IFERROR(__xludf.DUMMYFUNCTION("""COMPUTED_VALUE"""),"Unlisted")</f>
        <v>Unlisted</v>
      </c>
      <c r="L747" s="174" t="str">
        <f>IFERROR(__xludf.DUMMYFUNCTION("""COMPUTED_VALUE"""),"Proficient")</f>
        <v>Proficient</v>
      </c>
      <c r="M747" s="174" t="str">
        <f>IFERROR(__xludf.DUMMYFUNCTION("""COMPUTED_VALUE"""),"Unlisted")</f>
        <v>Unlisted</v>
      </c>
      <c r="N747" s="174" t="str">
        <f>IFERROR(__xludf.DUMMYFUNCTION("""COMPUTED_VALUE"""),"Unlisted")</f>
        <v>Unlisted</v>
      </c>
      <c r="O747" s="174" t="str">
        <f>IFERROR(__xludf.DUMMYFUNCTION("""COMPUTED_VALUE"""),"Proficient")</f>
        <v>Proficient</v>
      </c>
      <c r="P747" s="174" t="str">
        <f>IFERROR(__xludf.DUMMYFUNCTION("""COMPUTED_VALUE"""),"Unlisted")</f>
        <v>Unlisted</v>
      </c>
      <c r="Q747" s="174" t="str">
        <f>IFERROR(__xludf.DUMMYFUNCTION("""COMPUTED_VALUE"""),"Unlisted")</f>
        <v>Unlisted</v>
      </c>
      <c r="R747" s="174" t="str">
        <f>IFERROR(__xludf.DUMMYFUNCTION("""COMPUTED_VALUE"""),"Unlisted")</f>
        <v>Unlisted</v>
      </c>
    </row>
    <row r="748">
      <c r="A748" s="255" t="str">
        <f>IFERROR(__xludf.DUMMYFUNCTION("""COMPUTED_VALUE"""),"Brambleghast")</f>
        <v>Brambleghast</v>
      </c>
      <c r="B748" s="174" t="str">
        <f>IFERROR(__xludf.DUMMYFUNCTION("""COMPUTED_VALUE"""),"Unlisted")</f>
        <v>Unlisted</v>
      </c>
      <c r="C748" s="174" t="str">
        <f>IFERROR(__xludf.DUMMYFUNCTION("""COMPUTED_VALUE"""),"Inept")</f>
        <v>Inept</v>
      </c>
      <c r="D748" s="174" t="str">
        <f>IFERROR(__xludf.DUMMYFUNCTION("""COMPUTED_VALUE"""),"Unlisted")</f>
        <v>Unlisted</v>
      </c>
      <c r="E748" s="174" t="str">
        <f>IFERROR(__xludf.DUMMYFUNCTION("""COMPUTED_VALUE"""),"Unlisted")</f>
        <v>Unlisted</v>
      </c>
      <c r="F748" s="174" t="str">
        <f>IFERROR(__xludf.DUMMYFUNCTION("""COMPUTED_VALUE"""),"Unlisted")</f>
        <v>Unlisted</v>
      </c>
      <c r="G748" s="174" t="str">
        <f>IFERROR(__xludf.DUMMYFUNCTION("""COMPUTED_VALUE"""),"Proficient")</f>
        <v>Proficient</v>
      </c>
      <c r="H748" s="174" t="str">
        <f>IFERROR(__xludf.DUMMYFUNCTION("""COMPUTED_VALUE"""),"Unlisted")</f>
        <v>Unlisted</v>
      </c>
      <c r="I748" s="174" t="str">
        <f>IFERROR(__xludf.DUMMYFUNCTION("""COMPUTED_VALUE"""),"Unlisted")</f>
        <v>Unlisted</v>
      </c>
      <c r="J748" s="174" t="str">
        <f>IFERROR(__xludf.DUMMYFUNCTION("""COMPUTED_VALUE"""),"Unlisted")</f>
        <v>Unlisted</v>
      </c>
      <c r="K748" s="174" t="str">
        <f>IFERROR(__xludf.DUMMYFUNCTION("""COMPUTED_VALUE"""),"Unlisted")</f>
        <v>Unlisted</v>
      </c>
      <c r="L748" s="174" t="str">
        <f>IFERROR(__xludf.DUMMYFUNCTION("""COMPUTED_VALUE"""),"Proficient")</f>
        <v>Proficient</v>
      </c>
      <c r="M748" s="174" t="str">
        <f>IFERROR(__xludf.DUMMYFUNCTION("""COMPUTED_VALUE"""),"Unlisted")</f>
        <v>Unlisted</v>
      </c>
      <c r="N748" s="174" t="str">
        <f>IFERROR(__xludf.DUMMYFUNCTION("""COMPUTED_VALUE"""),"Unlisted")</f>
        <v>Unlisted</v>
      </c>
      <c r="O748" s="174" t="str">
        <f>IFERROR(__xludf.DUMMYFUNCTION("""COMPUTED_VALUE"""),"Proficient")</f>
        <v>Proficient</v>
      </c>
      <c r="P748" s="174" t="str">
        <f>IFERROR(__xludf.DUMMYFUNCTION("""COMPUTED_VALUE"""),"Unlisted")</f>
        <v>Unlisted</v>
      </c>
      <c r="Q748" s="174" t="str">
        <f>IFERROR(__xludf.DUMMYFUNCTION("""COMPUTED_VALUE"""),"Unlisted")</f>
        <v>Unlisted</v>
      </c>
      <c r="R748" s="174" t="str">
        <f>IFERROR(__xludf.DUMMYFUNCTION("""COMPUTED_VALUE"""),"Unlisted")</f>
        <v>Unlisted</v>
      </c>
    </row>
    <row r="749">
      <c r="A749" s="255" t="str">
        <f>IFERROR(__xludf.DUMMYFUNCTION("""COMPUTED_VALUE"""),"Sandshrew")</f>
        <v>Sandshrew</v>
      </c>
      <c r="B749" s="174" t="str">
        <f>IFERROR(__xludf.DUMMYFUNCTION("""COMPUTED_VALUE"""),"Unlisted")</f>
        <v>Unlisted</v>
      </c>
      <c r="C749" s="174" t="str">
        <f>IFERROR(__xludf.DUMMYFUNCTION("""COMPUTED_VALUE"""),"Proficient")</f>
        <v>Proficient</v>
      </c>
      <c r="D749" s="174" t="str">
        <f>IFERROR(__xludf.DUMMYFUNCTION("""COMPUTED_VALUE"""),"Unlisted")</f>
        <v>Unlisted</v>
      </c>
      <c r="E749" s="174" t="str">
        <f>IFERROR(__xludf.DUMMYFUNCTION("""COMPUTED_VALUE"""),"Unlisted")</f>
        <v>Unlisted</v>
      </c>
      <c r="F749" s="174" t="str">
        <f>IFERROR(__xludf.DUMMYFUNCTION("""COMPUTED_VALUE"""),"Unlisted")</f>
        <v>Unlisted</v>
      </c>
      <c r="G749" s="174" t="str">
        <f>IFERROR(__xludf.DUMMYFUNCTION("""COMPUTED_VALUE"""),"Unlisted")</f>
        <v>Unlisted</v>
      </c>
      <c r="H749" s="174" t="str">
        <f>IFERROR(__xludf.DUMMYFUNCTION("""COMPUTED_VALUE"""),"Unlisted")</f>
        <v>Unlisted</v>
      </c>
      <c r="I749" s="174" t="str">
        <f>IFERROR(__xludf.DUMMYFUNCTION("""COMPUTED_VALUE"""),"Unlisted")</f>
        <v>Unlisted</v>
      </c>
      <c r="J749" s="174" t="str">
        <f>IFERROR(__xludf.DUMMYFUNCTION("""COMPUTED_VALUE"""),"Unlisted")</f>
        <v>Unlisted</v>
      </c>
      <c r="K749" s="174" t="str">
        <f>IFERROR(__xludf.DUMMYFUNCTION("""COMPUTED_VALUE"""),"Proficient")</f>
        <v>Proficient</v>
      </c>
      <c r="L749" s="174" t="str">
        <f>IFERROR(__xludf.DUMMYFUNCTION("""COMPUTED_VALUE"""),"Unlisted")</f>
        <v>Unlisted</v>
      </c>
      <c r="M749" s="174" t="str">
        <f>IFERROR(__xludf.DUMMYFUNCTION("""COMPUTED_VALUE"""),"Unlisted")</f>
        <v>Unlisted</v>
      </c>
      <c r="N749" s="174" t="str">
        <f>IFERROR(__xludf.DUMMYFUNCTION("""COMPUTED_VALUE"""),"Unlisted")</f>
        <v>Unlisted</v>
      </c>
      <c r="O749" s="174" t="str">
        <f>IFERROR(__xludf.DUMMYFUNCTION("""COMPUTED_VALUE"""),"Unlisted")</f>
        <v>Unlisted</v>
      </c>
      <c r="P749" s="174" t="str">
        <f>IFERROR(__xludf.DUMMYFUNCTION("""COMPUTED_VALUE"""),"Unlisted")</f>
        <v>Unlisted</v>
      </c>
      <c r="Q749" s="174" t="str">
        <f>IFERROR(__xludf.DUMMYFUNCTION("""COMPUTED_VALUE"""),"Unlisted")</f>
        <v>Unlisted</v>
      </c>
      <c r="R749" s="174" t="str">
        <f>IFERROR(__xludf.DUMMYFUNCTION("""COMPUTED_VALUE"""),"Unlisted")</f>
        <v>Unlisted</v>
      </c>
    </row>
    <row r="750">
      <c r="A750" s="255" t="str">
        <f>IFERROR(__xludf.DUMMYFUNCTION("""COMPUTED_VALUE"""),"Sandslash")</f>
        <v>Sandslash</v>
      </c>
      <c r="B750" s="174" t="str">
        <f>IFERROR(__xludf.DUMMYFUNCTION("""COMPUTED_VALUE"""),"Unlisted")</f>
        <v>Unlisted</v>
      </c>
      <c r="C750" s="174" t="str">
        <f>IFERROR(__xludf.DUMMYFUNCTION("""COMPUTED_VALUE"""),"Proficient")</f>
        <v>Proficient</v>
      </c>
      <c r="D750" s="174" t="str">
        <f>IFERROR(__xludf.DUMMYFUNCTION("""COMPUTED_VALUE"""),"Unlisted")</f>
        <v>Unlisted</v>
      </c>
      <c r="E750" s="174" t="str">
        <f>IFERROR(__xludf.DUMMYFUNCTION("""COMPUTED_VALUE"""),"Proficient")</f>
        <v>Proficient</v>
      </c>
      <c r="F750" s="174" t="str">
        <f>IFERROR(__xludf.DUMMYFUNCTION("""COMPUTED_VALUE"""),"Unlisted")</f>
        <v>Unlisted</v>
      </c>
      <c r="G750" s="174" t="str">
        <f>IFERROR(__xludf.DUMMYFUNCTION("""COMPUTED_VALUE"""),"Unlisted")</f>
        <v>Unlisted</v>
      </c>
      <c r="H750" s="174" t="str">
        <f>IFERROR(__xludf.DUMMYFUNCTION("""COMPUTED_VALUE"""),"Unlisted")</f>
        <v>Unlisted</v>
      </c>
      <c r="I750" s="174" t="str">
        <f>IFERROR(__xludf.DUMMYFUNCTION("""COMPUTED_VALUE"""),"Unlisted")</f>
        <v>Unlisted</v>
      </c>
      <c r="J750" s="174" t="str">
        <f>IFERROR(__xludf.DUMMYFUNCTION("""COMPUTED_VALUE"""),"Unlisted")</f>
        <v>Unlisted</v>
      </c>
      <c r="K750" s="174" t="str">
        <f>IFERROR(__xludf.DUMMYFUNCTION("""COMPUTED_VALUE"""),"Proficient")</f>
        <v>Proficient</v>
      </c>
      <c r="L750" s="174" t="str">
        <f>IFERROR(__xludf.DUMMYFUNCTION("""COMPUTED_VALUE"""),"Unlisted")</f>
        <v>Unlisted</v>
      </c>
      <c r="M750" s="174" t="str">
        <f>IFERROR(__xludf.DUMMYFUNCTION("""COMPUTED_VALUE"""),"Unlisted")</f>
        <v>Unlisted</v>
      </c>
      <c r="N750" s="174" t="str">
        <f>IFERROR(__xludf.DUMMYFUNCTION("""COMPUTED_VALUE"""),"Unlisted")</f>
        <v>Unlisted</v>
      </c>
      <c r="O750" s="174" t="str">
        <f>IFERROR(__xludf.DUMMYFUNCTION("""COMPUTED_VALUE"""),"Unlisted")</f>
        <v>Unlisted</v>
      </c>
      <c r="P750" s="174" t="str">
        <f>IFERROR(__xludf.DUMMYFUNCTION("""COMPUTED_VALUE"""),"Unlisted")</f>
        <v>Unlisted</v>
      </c>
      <c r="Q750" s="174" t="str">
        <f>IFERROR(__xludf.DUMMYFUNCTION("""COMPUTED_VALUE"""),"Unlisted")</f>
        <v>Unlisted</v>
      </c>
      <c r="R750" s="174" t="str">
        <f>IFERROR(__xludf.DUMMYFUNCTION("""COMPUTED_VALUE"""),"Unlisted")</f>
        <v>Unlisted</v>
      </c>
    </row>
    <row r="751">
      <c r="A751" s="255" t="str">
        <f>IFERROR(__xludf.DUMMYFUNCTION("""COMPUTED_VALUE"""),"Diglett")</f>
        <v>Diglett</v>
      </c>
      <c r="B751" s="174" t="str">
        <f>IFERROR(__xludf.DUMMYFUNCTION("""COMPUTED_VALUE"""),"Unlisted")</f>
        <v>Unlisted</v>
      </c>
      <c r="C751" s="174" t="str">
        <f>IFERROR(__xludf.DUMMYFUNCTION("""COMPUTED_VALUE"""),"Unlisted")</f>
        <v>Unlisted</v>
      </c>
      <c r="D751" s="174" t="str">
        <f>IFERROR(__xludf.DUMMYFUNCTION("""COMPUTED_VALUE"""),"Unlisted")</f>
        <v>Unlisted</v>
      </c>
      <c r="E751" s="174" t="str">
        <f>IFERROR(__xludf.DUMMYFUNCTION("""COMPUTED_VALUE"""),"Unlisted")</f>
        <v>Unlisted</v>
      </c>
      <c r="F751" s="174" t="str">
        <f>IFERROR(__xludf.DUMMYFUNCTION("""COMPUTED_VALUE"""),"Unlisted")</f>
        <v>Unlisted</v>
      </c>
      <c r="G751" s="174" t="str">
        <f>IFERROR(__xludf.DUMMYFUNCTION("""COMPUTED_VALUE"""),"Unlisted")</f>
        <v>Unlisted</v>
      </c>
      <c r="H751" s="174" t="str">
        <f>IFERROR(__xludf.DUMMYFUNCTION("""COMPUTED_VALUE"""),"Unlisted")</f>
        <v>Unlisted</v>
      </c>
      <c r="I751" s="174" t="str">
        <f>IFERROR(__xludf.DUMMYFUNCTION("""COMPUTED_VALUE"""),"Unlisted")</f>
        <v>Unlisted</v>
      </c>
      <c r="J751" s="174" t="str">
        <f>IFERROR(__xludf.DUMMYFUNCTION("""COMPUTED_VALUE"""),"Unlisted")</f>
        <v>Unlisted</v>
      </c>
      <c r="K751" s="174" t="str">
        <f>IFERROR(__xludf.DUMMYFUNCTION("""COMPUTED_VALUE"""),"Unlisted")</f>
        <v>Unlisted</v>
      </c>
      <c r="L751" s="174" t="str">
        <f>IFERROR(__xludf.DUMMYFUNCTION("""COMPUTED_VALUE"""),"Proficient")</f>
        <v>Proficient</v>
      </c>
      <c r="M751" s="174" t="str">
        <f>IFERROR(__xludf.DUMMYFUNCTION("""COMPUTED_VALUE"""),"Unlisted")</f>
        <v>Unlisted</v>
      </c>
      <c r="N751" s="174" t="str">
        <f>IFERROR(__xludf.DUMMYFUNCTION("""COMPUTED_VALUE"""),"Unlisted")</f>
        <v>Unlisted</v>
      </c>
      <c r="O751" s="174" t="str">
        <f>IFERROR(__xludf.DUMMYFUNCTION("""COMPUTED_VALUE"""),"Proficient")</f>
        <v>Proficient</v>
      </c>
      <c r="P751" s="174" t="str">
        <f>IFERROR(__xludf.DUMMYFUNCTION("""COMPUTED_VALUE"""),"Unlisted")</f>
        <v>Unlisted</v>
      </c>
      <c r="Q751" s="174" t="str">
        <f>IFERROR(__xludf.DUMMYFUNCTION("""COMPUTED_VALUE"""),"Unlisted")</f>
        <v>Unlisted</v>
      </c>
      <c r="R751" s="174" t="str">
        <f>IFERROR(__xludf.DUMMYFUNCTION("""COMPUTED_VALUE"""),"Unlisted")</f>
        <v>Unlisted</v>
      </c>
    </row>
    <row r="752">
      <c r="A752" s="255" t="str">
        <f>IFERROR(__xludf.DUMMYFUNCTION("""COMPUTED_VALUE"""),"Dugtrio")</f>
        <v>Dugtrio</v>
      </c>
      <c r="B752" s="174" t="str">
        <f>IFERROR(__xludf.DUMMYFUNCTION("""COMPUTED_VALUE"""),"Unlisted")</f>
        <v>Unlisted</v>
      </c>
      <c r="C752" s="174" t="str">
        <f>IFERROR(__xludf.DUMMYFUNCTION("""COMPUTED_VALUE"""),"Unlisted")</f>
        <v>Unlisted</v>
      </c>
      <c r="D752" s="174" t="str">
        <f>IFERROR(__xludf.DUMMYFUNCTION("""COMPUTED_VALUE"""),"Unlisted")</f>
        <v>Unlisted</v>
      </c>
      <c r="E752" s="174" t="str">
        <f>IFERROR(__xludf.DUMMYFUNCTION("""COMPUTED_VALUE"""),"Unlisted")</f>
        <v>Unlisted</v>
      </c>
      <c r="F752" s="174" t="str">
        <f>IFERROR(__xludf.DUMMYFUNCTION("""COMPUTED_VALUE"""),"Unlisted")</f>
        <v>Unlisted</v>
      </c>
      <c r="G752" s="174" t="str">
        <f>IFERROR(__xludf.DUMMYFUNCTION("""COMPUTED_VALUE"""),"Unlisted")</f>
        <v>Unlisted</v>
      </c>
      <c r="H752" s="174" t="str">
        <f>IFERROR(__xludf.DUMMYFUNCTION("""COMPUTED_VALUE"""),"Unlisted")</f>
        <v>Unlisted</v>
      </c>
      <c r="I752" s="174" t="str">
        <f>IFERROR(__xludf.DUMMYFUNCTION("""COMPUTED_VALUE"""),"Unlisted")</f>
        <v>Unlisted</v>
      </c>
      <c r="J752" s="174" t="str">
        <f>IFERROR(__xludf.DUMMYFUNCTION("""COMPUTED_VALUE"""),"Unlisted")</f>
        <v>Unlisted</v>
      </c>
      <c r="K752" s="174" t="str">
        <f>IFERROR(__xludf.DUMMYFUNCTION("""COMPUTED_VALUE"""),"Unlisted")</f>
        <v>Unlisted</v>
      </c>
      <c r="L752" s="174" t="str">
        <f>IFERROR(__xludf.DUMMYFUNCTION("""COMPUTED_VALUE"""),"Proficient")</f>
        <v>Proficient</v>
      </c>
      <c r="M752" s="174" t="str">
        <f>IFERROR(__xludf.DUMMYFUNCTION("""COMPUTED_VALUE"""),"Unlisted")</f>
        <v>Unlisted</v>
      </c>
      <c r="N752" s="174" t="str">
        <f>IFERROR(__xludf.DUMMYFUNCTION("""COMPUTED_VALUE"""),"Unlisted")</f>
        <v>Unlisted</v>
      </c>
      <c r="O752" s="174" t="str">
        <f>IFERROR(__xludf.DUMMYFUNCTION("""COMPUTED_VALUE"""),"Proficient")</f>
        <v>Proficient</v>
      </c>
      <c r="P752" s="174" t="str">
        <f>IFERROR(__xludf.DUMMYFUNCTION("""COMPUTED_VALUE"""),"Unlisted")</f>
        <v>Unlisted</v>
      </c>
      <c r="Q752" s="174" t="str">
        <f>IFERROR(__xludf.DUMMYFUNCTION("""COMPUTED_VALUE"""),"Unlisted")</f>
        <v>Unlisted</v>
      </c>
      <c r="R752" s="174" t="str">
        <f>IFERROR(__xludf.DUMMYFUNCTION("""COMPUTED_VALUE"""),"Unlisted")</f>
        <v>Unlisted</v>
      </c>
    </row>
    <row r="753">
      <c r="A753" s="255" t="str">
        <f>IFERROR(__xludf.DUMMYFUNCTION("""COMPUTED_VALUE"""),"Cubone")</f>
        <v>Cubone</v>
      </c>
      <c r="B753" s="174" t="str">
        <f>IFERROR(__xludf.DUMMYFUNCTION("""COMPUTED_VALUE"""),"Unlisted")</f>
        <v>Unlisted</v>
      </c>
      <c r="C753" s="174" t="str">
        <f>IFERROR(__xludf.DUMMYFUNCTION("""COMPUTED_VALUE"""),"Proficient")</f>
        <v>Proficient</v>
      </c>
      <c r="D753" s="174" t="str">
        <f>IFERROR(__xludf.DUMMYFUNCTION("""COMPUTED_VALUE"""),"Unlisted")</f>
        <v>Unlisted</v>
      </c>
      <c r="E753" s="174" t="str">
        <f>IFERROR(__xludf.DUMMYFUNCTION("""COMPUTED_VALUE"""),"Proficient")</f>
        <v>Proficient</v>
      </c>
      <c r="F753" s="174" t="str">
        <f>IFERROR(__xludf.DUMMYFUNCTION("""COMPUTED_VALUE"""),"Unlisted")</f>
        <v>Unlisted</v>
      </c>
      <c r="G753" s="174" t="str">
        <f>IFERROR(__xludf.DUMMYFUNCTION("""COMPUTED_VALUE"""),"Unlisted")</f>
        <v>Unlisted</v>
      </c>
      <c r="H753" s="174" t="str">
        <f>IFERROR(__xludf.DUMMYFUNCTION("""COMPUTED_VALUE"""),"Unlisted")</f>
        <v>Unlisted</v>
      </c>
      <c r="I753" s="174" t="str">
        <f>IFERROR(__xludf.DUMMYFUNCTION("""COMPUTED_VALUE"""),"Unlisted")</f>
        <v>Unlisted</v>
      </c>
      <c r="J753" s="174" t="str">
        <f>IFERROR(__xludf.DUMMYFUNCTION("""COMPUTED_VALUE"""),"Unlisted")</f>
        <v>Unlisted</v>
      </c>
      <c r="K753" s="174" t="str">
        <f>IFERROR(__xludf.DUMMYFUNCTION("""COMPUTED_VALUE"""),"Proficient")</f>
        <v>Proficient</v>
      </c>
      <c r="L753" s="174" t="str">
        <f>IFERROR(__xludf.DUMMYFUNCTION("""COMPUTED_VALUE"""),"Unlisted")</f>
        <v>Unlisted</v>
      </c>
      <c r="M753" s="174" t="str">
        <f>IFERROR(__xludf.DUMMYFUNCTION("""COMPUTED_VALUE"""),"Unlisted")</f>
        <v>Unlisted</v>
      </c>
      <c r="N753" s="174" t="str">
        <f>IFERROR(__xludf.DUMMYFUNCTION("""COMPUTED_VALUE"""),"Unlisted")</f>
        <v>Unlisted</v>
      </c>
      <c r="O753" s="174" t="str">
        <f>IFERROR(__xludf.DUMMYFUNCTION("""COMPUTED_VALUE"""),"Unlisted")</f>
        <v>Unlisted</v>
      </c>
      <c r="P753" s="174" t="str">
        <f>IFERROR(__xludf.DUMMYFUNCTION("""COMPUTED_VALUE"""),"Unlisted")</f>
        <v>Unlisted</v>
      </c>
      <c r="Q753" s="174" t="str">
        <f>IFERROR(__xludf.DUMMYFUNCTION("""COMPUTED_VALUE"""),"Unlisted")</f>
        <v>Unlisted</v>
      </c>
      <c r="R753" s="174" t="str">
        <f>IFERROR(__xludf.DUMMYFUNCTION("""COMPUTED_VALUE"""),"Unlisted")</f>
        <v>Unlisted</v>
      </c>
    </row>
    <row r="754">
      <c r="A754" s="255" t="str">
        <f>IFERROR(__xludf.DUMMYFUNCTION("""COMPUTED_VALUE"""),"Marowak")</f>
        <v>Marowak</v>
      </c>
      <c r="B754" s="174" t="str">
        <f>IFERROR(__xludf.DUMMYFUNCTION("""COMPUTED_VALUE"""),"Unlisted")</f>
        <v>Unlisted</v>
      </c>
      <c r="C754" s="174" t="str">
        <f>IFERROR(__xludf.DUMMYFUNCTION("""COMPUTED_VALUE"""),"Proficient")</f>
        <v>Proficient</v>
      </c>
      <c r="D754" s="174" t="str">
        <f>IFERROR(__xludf.DUMMYFUNCTION("""COMPUTED_VALUE"""),"Unlisted")</f>
        <v>Unlisted</v>
      </c>
      <c r="E754" s="174" t="str">
        <f>IFERROR(__xludf.DUMMYFUNCTION("""COMPUTED_VALUE"""),"Proficient")</f>
        <v>Proficient</v>
      </c>
      <c r="F754" s="174" t="str">
        <f>IFERROR(__xludf.DUMMYFUNCTION("""COMPUTED_VALUE"""),"Unlisted")</f>
        <v>Unlisted</v>
      </c>
      <c r="G754" s="174" t="str">
        <f>IFERROR(__xludf.DUMMYFUNCTION("""COMPUTED_VALUE"""),"Unlisted")</f>
        <v>Unlisted</v>
      </c>
      <c r="H754" s="174" t="str">
        <f>IFERROR(__xludf.DUMMYFUNCTION("""COMPUTED_VALUE"""),"Unlisted")</f>
        <v>Unlisted</v>
      </c>
      <c r="I754" s="174" t="str">
        <f>IFERROR(__xludf.DUMMYFUNCTION("""COMPUTED_VALUE"""),"Unlisted")</f>
        <v>Unlisted</v>
      </c>
      <c r="J754" s="174" t="str">
        <f>IFERROR(__xludf.DUMMYFUNCTION("""COMPUTED_VALUE"""),"Unlisted")</f>
        <v>Unlisted</v>
      </c>
      <c r="K754" s="174" t="str">
        <f>IFERROR(__xludf.DUMMYFUNCTION("""COMPUTED_VALUE"""),"Proficient")</f>
        <v>Proficient</v>
      </c>
      <c r="L754" s="174" t="str">
        <f>IFERROR(__xludf.DUMMYFUNCTION("""COMPUTED_VALUE"""),"Unlisted")</f>
        <v>Unlisted</v>
      </c>
      <c r="M754" s="174" t="str">
        <f>IFERROR(__xludf.DUMMYFUNCTION("""COMPUTED_VALUE"""),"Unlisted")</f>
        <v>Unlisted</v>
      </c>
      <c r="N754" s="174" t="str">
        <f>IFERROR(__xludf.DUMMYFUNCTION("""COMPUTED_VALUE"""),"Unlisted")</f>
        <v>Unlisted</v>
      </c>
      <c r="O754" s="174" t="str">
        <f>IFERROR(__xludf.DUMMYFUNCTION("""COMPUTED_VALUE"""),"Unlisted")</f>
        <v>Unlisted</v>
      </c>
      <c r="P754" s="174" t="str">
        <f>IFERROR(__xludf.DUMMYFUNCTION("""COMPUTED_VALUE"""),"Unlisted")</f>
        <v>Unlisted</v>
      </c>
      <c r="Q754" s="174" t="str">
        <f>IFERROR(__xludf.DUMMYFUNCTION("""COMPUTED_VALUE"""),"Unlisted")</f>
        <v>Unlisted</v>
      </c>
      <c r="R754" s="174" t="str">
        <f>IFERROR(__xludf.DUMMYFUNCTION("""COMPUTED_VALUE"""),"Unlisted")</f>
        <v>Unlisted</v>
      </c>
    </row>
    <row r="755">
      <c r="A755" s="255" t="str">
        <f>IFERROR(__xludf.DUMMYFUNCTION("""COMPUTED_VALUE"""),"Alolan Marowak")</f>
        <v>Alolan Marowak</v>
      </c>
      <c r="B755" s="174" t="str">
        <f>IFERROR(__xludf.DUMMYFUNCTION("""COMPUTED_VALUE"""),"Proficient")</f>
        <v>Proficient</v>
      </c>
      <c r="C755" s="174" t="str">
        <f>IFERROR(__xludf.DUMMYFUNCTION("""COMPUTED_VALUE"""),"Unlisted")</f>
        <v>Unlisted</v>
      </c>
      <c r="D755" s="174" t="str">
        <f>IFERROR(__xludf.DUMMYFUNCTION("""COMPUTED_VALUE"""),"Unlisted")</f>
        <v>Unlisted</v>
      </c>
      <c r="E755" s="174" t="str">
        <f>IFERROR(__xludf.DUMMYFUNCTION("""COMPUTED_VALUE"""),"Proficient")</f>
        <v>Proficient</v>
      </c>
      <c r="F755" s="174" t="str">
        <f>IFERROR(__xludf.DUMMYFUNCTION("""COMPUTED_VALUE"""),"Unlisted")</f>
        <v>Unlisted</v>
      </c>
      <c r="G755" s="174" t="str">
        <f>IFERROR(__xludf.DUMMYFUNCTION("""COMPUTED_VALUE"""),"Proficient")</f>
        <v>Proficient</v>
      </c>
      <c r="H755" s="174" t="str">
        <f>IFERROR(__xludf.DUMMYFUNCTION("""COMPUTED_VALUE"""),"Unlisted")</f>
        <v>Unlisted</v>
      </c>
      <c r="I755" s="174" t="str">
        <f>IFERROR(__xludf.DUMMYFUNCTION("""COMPUTED_VALUE"""),"Unlisted")</f>
        <v>Unlisted</v>
      </c>
      <c r="J755" s="174" t="str">
        <f>IFERROR(__xludf.DUMMYFUNCTION("""COMPUTED_VALUE"""),"Unlisted")</f>
        <v>Unlisted</v>
      </c>
      <c r="K755" s="174" t="str">
        <f>IFERROR(__xludf.DUMMYFUNCTION("""COMPUTED_VALUE"""),"Unlisted")</f>
        <v>Unlisted</v>
      </c>
      <c r="L755" s="174" t="str">
        <f>IFERROR(__xludf.DUMMYFUNCTION("""COMPUTED_VALUE"""),"Unlisted")</f>
        <v>Unlisted</v>
      </c>
      <c r="M755" s="174" t="str">
        <f>IFERROR(__xludf.DUMMYFUNCTION("""COMPUTED_VALUE"""),"Unlisted")</f>
        <v>Unlisted</v>
      </c>
      <c r="N755" s="174" t="str">
        <f>IFERROR(__xludf.DUMMYFUNCTION("""COMPUTED_VALUE"""),"Unlisted")</f>
        <v>Unlisted</v>
      </c>
      <c r="O755" s="174" t="str">
        <f>IFERROR(__xludf.DUMMYFUNCTION("""COMPUTED_VALUE"""),"Unlisted")</f>
        <v>Unlisted</v>
      </c>
      <c r="P755" s="174" t="str">
        <f>IFERROR(__xludf.DUMMYFUNCTION("""COMPUTED_VALUE"""),"Unlisted")</f>
        <v>Unlisted</v>
      </c>
      <c r="Q755" s="174" t="str">
        <f>IFERROR(__xludf.DUMMYFUNCTION("""COMPUTED_VALUE"""),"Unlisted")</f>
        <v>Unlisted</v>
      </c>
      <c r="R755" s="174" t="str">
        <f>IFERROR(__xludf.DUMMYFUNCTION("""COMPUTED_VALUE"""),"Unlisted")</f>
        <v>Unlisted</v>
      </c>
    </row>
    <row r="756">
      <c r="A756" s="255" t="str">
        <f>IFERROR(__xludf.DUMMYFUNCTION("""COMPUTED_VALUE"""),"Gligar")</f>
        <v>Gligar</v>
      </c>
      <c r="B756" s="174" t="str">
        <f>IFERROR(__xludf.DUMMYFUNCTION("""COMPUTED_VALUE"""),"Proficient")</f>
        <v>Proficient</v>
      </c>
      <c r="C756" s="174" t="str">
        <f>IFERROR(__xludf.DUMMYFUNCTION("""COMPUTED_VALUE"""),"Unlisted")</f>
        <v>Unlisted</v>
      </c>
      <c r="D756" s="174" t="str">
        <f>IFERROR(__xludf.DUMMYFUNCTION("""COMPUTED_VALUE"""),"Unlisted")</f>
        <v>Unlisted</v>
      </c>
      <c r="E756" s="174" t="str">
        <f>IFERROR(__xludf.DUMMYFUNCTION("""COMPUTED_VALUE"""),"Unlisted")</f>
        <v>Unlisted</v>
      </c>
      <c r="F756" s="174" t="str">
        <f>IFERROR(__xludf.DUMMYFUNCTION("""COMPUTED_VALUE"""),"Unlisted")</f>
        <v>Unlisted</v>
      </c>
      <c r="G756" s="174" t="str">
        <f>IFERROR(__xludf.DUMMYFUNCTION("""COMPUTED_VALUE"""),"Unlisted")</f>
        <v>Unlisted</v>
      </c>
      <c r="H756" s="174" t="str">
        <f>IFERROR(__xludf.DUMMYFUNCTION("""COMPUTED_VALUE"""),"Unlisted")</f>
        <v>Unlisted</v>
      </c>
      <c r="I756" s="174" t="str">
        <f>IFERROR(__xludf.DUMMYFUNCTION("""COMPUTED_VALUE"""),"Unlisted")</f>
        <v>Unlisted</v>
      </c>
      <c r="J756" s="174" t="str">
        <f>IFERROR(__xludf.DUMMYFUNCTION("""COMPUTED_VALUE"""),"Unlisted")</f>
        <v>Unlisted</v>
      </c>
      <c r="K756" s="174" t="str">
        <f>IFERROR(__xludf.DUMMYFUNCTION("""COMPUTED_VALUE"""),"Proficient")</f>
        <v>Proficient</v>
      </c>
      <c r="L756" s="174" t="str">
        <f>IFERROR(__xludf.DUMMYFUNCTION("""COMPUTED_VALUE"""),"Unlisted")</f>
        <v>Unlisted</v>
      </c>
      <c r="M756" s="174" t="str">
        <f>IFERROR(__xludf.DUMMYFUNCTION("""COMPUTED_VALUE"""),"Unlisted")</f>
        <v>Unlisted</v>
      </c>
      <c r="N756" s="174" t="str">
        <f>IFERROR(__xludf.DUMMYFUNCTION("""COMPUTED_VALUE"""),"Unlisted")</f>
        <v>Unlisted</v>
      </c>
      <c r="O756" s="174" t="str">
        <f>IFERROR(__xludf.DUMMYFUNCTION("""COMPUTED_VALUE"""),"Unlisted")</f>
        <v>Unlisted</v>
      </c>
      <c r="P756" s="174" t="str">
        <f>IFERROR(__xludf.DUMMYFUNCTION("""COMPUTED_VALUE"""),"Unlisted")</f>
        <v>Unlisted</v>
      </c>
      <c r="Q756" s="174" t="str">
        <f>IFERROR(__xludf.DUMMYFUNCTION("""COMPUTED_VALUE"""),"Unlisted")</f>
        <v>Unlisted</v>
      </c>
      <c r="R756" s="174" t="str">
        <f>IFERROR(__xludf.DUMMYFUNCTION("""COMPUTED_VALUE"""),"Unlisted")</f>
        <v>Unlisted</v>
      </c>
    </row>
    <row r="757">
      <c r="A757" s="255" t="str">
        <f>IFERROR(__xludf.DUMMYFUNCTION("""COMPUTED_VALUE"""),"Gliscor")</f>
        <v>Gliscor</v>
      </c>
      <c r="B757" s="174" t="str">
        <f>IFERROR(__xludf.DUMMYFUNCTION("""COMPUTED_VALUE"""),"Proficient")</f>
        <v>Proficient</v>
      </c>
      <c r="C757" s="174" t="str">
        <f>IFERROR(__xludf.DUMMYFUNCTION("""COMPUTED_VALUE"""),"Unlisted")</f>
        <v>Unlisted</v>
      </c>
      <c r="D757" s="174" t="str">
        <f>IFERROR(__xludf.DUMMYFUNCTION("""COMPUTED_VALUE"""),"Unlisted")</f>
        <v>Unlisted</v>
      </c>
      <c r="E757" s="174" t="str">
        <f>IFERROR(__xludf.DUMMYFUNCTION("""COMPUTED_VALUE"""),"Proficient")</f>
        <v>Proficient</v>
      </c>
      <c r="F757" s="174" t="str">
        <f>IFERROR(__xludf.DUMMYFUNCTION("""COMPUTED_VALUE"""),"Unlisted")</f>
        <v>Unlisted</v>
      </c>
      <c r="G757" s="174" t="str">
        <f>IFERROR(__xludf.DUMMYFUNCTION("""COMPUTED_VALUE"""),"Unlisted")</f>
        <v>Unlisted</v>
      </c>
      <c r="H757" s="174" t="str">
        <f>IFERROR(__xludf.DUMMYFUNCTION("""COMPUTED_VALUE"""),"Unlisted")</f>
        <v>Unlisted</v>
      </c>
      <c r="I757" s="174" t="str">
        <f>IFERROR(__xludf.DUMMYFUNCTION("""COMPUTED_VALUE"""),"Unlisted")</f>
        <v>Unlisted</v>
      </c>
      <c r="J757" s="174" t="str">
        <f>IFERROR(__xludf.DUMMYFUNCTION("""COMPUTED_VALUE"""),"Unlisted")</f>
        <v>Unlisted</v>
      </c>
      <c r="K757" s="174" t="str">
        <f>IFERROR(__xludf.DUMMYFUNCTION("""COMPUTED_VALUE"""),"Proficient")</f>
        <v>Proficient</v>
      </c>
      <c r="L757" s="174" t="str">
        <f>IFERROR(__xludf.DUMMYFUNCTION("""COMPUTED_VALUE"""),"Unlisted")</f>
        <v>Unlisted</v>
      </c>
      <c r="M757" s="174" t="str">
        <f>IFERROR(__xludf.DUMMYFUNCTION("""COMPUTED_VALUE"""),"Unlisted")</f>
        <v>Unlisted</v>
      </c>
      <c r="N757" s="174" t="str">
        <f>IFERROR(__xludf.DUMMYFUNCTION("""COMPUTED_VALUE"""),"Unlisted")</f>
        <v>Unlisted</v>
      </c>
      <c r="O757" s="174" t="str">
        <f>IFERROR(__xludf.DUMMYFUNCTION("""COMPUTED_VALUE"""),"Unlisted")</f>
        <v>Unlisted</v>
      </c>
      <c r="P757" s="174" t="str">
        <f>IFERROR(__xludf.DUMMYFUNCTION("""COMPUTED_VALUE"""),"Unlisted")</f>
        <v>Unlisted</v>
      </c>
      <c r="Q757" s="174" t="str">
        <f>IFERROR(__xludf.DUMMYFUNCTION("""COMPUTED_VALUE"""),"Unlisted")</f>
        <v>Unlisted</v>
      </c>
      <c r="R757" s="174" t="str">
        <f>IFERROR(__xludf.DUMMYFUNCTION("""COMPUTED_VALUE"""),"Unlisted")</f>
        <v>Unlisted</v>
      </c>
    </row>
    <row r="758">
      <c r="A758" s="255" t="str">
        <f>IFERROR(__xludf.DUMMYFUNCTION("""COMPUTED_VALUE"""),"Phanpy")</f>
        <v>Phanpy</v>
      </c>
      <c r="B758" s="174" t="str">
        <f>IFERROR(__xludf.DUMMYFUNCTION("""COMPUTED_VALUE"""),"Unlisted")</f>
        <v>Unlisted</v>
      </c>
      <c r="C758" s="174" t="str">
        <f>IFERROR(__xludf.DUMMYFUNCTION("""COMPUTED_VALUE"""),"Proficient")</f>
        <v>Proficient</v>
      </c>
      <c r="D758" s="174" t="str">
        <f>IFERROR(__xludf.DUMMYFUNCTION("""COMPUTED_VALUE"""),"Proficient")</f>
        <v>Proficient</v>
      </c>
      <c r="E758" s="174" t="str">
        <f>IFERROR(__xludf.DUMMYFUNCTION("""COMPUTED_VALUE"""),"Unlisted")</f>
        <v>Unlisted</v>
      </c>
      <c r="F758" s="174" t="str">
        <f>IFERROR(__xludf.DUMMYFUNCTION("""COMPUTED_VALUE"""),"Unlisted")</f>
        <v>Unlisted</v>
      </c>
      <c r="G758" s="174" t="str">
        <f>IFERROR(__xludf.DUMMYFUNCTION("""COMPUTED_VALUE"""),"Proficient")</f>
        <v>Proficient</v>
      </c>
      <c r="H758" s="174" t="str">
        <f>IFERROR(__xludf.DUMMYFUNCTION("""COMPUTED_VALUE"""),"Unlisted")</f>
        <v>Unlisted</v>
      </c>
      <c r="I758" s="174" t="str">
        <f>IFERROR(__xludf.DUMMYFUNCTION("""COMPUTED_VALUE"""),"Unlisted")</f>
        <v>Unlisted</v>
      </c>
      <c r="J758" s="174" t="str">
        <f>IFERROR(__xludf.DUMMYFUNCTION("""COMPUTED_VALUE"""),"Unlisted")</f>
        <v>Unlisted</v>
      </c>
      <c r="K758" s="174" t="str">
        <f>IFERROR(__xludf.DUMMYFUNCTION("""COMPUTED_VALUE"""),"Unlisted")</f>
        <v>Unlisted</v>
      </c>
      <c r="L758" s="174" t="str">
        <f>IFERROR(__xludf.DUMMYFUNCTION("""COMPUTED_VALUE"""),"Unlisted")</f>
        <v>Unlisted</v>
      </c>
      <c r="M758" s="174" t="str">
        <f>IFERROR(__xludf.DUMMYFUNCTION("""COMPUTED_VALUE"""),"Unlisted")</f>
        <v>Unlisted</v>
      </c>
      <c r="N758" s="174" t="str">
        <f>IFERROR(__xludf.DUMMYFUNCTION("""COMPUTED_VALUE"""),"Unlisted")</f>
        <v>Unlisted</v>
      </c>
      <c r="O758" s="174" t="str">
        <f>IFERROR(__xludf.DUMMYFUNCTION("""COMPUTED_VALUE"""),"Unlisted")</f>
        <v>Unlisted</v>
      </c>
      <c r="P758" s="174" t="str">
        <f>IFERROR(__xludf.DUMMYFUNCTION("""COMPUTED_VALUE"""),"Unlisted")</f>
        <v>Unlisted</v>
      </c>
      <c r="Q758" s="174" t="str">
        <f>IFERROR(__xludf.DUMMYFUNCTION("""COMPUTED_VALUE"""),"Unlisted")</f>
        <v>Unlisted</v>
      </c>
      <c r="R758" s="174" t="str">
        <f>IFERROR(__xludf.DUMMYFUNCTION("""COMPUTED_VALUE"""),"Unlisted")</f>
        <v>Unlisted</v>
      </c>
    </row>
    <row r="759">
      <c r="A759" s="255" t="str">
        <f>IFERROR(__xludf.DUMMYFUNCTION("""COMPUTED_VALUE"""),"Donphan")</f>
        <v>Donphan</v>
      </c>
      <c r="B759" s="174" t="str">
        <f>IFERROR(__xludf.DUMMYFUNCTION("""COMPUTED_VALUE"""),"Unlisted")</f>
        <v>Unlisted</v>
      </c>
      <c r="C759" s="174" t="str">
        <f>IFERROR(__xludf.DUMMYFUNCTION("""COMPUTED_VALUE"""),"Proficient")</f>
        <v>Proficient</v>
      </c>
      <c r="D759" s="174" t="str">
        <f>IFERROR(__xludf.DUMMYFUNCTION("""COMPUTED_VALUE"""),"Unlisted")</f>
        <v>Unlisted</v>
      </c>
      <c r="E759" s="174" t="str">
        <f>IFERROR(__xludf.DUMMYFUNCTION("""COMPUTED_VALUE"""),"Unlisted")</f>
        <v>Unlisted</v>
      </c>
      <c r="F759" s="174" t="str">
        <f>IFERROR(__xludf.DUMMYFUNCTION("""COMPUTED_VALUE"""),"Unlisted")</f>
        <v>Unlisted</v>
      </c>
      <c r="G759" s="174" t="str">
        <f>IFERROR(__xludf.DUMMYFUNCTION("""COMPUTED_VALUE"""),"Proficient")</f>
        <v>Proficient</v>
      </c>
      <c r="H759" s="174" t="str">
        <f>IFERROR(__xludf.DUMMYFUNCTION("""COMPUTED_VALUE"""),"Unlisted")</f>
        <v>Unlisted</v>
      </c>
      <c r="I759" s="174" t="str">
        <f>IFERROR(__xludf.DUMMYFUNCTION("""COMPUTED_VALUE"""),"Proficient")</f>
        <v>Proficient</v>
      </c>
      <c r="J759" s="174" t="str">
        <f>IFERROR(__xludf.DUMMYFUNCTION("""COMPUTED_VALUE"""),"Unlisted")</f>
        <v>Unlisted</v>
      </c>
      <c r="K759" s="174" t="str">
        <f>IFERROR(__xludf.DUMMYFUNCTION("""COMPUTED_VALUE"""),"Unlisted")</f>
        <v>Unlisted</v>
      </c>
      <c r="L759" s="174" t="str">
        <f>IFERROR(__xludf.DUMMYFUNCTION("""COMPUTED_VALUE"""),"Unlisted")</f>
        <v>Unlisted</v>
      </c>
      <c r="M759" s="174" t="str">
        <f>IFERROR(__xludf.DUMMYFUNCTION("""COMPUTED_VALUE"""),"Unlisted")</f>
        <v>Unlisted</v>
      </c>
      <c r="N759" s="174" t="str">
        <f>IFERROR(__xludf.DUMMYFUNCTION("""COMPUTED_VALUE"""),"Unlisted")</f>
        <v>Unlisted</v>
      </c>
      <c r="O759" s="174" t="str">
        <f>IFERROR(__xludf.DUMMYFUNCTION("""COMPUTED_VALUE"""),"Unlisted")</f>
        <v>Unlisted</v>
      </c>
      <c r="P759" s="174" t="str">
        <f>IFERROR(__xludf.DUMMYFUNCTION("""COMPUTED_VALUE"""),"Unlisted")</f>
        <v>Unlisted</v>
      </c>
      <c r="Q759" s="174" t="str">
        <f>IFERROR(__xludf.DUMMYFUNCTION("""COMPUTED_VALUE"""),"Unlisted")</f>
        <v>Unlisted</v>
      </c>
      <c r="R759" s="174" t="str">
        <f>IFERROR(__xludf.DUMMYFUNCTION("""COMPUTED_VALUE"""),"Unlisted")</f>
        <v>Unlisted</v>
      </c>
    </row>
    <row r="760">
      <c r="A760" s="255" t="str">
        <f>IFERROR(__xludf.DUMMYFUNCTION("""COMPUTED_VALUE"""),"Baltoy")</f>
        <v>Baltoy</v>
      </c>
      <c r="B760" s="174" t="str">
        <f>IFERROR(__xludf.DUMMYFUNCTION("""COMPUTED_VALUE"""),"Unlisted")</f>
        <v>Unlisted</v>
      </c>
      <c r="C760" s="174" t="str">
        <f>IFERROR(__xludf.DUMMYFUNCTION("""COMPUTED_VALUE"""),"Unlisted")</f>
        <v>Unlisted</v>
      </c>
      <c r="D760" s="174" t="str">
        <f>IFERROR(__xludf.DUMMYFUNCTION("""COMPUTED_VALUE"""),"Unlisted")</f>
        <v>Unlisted</v>
      </c>
      <c r="E760" s="174" t="str">
        <f>IFERROR(__xludf.DUMMYFUNCTION("""COMPUTED_VALUE"""),"Unlisted")</f>
        <v>Unlisted</v>
      </c>
      <c r="F760" s="174" t="str">
        <f>IFERROR(__xludf.DUMMYFUNCTION("""COMPUTED_VALUE"""),"Unlisted")</f>
        <v>Unlisted</v>
      </c>
      <c r="G760" s="174" t="str">
        <f>IFERROR(__xludf.DUMMYFUNCTION("""COMPUTED_VALUE"""),"Proficient")</f>
        <v>Proficient</v>
      </c>
      <c r="H760" s="174" t="str">
        <f>IFERROR(__xludf.DUMMYFUNCTION("""COMPUTED_VALUE"""),"Unlisted")</f>
        <v>Unlisted</v>
      </c>
      <c r="I760" s="174" t="str">
        <f>IFERROR(__xludf.DUMMYFUNCTION("""COMPUTED_VALUE"""),"Unlisted")</f>
        <v>Unlisted</v>
      </c>
      <c r="J760" s="174" t="str">
        <f>IFERROR(__xludf.DUMMYFUNCTION("""COMPUTED_VALUE"""),"Unlisted")</f>
        <v>Unlisted</v>
      </c>
      <c r="K760" s="174" t="str">
        <f>IFERROR(__xludf.DUMMYFUNCTION("""COMPUTED_VALUE"""),"Mastered")</f>
        <v>Mastered</v>
      </c>
      <c r="L760" s="174" t="str">
        <f>IFERROR(__xludf.DUMMYFUNCTION("""COMPUTED_VALUE"""),"Unlisted")</f>
        <v>Unlisted</v>
      </c>
      <c r="M760" s="174" t="str">
        <f>IFERROR(__xludf.DUMMYFUNCTION("""COMPUTED_VALUE"""),"Unlisted")</f>
        <v>Unlisted</v>
      </c>
      <c r="N760" s="174" t="str">
        <f>IFERROR(__xludf.DUMMYFUNCTION("""COMPUTED_VALUE"""),"Unlisted")</f>
        <v>Unlisted</v>
      </c>
      <c r="O760" s="174" t="str">
        <f>IFERROR(__xludf.DUMMYFUNCTION("""COMPUTED_VALUE"""),"Unlisted")</f>
        <v>Unlisted</v>
      </c>
      <c r="P760" s="174" t="str">
        <f>IFERROR(__xludf.DUMMYFUNCTION("""COMPUTED_VALUE"""),"Unlisted")</f>
        <v>Unlisted</v>
      </c>
      <c r="Q760" s="174" t="str">
        <f>IFERROR(__xludf.DUMMYFUNCTION("""COMPUTED_VALUE"""),"Unlisted")</f>
        <v>Unlisted</v>
      </c>
      <c r="R760" s="174" t="str">
        <f>IFERROR(__xludf.DUMMYFUNCTION("""COMPUTED_VALUE"""),"Unlisted")</f>
        <v>Unlisted</v>
      </c>
    </row>
    <row r="761">
      <c r="A761" s="255" t="str">
        <f>IFERROR(__xludf.DUMMYFUNCTION("""COMPUTED_VALUE"""),"Claydol")</f>
        <v>Claydol</v>
      </c>
      <c r="B761" s="174" t="str">
        <f>IFERROR(__xludf.DUMMYFUNCTION("""COMPUTED_VALUE"""),"Unlisted")</f>
        <v>Unlisted</v>
      </c>
      <c r="C761" s="174" t="str">
        <f>IFERROR(__xludf.DUMMYFUNCTION("""COMPUTED_VALUE"""),"Unlisted")</f>
        <v>Unlisted</v>
      </c>
      <c r="D761" s="174" t="str">
        <f>IFERROR(__xludf.DUMMYFUNCTION("""COMPUTED_VALUE"""),"Unlisted")</f>
        <v>Unlisted</v>
      </c>
      <c r="E761" s="174" t="str">
        <f>IFERROR(__xludf.DUMMYFUNCTION("""COMPUTED_VALUE"""),"Unlisted")</f>
        <v>Unlisted</v>
      </c>
      <c r="F761" s="174" t="str">
        <f>IFERROR(__xludf.DUMMYFUNCTION("""COMPUTED_VALUE"""),"Unlisted")</f>
        <v>Unlisted</v>
      </c>
      <c r="G761" s="174" t="str">
        <f>IFERROR(__xludf.DUMMYFUNCTION("""COMPUTED_VALUE"""),"Proficient")</f>
        <v>Proficient</v>
      </c>
      <c r="H761" s="174" t="str">
        <f>IFERROR(__xludf.DUMMYFUNCTION("""COMPUTED_VALUE"""),"Unlisted")</f>
        <v>Unlisted</v>
      </c>
      <c r="I761" s="174" t="str">
        <f>IFERROR(__xludf.DUMMYFUNCTION("""COMPUTED_VALUE"""),"Unlisted")</f>
        <v>Unlisted</v>
      </c>
      <c r="J761" s="174" t="str">
        <f>IFERROR(__xludf.DUMMYFUNCTION("""COMPUTED_VALUE"""),"Unlisted")</f>
        <v>Unlisted</v>
      </c>
      <c r="K761" s="174" t="str">
        <f>IFERROR(__xludf.DUMMYFUNCTION("""COMPUTED_VALUE"""),"Mastered")</f>
        <v>Mastered</v>
      </c>
      <c r="L761" s="174" t="str">
        <f>IFERROR(__xludf.DUMMYFUNCTION("""COMPUTED_VALUE"""),"Unlisted")</f>
        <v>Unlisted</v>
      </c>
      <c r="M761" s="174" t="str">
        <f>IFERROR(__xludf.DUMMYFUNCTION("""COMPUTED_VALUE"""),"Unlisted")</f>
        <v>Unlisted</v>
      </c>
      <c r="N761" s="174" t="str">
        <f>IFERROR(__xludf.DUMMYFUNCTION("""COMPUTED_VALUE"""),"Unlisted")</f>
        <v>Unlisted</v>
      </c>
      <c r="O761" s="174" t="str">
        <f>IFERROR(__xludf.DUMMYFUNCTION("""COMPUTED_VALUE"""),"Unlisted")</f>
        <v>Unlisted</v>
      </c>
      <c r="P761" s="174" t="str">
        <f>IFERROR(__xludf.DUMMYFUNCTION("""COMPUTED_VALUE"""),"Unlisted")</f>
        <v>Unlisted</v>
      </c>
      <c r="Q761" s="174" t="str">
        <f>IFERROR(__xludf.DUMMYFUNCTION("""COMPUTED_VALUE"""),"Unlisted")</f>
        <v>Unlisted</v>
      </c>
      <c r="R761" s="174" t="str">
        <f>IFERROR(__xludf.DUMMYFUNCTION("""COMPUTED_VALUE"""),"Unlisted")</f>
        <v>Unlisted</v>
      </c>
    </row>
    <row r="762">
      <c r="A762" s="255" t="str">
        <f>IFERROR(__xludf.DUMMYFUNCTION("""COMPUTED_VALUE"""),"Hippopotas")</f>
        <v>Hippopotas</v>
      </c>
      <c r="B762" s="174" t="str">
        <f>IFERROR(__xludf.DUMMYFUNCTION("""COMPUTED_VALUE"""),"Inept")</f>
        <v>Inept</v>
      </c>
      <c r="C762" s="174" t="str">
        <f>IFERROR(__xludf.DUMMYFUNCTION("""COMPUTED_VALUE"""),"Unlisted")</f>
        <v>Unlisted</v>
      </c>
      <c r="D762" s="174" t="str">
        <f>IFERROR(__xludf.DUMMYFUNCTION("""COMPUTED_VALUE"""),"Unlisted")</f>
        <v>Unlisted</v>
      </c>
      <c r="E762" s="174" t="str">
        <f>IFERROR(__xludf.DUMMYFUNCTION("""COMPUTED_VALUE"""),"Unlisted")</f>
        <v>Unlisted</v>
      </c>
      <c r="F762" s="174" t="str">
        <f>IFERROR(__xludf.DUMMYFUNCTION("""COMPUTED_VALUE"""),"Unlisted")</f>
        <v>Unlisted</v>
      </c>
      <c r="G762" s="174" t="str">
        <f>IFERROR(__xludf.DUMMYFUNCTION("""COMPUTED_VALUE"""),"Proficient")</f>
        <v>Proficient</v>
      </c>
      <c r="H762" s="174" t="str">
        <f>IFERROR(__xludf.DUMMYFUNCTION("""COMPUTED_VALUE"""),"Unlisted")</f>
        <v>Unlisted</v>
      </c>
      <c r="I762" s="174" t="str">
        <f>IFERROR(__xludf.DUMMYFUNCTION("""COMPUTED_VALUE"""),"Unlisted")</f>
        <v>Unlisted</v>
      </c>
      <c r="J762" s="174" t="str">
        <f>IFERROR(__xludf.DUMMYFUNCTION("""COMPUTED_VALUE"""),"Unlisted")</f>
        <v>Unlisted</v>
      </c>
      <c r="K762" s="174" t="str">
        <f>IFERROR(__xludf.DUMMYFUNCTION("""COMPUTED_VALUE"""),"Proficient")</f>
        <v>Proficient</v>
      </c>
      <c r="L762" s="174" t="str">
        <f>IFERROR(__xludf.DUMMYFUNCTION("""COMPUTED_VALUE"""),"Unlisted")</f>
        <v>Unlisted</v>
      </c>
      <c r="M762" s="174" t="str">
        <f>IFERROR(__xludf.DUMMYFUNCTION("""COMPUTED_VALUE"""),"Unlisted")</f>
        <v>Unlisted</v>
      </c>
      <c r="N762" s="174" t="str">
        <f>IFERROR(__xludf.DUMMYFUNCTION("""COMPUTED_VALUE"""),"Unlisted")</f>
        <v>Unlisted</v>
      </c>
      <c r="O762" s="174" t="str">
        <f>IFERROR(__xludf.DUMMYFUNCTION("""COMPUTED_VALUE"""),"Unlisted")</f>
        <v>Unlisted</v>
      </c>
      <c r="P762" s="174" t="str">
        <f>IFERROR(__xludf.DUMMYFUNCTION("""COMPUTED_VALUE"""),"Unlisted")</f>
        <v>Unlisted</v>
      </c>
      <c r="Q762" s="174" t="str">
        <f>IFERROR(__xludf.DUMMYFUNCTION("""COMPUTED_VALUE"""),"Unlisted")</f>
        <v>Unlisted</v>
      </c>
      <c r="R762" s="174" t="str">
        <f>IFERROR(__xludf.DUMMYFUNCTION("""COMPUTED_VALUE"""),"Unlisted")</f>
        <v>Unlisted</v>
      </c>
    </row>
    <row r="763">
      <c r="A763" s="255" t="str">
        <f>IFERROR(__xludf.DUMMYFUNCTION("""COMPUTED_VALUE"""),"Hippowdon")</f>
        <v>Hippowdon</v>
      </c>
      <c r="B763" s="174" t="str">
        <f>IFERROR(__xludf.DUMMYFUNCTION("""COMPUTED_VALUE"""),"Inept")</f>
        <v>Inept</v>
      </c>
      <c r="C763" s="174" t="str">
        <f>IFERROR(__xludf.DUMMYFUNCTION("""COMPUTED_VALUE"""),"Proficient")</f>
        <v>Proficient</v>
      </c>
      <c r="D763" s="174" t="str">
        <f>IFERROR(__xludf.DUMMYFUNCTION("""COMPUTED_VALUE"""),"Unlisted")</f>
        <v>Unlisted</v>
      </c>
      <c r="E763" s="174" t="str">
        <f>IFERROR(__xludf.DUMMYFUNCTION("""COMPUTED_VALUE"""),"Unlisted")</f>
        <v>Unlisted</v>
      </c>
      <c r="F763" s="174" t="str">
        <f>IFERROR(__xludf.DUMMYFUNCTION("""COMPUTED_VALUE"""),"Unlisted")</f>
        <v>Unlisted</v>
      </c>
      <c r="G763" s="174" t="str">
        <f>IFERROR(__xludf.DUMMYFUNCTION("""COMPUTED_VALUE"""),"Proficient")</f>
        <v>Proficient</v>
      </c>
      <c r="H763" s="174" t="str">
        <f>IFERROR(__xludf.DUMMYFUNCTION("""COMPUTED_VALUE"""),"Unlisted")</f>
        <v>Unlisted</v>
      </c>
      <c r="I763" s="174" t="str">
        <f>IFERROR(__xludf.DUMMYFUNCTION("""COMPUTED_VALUE"""),"Unlisted")</f>
        <v>Unlisted</v>
      </c>
      <c r="J763" s="174" t="str">
        <f>IFERROR(__xludf.DUMMYFUNCTION("""COMPUTED_VALUE"""),"Unlisted")</f>
        <v>Unlisted</v>
      </c>
      <c r="K763" s="174" t="str">
        <f>IFERROR(__xludf.DUMMYFUNCTION("""COMPUTED_VALUE"""),"Proficient")</f>
        <v>Proficient</v>
      </c>
      <c r="L763" s="174" t="str">
        <f>IFERROR(__xludf.DUMMYFUNCTION("""COMPUTED_VALUE"""),"Unlisted")</f>
        <v>Unlisted</v>
      </c>
      <c r="M763" s="174" t="str">
        <f>IFERROR(__xludf.DUMMYFUNCTION("""COMPUTED_VALUE"""),"Unlisted")</f>
        <v>Unlisted</v>
      </c>
      <c r="N763" s="174" t="str">
        <f>IFERROR(__xludf.DUMMYFUNCTION("""COMPUTED_VALUE"""),"Unlisted")</f>
        <v>Unlisted</v>
      </c>
      <c r="O763" s="174" t="str">
        <f>IFERROR(__xludf.DUMMYFUNCTION("""COMPUTED_VALUE"""),"Unlisted")</f>
        <v>Unlisted</v>
      </c>
      <c r="P763" s="174" t="str">
        <f>IFERROR(__xludf.DUMMYFUNCTION("""COMPUTED_VALUE"""),"Unlisted")</f>
        <v>Unlisted</v>
      </c>
      <c r="Q763" s="174" t="str">
        <f>IFERROR(__xludf.DUMMYFUNCTION("""COMPUTED_VALUE"""),"Unlisted")</f>
        <v>Unlisted</v>
      </c>
      <c r="R763" s="174" t="str">
        <f>IFERROR(__xludf.DUMMYFUNCTION("""COMPUTED_VALUE"""),"Unlisted")</f>
        <v>Unlisted</v>
      </c>
    </row>
    <row r="764">
      <c r="A764" s="255" t="str">
        <f>IFERROR(__xludf.DUMMYFUNCTION("""COMPUTED_VALUE"""),"Drilbur")</f>
        <v>Drilbur</v>
      </c>
      <c r="B764" s="174" t="str">
        <f>IFERROR(__xludf.DUMMYFUNCTION("""COMPUTED_VALUE"""),"Unlisted")</f>
        <v>Unlisted</v>
      </c>
      <c r="C764" s="174" t="str">
        <f>IFERROR(__xludf.DUMMYFUNCTION("""COMPUTED_VALUE"""),"Proficient")</f>
        <v>Proficient</v>
      </c>
      <c r="D764" s="174" t="str">
        <f>IFERROR(__xludf.DUMMYFUNCTION("""COMPUTED_VALUE"""),"Unlisted")</f>
        <v>Unlisted</v>
      </c>
      <c r="E764" s="174" t="str">
        <f>IFERROR(__xludf.DUMMYFUNCTION("""COMPUTED_VALUE"""),"Proficient")</f>
        <v>Proficient</v>
      </c>
      <c r="F764" s="174" t="str">
        <f>IFERROR(__xludf.DUMMYFUNCTION("""COMPUTED_VALUE"""),"Unlisted")</f>
        <v>Unlisted</v>
      </c>
      <c r="G764" s="174" t="str">
        <f>IFERROR(__xludf.DUMMYFUNCTION("""COMPUTED_VALUE"""),"Unlisted")</f>
        <v>Unlisted</v>
      </c>
      <c r="H764" s="174" t="str">
        <f>IFERROR(__xludf.DUMMYFUNCTION("""COMPUTED_VALUE"""),"Unlisted")</f>
        <v>Unlisted</v>
      </c>
      <c r="I764" s="174" t="str">
        <f>IFERROR(__xludf.DUMMYFUNCTION("""COMPUTED_VALUE"""),"Unlisted")</f>
        <v>Unlisted</v>
      </c>
      <c r="J764" s="174" t="str">
        <f>IFERROR(__xludf.DUMMYFUNCTION("""COMPUTED_VALUE"""),"Unlisted")</f>
        <v>Unlisted</v>
      </c>
      <c r="K764" s="174" t="str">
        <f>IFERROR(__xludf.DUMMYFUNCTION("""COMPUTED_VALUE"""),"Proficient")</f>
        <v>Proficient</v>
      </c>
      <c r="L764" s="174" t="str">
        <f>IFERROR(__xludf.DUMMYFUNCTION("""COMPUTED_VALUE"""),"Unlisted")</f>
        <v>Unlisted</v>
      </c>
      <c r="M764" s="174" t="str">
        <f>IFERROR(__xludf.DUMMYFUNCTION("""COMPUTED_VALUE"""),"Unlisted")</f>
        <v>Unlisted</v>
      </c>
      <c r="N764" s="174" t="str">
        <f>IFERROR(__xludf.DUMMYFUNCTION("""COMPUTED_VALUE"""),"Unlisted")</f>
        <v>Unlisted</v>
      </c>
      <c r="O764" s="174" t="str">
        <f>IFERROR(__xludf.DUMMYFUNCTION("""COMPUTED_VALUE"""),"Unlisted")</f>
        <v>Unlisted</v>
      </c>
      <c r="P764" s="174" t="str">
        <f>IFERROR(__xludf.DUMMYFUNCTION("""COMPUTED_VALUE"""),"Unlisted")</f>
        <v>Unlisted</v>
      </c>
      <c r="Q764" s="174" t="str">
        <f>IFERROR(__xludf.DUMMYFUNCTION("""COMPUTED_VALUE"""),"Unlisted")</f>
        <v>Unlisted</v>
      </c>
      <c r="R764" s="174" t="str">
        <f>IFERROR(__xludf.DUMMYFUNCTION("""COMPUTED_VALUE"""),"Unlisted")</f>
        <v>Unlisted</v>
      </c>
    </row>
    <row r="765">
      <c r="A765" s="255" t="str">
        <f>IFERROR(__xludf.DUMMYFUNCTION("""COMPUTED_VALUE"""),"Excadrill")</f>
        <v>Excadrill</v>
      </c>
      <c r="B765" s="174" t="str">
        <f>IFERROR(__xludf.DUMMYFUNCTION("""COMPUTED_VALUE"""),"Unlisted")</f>
        <v>Unlisted</v>
      </c>
      <c r="C765" s="174" t="str">
        <f>IFERROR(__xludf.DUMMYFUNCTION("""COMPUTED_VALUE"""),"Proficient")</f>
        <v>Proficient</v>
      </c>
      <c r="D765" s="174" t="str">
        <f>IFERROR(__xludf.DUMMYFUNCTION("""COMPUTED_VALUE"""),"Unlisted")</f>
        <v>Unlisted</v>
      </c>
      <c r="E765" s="174" t="str">
        <f>IFERROR(__xludf.DUMMYFUNCTION("""COMPUTED_VALUE"""),"Proficient")</f>
        <v>Proficient</v>
      </c>
      <c r="F765" s="174" t="str">
        <f>IFERROR(__xludf.DUMMYFUNCTION("""COMPUTED_VALUE"""),"Unlisted")</f>
        <v>Unlisted</v>
      </c>
      <c r="G765" s="174" t="str">
        <f>IFERROR(__xludf.DUMMYFUNCTION("""COMPUTED_VALUE"""),"Unlisted")</f>
        <v>Unlisted</v>
      </c>
      <c r="H765" s="174" t="str">
        <f>IFERROR(__xludf.DUMMYFUNCTION("""COMPUTED_VALUE"""),"Unlisted")</f>
        <v>Unlisted</v>
      </c>
      <c r="I765" s="174" t="str">
        <f>IFERROR(__xludf.DUMMYFUNCTION("""COMPUTED_VALUE"""),"Unlisted")</f>
        <v>Unlisted</v>
      </c>
      <c r="J765" s="174" t="str">
        <f>IFERROR(__xludf.DUMMYFUNCTION("""COMPUTED_VALUE"""),"Unlisted")</f>
        <v>Unlisted</v>
      </c>
      <c r="K765" s="174" t="str">
        <f>IFERROR(__xludf.DUMMYFUNCTION("""COMPUTED_VALUE"""),"Proficient")</f>
        <v>Proficient</v>
      </c>
      <c r="L765" s="174" t="str">
        <f>IFERROR(__xludf.DUMMYFUNCTION("""COMPUTED_VALUE"""),"Unlisted")</f>
        <v>Unlisted</v>
      </c>
      <c r="M765" s="174" t="str">
        <f>IFERROR(__xludf.DUMMYFUNCTION("""COMPUTED_VALUE"""),"Unlisted")</f>
        <v>Unlisted</v>
      </c>
      <c r="N765" s="174" t="str">
        <f>IFERROR(__xludf.DUMMYFUNCTION("""COMPUTED_VALUE"""),"Unlisted")</f>
        <v>Unlisted</v>
      </c>
      <c r="O765" s="174" t="str">
        <f>IFERROR(__xludf.DUMMYFUNCTION("""COMPUTED_VALUE"""),"Unlisted")</f>
        <v>Unlisted</v>
      </c>
      <c r="P765" s="174" t="str">
        <f>IFERROR(__xludf.DUMMYFUNCTION("""COMPUTED_VALUE"""),"Unlisted")</f>
        <v>Unlisted</v>
      </c>
      <c r="Q765" s="174" t="str">
        <f>IFERROR(__xludf.DUMMYFUNCTION("""COMPUTED_VALUE"""),"Unlisted")</f>
        <v>Unlisted</v>
      </c>
      <c r="R765" s="174" t="str">
        <f>IFERROR(__xludf.DUMMYFUNCTION("""COMPUTED_VALUE"""),"Unlisted")</f>
        <v>Unlisted</v>
      </c>
    </row>
    <row r="766">
      <c r="A766" s="255" t="str">
        <f>IFERROR(__xludf.DUMMYFUNCTION("""COMPUTED_VALUE"""),"Golett")</f>
        <v>Golett</v>
      </c>
      <c r="B766" s="174" t="str">
        <f>IFERROR(__xludf.DUMMYFUNCTION("""COMPUTED_VALUE"""),"Unlisted")</f>
        <v>Unlisted</v>
      </c>
      <c r="C766" s="174" t="str">
        <f>IFERROR(__xludf.DUMMYFUNCTION("""COMPUTED_VALUE"""),"Proficient")</f>
        <v>Proficient</v>
      </c>
      <c r="D766" s="174" t="str">
        <f>IFERROR(__xludf.DUMMYFUNCTION("""COMPUTED_VALUE"""),"Unlisted")</f>
        <v>Unlisted</v>
      </c>
      <c r="E766" s="174" t="str">
        <f>IFERROR(__xludf.DUMMYFUNCTION("""COMPUTED_VALUE"""),"Mastered")</f>
        <v>Mastered</v>
      </c>
      <c r="F766" s="174" t="str">
        <f>IFERROR(__xludf.DUMMYFUNCTION("""COMPUTED_VALUE"""),"Unlisted")</f>
        <v>Unlisted</v>
      </c>
      <c r="G766" s="174" t="str">
        <f>IFERROR(__xludf.DUMMYFUNCTION("""COMPUTED_VALUE"""),"Proficient")</f>
        <v>Proficient</v>
      </c>
      <c r="H766" s="174" t="str">
        <f>IFERROR(__xludf.DUMMYFUNCTION("""COMPUTED_VALUE"""),"Unlisted")</f>
        <v>Unlisted</v>
      </c>
      <c r="I766" s="174" t="str">
        <f>IFERROR(__xludf.DUMMYFUNCTION("""COMPUTED_VALUE"""),"Unlisted")</f>
        <v>Unlisted</v>
      </c>
      <c r="J766" s="174" t="str">
        <f>IFERROR(__xludf.DUMMYFUNCTION("""COMPUTED_VALUE"""),"Inept")</f>
        <v>Inept</v>
      </c>
      <c r="K766" s="174" t="str">
        <f>IFERROR(__xludf.DUMMYFUNCTION("""COMPUTED_VALUE"""),"Unlisted")</f>
        <v>Unlisted</v>
      </c>
      <c r="L766" s="174" t="str">
        <f>IFERROR(__xludf.DUMMYFUNCTION("""COMPUTED_VALUE"""),"Unlisted")</f>
        <v>Unlisted</v>
      </c>
      <c r="M766" s="174" t="str">
        <f>IFERROR(__xludf.DUMMYFUNCTION("""COMPUTED_VALUE"""),"Unlisted")</f>
        <v>Unlisted</v>
      </c>
      <c r="N766" s="174" t="str">
        <f>IFERROR(__xludf.DUMMYFUNCTION("""COMPUTED_VALUE"""),"Unlisted")</f>
        <v>Unlisted</v>
      </c>
      <c r="O766" s="174" t="str">
        <f>IFERROR(__xludf.DUMMYFUNCTION("""COMPUTED_VALUE"""),"Unlisted")</f>
        <v>Unlisted</v>
      </c>
      <c r="P766" s="174" t="str">
        <f>IFERROR(__xludf.DUMMYFUNCTION("""COMPUTED_VALUE"""),"Unlisted")</f>
        <v>Unlisted</v>
      </c>
      <c r="Q766" s="174" t="str">
        <f>IFERROR(__xludf.DUMMYFUNCTION("""COMPUTED_VALUE"""),"Unlisted")</f>
        <v>Unlisted</v>
      </c>
      <c r="R766" s="174" t="str">
        <f>IFERROR(__xludf.DUMMYFUNCTION("""COMPUTED_VALUE"""),"Unlisted")</f>
        <v>Unlisted</v>
      </c>
    </row>
    <row r="767">
      <c r="A767" s="255" t="str">
        <f>IFERROR(__xludf.DUMMYFUNCTION("""COMPUTED_VALUE"""),"Golurk")</f>
        <v>Golurk</v>
      </c>
      <c r="B767" s="174" t="str">
        <f>IFERROR(__xludf.DUMMYFUNCTION("""COMPUTED_VALUE"""),"Unlisted")</f>
        <v>Unlisted</v>
      </c>
      <c r="C767" s="174" t="str">
        <f>IFERROR(__xludf.DUMMYFUNCTION("""COMPUTED_VALUE"""),"Proficient")</f>
        <v>Proficient</v>
      </c>
      <c r="D767" s="174" t="str">
        <f>IFERROR(__xludf.DUMMYFUNCTION("""COMPUTED_VALUE"""),"Unlisted")</f>
        <v>Unlisted</v>
      </c>
      <c r="E767" s="174" t="str">
        <f>IFERROR(__xludf.DUMMYFUNCTION("""COMPUTED_VALUE"""),"Mastered")</f>
        <v>Mastered</v>
      </c>
      <c r="F767" s="174" t="str">
        <f>IFERROR(__xludf.DUMMYFUNCTION("""COMPUTED_VALUE"""),"Unlisted")</f>
        <v>Unlisted</v>
      </c>
      <c r="G767" s="174" t="str">
        <f>IFERROR(__xludf.DUMMYFUNCTION("""COMPUTED_VALUE"""),"Proficient")</f>
        <v>Proficient</v>
      </c>
      <c r="H767" s="174" t="str">
        <f>IFERROR(__xludf.DUMMYFUNCTION("""COMPUTED_VALUE"""),"Unlisted")</f>
        <v>Unlisted</v>
      </c>
      <c r="I767" s="174" t="str">
        <f>IFERROR(__xludf.DUMMYFUNCTION("""COMPUTED_VALUE"""),"Unlisted")</f>
        <v>Unlisted</v>
      </c>
      <c r="J767" s="174" t="str">
        <f>IFERROR(__xludf.DUMMYFUNCTION("""COMPUTED_VALUE"""),"Inept")</f>
        <v>Inept</v>
      </c>
      <c r="K767" s="174" t="str">
        <f>IFERROR(__xludf.DUMMYFUNCTION("""COMPUTED_VALUE"""),"Unlisted")</f>
        <v>Unlisted</v>
      </c>
      <c r="L767" s="174" t="str">
        <f>IFERROR(__xludf.DUMMYFUNCTION("""COMPUTED_VALUE"""),"Unlisted")</f>
        <v>Unlisted</v>
      </c>
      <c r="M767" s="174" t="str">
        <f>IFERROR(__xludf.DUMMYFUNCTION("""COMPUTED_VALUE"""),"Unlisted")</f>
        <v>Unlisted</v>
      </c>
      <c r="N767" s="174" t="str">
        <f>IFERROR(__xludf.DUMMYFUNCTION("""COMPUTED_VALUE"""),"Unlisted")</f>
        <v>Unlisted</v>
      </c>
      <c r="O767" s="174" t="str">
        <f>IFERROR(__xludf.DUMMYFUNCTION("""COMPUTED_VALUE"""),"Unlisted")</f>
        <v>Unlisted</v>
      </c>
      <c r="P767" s="174" t="str">
        <f>IFERROR(__xludf.DUMMYFUNCTION("""COMPUTED_VALUE"""),"Unlisted")</f>
        <v>Unlisted</v>
      </c>
      <c r="Q767" s="174" t="str">
        <f>IFERROR(__xludf.DUMMYFUNCTION("""COMPUTED_VALUE"""),"Unlisted")</f>
        <v>Unlisted</v>
      </c>
      <c r="R767" s="174" t="str">
        <f>IFERROR(__xludf.DUMMYFUNCTION("""COMPUTED_VALUE"""),"Unlisted")</f>
        <v>Unlisted</v>
      </c>
    </row>
    <row r="768">
      <c r="A768" s="255" t="str">
        <f>IFERROR(__xludf.DUMMYFUNCTION("""COMPUTED_VALUE"""),"Mudbray")</f>
        <v>Mudbray</v>
      </c>
      <c r="B768" s="174" t="str">
        <f>IFERROR(__xludf.DUMMYFUNCTION("""COMPUTED_VALUE"""),"Unlisted")</f>
        <v>Unlisted</v>
      </c>
      <c r="C768" s="174" t="str">
        <f>IFERROR(__xludf.DUMMYFUNCTION("""COMPUTED_VALUE"""),"Mastered")</f>
        <v>Mastered</v>
      </c>
      <c r="D768" s="174" t="str">
        <f>IFERROR(__xludf.DUMMYFUNCTION("""COMPUTED_VALUE"""),"Unlisted")</f>
        <v>Unlisted</v>
      </c>
      <c r="E768" s="174" t="str">
        <f>IFERROR(__xludf.DUMMYFUNCTION("""COMPUTED_VALUE"""),"Unlisted")</f>
        <v>Unlisted</v>
      </c>
      <c r="F768" s="174" t="str">
        <f>IFERROR(__xludf.DUMMYFUNCTION("""COMPUTED_VALUE"""),"Unlisted")</f>
        <v>Unlisted</v>
      </c>
      <c r="G768" s="174" t="str">
        <f>IFERROR(__xludf.DUMMYFUNCTION("""COMPUTED_VALUE"""),"Proficient")</f>
        <v>Proficient</v>
      </c>
      <c r="H768" s="174" t="str">
        <f>IFERROR(__xludf.DUMMYFUNCTION("""COMPUTED_VALUE"""),"Unlisted")</f>
        <v>Unlisted</v>
      </c>
      <c r="I768" s="174" t="str">
        <f>IFERROR(__xludf.DUMMYFUNCTION("""COMPUTED_VALUE"""),"Unlisted")</f>
        <v>Unlisted</v>
      </c>
      <c r="J768" s="174" t="str">
        <f>IFERROR(__xludf.DUMMYFUNCTION("""COMPUTED_VALUE"""),"Unlisted")</f>
        <v>Unlisted</v>
      </c>
      <c r="K768" s="174" t="str">
        <f>IFERROR(__xludf.DUMMYFUNCTION("""COMPUTED_VALUE"""),"Unlisted")</f>
        <v>Unlisted</v>
      </c>
      <c r="L768" s="174" t="str">
        <f>IFERROR(__xludf.DUMMYFUNCTION("""COMPUTED_VALUE"""),"Unlisted")</f>
        <v>Unlisted</v>
      </c>
      <c r="M768" s="174" t="str">
        <f>IFERROR(__xludf.DUMMYFUNCTION("""COMPUTED_VALUE"""),"Unlisted")</f>
        <v>Unlisted</v>
      </c>
      <c r="N768" s="174" t="str">
        <f>IFERROR(__xludf.DUMMYFUNCTION("""COMPUTED_VALUE"""),"Unlisted")</f>
        <v>Unlisted</v>
      </c>
      <c r="O768" s="174" t="str">
        <f>IFERROR(__xludf.DUMMYFUNCTION("""COMPUTED_VALUE"""),"Proficient")</f>
        <v>Proficient</v>
      </c>
      <c r="P768" s="174" t="str">
        <f>IFERROR(__xludf.DUMMYFUNCTION("""COMPUTED_VALUE"""),"Unlisted")</f>
        <v>Unlisted</v>
      </c>
      <c r="Q768" s="174" t="str">
        <f>IFERROR(__xludf.DUMMYFUNCTION("""COMPUTED_VALUE"""),"Unlisted")</f>
        <v>Unlisted</v>
      </c>
      <c r="R768" s="174" t="str">
        <f>IFERROR(__xludf.DUMMYFUNCTION("""COMPUTED_VALUE"""),"Unlisted")</f>
        <v>Unlisted</v>
      </c>
    </row>
    <row r="769">
      <c r="A769" s="255" t="str">
        <f>IFERROR(__xludf.DUMMYFUNCTION("""COMPUTED_VALUE"""),"Mudsdale")</f>
        <v>Mudsdale</v>
      </c>
      <c r="B769" s="174" t="str">
        <f>IFERROR(__xludf.DUMMYFUNCTION("""COMPUTED_VALUE"""),"Unlisted")</f>
        <v>Unlisted</v>
      </c>
      <c r="C769" s="174" t="str">
        <f>IFERROR(__xludf.DUMMYFUNCTION("""COMPUTED_VALUE"""),"Mastered")</f>
        <v>Mastered</v>
      </c>
      <c r="D769" s="174" t="str">
        <f>IFERROR(__xludf.DUMMYFUNCTION("""COMPUTED_VALUE"""),"Unlisted")</f>
        <v>Unlisted</v>
      </c>
      <c r="E769" s="174" t="str">
        <f>IFERROR(__xludf.DUMMYFUNCTION("""COMPUTED_VALUE"""),"Unlisted")</f>
        <v>Unlisted</v>
      </c>
      <c r="F769" s="174" t="str">
        <f>IFERROR(__xludf.DUMMYFUNCTION("""COMPUTED_VALUE"""),"Unlisted")</f>
        <v>Unlisted</v>
      </c>
      <c r="G769" s="174" t="str">
        <f>IFERROR(__xludf.DUMMYFUNCTION("""COMPUTED_VALUE"""),"Proficient")</f>
        <v>Proficient</v>
      </c>
      <c r="H769" s="174" t="str">
        <f>IFERROR(__xludf.DUMMYFUNCTION("""COMPUTED_VALUE"""),"Unlisted")</f>
        <v>Unlisted</v>
      </c>
      <c r="I769" s="174" t="str">
        <f>IFERROR(__xludf.DUMMYFUNCTION("""COMPUTED_VALUE"""),"Unlisted")</f>
        <v>Unlisted</v>
      </c>
      <c r="J769" s="174" t="str">
        <f>IFERROR(__xludf.DUMMYFUNCTION("""COMPUTED_VALUE"""),"Unlisted")</f>
        <v>Unlisted</v>
      </c>
      <c r="K769" s="174" t="str">
        <f>IFERROR(__xludf.DUMMYFUNCTION("""COMPUTED_VALUE"""),"Unlisted")</f>
        <v>Unlisted</v>
      </c>
      <c r="L769" s="174" t="str">
        <f>IFERROR(__xludf.DUMMYFUNCTION("""COMPUTED_VALUE"""),"Unlisted")</f>
        <v>Unlisted</v>
      </c>
      <c r="M769" s="174" t="str">
        <f>IFERROR(__xludf.DUMMYFUNCTION("""COMPUTED_VALUE"""),"Unlisted")</f>
        <v>Unlisted</v>
      </c>
      <c r="N769" s="174" t="str">
        <f>IFERROR(__xludf.DUMMYFUNCTION("""COMPUTED_VALUE"""),"Unlisted")</f>
        <v>Unlisted</v>
      </c>
      <c r="O769" s="174" t="str">
        <f>IFERROR(__xludf.DUMMYFUNCTION("""COMPUTED_VALUE"""),"Proficient")</f>
        <v>Proficient</v>
      </c>
      <c r="P769" s="174" t="str">
        <f>IFERROR(__xludf.DUMMYFUNCTION("""COMPUTED_VALUE"""),"Unlisted")</f>
        <v>Unlisted</v>
      </c>
      <c r="Q769" s="174" t="str">
        <f>IFERROR(__xludf.DUMMYFUNCTION("""COMPUTED_VALUE"""),"Unlisted")</f>
        <v>Unlisted</v>
      </c>
      <c r="R769" s="174" t="str">
        <f>IFERROR(__xludf.DUMMYFUNCTION("""COMPUTED_VALUE"""),"Unlisted")</f>
        <v>Unlisted</v>
      </c>
    </row>
    <row r="770">
      <c r="A770" s="255" t="str">
        <f>IFERROR(__xludf.DUMMYFUNCTION("""COMPUTED_VALUE"""),"Silicobra")</f>
        <v>Silicobra</v>
      </c>
      <c r="B770" s="174" t="str">
        <f>IFERROR(__xludf.DUMMYFUNCTION("""COMPUTED_VALUE"""),"Proficient")</f>
        <v>Proficient</v>
      </c>
      <c r="C770" s="174" t="str">
        <f>IFERROR(__xludf.DUMMYFUNCTION("""COMPUTED_VALUE"""),"Unlisted")</f>
        <v>Unlisted</v>
      </c>
      <c r="D770" s="174" t="str">
        <f>IFERROR(__xludf.DUMMYFUNCTION("""COMPUTED_VALUE"""),"Unlisted")</f>
        <v>Unlisted</v>
      </c>
      <c r="E770" s="174" t="str">
        <f>IFERROR(__xludf.DUMMYFUNCTION("""COMPUTED_VALUE"""),"Unlisted")</f>
        <v>Unlisted</v>
      </c>
      <c r="F770" s="174" t="str">
        <f>IFERROR(__xludf.DUMMYFUNCTION("""COMPUTED_VALUE"""),"Unlisted")</f>
        <v>Unlisted</v>
      </c>
      <c r="G770" s="174" t="str">
        <f>IFERROR(__xludf.DUMMYFUNCTION("""COMPUTED_VALUE"""),"Unlisted")</f>
        <v>Unlisted</v>
      </c>
      <c r="H770" s="174" t="str">
        <f>IFERROR(__xludf.DUMMYFUNCTION("""COMPUTED_VALUE"""),"Unlisted")</f>
        <v>Unlisted</v>
      </c>
      <c r="I770" s="174" t="str">
        <f>IFERROR(__xludf.DUMMYFUNCTION("""COMPUTED_VALUE"""),"Unlisted")</f>
        <v>Unlisted</v>
      </c>
      <c r="J770" s="174" t="str">
        <f>IFERROR(__xludf.DUMMYFUNCTION("""COMPUTED_VALUE"""),"Unlisted")</f>
        <v>Unlisted</v>
      </c>
      <c r="K770" s="174" t="str">
        <f>IFERROR(__xludf.DUMMYFUNCTION("""COMPUTED_VALUE"""),"Unlisted")</f>
        <v>Unlisted</v>
      </c>
      <c r="L770" s="174" t="str">
        <f>IFERROR(__xludf.DUMMYFUNCTION("""COMPUTED_VALUE"""),"Proficient")</f>
        <v>Proficient</v>
      </c>
      <c r="M770" s="174" t="str">
        <f>IFERROR(__xludf.DUMMYFUNCTION("""COMPUTED_VALUE"""),"Unlisted")</f>
        <v>Unlisted</v>
      </c>
      <c r="N770" s="174" t="str">
        <f>IFERROR(__xludf.DUMMYFUNCTION("""COMPUTED_VALUE"""),"Unlisted")</f>
        <v>Unlisted</v>
      </c>
      <c r="O770" s="174" t="str">
        <f>IFERROR(__xludf.DUMMYFUNCTION("""COMPUTED_VALUE"""),"Unlisted")</f>
        <v>Unlisted</v>
      </c>
      <c r="P770" s="174" t="str">
        <f>IFERROR(__xludf.DUMMYFUNCTION("""COMPUTED_VALUE"""),"Unlisted")</f>
        <v>Unlisted</v>
      </c>
      <c r="Q770" s="174" t="str">
        <f>IFERROR(__xludf.DUMMYFUNCTION("""COMPUTED_VALUE"""),"Unlisted")</f>
        <v>Unlisted</v>
      </c>
      <c r="R770" s="174" t="str">
        <f>IFERROR(__xludf.DUMMYFUNCTION("""COMPUTED_VALUE"""),"Unlisted")</f>
        <v>Unlisted</v>
      </c>
    </row>
    <row r="771">
      <c r="A771" s="255" t="str">
        <f>IFERROR(__xludf.DUMMYFUNCTION("""COMPUTED_VALUE"""),"Sandaconda")</f>
        <v>Sandaconda</v>
      </c>
      <c r="B771" s="174" t="str">
        <f>IFERROR(__xludf.DUMMYFUNCTION("""COMPUTED_VALUE"""),"Proficient")</f>
        <v>Proficient</v>
      </c>
      <c r="C771" s="174" t="str">
        <f>IFERROR(__xludf.DUMMYFUNCTION("""COMPUTED_VALUE"""),"Proficient")</f>
        <v>Proficient</v>
      </c>
      <c r="D771" s="174" t="str">
        <f>IFERROR(__xludf.DUMMYFUNCTION("""COMPUTED_VALUE"""),"Unlisted")</f>
        <v>Unlisted</v>
      </c>
      <c r="E771" s="174" t="str">
        <f>IFERROR(__xludf.DUMMYFUNCTION("""COMPUTED_VALUE"""),"Unlisted")</f>
        <v>Unlisted</v>
      </c>
      <c r="F771" s="174" t="str">
        <f>IFERROR(__xludf.DUMMYFUNCTION("""COMPUTED_VALUE"""),"Unlisted")</f>
        <v>Unlisted</v>
      </c>
      <c r="G771" s="174" t="str">
        <f>IFERROR(__xludf.DUMMYFUNCTION("""COMPUTED_VALUE"""),"Unlisted")</f>
        <v>Unlisted</v>
      </c>
      <c r="H771" s="174" t="str">
        <f>IFERROR(__xludf.DUMMYFUNCTION("""COMPUTED_VALUE"""),"Unlisted")</f>
        <v>Unlisted</v>
      </c>
      <c r="I771" s="174" t="str">
        <f>IFERROR(__xludf.DUMMYFUNCTION("""COMPUTED_VALUE"""),"Unlisted")</f>
        <v>Unlisted</v>
      </c>
      <c r="J771" s="174" t="str">
        <f>IFERROR(__xludf.DUMMYFUNCTION("""COMPUTED_VALUE"""),"Unlisted")</f>
        <v>Unlisted</v>
      </c>
      <c r="K771" s="174" t="str">
        <f>IFERROR(__xludf.DUMMYFUNCTION("""COMPUTED_VALUE"""),"Unlisted")</f>
        <v>Unlisted</v>
      </c>
      <c r="L771" s="174" t="str">
        <f>IFERROR(__xludf.DUMMYFUNCTION("""COMPUTED_VALUE"""),"Proficient")</f>
        <v>Proficient</v>
      </c>
      <c r="M771" s="174" t="str">
        <f>IFERROR(__xludf.DUMMYFUNCTION("""COMPUTED_VALUE"""),"Unlisted")</f>
        <v>Unlisted</v>
      </c>
      <c r="N771" s="174" t="str">
        <f>IFERROR(__xludf.DUMMYFUNCTION("""COMPUTED_VALUE"""),"Unlisted")</f>
        <v>Unlisted</v>
      </c>
      <c r="O771" s="174" t="str">
        <f>IFERROR(__xludf.DUMMYFUNCTION("""COMPUTED_VALUE"""),"Unlisted")</f>
        <v>Unlisted</v>
      </c>
      <c r="P771" s="174" t="str">
        <f>IFERROR(__xludf.DUMMYFUNCTION("""COMPUTED_VALUE"""),"Unlisted")</f>
        <v>Unlisted</v>
      </c>
      <c r="Q771" s="174" t="str">
        <f>IFERROR(__xludf.DUMMYFUNCTION("""COMPUTED_VALUE"""),"Unlisted")</f>
        <v>Unlisted</v>
      </c>
      <c r="R771" s="174" t="str">
        <f>IFERROR(__xludf.DUMMYFUNCTION("""COMPUTED_VALUE"""),"Unlisted")</f>
        <v>Unlisted</v>
      </c>
    </row>
    <row r="772">
      <c r="A772" s="255" t="str">
        <f>IFERROR(__xludf.DUMMYFUNCTION("""COMPUTED_VALUE"""),"Smoochum")</f>
        <v>Smoochum</v>
      </c>
      <c r="B772" s="174" t="str">
        <f>IFERROR(__xludf.DUMMYFUNCTION("""COMPUTED_VALUE"""),"Unlisted")</f>
        <v>Unlisted</v>
      </c>
      <c r="C772" s="174" t="str">
        <f>IFERROR(__xludf.DUMMYFUNCTION("""COMPUTED_VALUE"""),"Unlisted")</f>
        <v>Unlisted</v>
      </c>
      <c r="D772" s="174" t="str">
        <f>IFERROR(__xludf.DUMMYFUNCTION("""COMPUTED_VALUE"""),"Unlisted")</f>
        <v>Unlisted</v>
      </c>
      <c r="E772" s="174" t="str">
        <f>IFERROR(__xludf.DUMMYFUNCTION("""COMPUTED_VALUE"""),"Inept")</f>
        <v>Inept</v>
      </c>
      <c r="F772" s="174" t="str">
        <f>IFERROR(__xludf.DUMMYFUNCTION("""COMPUTED_VALUE"""),"Unlisted")</f>
        <v>Unlisted</v>
      </c>
      <c r="G772" s="174" t="str">
        <f>IFERROR(__xludf.DUMMYFUNCTION("""COMPUTED_VALUE"""),"Proficient")</f>
        <v>Proficient</v>
      </c>
      <c r="H772" s="174" t="str">
        <f>IFERROR(__xludf.DUMMYFUNCTION("""COMPUTED_VALUE"""),"Unlisted")</f>
        <v>Unlisted</v>
      </c>
      <c r="I772" s="174" t="str">
        <f>IFERROR(__xludf.DUMMYFUNCTION("""COMPUTED_VALUE"""),"Unlisted")</f>
        <v>Unlisted</v>
      </c>
      <c r="J772" s="174" t="str">
        <f>IFERROR(__xludf.DUMMYFUNCTION("""COMPUTED_VALUE"""),"Unlisted")</f>
        <v>Unlisted</v>
      </c>
      <c r="K772" s="174" t="str">
        <f>IFERROR(__xludf.DUMMYFUNCTION("""COMPUTED_VALUE"""),"Proficient")</f>
        <v>Proficient</v>
      </c>
      <c r="L772" s="174" t="str">
        <f>IFERROR(__xludf.DUMMYFUNCTION("""COMPUTED_VALUE"""),"Unlisted")</f>
        <v>Unlisted</v>
      </c>
      <c r="M772" s="174" t="str">
        <f>IFERROR(__xludf.DUMMYFUNCTION("""COMPUTED_VALUE"""),"Unlisted")</f>
        <v>Unlisted</v>
      </c>
      <c r="N772" s="174" t="str">
        <f>IFERROR(__xludf.DUMMYFUNCTION("""COMPUTED_VALUE"""),"Unlisted")</f>
        <v>Unlisted</v>
      </c>
      <c r="O772" s="174" t="str">
        <f>IFERROR(__xludf.DUMMYFUNCTION("""COMPUTED_VALUE"""),"Unlisted")</f>
        <v>Unlisted</v>
      </c>
      <c r="P772" s="174" t="str">
        <f>IFERROR(__xludf.DUMMYFUNCTION("""COMPUTED_VALUE"""),"Unlisted")</f>
        <v>Unlisted</v>
      </c>
      <c r="Q772" s="174" t="str">
        <f>IFERROR(__xludf.DUMMYFUNCTION("""COMPUTED_VALUE"""),"Unlisted")</f>
        <v>Unlisted</v>
      </c>
      <c r="R772" s="174" t="str">
        <f>IFERROR(__xludf.DUMMYFUNCTION("""COMPUTED_VALUE"""),"Unlisted")</f>
        <v>Unlisted</v>
      </c>
    </row>
    <row r="773">
      <c r="A773" s="255" t="str">
        <f>IFERROR(__xludf.DUMMYFUNCTION("""COMPUTED_VALUE"""),"Jynx")</f>
        <v>Jynx</v>
      </c>
      <c r="B773" s="174" t="str">
        <f>IFERROR(__xludf.DUMMYFUNCTION("""COMPUTED_VALUE"""),"Unlisted")</f>
        <v>Unlisted</v>
      </c>
      <c r="C773" s="174" t="str">
        <f>IFERROR(__xludf.DUMMYFUNCTION("""COMPUTED_VALUE"""),"Unlisted")</f>
        <v>Unlisted</v>
      </c>
      <c r="D773" s="174" t="str">
        <f>IFERROR(__xludf.DUMMYFUNCTION("""COMPUTED_VALUE"""),"Unlisted")</f>
        <v>Unlisted</v>
      </c>
      <c r="E773" s="174" t="str">
        <f>IFERROR(__xludf.DUMMYFUNCTION("""COMPUTED_VALUE"""),"Unlisted")</f>
        <v>Unlisted</v>
      </c>
      <c r="F773" s="174" t="str">
        <f>IFERROR(__xludf.DUMMYFUNCTION("""COMPUTED_VALUE"""),"Unlisted")</f>
        <v>Unlisted</v>
      </c>
      <c r="G773" s="174" t="str">
        <f>IFERROR(__xludf.DUMMYFUNCTION("""COMPUTED_VALUE"""),"Proficient")</f>
        <v>Proficient</v>
      </c>
      <c r="H773" s="174" t="str">
        <f>IFERROR(__xludf.DUMMYFUNCTION("""COMPUTED_VALUE"""),"Unlisted")</f>
        <v>Unlisted</v>
      </c>
      <c r="I773" s="174" t="str">
        <f>IFERROR(__xludf.DUMMYFUNCTION("""COMPUTED_VALUE"""),"Unlisted")</f>
        <v>Unlisted</v>
      </c>
      <c r="J773" s="174" t="str">
        <f>IFERROR(__xludf.DUMMYFUNCTION("""COMPUTED_VALUE"""),"Unlisted")</f>
        <v>Unlisted</v>
      </c>
      <c r="K773" s="174" t="str">
        <f>IFERROR(__xludf.DUMMYFUNCTION("""COMPUTED_VALUE"""),"Proficient")</f>
        <v>Proficient</v>
      </c>
      <c r="L773" s="174" t="str">
        <f>IFERROR(__xludf.DUMMYFUNCTION("""COMPUTED_VALUE"""),"Unlisted")</f>
        <v>Unlisted</v>
      </c>
      <c r="M773" s="174" t="str">
        <f>IFERROR(__xludf.DUMMYFUNCTION("""COMPUTED_VALUE"""),"Unlisted")</f>
        <v>Unlisted</v>
      </c>
      <c r="N773" s="174" t="str">
        <f>IFERROR(__xludf.DUMMYFUNCTION("""COMPUTED_VALUE"""),"Unlisted")</f>
        <v>Unlisted</v>
      </c>
      <c r="O773" s="174" t="str">
        <f>IFERROR(__xludf.DUMMYFUNCTION("""COMPUTED_VALUE"""),"Unlisted")</f>
        <v>Unlisted</v>
      </c>
      <c r="P773" s="174" t="str">
        <f>IFERROR(__xludf.DUMMYFUNCTION("""COMPUTED_VALUE"""),"Unlisted")</f>
        <v>Unlisted</v>
      </c>
      <c r="Q773" s="174" t="str">
        <f>IFERROR(__xludf.DUMMYFUNCTION("""COMPUTED_VALUE"""),"Unlisted")</f>
        <v>Unlisted</v>
      </c>
      <c r="R773" s="174" t="str">
        <f>IFERROR(__xludf.DUMMYFUNCTION("""COMPUTED_VALUE"""),"Unlisted")</f>
        <v>Unlisted</v>
      </c>
    </row>
    <row r="774">
      <c r="A774" s="255" t="str">
        <f>IFERROR(__xludf.DUMMYFUNCTION("""COMPUTED_VALUE"""),"Snorunt")</f>
        <v>Snorunt</v>
      </c>
      <c r="B774" s="174" t="str">
        <f>IFERROR(__xludf.DUMMYFUNCTION("""COMPUTED_VALUE"""),"Unlisted")</f>
        <v>Unlisted</v>
      </c>
      <c r="C774" s="174" t="str">
        <f>IFERROR(__xludf.DUMMYFUNCTION("""COMPUTED_VALUE"""),"Unlisted")</f>
        <v>Unlisted</v>
      </c>
      <c r="D774" s="174" t="str">
        <f>IFERROR(__xludf.DUMMYFUNCTION("""COMPUTED_VALUE"""),"Unlisted")</f>
        <v>Unlisted</v>
      </c>
      <c r="E774" s="174" t="str">
        <f>IFERROR(__xludf.DUMMYFUNCTION("""COMPUTED_VALUE"""),"Unlisted")</f>
        <v>Unlisted</v>
      </c>
      <c r="F774" s="174" t="str">
        <f>IFERROR(__xludf.DUMMYFUNCTION("""COMPUTED_VALUE"""),"Unlisted")</f>
        <v>Unlisted</v>
      </c>
      <c r="G774" s="174" t="str">
        <f>IFERROR(__xludf.DUMMYFUNCTION("""COMPUTED_VALUE"""),"Proficient")</f>
        <v>Proficient</v>
      </c>
      <c r="H774" s="174" t="str">
        <f>IFERROR(__xludf.DUMMYFUNCTION("""COMPUTED_VALUE"""),"Unlisted")</f>
        <v>Unlisted</v>
      </c>
      <c r="I774" s="174" t="str">
        <f>IFERROR(__xludf.DUMMYFUNCTION("""COMPUTED_VALUE"""),"Unlisted")</f>
        <v>Unlisted</v>
      </c>
      <c r="J774" s="174" t="str">
        <f>IFERROR(__xludf.DUMMYFUNCTION("""COMPUTED_VALUE"""),"Unlisted")</f>
        <v>Unlisted</v>
      </c>
      <c r="K774" s="174" t="str">
        <f>IFERROR(__xludf.DUMMYFUNCTION("""COMPUTED_VALUE"""),"Unlisted")</f>
        <v>Unlisted</v>
      </c>
      <c r="L774" s="174" t="str">
        <f>IFERROR(__xludf.DUMMYFUNCTION("""COMPUTED_VALUE"""),"Proficient")</f>
        <v>Proficient</v>
      </c>
      <c r="M774" s="174" t="str">
        <f>IFERROR(__xludf.DUMMYFUNCTION("""COMPUTED_VALUE"""),"Unlisted")</f>
        <v>Unlisted</v>
      </c>
      <c r="N774" s="174" t="str">
        <f>IFERROR(__xludf.DUMMYFUNCTION("""COMPUTED_VALUE"""),"Unlisted")</f>
        <v>Unlisted</v>
      </c>
      <c r="O774" s="174" t="str">
        <f>IFERROR(__xludf.DUMMYFUNCTION("""COMPUTED_VALUE"""),"Unlisted")</f>
        <v>Unlisted</v>
      </c>
      <c r="P774" s="174" t="str">
        <f>IFERROR(__xludf.DUMMYFUNCTION("""COMPUTED_VALUE"""),"Unlisted")</f>
        <v>Unlisted</v>
      </c>
      <c r="Q774" s="174" t="str">
        <f>IFERROR(__xludf.DUMMYFUNCTION("""COMPUTED_VALUE"""),"Unlisted")</f>
        <v>Unlisted</v>
      </c>
      <c r="R774" s="174" t="str">
        <f>IFERROR(__xludf.DUMMYFUNCTION("""COMPUTED_VALUE"""),"Unlisted")</f>
        <v>Unlisted</v>
      </c>
    </row>
    <row r="775">
      <c r="A775" s="255" t="str">
        <f>IFERROR(__xludf.DUMMYFUNCTION("""COMPUTED_VALUE"""),"Glalie")</f>
        <v>Glalie</v>
      </c>
      <c r="B775" s="174" t="str">
        <f>IFERROR(__xludf.DUMMYFUNCTION("""COMPUTED_VALUE"""),"Unlisted")</f>
        <v>Unlisted</v>
      </c>
      <c r="C775" s="174" t="str">
        <f>IFERROR(__xludf.DUMMYFUNCTION("""COMPUTED_VALUE"""),"Unlisted")</f>
        <v>Unlisted</v>
      </c>
      <c r="D775" s="174" t="str">
        <f>IFERROR(__xludf.DUMMYFUNCTION("""COMPUTED_VALUE"""),"Unlisted")</f>
        <v>Unlisted</v>
      </c>
      <c r="E775" s="174" t="str">
        <f>IFERROR(__xludf.DUMMYFUNCTION("""COMPUTED_VALUE"""),"Unlisted")</f>
        <v>Unlisted</v>
      </c>
      <c r="F775" s="174" t="str">
        <f>IFERROR(__xludf.DUMMYFUNCTION("""COMPUTED_VALUE"""),"Unlisted")</f>
        <v>Unlisted</v>
      </c>
      <c r="G775" s="174" t="str">
        <f>IFERROR(__xludf.DUMMYFUNCTION("""COMPUTED_VALUE"""),"Proficient")</f>
        <v>Proficient</v>
      </c>
      <c r="H775" s="174" t="str">
        <f>IFERROR(__xludf.DUMMYFUNCTION("""COMPUTED_VALUE"""),"Unlisted")</f>
        <v>Unlisted</v>
      </c>
      <c r="I775" s="174" t="str">
        <f>IFERROR(__xludf.DUMMYFUNCTION("""COMPUTED_VALUE"""),"Proficient")</f>
        <v>Proficient</v>
      </c>
      <c r="J775" s="174" t="str">
        <f>IFERROR(__xludf.DUMMYFUNCTION("""COMPUTED_VALUE"""),"Unlisted")</f>
        <v>Unlisted</v>
      </c>
      <c r="K775" s="174" t="str">
        <f>IFERROR(__xludf.DUMMYFUNCTION("""COMPUTED_VALUE"""),"Unlisted")</f>
        <v>Unlisted</v>
      </c>
      <c r="L775" s="174" t="str">
        <f>IFERROR(__xludf.DUMMYFUNCTION("""COMPUTED_VALUE"""),"Proficient")</f>
        <v>Proficient</v>
      </c>
      <c r="M775" s="174" t="str">
        <f>IFERROR(__xludf.DUMMYFUNCTION("""COMPUTED_VALUE"""),"Unlisted")</f>
        <v>Unlisted</v>
      </c>
      <c r="N775" s="174" t="str">
        <f>IFERROR(__xludf.DUMMYFUNCTION("""COMPUTED_VALUE"""),"Unlisted")</f>
        <v>Unlisted</v>
      </c>
      <c r="O775" s="174" t="str">
        <f>IFERROR(__xludf.DUMMYFUNCTION("""COMPUTED_VALUE"""),"Unlisted")</f>
        <v>Unlisted</v>
      </c>
      <c r="P775" s="174" t="str">
        <f>IFERROR(__xludf.DUMMYFUNCTION("""COMPUTED_VALUE"""),"Unlisted")</f>
        <v>Unlisted</v>
      </c>
      <c r="Q775" s="174" t="str">
        <f>IFERROR(__xludf.DUMMYFUNCTION("""COMPUTED_VALUE"""),"Unlisted")</f>
        <v>Unlisted</v>
      </c>
      <c r="R775" s="174" t="str">
        <f>IFERROR(__xludf.DUMMYFUNCTION("""COMPUTED_VALUE"""),"Unlisted")</f>
        <v>Unlisted</v>
      </c>
    </row>
    <row r="776">
      <c r="A776" s="255" t="str">
        <f>IFERROR(__xludf.DUMMYFUNCTION("""COMPUTED_VALUE"""),"Froslass")</f>
        <v>Froslass</v>
      </c>
      <c r="B776" s="174" t="str">
        <f>IFERROR(__xludf.DUMMYFUNCTION("""COMPUTED_VALUE"""),"Unlisted")</f>
        <v>Unlisted</v>
      </c>
      <c r="C776" s="174" t="str">
        <f>IFERROR(__xludf.DUMMYFUNCTION("""COMPUTED_VALUE"""),"Unlisted")</f>
        <v>Unlisted</v>
      </c>
      <c r="D776" s="174" t="str">
        <f>IFERROR(__xludf.DUMMYFUNCTION("""COMPUTED_VALUE"""),"Proficient")</f>
        <v>Proficient</v>
      </c>
      <c r="E776" s="174" t="str">
        <f>IFERROR(__xludf.DUMMYFUNCTION("""COMPUTED_VALUE"""),"Unlisted")</f>
        <v>Unlisted</v>
      </c>
      <c r="F776" s="174" t="str">
        <f>IFERROR(__xludf.DUMMYFUNCTION("""COMPUTED_VALUE"""),"Unlisted")</f>
        <v>Unlisted</v>
      </c>
      <c r="G776" s="174" t="str">
        <f>IFERROR(__xludf.DUMMYFUNCTION("""COMPUTED_VALUE"""),"Proficient")</f>
        <v>Proficient</v>
      </c>
      <c r="H776" s="174" t="str">
        <f>IFERROR(__xludf.DUMMYFUNCTION("""COMPUTED_VALUE"""),"Unlisted")</f>
        <v>Unlisted</v>
      </c>
      <c r="I776" s="174" t="str">
        <f>IFERROR(__xludf.DUMMYFUNCTION("""COMPUTED_VALUE"""),"Unlisted")</f>
        <v>Unlisted</v>
      </c>
      <c r="J776" s="174" t="str">
        <f>IFERROR(__xludf.DUMMYFUNCTION("""COMPUTED_VALUE"""),"Unlisted")</f>
        <v>Unlisted</v>
      </c>
      <c r="K776" s="174" t="str">
        <f>IFERROR(__xludf.DUMMYFUNCTION("""COMPUTED_VALUE"""),"Unlisted")</f>
        <v>Unlisted</v>
      </c>
      <c r="L776" s="174" t="str">
        <f>IFERROR(__xludf.DUMMYFUNCTION("""COMPUTED_VALUE"""),"Proficient")</f>
        <v>Proficient</v>
      </c>
      <c r="M776" s="174" t="str">
        <f>IFERROR(__xludf.DUMMYFUNCTION("""COMPUTED_VALUE"""),"Unlisted")</f>
        <v>Unlisted</v>
      </c>
      <c r="N776" s="174" t="str">
        <f>IFERROR(__xludf.DUMMYFUNCTION("""COMPUTED_VALUE"""),"Unlisted")</f>
        <v>Unlisted</v>
      </c>
      <c r="O776" s="174" t="str">
        <f>IFERROR(__xludf.DUMMYFUNCTION("""COMPUTED_VALUE"""),"Unlisted")</f>
        <v>Unlisted</v>
      </c>
      <c r="P776" s="174" t="str">
        <f>IFERROR(__xludf.DUMMYFUNCTION("""COMPUTED_VALUE"""),"Unlisted")</f>
        <v>Unlisted</v>
      </c>
      <c r="Q776" s="174" t="str">
        <f>IFERROR(__xludf.DUMMYFUNCTION("""COMPUTED_VALUE"""),"Unlisted")</f>
        <v>Unlisted</v>
      </c>
      <c r="R776" s="174" t="str">
        <f>IFERROR(__xludf.DUMMYFUNCTION("""COMPUTED_VALUE"""),"Unlisted")</f>
        <v>Unlisted</v>
      </c>
    </row>
    <row r="777">
      <c r="A777" s="255" t="str">
        <f>IFERROR(__xludf.DUMMYFUNCTION("""COMPUTED_VALUE"""),"Cubchoo")</f>
        <v>Cubchoo</v>
      </c>
      <c r="B777" s="174" t="str">
        <f>IFERROR(__xludf.DUMMYFUNCTION("""COMPUTED_VALUE"""),"Proficient")</f>
        <v>Proficient</v>
      </c>
      <c r="C777" s="174" t="str">
        <f>IFERROR(__xludf.DUMMYFUNCTION("""COMPUTED_VALUE"""),"Mastered")</f>
        <v>Mastered</v>
      </c>
      <c r="D777" s="174" t="str">
        <f>IFERROR(__xludf.DUMMYFUNCTION("""COMPUTED_VALUE"""),"Proficient")</f>
        <v>Proficient</v>
      </c>
      <c r="E777" s="174" t="str">
        <f>IFERROR(__xludf.DUMMYFUNCTION("""COMPUTED_VALUE"""),"Unlisted")</f>
        <v>Unlisted</v>
      </c>
      <c r="F777" s="174" t="str">
        <f>IFERROR(__xludf.DUMMYFUNCTION("""COMPUTED_VALUE"""),"Unlisted")</f>
        <v>Unlisted</v>
      </c>
      <c r="G777" s="174" t="str">
        <f>IFERROR(__xludf.DUMMYFUNCTION("""COMPUTED_VALUE"""),"Unlisted")</f>
        <v>Unlisted</v>
      </c>
      <c r="H777" s="174" t="str">
        <f>IFERROR(__xludf.DUMMYFUNCTION("""COMPUTED_VALUE"""),"Unlisted")</f>
        <v>Unlisted</v>
      </c>
      <c r="I777" s="174" t="str">
        <f>IFERROR(__xludf.DUMMYFUNCTION("""COMPUTED_VALUE"""),"Unlisted")</f>
        <v>Unlisted</v>
      </c>
      <c r="J777" s="174" t="str">
        <f>IFERROR(__xludf.DUMMYFUNCTION("""COMPUTED_VALUE"""),"Unlisted")</f>
        <v>Unlisted</v>
      </c>
      <c r="K777" s="174" t="str">
        <f>IFERROR(__xludf.DUMMYFUNCTION("""COMPUTED_VALUE"""),"Unlisted")</f>
        <v>Unlisted</v>
      </c>
      <c r="L777" s="174" t="str">
        <f>IFERROR(__xludf.DUMMYFUNCTION("""COMPUTED_VALUE"""),"Unlisted")</f>
        <v>Unlisted</v>
      </c>
      <c r="M777" s="174" t="str">
        <f>IFERROR(__xludf.DUMMYFUNCTION("""COMPUTED_VALUE"""),"Unlisted")</f>
        <v>Unlisted</v>
      </c>
      <c r="N777" s="174" t="str">
        <f>IFERROR(__xludf.DUMMYFUNCTION("""COMPUTED_VALUE"""),"Unlisted")</f>
        <v>Unlisted</v>
      </c>
      <c r="O777" s="174" t="str">
        <f>IFERROR(__xludf.DUMMYFUNCTION("""COMPUTED_VALUE"""),"Unlisted")</f>
        <v>Unlisted</v>
      </c>
      <c r="P777" s="174" t="str">
        <f>IFERROR(__xludf.DUMMYFUNCTION("""COMPUTED_VALUE"""),"Unlisted")</f>
        <v>Unlisted</v>
      </c>
      <c r="Q777" s="174" t="str">
        <f>IFERROR(__xludf.DUMMYFUNCTION("""COMPUTED_VALUE"""),"Unlisted")</f>
        <v>Unlisted</v>
      </c>
      <c r="R777" s="174" t="str">
        <f>IFERROR(__xludf.DUMMYFUNCTION("""COMPUTED_VALUE"""),"Unlisted")</f>
        <v>Unlisted</v>
      </c>
    </row>
    <row r="778">
      <c r="A778" s="255" t="str">
        <f>IFERROR(__xludf.DUMMYFUNCTION("""COMPUTED_VALUE"""),"Beartic")</f>
        <v>Beartic</v>
      </c>
      <c r="B778" s="174" t="str">
        <f>IFERROR(__xludf.DUMMYFUNCTION("""COMPUTED_VALUE"""),"Proficient")</f>
        <v>Proficient</v>
      </c>
      <c r="C778" s="174" t="str">
        <f>IFERROR(__xludf.DUMMYFUNCTION("""COMPUTED_VALUE"""),"Mastered")</f>
        <v>Mastered</v>
      </c>
      <c r="D778" s="174" t="str">
        <f>IFERROR(__xludf.DUMMYFUNCTION("""COMPUTED_VALUE"""),"Unlisted")</f>
        <v>Unlisted</v>
      </c>
      <c r="E778" s="174" t="str">
        <f>IFERROR(__xludf.DUMMYFUNCTION("""COMPUTED_VALUE"""),"Unlisted")</f>
        <v>Unlisted</v>
      </c>
      <c r="F778" s="174" t="str">
        <f>IFERROR(__xludf.DUMMYFUNCTION("""COMPUTED_VALUE"""),"Proficient")</f>
        <v>Proficient</v>
      </c>
      <c r="G778" s="174" t="str">
        <f>IFERROR(__xludf.DUMMYFUNCTION("""COMPUTED_VALUE"""),"Unlisted")</f>
        <v>Unlisted</v>
      </c>
      <c r="H778" s="174" t="str">
        <f>IFERROR(__xludf.DUMMYFUNCTION("""COMPUTED_VALUE"""),"Unlisted")</f>
        <v>Unlisted</v>
      </c>
      <c r="I778" s="174" t="str">
        <f>IFERROR(__xludf.DUMMYFUNCTION("""COMPUTED_VALUE"""),"Proficient")</f>
        <v>Proficient</v>
      </c>
      <c r="J778" s="174" t="str">
        <f>IFERROR(__xludf.DUMMYFUNCTION("""COMPUTED_VALUE"""),"Unlisted")</f>
        <v>Unlisted</v>
      </c>
      <c r="K778" s="174" t="str">
        <f>IFERROR(__xludf.DUMMYFUNCTION("""COMPUTED_VALUE"""),"Unlisted")</f>
        <v>Unlisted</v>
      </c>
      <c r="L778" s="174" t="str">
        <f>IFERROR(__xludf.DUMMYFUNCTION("""COMPUTED_VALUE"""),"Unlisted")</f>
        <v>Unlisted</v>
      </c>
      <c r="M778" s="174" t="str">
        <f>IFERROR(__xludf.DUMMYFUNCTION("""COMPUTED_VALUE"""),"Unlisted")</f>
        <v>Unlisted</v>
      </c>
      <c r="N778" s="174" t="str">
        <f>IFERROR(__xludf.DUMMYFUNCTION("""COMPUTED_VALUE"""),"Unlisted")</f>
        <v>Unlisted</v>
      </c>
      <c r="O778" s="174" t="str">
        <f>IFERROR(__xludf.DUMMYFUNCTION("""COMPUTED_VALUE"""),"Unlisted")</f>
        <v>Unlisted</v>
      </c>
      <c r="P778" s="174" t="str">
        <f>IFERROR(__xludf.DUMMYFUNCTION("""COMPUTED_VALUE"""),"Unlisted")</f>
        <v>Unlisted</v>
      </c>
      <c r="Q778" s="174" t="str">
        <f>IFERROR(__xludf.DUMMYFUNCTION("""COMPUTED_VALUE"""),"Unlisted")</f>
        <v>Unlisted</v>
      </c>
      <c r="R778" s="174" t="str">
        <f>IFERROR(__xludf.DUMMYFUNCTION("""COMPUTED_VALUE"""),"Unlisted")</f>
        <v>Unlisted</v>
      </c>
    </row>
    <row r="779">
      <c r="A779" s="255" t="str">
        <f>IFERROR(__xludf.DUMMYFUNCTION("""COMPUTED_VALUE"""),"Bergmite")</f>
        <v>Bergmite</v>
      </c>
      <c r="B779" s="174" t="str">
        <f>IFERROR(__xludf.DUMMYFUNCTION("""COMPUTED_VALUE"""),"Unlisted")</f>
        <v>Unlisted</v>
      </c>
      <c r="C779" s="174" t="str">
        <f>IFERROR(__xludf.DUMMYFUNCTION("""COMPUTED_VALUE"""),"Unlisted")</f>
        <v>Unlisted</v>
      </c>
      <c r="D779" s="174" t="str">
        <f>IFERROR(__xludf.DUMMYFUNCTION("""COMPUTED_VALUE"""),"Unlisted")</f>
        <v>Unlisted</v>
      </c>
      <c r="E779" s="174" t="str">
        <f>IFERROR(__xludf.DUMMYFUNCTION("""COMPUTED_VALUE"""),"Unlisted")</f>
        <v>Unlisted</v>
      </c>
      <c r="F779" s="174" t="str">
        <f>IFERROR(__xludf.DUMMYFUNCTION("""COMPUTED_VALUE"""),"Unlisted")</f>
        <v>Unlisted</v>
      </c>
      <c r="G779" s="174" t="str">
        <f>IFERROR(__xludf.DUMMYFUNCTION("""COMPUTED_VALUE"""),"Unlisted")</f>
        <v>Unlisted</v>
      </c>
      <c r="H779" s="174" t="str">
        <f>IFERROR(__xludf.DUMMYFUNCTION("""COMPUTED_VALUE"""),"Unlisted")</f>
        <v>Unlisted</v>
      </c>
      <c r="I779" s="174" t="str">
        <f>IFERROR(__xludf.DUMMYFUNCTION("""COMPUTED_VALUE"""),"Unlisted")</f>
        <v>Unlisted</v>
      </c>
      <c r="J779" s="174" t="str">
        <f>IFERROR(__xludf.DUMMYFUNCTION("""COMPUTED_VALUE"""),"Unlisted")</f>
        <v>Unlisted</v>
      </c>
      <c r="K779" s="174" t="str">
        <f>IFERROR(__xludf.DUMMYFUNCTION("""COMPUTED_VALUE"""),"Unlisted")</f>
        <v>Unlisted</v>
      </c>
      <c r="L779" s="174" t="str">
        <f>IFERROR(__xludf.DUMMYFUNCTION("""COMPUTED_VALUE"""),"Unlisted")</f>
        <v>Unlisted</v>
      </c>
      <c r="M779" s="174" t="str">
        <f>IFERROR(__xludf.DUMMYFUNCTION("""COMPUTED_VALUE"""),"Unlisted")</f>
        <v>Unlisted</v>
      </c>
      <c r="N779" s="174" t="str">
        <f>IFERROR(__xludf.DUMMYFUNCTION("""COMPUTED_VALUE"""),"Unlisted")</f>
        <v>Unlisted</v>
      </c>
      <c r="O779" s="174" t="str">
        <f>IFERROR(__xludf.DUMMYFUNCTION("""COMPUTED_VALUE"""),"Proficient")</f>
        <v>Proficient</v>
      </c>
      <c r="P779" s="174" t="str">
        <f>IFERROR(__xludf.DUMMYFUNCTION("""COMPUTED_VALUE"""),"Unlisted")</f>
        <v>Unlisted</v>
      </c>
      <c r="Q779" s="174" t="str">
        <f>IFERROR(__xludf.DUMMYFUNCTION("""COMPUTED_VALUE"""),"Unlisted")</f>
        <v>Unlisted</v>
      </c>
      <c r="R779" s="174" t="str">
        <f>IFERROR(__xludf.DUMMYFUNCTION("""COMPUTED_VALUE"""),"Unlisted")</f>
        <v>Unlisted</v>
      </c>
    </row>
    <row r="780">
      <c r="A780" s="255" t="str">
        <f>IFERROR(__xludf.DUMMYFUNCTION("""COMPUTED_VALUE"""),"Avalugg")</f>
        <v>Avalugg</v>
      </c>
      <c r="B780" s="174" t="str">
        <f>IFERROR(__xludf.DUMMYFUNCTION("""COMPUTED_VALUE"""),"Unlisted")</f>
        <v>Unlisted</v>
      </c>
      <c r="C780" s="174" t="str">
        <f>IFERROR(__xludf.DUMMYFUNCTION("""COMPUTED_VALUE"""),"Mastered")</f>
        <v>Mastered</v>
      </c>
      <c r="D780" s="174" t="str">
        <f>IFERROR(__xludf.DUMMYFUNCTION("""COMPUTED_VALUE"""),"Unlisted")</f>
        <v>Unlisted</v>
      </c>
      <c r="E780" s="174" t="str">
        <f>IFERROR(__xludf.DUMMYFUNCTION("""COMPUTED_VALUE"""),"Proficient")</f>
        <v>Proficient</v>
      </c>
      <c r="F780" s="174" t="str">
        <f>IFERROR(__xludf.DUMMYFUNCTION("""COMPUTED_VALUE"""),"Unlisted")</f>
        <v>Unlisted</v>
      </c>
      <c r="G780" s="174" t="str">
        <f>IFERROR(__xludf.DUMMYFUNCTION("""COMPUTED_VALUE"""),"Unlisted")</f>
        <v>Unlisted</v>
      </c>
      <c r="H780" s="174" t="str">
        <f>IFERROR(__xludf.DUMMYFUNCTION("""COMPUTED_VALUE"""),"Unlisted")</f>
        <v>Unlisted</v>
      </c>
      <c r="I780" s="174" t="str">
        <f>IFERROR(__xludf.DUMMYFUNCTION("""COMPUTED_VALUE"""),"Unlisted")</f>
        <v>Unlisted</v>
      </c>
      <c r="J780" s="174" t="str">
        <f>IFERROR(__xludf.DUMMYFUNCTION("""COMPUTED_VALUE"""),"Unlisted")</f>
        <v>Unlisted</v>
      </c>
      <c r="K780" s="174" t="str">
        <f>IFERROR(__xludf.DUMMYFUNCTION("""COMPUTED_VALUE"""),"Unlisted")</f>
        <v>Unlisted</v>
      </c>
      <c r="L780" s="174" t="str">
        <f>IFERROR(__xludf.DUMMYFUNCTION("""COMPUTED_VALUE"""),"Unlisted")</f>
        <v>Unlisted</v>
      </c>
      <c r="M780" s="174" t="str">
        <f>IFERROR(__xludf.DUMMYFUNCTION("""COMPUTED_VALUE"""),"Unlisted")</f>
        <v>Unlisted</v>
      </c>
      <c r="N780" s="174" t="str">
        <f>IFERROR(__xludf.DUMMYFUNCTION("""COMPUTED_VALUE"""),"Unlisted")</f>
        <v>Unlisted</v>
      </c>
      <c r="O780" s="174" t="str">
        <f>IFERROR(__xludf.DUMMYFUNCTION("""COMPUTED_VALUE"""),"Proficient")</f>
        <v>Proficient</v>
      </c>
      <c r="P780" s="174" t="str">
        <f>IFERROR(__xludf.DUMMYFUNCTION("""COMPUTED_VALUE"""),"Unlisted")</f>
        <v>Unlisted</v>
      </c>
      <c r="Q780" s="174" t="str">
        <f>IFERROR(__xludf.DUMMYFUNCTION("""COMPUTED_VALUE"""),"Unlisted")</f>
        <v>Unlisted</v>
      </c>
      <c r="R780" s="174" t="str">
        <f>IFERROR(__xludf.DUMMYFUNCTION("""COMPUTED_VALUE"""),"Unlisted")</f>
        <v>Unlisted</v>
      </c>
    </row>
    <row r="781">
      <c r="A781" s="255" t="str">
        <f>IFERROR(__xludf.DUMMYFUNCTION("""COMPUTED_VALUE"""),"Hisuian Avalugg")</f>
        <v>Hisuian Avalugg</v>
      </c>
      <c r="B781" s="174" t="str">
        <f>IFERROR(__xludf.DUMMYFUNCTION("""COMPUTED_VALUE"""),"Unlisted")</f>
        <v>Unlisted</v>
      </c>
      <c r="C781" s="174" t="str">
        <f>IFERROR(__xludf.DUMMYFUNCTION("""COMPUTED_VALUE"""),"Mastered")</f>
        <v>Mastered</v>
      </c>
      <c r="D781" s="174" t="str">
        <f>IFERROR(__xludf.DUMMYFUNCTION("""COMPUTED_VALUE"""),"Unlisted")</f>
        <v>Unlisted</v>
      </c>
      <c r="E781" s="174" t="str">
        <f>IFERROR(__xludf.DUMMYFUNCTION("""COMPUTED_VALUE"""),"Proficient")</f>
        <v>Proficient</v>
      </c>
      <c r="F781" s="174" t="str">
        <f>IFERROR(__xludf.DUMMYFUNCTION("""COMPUTED_VALUE"""),"Unlisted")</f>
        <v>Unlisted</v>
      </c>
      <c r="G781" s="174" t="str">
        <f>IFERROR(__xludf.DUMMYFUNCTION("""COMPUTED_VALUE"""),"Unlisted")</f>
        <v>Unlisted</v>
      </c>
      <c r="H781" s="174" t="str">
        <f>IFERROR(__xludf.DUMMYFUNCTION("""COMPUTED_VALUE"""),"Unlisted")</f>
        <v>Unlisted</v>
      </c>
      <c r="I781" s="174" t="str">
        <f>IFERROR(__xludf.DUMMYFUNCTION("""COMPUTED_VALUE"""),"Unlisted")</f>
        <v>Unlisted</v>
      </c>
      <c r="J781" s="174" t="str">
        <f>IFERROR(__xludf.DUMMYFUNCTION("""COMPUTED_VALUE"""),"Unlisted")</f>
        <v>Unlisted</v>
      </c>
      <c r="K781" s="174" t="str">
        <f>IFERROR(__xludf.DUMMYFUNCTION("""COMPUTED_VALUE"""),"Unlisted")</f>
        <v>Unlisted</v>
      </c>
      <c r="L781" s="174" t="str">
        <f>IFERROR(__xludf.DUMMYFUNCTION("""COMPUTED_VALUE"""),"Unlisted")</f>
        <v>Unlisted</v>
      </c>
      <c r="M781" s="174" t="str">
        <f>IFERROR(__xludf.DUMMYFUNCTION("""COMPUTED_VALUE"""),"Unlisted")</f>
        <v>Unlisted</v>
      </c>
      <c r="N781" s="174" t="str">
        <f>IFERROR(__xludf.DUMMYFUNCTION("""COMPUTED_VALUE"""),"Unlisted")</f>
        <v>Unlisted</v>
      </c>
      <c r="O781" s="174" t="str">
        <f>IFERROR(__xludf.DUMMYFUNCTION("""COMPUTED_VALUE"""),"Unlisted")</f>
        <v>Unlisted</v>
      </c>
      <c r="P781" s="174" t="str">
        <f>IFERROR(__xludf.DUMMYFUNCTION("""COMPUTED_VALUE"""),"Unlisted")</f>
        <v>Unlisted</v>
      </c>
      <c r="Q781" s="174" t="str">
        <f>IFERROR(__xludf.DUMMYFUNCTION("""COMPUTED_VALUE"""),"Unlisted")</f>
        <v>Unlisted</v>
      </c>
      <c r="R781" s="174" t="str">
        <f>IFERROR(__xludf.DUMMYFUNCTION("""COMPUTED_VALUE"""),"Unlisted")</f>
        <v>Unlisted</v>
      </c>
    </row>
    <row r="782">
      <c r="A782" s="255" t="str">
        <f>IFERROR(__xludf.DUMMYFUNCTION("""COMPUTED_VALUE"""),"Snom")</f>
        <v>Snom</v>
      </c>
      <c r="B782" s="174" t="str">
        <f>IFERROR(__xludf.DUMMYFUNCTION("""COMPUTED_VALUE"""),"Unlisted")</f>
        <v>Unlisted</v>
      </c>
      <c r="C782" s="174" t="str">
        <f>IFERROR(__xludf.DUMMYFUNCTION("""COMPUTED_VALUE"""),"Inept")</f>
        <v>Inept</v>
      </c>
      <c r="D782" s="174" t="str">
        <f>IFERROR(__xludf.DUMMYFUNCTION("""COMPUTED_VALUE"""),"Unlisted")</f>
        <v>Unlisted</v>
      </c>
      <c r="E782" s="174" t="str">
        <f>IFERROR(__xludf.DUMMYFUNCTION("""COMPUTED_VALUE"""),"Inept")</f>
        <v>Inept</v>
      </c>
      <c r="F782" s="174" t="str">
        <f>IFERROR(__xludf.DUMMYFUNCTION("""COMPUTED_VALUE"""),"Unlisted")</f>
        <v>Unlisted</v>
      </c>
      <c r="G782" s="174" t="str">
        <f>IFERROR(__xludf.DUMMYFUNCTION("""COMPUTED_VALUE"""),"Proficient")</f>
        <v>Proficient</v>
      </c>
      <c r="H782" s="174" t="str">
        <f>IFERROR(__xludf.DUMMYFUNCTION("""COMPUTED_VALUE"""),"Unlisted")</f>
        <v>Unlisted</v>
      </c>
      <c r="I782" s="174" t="str">
        <f>IFERROR(__xludf.DUMMYFUNCTION("""COMPUTED_VALUE"""),"Unlisted")</f>
        <v>Unlisted</v>
      </c>
      <c r="J782" s="174" t="str">
        <f>IFERROR(__xludf.DUMMYFUNCTION("""COMPUTED_VALUE"""),"Unlisted")</f>
        <v>Unlisted</v>
      </c>
      <c r="K782" s="174" t="str">
        <f>IFERROR(__xludf.DUMMYFUNCTION("""COMPUTED_VALUE"""),"Proficient")</f>
        <v>Proficient</v>
      </c>
      <c r="L782" s="174" t="str">
        <f>IFERROR(__xludf.DUMMYFUNCTION("""COMPUTED_VALUE"""),"Proficient")</f>
        <v>Proficient</v>
      </c>
      <c r="M782" s="174" t="str">
        <f>IFERROR(__xludf.DUMMYFUNCTION("""COMPUTED_VALUE"""),"Unlisted")</f>
        <v>Unlisted</v>
      </c>
      <c r="N782" s="174" t="str">
        <f>IFERROR(__xludf.DUMMYFUNCTION("""COMPUTED_VALUE"""),"Unlisted")</f>
        <v>Unlisted</v>
      </c>
      <c r="O782" s="174" t="str">
        <f>IFERROR(__xludf.DUMMYFUNCTION("""COMPUTED_VALUE"""),"Unlisted")</f>
        <v>Unlisted</v>
      </c>
      <c r="P782" s="174" t="str">
        <f>IFERROR(__xludf.DUMMYFUNCTION("""COMPUTED_VALUE"""),"Unlisted")</f>
        <v>Unlisted</v>
      </c>
      <c r="Q782" s="174" t="str">
        <f>IFERROR(__xludf.DUMMYFUNCTION("""COMPUTED_VALUE"""),"Unlisted")</f>
        <v>Unlisted</v>
      </c>
      <c r="R782" s="174" t="str">
        <f>IFERROR(__xludf.DUMMYFUNCTION("""COMPUTED_VALUE"""),"Unlisted")</f>
        <v>Unlisted</v>
      </c>
    </row>
    <row r="783">
      <c r="A783" s="255" t="str">
        <f>IFERROR(__xludf.DUMMYFUNCTION("""COMPUTED_VALUE"""),"Frosmoth")</f>
        <v>Frosmoth</v>
      </c>
      <c r="B783" s="174" t="str">
        <f>IFERROR(__xludf.DUMMYFUNCTION("""COMPUTED_VALUE"""),"Proficient")</f>
        <v>Proficient</v>
      </c>
      <c r="C783" s="174" t="str">
        <f>IFERROR(__xludf.DUMMYFUNCTION("""COMPUTED_VALUE"""),"Inept")</f>
        <v>Inept</v>
      </c>
      <c r="D783" s="174" t="str">
        <f>IFERROR(__xludf.DUMMYFUNCTION("""COMPUTED_VALUE"""),"Unlisted")</f>
        <v>Unlisted</v>
      </c>
      <c r="E783" s="174" t="str">
        <f>IFERROR(__xludf.DUMMYFUNCTION("""COMPUTED_VALUE"""),"Unlisted")</f>
        <v>Unlisted</v>
      </c>
      <c r="F783" s="174" t="str">
        <f>IFERROR(__xludf.DUMMYFUNCTION("""COMPUTED_VALUE"""),"Unlisted")</f>
        <v>Unlisted</v>
      </c>
      <c r="G783" s="174" t="str">
        <f>IFERROR(__xludf.DUMMYFUNCTION("""COMPUTED_VALUE"""),"Proficient")</f>
        <v>Proficient</v>
      </c>
      <c r="H783" s="174" t="str">
        <f>IFERROR(__xludf.DUMMYFUNCTION("""COMPUTED_VALUE"""),"Unlisted")</f>
        <v>Unlisted</v>
      </c>
      <c r="I783" s="174" t="str">
        <f>IFERROR(__xludf.DUMMYFUNCTION("""COMPUTED_VALUE"""),"Unlisted")</f>
        <v>Unlisted</v>
      </c>
      <c r="J783" s="174" t="str">
        <f>IFERROR(__xludf.DUMMYFUNCTION("""COMPUTED_VALUE"""),"Unlisted")</f>
        <v>Unlisted</v>
      </c>
      <c r="K783" s="174" t="str">
        <f>IFERROR(__xludf.DUMMYFUNCTION("""COMPUTED_VALUE"""),"Proficient")</f>
        <v>Proficient</v>
      </c>
      <c r="L783" s="174" t="str">
        <f>IFERROR(__xludf.DUMMYFUNCTION("""COMPUTED_VALUE"""),"Unlisted")</f>
        <v>Unlisted</v>
      </c>
      <c r="M783" s="174" t="str">
        <f>IFERROR(__xludf.DUMMYFUNCTION("""COMPUTED_VALUE"""),"Unlisted")</f>
        <v>Unlisted</v>
      </c>
      <c r="N783" s="174" t="str">
        <f>IFERROR(__xludf.DUMMYFUNCTION("""COMPUTED_VALUE"""),"Unlisted")</f>
        <v>Unlisted</v>
      </c>
      <c r="O783" s="174" t="str">
        <f>IFERROR(__xludf.DUMMYFUNCTION("""COMPUTED_VALUE"""),"Unlisted")</f>
        <v>Unlisted</v>
      </c>
      <c r="P783" s="174" t="str">
        <f>IFERROR(__xludf.DUMMYFUNCTION("""COMPUTED_VALUE"""),"Unlisted")</f>
        <v>Unlisted</v>
      </c>
      <c r="Q783" s="174" t="str">
        <f>IFERROR(__xludf.DUMMYFUNCTION("""COMPUTED_VALUE"""),"Unlisted")</f>
        <v>Unlisted</v>
      </c>
      <c r="R783" s="174" t="str">
        <f>IFERROR(__xludf.DUMMYFUNCTION("""COMPUTED_VALUE"""),"Unlisted")</f>
        <v>Unlisted</v>
      </c>
    </row>
    <row r="784">
      <c r="A784" s="255" t="str">
        <f>IFERROR(__xludf.DUMMYFUNCTION("""COMPUTED_VALUE"""),"Cetoddle")</f>
        <v>Cetoddle</v>
      </c>
      <c r="B784" s="174" t="str">
        <f>IFERROR(__xludf.DUMMYFUNCTION("""COMPUTED_VALUE"""),"Unlisted")</f>
        <v>Unlisted</v>
      </c>
      <c r="C784" s="174" t="str">
        <f>IFERROR(__xludf.DUMMYFUNCTION("""COMPUTED_VALUE"""),"Proficient")</f>
        <v>Proficient</v>
      </c>
      <c r="D784" s="174" t="str">
        <f>IFERROR(__xludf.DUMMYFUNCTION("""COMPUTED_VALUE"""),"Unlisted")</f>
        <v>Unlisted</v>
      </c>
      <c r="E784" s="174" t="str">
        <f>IFERROR(__xludf.DUMMYFUNCTION("""COMPUTED_VALUE"""),"Unlisted")</f>
        <v>Unlisted</v>
      </c>
      <c r="F784" s="174" t="str">
        <f>IFERROR(__xludf.DUMMYFUNCTION("""COMPUTED_VALUE"""),"Unlisted")</f>
        <v>Unlisted</v>
      </c>
      <c r="G784" s="174" t="str">
        <f>IFERROR(__xludf.DUMMYFUNCTION("""COMPUTED_VALUE"""),"Proficient")</f>
        <v>Proficient</v>
      </c>
      <c r="H784" s="174" t="str">
        <f>IFERROR(__xludf.DUMMYFUNCTION("""COMPUTED_VALUE"""),"Unlisted")</f>
        <v>Unlisted</v>
      </c>
      <c r="I784" s="174" t="str">
        <f>IFERROR(__xludf.DUMMYFUNCTION("""COMPUTED_VALUE"""),"Unlisted")</f>
        <v>Unlisted</v>
      </c>
      <c r="J784" s="174" t="str">
        <f>IFERROR(__xludf.DUMMYFUNCTION("""COMPUTED_VALUE"""),"Unlisted")</f>
        <v>Unlisted</v>
      </c>
      <c r="K784" s="174" t="str">
        <f>IFERROR(__xludf.DUMMYFUNCTION("""COMPUTED_VALUE"""),"Unlisted")</f>
        <v>Unlisted</v>
      </c>
      <c r="L784" s="174" t="str">
        <f>IFERROR(__xludf.DUMMYFUNCTION("""COMPUTED_VALUE"""),"Unlisted")</f>
        <v>Unlisted</v>
      </c>
      <c r="M784" s="174" t="str">
        <f>IFERROR(__xludf.DUMMYFUNCTION("""COMPUTED_VALUE"""),"Unlisted")</f>
        <v>Unlisted</v>
      </c>
      <c r="N784" s="174" t="str">
        <f>IFERROR(__xludf.DUMMYFUNCTION("""COMPUTED_VALUE"""),"Unlisted")</f>
        <v>Unlisted</v>
      </c>
      <c r="O784" s="174" t="str">
        <f>IFERROR(__xludf.DUMMYFUNCTION("""COMPUTED_VALUE"""),"Proficient")</f>
        <v>Proficient</v>
      </c>
      <c r="P784" s="174" t="str">
        <f>IFERROR(__xludf.DUMMYFUNCTION("""COMPUTED_VALUE"""),"Unlisted")</f>
        <v>Unlisted</v>
      </c>
      <c r="Q784" s="174" t="str">
        <f>IFERROR(__xludf.DUMMYFUNCTION("""COMPUTED_VALUE"""),"Unlisted")</f>
        <v>Unlisted</v>
      </c>
      <c r="R784" s="174" t="str">
        <f>IFERROR(__xludf.DUMMYFUNCTION("""COMPUTED_VALUE"""),"Unlisted")</f>
        <v>Unlisted</v>
      </c>
    </row>
    <row r="785">
      <c r="A785" s="255" t="str">
        <f>IFERROR(__xludf.DUMMYFUNCTION("""COMPUTED_VALUE"""),"Cetitan")</f>
        <v>Cetitan</v>
      </c>
      <c r="B785" s="174" t="str">
        <f>IFERROR(__xludf.DUMMYFUNCTION("""COMPUTED_VALUE"""),"Unlisted")</f>
        <v>Unlisted</v>
      </c>
      <c r="C785" s="174" t="str">
        <f>IFERROR(__xludf.DUMMYFUNCTION("""COMPUTED_VALUE"""),"Proficient")</f>
        <v>Proficient</v>
      </c>
      <c r="D785" s="174" t="str">
        <f>IFERROR(__xludf.DUMMYFUNCTION("""COMPUTED_VALUE"""),"Unlisted")</f>
        <v>Unlisted</v>
      </c>
      <c r="E785" s="174" t="str">
        <f>IFERROR(__xludf.DUMMYFUNCTION("""COMPUTED_VALUE"""),"Unlisted")</f>
        <v>Unlisted</v>
      </c>
      <c r="F785" s="174" t="str">
        <f>IFERROR(__xludf.DUMMYFUNCTION("""COMPUTED_VALUE"""),"Unlisted")</f>
        <v>Unlisted</v>
      </c>
      <c r="G785" s="174" t="str">
        <f>IFERROR(__xludf.DUMMYFUNCTION("""COMPUTED_VALUE"""),"Proficient")</f>
        <v>Proficient</v>
      </c>
      <c r="H785" s="174" t="str">
        <f>IFERROR(__xludf.DUMMYFUNCTION("""COMPUTED_VALUE"""),"Unlisted")</f>
        <v>Unlisted</v>
      </c>
      <c r="I785" s="174" t="str">
        <f>IFERROR(__xludf.DUMMYFUNCTION("""COMPUTED_VALUE"""),"Unlisted")</f>
        <v>Unlisted</v>
      </c>
      <c r="J785" s="174" t="str">
        <f>IFERROR(__xludf.DUMMYFUNCTION("""COMPUTED_VALUE"""),"Unlisted")</f>
        <v>Unlisted</v>
      </c>
      <c r="K785" s="174" t="str">
        <f>IFERROR(__xludf.DUMMYFUNCTION("""COMPUTED_VALUE"""),"Unlisted")</f>
        <v>Unlisted</v>
      </c>
      <c r="L785" s="174" t="str">
        <f>IFERROR(__xludf.DUMMYFUNCTION("""COMPUTED_VALUE"""),"Unlisted")</f>
        <v>Unlisted</v>
      </c>
      <c r="M785" s="174" t="str">
        <f>IFERROR(__xludf.DUMMYFUNCTION("""COMPUTED_VALUE"""),"Unlisted")</f>
        <v>Unlisted</v>
      </c>
      <c r="N785" s="174" t="str">
        <f>IFERROR(__xludf.DUMMYFUNCTION("""COMPUTED_VALUE"""),"Unlisted")</f>
        <v>Unlisted</v>
      </c>
      <c r="O785" s="174" t="str">
        <f>IFERROR(__xludf.DUMMYFUNCTION("""COMPUTED_VALUE"""),"Proficient")</f>
        <v>Proficient</v>
      </c>
      <c r="P785" s="174" t="str">
        <f>IFERROR(__xludf.DUMMYFUNCTION("""COMPUTED_VALUE"""),"Unlisted")</f>
        <v>Unlisted</v>
      </c>
      <c r="Q785" s="174" t="str">
        <f>IFERROR(__xludf.DUMMYFUNCTION("""COMPUTED_VALUE"""),"Unlisted")</f>
        <v>Unlisted</v>
      </c>
      <c r="R785" s="174" t="str">
        <f>IFERROR(__xludf.DUMMYFUNCTION("""COMPUTED_VALUE"""),"Unlisted")</f>
        <v>Unlisted</v>
      </c>
    </row>
    <row r="786">
      <c r="A786" s="255" t="str">
        <f>IFERROR(__xludf.DUMMYFUNCTION("""COMPUTED_VALUE"""),"Rattata")</f>
        <v>Rattata</v>
      </c>
      <c r="B786" s="174" t="str">
        <f>IFERROR(__xludf.DUMMYFUNCTION("""COMPUTED_VALUE"""),"Unlisted")</f>
        <v>Unlisted</v>
      </c>
      <c r="C786" s="174" t="str">
        <f>IFERROR(__xludf.DUMMYFUNCTION("""COMPUTED_VALUE"""),"Inept")</f>
        <v>Inept</v>
      </c>
      <c r="D786" s="174" t="str">
        <f>IFERROR(__xludf.DUMMYFUNCTION("""COMPUTED_VALUE"""),"Unlisted")</f>
        <v>Unlisted</v>
      </c>
      <c r="E786" s="174" t="str">
        <f>IFERROR(__xludf.DUMMYFUNCTION("""COMPUTED_VALUE"""),"Unlisted")</f>
        <v>Unlisted</v>
      </c>
      <c r="F786" s="174" t="str">
        <f>IFERROR(__xludf.DUMMYFUNCTION("""COMPUTED_VALUE"""),"Unlisted")</f>
        <v>Unlisted</v>
      </c>
      <c r="G786" s="174" t="str">
        <f>IFERROR(__xludf.DUMMYFUNCTION("""COMPUTED_VALUE"""),"Unlisted")</f>
        <v>Unlisted</v>
      </c>
      <c r="H786" s="174" t="str">
        <f>IFERROR(__xludf.DUMMYFUNCTION("""COMPUTED_VALUE"""),"Unlisted")</f>
        <v>Unlisted</v>
      </c>
      <c r="I786" s="174" t="str">
        <f>IFERROR(__xludf.DUMMYFUNCTION("""COMPUTED_VALUE"""),"Unlisted")</f>
        <v>Unlisted</v>
      </c>
      <c r="J786" s="174" t="str">
        <f>IFERROR(__xludf.DUMMYFUNCTION("""COMPUTED_VALUE"""),"Unlisted")</f>
        <v>Unlisted</v>
      </c>
      <c r="K786" s="174" t="str">
        <f>IFERROR(__xludf.DUMMYFUNCTION("""COMPUTED_VALUE"""),"Proficient")</f>
        <v>Proficient</v>
      </c>
      <c r="L786" s="174" t="str">
        <f>IFERROR(__xludf.DUMMYFUNCTION("""COMPUTED_VALUE"""),"Proficient")</f>
        <v>Proficient</v>
      </c>
      <c r="M786" s="174" t="str">
        <f>IFERROR(__xludf.DUMMYFUNCTION("""COMPUTED_VALUE"""),"Unlisted")</f>
        <v>Unlisted</v>
      </c>
      <c r="N786" s="174" t="str">
        <f>IFERROR(__xludf.DUMMYFUNCTION("""COMPUTED_VALUE"""),"Unlisted")</f>
        <v>Unlisted</v>
      </c>
      <c r="O786" s="174" t="str">
        <f>IFERROR(__xludf.DUMMYFUNCTION("""COMPUTED_VALUE"""),"Proficient")</f>
        <v>Proficient</v>
      </c>
      <c r="P786" s="174" t="str">
        <f>IFERROR(__xludf.DUMMYFUNCTION("""COMPUTED_VALUE"""),"Unlisted")</f>
        <v>Unlisted</v>
      </c>
      <c r="Q786" s="174" t="str">
        <f>IFERROR(__xludf.DUMMYFUNCTION("""COMPUTED_VALUE"""),"Unlisted")</f>
        <v>Unlisted</v>
      </c>
      <c r="R786" s="174" t="str">
        <f>IFERROR(__xludf.DUMMYFUNCTION("""COMPUTED_VALUE"""),"Unlisted")</f>
        <v>Unlisted</v>
      </c>
    </row>
    <row r="787">
      <c r="A787" s="255" t="str">
        <f>IFERROR(__xludf.DUMMYFUNCTION("""COMPUTED_VALUE"""),"Raticate")</f>
        <v>Raticate</v>
      </c>
      <c r="B787" s="174" t="str">
        <f>IFERROR(__xludf.DUMMYFUNCTION("""COMPUTED_VALUE"""),"Unlisted")</f>
        <v>Unlisted</v>
      </c>
      <c r="C787" s="174" t="str">
        <f>IFERROR(__xludf.DUMMYFUNCTION("""COMPUTED_VALUE"""),"Unlisted")</f>
        <v>Unlisted</v>
      </c>
      <c r="D787" s="174" t="str">
        <f>IFERROR(__xludf.DUMMYFUNCTION("""COMPUTED_VALUE"""),"Unlisted")</f>
        <v>Unlisted</v>
      </c>
      <c r="E787" s="174" t="str">
        <f>IFERROR(__xludf.DUMMYFUNCTION("""COMPUTED_VALUE"""),"Unlisted")</f>
        <v>Unlisted</v>
      </c>
      <c r="F787" s="174" t="str">
        <f>IFERROR(__xludf.DUMMYFUNCTION("""COMPUTED_VALUE"""),"Unlisted")</f>
        <v>Unlisted</v>
      </c>
      <c r="G787" s="174" t="str">
        <f>IFERROR(__xludf.DUMMYFUNCTION("""COMPUTED_VALUE"""),"Unlisted")</f>
        <v>Unlisted</v>
      </c>
      <c r="H787" s="174" t="str">
        <f>IFERROR(__xludf.DUMMYFUNCTION("""COMPUTED_VALUE"""),"Unlisted")</f>
        <v>Unlisted</v>
      </c>
      <c r="I787" s="174" t="str">
        <f>IFERROR(__xludf.DUMMYFUNCTION("""COMPUTED_VALUE"""),"Unlisted")</f>
        <v>Unlisted</v>
      </c>
      <c r="J787" s="174" t="str">
        <f>IFERROR(__xludf.DUMMYFUNCTION("""COMPUTED_VALUE"""),"Unlisted")</f>
        <v>Unlisted</v>
      </c>
      <c r="K787" s="174" t="str">
        <f>IFERROR(__xludf.DUMMYFUNCTION("""COMPUTED_VALUE"""),"Proficient")</f>
        <v>Proficient</v>
      </c>
      <c r="L787" s="174" t="str">
        <f>IFERROR(__xludf.DUMMYFUNCTION("""COMPUTED_VALUE"""),"Proficient")</f>
        <v>Proficient</v>
      </c>
      <c r="M787" s="174" t="str">
        <f>IFERROR(__xludf.DUMMYFUNCTION("""COMPUTED_VALUE"""),"Unlisted")</f>
        <v>Unlisted</v>
      </c>
      <c r="N787" s="174" t="str">
        <f>IFERROR(__xludf.DUMMYFUNCTION("""COMPUTED_VALUE"""),"Unlisted")</f>
        <v>Unlisted</v>
      </c>
      <c r="O787" s="174" t="str">
        <f>IFERROR(__xludf.DUMMYFUNCTION("""COMPUTED_VALUE"""),"Proficient")</f>
        <v>Proficient</v>
      </c>
      <c r="P787" s="174" t="str">
        <f>IFERROR(__xludf.DUMMYFUNCTION("""COMPUTED_VALUE"""),"Unlisted")</f>
        <v>Unlisted</v>
      </c>
      <c r="Q787" s="174" t="str">
        <f>IFERROR(__xludf.DUMMYFUNCTION("""COMPUTED_VALUE"""),"Unlisted")</f>
        <v>Unlisted</v>
      </c>
      <c r="R787" s="174" t="str">
        <f>IFERROR(__xludf.DUMMYFUNCTION("""COMPUTED_VALUE"""),"Unlisted")</f>
        <v>Unlisted</v>
      </c>
    </row>
    <row r="788">
      <c r="A788" s="255" t="str">
        <f>IFERROR(__xludf.DUMMYFUNCTION("""COMPUTED_VALUE"""),"Spearow")</f>
        <v>Spearow</v>
      </c>
      <c r="B788" s="174" t="str">
        <f>IFERROR(__xludf.DUMMYFUNCTION("""COMPUTED_VALUE"""),"Proficient")</f>
        <v>Proficient</v>
      </c>
      <c r="C788" s="174" t="str">
        <f>IFERROR(__xludf.DUMMYFUNCTION("""COMPUTED_VALUE"""),"Unlisted")</f>
        <v>Unlisted</v>
      </c>
      <c r="D788" s="174" t="str">
        <f>IFERROR(__xludf.DUMMYFUNCTION("""COMPUTED_VALUE"""),"Unlisted")</f>
        <v>Unlisted</v>
      </c>
      <c r="E788" s="174" t="str">
        <f>IFERROR(__xludf.DUMMYFUNCTION("""COMPUTED_VALUE"""),"Proficient")</f>
        <v>Proficient</v>
      </c>
      <c r="F788" s="174" t="str">
        <f>IFERROR(__xludf.DUMMYFUNCTION("""COMPUTED_VALUE"""),"Unlisted")</f>
        <v>Unlisted</v>
      </c>
      <c r="G788" s="174" t="str">
        <f>IFERROR(__xludf.DUMMYFUNCTION("""COMPUTED_VALUE"""),"Unlisted")</f>
        <v>Unlisted</v>
      </c>
      <c r="H788" s="174" t="str">
        <f>IFERROR(__xludf.DUMMYFUNCTION("""COMPUTED_VALUE"""),"Unlisted")</f>
        <v>Unlisted</v>
      </c>
      <c r="I788" s="174" t="str">
        <f>IFERROR(__xludf.DUMMYFUNCTION("""COMPUTED_VALUE"""),"Unlisted")</f>
        <v>Unlisted</v>
      </c>
      <c r="J788" s="174" t="str">
        <f>IFERROR(__xludf.DUMMYFUNCTION("""COMPUTED_VALUE"""),"Unlisted")</f>
        <v>Unlisted</v>
      </c>
      <c r="K788" s="174" t="str">
        <f>IFERROR(__xludf.DUMMYFUNCTION("""COMPUTED_VALUE"""),"Proficient")</f>
        <v>Proficient</v>
      </c>
      <c r="L788" s="174" t="str">
        <f>IFERROR(__xludf.DUMMYFUNCTION("""COMPUTED_VALUE"""),"Unlisted")</f>
        <v>Unlisted</v>
      </c>
      <c r="M788" s="174" t="str">
        <f>IFERROR(__xludf.DUMMYFUNCTION("""COMPUTED_VALUE"""),"Unlisted")</f>
        <v>Unlisted</v>
      </c>
      <c r="N788" s="174" t="str">
        <f>IFERROR(__xludf.DUMMYFUNCTION("""COMPUTED_VALUE"""),"Unlisted")</f>
        <v>Unlisted</v>
      </c>
      <c r="O788" s="174" t="str">
        <f>IFERROR(__xludf.DUMMYFUNCTION("""COMPUTED_VALUE"""),"Unlisted")</f>
        <v>Unlisted</v>
      </c>
      <c r="P788" s="174" t="str">
        <f>IFERROR(__xludf.DUMMYFUNCTION("""COMPUTED_VALUE"""),"Unlisted")</f>
        <v>Unlisted</v>
      </c>
      <c r="Q788" s="174" t="str">
        <f>IFERROR(__xludf.DUMMYFUNCTION("""COMPUTED_VALUE"""),"Unlisted")</f>
        <v>Unlisted</v>
      </c>
      <c r="R788" s="174" t="str">
        <f>IFERROR(__xludf.DUMMYFUNCTION("""COMPUTED_VALUE"""),"Unlisted")</f>
        <v>Unlisted</v>
      </c>
    </row>
    <row r="789">
      <c r="A789" s="255" t="str">
        <f>IFERROR(__xludf.DUMMYFUNCTION("""COMPUTED_VALUE"""),"Fearow")</f>
        <v>Fearow</v>
      </c>
      <c r="B789" s="174" t="str">
        <f>IFERROR(__xludf.DUMMYFUNCTION("""COMPUTED_VALUE"""),"Proficient")</f>
        <v>Proficient</v>
      </c>
      <c r="C789" s="174" t="str">
        <f>IFERROR(__xludf.DUMMYFUNCTION("""COMPUTED_VALUE"""),"Unlisted")</f>
        <v>Unlisted</v>
      </c>
      <c r="D789" s="174" t="str">
        <f>IFERROR(__xludf.DUMMYFUNCTION("""COMPUTED_VALUE"""),"Unlisted")</f>
        <v>Unlisted</v>
      </c>
      <c r="E789" s="174" t="str">
        <f>IFERROR(__xludf.DUMMYFUNCTION("""COMPUTED_VALUE"""),"Proficient")</f>
        <v>Proficient</v>
      </c>
      <c r="F789" s="174" t="str">
        <f>IFERROR(__xludf.DUMMYFUNCTION("""COMPUTED_VALUE"""),"Unlisted")</f>
        <v>Unlisted</v>
      </c>
      <c r="G789" s="174" t="str">
        <f>IFERROR(__xludf.DUMMYFUNCTION("""COMPUTED_VALUE"""),"Unlisted")</f>
        <v>Unlisted</v>
      </c>
      <c r="H789" s="174" t="str">
        <f>IFERROR(__xludf.DUMMYFUNCTION("""COMPUTED_VALUE"""),"Unlisted")</f>
        <v>Unlisted</v>
      </c>
      <c r="I789" s="174" t="str">
        <f>IFERROR(__xludf.DUMMYFUNCTION("""COMPUTED_VALUE"""),"Unlisted")</f>
        <v>Unlisted</v>
      </c>
      <c r="J789" s="174" t="str">
        <f>IFERROR(__xludf.DUMMYFUNCTION("""COMPUTED_VALUE"""),"Unlisted")</f>
        <v>Unlisted</v>
      </c>
      <c r="K789" s="174" t="str">
        <f>IFERROR(__xludf.DUMMYFUNCTION("""COMPUTED_VALUE"""),"Proficient")</f>
        <v>Proficient</v>
      </c>
      <c r="L789" s="174" t="str">
        <f>IFERROR(__xludf.DUMMYFUNCTION("""COMPUTED_VALUE"""),"Unlisted")</f>
        <v>Unlisted</v>
      </c>
      <c r="M789" s="174" t="str">
        <f>IFERROR(__xludf.DUMMYFUNCTION("""COMPUTED_VALUE"""),"Unlisted")</f>
        <v>Unlisted</v>
      </c>
      <c r="N789" s="174" t="str">
        <f>IFERROR(__xludf.DUMMYFUNCTION("""COMPUTED_VALUE"""),"Unlisted")</f>
        <v>Unlisted</v>
      </c>
      <c r="O789" s="174" t="str">
        <f>IFERROR(__xludf.DUMMYFUNCTION("""COMPUTED_VALUE"""),"Unlisted")</f>
        <v>Unlisted</v>
      </c>
      <c r="P789" s="174" t="str">
        <f>IFERROR(__xludf.DUMMYFUNCTION("""COMPUTED_VALUE"""),"Unlisted")</f>
        <v>Unlisted</v>
      </c>
      <c r="Q789" s="174" t="str">
        <f>IFERROR(__xludf.DUMMYFUNCTION("""COMPUTED_VALUE"""),"Unlisted")</f>
        <v>Unlisted</v>
      </c>
      <c r="R789" s="174" t="str">
        <f>IFERROR(__xludf.DUMMYFUNCTION("""COMPUTED_VALUE"""),"Unlisted")</f>
        <v>Unlisted</v>
      </c>
    </row>
    <row r="790">
      <c r="A790" s="255" t="str">
        <f>IFERROR(__xludf.DUMMYFUNCTION("""COMPUTED_VALUE"""),"Meowth")</f>
        <v>Meowth</v>
      </c>
      <c r="B790" s="174" t="str">
        <f>IFERROR(__xludf.DUMMYFUNCTION("""COMPUTED_VALUE"""),"Proficient")</f>
        <v>Proficient</v>
      </c>
      <c r="C790" s="174" t="str">
        <f>IFERROR(__xludf.DUMMYFUNCTION("""COMPUTED_VALUE"""),"Inept")</f>
        <v>Inept</v>
      </c>
      <c r="D790" s="174" t="str">
        <f>IFERROR(__xludf.DUMMYFUNCTION("""COMPUTED_VALUE"""),"Unlisted")</f>
        <v>Unlisted</v>
      </c>
      <c r="E790" s="174" t="str">
        <f>IFERROR(__xludf.DUMMYFUNCTION("""COMPUTED_VALUE"""),"Unlisted")</f>
        <v>Unlisted</v>
      </c>
      <c r="F790" s="174" t="str">
        <f>IFERROR(__xludf.DUMMYFUNCTION("""COMPUTED_VALUE"""),"Unlisted")</f>
        <v>Unlisted</v>
      </c>
      <c r="G790" s="174" t="str">
        <f>IFERROR(__xludf.DUMMYFUNCTION("""COMPUTED_VALUE"""),"Unlisted")</f>
        <v>Unlisted</v>
      </c>
      <c r="H790" s="174" t="str">
        <f>IFERROR(__xludf.DUMMYFUNCTION("""COMPUTED_VALUE"""),"Unlisted")</f>
        <v>Unlisted</v>
      </c>
      <c r="I790" s="174" t="str">
        <f>IFERROR(__xludf.DUMMYFUNCTION("""COMPUTED_VALUE"""),"Unlisted")</f>
        <v>Unlisted</v>
      </c>
      <c r="J790" s="174" t="str">
        <f>IFERROR(__xludf.DUMMYFUNCTION("""COMPUTED_VALUE"""),"Unlisted")</f>
        <v>Unlisted</v>
      </c>
      <c r="K790" s="174" t="str">
        <f>IFERROR(__xludf.DUMMYFUNCTION("""COMPUTED_VALUE"""),"Proficient")</f>
        <v>Proficient</v>
      </c>
      <c r="L790" s="174" t="str">
        <f>IFERROR(__xludf.DUMMYFUNCTION("""COMPUTED_VALUE"""),"Proficient")</f>
        <v>Proficient</v>
      </c>
      <c r="M790" s="174" t="str">
        <f>IFERROR(__xludf.DUMMYFUNCTION("""COMPUTED_VALUE"""),"Unlisted")</f>
        <v>Unlisted</v>
      </c>
      <c r="N790" s="174" t="str">
        <f>IFERROR(__xludf.DUMMYFUNCTION("""COMPUTED_VALUE"""),"Unlisted")</f>
        <v>Unlisted</v>
      </c>
      <c r="O790" s="174" t="str">
        <f>IFERROR(__xludf.DUMMYFUNCTION("""COMPUTED_VALUE"""),"Unlisted")</f>
        <v>Unlisted</v>
      </c>
      <c r="P790" s="174" t="str">
        <f>IFERROR(__xludf.DUMMYFUNCTION("""COMPUTED_VALUE"""),"Unlisted")</f>
        <v>Unlisted</v>
      </c>
      <c r="Q790" s="174" t="str">
        <f>IFERROR(__xludf.DUMMYFUNCTION("""COMPUTED_VALUE"""),"Unlisted")</f>
        <v>Unlisted</v>
      </c>
      <c r="R790" s="174" t="str">
        <f>IFERROR(__xludf.DUMMYFUNCTION("""COMPUTED_VALUE"""),"Unlisted")</f>
        <v>Unlisted</v>
      </c>
    </row>
    <row r="791">
      <c r="A791" s="255" t="str">
        <f>IFERROR(__xludf.DUMMYFUNCTION("""COMPUTED_VALUE"""),"Persian")</f>
        <v>Persian</v>
      </c>
      <c r="B791" s="174" t="str">
        <f>IFERROR(__xludf.DUMMYFUNCTION("""COMPUTED_VALUE"""),"Proficient")</f>
        <v>Proficient</v>
      </c>
      <c r="C791" s="174" t="str">
        <f>IFERROR(__xludf.DUMMYFUNCTION("""COMPUTED_VALUE"""),"Unlisted")</f>
        <v>Unlisted</v>
      </c>
      <c r="D791" s="174" t="str">
        <f>IFERROR(__xludf.DUMMYFUNCTION("""COMPUTED_VALUE"""),"Unlisted")</f>
        <v>Unlisted</v>
      </c>
      <c r="E791" s="174" t="str">
        <f>IFERROR(__xludf.DUMMYFUNCTION("""COMPUTED_VALUE"""),"Unlisted")</f>
        <v>Unlisted</v>
      </c>
      <c r="F791" s="174" t="str">
        <f>IFERROR(__xludf.DUMMYFUNCTION("""COMPUTED_VALUE"""),"Unlisted")</f>
        <v>Unlisted</v>
      </c>
      <c r="G791" s="174" t="str">
        <f>IFERROR(__xludf.DUMMYFUNCTION("""COMPUTED_VALUE"""),"Unlisted")</f>
        <v>Unlisted</v>
      </c>
      <c r="H791" s="174" t="str">
        <f>IFERROR(__xludf.DUMMYFUNCTION("""COMPUTED_VALUE"""),"Unlisted")</f>
        <v>Unlisted</v>
      </c>
      <c r="I791" s="174" t="str">
        <f>IFERROR(__xludf.DUMMYFUNCTION("""COMPUTED_VALUE"""),"Unlisted")</f>
        <v>Unlisted</v>
      </c>
      <c r="J791" s="174" t="str">
        <f>IFERROR(__xludf.DUMMYFUNCTION("""COMPUTED_VALUE"""),"Unlisted")</f>
        <v>Unlisted</v>
      </c>
      <c r="K791" s="174" t="str">
        <f>IFERROR(__xludf.DUMMYFUNCTION("""COMPUTED_VALUE"""),"Proficient")</f>
        <v>Proficient</v>
      </c>
      <c r="L791" s="174" t="str">
        <f>IFERROR(__xludf.DUMMYFUNCTION("""COMPUTED_VALUE"""),"Proficient")</f>
        <v>Proficient</v>
      </c>
      <c r="M791" s="174" t="str">
        <f>IFERROR(__xludf.DUMMYFUNCTION("""COMPUTED_VALUE"""),"Unlisted")</f>
        <v>Unlisted</v>
      </c>
      <c r="N791" s="174" t="str">
        <f>IFERROR(__xludf.DUMMYFUNCTION("""COMPUTED_VALUE"""),"Unlisted")</f>
        <v>Unlisted</v>
      </c>
      <c r="O791" s="174" t="str">
        <f>IFERROR(__xludf.DUMMYFUNCTION("""COMPUTED_VALUE"""),"Unlisted")</f>
        <v>Unlisted</v>
      </c>
      <c r="P791" s="174" t="str">
        <f>IFERROR(__xludf.DUMMYFUNCTION("""COMPUTED_VALUE"""),"Unlisted")</f>
        <v>Unlisted</v>
      </c>
      <c r="Q791" s="174" t="str">
        <f>IFERROR(__xludf.DUMMYFUNCTION("""COMPUTED_VALUE"""),"Unlisted")</f>
        <v>Unlisted</v>
      </c>
      <c r="R791" s="174" t="str">
        <f>IFERROR(__xludf.DUMMYFUNCTION("""COMPUTED_VALUE"""),"Unlisted")</f>
        <v>Unlisted</v>
      </c>
    </row>
    <row r="792">
      <c r="A792" s="255" t="str">
        <f>IFERROR(__xludf.DUMMYFUNCTION("""COMPUTED_VALUE"""),"Doduo")</f>
        <v>Doduo</v>
      </c>
      <c r="B792" s="174" t="str">
        <f>IFERROR(__xludf.DUMMYFUNCTION("""COMPUTED_VALUE"""),"Proficient")</f>
        <v>Proficient</v>
      </c>
      <c r="C792" s="174" t="str">
        <f>IFERROR(__xludf.DUMMYFUNCTION("""COMPUTED_VALUE"""),"Proficient")</f>
        <v>Proficient</v>
      </c>
      <c r="D792" s="174" t="str">
        <f>IFERROR(__xludf.DUMMYFUNCTION("""COMPUTED_VALUE"""),"Unlisted")</f>
        <v>Unlisted</v>
      </c>
      <c r="E792" s="174" t="str">
        <f>IFERROR(__xludf.DUMMYFUNCTION("""COMPUTED_VALUE"""),"Unlisted")</f>
        <v>Unlisted</v>
      </c>
      <c r="F792" s="174" t="str">
        <f>IFERROR(__xludf.DUMMYFUNCTION("""COMPUTED_VALUE"""),"Unlisted")</f>
        <v>Unlisted</v>
      </c>
      <c r="G792" s="174" t="str">
        <f>IFERROR(__xludf.DUMMYFUNCTION("""COMPUTED_VALUE"""),"Inept")</f>
        <v>Inept</v>
      </c>
      <c r="H792" s="174" t="str">
        <f>IFERROR(__xludf.DUMMYFUNCTION("""COMPUTED_VALUE"""),"Unlisted")</f>
        <v>Unlisted</v>
      </c>
      <c r="I792" s="174" t="str">
        <f>IFERROR(__xludf.DUMMYFUNCTION("""COMPUTED_VALUE"""),"Unlisted")</f>
        <v>Unlisted</v>
      </c>
      <c r="J792" s="174" t="str">
        <f>IFERROR(__xludf.DUMMYFUNCTION("""COMPUTED_VALUE"""),"Unlisted")</f>
        <v>Unlisted</v>
      </c>
      <c r="K792" s="174" t="str">
        <f>IFERROR(__xludf.DUMMYFUNCTION("""COMPUTED_VALUE"""),"Mastered")</f>
        <v>Mastered</v>
      </c>
      <c r="L792" s="174" t="str">
        <f>IFERROR(__xludf.DUMMYFUNCTION("""COMPUTED_VALUE"""),"Unlisted")</f>
        <v>Unlisted</v>
      </c>
      <c r="M792" s="174" t="str">
        <f>IFERROR(__xludf.DUMMYFUNCTION("""COMPUTED_VALUE"""),"Unlisted")</f>
        <v>Unlisted</v>
      </c>
      <c r="N792" s="174" t="str">
        <f>IFERROR(__xludf.DUMMYFUNCTION("""COMPUTED_VALUE"""),"Unlisted")</f>
        <v>Unlisted</v>
      </c>
      <c r="O792" s="174" t="str">
        <f>IFERROR(__xludf.DUMMYFUNCTION("""COMPUTED_VALUE"""),"Unlisted")</f>
        <v>Unlisted</v>
      </c>
      <c r="P792" s="174" t="str">
        <f>IFERROR(__xludf.DUMMYFUNCTION("""COMPUTED_VALUE"""),"Unlisted")</f>
        <v>Unlisted</v>
      </c>
      <c r="Q792" s="174" t="str">
        <f>IFERROR(__xludf.DUMMYFUNCTION("""COMPUTED_VALUE"""),"Unlisted")</f>
        <v>Unlisted</v>
      </c>
      <c r="R792" s="174" t="str">
        <f>IFERROR(__xludf.DUMMYFUNCTION("""COMPUTED_VALUE"""),"Unlisted")</f>
        <v>Unlisted</v>
      </c>
    </row>
    <row r="793">
      <c r="A793" s="255" t="str">
        <f>IFERROR(__xludf.DUMMYFUNCTION("""COMPUTED_VALUE"""),"Dodrio")</f>
        <v>Dodrio</v>
      </c>
      <c r="B793" s="174" t="str">
        <f>IFERROR(__xludf.DUMMYFUNCTION("""COMPUTED_VALUE"""),"Proficient")</f>
        <v>Proficient</v>
      </c>
      <c r="C793" s="174" t="str">
        <f>IFERROR(__xludf.DUMMYFUNCTION("""COMPUTED_VALUE"""),"Proficient")</f>
        <v>Proficient</v>
      </c>
      <c r="D793" s="174" t="str">
        <f>IFERROR(__xludf.DUMMYFUNCTION("""COMPUTED_VALUE"""),"Unlisted")</f>
        <v>Unlisted</v>
      </c>
      <c r="E793" s="174" t="str">
        <f>IFERROR(__xludf.DUMMYFUNCTION("""COMPUTED_VALUE"""),"Unlisted")</f>
        <v>Unlisted</v>
      </c>
      <c r="F793" s="174" t="str">
        <f>IFERROR(__xludf.DUMMYFUNCTION("""COMPUTED_VALUE"""),"Unlisted")</f>
        <v>Unlisted</v>
      </c>
      <c r="G793" s="174" t="str">
        <f>IFERROR(__xludf.DUMMYFUNCTION("""COMPUTED_VALUE"""),"Inept")</f>
        <v>Inept</v>
      </c>
      <c r="H793" s="174" t="str">
        <f>IFERROR(__xludf.DUMMYFUNCTION("""COMPUTED_VALUE"""),"Unlisted")</f>
        <v>Unlisted</v>
      </c>
      <c r="I793" s="174" t="str">
        <f>IFERROR(__xludf.DUMMYFUNCTION("""COMPUTED_VALUE"""),"Unlisted")</f>
        <v>Unlisted</v>
      </c>
      <c r="J793" s="174" t="str">
        <f>IFERROR(__xludf.DUMMYFUNCTION("""COMPUTED_VALUE"""),"Unlisted")</f>
        <v>Unlisted</v>
      </c>
      <c r="K793" s="174" t="str">
        <f>IFERROR(__xludf.DUMMYFUNCTION("""COMPUTED_VALUE"""),"Mastered")</f>
        <v>Mastered</v>
      </c>
      <c r="L793" s="174" t="str">
        <f>IFERROR(__xludf.DUMMYFUNCTION("""COMPUTED_VALUE"""),"Unlisted")</f>
        <v>Unlisted</v>
      </c>
      <c r="M793" s="174" t="str">
        <f>IFERROR(__xludf.DUMMYFUNCTION("""COMPUTED_VALUE"""),"Unlisted")</f>
        <v>Unlisted</v>
      </c>
      <c r="N793" s="174" t="str">
        <f>IFERROR(__xludf.DUMMYFUNCTION("""COMPUTED_VALUE"""),"Unlisted")</f>
        <v>Unlisted</v>
      </c>
      <c r="O793" s="174" t="str">
        <f>IFERROR(__xludf.DUMMYFUNCTION("""COMPUTED_VALUE"""),"Unlisted")</f>
        <v>Unlisted</v>
      </c>
      <c r="P793" s="174" t="str">
        <f>IFERROR(__xludf.DUMMYFUNCTION("""COMPUTED_VALUE"""),"Unlisted")</f>
        <v>Unlisted</v>
      </c>
      <c r="Q793" s="174" t="str">
        <f>IFERROR(__xludf.DUMMYFUNCTION("""COMPUTED_VALUE"""),"Unlisted")</f>
        <v>Unlisted</v>
      </c>
      <c r="R793" s="174" t="str">
        <f>IFERROR(__xludf.DUMMYFUNCTION("""COMPUTED_VALUE"""),"Unlisted")</f>
        <v>Unlisted</v>
      </c>
    </row>
    <row r="794">
      <c r="A794" s="255" t="str">
        <f>IFERROR(__xludf.DUMMYFUNCTION("""COMPUTED_VALUE"""),"Lickitung")</f>
        <v>Lickitung</v>
      </c>
      <c r="B794" s="174" t="str">
        <f>IFERROR(__xludf.DUMMYFUNCTION("""COMPUTED_VALUE"""),"Unlisted")</f>
        <v>Unlisted</v>
      </c>
      <c r="C794" s="174" t="str">
        <f>IFERROR(__xludf.DUMMYFUNCTION("""COMPUTED_VALUE"""),"Proficient")</f>
        <v>Proficient</v>
      </c>
      <c r="D794" s="174" t="str">
        <f>IFERROR(__xludf.DUMMYFUNCTION("""COMPUTED_VALUE"""),"Unlisted")</f>
        <v>Unlisted</v>
      </c>
      <c r="E794" s="174" t="str">
        <f>IFERROR(__xludf.DUMMYFUNCTION("""COMPUTED_VALUE"""),"Unlisted")</f>
        <v>Unlisted</v>
      </c>
      <c r="F794" s="174" t="str">
        <f>IFERROR(__xludf.DUMMYFUNCTION("""COMPUTED_VALUE"""),"Unlisted")</f>
        <v>Unlisted</v>
      </c>
      <c r="G794" s="174" t="str">
        <f>IFERROR(__xludf.DUMMYFUNCTION("""COMPUTED_VALUE"""),"Proficient")</f>
        <v>Proficient</v>
      </c>
      <c r="H794" s="174" t="str">
        <f>IFERROR(__xludf.DUMMYFUNCTION("""COMPUTED_VALUE"""),"Unlisted")</f>
        <v>Unlisted</v>
      </c>
      <c r="I794" s="174" t="str">
        <f>IFERROR(__xludf.DUMMYFUNCTION("""COMPUTED_VALUE"""),"Unlisted")</f>
        <v>Unlisted</v>
      </c>
      <c r="J794" s="174" t="str">
        <f>IFERROR(__xludf.DUMMYFUNCTION("""COMPUTED_VALUE"""),"Unlisted")</f>
        <v>Unlisted</v>
      </c>
      <c r="K794" s="174" t="str">
        <f>IFERROR(__xludf.DUMMYFUNCTION("""COMPUTED_VALUE"""),"Unlisted")</f>
        <v>Unlisted</v>
      </c>
      <c r="L794" s="174" t="str">
        <f>IFERROR(__xludf.DUMMYFUNCTION("""COMPUTED_VALUE"""),"Unlisted")</f>
        <v>Unlisted</v>
      </c>
      <c r="M794" s="174" t="str">
        <f>IFERROR(__xludf.DUMMYFUNCTION("""COMPUTED_VALUE"""),"Unlisted")</f>
        <v>Unlisted</v>
      </c>
      <c r="N794" s="174" t="str">
        <f>IFERROR(__xludf.DUMMYFUNCTION("""COMPUTED_VALUE"""),"Unlisted")</f>
        <v>Unlisted</v>
      </c>
      <c r="O794" s="174" t="str">
        <f>IFERROR(__xludf.DUMMYFUNCTION("""COMPUTED_VALUE"""),"Unlisted")</f>
        <v>Unlisted</v>
      </c>
      <c r="P794" s="174" t="str">
        <f>IFERROR(__xludf.DUMMYFUNCTION("""COMPUTED_VALUE"""),"Unlisted")</f>
        <v>Unlisted</v>
      </c>
      <c r="Q794" s="174" t="str">
        <f>IFERROR(__xludf.DUMMYFUNCTION("""COMPUTED_VALUE"""),"Unlisted")</f>
        <v>Unlisted</v>
      </c>
      <c r="R794" s="174" t="str">
        <f>IFERROR(__xludf.DUMMYFUNCTION("""COMPUTED_VALUE"""),"Unlisted")</f>
        <v>Unlisted</v>
      </c>
    </row>
    <row r="795">
      <c r="A795" s="255" t="str">
        <f>IFERROR(__xludf.DUMMYFUNCTION("""COMPUTED_VALUE"""),"Lickilicky")</f>
        <v>Lickilicky</v>
      </c>
      <c r="B795" s="174" t="str">
        <f>IFERROR(__xludf.DUMMYFUNCTION("""COMPUTED_VALUE"""),"Unlisted")</f>
        <v>Unlisted</v>
      </c>
      <c r="C795" s="174" t="str">
        <f>IFERROR(__xludf.DUMMYFUNCTION("""COMPUTED_VALUE"""),"Proficient")</f>
        <v>Proficient</v>
      </c>
      <c r="D795" s="174" t="str">
        <f>IFERROR(__xludf.DUMMYFUNCTION("""COMPUTED_VALUE"""),"Unlisted")</f>
        <v>Unlisted</v>
      </c>
      <c r="E795" s="174" t="str">
        <f>IFERROR(__xludf.DUMMYFUNCTION("""COMPUTED_VALUE"""),"Unlisted")</f>
        <v>Unlisted</v>
      </c>
      <c r="F795" s="174" t="str">
        <f>IFERROR(__xludf.DUMMYFUNCTION("""COMPUTED_VALUE"""),"Unlisted")</f>
        <v>Unlisted</v>
      </c>
      <c r="G795" s="174" t="str">
        <f>IFERROR(__xludf.DUMMYFUNCTION("""COMPUTED_VALUE"""),"Proficient")</f>
        <v>Proficient</v>
      </c>
      <c r="H795" s="174" t="str">
        <f>IFERROR(__xludf.DUMMYFUNCTION("""COMPUTED_VALUE"""),"Unlisted")</f>
        <v>Unlisted</v>
      </c>
      <c r="I795" s="174" t="str">
        <f>IFERROR(__xludf.DUMMYFUNCTION("""COMPUTED_VALUE"""),"Unlisted")</f>
        <v>Unlisted</v>
      </c>
      <c r="J795" s="174" t="str">
        <f>IFERROR(__xludf.DUMMYFUNCTION("""COMPUTED_VALUE"""),"Unlisted")</f>
        <v>Unlisted</v>
      </c>
      <c r="K795" s="174" t="str">
        <f>IFERROR(__xludf.DUMMYFUNCTION("""COMPUTED_VALUE"""),"Unlisted")</f>
        <v>Unlisted</v>
      </c>
      <c r="L795" s="174" t="str">
        <f>IFERROR(__xludf.DUMMYFUNCTION("""COMPUTED_VALUE"""),"Unlisted")</f>
        <v>Unlisted</v>
      </c>
      <c r="M795" s="174" t="str">
        <f>IFERROR(__xludf.DUMMYFUNCTION("""COMPUTED_VALUE"""),"Unlisted")</f>
        <v>Unlisted</v>
      </c>
      <c r="N795" s="174" t="str">
        <f>IFERROR(__xludf.DUMMYFUNCTION("""COMPUTED_VALUE"""),"Unlisted")</f>
        <v>Unlisted</v>
      </c>
      <c r="O795" s="174" t="str">
        <f>IFERROR(__xludf.DUMMYFUNCTION("""COMPUTED_VALUE"""),"Unlisted")</f>
        <v>Unlisted</v>
      </c>
      <c r="P795" s="174" t="str">
        <f>IFERROR(__xludf.DUMMYFUNCTION("""COMPUTED_VALUE"""),"Unlisted")</f>
        <v>Unlisted</v>
      </c>
      <c r="Q795" s="174" t="str">
        <f>IFERROR(__xludf.DUMMYFUNCTION("""COMPUTED_VALUE"""),"Unlisted")</f>
        <v>Unlisted</v>
      </c>
      <c r="R795" s="174" t="str">
        <f>IFERROR(__xludf.DUMMYFUNCTION("""COMPUTED_VALUE"""),"Unlisted")</f>
        <v>Unlisted</v>
      </c>
    </row>
    <row r="796">
      <c r="A796" s="255" t="str">
        <f>IFERROR(__xludf.DUMMYFUNCTION("""COMPUTED_VALUE"""),"Munchlax")</f>
        <v>Munchlax</v>
      </c>
      <c r="B796" s="174" t="str">
        <f>IFERROR(__xludf.DUMMYFUNCTION("""COMPUTED_VALUE"""),"Inept")</f>
        <v>Inept</v>
      </c>
      <c r="C796" s="174" t="str">
        <f>IFERROR(__xludf.DUMMYFUNCTION("""COMPUTED_VALUE"""),"Mastered")</f>
        <v>Mastered</v>
      </c>
      <c r="D796" s="174" t="str">
        <f>IFERROR(__xludf.DUMMYFUNCTION("""COMPUTED_VALUE"""),"Unlisted")</f>
        <v>Unlisted</v>
      </c>
      <c r="E796" s="174" t="str">
        <f>IFERROR(__xludf.DUMMYFUNCTION("""COMPUTED_VALUE"""),"Unlisted")</f>
        <v>Unlisted</v>
      </c>
      <c r="F796" s="174" t="str">
        <f>IFERROR(__xludf.DUMMYFUNCTION("""COMPUTED_VALUE"""),"Unlisted")</f>
        <v>Unlisted</v>
      </c>
      <c r="G796" s="174" t="str">
        <f>IFERROR(__xludf.DUMMYFUNCTION("""COMPUTED_VALUE"""),"Unlisted")</f>
        <v>Unlisted</v>
      </c>
      <c r="H796" s="174" t="str">
        <f>IFERROR(__xludf.DUMMYFUNCTION("""COMPUTED_VALUE"""),"Unlisted")</f>
        <v>Unlisted</v>
      </c>
      <c r="I796" s="174" t="str">
        <f>IFERROR(__xludf.DUMMYFUNCTION("""COMPUTED_VALUE"""),"Unlisted")</f>
        <v>Unlisted</v>
      </c>
      <c r="J796" s="174" t="str">
        <f>IFERROR(__xludf.DUMMYFUNCTION("""COMPUTED_VALUE"""),"Unlisted")</f>
        <v>Unlisted</v>
      </c>
      <c r="K796" s="174" t="str">
        <f>IFERROR(__xludf.DUMMYFUNCTION("""COMPUTED_VALUE"""),"Proficient")</f>
        <v>Proficient</v>
      </c>
      <c r="L796" s="174" t="str">
        <f>IFERROR(__xludf.DUMMYFUNCTION("""COMPUTED_VALUE"""),"Unlisted")</f>
        <v>Unlisted</v>
      </c>
      <c r="M796" s="174" t="str">
        <f>IFERROR(__xludf.DUMMYFUNCTION("""COMPUTED_VALUE"""),"Unlisted")</f>
        <v>Unlisted</v>
      </c>
      <c r="N796" s="174" t="str">
        <f>IFERROR(__xludf.DUMMYFUNCTION("""COMPUTED_VALUE"""),"Unlisted")</f>
        <v>Unlisted</v>
      </c>
      <c r="O796" s="174" t="str">
        <f>IFERROR(__xludf.DUMMYFUNCTION("""COMPUTED_VALUE"""),"Proficient")</f>
        <v>Proficient</v>
      </c>
      <c r="P796" s="174" t="str">
        <f>IFERROR(__xludf.DUMMYFUNCTION("""COMPUTED_VALUE"""),"Unlisted")</f>
        <v>Unlisted</v>
      </c>
      <c r="Q796" s="174" t="str">
        <f>IFERROR(__xludf.DUMMYFUNCTION("""COMPUTED_VALUE"""),"Unlisted")</f>
        <v>Unlisted</v>
      </c>
      <c r="R796" s="174" t="str">
        <f>IFERROR(__xludf.DUMMYFUNCTION("""COMPUTED_VALUE"""),"Unlisted")</f>
        <v>Unlisted</v>
      </c>
    </row>
    <row r="797">
      <c r="A797" s="255" t="str">
        <f>IFERROR(__xludf.DUMMYFUNCTION("""COMPUTED_VALUE"""),"Snorlax")</f>
        <v>Snorlax</v>
      </c>
      <c r="B797" s="174" t="str">
        <f>IFERROR(__xludf.DUMMYFUNCTION("""COMPUTED_VALUE"""),"Inept")</f>
        <v>Inept</v>
      </c>
      <c r="C797" s="174" t="str">
        <f>IFERROR(__xludf.DUMMYFUNCTION("""COMPUTED_VALUE"""),"Mastered")</f>
        <v>Mastered</v>
      </c>
      <c r="D797" s="174" t="str">
        <f>IFERROR(__xludf.DUMMYFUNCTION("""COMPUTED_VALUE"""),"Unlisted")</f>
        <v>Unlisted</v>
      </c>
      <c r="E797" s="174" t="str">
        <f>IFERROR(__xludf.DUMMYFUNCTION("""COMPUTED_VALUE"""),"Unlisted")</f>
        <v>Unlisted</v>
      </c>
      <c r="F797" s="174" t="str">
        <f>IFERROR(__xludf.DUMMYFUNCTION("""COMPUTED_VALUE"""),"Unlisted")</f>
        <v>Unlisted</v>
      </c>
      <c r="G797" s="174" t="str">
        <f>IFERROR(__xludf.DUMMYFUNCTION("""COMPUTED_VALUE"""),"Unlisted")</f>
        <v>Unlisted</v>
      </c>
      <c r="H797" s="174" t="str">
        <f>IFERROR(__xludf.DUMMYFUNCTION("""COMPUTED_VALUE"""),"Unlisted")</f>
        <v>Unlisted</v>
      </c>
      <c r="I797" s="174" t="str">
        <f>IFERROR(__xludf.DUMMYFUNCTION("""COMPUTED_VALUE"""),"Unlisted")</f>
        <v>Unlisted</v>
      </c>
      <c r="J797" s="174" t="str">
        <f>IFERROR(__xludf.DUMMYFUNCTION("""COMPUTED_VALUE"""),"Unlisted")</f>
        <v>Unlisted</v>
      </c>
      <c r="K797" s="174" t="str">
        <f>IFERROR(__xludf.DUMMYFUNCTION("""COMPUTED_VALUE"""),"Proficient")</f>
        <v>Proficient</v>
      </c>
      <c r="L797" s="174" t="str">
        <f>IFERROR(__xludf.DUMMYFUNCTION("""COMPUTED_VALUE"""),"Unlisted")</f>
        <v>Unlisted</v>
      </c>
      <c r="M797" s="174" t="str">
        <f>IFERROR(__xludf.DUMMYFUNCTION("""COMPUTED_VALUE"""),"Unlisted")</f>
        <v>Unlisted</v>
      </c>
      <c r="N797" s="174" t="str">
        <f>IFERROR(__xludf.DUMMYFUNCTION("""COMPUTED_VALUE"""),"Unlisted")</f>
        <v>Unlisted</v>
      </c>
      <c r="O797" s="174" t="str">
        <f>IFERROR(__xludf.DUMMYFUNCTION("""COMPUTED_VALUE"""),"Proficient")</f>
        <v>Proficient</v>
      </c>
      <c r="P797" s="174" t="str">
        <f>IFERROR(__xludf.DUMMYFUNCTION("""COMPUTED_VALUE"""),"Unlisted")</f>
        <v>Unlisted</v>
      </c>
      <c r="Q797" s="174" t="str">
        <f>IFERROR(__xludf.DUMMYFUNCTION("""COMPUTED_VALUE"""),"Unlisted")</f>
        <v>Unlisted</v>
      </c>
      <c r="R797" s="174" t="str">
        <f>IFERROR(__xludf.DUMMYFUNCTION("""COMPUTED_VALUE"""),"Unlisted")</f>
        <v>Unlisted</v>
      </c>
    </row>
    <row r="798">
      <c r="A798" s="255" t="str">
        <f>IFERROR(__xludf.DUMMYFUNCTION("""COMPUTED_VALUE"""),"Sentret")</f>
        <v>Sentret</v>
      </c>
      <c r="B798" s="174" t="str">
        <f>IFERROR(__xludf.DUMMYFUNCTION("""COMPUTED_VALUE"""),"Proficient")</f>
        <v>Proficient</v>
      </c>
      <c r="C798" s="174" t="str">
        <f>IFERROR(__xludf.DUMMYFUNCTION("""COMPUTED_VALUE"""),"Inept")</f>
        <v>Inept</v>
      </c>
      <c r="D798" s="174" t="str">
        <f>IFERROR(__xludf.DUMMYFUNCTION("""COMPUTED_VALUE"""),"Unlisted")</f>
        <v>Unlisted</v>
      </c>
      <c r="E798" s="174" t="str">
        <f>IFERROR(__xludf.DUMMYFUNCTION("""COMPUTED_VALUE"""),"Unlisted")</f>
        <v>Unlisted</v>
      </c>
      <c r="F798" s="174" t="str">
        <f>IFERROR(__xludf.DUMMYFUNCTION("""COMPUTED_VALUE"""),"Unlisted")</f>
        <v>Unlisted</v>
      </c>
      <c r="G798" s="174" t="str">
        <f>IFERROR(__xludf.DUMMYFUNCTION("""COMPUTED_VALUE"""),"Unlisted")</f>
        <v>Unlisted</v>
      </c>
      <c r="H798" s="174" t="str">
        <f>IFERROR(__xludf.DUMMYFUNCTION("""COMPUTED_VALUE"""),"Unlisted")</f>
        <v>Unlisted</v>
      </c>
      <c r="I798" s="174" t="str">
        <f>IFERROR(__xludf.DUMMYFUNCTION("""COMPUTED_VALUE"""),"Unlisted")</f>
        <v>Unlisted</v>
      </c>
      <c r="J798" s="174" t="str">
        <f>IFERROR(__xludf.DUMMYFUNCTION("""COMPUTED_VALUE"""),"Unlisted")</f>
        <v>Unlisted</v>
      </c>
      <c r="K798" s="174" t="str">
        <f>IFERROR(__xludf.DUMMYFUNCTION("""COMPUTED_VALUE"""),"Mastered")</f>
        <v>Mastered</v>
      </c>
      <c r="L798" s="174" t="str">
        <f>IFERROR(__xludf.DUMMYFUNCTION("""COMPUTED_VALUE"""),"Unlisted")</f>
        <v>Unlisted</v>
      </c>
      <c r="M798" s="174" t="str">
        <f>IFERROR(__xludf.DUMMYFUNCTION("""COMPUTED_VALUE"""),"Unlisted")</f>
        <v>Unlisted</v>
      </c>
      <c r="N798" s="174" t="str">
        <f>IFERROR(__xludf.DUMMYFUNCTION("""COMPUTED_VALUE"""),"Unlisted")</f>
        <v>Unlisted</v>
      </c>
      <c r="O798" s="174" t="str">
        <f>IFERROR(__xludf.DUMMYFUNCTION("""COMPUTED_VALUE"""),"Proficient")</f>
        <v>Proficient</v>
      </c>
      <c r="P798" s="174" t="str">
        <f>IFERROR(__xludf.DUMMYFUNCTION("""COMPUTED_VALUE"""),"Unlisted")</f>
        <v>Unlisted</v>
      </c>
      <c r="Q798" s="174" t="str">
        <f>IFERROR(__xludf.DUMMYFUNCTION("""COMPUTED_VALUE"""),"Unlisted")</f>
        <v>Unlisted</v>
      </c>
      <c r="R798" s="174" t="str">
        <f>IFERROR(__xludf.DUMMYFUNCTION("""COMPUTED_VALUE"""),"Unlisted")</f>
        <v>Unlisted</v>
      </c>
    </row>
    <row r="799">
      <c r="A799" s="255" t="str">
        <f>IFERROR(__xludf.DUMMYFUNCTION("""COMPUTED_VALUE"""),"Furret")</f>
        <v>Furret</v>
      </c>
      <c r="B799" s="174" t="str">
        <f>IFERROR(__xludf.DUMMYFUNCTION("""COMPUTED_VALUE"""),"Proficient")</f>
        <v>Proficient</v>
      </c>
      <c r="C799" s="174" t="str">
        <f>IFERROR(__xludf.DUMMYFUNCTION("""COMPUTED_VALUE"""),"Unlisted")</f>
        <v>Unlisted</v>
      </c>
      <c r="D799" s="174" t="str">
        <f>IFERROR(__xludf.DUMMYFUNCTION("""COMPUTED_VALUE"""),"Unlisted")</f>
        <v>Unlisted</v>
      </c>
      <c r="E799" s="174" t="str">
        <f>IFERROR(__xludf.DUMMYFUNCTION("""COMPUTED_VALUE"""),"Unlisted")</f>
        <v>Unlisted</v>
      </c>
      <c r="F799" s="174" t="str">
        <f>IFERROR(__xludf.DUMMYFUNCTION("""COMPUTED_VALUE"""),"Unlisted")</f>
        <v>Unlisted</v>
      </c>
      <c r="G799" s="174" t="str">
        <f>IFERROR(__xludf.DUMMYFUNCTION("""COMPUTED_VALUE"""),"Unlisted")</f>
        <v>Unlisted</v>
      </c>
      <c r="H799" s="174" t="str">
        <f>IFERROR(__xludf.DUMMYFUNCTION("""COMPUTED_VALUE"""),"Unlisted")</f>
        <v>Unlisted</v>
      </c>
      <c r="I799" s="174" t="str">
        <f>IFERROR(__xludf.DUMMYFUNCTION("""COMPUTED_VALUE"""),"Unlisted")</f>
        <v>Unlisted</v>
      </c>
      <c r="J799" s="174" t="str">
        <f>IFERROR(__xludf.DUMMYFUNCTION("""COMPUTED_VALUE"""),"Unlisted")</f>
        <v>Unlisted</v>
      </c>
      <c r="K799" s="174" t="str">
        <f>IFERROR(__xludf.DUMMYFUNCTION("""COMPUTED_VALUE"""),"Mastered")</f>
        <v>Mastered</v>
      </c>
      <c r="L799" s="174" t="str">
        <f>IFERROR(__xludf.DUMMYFUNCTION("""COMPUTED_VALUE"""),"Unlisted")</f>
        <v>Unlisted</v>
      </c>
      <c r="M799" s="174" t="str">
        <f>IFERROR(__xludf.DUMMYFUNCTION("""COMPUTED_VALUE"""),"Unlisted")</f>
        <v>Unlisted</v>
      </c>
      <c r="N799" s="174" t="str">
        <f>IFERROR(__xludf.DUMMYFUNCTION("""COMPUTED_VALUE"""),"Unlisted")</f>
        <v>Unlisted</v>
      </c>
      <c r="O799" s="174" t="str">
        <f>IFERROR(__xludf.DUMMYFUNCTION("""COMPUTED_VALUE"""),"Proficient")</f>
        <v>Proficient</v>
      </c>
      <c r="P799" s="174" t="str">
        <f>IFERROR(__xludf.DUMMYFUNCTION("""COMPUTED_VALUE"""),"Unlisted")</f>
        <v>Unlisted</v>
      </c>
      <c r="Q799" s="174" t="str">
        <f>IFERROR(__xludf.DUMMYFUNCTION("""COMPUTED_VALUE"""),"Unlisted")</f>
        <v>Unlisted</v>
      </c>
      <c r="R799" s="174" t="str">
        <f>IFERROR(__xludf.DUMMYFUNCTION("""COMPUTED_VALUE"""),"Unlisted")</f>
        <v>Unlisted</v>
      </c>
    </row>
    <row r="800">
      <c r="A800" s="255" t="str">
        <f>IFERROR(__xludf.DUMMYFUNCTION("""COMPUTED_VALUE"""),"Hoothoot")</f>
        <v>Hoothoot</v>
      </c>
      <c r="B800" s="174" t="str">
        <f>IFERROR(__xludf.DUMMYFUNCTION("""COMPUTED_VALUE"""),"Proficient")</f>
        <v>Proficient</v>
      </c>
      <c r="C800" s="174" t="str">
        <f>IFERROR(__xludf.DUMMYFUNCTION("""COMPUTED_VALUE"""),"Inept")</f>
        <v>Inept</v>
      </c>
      <c r="D800" s="174" t="str">
        <f>IFERROR(__xludf.DUMMYFUNCTION("""COMPUTED_VALUE"""),"Unlisted")</f>
        <v>Unlisted</v>
      </c>
      <c r="E800" s="174" t="str">
        <f>IFERROR(__xludf.DUMMYFUNCTION("""COMPUTED_VALUE"""),"Inept")</f>
        <v>Inept</v>
      </c>
      <c r="F800" s="174" t="str">
        <f>IFERROR(__xludf.DUMMYFUNCTION("""COMPUTED_VALUE"""),"Unlisted")</f>
        <v>Unlisted</v>
      </c>
      <c r="G800" s="174" t="str">
        <f>IFERROR(__xludf.DUMMYFUNCTION("""COMPUTED_VALUE"""),"Mastered")</f>
        <v>Mastered</v>
      </c>
      <c r="H800" s="174" t="str">
        <f>IFERROR(__xludf.DUMMYFUNCTION("""COMPUTED_VALUE"""),"Unlisted")</f>
        <v>Unlisted</v>
      </c>
      <c r="I800" s="174" t="str">
        <f>IFERROR(__xludf.DUMMYFUNCTION("""COMPUTED_VALUE"""),"Unlisted")</f>
        <v>Unlisted</v>
      </c>
      <c r="J800" s="174" t="str">
        <f>IFERROR(__xludf.DUMMYFUNCTION("""COMPUTED_VALUE"""),"Unlisted")</f>
        <v>Unlisted</v>
      </c>
      <c r="K800" s="174" t="str">
        <f>IFERROR(__xludf.DUMMYFUNCTION("""COMPUTED_VALUE"""),"Unlisted")</f>
        <v>Unlisted</v>
      </c>
      <c r="L800" s="174" t="str">
        <f>IFERROR(__xludf.DUMMYFUNCTION("""COMPUTED_VALUE"""),"Proficient")</f>
        <v>Proficient</v>
      </c>
      <c r="M800" s="174" t="str">
        <f>IFERROR(__xludf.DUMMYFUNCTION("""COMPUTED_VALUE"""),"Unlisted")</f>
        <v>Unlisted</v>
      </c>
      <c r="N800" s="174" t="str">
        <f>IFERROR(__xludf.DUMMYFUNCTION("""COMPUTED_VALUE"""),"Unlisted")</f>
        <v>Unlisted</v>
      </c>
      <c r="O800" s="174" t="str">
        <f>IFERROR(__xludf.DUMMYFUNCTION("""COMPUTED_VALUE"""),"Proficient")</f>
        <v>Proficient</v>
      </c>
      <c r="P800" s="174" t="str">
        <f>IFERROR(__xludf.DUMMYFUNCTION("""COMPUTED_VALUE"""),"Unlisted")</f>
        <v>Unlisted</v>
      </c>
      <c r="Q800" s="174" t="str">
        <f>IFERROR(__xludf.DUMMYFUNCTION("""COMPUTED_VALUE"""),"Unlisted")</f>
        <v>Unlisted</v>
      </c>
      <c r="R800" s="174" t="str">
        <f>IFERROR(__xludf.DUMMYFUNCTION("""COMPUTED_VALUE"""),"Unlisted")</f>
        <v>Unlisted</v>
      </c>
    </row>
    <row r="801">
      <c r="A801" s="255" t="str">
        <f>IFERROR(__xludf.DUMMYFUNCTION("""COMPUTED_VALUE"""),"Noctowl")</f>
        <v>Noctowl</v>
      </c>
      <c r="B801" s="174" t="str">
        <f>IFERROR(__xludf.DUMMYFUNCTION("""COMPUTED_VALUE"""),"Proficient")</f>
        <v>Proficient</v>
      </c>
      <c r="C801" s="174" t="str">
        <f>IFERROR(__xludf.DUMMYFUNCTION("""COMPUTED_VALUE"""),"Unlisted")</f>
        <v>Unlisted</v>
      </c>
      <c r="D801" s="174" t="str">
        <f>IFERROR(__xludf.DUMMYFUNCTION("""COMPUTED_VALUE"""),"Unlisted")</f>
        <v>Unlisted</v>
      </c>
      <c r="E801" s="174" t="str">
        <f>IFERROR(__xludf.DUMMYFUNCTION("""COMPUTED_VALUE"""),"Inept")</f>
        <v>Inept</v>
      </c>
      <c r="F801" s="174" t="str">
        <f>IFERROR(__xludf.DUMMYFUNCTION("""COMPUTED_VALUE"""),"Unlisted")</f>
        <v>Unlisted</v>
      </c>
      <c r="G801" s="174" t="str">
        <f>IFERROR(__xludf.DUMMYFUNCTION("""COMPUTED_VALUE"""),"Mastered")</f>
        <v>Mastered</v>
      </c>
      <c r="H801" s="174" t="str">
        <f>IFERROR(__xludf.DUMMYFUNCTION("""COMPUTED_VALUE"""),"Unlisted")</f>
        <v>Unlisted</v>
      </c>
      <c r="I801" s="174" t="str">
        <f>IFERROR(__xludf.DUMMYFUNCTION("""COMPUTED_VALUE"""),"Unlisted")</f>
        <v>Unlisted</v>
      </c>
      <c r="J801" s="174" t="str">
        <f>IFERROR(__xludf.DUMMYFUNCTION("""COMPUTED_VALUE"""),"Unlisted")</f>
        <v>Unlisted</v>
      </c>
      <c r="K801" s="174" t="str">
        <f>IFERROR(__xludf.DUMMYFUNCTION("""COMPUTED_VALUE"""),"Unlisted")</f>
        <v>Unlisted</v>
      </c>
      <c r="L801" s="174" t="str">
        <f>IFERROR(__xludf.DUMMYFUNCTION("""COMPUTED_VALUE"""),"Proficient")</f>
        <v>Proficient</v>
      </c>
      <c r="M801" s="174" t="str">
        <f>IFERROR(__xludf.DUMMYFUNCTION("""COMPUTED_VALUE"""),"Unlisted")</f>
        <v>Unlisted</v>
      </c>
      <c r="N801" s="174" t="str">
        <f>IFERROR(__xludf.DUMMYFUNCTION("""COMPUTED_VALUE"""),"Unlisted")</f>
        <v>Unlisted</v>
      </c>
      <c r="O801" s="174" t="str">
        <f>IFERROR(__xludf.DUMMYFUNCTION("""COMPUTED_VALUE"""),"Proficient")</f>
        <v>Proficient</v>
      </c>
      <c r="P801" s="174" t="str">
        <f>IFERROR(__xludf.DUMMYFUNCTION("""COMPUTED_VALUE"""),"Unlisted")</f>
        <v>Unlisted</v>
      </c>
      <c r="Q801" s="174" t="str">
        <f>IFERROR(__xludf.DUMMYFUNCTION("""COMPUTED_VALUE"""),"Unlisted")</f>
        <v>Unlisted</v>
      </c>
      <c r="R801" s="174" t="str">
        <f>IFERROR(__xludf.DUMMYFUNCTION("""COMPUTED_VALUE"""),"Unlisted")</f>
        <v>Unlisted</v>
      </c>
    </row>
    <row r="802">
      <c r="A802" s="255" t="str">
        <f>IFERROR(__xludf.DUMMYFUNCTION("""COMPUTED_VALUE"""),"Aipom")</f>
        <v>Aipom</v>
      </c>
      <c r="B802" s="174" t="str">
        <f>IFERROR(__xludf.DUMMYFUNCTION("""COMPUTED_VALUE"""),"Mastered")</f>
        <v>Mastered</v>
      </c>
      <c r="C802" s="174" t="str">
        <f>IFERROR(__xludf.DUMMYFUNCTION("""COMPUTED_VALUE"""),"Proficient")</f>
        <v>Proficient</v>
      </c>
      <c r="D802" s="174" t="str">
        <f>IFERROR(__xludf.DUMMYFUNCTION("""COMPUTED_VALUE"""),"Unlisted")</f>
        <v>Unlisted</v>
      </c>
      <c r="E802" s="174" t="str">
        <f>IFERROR(__xludf.DUMMYFUNCTION("""COMPUTED_VALUE"""),"Unlisted")</f>
        <v>Unlisted</v>
      </c>
      <c r="F802" s="174" t="str">
        <f>IFERROR(__xludf.DUMMYFUNCTION("""COMPUTED_VALUE"""),"Unlisted")</f>
        <v>Unlisted</v>
      </c>
      <c r="G802" s="174" t="str">
        <f>IFERROR(__xludf.DUMMYFUNCTION("""COMPUTED_VALUE"""),"Inept")</f>
        <v>Inept</v>
      </c>
      <c r="H802" s="174" t="str">
        <f>IFERROR(__xludf.DUMMYFUNCTION("""COMPUTED_VALUE"""),"Proficient")</f>
        <v>Proficient</v>
      </c>
      <c r="I802" s="174" t="str">
        <f>IFERROR(__xludf.DUMMYFUNCTION("""COMPUTED_VALUE"""),"Unlisted")</f>
        <v>Unlisted</v>
      </c>
      <c r="J802" s="174" t="str">
        <f>IFERROR(__xludf.DUMMYFUNCTION("""COMPUTED_VALUE"""),"Unlisted")</f>
        <v>Unlisted</v>
      </c>
      <c r="K802" s="174" t="str">
        <f>IFERROR(__xludf.DUMMYFUNCTION("""COMPUTED_VALUE"""),"Proficient")</f>
        <v>Proficient</v>
      </c>
      <c r="L802" s="174" t="str">
        <f>IFERROR(__xludf.DUMMYFUNCTION("""COMPUTED_VALUE"""),"Unlisted")</f>
        <v>Unlisted</v>
      </c>
      <c r="M802" s="174" t="str">
        <f>IFERROR(__xludf.DUMMYFUNCTION("""COMPUTED_VALUE"""),"Unlisted")</f>
        <v>Unlisted</v>
      </c>
      <c r="N802" s="174" t="str">
        <f>IFERROR(__xludf.DUMMYFUNCTION("""COMPUTED_VALUE"""),"Unlisted")</f>
        <v>Unlisted</v>
      </c>
      <c r="O802" s="174" t="str">
        <f>IFERROR(__xludf.DUMMYFUNCTION("""COMPUTED_VALUE"""),"Unlisted")</f>
        <v>Unlisted</v>
      </c>
      <c r="P802" s="174" t="str">
        <f>IFERROR(__xludf.DUMMYFUNCTION("""COMPUTED_VALUE"""),"Unlisted")</f>
        <v>Unlisted</v>
      </c>
      <c r="Q802" s="174" t="str">
        <f>IFERROR(__xludf.DUMMYFUNCTION("""COMPUTED_VALUE"""),"Unlisted")</f>
        <v>Unlisted</v>
      </c>
      <c r="R802" s="174" t="str">
        <f>IFERROR(__xludf.DUMMYFUNCTION("""COMPUTED_VALUE"""),"Unlisted")</f>
        <v>Unlisted</v>
      </c>
    </row>
    <row r="803">
      <c r="A803" s="255" t="str">
        <f>IFERROR(__xludf.DUMMYFUNCTION("""COMPUTED_VALUE"""),"Ambipom")</f>
        <v>Ambipom</v>
      </c>
      <c r="B803" s="174" t="str">
        <f>IFERROR(__xludf.DUMMYFUNCTION("""COMPUTED_VALUE"""),"Mastered")</f>
        <v>Mastered</v>
      </c>
      <c r="C803" s="174" t="str">
        <f>IFERROR(__xludf.DUMMYFUNCTION("""COMPUTED_VALUE"""),"Proficient")</f>
        <v>Proficient</v>
      </c>
      <c r="D803" s="174" t="str">
        <f>IFERROR(__xludf.DUMMYFUNCTION("""COMPUTED_VALUE"""),"Unlisted")</f>
        <v>Unlisted</v>
      </c>
      <c r="E803" s="174" t="str">
        <f>IFERROR(__xludf.DUMMYFUNCTION("""COMPUTED_VALUE"""),"Unlisted")</f>
        <v>Unlisted</v>
      </c>
      <c r="F803" s="174" t="str">
        <f>IFERROR(__xludf.DUMMYFUNCTION("""COMPUTED_VALUE"""),"Unlisted")</f>
        <v>Unlisted</v>
      </c>
      <c r="G803" s="174" t="str">
        <f>IFERROR(__xludf.DUMMYFUNCTION("""COMPUTED_VALUE"""),"Inept")</f>
        <v>Inept</v>
      </c>
      <c r="H803" s="174" t="str">
        <f>IFERROR(__xludf.DUMMYFUNCTION("""COMPUTED_VALUE"""),"Proficient")</f>
        <v>Proficient</v>
      </c>
      <c r="I803" s="174" t="str">
        <f>IFERROR(__xludf.DUMMYFUNCTION("""COMPUTED_VALUE"""),"Unlisted")</f>
        <v>Unlisted</v>
      </c>
      <c r="J803" s="174" t="str">
        <f>IFERROR(__xludf.DUMMYFUNCTION("""COMPUTED_VALUE"""),"Unlisted")</f>
        <v>Unlisted</v>
      </c>
      <c r="K803" s="174" t="str">
        <f>IFERROR(__xludf.DUMMYFUNCTION("""COMPUTED_VALUE"""),"Proficient")</f>
        <v>Proficient</v>
      </c>
      <c r="L803" s="174" t="str">
        <f>IFERROR(__xludf.DUMMYFUNCTION("""COMPUTED_VALUE"""),"Unlisted")</f>
        <v>Unlisted</v>
      </c>
      <c r="M803" s="174" t="str">
        <f>IFERROR(__xludf.DUMMYFUNCTION("""COMPUTED_VALUE"""),"Unlisted")</f>
        <v>Unlisted</v>
      </c>
      <c r="N803" s="174" t="str">
        <f>IFERROR(__xludf.DUMMYFUNCTION("""COMPUTED_VALUE"""),"Unlisted")</f>
        <v>Unlisted</v>
      </c>
      <c r="O803" s="174" t="str">
        <f>IFERROR(__xludf.DUMMYFUNCTION("""COMPUTED_VALUE"""),"Unlisted")</f>
        <v>Unlisted</v>
      </c>
      <c r="P803" s="174" t="str">
        <f>IFERROR(__xludf.DUMMYFUNCTION("""COMPUTED_VALUE"""),"Unlisted")</f>
        <v>Unlisted</v>
      </c>
      <c r="Q803" s="174" t="str">
        <f>IFERROR(__xludf.DUMMYFUNCTION("""COMPUTED_VALUE"""),"Unlisted")</f>
        <v>Unlisted</v>
      </c>
      <c r="R803" s="174" t="str">
        <f>IFERROR(__xludf.DUMMYFUNCTION("""COMPUTED_VALUE"""),"Unlisted")</f>
        <v>Unlisted</v>
      </c>
    </row>
    <row r="804">
      <c r="A804" s="255" t="str">
        <f>IFERROR(__xludf.DUMMYFUNCTION("""COMPUTED_VALUE"""),"Teddiursa")</f>
        <v>Teddiursa</v>
      </c>
      <c r="B804" s="174" t="str">
        <f>IFERROR(__xludf.DUMMYFUNCTION("""COMPUTED_VALUE"""),"Unlisted")</f>
        <v>Unlisted</v>
      </c>
      <c r="C804" s="174" t="str">
        <f>IFERROR(__xludf.DUMMYFUNCTION("""COMPUTED_VALUE"""),"Unlisted")</f>
        <v>Unlisted</v>
      </c>
      <c r="D804" s="174" t="str">
        <f>IFERROR(__xludf.DUMMYFUNCTION("""COMPUTED_VALUE"""),"Unlisted")</f>
        <v>Unlisted</v>
      </c>
      <c r="E804" s="174" t="str">
        <f>IFERROR(__xludf.DUMMYFUNCTION("""COMPUTED_VALUE"""),"Unlisted")</f>
        <v>Unlisted</v>
      </c>
      <c r="F804" s="174" t="str">
        <f>IFERROR(__xludf.DUMMYFUNCTION("""COMPUTED_VALUE"""),"Unlisted")</f>
        <v>Unlisted</v>
      </c>
      <c r="G804" s="174" t="str">
        <f>IFERROR(__xludf.DUMMYFUNCTION("""COMPUTED_VALUE"""),"Unlisted")</f>
        <v>Unlisted</v>
      </c>
      <c r="H804" s="174" t="str">
        <f>IFERROR(__xludf.DUMMYFUNCTION("""COMPUTED_VALUE"""),"Unlisted")</f>
        <v>Unlisted</v>
      </c>
      <c r="I804" s="174" t="str">
        <f>IFERROR(__xludf.DUMMYFUNCTION("""COMPUTED_VALUE"""),"Unlisted")</f>
        <v>Unlisted</v>
      </c>
      <c r="J804" s="174" t="str">
        <f>IFERROR(__xludf.DUMMYFUNCTION("""COMPUTED_VALUE"""),"Unlisted")</f>
        <v>Unlisted</v>
      </c>
      <c r="K804" s="174" t="str">
        <f>IFERROR(__xludf.DUMMYFUNCTION("""COMPUTED_VALUE"""),"Proficient")</f>
        <v>Proficient</v>
      </c>
      <c r="L804" s="174" t="str">
        <f>IFERROR(__xludf.DUMMYFUNCTION("""COMPUTED_VALUE"""),"Unlisted")</f>
        <v>Unlisted</v>
      </c>
      <c r="M804" s="174" t="str">
        <f>IFERROR(__xludf.DUMMYFUNCTION("""COMPUTED_VALUE"""),"Unlisted")</f>
        <v>Unlisted</v>
      </c>
      <c r="N804" s="174" t="str">
        <f>IFERROR(__xludf.DUMMYFUNCTION("""COMPUTED_VALUE"""),"Unlisted")</f>
        <v>Unlisted</v>
      </c>
      <c r="O804" s="174" t="str">
        <f>IFERROR(__xludf.DUMMYFUNCTION("""COMPUTED_VALUE"""),"Unlisted")</f>
        <v>Unlisted</v>
      </c>
      <c r="P804" s="174" t="str">
        <f>IFERROR(__xludf.DUMMYFUNCTION("""COMPUTED_VALUE"""),"Unlisted")</f>
        <v>Unlisted</v>
      </c>
      <c r="Q804" s="174" t="str">
        <f>IFERROR(__xludf.DUMMYFUNCTION("""COMPUTED_VALUE"""),"Unlisted")</f>
        <v>Unlisted</v>
      </c>
      <c r="R804" s="174" t="str">
        <f>IFERROR(__xludf.DUMMYFUNCTION("""COMPUTED_VALUE"""),"Unlisted")</f>
        <v>Unlisted</v>
      </c>
    </row>
    <row r="805">
      <c r="A805" s="255" t="str">
        <f>IFERROR(__xludf.DUMMYFUNCTION("""COMPUTED_VALUE"""),"Ursaring")</f>
        <v>Ursaring</v>
      </c>
      <c r="B805" s="174" t="str">
        <f>IFERROR(__xludf.DUMMYFUNCTION("""COMPUTED_VALUE"""),"Unlisted")</f>
        <v>Unlisted</v>
      </c>
      <c r="C805" s="174" t="str">
        <f>IFERROR(__xludf.DUMMYFUNCTION("""COMPUTED_VALUE"""),"Proficient")</f>
        <v>Proficient</v>
      </c>
      <c r="D805" s="174" t="str">
        <f>IFERROR(__xludf.DUMMYFUNCTION("""COMPUTED_VALUE"""),"Unlisted")</f>
        <v>Unlisted</v>
      </c>
      <c r="E805" s="174" t="str">
        <f>IFERROR(__xludf.DUMMYFUNCTION("""COMPUTED_VALUE"""),"Proficient")</f>
        <v>Proficient</v>
      </c>
      <c r="F805" s="174" t="str">
        <f>IFERROR(__xludf.DUMMYFUNCTION("""COMPUTED_VALUE"""),"Unlisted")</f>
        <v>Unlisted</v>
      </c>
      <c r="G805" s="174" t="str">
        <f>IFERROR(__xludf.DUMMYFUNCTION("""COMPUTED_VALUE"""),"Unlisted")</f>
        <v>Unlisted</v>
      </c>
      <c r="H805" s="174" t="str">
        <f>IFERROR(__xludf.DUMMYFUNCTION("""COMPUTED_VALUE"""),"Unlisted")</f>
        <v>Unlisted</v>
      </c>
      <c r="I805" s="174" t="str">
        <f>IFERROR(__xludf.DUMMYFUNCTION("""COMPUTED_VALUE"""),"Proficient")</f>
        <v>Proficient</v>
      </c>
      <c r="J805" s="174" t="str">
        <f>IFERROR(__xludf.DUMMYFUNCTION("""COMPUTED_VALUE"""),"Unlisted")</f>
        <v>Unlisted</v>
      </c>
      <c r="K805" s="174" t="str">
        <f>IFERROR(__xludf.DUMMYFUNCTION("""COMPUTED_VALUE"""),"Unlisted")</f>
        <v>Unlisted</v>
      </c>
      <c r="L805" s="174" t="str">
        <f>IFERROR(__xludf.DUMMYFUNCTION("""COMPUTED_VALUE"""),"Unlisted")</f>
        <v>Unlisted</v>
      </c>
      <c r="M805" s="174" t="str">
        <f>IFERROR(__xludf.DUMMYFUNCTION("""COMPUTED_VALUE"""),"Unlisted")</f>
        <v>Unlisted</v>
      </c>
      <c r="N805" s="174" t="str">
        <f>IFERROR(__xludf.DUMMYFUNCTION("""COMPUTED_VALUE"""),"Unlisted")</f>
        <v>Unlisted</v>
      </c>
      <c r="O805" s="174" t="str">
        <f>IFERROR(__xludf.DUMMYFUNCTION("""COMPUTED_VALUE"""),"Unlisted")</f>
        <v>Unlisted</v>
      </c>
      <c r="P805" s="174" t="str">
        <f>IFERROR(__xludf.DUMMYFUNCTION("""COMPUTED_VALUE"""),"Unlisted")</f>
        <v>Unlisted</v>
      </c>
      <c r="Q805" s="174" t="str">
        <f>IFERROR(__xludf.DUMMYFUNCTION("""COMPUTED_VALUE"""),"Unlisted")</f>
        <v>Unlisted</v>
      </c>
      <c r="R805" s="174" t="str">
        <f>IFERROR(__xludf.DUMMYFUNCTION("""COMPUTED_VALUE"""),"Unlisted")</f>
        <v>Unlisted</v>
      </c>
    </row>
    <row r="806">
      <c r="A806" s="255" t="str">
        <f>IFERROR(__xludf.DUMMYFUNCTION("""COMPUTED_VALUE"""),"Ursaluna")</f>
        <v>Ursaluna</v>
      </c>
      <c r="B806" s="174" t="str">
        <f>IFERROR(__xludf.DUMMYFUNCTION("""COMPUTED_VALUE"""),"Unlisted")</f>
        <v>Unlisted</v>
      </c>
      <c r="C806" s="174" t="str">
        <f>IFERROR(__xludf.DUMMYFUNCTION("""COMPUTED_VALUE"""),"Proficient")</f>
        <v>Proficient</v>
      </c>
      <c r="D806" s="174" t="str">
        <f>IFERROR(__xludf.DUMMYFUNCTION("""COMPUTED_VALUE"""),"Unlisted")</f>
        <v>Unlisted</v>
      </c>
      <c r="E806" s="174" t="str">
        <f>IFERROR(__xludf.DUMMYFUNCTION("""COMPUTED_VALUE"""),"Proficient")</f>
        <v>Proficient</v>
      </c>
      <c r="F806" s="174" t="str">
        <f>IFERROR(__xludf.DUMMYFUNCTION("""COMPUTED_VALUE"""),"Unlisted")</f>
        <v>Unlisted</v>
      </c>
      <c r="G806" s="174" t="str">
        <f>IFERROR(__xludf.DUMMYFUNCTION("""COMPUTED_VALUE"""),"Unlisted")</f>
        <v>Unlisted</v>
      </c>
      <c r="H806" s="174" t="str">
        <f>IFERROR(__xludf.DUMMYFUNCTION("""COMPUTED_VALUE"""),"Unlisted")</f>
        <v>Unlisted</v>
      </c>
      <c r="I806" s="174" t="str">
        <f>IFERROR(__xludf.DUMMYFUNCTION("""COMPUTED_VALUE"""),"Proficient")</f>
        <v>Proficient</v>
      </c>
      <c r="J806" s="174" t="str">
        <f>IFERROR(__xludf.DUMMYFUNCTION("""COMPUTED_VALUE"""),"Unlisted")</f>
        <v>Unlisted</v>
      </c>
      <c r="K806" s="174" t="str">
        <f>IFERROR(__xludf.DUMMYFUNCTION("""COMPUTED_VALUE"""),"Unlisted")</f>
        <v>Unlisted</v>
      </c>
      <c r="L806" s="174" t="str">
        <f>IFERROR(__xludf.DUMMYFUNCTION("""COMPUTED_VALUE"""),"Unlisted")</f>
        <v>Unlisted</v>
      </c>
      <c r="M806" s="174" t="str">
        <f>IFERROR(__xludf.DUMMYFUNCTION("""COMPUTED_VALUE"""),"Unlisted")</f>
        <v>Unlisted</v>
      </c>
      <c r="N806" s="174" t="str">
        <f>IFERROR(__xludf.DUMMYFUNCTION("""COMPUTED_VALUE"""),"Unlisted")</f>
        <v>Unlisted</v>
      </c>
      <c r="O806" s="174" t="str">
        <f>IFERROR(__xludf.DUMMYFUNCTION("""COMPUTED_VALUE"""),"Unlisted")</f>
        <v>Unlisted</v>
      </c>
      <c r="P806" s="174" t="str">
        <f>IFERROR(__xludf.DUMMYFUNCTION("""COMPUTED_VALUE"""),"Unlisted")</f>
        <v>Unlisted</v>
      </c>
      <c r="Q806" s="174" t="str">
        <f>IFERROR(__xludf.DUMMYFUNCTION("""COMPUTED_VALUE"""),"Unlisted")</f>
        <v>Unlisted</v>
      </c>
      <c r="R806" s="174" t="str">
        <f>IFERROR(__xludf.DUMMYFUNCTION("""COMPUTED_VALUE"""),"Unlisted")</f>
        <v>Unlisted</v>
      </c>
    </row>
    <row r="807">
      <c r="A807" s="255" t="str">
        <f>IFERROR(__xludf.DUMMYFUNCTION("""COMPUTED_VALUE"""),"Ursaluna (Blood Moon)")</f>
        <v>Ursaluna (Blood Moon)</v>
      </c>
      <c r="B807" s="174" t="str">
        <f>IFERROR(__xludf.DUMMYFUNCTION("""COMPUTED_VALUE"""),"Unlisted")</f>
        <v>Unlisted</v>
      </c>
      <c r="C807" s="174" t="str">
        <f>IFERROR(__xludf.DUMMYFUNCTION("""COMPUTED_VALUE"""),"Proficient")</f>
        <v>Proficient</v>
      </c>
      <c r="D807" s="174" t="str">
        <f>IFERROR(__xludf.DUMMYFUNCTION("""COMPUTED_VALUE"""),"Unlisted")</f>
        <v>Unlisted</v>
      </c>
      <c r="E807" s="174" t="str">
        <f>IFERROR(__xludf.DUMMYFUNCTION("""COMPUTED_VALUE"""),"Mastered")</f>
        <v>Mastered</v>
      </c>
      <c r="F807" s="174" t="str">
        <f>IFERROR(__xludf.DUMMYFUNCTION("""COMPUTED_VALUE"""),"Unlisted")</f>
        <v>Unlisted</v>
      </c>
      <c r="G807" s="174" t="str">
        <f>IFERROR(__xludf.DUMMYFUNCTION("""COMPUTED_VALUE"""),"Unlisted")</f>
        <v>Unlisted</v>
      </c>
      <c r="H807" s="174" t="str">
        <f>IFERROR(__xludf.DUMMYFUNCTION("""COMPUTED_VALUE"""),"Unlisted")</f>
        <v>Unlisted</v>
      </c>
      <c r="I807" s="174" t="str">
        <f>IFERROR(__xludf.DUMMYFUNCTION("""COMPUTED_VALUE"""),"Proficient")</f>
        <v>Proficient</v>
      </c>
      <c r="J807" s="174" t="str">
        <f>IFERROR(__xludf.DUMMYFUNCTION("""COMPUTED_VALUE"""),"Unlisted")</f>
        <v>Unlisted</v>
      </c>
      <c r="K807" s="174" t="str">
        <f>IFERROR(__xludf.DUMMYFUNCTION("""COMPUTED_VALUE"""),"Unlisted")</f>
        <v>Unlisted</v>
      </c>
      <c r="L807" s="174" t="str">
        <f>IFERROR(__xludf.DUMMYFUNCTION("""COMPUTED_VALUE"""),"Unlisted")</f>
        <v>Unlisted</v>
      </c>
      <c r="M807" s="174" t="str">
        <f>IFERROR(__xludf.DUMMYFUNCTION("""COMPUTED_VALUE"""),"Unlisted")</f>
        <v>Unlisted</v>
      </c>
      <c r="N807" s="174" t="str">
        <f>IFERROR(__xludf.DUMMYFUNCTION("""COMPUTED_VALUE"""),"Unlisted")</f>
        <v>Unlisted</v>
      </c>
      <c r="O807" s="174" t="str">
        <f>IFERROR(__xludf.DUMMYFUNCTION("""COMPUTED_VALUE"""),"Unlisted")</f>
        <v>Unlisted</v>
      </c>
      <c r="P807" s="174" t="str">
        <f>IFERROR(__xludf.DUMMYFUNCTION("""COMPUTED_VALUE"""),"Unlisted")</f>
        <v>Unlisted</v>
      </c>
      <c r="Q807" s="174" t="str">
        <f>IFERROR(__xludf.DUMMYFUNCTION("""COMPUTED_VALUE"""),"Unlisted")</f>
        <v>Unlisted</v>
      </c>
      <c r="R807" s="174" t="str">
        <f>IFERROR(__xludf.DUMMYFUNCTION("""COMPUTED_VALUE"""),"Unlisted")</f>
        <v>Unlisted</v>
      </c>
    </row>
    <row r="808">
      <c r="A808" s="255" t="str">
        <f>IFERROR(__xludf.DUMMYFUNCTION("""COMPUTED_VALUE"""),"Girafarig")</f>
        <v>Girafarig</v>
      </c>
      <c r="B808" s="174" t="str">
        <f>IFERROR(__xludf.DUMMYFUNCTION("""COMPUTED_VALUE"""),"Proficient")</f>
        <v>Proficient</v>
      </c>
      <c r="C808" s="174" t="str">
        <f>IFERROR(__xludf.DUMMYFUNCTION("""COMPUTED_VALUE"""),"Unlisted")</f>
        <v>Unlisted</v>
      </c>
      <c r="D808" s="174" t="str">
        <f>IFERROR(__xludf.DUMMYFUNCTION("""COMPUTED_VALUE"""),"Unlisted")</f>
        <v>Unlisted</v>
      </c>
      <c r="E808" s="174" t="str">
        <f>IFERROR(__xludf.DUMMYFUNCTION("""COMPUTED_VALUE"""),"Unlisted")</f>
        <v>Unlisted</v>
      </c>
      <c r="F808" s="174" t="str">
        <f>IFERROR(__xludf.DUMMYFUNCTION("""COMPUTED_VALUE"""),"Unlisted")</f>
        <v>Unlisted</v>
      </c>
      <c r="G808" s="174" t="str">
        <f>IFERROR(__xludf.DUMMYFUNCTION("""COMPUTED_VALUE"""),"Mastered")</f>
        <v>Mastered</v>
      </c>
      <c r="H808" s="174" t="str">
        <f>IFERROR(__xludf.DUMMYFUNCTION("""COMPUTED_VALUE"""),"Unlisted")</f>
        <v>Unlisted</v>
      </c>
      <c r="I808" s="174" t="str">
        <f>IFERROR(__xludf.DUMMYFUNCTION("""COMPUTED_VALUE"""),"Unlisted")</f>
        <v>Unlisted</v>
      </c>
      <c r="J808" s="174" t="str">
        <f>IFERROR(__xludf.DUMMYFUNCTION("""COMPUTED_VALUE"""),"Unlisted")</f>
        <v>Unlisted</v>
      </c>
      <c r="K808" s="174" t="str">
        <f>IFERROR(__xludf.DUMMYFUNCTION("""COMPUTED_VALUE"""),"Proficient")</f>
        <v>Proficient</v>
      </c>
      <c r="L808" s="174" t="str">
        <f>IFERROR(__xludf.DUMMYFUNCTION("""COMPUTED_VALUE"""),"Unlisted")</f>
        <v>Unlisted</v>
      </c>
      <c r="M808" s="174" t="str">
        <f>IFERROR(__xludf.DUMMYFUNCTION("""COMPUTED_VALUE"""),"Unlisted")</f>
        <v>Unlisted</v>
      </c>
      <c r="N808" s="174" t="str">
        <f>IFERROR(__xludf.DUMMYFUNCTION("""COMPUTED_VALUE"""),"Unlisted")</f>
        <v>Unlisted</v>
      </c>
      <c r="O808" s="174" t="str">
        <f>IFERROR(__xludf.DUMMYFUNCTION("""COMPUTED_VALUE"""),"Unlisted")</f>
        <v>Unlisted</v>
      </c>
      <c r="P808" s="174" t="str">
        <f>IFERROR(__xludf.DUMMYFUNCTION("""COMPUTED_VALUE"""),"Unlisted")</f>
        <v>Unlisted</v>
      </c>
      <c r="Q808" s="174" t="str">
        <f>IFERROR(__xludf.DUMMYFUNCTION("""COMPUTED_VALUE"""),"Unlisted")</f>
        <v>Unlisted</v>
      </c>
      <c r="R808" s="174" t="str">
        <f>IFERROR(__xludf.DUMMYFUNCTION("""COMPUTED_VALUE"""),"Unlisted")</f>
        <v>Unlisted</v>
      </c>
    </row>
    <row r="809">
      <c r="A809" s="255" t="str">
        <f>IFERROR(__xludf.DUMMYFUNCTION("""COMPUTED_VALUE"""),"Farigiraf")</f>
        <v>Farigiraf</v>
      </c>
      <c r="B809" s="174" t="str">
        <f>IFERROR(__xludf.DUMMYFUNCTION("""COMPUTED_VALUE"""),"Unlisted")</f>
        <v>Unlisted</v>
      </c>
      <c r="C809" s="174" t="str">
        <f>IFERROR(__xludf.DUMMYFUNCTION("""COMPUTED_VALUE"""),"Proficient")</f>
        <v>Proficient</v>
      </c>
      <c r="D809" s="174" t="str">
        <f>IFERROR(__xludf.DUMMYFUNCTION("""COMPUTED_VALUE"""),"Unlisted")</f>
        <v>Unlisted</v>
      </c>
      <c r="E809" s="174" t="str">
        <f>IFERROR(__xludf.DUMMYFUNCTION("""COMPUTED_VALUE"""),"Unlisted")</f>
        <v>Unlisted</v>
      </c>
      <c r="F809" s="174" t="str">
        <f>IFERROR(__xludf.DUMMYFUNCTION("""COMPUTED_VALUE"""),"Unlisted")</f>
        <v>Unlisted</v>
      </c>
      <c r="G809" s="174" t="str">
        <f>IFERROR(__xludf.DUMMYFUNCTION("""COMPUTED_VALUE"""),"Mastered")</f>
        <v>Mastered</v>
      </c>
      <c r="H809" s="174" t="str">
        <f>IFERROR(__xludf.DUMMYFUNCTION("""COMPUTED_VALUE"""),"Unlisted")</f>
        <v>Unlisted</v>
      </c>
      <c r="I809" s="174" t="str">
        <f>IFERROR(__xludf.DUMMYFUNCTION("""COMPUTED_VALUE"""),"Unlisted")</f>
        <v>Unlisted</v>
      </c>
      <c r="J809" s="174" t="str">
        <f>IFERROR(__xludf.DUMMYFUNCTION("""COMPUTED_VALUE"""),"Unlisted")</f>
        <v>Unlisted</v>
      </c>
      <c r="K809" s="174" t="str">
        <f>IFERROR(__xludf.DUMMYFUNCTION("""COMPUTED_VALUE"""),"Proficient")</f>
        <v>Proficient</v>
      </c>
      <c r="L809" s="174" t="str">
        <f>IFERROR(__xludf.DUMMYFUNCTION("""COMPUTED_VALUE"""),"Unlisted")</f>
        <v>Unlisted</v>
      </c>
      <c r="M809" s="174" t="str">
        <f>IFERROR(__xludf.DUMMYFUNCTION("""COMPUTED_VALUE"""),"Unlisted")</f>
        <v>Unlisted</v>
      </c>
      <c r="N809" s="174" t="str">
        <f>IFERROR(__xludf.DUMMYFUNCTION("""COMPUTED_VALUE"""),"Unlisted")</f>
        <v>Unlisted</v>
      </c>
      <c r="O809" s="174" t="str">
        <f>IFERROR(__xludf.DUMMYFUNCTION("""COMPUTED_VALUE"""),"Unlisted")</f>
        <v>Unlisted</v>
      </c>
      <c r="P809" s="174" t="str">
        <f>IFERROR(__xludf.DUMMYFUNCTION("""COMPUTED_VALUE"""),"Unlisted")</f>
        <v>Unlisted</v>
      </c>
      <c r="Q809" s="174" t="str">
        <f>IFERROR(__xludf.DUMMYFUNCTION("""COMPUTED_VALUE"""),"Unlisted")</f>
        <v>Unlisted</v>
      </c>
      <c r="R809" s="174" t="str">
        <f>IFERROR(__xludf.DUMMYFUNCTION("""COMPUTED_VALUE"""),"Unlisted")</f>
        <v>Unlisted</v>
      </c>
    </row>
    <row r="810">
      <c r="A810" s="255" t="str">
        <f>IFERROR(__xludf.DUMMYFUNCTION("""COMPUTED_VALUE"""),"Dunsparce")</f>
        <v>Dunsparce</v>
      </c>
      <c r="B810" s="174" t="str">
        <f>IFERROR(__xludf.DUMMYFUNCTION("""COMPUTED_VALUE"""),"Unlisted")</f>
        <v>Unlisted</v>
      </c>
      <c r="C810" s="174" t="str">
        <f>IFERROR(__xludf.DUMMYFUNCTION("""COMPUTED_VALUE"""),"Unlisted")</f>
        <v>Unlisted</v>
      </c>
      <c r="D810" s="174" t="str">
        <f>IFERROR(__xludf.DUMMYFUNCTION("""COMPUTED_VALUE"""),"Unlisted")</f>
        <v>Unlisted</v>
      </c>
      <c r="E810" s="174" t="str">
        <f>IFERROR(__xludf.DUMMYFUNCTION("""COMPUTED_VALUE"""),"Unlisted")</f>
        <v>Unlisted</v>
      </c>
      <c r="F810" s="174" t="str">
        <f>IFERROR(__xludf.DUMMYFUNCTION("""COMPUTED_VALUE"""),"Unlisted")</f>
        <v>Unlisted</v>
      </c>
      <c r="G810" s="174" t="str">
        <f>IFERROR(__xludf.DUMMYFUNCTION("""COMPUTED_VALUE"""),"Unlisted")</f>
        <v>Unlisted</v>
      </c>
      <c r="H810" s="174" t="str">
        <f>IFERROR(__xludf.DUMMYFUNCTION("""COMPUTED_VALUE"""),"Unlisted")</f>
        <v>Unlisted</v>
      </c>
      <c r="I810" s="174" t="str">
        <f>IFERROR(__xludf.DUMMYFUNCTION("""COMPUTED_VALUE"""),"Unlisted")</f>
        <v>Unlisted</v>
      </c>
      <c r="J810" s="174" t="str">
        <f>IFERROR(__xludf.DUMMYFUNCTION("""COMPUTED_VALUE"""),"Inept")</f>
        <v>Inept</v>
      </c>
      <c r="K810" s="174" t="str">
        <f>IFERROR(__xludf.DUMMYFUNCTION("""COMPUTED_VALUE"""),"Unlisted")</f>
        <v>Unlisted</v>
      </c>
      <c r="L810" s="174" t="str">
        <f>IFERROR(__xludf.DUMMYFUNCTION("""COMPUTED_VALUE"""),"Mastered")</f>
        <v>Mastered</v>
      </c>
      <c r="M810" s="174" t="str">
        <f>IFERROR(__xludf.DUMMYFUNCTION("""COMPUTED_VALUE"""),"Unlisted")</f>
        <v>Unlisted</v>
      </c>
      <c r="N810" s="174" t="str">
        <f>IFERROR(__xludf.DUMMYFUNCTION("""COMPUTED_VALUE"""),"Unlisted")</f>
        <v>Unlisted</v>
      </c>
      <c r="O810" s="174" t="str">
        <f>IFERROR(__xludf.DUMMYFUNCTION("""COMPUTED_VALUE"""),"Unlisted")</f>
        <v>Unlisted</v>
      </c>
      <c r="P810" s="174" t="str">
        <f>IFERROR(__xludf.DUMMYFUNCTION("""COMPUTED_VALUE"""),"Unlisted")</f>
        <v>Unlisted</v>
      </c>
      <c r="Q810" s="174" t="str">
        <f>IFERROR(__xludf.DUMMYFUNCTION("""COMPUTED_VALUE"""),"Unlisted")</f>
        <v>Unlisted</v>
      </c>
      <c r="R810" s="174" t="str">
        <f>IFERROR(__xludf.DUMMYFUNCTION("""COMPUTED_VALUE"""),"Unlisted")</f>
        <v>Unlisted</v>
      </c>
    </row>
    <row r="811">
      <c r="A811" s="255" t="str">
        <f>IFERROR(__xludf.DUMMYFUNCTION("""COMPUTED_VALUE"""),"Dudunsparce")</f>
        <v>Dudunsparce</v>
      </c>
      <c r="B811" s="174" t="str">
        <f>IFERROR(__xludf.DUMMYFUNCTION("""COMPUTED_VALUE"""),"Unlisted")</f>
        <v>Unlisted</v>
      </c>
      <c r="C811" s="174" t="str">
        <f>IFERROR(__xludf.DUMMYFUNCTION("""COMPUTED_VALUE"""),"Unlisted")</f>
        <v>Unlisted</v>
      </c>
      <c r="D811" s="174" t="str">
        <f>IFERROR(__xludf.DUMMYFUNCTION("""COMPUTED_VALUE"""),"Unlisted")</f>
        <v>Unlisted</v>
      </c>
      <c r="E811" s="174" t="str">
        <f>IFERROR(__xludf.DUMMYFUNCTION("""COMPUTED_VALUE"""),"Unlisted")</f>
        <v>Unlisted</v>
      </c>
      <c r="F811" s="174" t="str">
        <f>IFERROR(__xludf.DUMMYFUNCTION("""COMPUTED_VALUE"""),"Unlisted")</f>
        <v>Unlisted</v>
      </c>
      <c r="G811" s="174" t="str">
        <f>IFERROR(__xludf.DUMMYFUNCTION("""COMPUTED_VALUE"""),"Unlisted")</f>
        <v>Unlisted</v>
      </c>
      <c r="H811" s="174" t="str">
        <f>IFERROR(__xludf.DUMMYFUNCTION("""COMPUTED_VALUE"""),"Unlisted")</f>
        <v>Unlisted</v>
      </c>
      <c r="I811" s="174" t="str">
        <f>IFERROR(__xludf.DUMMYFUNCTION("""COMPUTED_VALUE"""),"Unlisted")</f>
        <v>Unlisted</v>
      </c>
      <c r="J811" s="174" t="str">
        <f>IFERROR(__xludf.DUMMYFUNCTION("""COMPUTED_VALUE"""),"Inept")</f>
        <v>Inept</v>
      </c>
      <c r="K811" s="174" t="str">
        <f>IFERROR(__xludf.DUMMYFUNCTION("""COMPUTED_VALUE"""),"Unlisted")</f>
        <v>Unlisted</v>
      </c>
      <c r="L811" s="174" t="str">
        <f>IFERROR(__xludf.DUMMYFUNCTION("""COMPUTED_VALUE"""),"Mastered")</f>
        <v>Mastered</v>
      </c>
      <c r="M811" s="174" t="str">
        <f>IFERROR(__xludf.DUMMYFUNCTION("""COMPUTED_VALUE"""),"Unlisted")</f>
        <v>Unlisted</v>
      </c>
      <c r="N811" s="174" t="str">
        <f>IFERROR(__xludf.DUMMYFUNCTION("""COMPUTED_VALUE"""),"Unlisted")</f>
        <v>Unlisted</v>
      </c>
      <c r="O811" s="174" t="str">
        <f>IFERROR(__xludf.DUMMYFUNCTION("""COMPUTED_VALUE"""),"Unlisted")</f>
        <v>Unlisted</v>
      </c>
      <c r="P811" s="174" t="str">
        <f>IFERROR(__xludf.DUMMYFUNCTION("""COMPUTED_VALUE"""),"Unlisted")</f>
        <v>Unlisted</v>
      </c>
      <c r="Q811" s="174" t="str">
        <f>IFERROR(__xludf.DUMMYFUNCTION("""COMPUTED_VALUE"""),"Unlisted")</f>
        <v>Unlisted</v>
      </c>
      <c r="R811" s="174" t="str">
        <f>IFERROR(__xludf.DUMMYFUNCTION("""COMPUTED_VALUE"""),"Unlisted")</f>
        <v>Unlisted</v>
      </c>
    </row>
    <row r="812">
      <c r="A812" s="255" t="str">
        <f>IFERROR(__xludf.DUMMYFUNCTION("""COMPUTED_VALUE"""),"Stantler")</f>
        <v>Stantler</v>
      </c>
      <c r="B812" s="174" t="str">
        <f>IFERROR(__xludf.DUMMYFUNCTION("""COMPUTED_VALUE"""),"Proficient")</f>
        <v>Proficient</v>
      </c>
      <c r="C812" s="174" t="str">
        <f>IFERROR(__xludf.DUMMYFUNCTION("""COMPUTED_VALUE"""),"Unlisted")</f>
        <v>Unlisted</v>
      </c>
      <c r="D812" s="174" t="str">
        <f>IFERROR(__xludf.DUMMYFUNCTION("""COMPUTED_VALUE"""),"Unlisted")</f>
        <v>Unlisted</v>
      </c>
      <c r="E812" s="174" t="str">
        <f>IFERROR(__xludf.DUMMYFUNCTION("""COMPUTED_VALUE"""),"Unlisted")</f>
        <v>Unlisted</v>
      </c>
      <c r="F812" s="174" t="str">
        <f>IFERROR(__xludf.DUMMYFUNCTION("""COMPUTED_VALUE"""),"Unlisted")</f>
        <v>Unlisted</v>
      </c>
      <c r="G812" s="174" t="str">
        <f>IFERROR(__xludf.DUMMYFUNCTION("""COMPUTED_VALUE"""),"Mastered")</f>
        <v>Mastered</v>
      </c>
      <c r="H812" s="174" t="str">
        <f>IFERROR(__xludf.DUMMYFUNCTION("""COMPUTED_VALUE"""),"Unlisted")</f>
        <v>Unlisted</v>
      </c>
      <c r="I812" s="174" t="str">
        <f>IFERROR(__xludf.DUMMYFUNCTION("""COMPUTED_VALUE"""),"Unlisted")</f>
        <v>Unlisted</v>
      </c>
      <c r="J812" s="174" t="str">
        <f>IFERROR(__xludf.DUMMYFUNCTION("""COMPUTED_VALUE"""),"Proficient")</f>
        <v>Proficient</v>
      </c>
      <c r="K812" s="174" t="str">
        <f>IFERROR(__xludf.DUMMYFUNCTION("""COMPUTED_VALUE"""),"Unlisted")</f>
        <v>Unlisted</v>
      </c>
      <c r="L812" s="174" t="str">
        <f>IFERROR(__xludf.DUMMYFUNCTION("""COMPUTED_VALUE"""),"Unlisted")</f>
        <v>Unlisted</v>
      </c>
      <c r="M812" s="174" t="str">
        <f>IFERROR(__xludf.DUMMYFUNCTION("""COMPUTED_VALUE"""),"Unlisted")</f>
        <v>Unlisted</v>
      </c>
      <c r="N812" s="174" t="str">
        <f>IFERROR(__xludf.DUMMYFUNCTION("""COMPUTED_VALUE"""),"Unlisted")</f>
        <v>Unlisted</v>
      </c>
      <c r="O812" s="174" t="str">
        <f>IFERROR(__xludf.DUMMYFUNCTION("""COMPUTED_VALUE"""),"Unlisted")</f>
        <v>Unlisted</v>
      </c>
      <c r="P812" s="174" t="str">
        <f>IFERROR(__xludf.DUMMYFUNCTION("""COMPUTED_VALUE"""),"Unlisted")</f>
        <v>Unlisted</v>
      </c>
      <c r="Q812" s="174" t="str">
        <f>IFERROR(__xludf.DUMMYFUNCTION("""COMPUTED_VALUE"""),"Unlisted")</f>
        <v>Unlisted</v>
      </c>
      <c r="R812" s="174" t="str">
        <f>IFERROR(__xludf.DUMMYFUNCTION("""COMPUTED_VALUE"""),"Unlisted")</f>
        <v>Unlisted</v>
      </c>
    </row>
    <row r="813">
      <c r="A813" s="255" t="str">
        <f>IFERROR(__xludf.DUMMYFUNCTION("""COMPUTED_VALUE"""),"Wyrdeer")</f>
        <v>Wyrdeer</v>
      </c>
      <c r="B813" s="174" t="str">
        <f>IFERROR(__xludf.DUMMYFUNCTION("""COMPUTED_VALUE"""),"Proficient")</f>
        <v>Proficient</v>
      </c>
      <c r="C813" s="174" t="str">
        <f>IFERROR(__xludf.DUMMYFUNCTION("""COMPUTED_VALUE"""),"Unlisted")</f>
        <v>Unlisted</v>
      </c>
      <c r="D813" s="174" t="str">
        <f>IFERROR(__xludf.DUMMYFUNCTION("""COMPUTED_VALUE"""),"Unlisted")</f>
        <v>Unlisted</v>
      </c>
      <c r="E813" s="174" t="str">
        <f>IFERROR(__xludf.DUMMYFUNCTION("""COMPUTED_VALUE"""),"Unlisted")</f>
        <v>Unlisted</v>
      </c>
      <c r="F813" s="174" t="str">
        <f>IFERROR(__xludf.DUMMYFUNCTION("""COMPUTED_VALUE"""),"Unlisted")</f>
        <v>Unlisted</v>
      </c>
      <c r="G813" s="174" t="str">
        <f>IFERROR(__xludf.DUMMYFUNCTION("""COMPUTED_VALUE"""),"Mastered")</f>
        <v>Mastered</v>
      </c>
      <c r="H813" s="174" t="str">
        <f>IFERROR(__xludf.DUMMYFUNCTION("""COMPUTED_VALUE"""),"Unlisted")</f>
        <v>Unlisted</v>
      </c>
      <c r="I813" s="174" t="str">
        <f>IFERROR(__xludf.DUMMYFUNCTION("""COMPUTED_VALUE"""),"Unlisted")</f>
        <v>Unlisted</v>
      </c>
      <c r="J813" s="174" t="str">
        <f>IFERROR(__xludf.DUMMYFUNCTION("""COMPUTED_VALUE"""),"Proficient")</f>
        <v>Proficient</v>
      </c>
      <c r="K813" s="174" t="str">
        <f>IFERROR(__xludf.DUMMYFUNCTION("""COMPUTED_VALUE"""),"Unlisted")</f>
        <v>Unlisted</v>
      </c>
      <c r="L813" s="174" t="str">
        <f>IFERROR(__xludf.DUMMYFUNCTION("""COMPUTED_VALUE"""),"Unlisted")</f>
        <v>Unlisted</v>
      </c>
      <c r="M813" s="174" t="str">
        <f>IFERROR(__xludf.DUMMYFUNCTION("""COMPUTED_VALUE"""),"Unlisted")</f>
        <v>Unlisted</v>
      </c>
      <c r="N813" s="174" t="str">
        <f>IFERROR(__xludf.DUMMYFUNCTION("""COMPUTED_VALUE"""),"Unlisted")</f>
        <v>Unlisted</v>
      </c>
      <c r="O813" s="174" t="str">
        <f>IFERROR(__xludf.DUMMYFUNCTION("""COMPUTED_VALUE"""),"Unlisted")</f>
        <v>Unlisted</v>
      </c>
      <c r="P813" s="174" t="str">
        <f>IFERROR(__xludf.DUMMYFUNCTION("""COMPUTED_VALUE"""),"Unlisted")</f>
        <v>Unlisted</v>
      </c>
      <c r="Q813" s="174" t="str">
        <f>IFERROR(__xludf.DUMMYFUNCTION("""COMPUTED_VALUE"""),"Unlisted")</f>
        <v>Unlisted</v>
      </c>
      <c r="R813" s="174" t="str">
        <f>IFERROR(__xludf.DUMMYFUNCTION("""COMPUTED_VALUE"""),"Unlisted")</f>
        <v>Unlisted</v>
      </c>
    </row>
    <row r="814">
      <c r="A814" s="255" t="str">
        <f>IFERROR(__xludf.DUMMYFUNCTION("""COMPUTED_VALUE"""),"Zigzagoon")</f>
        <v>Zigzagoon</v>
      </c>
      <c r="B814" s="174" t="str">
        <f>IFERROR(__xludf.DUMMYFUNCTION("""COMPUTED_VALUE"""),"Proficient")</f>
        <v>Proficient</v>
      </c>
      <c r="C814" s="174" t="str">
        <f>IFERROR(__xludf.DUMMYFUNCTION("""COMPUTED_VALUE"""),"Unlisted")</f>
        <v>Unlisted</v>
      </c>
      <c r="D814" s="174" t="str">
        <f>IFERROR(__xludf.DUMMYFUNCTION("""COMPUTED_VALUE"""),"Unlisted")</f>
        <v>Unlisted</v>
      </c>
      <c r="E814" s="174" t="str">
        <f>IFERROR(__xludf.DUMMYFUNCTION("""COMPUTED_VALUE"""),"Unlisted")</f>
        <v>Unlisted</v>
      </c>
      <c r="F814" s="174" t="str">
        <f>IFERROR(__xludf.DUMMYFUNCTION("""COMPUTED_VALUE"""),"Unlisted")</f>
        <v>Unlisted</v>
      </c>
      <c r="G814" s="174" t="str">
        <f>IFERROR(__xludf.DUMMYFUNCTION("""COMPUTED_VALUE"""),"Mastered")</f>
        <v>Mastered</v>
      </c>
      <c r="H814" s="174" t="str">
        <f>IFERROR(__xludf.DUMMYFUNCTION("""COMPUTED_VALUE"""),"Unlisted")</f>
        <v>Unlisted</v>
      </c>
      <c r="I814" s="174" t="str">
        <f>IFERROR(__xludf.DUMMYFUNCTION("""COMPUTED_VALUE"""),"Unlisted")</f>
        <v>Unlisted</v>
      </c>
      <c r="J814" s="174" t="str">
        <f>IFERROR(__xludf.DUMMYFUNCTION("""COMPUTED_VALUE"""),"Proficient")</f>
        <v>Proficient</v>
      </c>
      <c r="K814" s="174" t="str">
        <f>IFERROR(__xludf.DUMMYFUNCTION("""COMPUTED_VALUE"""),"Unlisted")</f>
        <v>Unlisted</v>
      </c>
      <c r="L814" s="174" t="str">
        <f>IFERROR(__xludf.DUMMYFUNCTION("""COMPUTED_VALUE"""),"Unlisted")</f>
        <v>Unlisted</v>
      </c>
      <c r="M814" s="174" t="str">
        <f>IFERROR(__xludf.DUMMYFUNCTION("""COMPUTED_VALUE"""),"Unlisted")</f>
        <v>Unlisted</v>
      </c>
      <c r="N814" s="174" t="str">
        <f>IFERROR(__xludf.DUMMYFUNCTION("""COMPUTED_VALUE"""),"Unlisted")</f>
        <v>Unlisted</v>
      </c>
      <c r="O814" s="174" t="str">
        <f>IFERROR(__xludf.DUMMYFUNCTION("""COMPUTED_VALUE"""),"Unlisted")</f>
        <v>Unlisted</v>
      </c>
      <c r="P814" s="174" t="str">
        <f>IFERROR(__xludf.DUMMYFUNCTION("""COMPUTED_VALUE"""),"Unlisted")</f>
        <v>Unlisted</v>
      </c>
      <c r="Q814" s="174" t="str">
        <f>IFERROR(__xludf.DUMMYFUNCTION("""COMPUTED_VALUE"""),"Unlisted")</f>
        <v>Unlisted</v>
      </c>
      <c r="R814" s="174" t="str">
        <f>IFERROR(__xludf.DUMMYFUNCTION("""COMPUTED_VALUE"""),"Unlisted")</f>
        <v>Unlisted</v>
      </c>
    </row>
    <row r="815">
      <c r="A815" s="255" t="str">
        <f>IFERROR(__xludf.DUMMYFUNCTION("""COMPUTED_VALUE"""),"Linoone")</f>
        <v>Linoone</v>
      </c>
      <c r="B815" s="174" t="str">
        <f>IFERROR(__xludf.DUMMYFUNCTION("""COMPUTED_VALUE"""),"Proficient")</f>
        <v>Proficient</v>
      </c>
      <c r="C815" s="174" t="str">
        <f>IFERROR(__xludf.DUMMYFUNCTION("""COMPUTED_VALUE"""),"Unlisted")</f>
        <v>Unlisted</v>
      </c>
      <c r="D815" s="174" t="str">
        <f>IFERROR(__xludf.DUMMYFUNCTION("""COMPUTED_VALUE"""),"Unlisted")</f>
        <v>Unlisted</v>
      </c>
      <c r="E815" s="174" t="str">
        <f>IFERROR(__xludf.DUMMYFUNCTION("""COMPUTED_VALUE"""),"Unlisted")</f>
        <v>Unlisted</v>
      </c>
      <c r="F815" s="174" t="str">
        <f>IFERROR(__xludf.DUMMYFUNCTION("""COMPUTED_VALUE"""),"Unlisted")</f>
        <v>Unlisted</v>
      </c>
      <c r="G815" s="174" t="str">
        <f>IFERROR(__xludf.DUMMYFUNCTION("""COMPUTED_VALUE"""),"Unlisted")</f>
        <v>Unlisted</v>
      </c>
      <c r="H815" s="174" t="str">
        <f>IFERROR(__xludf.DUMMYFUNCTION("""COMPUTED_VALUE"""),"Unlisted")</f>
        <v>Unlisted</v>
      </c>
      <c r="I815" s="174" t="str">
        <f>IFERROR(__xludf.DUMMYFUNCTION("""COMPUTED_VALUE"""),"Unlisted")</f>
        <v>Unlisted</v>
      </c>
      <c r="J815" s="174" t="str">
        <f>IFERROR(__xludf.DUMMYFUNCTION("""COMPUTED_VALUE"""),"Unlisted")</f>
        <v>Unlisted</v>
      </c>
      <c r="K815" s="174" t="str">
        <f>IFERROR(__xludf.DUMMYFUNCTION("""COMPUTED_VALUE"""),"Proficient")</f>
        <v>Proficient</v>
      </c>
      <c r="L815" s="174" t="str">
        <f>IFERROR(__xludf.DUMMYFUNCTION("""COMPUTED_VALUE"""),"Unlisted")</f>
        <v>Unlisted</v>
      </c>
      <c r="M815" s="174" t="str">
        <f>IFERROR(__xludf.DUMMYFUNCTION("""COMPUTED_VALUE"""),"Unlisted")</f>
        <v>Unlisted</v>
      </c>
      <c r="N815" s="174" t="str">
        <f>IFERROR(__xludf.DUMMYFUNCTION("""COMPUTED_VALUE"""),"Unlisted")</f>
        <v>Unlisted</v>
      </c>
      <c r="O815" s="174" t="str">
        <f>IFERROR(__xludf.DUMMYFUNCTION("""COMPUTED_VALUE"""),"Proficient")</f>
        <v>Proficient</v>
      </c>
      <c r="P815" s="174" t="str">
        <f>IFERROR(__xludf.DUMMYFUNCTION("""COMPUTED_VALUE"""),"Unlisted")</f>
        <v>Unlisted</v>
      </c>
      <c r="Q815" s="174" t="str">
        <f>IFERROR(__xludf.DUMMYFUNCTION("""COMPUTED_VALUE"""),"Unlisted")</f>
        <v>Unlisted</v>
      </c>
      <c r="R815" s="174" t="str">
        <f>IFERROR(__xludf.DUMMYFUNCTION("""COMPUTED_VALUE"""),"Unlisted")</f>
        <v>Unlisted</v>
      </c>
    </row>
    <row r="816">
      <c r="A816" s="255" t="str">
        <f>IFERROR(__xludf.DUMMYFUNCTION("""COMPUTED_VALUE"""),"Taillow")</f>
        <v>Taillow</v>
      </c>
      <c r="B816" s="174" t="str">
        <f>IFERROR(__xludf.DUMMYFUNCTION("""COMPUTED_VALUE"""),"Proficient")</f>
        <v>Proficient</v>
      </c>
      <c r="C816" s="174" t="str">
        <f>IFERROR(__xludf.DUMMYFUNCTION("""COMPUTED_VALUE"""),"Unlisted")</f>
        <v>Unlisted</v>
      </c>
      <c r="D816" s="174" t="str">
        <f>IFERROR(__xludf.DUMMYFUNCTION("""COMPUTED_VALUE"""),"Unlisted")</f>
        <v>Unlisted</v>
      </c>
      <c r="E816" s="174" t="str">
        <f>IFERROR(__xludf.DUMMYFUNCTION("""COMPUTED_VALUE"""),"Unlisted")</f>
        <v>Unlisted</v>
      </c>
      <c r="F816" s="174" t="str">
        <f>IFERROR(__xludf.DUMMYFUNCTION("""COMPUTED_VALUE"""),"Unlisted")</f>
        <v>Unlisted</v>
      </c>
      <c r="G816" s="174" t="str">
        <f>IFERROR(__xludf.DUMMYFUNCTION("""COMPUTED_VALUE"""),"Proficient")</f>
        <v>Proficient</v>
      </c>
      <c r="H816" s="174" t="str">
        <f>IFERROR(__xludf.DUMMYFUNCTION("""COMPUTED_VALUE"""),"Unlisted")</f>
        <v>Unlisted</v>
      </c>
      <c r="I816" s="174" t="str">
        <f>IFERROR(__xludf.DUMMYFUNCTION("""COMPUTED_VALUE"""),"Unlisted")</f>
        <v>Unlisted</v>
      </c>
      <c r="J816" s="174" t="str">
        <f>IFERROR(__xludf.DUMMYFUNCTION("""COMPUTED_VALUE"""),"Unlisted")</f>
        <v>Unlisted</v>
      </c>
      <c r="K816" s="174" t="str">
        <f>IFERROR(__xludf.DUMMYFUNCTION("""COMPUTED_VALUE"""),"Proficient")</f>
        <v>Proficient</v>
      </c>
      <c r="L816" s="174" t="str">
        <f>IFERROR(__xludf.DUMMYFUNCTION("""COMPUTED_VALUE"""),"Unlisted")</f>
        <v>Unlisted</v>
      </c>
      <c r="M816" s="174" t="str">
        <f>IFERROR(__xludf.DUMMYFUNCTION("""COMPUTED_VALUE"""),"Unlisted")</f>
        <v>Unlisted</v>
      </c>
      <c r="N816" s="174" t="str">
        <f>IFERROR(__xludf.DUMMYFUNCTION("""COMPUTED_VALUE"""),"Unlisted")</f>
        <v>Unlisted</v>
      </c>
      <c r="O816" s="174" t="str">
        <f>IFERROR(__xludf.DUMMYFUNCTION("""COMPUTED_VALUE"""),"Unlisted")</f>
        <v>Unlisted</v>
      </c>
      <c r="P816" s="174" t="str">
        <f>IFERROR(__xludf.DUMMYFUNCTION("""COMPUTED_VALUE"""),"Unlisted")</f>
        <v>Unlisted</v>
      </c>
      <c r="Q816" s="174" t="str">
        <f>IFERROR(__xludf.DUMMYFUNCTION("""COMPUTED_VALUE"""),"Unlisted")</f>
        <v>Unlisted</v>
      </c>
      <c r="R816" s="174" t="str">
        <f>IFERROR(__xludf.DUMMYFUNCTION("""COMPUTED_VALUE"""),"Unlisted")</f>
        <v>Unlisted</v>
      </c>
    </row>
    <row r="817">
      <c r="A817" s="255" t="str">
        <f>IFERROR(__xludf.DUMMYFUNCTION("""COMPUTED_VALUE"""),"Swellow")</f>
        <v>Swellow</v>
      </c>
      <c r="B817" s="174" t="str">
        <f>IFERROR(__xludf.DUMMYFUNCTION("""COMPUTED_VALUE"""),"Proficient")</f>
        <v>Proficient</v>
      </c>
      <c r="C817" s="174" t="str">
        <f>IFERROR(__xludf.DUMMYFUNCTION("""COMPUTED_VALUE"""),"Unlisted")</f>
        <v>Unlisted</v>
      </c>
      <c r="D817" s="174" t="str">
        <f>IFERROR(__xludf.DUMMYFUNCTION("""COMPUTED_VALUE"""),"Unlisted")</f>
        <v>Unlisted</v>
      </c>
      <c r="E817" s="174" t="str">
        <f>IFERROR(__xludf.DUMMYFUNCTION("""COMPUTED_VALUE"""),"Unlisted")</f>
        <v>Unlisted</v>
      </c>
      <c r="F817" s="174" t="str">
        <f>IFERROR(__xludf.DUMMYFUNCTION("""COMPUTED_VALUE"""),"Unlisted")</f>
        <v>Unlisted</v>
      </c>
      <c r="G817" s="174" t="str">
        <f>IFERROR(__xludf.DUMMYFUNCTION("""COMPUTED_VALUE"""),"Proficient")</f>
        <v>Proficient</v>
      </c>
      <c r="H817" s="174" t="str">
        <f>IFERROR(__xludf.DUMMYFUNCTION("""COMPUTED_VALUE"""),"Unlisted")</f>
        <v>Unlisted</v>
      </c>
      <c r="I817" s="174" t="str">
        <f>IFERROR(__xludf.DUMMYFUNCTION("""COMPUTED_VALUE"""),"Unlisted")</f>
        <v>Unlisted</v>
      </c>
      <c r="J817" s="174" t="str">
        <f>IFERROR(__xludf.DUMMYFUNCTION("""COMPUTED_VALUE"""),"Unlisted")</f>
        <v>Unlisted</v>
      </c>
      <c r="K817" s="174" t="str">
        <f>IFERROR(__xludf.DUMMYFUNCTION("""COMPUTED_VALUE"""),"Proficient")</f>
        <v>Proficient</v>
      </c>
      <c r="L817" s="174" t="str">
        <f>IFERROR(__xludf.DUMMYFUNCTION("""COMPUTED_VALUE"""),"Unlisted")</f>
        <v>Unlisted</v>
      </c>
      <c r="M817" s="174" t="str">
        <f>IFERROR(__xludf.DUMMYFUNCTION("""COMPUTED_VALUE"""),"Unlisted")</f>
        <v>Unlisted</v>
      </c>
      <c r="N817" s="174" t="str">
        <f>IFERROR(__xludf.DUMMYFUNCTION("""COMPUTED_VALUE"""),"Unlisted")</f>
        <v>Unlisted</v>
      </c>
      <c r="O817" s="174" t="str">
        <f>IFERROR(__xludf.DUMMYFUNCTION("""COMPUTED_VALUE"""),"Unlisted")</f>
        <v>Unlisted</v>
      </c>
      <c r="P817" s="174" t="str">
        <f>IFERROR(__xludf.DUMMYFUNCTION("""COMPUTED_VALUE"""),"Unlisted")</f>
        <v>Unlisted</v>
      </c>
      <c r="Q817" s="174" t="str">
        <f>IFERROR(__xludf.DUMMYFUNCTION("""COMPUTED_VALUE"""),"Unlisted")</f>
        <v>Unlisted</v>
      </c>
      <c r="R817" s="174" t="str">
        <f>IFERROR(__xludf.DUMMYFUNCTION("""COMPUTED_VALUE"""),"Unlisted")</f>
        <v>Unlisted</v>
      </c>
    </row>
    <row r="818">
      <c r="A818" s="255" t="str">
        <f>IFERROR(__xludf.DUMMYFUNCTION("""COMPUTED_VALUE"""),"Skitty")</f>
        <v>Skitty</v>
      </c>
      <c r="B818" s="174" t="str">
        <f>IFERROR(__xludf.DUMMYFUNCTION("""COMPUTED_VALUE"""),"Unlisted")</f>
        <v>Unlisted</v>
      </c>
      <c r="C818" s="174" t="str">
        <f>IFERROR(__xludf.DUMMYFUNCTION("""COMPUTED_VALUE"""),"Inept")</f>
        <v>Inept</v>
      </c>
      <c r="D818" s="174" t="str">
        <f>IFERROR(__xludf.DUMMYFUNCTION("""COMPUTED_VALUE"""),"Proficient")</f>
        <v>Proficient</v>
      </c>
      <c r="E818" s="174" t="str">
        <f>IFERROR(__xludf.DUMMYFUNCTION("""COMPUTED_VALUE"""),"Unlisted")</f>
        <v>Unlisted</v>
      </c>
      <c r="F818" s="174" t="str">
        <f>IFERROR(__xludf.DUMMYFUNCTION("""COMPUTED_VALUE"""),"Unlisted")</f>
        <v>Unlisted</v>
      </c>
      <c r="G818" s="174" t="str">
        <f>IFERROR(__xludf.DUMMYFUNCTION("""COMPUTED_VALUE"""),"Proficient")</f>
        <v>Proficient</v>
      </c>
      <c r="H818" s="174" t="str">
        <f>IFERROR(__xludf.DUMMYFUNCTION("""COMPUTED_VALUE"""),"Unlisted")</f>
        <v>Unlisted</v>
      </c>
      <c r="I818" s="174" t="str">
        <f>IFERROR(__xludf.DUMMYFUNCTION("""COMPUTED_VALUE"""),"Unlisted")</f>
        <v>Unlisted</v>
      </c>
      <c r="J818" s="174" t="str">
        <f>IFERROR(__xludf.DUMMYFUNCTION("""COMPUTED_VALUE"""),"Unlisted")</f>
        <v>Unlisted</v>
      </c>
      <c r="K818" s="174" t="str">
        <f>IFERROR(__xludf.DUMMYFUNCTION("""COMPUTED_VALUE"""),"Proficient")</f>
        <v>Proficient</v>
      </c>
      <c r="L818" s="174" t="str">
        <f>IFERROR(__xludf.DUMMYFUNCTION("""COMPUTED_VALUE"""),"Unlisted")</f>
        <v>Unlisted</v>
      </c>
      <c r="M818" s="174" t="str">
        <f>IFERROR(__xludf.DUMMYFUNCTION("""COMPUTED_VALUE"""),"Unlisted")</f>
        <v>Unlisted</v>
      </c>
      <c r="N818" s="174" t="str">
        <f>IFERROR(__xludf.DUMMYFUNCTION("""COMPUTED_VALUE"""),"Unlisted")</f>
        <v>Unlisted</v>
      </c>
      <c r="O818" s="174" t="str">
        <f>IFERROR(__xludf.DUMMYFUNCTION("""COMPUTED_VALUE"""),"Unlisted")</f>
        <v>Unlisted</v>
      </c>
      <c r="P818" s="174" t="str">
        <f>IFERROR(__xludf.DUMMYFUNCTION("""COMPUTED_VALUE"""),"Unlisted")</f>
        <v>Unlisted</v>
      </c>
      <c r="Q818" s="174" t="str">
        <f>IFERROR(__xludf.DUMMYFUNCTION("""COMPUTED_VALUE"""),"Unlisted")</f>
        <v>Unlisted</v>
      </c>
      <c r="R818" s="174" t="str">
        <f>IFERROR(__xludf.DUMMYFUNCTION("""COMPUTED_VALUE"""),"Unlisted")</f>
        <v>Unlisted</v>
      </c>
    </row>
    <row r="819">
      <c r="A819" s="255" t="str">
        <f>IFERROR(__xludf.DUMMYFUNCTION("""COMPUTED_VALUE"""),"Delcatty")</f>
        <v>Delcatty</v>
      </c>
      <c r="B819" s="174" t="str">
        <f>IFERROR(__xludf.DUMMYFUNCTION("""COMPUTED_VALUE"""),"Unlisted")</f>
        <v>Unlisted</v>
      </c>
      <c r="C819" s="174" t="str">
        <f>IFERROR(__xludf.DUMMYFUNCTION("""COMPUTED_VALUE"""),"Inept")</f>
        <v>Inept</v>
      </c>
      <c r="D819" s="174" t="str">
        <f>IFERROR(__xludf.DUMMYFUNCTION("""COMPUTED_VALUE"""),"Proficient")</f>
        <v>Proficient</v>
      </c>
      <c r="E819" s="174" t="str">
        <f>IFERROR(__xludf.DUMMYFUNCTION("""COMPUTED_VALUE"""),"Unlisted")</f>
        <v>Unlisted</v>
      </c>
      <c r="F819" s="174" t="str">
        <f>IFERROR(__xludf.DUMMYFUNCTION("""COMPUTED_VALUE"""),"Unlisted")</f>
        <v>Unlisted</v>
      </c>
      <c r="G819" s="174" t="str">
        <f>IFERROR(__xludf.DUMMYFUNCTION("""COMPUTED_VALUE"""),"Proficient")</f>
        <v>Proficient</v>
      </c>
      <c r="H819" s="174" t="str">
        <f>IFERROR(__xludf.DUMMYFUNCTION("""COMPUTED_VALUE"""),"Unlisted")</f>
        <v>Unlisted</v>
      </c>
      <c r="I819" s="174" t="str">
        <f>IFERROR(__xludf.DUMMYFUNCTION("""COMPUTED_VALUE"""),"Unlisted")</f>
        <v>Unlisted</v>
      </c>
      <c r="J819" s="174" t="str">
        <f>IFERROR(__xludf.DUMMYFUNCTION("""COMPUTED_VALUE"""),"Unlisted")</f>
        <v>Unlisted</v>
      </c>
      <c r="K819" s="174" t="str">
        <f>IFERROR(__xludf.DUMMYFUNCTION("""COMPUTED_VALUE"""),"Proficient")</f>
        <v>Proficient</v>
      </c>
      <c r="L819" s="174" t="str">
        <f>IFERROR(__xludf.DUMMYFUNCTION("""COMPUTED_VALUE"""),"Unlisted")</f>
        <v>Unlisted</v>
      </c>
      <c r="M819" s="174" t="str">
        <f>IFERROR(__xludf.DUMMYFUNCTION("""COMPUTED_VALUE"""),"Unlisted")</f>
        <v>Unlisted</v>
      </c>
      <c r="N819" s="174" t="str">
        <f>IFERROR(__xludf.DUMMYFUNCTION("""COMPUTED_VALUE"""),"Unlisted")</f>
        <v>Unlisted</v>
      </c>
      <c r="O819" s="174" t="str">
        <f>IFERROR(__xludf.DUMMYFUNCTION("""COMPUTED_VALUE"""),"Unlisted")</f>
        <v>Unlisted</v>
      </c>
      <c r="P819" s="174" t="str">
        <f>IFERROR(__xludf.DUMMYFUNCTION("""COMPUTED_VALUE"""),"Unlisted")</f>
        <v>Unlisted</v>
      </c>
      <c r="Q819" s="174" t="str">
        <f>IFERROR(__xludf.DUMMYFUNCTION("""COMPUTED_VALUE"""),"Unlisted")</f>
        <v>Unlisted</v>
      </c>
      <c r="R819" s="174" t="str">
        <f>IFERROR(__xludf.DUMMYFUNCTION("""COMPUTED_VALUE"""),"Unlisted")</f>
        <v>Unlisted</v>
      </c>
    </row>
    <row r="820">
      <c r="A820" s="255" t="str">
        <f>IFERROR(__xludf.DUMMYFUNCTION("""COMPUTED_VALUE"""),"Swablu")</f>
        <v>Swablu</v>
      </c>
      <c r="B820" s="174" t="str">
        <f>IFERROR(__xludf.DUMMYFUNCTION("""COMPUTED_VALUE"""),"Mastered")</f>
        <v>Mastered</v>
      </c>
      <c r="C820" s="174" t="str">
        <f>IFERROR(__xludf.DUMMYFUNCTION("""COMPUTED_VALUE"""),"Unlisted")</f>
        <v>Unlisted</v>
      </c>
      <c r="D820" s="174" t="str">
        <f>IFERROR(__xludf.DUMMYFUNCTION("""COMPUTED_VALUE"""),"Unlisted")</f>
        <v>Unlisted</v>
      </c>
      <c r="E820" s="174" t="str">
        <f>IFERROR(__xludf.DUMMYFUNCTION("""COMPUTED_VALUE"""),"Inept")</f>
        <v>Inept</v>
      </c>
      <c r="F820" s="174" t="str">
        <f>IFERROR(__xludf.DUMMYFUNCTION("""COMPUTED_VALUE"""),"Unlisted")</f>
        <v>Unlisted</v>
      </c>
      <c r="G820" s="174" t="str">
        <f>IFERROR(__xludf.DUMMYFUNCTION("""COMPUTED_VALUE"""),"Unlisted")</f>
        <v>Unlisted</v>
      </c>
      <c r="H820" s="174" t="str">
        <f>IFERROR(__xludf.DUMMYFUNCTION("""COMPUTED_VALUE"""),"Unlisted")</f>
        <v>Unlisted</v>
      </c>
      <c r="I820" s="174" t="str">
        <f>IFERROR(__xludf.DUMMYFUNCTION("""COMPUTED_VALUE"""),"Unlisted")</f>
        <v>Unlisted</v>
      </c>
      <c r="J820" s="174" t="str">
        <f>IFERROR(__xludf.DUMMYFUNCTION("""COMPUTED_VALUE"""),"Proficient")</f>
        <v>Proficient</v>
      </c>
      <c r="K820" s="174" t="str">
        <f>IFERROR(__xludf.DUMMYFUNCTION("""COMPUTED_VALUE"""),"Proficient")</f>
        <v>Proficient</v>
      </c>
      <c r="L820" s="174" t="str">
        <f>IFERROR(__xludf.DUMMYFUNCTION("""COMPUTED_VALUE"""),"Unlisted")</f>
        <v>Unlisted</v>
      </c>
      <c r="M820" s="174" t="str">
        <f>IFERROR(__xludf.DUMMYFUNCTION("""COMPUTED_VALUE"""),"Unlisted")</f>
        <v>Unlisted</v>
      </c>
      <c r="N820" s="174" t="str">
        <f>IFERROR(__xludf.DUMMYFUNCTION("""COMPUTED_VALUE"""),"Unlisted")</f>
        <v>Unlisted</v>
      </c>
      <c r="O820" s="174" t="str">
        <f>IFERROR(__xludf.DUMMYFUNCTION("""COMPUTED_VALUE"""),"Unlisted")</f>
        <v>Unlisted</v>
      </c>
      <c r="P820" s="174" t="str">
        <f>IFERROR(__xludf.DUMMYFUNCTION("""COMPUTED_VALUE"""),"Unlisted")</f>
        <v>Unlisted</v>
      </c>
      <c r="Q820" s="174" t="str">
        <f>IFERROR(__xludf.DUMMYFUNCTION("""COMPUTED_VALUE"""),"Unlisted")</f>
        <v>Unlisted</v>
      </c>
      <c r="R820" s="174" t="str">
        <f>IFERROR(__xludf.DUMMYFUNCTION("""COMPUTED_VALUE"""),"Unlisted")</f>
        <v>Unlisted</v>
      </c>
    </row>
    <row r="821">
      <c r="A821" s="255" t="str">
        <f>IFERROR(__xludf.DUMMYFUNCTION("""COMPUTED_VALUE"""),"Altaria")</f>
        <v>Altaria</v>
      </c>
      <c r="B821" s="174" t="str">
        <f>IFERROR(__xludf.DUMMYFUNCTION("""COMPUTED_VALUE"""),"Mastered")</f>
        <v>Mastered</v>
      </c>
      <c r="C821" s="174" t="str">
        <f>IFERROR(__xludf.DUMMYFUNCTION("""COMPUTED_VALUE"""),"Unlisted")</f>
        <v>Unlisted</v>
      </c>
      <c r="D821" s="174" t="str">
        <f>IFERROR(__xludf.DUMMYFUNCTION("""COMPUTED_VALUE"""),"Unlisted")</f>
        <v>Unlisted</v>
      </c>
      <c r="E821" s="174" t="str">
        <f>IFERROR(__xludf.DUMMYFUNCTION("""COMPUTED_VALUE"""),"Inept")</f>
        <v>Inept</v>
      </c>
      <c r="F821" s="174" t="str">
        <f>IFERROR(__xludf.DUMMYFUNCTION("""COMPUTED_VALUE"""),"Unlisted")</f>
        <v>Unlisted</v>
      </c>
      <c r="G821" s="174" t="str">
        <f>IFERROR(__xludf.DUMMYFUNCTION("""COMPUTED_VALUE"""),"Unlisted")</f>
        <v>Unlisted</v>
      </c>
      <c r="H821" s="174" t="str">
        <f>IFERROR(__xludf.DUMMYFUNCTION("""COMPUTED_VALUE"""),"Unlisted")</f>
        <v>Unlisted</v>
      </c>
      <c r="I821" s="174" t="str">
        <f>IFERROR(__xludf.DUMMYFUNCTION("""COMPUTED_VALUE"""),"Unlisted")</f>
        <v>Unlisted</v>
      </c>
      <c r="J821" s="174" t="str">
        <f>IFERROR(__xludf.DUMMYFUNCTION("""COMPUTED_VALUE"""),"Proficient")</f>
        <v>Proficient</v>
      </c>
      <c r="K821" s="174" t="str">
        <f>IFERROR(__xludf.DUMMYFUNCTION("""COMPUTED_VALUE"""),"Proficient")</f>
        <v>Proficient</v>
      </c>
      <c r="L821" s="174" t="str">
        <f>IFERROR(__xludf.DUMMYFUNCTION("""COMPUTED_VALUE"""),"Unlisted")</f>
        <v>Unlisted</v>
      </c>
      <c r="M821" s="174" t="str">
        <f>IFERROR(__xludf.DUMMYFUNCTION("""COMPUTED_VALUE"""),"Unlisted")</f>
        <v>Unlisted</v>
      </c>
      <c r="N821" s="174" t="str">
        <f>IFERROR(__xludf.DUMMYFUNCTION("""COMPUTED_VALUE"""),"Unlisted")</f>
        <v>Unlisted</v>
      </c>
      <c r="O821" s="174" t="str">
        <f>IFERROR(__xludf.DUMMYFUNCTION("""COMPUTED_VALUE"""),"Unlisted")</f>
        <v>Unlisted</v>
      </c>
      <c r="P821" s="174" t="str">
        <f>IFERROR(__xludf.DUMMYFUNCTION("""COMPUTED_VALUE"""),"Unlisted")</f>
        <v>Unlisted</v>
      </c>
      <c r="Q821" s="174" t="str">
        <f>IFERROR(__xludf.DUMMYFUNCTION("""COMPUTED_VALUE"""),"Unlisted")</f>
        <v>Unlisted</v>
      </c>
      <c r="R821" s="174" t="str">
        <f>IFERROR(__xludf.DUMMYFUNCTION("""COMPUTED_VALUE"""),"Unlisted")</f>
        <v>Unlisted</v>
      </c>
    </row>
    <row r="822">
      <c r="A822" s="255" t="str">
        <f>IFERROR(__xludf.DUMMYFUNCTION("""COMPUTED_VALUE"""),"Bidoof")</f>
        <v>Bidoof</v>
      </c>
      <c r="B822" s="174" t="str">
        <f>IFERROR(__xludf.DUMMYFUNCTION("""COMPUTED_VALUE"""),"Unlisted")</f>
        <v>Unlisted</v>
      </c>
      <c r="C822" s="174" t="str">
        <f>IFERROR(__xludf.DUMMYFUNCTION("""COMPUTED_VALUE"""),"Proficient")</f>
        <v>Proficient</v>
      </c>
      <c r="D822" s="174" t="str">
        <f>IFERROR(__xludf.DUMMYFUNCTION("""COMPUTED_VALUE"""),"Unlisted")</f>
        <v>Unlisted</v>
      </c>
      <c r="E822" s="174" t="str">
        <f>IFERROR(__xludf.DUMMYFUNCTION("""COMPUTED_VALUE"""),"Unlisted")</f>
        <v>Unlisted</v>
      </c>
      <c r="F822" s="174" t="str">
        <f>IFERROR(__xludf.DUMMYFUNCTION("""COMPUTED_VALUE"""),"Unlisted")</f>
        <v>Unlisted</v>
      </c>
      <c r="G822" s="174" t="str">
        <f>IFERROR(__xludf.DUMMYFUNCTION("""COMPUTED_VALUE"""),"Proficient")</f>
        <v>Proficient</v>
      </c>
      <c r="H822" s="174" t="str">
        <f>IFERROR(__xludf.DUMMYFUNCTION("""COMPUTED_VALUE"""),"Unlisted")</f>
        <v>Unlisted</v>
      </c>
      <c r="I822" s="174" t="str">
        <f>IFERROR(__xludf.DUMMYFUNCTION("""COMPUTED_VALUE"""),"Unlisted")</f>
        <v>Unlisted</v>
      </c>
      <c r="J822" s="174" t="str">
        <f>IFERROR(__xludf.DUMMYFUNCTION("""COMPUTED_VALUE"""),"Unlisted")</f>
        <v>Unlisted</v>
      </c>
      <c r="K822" s="174" t="str">
        <f>IFERROR(__xludf.DUMMYFUNCTION("""COMPUTED_VALUE"""),"Unlisted")</f>
        <v>Unlisted</v>
      </c>
      <c r="L822" s="174" t="str">
        <f>IFERROR(__xludf.DUMMYFUNCTION("""COMPUTED_VALUE"""),"Unlisted")</f>
        <v>Unlisted</v>
      </c>
      <c r="M822" s="174" t="str">
        <f>IFERROR(__xludf.DUMMYFUNCTION("""COMPUTED_VALUE"""),"Unlisted")</f>
        <v>Unlisted</v>
      </c>
      <c r="N822" s="174" t="str">
        <f>IFERROR(__xludf.DUMMYFUNCTION("""COMPUTED_VALUE"""),"Unlisted")</f>
        <v>Unlisted</v>
      </c>
      <c r="O822" s="174" t="str">
        <f>IFERROR(__xludf.DUMMYFUNCTION("""COMPUTED_VALUE"""),"Proficient")</f>
        <v>Proficient</v>
      </c>
      <c r="P822" s="174" t="str">
        <f>IFERROR(__xludf.DUMMYFUNCTION("""COMPUTED_VALUE"""),"Unlisted")</f>
        <v>Unlisted</v>
      </c>
      <c r="Q822" s="174" t="str">
        <f>IFERROR(__xludf.DUMMYFUNCTION("""COMPUTED_VALUE"""),"Unlisted")</f>
        <v>Unlisted</v>
      </c>
      <c r="R822" s="174" t="str">
        <f>IFERROR(__xludf.DUMMYFUNCTION("""COMPUTED_VALUE"""),"Unlisted")</f>
        <v>Unlisted</v>
      </c>
    </row>
    <row r="823">
      <c r="A823" s="255" t="str">
        <f>IFERROR(__xludf.DUMMYFUNCTION("""COMPUTED_VALUE"""),"Bibarel")</f>
        <v>Bibarel</v>
      </c>
      <c r="B823" s="174" t="str">
        <f>IFERROR(__xludf.DUMMYFUNCTION("""COMPUTED_VALUE"""),"Unlisted")</f>
        <v>Unlisted</v>
      </c>
      <c r="C823" s="174" t="str">
        <f>IFERROR(__xludf.DUMMYFUNCTION("""COMPUTED_VALUE"""),"Proficient")</f>
        <v>Proficient</v>
      </c>
      <c r="D823" s="174" t="str">
        <f>IFERROR(__xludf.DUMMYFUNCTION("""COMPUTED_VALUE"""),"Unlisted")</f>
        <v>Unlisted</v>
      </c>
      <c r="E823" s="174" t="str">
        <f>IFERROR(__xludf.DUMMYFUNCTION("""COMPUTED_VALUE"""),"Unlisted")</f>
        <v>Unlisted</v>
      </c>
      <c r="F823" s="174" t="str">
        <f>IFERROR(__xludf.DUMMYFUNCTION("""COMPUTED_VALUE"""),"Unlisted")</f>
        <v>Unlisted</v>
      </c>
      <c r="G823" s="174" t="str">
        <f>IFERROR(__xludf.DUMMYFUNCTION("""COMPUTED_VALUE"""),"Proficient")</f>
        <v>Proficient</v>
      </c>
      <c r="H823" s="174" t="str">
        <f>IFERROR(__xludf.DUMMYFUNCTION("""COMPUTED_VALUE"""),"Unlisted")</f>
        <v>Unlisted</v>
      </c>
      <c r="I823" s="174" t="str">
        <f>IFERROR(__xludf.DUMMYFUNCTION("""COMPUTED_VALUE"""),"Unlisted")</f>
        <v>Unlisted</v>
      </c>
      <c r="J823" s="174" t="str">
        <f>IFERROR(__xludf.DUMMYFUNCTION("""COMPUTED_VALUE"""),"Unlisted")</f>
        <v>Unlisted</v>
      </c>
      <c r="K823" s="174" t="str">
        <f>IFERROR(__xludf.DUMMYFUNCTION("""COMPUTED_VALUE"""),"Unlisted")</f>
        <v>Unlisted</v>
      </c>
      <c r="L823" s="174" t="str">
        <f>IFERROR(__xludf.DUMMYFUNCTION("""COMPUTED_VALUE"""),"Unlisted")</f>
        <v>Unlisted</v>
      </c>
      <c r="M823" s="174" t="str">
        <f>IFERROR(__xludf.DUMMYFUNCTION("""COMPUTED_VALUE"""),"Unlisted")</f>
        <v>Unlisted</v>
      </c>
      <c r="N823" s="174" t="str">
        <f>IFERROR(__xludf.DUMMYFUNCTION("""COMPUTED_VALUE"""),"Unlisted")</f>
        <v>Unlisted</v>
      </c>
      <c r="O823" s="174" t="str">
        <f>IFERROR(__xludf.DUMMYFUNCTION("""COMPUTED_VALUE"""),"Proficient")</f>
        <v>Proficient</v>
      </c>
      <c r="P823" s="174" t="str">
        <f>IFERROR(__xludf.DUMMYFUNCTION("""COMPUTED_VALUE"""),"Unlisted")</f>
        <v>Unlisted</v>
      </c>
      <c r="Q823" s="174" t="str">
        <f>IFERROR(__xludf.DUMMYFUNCTION("""COMPUTED_VALUE"""),"Unlisted")</f>
        <v>Unlisted</v>
      </c>
      <c r="R823" s="174" t="str">
        <f>IFERROR(__xludf.DUMMYFUNCTION("""COMPUTED_VALUE"""),"Unlisted")</f>
        <v>Unlisted</v>
      </c>
    </row>
    <row r="824">
      <c r="A824" s="255" t="str">
        <f>IFERROR(__xludf.DUMMYFUNCTION("""COMPUTED_VALUE"""),"Buneary")</f>
        <v>Buneary</v>
      </c>
      <c r="B824" s="174" t="str">
        <f>IFERROR(__xludf.DUMMYFUNCTION("""COMPUTED_VALUE"""),"Mastered")</f>
        <v>Mastered</v>
      </c>
      <c r="C824" s="174" t="str">
        <f>IFERROR(__xludf.DUMMYFUNCTION("""COMPUTED_VALUE"""),"Unlisted")</f>
        <v>Unlisted</v>
      </c>
      <c r="D824" s="174" t="str">
        <f>IFERROR(__xludf.DUMMYFUNCTION("""COMPUTED_VALUE"""),"Proficient")</f>
        <v>Proficient</v>
      </c>
      <c r="E824" s="174" t="str">
        <f>IFERROR(__xludf.DUMMYFUNCTION("""COMPUTED_VALUE"""),"Proficient")</f>
        <v>Proficient</v>
      </c>
      <c r="F824" s="174" t="str">
        <f>IFERROR(__xludf.DUMMYFUNCTION("""COMPUTED_VALUE"""),"Proficient")</f>
        <v>Proficient</v>
      </c>
      <c r="G824" s="174" t="str">
        <f>IFERROR(__xludf.DUMMYFUNCTION("""COMPUTED_VALUE"""),"Unlisted")</f>
        <v>Unlisted</v>
      </c>
      <c r="H824" s="174" t="str">
        <f>IFERROR(__xludf.DUMMYFUNCTION("""COMPUTED_VALUE"""),"Unlisted")</f>
        <v>Unlisted</v>
      </c>
      <c r="I824" s="174" t="str">
        <f>IFERROR(__xludf.DUMMYFUNCTION("""COMPUTED_VALUE"""),"Unlisted")</f>
        <v>Unlisted</v>
      </c>
      <c r="J824" s="174" t="str">
        <f>IFERROR(__xludf.DUMMYFUNCTION("""COMPUTED_VALUE"""),"Inept")</f>
        <v>Inept</v>
      </c>
      <c r="K824" s="174" t="str">
        <f>IFERROR(__xludf.DUMMYFUNCTION("""COMPUTED_VALUE"""),"Unlisted")</f>
        <v>Unlisted</v>
      </c>
      <c r="L824" s="174" t="str">
        <f>IFERROR(__xludf.DUMMYFUNCTION("""COMPUTED_VALUE"""),"Unlisted")</f>
        <v>Unlisted</v>
      </c>
      <c r="M824" s="174" t="str">
        <f>IFERROR(__xludf.DUMMYFUNCTION("""COMPUTED_VALUE"""),"Unlisted")</f>
        <v>Unlisted</v>
      </c>
      <c r="N824" s="174" t="str">
        <f>IFERROR(__xludf.DUMMYFUNCTION("""COMPUTED_VALUE"""),"Unlisted")</f>
        <v>Unlisted</v>
      </c>
      <c r="O824" s="174" t="str">
        <f>IFERROR(__xludf.DUMMYFUNCTION("""COMPUTED_VALUE"""),"Unlisted")</f>
        <v>Unlisted</v>
      </c>
      <c r="P824" s="174" t="str">
        <f>IFERROR(__xludf.DUMMYFUNCTION("""COMPUTED_VALUE"""),"Unlisted")</f>
        <v>Unlisted</v>
      </c>
      <c r="Q824" s="174" t="str">
        <f>IFERROR(__xludf.DUMMYFUNCTION("""COMPUTED_VALUE"""),"Unlisted")</f>
        <v>Unlisted</v>
      </c>
      <c r="R824" s="174" t="str">
        <f>IFERROR(__xludf.DUMMYFUNCTION("""COMPUTED_VALUE"""),"Unlisted")</f>
        <v>Unlisted</v>
      </c>
    </row>
    <row r="825">
      <c r="A825" s="255" t="str">
        <f>IFERROR(__xludf.DUMMYFUNCTION("""COMPUTED_VALUE"""),"Lopunny")</f>
        <v>Lopunny</v>
      </c>
      <c r="B825" s="174" t="str">
        <f>IFERROR(__xludf.DUMMYFUNCTION("""COMPUTED_VALUE"""),"Mastered")</f>
        <v>Mastered</v>
      </c>
      <c r="C825" s="174" t="str">
        <f>IFERROR(__xludf.DUMMYFUNCTION("""COMPUTED_VALUE"""),"Unlisted")</f>
        <v>Unlisted</v>
      </c>
      <c r="D825" s="174" t="str">
        <f>IFERROR(__xludf.DUMMYFUNCTION("""COMPUTED_VALUE"""),"Proficient")</f>
        <v>Proficient</v>
      </c>
      <c r="E825" s="174" t="str">
        <f>IFERROR(__xludf.DUMMYFUNCTION("""COMPUTED_VALUE"""),"Proficient")</f>
        <v>Proficient</v>
      </c>
      <c r="F825" s="174" t="str">
        <f>IFERROR(__xludf.DUMMYFUNCTION("""COMPUTED_VALUE"""),"Proficient")</f>
        <v>Proficient</v>
      </c>
      <c r="G825" s="174" t="str">
        <f>IFERROR(__xludf.DUMMYFUNCTION("""COMPUTED_VALUE"""),"Unlisted")</f>
        <v>Unlisted</v>
      </c>
      <c r="H825" s="174" t="str">
        <f>IFERROR(__xludf.DUMMYFUNCTION("""COMPUTED_VALUE"""),"Unlisted")</f>
        <v>Unlisted</v>
      </c>
      <c r="I825" s="174" t="str">
        <f>IFERROR(__xludf.DUMMYFUNCTION("""COMPUTED_VALUE"""),"Unlisted")</f>
        <v>Unlisted</v>
      </c>
      <c r="J825" s="174" t="str">
        <f>IFERROR(__xludf.DUMMYFUNCTION("""COMPUTED_VALUE"""),"Inept")</f>
        <v>Inept</v>
      </c>
      <c r="K825" s="174" t="str">
        <f>IFERROR(__xludf.DUMMYFUNCTION("""COMPUTED_VALUE"""),"Unlisted")</f>
        <v>Unlisted</v>
      </c>
      <c r="L825" s="174" t="str">
        <f>IFERROR(__xludf.DUMMYFUNCTION("""COMPUTED_VALUE"""),"Unlisted")</f>
        <v>Unlisted</v>
      </c>
      <c r="M825" s="174" t="str">
        <f>IFERROR(__xludf.DUMMYFUNCTION("""COMPUTED_VALUE"""),"Unlisted")</f>
        <v>Unlisted</v>
      </c>
      <c r="N825" s="174" t="str">
        <f>IFERROR(__xludf.DUMMYFUNCTION("""COMPUTED_VALUE"""),"Unlisted")</f>
        <v>Unlisted</v>
      </c>
      <c r="O825" s="174" t="str">
        <f>IFERROR(__xludf.DUMMYFUNCTION("""COMPUTED_VALUE"""),"Unlisted")</f>
        <v>Unlisted</v>
      </c>
      <c r="P825" s="174" t="str">
        <f>IFERROR(__xludf.DUMMYFUNCTION("""COMPUTED_VALUE"""),"Unlisted")</f>
        <v>Unlisted</v>
      </c>
      <c r="Q825" s="174" t="str">
        <f>IFERROR(__xludf.DUMMYFUNCTION("""COMPUTED_VALUE"""),"Unlisted")</f>
        <v>Unlisted</v>
      </c>
      <c r="R825" s="174" t="str">
        <f>IFERROR(__xludf.DUMMYFUNCTION("""COMPUTED_VALUE"""),"Unlisted")</f>
        <v>Unlisted</v>
      </c>
    </row>
    <row r="826">
      <c r="A826" s="255" t="str">
        <f>IFERROR(__xludf.DUMMYFUNCTION("""COMPUTED_VALUE"""),"Glameow")</f>
        <v>Glameow</v>
      </c>
      <c r="B826" s="174" t="str">
        <f>IFERROR(__xludf.DUMMYFUNCTION("""COMPUTED_VALUE"""),"Proficient")</f>
        <v>Proficient</v>
      </c>
      <c r="C826" s="174" t="str">
        <f>IFERROR(__xludf.DUMMYFUNCTION("""COMPUTED_VALUE"""),"Inept")</f>
        <v>Inept</v>
      </c>
      <c r="D826" s="174" t="str">
        <f>IFERROR(__xludf.DUMMYFUNCTION("""COMPUTED_VALUE"""),"Unlisted")</f>
        <v>Unlisted</v>
      </c>
      <c r="E826" s="174" t="str">
        <f>IFERROR(__xludf.DUMMYFUNCTION("""COMPUTED_VALUE"""),"Unlisted")</f>
        <v>Unlisted</v>
      </c>
      <c r="F826" s="174" t="str">
        <f>IFERROR(__xludf.DUMMYFUNCTION("""COMPUTED_VALUE"""),"Unlisted")</f>
        <v>Unlisted</v>
      </c>
      <c r="G826" s="174" t="str">
        <f>IFERROR(__xludf.DUMMYFUNCTION("""COMPUTED_VALUE"""),"Unlisted")</f>
        <v>Unlisted</v>
      </c>
      <c r="H826" s="174" t="str">
        <f>IFERROR(__xludf.DUMMYFUNCTION("""COMPUTED_VALUE"""),"Proficient")</f>
        <v>Proficient</v>
      </c>
      <c r="I826" s="174" t="str">
        <f>IFERROR(__xludf.DUMMYFUNCTION("""COMPUTED_VALUE"""),"Unlisted")</f>
        <v>Unlisted</v>
      </c>
      <c r="J826" s="174" t="str">
        <f>IFERROR(__xludf.DUMMYFUNCTION("""COMPUTED_VALUE"""),"Unlisted")</f>
        <v>Unlisted</v>
      </c>
      <c r="K826" s="174" t="str">
        <f>IFERROR(__xludf.DUMMYFUNCTION("""COMPUTED_VALUE"""),"Unlisted")</f>
        <v>Unlisted</v>
      </c>
      <c r="L826" s="174" t="str">
        <f>IFERROR(__xludf.DUMMYFUNCTION("""COMPUTED_VALUE"""),"Proficient")</f>
        <v>Proficient</v>
      </c>
      <c r="M826" s="174" t="str">
        <f>IFERROR(__xludf.DUMMYFUNCTION("""COMPUTED_VALUE"""),"Unlisted")</f>
        <v>Unlisted</v>
      </c>
      <c r="N826" s="174" t="str">
        <f>IFERROR(__xludf.DUMMYFUNCTION("""COMPUTED_VALUE"""),"Unlisted")</f>
        <v>Unlisted</v>
      </c>
      <c r="O826" s="174" t="str">
        <f>IFERROR(__xludf.DUMMYFUNCTION("""COMPUTED_VALUE"""),"Unlisted")</f>
        <v>Unlisted</v>
      </c>
      <c r="P826" s="174" t="str">
        <f>IFERROR(__xludf.DUMMYFUNCTION("""COMPUTED_VALUE"""),"Unlisted")</f>
        <v>Unlisted</v>
      </c>
      <c r="Q826" s="174" t="str">
        <f>IFERROR(__xludf.DUMMYFUNCTION("""COMPUTED_VALUE"""),"Unlisted")</f>
        <v>Unlisted</v>
      </c>
      <c r="R826" s="174" t="str">
        <f>IFERROR(__xludf.DUMMYFUNCTION("""COMPUTED_VALUE"""),"Unlisted")</f>
        <v>Unlisted</v>
      </c>
    </row>
    <row r="827">
      <c r="A827" s="255" t="str">
        <f>IFERROR(__xludf.DUMMYFUNCTION("""COMPUTED_VALUE"""),"Purugly")</f>
        <v>Purugly</v>
      </c>
      <c r="B827" s="174" t="str">
        <f>IFERROR(__xludf.DUMMYFUNCTION("""COMPUTED_VALUE"""),"Proficient")</f>
        <v>Proficient</v>
      </c>
      <c r="C827" s="174" t="str">
        <f>IFERROR(__xludf.DUMMYFUNCTION("""COMPUTED_VALUE"""),"Unlisted")</f>
        <v>Unlisted</v>
      </c>
      <c r="D827" s="174" t="str">
        <f>IFERROR(__xludf.DUMMYFUNCTION("""COMPUTED_VALUE"""),"Unlisted")</f>
        <v>Unlisted</v>
      </c>
      <c r="E827" s="174" t="str">
        <f>IFERROR(__xludf.DUMMYFUNCTION("""COMPUTED_VALUE"""),"Unlisted")</f>
        <v>Unlisted</v>
      </c>
      <c r="F827" s="174" t="str">
        <f>IFERROR(__xludf.DUMMYFUNCTION("""COMPUTED_VALUE"""),"Unlisted")</f>
        <v>Unlisted</v>
      </c>
      <c r="G827" s="174" t="str">
        <f>IFERROR(__xludf.DUMMYFUNCTION("""COMPUTED_VALUE"""),"Unlisted")</f>
        <v>Unlisted</v>
      </c>
      <c r="H827" s="174" t="str">
        <f>IFERROR(__xludf.DUMMYFUNCTION("""COMPUTED_VALUE"""),"Proficient")</f>
        <v>Proficient</v>
      </c>
      <c r="I827" s="174" t="str">
        <f>IFERROR(__xludf.DUMMYFUNCTION("""COMPUTED_VALUE"""),"Unlisted")</f>
        <v>Unlisted</v>
      </c>
      <c r="J827" s="174" t="str">
        <f>IFERROR(__xludf.DUMMYFUNCTION("""COMPUTED_VALUE"""),"Unlisted")</f>
        <v>Unlisted</v>
      </c>
      <c r="K827" s="174" t="str">
        <f>IFERROR(__xludf.DUMMYFUNCTION("""COMPUTED_VALUE"""),"Unlisted")</f>
        <v>Unlisted</v>
      </c>
      <c r="L827" s="174" t="str">
        <f>IFERROR(__xludf.DUMMYFUNCTION("""COMPUTED_VALUE"""),"Proficient")</f>
        <v>Proficient</v>
      </c>
      <c r="M827" s="174" t="str">
        <f>IFERROR(__xludf.DUMMYFUNCTION("""COMPUTED_VALUE"""),"Unlisted")</f>
        <v>Unlisted</v>
      </c>
      <c r="N827" s="174" t="str">
        <f>IFERROR(__xludf.DUMMYFUNCTION("""COMPUTED_VALUE"""),"Unlisted")</f>
        <v>Unlisted</v>
      </c>
      <c r="O827" s="174" t="str">
        <f>IFERROR(__xludf.DUMMYFUNCTION("""COMPUTED_VALUE"""),"Unlisted")</f>
        <v>Unlisted</v>
      </c>
      <c r="P827" s="174" t="str">
        <f>IFERROR(__xludf.DUMMYFUNCTION("""COMPUTED_VALUE"""),"Unlisted")</f>
        <v>Unlisted</v>
      </c>
      <c r="Q827" s="174" t="str">
        <f>IFERROR(__xludf.DUMMYFUNCTION("""COMPUTED_VALUE"""),"Unlisted")</f>
        <v>Unlisted</v>
      </c>
      <c r="R827" s="174" t="str">
        <f>IFERROR(__xludf.DUMMYFUNCTION("""COMPUTED_VALUE"""),"Unlisted")</f>
        <v>Unlisted</v>
      </c>
    </row>
    <row r="828">
      <c r="A828" s="255" t="str">
        <f>IFERROR(__xludf.DUMMYFUNCTION("""COMPUTED_VALUE"""),"Patrat")</f>
        <v>Patrat</v>
      </c>
      <c r="B828" s="174" t="str">
        <f>IFERROR(__xludf.DUMMYFUNCTION("""COMPUTED_VALUE"""),"Proficient")</f>
        <v>Proficient</v>
      </c>
      <c r="C828" s="174" t="str">
        <f>IFERROR(__xludf.DUMMYFUNCTION("""COMPUTED_VALUE"""),"Unlisted")</f>
        <v>Unlisted</v>
      </c>
      <c r="D828" s="174" t="str">
        <f>IFERROR(__xludf.DUMMYFUNCTION("""COMPUTED_VALUE"""),"Unlisted")</f>
        <v>Unlisted</v>
      </c>
      <c r="E828" s="174" t="str">
        <f>IFERROR(__xludf.DUMMYFUNCTION("""COMPUTED_VALUE"""),"Unlisted")</f>
        <v>Unlisted</v>
      </c>
      <c r="F828" s="174" t="str">
        <f>IFERROR(__xludf.DUMMYFUNCTION("""COMPUTED_VALUE"""),"Unlisted")</f>
        <v>Unlisted</v>
      </c>
      <c r="G828" s="174" t="str">
        <f>IFERROR(__xludf.DUMMYFUNCTION("""COMPUTED_VALUE"""),"Unlisted")</f>
        <v>Unlisted</v>
      </c>
      <c r="H828" s="174" t="str">
        <f>IFERROR(__xludf.DUMMYFUNCTION("""COMPUTED_VALUE"""),"Unlisted")</f>
        <v>Unlisted</v>
      </c>
      <c r="I828" s="174" t="str">
        <f>IFERROR(__xludf.DUMMYFUNCTION("""COMPUTED_VALUE"""),"Unlisted")</f>
        <v>Unlisted</v>
      </c>
      <c r="J828" s="174" t="str">
        <f>IFERROR(__xludf.DUMMYFUNCTION("""COMPUTED_VALUE"""),"Proficient")</f>
        <v>Proficient</v>
      </c>
      <c r="K828" s="174" t="str">
        <f>IFERROR(__xludf.DUMMYFUNCTION("""COMPUTED_VALUE"""),"Mastered")</f>
        <v>Mastered</v>
      </c>
      <c r="L828" s="174" t="str">
        <f>IFERROR(__xludf.DUMMYFUNCTION("""COMPUTED_VALUE"""),"Unlisted")</f>
        <v>Unlisted</v>
      </c>
      <c r="M828" s="174" t="str">
        <f>IFERROR(__xludf.DUMMYFUNCTION("""COMPUTED_VALUE"""),"Unlisted")</f>
        <v>Unlisted</v>
      </c>
      <c r="N828" s="174" t="str">
        <f>IFERROR(__xludf.DUMMYFUNCTION("""COMPUTED_VALUE"""),"Unlisted")</f>
        <v>Unlisted</v>
      </c>
      <c r="O828" s="174" t="str">
        <f>IFERROR(__xludf.DUMMYFUNCTION("""COMPUTED_VALUE"""),"Unlisted")</f>
        <v>Unlisted</v>
      </c>
      <c r="P828" s="174" t="str">
        <f>IFERROR(__xludf.DUMMYFUNCTION("""COMPUTED_VALUE"""),"Unlisted")</f>
        <v>Unlisted</v>
      </c>
      <c r="Q828" s="174" t="str">
        <f>IFERROR(__xludf.DUMMYFUNCTION("""COMPUTED_VALUE"""),"Unlisted")</f>
        <v>Unlisted</v>
      </c>
      <c r="R828" s="174" t="str">
        <f>IFERROR(__xludf.DUMMYFUNCTION("""COMPUTED_VALUE"""),"Unlisted")</f>
        <v>Unlisted</v>
      </c>
    </row>
    <row r="829">
      <c r="A829" s="255" t="str">
        <f>IFERROR(__xludf.DUMMYFUNCTION("""COMPUTED_VALUE"""),"Watchog")</f>
        <v>Watchog</v>
      </c>
      <c r="B829" s="174" t="str">
        <f>IFERROR(__xludf.DUMMYFUNCTION("""COMPUTED_VALUE"""),"Proficient")</f>
        <v>Proficient</v>
      </c>
      <c r="C829" s="174" t="str">
        <f>IFERROR(__xludf.DUMMYFUNCTION("""COMPUTED_VALUE"""),"Unlisted")</f>
        <v>Unlisted</v>
      </c>
      <c r="D829" s="174" t="str">
        <f>IFERROR(__xludf.DUMMYFUNCTION("""COMPUTED_VALUE"""),"Unlisted")</f>
        <v>Unlisted</v>
      </c>
      <c r="E829" s="174" t="str">
        <f>IFERROR(__xludf.DUMMYFUNCTION("""COMPUTED_VALUE"""),"Unlisted")</f>
        <v>Unlisted</v>
      </c>
      <c r="F829" s="174" t="str">
        <f>IFERROR(__xludf.DUMMYFUNCTION("""COMPUTED_VALUE"""),"Unlisted")</f>
        <v>Unlisted</v>
      </c>
      <c r="G829" s="174" t="str">
        <f>IFERROR(__xludf.DUMMYFUNCTION("""COMPUTED_VALUE"""),"Unlisted")</f>
        <v>Unlisted</v>
      </c>
      <c r="H829" s="174" t="str">
        <f>IFERROR(__xludf.DUMMYFUNCTION("""COMPUTED_VALUE"""),"Unlisted")</f>
        <v>Unlisted</v>
      </c>
      <c r="I829" s="174" t="str">
        <f>IFERROR(__xludf.DUMMYFUNCTION("""COMPUTED_VALUE"""),"Unlisted")</f>
        <v>Unlisted</v>
      </c>
      <c r="J829" s="174" t="str">
        <f>IFERROR(__xludf.DUMMYFUNCTION("""COMPUTED_VALUE"""),"Proficient")</f>
        <v>Proficient</v>
      </c>
      <c r="K829" s="174" t="str">
        <f>IFERROR(__xludf.DUMMYFUNCTION("""COMPUTED_VALUE"""),"Mastered")</f>
        <v>Mastered</v>
      </c>
      <c r="L829" s="174" t="str">
        <f>IFERROR(__xludf.DUMMYFUNCTION("""COMPUTED_VALUE"""),"Unlisted")</f>
        <v>Unlisted</v>
      </c>
      <c r="M829" s="174" t="str">
        <f>IFERROR(__xludf.DUMMYFUNCTION("""COMPUTED_VALUE"""),"Unlisted")</f>
        <v>Unlisted</v>
      </c>
      <c r="N829" s="174" t="str">
        <f>IFERROR(__xludf.DUMMYFUNCTION("""COMPUTED_VALUE"""),"Unlisted")</f>
        <v>Unlisted</v>
      </c>
      <c r="O829" s="174" t="str">
        <f>IFERROR(__xludf.DUMMYFUNCTION("""COMPUTED_VALUE"""),"Unlisted")</f>
        <v>Unlisted</v>
      </c>
      <c r="P829" s="174" t="str">
        <f>IFERROR(__xludf.DUMMYFUNCTION("""COMPUTED_VALUE"""),"Unlisted")</f>
        <v>Unlisted</v>
      </c>
      <c r="Q829" s="174" t="str">
        <f>IFERROR(__xludf.DUMMYFUNCTION("""COMPUTED_VALUE"""),"Unlisted")</f>
        <v>Unlisted</v>
      </c>
      <c r="R829" s="174" t="str">
        <f>IFERROR(__xludf.DUMMYFUNCTION("""COMPUTED_VALUE"""),"Unlisted")</f>
        <v>Unlisted</v>
      </c>
    </row>
    <row r="830">
      <c r="A830" s="255" t="str">
        <f>IFERROR(__xludf.DUMMYFUNCTION("""COMPUTED_VALUE"""),"Minccino")</f>
        <v>Minccino</v>
      </c>
      <c r="B830" s="174" t="str">
        <f>IFERROR(__xludf.DUMMYFUNCTION("""COMPUTED_VALUE"""),"Proficient")</f>
        <v>Proficient</v>
      </c>
      <c r="C830" s="174" t="str">
        <f>IFERROR(__xludf.DUMMYFUNCTION("""COMPUTED_VALUE"""),"Unlisted")</f>
        <v>Unlisted</v>
      </c>
      <c r="D830" s="174" t="str">
        <f>IFERROR(__xludf.DUMMYFUNCTION("""COMPUTED_VALUE"""),"Proficient")</f>
        <v>Proficient</v>
      </c>
      <c r="E830" s="174" t="str">
        <f>IFERROR(__xludf.DUMMYFUNCTION("""COMPUTED_VALUE"""),"Unlisted")</f>
        <v>Unlisted</v>
      </c>
      <c r="F830" s="174" t="str">
        <f>IFERROR(__xludf.DUMMYFUNCTION("""COMPUTED_VALUE"""),"Unlisted")</f>
        <v>Unlisted</v>
      </c>
      <c r="G830" s="174" t="str">
        <f>IFERROR(__xludf.DUMMYFUNCTION("""COMPUTED_VALUE"""),"Unlisted")</f>
        <v>Unlisted</v>
      </c>
      <c r="H830" s="174" t="str">
        <f>IFERROR(__xludf.DUMMYFUNCTION("""COMPUTED_VALUE"""),"Unlisted")</f>
        <v>Unlisted</v>
      </c>
      <c r="I830" s="174" t="str">
        <f>IFERROR(__xludf.DUMMYFUNCTION("""COMPUTED_VALUE"""),"Unlisted")</f>
        <v>Unlisted</v>
      </c>
      <c r="J830" s="174" t="str">
        <f>IFERROR(__xludf.DUMMYFUNCTION("""COMPUTED_VALUE"""),"Unlisted")</f>
        <v>Unlisted</v>
      </c>
      <c r="K830" s="174" t="str">
        <f>IFERROR(__xludf.DUMMYFUNCTION("""COMPUTED_VALUE"""),"Unlisted")</f>
        <v>Unlisted</v>
      </c>
      <c r="L830" s="174" t="str">
        <f>IFERROR(__xludf.DUMMYFUNCTION("""COMPUTED_VALUE"""),"Unlisted")</f>
        <v>Unlisted</v>
      </c>
      <c r="M830" s="174" t="str">
        <f>IFERROR(__xludf.DUMMYFUNCTION("""COMPUTED_VALUE"""),"Unlisted")</f>
        <v>Unlisted</v>
      </c>
      <c r="N830" s="174" t="str">
        <f>IFERROR(__xludf.DUMMYFUNCTION("""COMPUTED_VALUE"""),"Unlisted")</f>
        <v>Unlisted</v>
      </c>
      <c r="O830" s="174" t="str">
        <f>IFERROR(__xludf.DUMMYFUNCTION("""COMPUTED_VALUE"""),"Unlisted")</f>
        <v>Unlisted</v>
      </c>
      <c r="P830" s="174" t="str">
        <f>IFERROR(__xludf.DUMMYFUNCTION("""COMPUTED_VALUE"""),"Unlisted")</f>
        <v>Unlisted</v>
      </c>
      <c r="Q830" s="174" t="str">
        <f>IFERROR(__xludf.DUMMYFUNCTION("""COMPUTED_VALUE"""),"Unlisted")</f>
        <v>Unlisted</v>
      </c>
      <c r="R830" s="174" t="str">
        <f>IFERROR(__xludf.DUMMYFUNCTION("""COMPUTED_VALUE"""),"Unlisted")</f>
        <v>Unlisted</v>
      </c>
    </row>
    <row r="831">
      <c r="A831" s="255" t="str">
        <f>IFERROR(__xludf.DUMMYFUNCTION("""COMPUTED_VALUE"""),"Cinccino")</f>
        <v>Cinccino</v>
      </c>
      <c r="B831" s="174" t="str">
        <f>IFERROR(__xludf.DUMMYFUNCTION("""COMPUTED_VALUE"""),"Proficient")</f>
        <v>Proficient</v>
      </c>
      <c r="C831" s="174" t="str">
        <f>IFERROR(__xludf.DUMMYFUNCTION("""COMPUTED_VALUE"""),"Unlisted")</f>
        <v>Unlisted</v>
      </c>
      <c r="D831" s="174" t="str">
        <f>IFERROR(__xludf.DUMMYFUNCTION("""COMPUTED_VALUE"""),"Proficient")</f>
        <v>Proficient</v>
      </c>
      <c r="E831" s="174" t="str">
        <f>IFERROR(__xludf.DUMMYFUNCTION("""COMPUTED_VALUE"""),"Unlisted")</f>
        <v>Unlisted</v>
      </c>
      <c r="F831" s="174" t="str">
        <f>IFERROR(__xludf.DUMMYFUNCTION("""COMPUTED_VALUE"""),"Unlisted")</f>
        <v>Unlisted</v>
      </c>
      <c r="G831" s="174" t="str">
        <f>IFERROR(__xludf.DUMMYFUNCTION("""COMPUTED_VALUE"""),"Unlisted")</f>
        <v>Unlisted</v>
      </c>
      <c r="H831" s="174" t="str">
        <f>IFERROR(__xludf.DUMMYFUNCTION("""COMPUTED_VALUE"""),"Unlisted")</f>
        <v>Unlisted</v>
      </c>
      <c r="I831" s="174" t="str">
        <f>IFERROR(__xludf.DUMMYFUNCTION("""COMPUTED_VALUE"""),"Unlisted")</f>
        <v>Unlisted</v>
      </c>
      <c r="J831" s="174" t="str">
        <f>IFERROR(__xludf.DUMMYFUNCTION("""COMPUTED_VALUE"""),"Unlisted")</f>
        <v>Unlisted</v>
      </c>
      <c r="K831" s="174" t="str">
        <f>IFERROR(__xludf.DUMMYFUNCTION("""COMPUTED_VALUE"""),"Unlisted")</f>
        <v>Unlisted</v>
      </c>
      <c r="L831" s="174" t="str">
        <f>IFERROR(__xludf.DUMMYFUNCTION("""COMPUTED_VALUE"""),"Unlisted")</f>
        <v>Unlisted</v>
      </c>
      <c r="M831" s="174" t="str">
        <f>IFERROR(__xludf.DUMMYFUNCTION("""COMPUTED_VALUE"""),"Unlisted")</f>
        <v>Unlisted</v>
      </c>
      <c r="N831" s="174" t="str">
        <f>IFERROR(__xludf.DUMMYFUNCTION("""COMPUTED_VALUE"""),"Unlisted")</f>
        <v>Unlisted</v>
      </c>
      <c r="O831" s="174" t="str">
        <f>IFERROR(__xludf.DUMMYFUNCTION("""COMPUTED_VALUE"""),"Unlisted")</f>
        <v>Unlisted</v>
      </c>
      <c r="P831" s="174" t="str">
        <f>IFERROR(__xludf.DUMMYFUNCTION("""COMPUTED_VALUE"""),"Unlisted")</f>
        <v>Unlisted</v>
      </c>
      <c r="Q831" s="174" t="str">
        <f>IFERROR(__xludf.DUMMYFUNCTION("""COMPUTED_VALUE"""),"Unlisted")</f>
        <v>Unlisted</v>
      </c>
      <c r="R831" s="174" t="str">
        <f>IFERROR(__xludf.DUMMYFUNCTION("""COMPUTED_VALUE"""),"Unlisted")</f>
        <v>Unlisted</v>
      </c>
    </row>
    <row r="832">
      <c r="A832" s="255" t="str">
        <f>IFERROR(__xludf.DUMMYFUNCTION("""COMPUTED_VALUE"""),"Deerling")</f>
        <v>Deerling</v>
      </c>
      <c r="B832" s="174" t="str">
        <f>IFERROR(__xludf.DUMMYFUNCTION("""COMPUTED_VALUE"""),"Proficient")</f>
        <v>Proficient</v>
      </c>
      <c r="C832" s="174" t="str">
        <f>IFERROR(__xludf.DUMMYFUNCTION("""COMPUTED_VALUE"""),"Unlisted")</f>
        <v>Unlisted</v>
      </c>
      <c r="D832" s="174" t="str">
        <f>IFERROR(__xludf.DUMMYFUNCTION("""COMPUTED_VALUE"""),"Proficient")</f>
        <v>Proficient</v>
      </c>
      <c r="E832" s="174" t="str">
        <f>IFERROR(__xludf.DUMMYFUNCTION("""COMPUTED_VALUE"""),"Inept")</f>
        <v>Inept</v>
      </c>
      <c r="F832" s="174" t="str">
        <f>IFERROR(__xludf.DUMMYFUNCTION("""COMPUTED_VALUE"""),"Unlisted")</f>
        <v>Unlisted</v>
      </c>
      <c r="G832" s="174" t="str">
        <f>IFERROR(__xludf.DUMMYFUNCTION("""COMPUTED_VALUE"""),"Unlisted")</f>
        <v>Unlisted</v>
      </c>
      <c r="H832" s="174" t="str">
        <f>IFERROR(__xludf.DUMMYFUNCTION("""COMPUTED_VALUE"""),"Unlisted")</f>
        <v>Unlisted</v>
      </c>
      <c r="I832" s="174" t="str">
        <f>IFERROR(__xludf.DUMMYFUNCTION("""COMPUTED_VALUE"""),"Unlisted")</f>
        <v>Unlisted</v>
      </c>
      <c r="J832" s="174" t="str">
        <f>IFERROR(__xludf.DUMMYFUNCTION("""COMPUTED_VALUE"""),"Unlisted")</f>
        <v>Unlisted</v>
      </c>
      <c r="K832" s="174" t="str">
        <f>IFERROR(__xludf.DUMMYFUNCTION("""COMPUTED_VALUE"""),"Unlisted")</f>
        <v>Unlisted</v>
      </c>
      <c r="L832" s="174" t="str">
        <f>IFERROR(__xludf.DUMMYFUNCTION("""COMPUTED_VALUE"""),"Proficient")</f>
        <v>Proficient</v>
      </c>
      <c r="M832" s="174" t="str">
        <f>IFERROR(__xludf.DUMMYFUNCTION("""COMPUTED_VALUE"""),"Unlisted")</f>
        <v>Unlisted</v>
      </c>
      <c r="N832" s="174" t="str">
        <f>IFERROR(__xludf.DUMMYFUNCTION("""COMPUTED_VALUE"""),"Unlisted")</f>
        <v>Unlisted</v>
      </c>
      <c r="O832" s="174" t="str">
        <f>IFERROR(__xludf.DUMMYFUNCTION("""COMPUTED_VALUE"""),"Unlisted")</f>
        <v>Unlisted</v>
      </c>
      <c r="P832" s="174" t="str">
        <f>IFERROR(__xludf.DUMMYFUNCTION("""COMPUTED_VALUE"""),"Unlisted")</f>
        <v>Unlisted</v>
      </c>
      <c r="Q832" s="174" t="str">
        <f>IFERROR(__xludf.DUMMYFUNCTION("""COMPUTED_VALUE"""),"Unlisted")</f>
        <v>Unlisted</v>
      </c>
      <c r="R832" s="174" t="str">
        <f>IFERROR(__xludf.DUMMYFUNCTION("""COMPUTED_VALUE"""),"Unlisted")</f>
        <v>Unlisted</v>
      </c>
    </row>
    <row r="833">
      <c r="A833" s="255" t="str">
        <f>IFERROR(__xludf.DUMMYFUNCTION("""COMPUTED_VALUE"""),"Sawsbuck")</f>
        <v>Sawsbuck</v>
      </c>
      <c r="B833" s="174" t="str">
        <f>IFERROR(__xludf.DUMMYFUNCTION("""COMPUTED_VALUE"""),"Proficient")</f>
        <v>Proficient</v>
      </c>
      <c r="C833" s="174" t="str">
        <f>IFERROR(__xludf.DUMMYFUNCTION("""COMPUTED_VALUE"""),"Proficient")</f>
        <v>Proficient</v>
      </c>
      <c r="D833" s="174" t="str">
        <f>IFERROR(__xludf.DUMMYFUNCTION("""COMPUTED_VALUE"""),"Unlisted")</f>
        <v>Unlisted</v>
      </c>
      <c r="E833" s="174" t="str">
        <f>IFERROR(__xludf.DUMMYFUNCTION("""COMPUTED_VALUE"""),"Unlisted")</f>
        <v>Unlisted</v>
      </c>
      <c r="F833" s="174" t="str">
        <f>IFERROR(__xludf.DUMMYFUNCTION("""COMPUTED_VALUE"""),"Unlisted")</f>
        <v>Unlisted</v>
      </c>
      <c r="G833" s="174" t="str">
        <f>IFERROR(__xludf.DUMMYFUNCTION("""COMPUTED_VALUE"""),"Unlisted")</f>
        <v>Unlisted</v>
      </c>
      <c r="H833" s="174" t="str">
        <f>IFERROR(__xludf.DUMMYFUNCTION("""COMPUTED_VALUE"""),"Unlisted")</f>
        <v>Unlisted</v>
      </c>
      <c r="I833" s="174" t="str">
        <f>IFERROR(__xludf.DUMMYFUNCTION("""COMPUTED_VALUE"""),"Unlisted")</f>
        <v>Unlisted</v>
      </c>
      <c r="J833" s="174" t="str">
        <f>IFERROR(__xludf.DUMMYFUNCTION("""COMPUTED_VALUE"""),"Unlisted")</f>
        <v>Unlisted</v>
      </c>
      <c r="K833" s="174" t="str">
        <f>IFERROR(__xludf.DUMMYFUNCTION("""COMPUTED_VALUE"""),"Unlisted")</f>
        <v>Unlisted</v>
      </c>
      <c r="L833" s="174" t="str">
        <f>IFERROR(__xludf.DUMMYFUNCTION("""COMPUTED_VALUE"""),"Proficient")</f>
        <v>Proficient</v>
      </c>
      <c r="M833" s="174" t="str">
        <f>IFERROR(__xludf.DUMMYFUNCTION("""COMPUTED_VALUE"""),"Unlisted")</f>
        <v>Unlisted</v>
      </c>
      <c r="N833" s="174" t="str">
        <f>IFERROR(__xludf.DUMMYFUNCTION("""COMPUTED_VALUE"""),"Unlisted")</f>
        <v>Unlisted</v>
      </c>
      <c r="O833" s="174" t="str">
        <f>IFERROR(__xludf.DUMMYFUNCTION("""COMPUTED_VALUE"""),"Unlisted")</f>
        <v>Unlisted</v>
      </c>
      <c r="P833" s="174" t="str">
        <f>IFERROR(__xludf.DUMMYFUNCTION("""COMPUTED_VALUE"""),"Unlisted")</f>
        <v>Unlisted</v>
      </c>
      <c r="Q833" s="174" t="str">
        <f>IFERROR(__xludf.DUMMYFUNCTION("""COMPUTED_VALUE"""),"Unlisted")</f>
        <v>Unlisted</v>
      </c>
      <c r="R833" s="174" t="str">
        <f>IFERROR(__xludf.DUMMYFUNCTION("""COMPUTED_VALUE"""),"Unlisted")</f>
        <v>Unlisted</v>
      </c>
    </row>
    <row r="834">
      <c r="A834" s="255" t="str">
        <f>IFERROR(__xludf.DUMMYFUNCTION("""COMPUTED_VALUE"""),"Rufflet")</f>
        <v>Rufflet</v>
      </c>
      <c r="B834" s="174" t="str">
        <f>IFERROR(__xludf.DUMMYFUNCTION("""COMPUTED_VALUE"""),"Proficient")</f>
        <v>Proficient</v>
      </c>
      <c r="C834" s="174" t="str">
        <f>IFERROR(__xludf.DUMMYFUNCTION("""COMPUTED_VALUE"""),"Proficient")</f>
        <v>Proficient</v>
      </c>
      <c r="D834" s="174" t="str">
        <f>IFERROR(__xludf.DUMMYFUNCTION("""COMPUTED_VALUE"""),"Unlisted")</f>
        <v>Unlisted</v>
      </c>
      <c r="E834" s="174" t="str">
        <f>IFERROR(__xludf.DUMMYFUNCTION("""COMPUTED_VALUE"""),"Proficient")</f>
        <v>Proficient</v>
      </c>
      <c r="F834" s="174" t="str">
        <f>IFERROR(__xludf.DUMMYFUNCTION("""COMPUTED_VALUE"""),"Unlisted")</f>
        <v>Unlisted</v>
      </c>
      <c r="G834" s="174" t="str">
        <f>IFERROR(__xludf.DUMMYFUNCTION("""COMPUTED_VALUE"""),"Unlisted")</f>
        <v>Unlisted</v>
      </c>
      <c r="H834" s="174" t="str">
        <f>IFERROR(__xludf.DUMMYFUNCTION("""COMPUTED_VALUE"""),"Unlisted")</f>
        <v>Unlisted</v>
      </c>
      <c r="I834" s="174" t="str">
        <f>IFERROR(__xludf.DUMMYFUNCTION("""COMPUTED_VALUE"""),"Unlisted")</f>
        <v>Unlisted</v>
      </c>
      <c r="J834" s="174" t="str">
        <f>IFERROR(__xludf.DUMMYFUNCTION("""COMPUTED_VALUE"""),"Unlisted")</f>
        <v>Unlisted</v>
      </c>
      <c r="K834" s="174" t="str">
        <f>IFERROR(__xludf.DUMMYFUNCTION("""COMPUTED_VALUE"""),"Unlisted")</f>
        <v>Unlisted</v>
      </c>
      <c r="L834" s="174" t="str">
        <f>IFERROR(__xludf.DUMMYFUNCTION("""COMPUTED_VALUE"""),"Unlisted")</f>
        <v>Unlisted</v>
      </c>
      <c r="M834" s="174" t="str">
        <f>IFERROR(__xludf.DUMMYFUNCTION("""COMPUTED_VALUE"""),"Unlisted")</f>
        <v>Unlisted</v>
      </c>
      <c r="N834" s="174" t="str">
        <f>IFERROR(__xludf.DUMMYFUNCTION("""COMPUTED_VALUE"""),"Unlisted")</f>
        <v>Unlisted</v>
      </c>
      <c r="O834" s="174" t="str">
        <f>IFERROR(__xludf.DUMMYFUNCTION("""COMPUTED_VALUE"""),"Unlisted")</f>
        <v>Unlisted</v>
      </c>
      <c r="P834" s="174" t="str">
        <f>IFERROR(__xludf.DUMMYFUNCTION("""COMPUTED_VALUE"""),"Unlisted")</f>
        <v>Unlisted</v>
      </c>
      <c r="Q834" s="174" t="str">
        <f>IFERROR(__xludf.DUMMYFUNCTION("""COMPUTED_VALUE"""),"Unlisted")</f>
        <v>Unlisted</v>
      </c>
      <c r="R834" s="174" t="str">
        <f>IFERROR(__xludf.DUMMYFUNCTION("""COMPUTED_VALUE"""),"Unlisted")</f>
        <v>Unlisted</v>
      </c>
    </row>
    <row r="835">
      <c r="A835" s="255" t="str">
        <f>IFERROR(__xludf.DUMMYFUNCTION("""COMPUTED_VALUE"""),"Braviary")</f>
        <v>Braviary</v>
      </c>
      <c r="B835" s="174" t="str">
        <f>IFERROR(__xludf.DUMMYFUNCTION("""COMPUTED_VALUE"""),"Proficient")</f>
        <v>Proficient</v>
      </c>
      <c r="C835" s="174" t="str">
        <f>IFERROR(__xludf.DUMMYFUNCTION("""COMPUTED_VALUE"""),"Proficient")</f>
        <v>Proficient</v>
      </c>
      <c r="D835" s="174" t="str">
        <f>IFERROR(__xludf.DUMMYFUNCTION("""COMPUTED_VALUE"""),"Unlisted")</f>
        <v>Unlisted</v>
      </c>
      <c r="E835" s="174" t="str">
        <f>IFERROR(__xludf.DUMMYFUNCTION("""COMPUTED_VALUE"""),"Proficient")</f>
        <v>Proficient</v>
      </c>
      <c r="F835" s="174" t="str">
        <f>IFERROR(__xludf.DUMMYFUNCTION("""COMPUTED_VALUE"""),"Unlisted")</f>
        <v>Unlisted</v>
      </c>
      <c r="G835" s="174" t="str">
        <f>IFERROR(__xludf.DUMMYFUNCTION("""COMPUTED_VALUE"""),"Unlisted")</f>
        <v>Unlisted</v>
      </c>
      <c r="H835" s="174" t="str">
        <f>IFERROR(__xludf.DUMMYFUNCTION("""COMPUTED_VALUE"""),"Unlisted")</f>
        <v>Unlisted</v>
      </c>
      <c r="I835" s="174" t="str">
        <f>IFERROR(__xludf.DUMMYFUNCTION("""COMPUTED_VALUE"""),"Unlisted")</f>
        <v>Unlisted</v>
      </c>
      <c r="J835" s="174" t="str">
        <f>IFERROR(__xludf.DUMMYFUNCTION("""COMPUTED_VALUE"""),"Unlisted")</f>
        <v>Unlisted</v>
      </c>
      <c r="K835" s="174" t="str">
        <f>IFERROR(__xludf.DUMMYFUNCTION("""COMPUTED_VALUE"""),"Unlisted")</f>
        <v>Unlisted</v>
      </c>
      <c r="L835" s="174" t="str">
        <f>IFERROR(__xludf.DUMMYFUNCTION("""COMPUTED_VALUE"""),"Unlisted")</f>
        <v>Unlisted</v>
      </c>
      <c r="M835" s="174" t="str">
        <f>IFERROR(__xludf.DUMMYFUNCTION("""COMPUTED_VALUE"""),"Unlisted")</f>
        <v>Unlisted</v>
      </c>
      <c r="N835" s="174" t="str">
        <f>IFERROR(__xludf.DUMMYFUNCTION("""COMPUTED_VALUE"""),"Unlisted")</f>
        <v>Unlisted</v>
      </c>
      <c r="O835" s="174" t="str">
        <f>IFERROR(__xludf.DUMMYFUNCTION("""COMPUTED_VALUE"""),"Unlisted")</f>
        <v>Unlisted</v>
      </c>
      <c r="P835" s="174" t="str">
        <f>IFERROR(__xludf.DUMMYFUNCTION("""COMPUTED_VALUE"""),"Unlisted")</f>
        <v>Unlisted</v>
      </c>
      <c r="Q835" s="174" t="str">
        <f>IFERROR(__xludf.DUMMYFUNCTION("""COMPUTED_VALUE"""),"Unlisted")</f>
        <v>Unlisted</v>
      </c>
      <c r="R835" s="174" t="str">
        <f>IFERROR(__xludf.DUMMYFUNCTION("""COMPUTED_VALUE"""),"Unlisted")</f>
        <v>Unlisted</v>
      </c>
    </row>
    <row r="836">
      <c r="A836" s="255" t="str">
        <f>IFERROR(__xludf.DUMMYFUNCTION("""COMPUTED_VALUE"""),"Hisuian Braviary")</f>
        <v>Hisuian Braviary</v>
      </c>
      <c r="B836" s="174" t="str">
        <f>IFERROR(__xludf.DUMMYFUNCTION("""COMPUTED_VALUE"""),"Proficient")</f>
        <v>Proficient</v>
      </c>
      <c r="C836" s="174" t="str">
        <f>IFERROR(__xludf.DUMMYFUNCTION("""COMPUTED_VALUE"""),"Unlisted")</f>
        <v>Unlisted</v>
      </c>
      <c r="D836" s="174" t="str">
        <f>IFERROR(__xludf.DUMMYFUNCTION("""COMPUTED_VALUE"""),"Unlisted")</f>
        <v>Unlisted</v>
      </c>
      <c r="E836" s="174" t="str">
        <f>IFERROR(__xludf.DUMMYFUNCTION("""COMPUTED_VALUE"""),"Proficient")</f>
        <v>Proficient</v>
      </c>
      <c r="F836" s="174" t="str">
        <f>IFERROR(__xludf.DUMMYFUNCTION("""COMPUTED_VALUE"""),"Unlisted")</f>
        <v>Unlisted</v>
      </c>
      <c r="G836" s="174" t="str">
        <f>IFERROR(__xludf.DUMMYFUNCTION("""COMPUTED_VALUE"""),"Mastered")</f>
        <v>Mastered</v>
      </c>
      <c r="H836" s="174" t="str">
        <f>IFERROR(__xludf.DUMMYFUNCTION("""COMPUTED_VALUE"""),"Unlisted")</f>
        <v>Unlisted</v>
      </c>
      <c r="I836" s="174" t="str">
        <f>IFERROR(__xludf.DUMMYFUNCTION("""COMPUTED_VALUE"""),"Unlisted")</f>
        <v>Unlisted</v>
      </c>
      <c r="J836" s="174" t="str">
        <f>IFERROR(__xludf.DUMMYFUNCTION("""COMPUTED_VALUE"""),"Unlisted")</f>
        <v>Unlisted</v>
      </c>
      <c r="K836" s="174" t="str">
        <f>IFERROR(__xludf.DUMMYFUNCTION("""COMPUTED_VALUE"""),"Unlisted")</f>
        <v>Unlisted</v>
      </c>
      <c r="L836" s="174" t="str">
        <f>IFERROR(__xludf.DUMMYFUNCTION("""COMPUTED_VALUE"""),"Unlisted")</f>
        <v>Unlisted</v>
      </c>
      <c r="M836" s="174" t="str">
        <f>IFERROR(__xludf.DUMMYFUNCTION("""COMPUTED_VALUE"""),"Unlisted")</f>
        <v>Unlisted</v>
      </c>
      <c r="N836" s="174" t="str">
        <f>IFERROR(__xludf.DUMMYFUNCTION("""COMPUTED_VALUE"""),"Unlisted")</f>
        <v>Unlisted</v>
      </c>
      <c r="O836" s="174" t="str">
        <f>IFERROR(__xludf.DUMMYFUNCTION("""COMPUTED_VALUE"""),"Unlisted")</f>
        <v>Unlisted</v>
      </c>
      <c r="P836" s="174" t="str">
        <f>IFERROR(__xludf.DUMMYFUNCTION("""COMPUTED_VALUE"""),"Unlisted")</f>
        <v>Unlisted</v>
      </c>
      <c r="Q836" s="174" t="str">
        <f>IFERROR(__xludf.DUMMYFUNCTION("""COMPUTED_VALUE"""),"Unlisted")</f>
        <v>Unlisted</v>
      </c>
      <c r="R836" s="174" t="str">
        <f>IFERROR(__xludf.DUMMYFUNCTION("""COMPUTED_VALUE"""),"Unlisted")</f>
        <v>Unlisted</v>
      </c>
    </row>
    <row r="837">
      <c r="A837" s="255" t="str">
        <f>IFERROR(__xludf.DUMMYFUNCTION("""COMPUTED_VALUE"""),"Bunnelby")</f>
        <v>Bunnelby</v>
      </c>
      <c r="B837" s="174" t="str">
        <f>IFERROR(__xludf.DUMMYFUNCTION("""COMPUTED_VALUE"""),"Proficient")</f>
        <v>Proficient</v>
      </c>
      <c r="C837" s="174" t="str">
        <f>IFERROR(__xludf.DUMMYFUNCTION("""COMPUTED_VALUE"""),"Mastered")</f>
        <v>Mastered</v>
      </c>
      <c r="D837" s="174" t="str">
        <f>IFERROR(__xludf.DUMMYFUNCTION("""COMPUTED_VALUE"""),"Unlisted")</f>
        <v>Unlisted</v>
      </c>
      <c r="E837" s="174" t="str">
        <f>IFERROR(__xludf.DUMMYFUNCTION("""COMPUTED_VALUE"""),"Proficient")</f>
        <v>Proficient</v>
      </c>
      <c r="F837" s="174" t="str">
        <f>IFERROR(__xludf.DUMMYFUNCTION("""COMPUTED_VALUE"""),"Unlisted")</f>
        <v>Unlisted</v>
      </c>
      <c r="G837" s="174" t="str">
        <f>IFERROR(__xludf.DUMMYFUNCTION("""COMPUTED_VALUE"""),"Unlisted")</f>
        <v>Unlisted</v>
      </c>
      <c r="H837" s="174" t="str">
        <f>IFERROR(__xludf.DUMMYFUNCTION("""COMPUTED_VALUE"""),"Unlisted")</f>
        <v>Unlisted</v>
      </c>
      <c r="I837" s="174" t="str">
        <f>IFERROR(__xludf.DUMMYFUNCTION("""COMPUTED_VALUE"""),"Unlisted")</f>
        <v>Unlisted</v>
      </c>
      <c r="J837" s="174" t="str">
        <f>IFERROR(__xludf.DUMMYFUNCTION("""COMPUTED_VALUE"""),"Unlisted")</f>
        <v>Unlisted</v>
      </c>
      <c r="K837" s="174" t="str">
        <f>IFERROR(__xludf.DUMMYFUNCTION("""COMPUTED_VALUE"""),"Unlisted")</f>
        <v>Unlisted</v>
      </c>
      <c r="L837" s="174" t="str">
        <f>IFERROR(__xludf.DUMMYFUNCTION("""COMPUTED_VALUE"""),"Unlisted")</f>
        <v>Unlisted</v>
      </c>
      <c r="M837" s="174" t="str">
        <f>IFERROR(__xludf.DUMMYFUNCTION("""COMPUTED_VALUE"""),"Unlisted")</f>
        <v>Unlisted</v>
      </c>
      <c r="N837" s="174" t="str">
        <f>IFERROR(__xludf.DUMMYFUNCTION("""COMPUTED_VALUE"""),"Unlisted")</f>
        <v>Unlisted</v>
      </c>
      <c r="O837" s="174" t="str">
        <f>IFERROR(__xludf.DUMMYFUNCTION("""COMPUTED_VALUE"""),"Unlisted")</f>
        <v>Unlisted</v>
      </c>
      <c r="P837" s="174" t="str">
        <f>IFERROR(__xludf.DUMMYFUNCTION("""COMPUTED_VALUE"""),"Unlisted")</f>
        <v>Unlisted</v>
      </c>
      <c r="Q837" s="174" t="str">
        <f>IFERROR(__xludf.DUMMYFUNCTION("""COMPUTED_VALUE"""),"Unlisted")</f>
        <v>Unlisted</v>
      </c>
      <c r="R837" s="174" t="str">
        <f>IFERROR(__xludf.DUMMYFUNCTION("""COMPUTED_VALUE"""),"Unlisted")</f>
        <v>Unlisted</v>
      </c>
    </row>
    <row r="838">
      <c r="A838" s="255" t="str">
        <f>IFERROR(__xludf.DUMMYFUNCTION("""COMPUTED_VALUE"""),"Diggersby")</f>
        <v>Diggersby</v>
      </c>
      <c r="B838" s="174" t="str">
        <f>IFERROR(__xludf.DUMMYFUNCTION("""COMPUTED_VALUE"""),"Proficient")</f>
        <v>Proficient</v>
      </c>
      <c r="C838" s="174" t="str">
        <f>IFERROR(__xludf.DUMMYFUNCTION("""COMPUTED_VALUE"""),"Mastered")</f>
        <v>Mastered</v>
      </c>
      <c r="D838" s="174" t="str">
        <f>IFERROR(__xludf.DUMMYFUNCTION("""COMPUTED_VALUE"""),"Unlisted")</f>
        <v>Unlisted</v>
      </c>
      <c r="E838" s="174" t="str">
        <f>IFERROR(__xludf.DUMMYFUNCTION("""COMPUTED_VALUE"""),"Proficient")</f>
        <v>Proficient</v>
      </c>
      <c r="F838" s="174" t="str">
        <f>IFERROR(__xludf.DUMMYFUNCTION("""COMPUTED_VALUE"""),"Unlisted")</f>
        <v>Unlisted</v>
      </c>
      <c r="G838" s="174" t="str">
        <f>IFERROR(__xludf.DUMMYFUNCTION("""COMPUTED_VALUE"""),"Unlisted")</f>
        <v>Unlisted</v>
      </c>
      <c r="H838" s="174" t="str">
        <f>IFERROR(__xludf.DUMMYFUNCTION("""COMPUTED_VALUE"""),"Unlisted")</f>
        <v>Unlisted</v>
      </c>
      <c r="I838" s="174" t="str">
        <f>IFERROR(__xludf.DUMMYFUNCTION("""COMPUTED_VALUE"""),"Unlisted")</f>
        <v>Unlisted</v>
      </c>
      <c r="J838" s="174" t="str">
        <f>IFERROR(__xludf.DUMMYFUNCTION("""COMPUTED_VALUE"""),"Unlisted")</f>
        <v>Unlisted</v>
      </c>
      <c r="K838" s="174" t="str">
        <f>IFERROR(__xludf.DUMMYFUNCTION("""COMPUTED_VALUE"""),"Unlisted")</f>
        <v>Unlisted</v>
      </c>
      <c r="L838" s="174" t="str">
        <f>IFERROR(__xludf.DUMMYFUNCTION("""COMPUTED_VALUE"""),"Unlisted")</f>
        <v>Unlisted</v>
      </c>
      <c r="M838" s="174" t="str">
        <f>IFERROR(__xludf.DUMMYFUNCTION("""COMPUTED_VALUE"""),"Unlisted")</f>
        <v>Unlisted</v>
      </c>
      <c r="N838" s="174" t="str">
        <f>IFERROR(__xludf.DUMMYFUNCTION("""COMPUTED_VALUE"""),"Unlisted")</f>
        <v>Unlisted</v>
      </c>
      <c r="O838" s="174" t="str">
        <f>IFERROR(__xludf.DUMMYFUNCTION("""COMPUTED_VALUE"""),"Unlisted")</f>
        <v>Unlisted</v>
      </c>
      <c r="P838" s="174" t="str">
        <f>IFERROR(__xludf.DUMMYFUNCTION("""COMPUTED_VALUE"""),"Unlisted")</f>
        <v>Unlisted</v>
      </c>
      <c r="Q838" s="174" t="str">
        <f>IFERROR(__xludf.DUMMYFUNCTION("""COMPUTED_VALUE"""),"Unlisted")</f>
        <v>Unlisted</v>
      </c>
      <c r="R838" s="174" t="str">
        <f>IFERROR(__xludf.DUMMYFUNCTION("""COMPUTED_VALUE"""),"Unlisted")</f>
        <v>Unlisted</v>
      </c>
    </row>
    <row r="839">
      <c r="A839" s="255" t="str">
        <f>IFERROR(__xludf.DUMMYFUNCTION("""COMPUTED_VALUE"""),"Yungoos")</f>
        <v>Yungoos</v>
      </c>
      <c r="B839" s="174" t="str">
        <f>IFERROR(__xludf.DUMMYFUNCTION("""COMPUTED_VALUE"""),"Unlisted")</f>
        <v>Unlisted</v>
      </c>
      <c r="C839" s="174" t="str">
        <f>IFERROR(__xludf.DUMMYFUNCTION("""COMPUTED_VALUE"""),"Unlisted")</f>
        <v>Unlisted</v>
      </c>
      <c r="D839" s="174" t="str">
        <f>IFERROR(__xludf.DUMMYFUNCTION("""COMPUTED_VALUE"""),"Unlisted")</f>
        <v>Unlisted</v>
      </c>
      <c r="E839" s="174" t="str">
        <f>IFERROR(__xludf.DUMMYFUNCTION("""COMPUTED_VALUE"""),"Unlisted")</f>
        <v>Unlisted</v>
      </c>
      <c r="F839" s="174" t="str">
        <f>IFERROR(__xludf.DUMMYFUNCTION("""COMPUTED_VALUE"""),"Unlisted")</f>
        <v>Unlisted</v>
      </c>
      <c r="G839" s="174" t="str">
        <f>IFERROR(__xludf.DUMMYFUNCTION("""COMPUTED_VALUE"""),"Proficient")</f>
        <v>Proficient</v>
      </c>
      <c r="H839" s="174" t="str">
        <f>IFERROR(__xludf.DUMMYFUNCTION("""COMPUTED_VALUE"""),"Unlisted")</f>
        <v>Unlisted</v>
      </c>
      <c r="I839" s="174" t="str">
        <f>IFERROR(__xludf.DUMMYFUNCTION("""COMPUTED_VALUE"""),"Unlisted")</f>
        <v>Unlisted</v>
      </c>
      <c r="J839" s="174" t="str">
        <f>IFERROR(__xludf.DUMMYFUNCTION("""COMPUTED_VALUE"""),"Unlisted")</f>
        <v>Unlisted</v>
      </c>
      <c r="K839" s="174" t="str">
        <f>IFERROR(__xludf.DUMMYFUNCTION("""COMPUTED_VALUE"""),"Mastered")</f>
        <v>Mastered</v>
      </c>
      <c r="L839" s="174" t="str">
        <f>IFERROR(__xludf.DUMMYFUNCTION("""COMPUTED_VALUE"""),"Proficient")</f>
        <v>Proficient</v>
      </c>
      <c r="M839" s="174" t="str">
        <f>IFERROR(__xludf.DUMMYFUNCTION("""COMPUTED_VALUE"""),"Unlisted")</f>
        <v>Unlisted</v>
      </c>
      <c r="N839" s="174" t="str">
        <f>IFERROR(__xludf.DUMMYFUNCTION("""COMPUTED_VALUE"""),"Unlisted")</f>
        <v>Unlisted</v>
      </c>
      <c r="O839" s="174" t="str">
        <f>IFERROR(__xludf.DUMMYFUNCTION("""COMPUTED_VALUE"""),"Unlisted")</f>
        <v>Unlisted</v>
      </c>
      <c r="P839" s="174" t="str">
        <f>IFERROR(__xludf.DUMMYFUNCTION("""COMPUTED_VALUE"""),"Unlisted")</f>
        <v>Unlisted</v>
      </c>
      <c r="Q839" s="174" t="str">
        <f>IFERROR(__xludf.DUMMYFUNCTION("""COMPUTED_VALUE"""),"Unlisted")</f>
        <v>Unlisted</v>
      </c>
      <c r="R839" s="174" t="str">
        <f>IFERROR(__xludf.DUMMYFUNCTION("""COMPUTED_VALUE"""),"Unlisted")</f>
        <v>Unlisted</v>
      </c>
    </row>
    <row r="840">
      <c r="A840" s="255" t="str">
        <f>IFERROR(__xludf.DUMMYFUNCTION("""COMPUTED_VALUE"""),"Gumshoos")</f>
        <v>Gumshoos</v>
      </c>
      <c r="B840" s="174" t="str">
        <f>IFERROR(__xludf.DUMMYFUNCTION("""COMPUTED_VALUE"""),"Unlisted")</f>
        <v>Unlisted</v>
      </c>
      <c r="C840" s="174" t="str">
        <f>IFERROR(__xludf.DUMMYFUNCTION("""COMPUTED_VALUE"""),"Unlisted")</f>
        <v>Unlisted</v>
      </c>
      <c r="D840" s="174" t="str">
        <f>IFERROR(__xludf.DUMMYFUNCTION("""COMPUTED_VALUE"""),"Unlisted")</f>
        <v>Unlisted</v>
      </c>
      <c r="E840" s="174" t="str">
        <f>IFERROR(__xludf.DUMMYFUNCTION("""COMPUTED_VALUE"""),"Unlisted")</f>
        <v>Unlisted</v>
      </c>
      <c r="F840" s="174" t="str">
        <f>IFERROR(__xludf.DUMMYFUNCTION("""COMPUTED_VALUE"""),"Unlisted")</f>
        <v>Unlisted</v>
      </c>
      <c r="G840" s="174" t="str">
        <f>IFERROR(__xludf.DUMMYFUNCTION("""COMPUTED_VALUE"""),"Proficient")</f>
        <v>Proficient</v>
      </c>
      <c r="H840" s="174" t="str">
        <f>IFERROR(__xludf.DUMMYFUNCTION("""COMPUTED_VALUE"""),"Unlisted")</f>
        <v>Unlisted</v>
      </c>
      <c r="I840" s="174" t="str">
        <f>IFERROR(__xludf.DUMMYFUNCTION("""COMPUTED_VALUE"""),"Unlisted")</f>
        <v>Unlisted</v>
      </c>
      <c r="J840" s="174" t="str">
        <f>IFERROR(__xludf.DUMMYFUNCTION("""COMPUTED_VALUE"""),"Unlisted")</f>
        <v>Unlisted</v>
      </c>
      <c r="K840" s="174" t="str">
        <f>IFERROR(__xludf.DUMMYFUNCTION("""COMPUTED_VALUE"""),"Mastered")</f>
        <v>Mastered</v>
      </c>
      <c r="L840" s="174" t="str">
        <f>IFERROR(__xludf.DUMMYFUNCTION("""COMPUTED_VALUE"""),"Proficient")</f>
        <v>Proficient</v>
      </c>
      <c r="M840" s="174" t="str">
        <f>IFERROR(__xludf.DUMMYFUNCTION("""COMPUTED_VALUE"""),"Unlisted")</f>
        <v>Unlisted</v>
      </c>
      <c r="N840" s="174" t="str">
        <f>IFERROR(__xludf.DUMMYFUNCTION("""COMPUTED_VALUE"""),"Unlisted")</f>
        <v>Unlisted</v>
      </c>
      <c r="O840" s="174" t="str">
        <f>IFERROR(__xludf.DUMMYFUNCTION("""COMPUTED_VALUE"""),"Unlisted")</f>
        <v>Unlisted</v>
      </c>
      <c r="P840" s="174" t="str">
        <f>IFERROR(__xludf.DUMMYFUNCTION("""COMPUTED_VALUE"""),"Unlisted")</f>
        <v>Unlisted</v>
      </c>
      <c r="Q840" s="174" t="str">
        <f>IFERROR(__xludf.DUMMYFUNCTION("""COMPUTED_VALUE"""),"Unlisted")</f>
        <v>Unlisted</v>
      </c>
      <c r="R840" s="174" t="str">
        <f>IFERROR(__xludf.DUMMYFUNCTION("""COMPUTED_VALUE"""),"Unlisted")</f>
        <v>Unlisted</v>
      </c>
    </row>
    <row r="841">
      <c r="A841" s="255" t="str">
        <f>IFERROR(__xludf.DUMMYFUNCTION("""COMPUTED_VALUE"""),"Stufful")</f>
        <v>Stufful</v>
      </c>
      <c r="B841" s="174" t="str">
        <f>IFERROR(__xludf.DUMMYFUNCTION("""COMPUTED_VALUE"""),"Unlisted")</f>
        <v>Unlisted</v>
      </c>
      <c r="C841" s="174" t="str">
        <f>IFERROR(__xludf.DUMMYFUNCTION("""COMPUTED_VALUE"""),"Mastered")</f>
        <v>Mastered</v>
      </c>
      <c r="D841" s="174" t="str">
        <f>IFERROR(__xludf.DUMMYFUNCTION("""COMPUTED_VALUE"""),"Proficient")</f>
        <v>Proficient</v>
      </c>
      <c r="E841" s="174" t="str">
        <f>IFERROR(__xludf.DUMMYFUNCTION("""COMPUTED_VALUE"""),"Proficient")</f>
        <v>Proficient</v>
      </c>
      <c r="F841" s="174" t="str">
        <f>IFERROR(__xludf.DUMMYFUNCTION("""COMPUTED_VALUE"""),"Unlisted")</f>
        <v>Unlisted</v>
      </c>
      <c r="G841" s="174" t="str">
        <f>IFERROR(__xludf.DUMMYFUNCTION("""COMPUTED_VALUE"""),"Unlisted")</f>
        <v>Unlisted</v>
      </c>
      <c r="H841" s="174" t="str">
        <f>IFERROR(__xludf.DUMMYFUNCTION("""COMPUTED_VALUE"""),"Unlisted")</f>
        <v>Unlisted</v>
      </c>
      <c r="I841" s="174" t="str">
        <f>IFERROR(__xludf.DUMMYFUNCTION("""COMPUTED_VALUE"""),"Unlisted")</f>
        <v>Unlisted</v>
      </c>
      <c r="J841" s="174" t="str">
        <f>IFERROR(__xludf.DUMMYFUNCTION("""COMPUTED_VALUE"""),"Unlisted")</f>
        <v>Unlisted</v>
      </c>
      <c r="K841" s="174" t="str">
        <f>IFERROR(__xludf.DUMMYFUNCTION("""COMPUTED_VALUE"""),"Unlisted")</f>
        <v>Unlisted</v>
      </c>
      <c r="L841" s="174" t="str">
        <f>IFERROR(__xludf.DUMMYFUNCTION("""COMPUTED_VALUE"""),"Unlisted")</f>
        <v>Unlisted</v>
      </c>
      <c r="M841" s="174" t="str">
        <f>IFERROR(__xludf.DUMMYFUNCTION("""COMPUTED_VALUE"""),"Unlisted")</f>
        <v>Unlisted</v>
      </c>
      <c r="N841" s="174" t="str">
        <f>IFERROR(__xludf.DUMMYFUNCTION("""COMPUTED_VALUE"""),"Unlisted")</f>
        <v>Unlisted</v>
      </c>
      <c r="O841" s="174" t="str">
        <f>IFERROR(__xludf.DUMMYFUNCTION("""COMPUTED_VALUE"""),"Unlisted")</f>
        <v>Unlisted</v>
      </c>
      <c r="P841" s="174" t="str">
        <f>IFERROR(__xludf.DUMMYFUNCTION("""COMPUTED_VALUE"""),"Unlisted")</f>
        <v>Unlisted</v>
      </c>
      <c r="Q841" s="174" t="str">
        <f>IFERROR(__xludf.DUMMYFUNCTION("""COMPUTED_VALUE"""),"Unlisted")</f>
        <v>Unlisted</v>
      </c>
      <c r="R841" s="174" t="str">
        <f>IFERROR(__xludf.DUMMYFUNCTION("""COMPUTED_VALUE"""),"Unlisted")</f>
        <v>Unlisted</v>
      </c>
    </row>
    <row r="842">
      <c r="A842" s="255" t="str">
        <f>IFERROR(__xludf.DUMMYFUNCTION("""COMPUTED_VALUE"""),"Bewear")</f>
        <v>Bewear</v>
      </c>
      <c r="B842" s="174" t="str">
        <f>IFERROR(__xludf.DUMMYFUNCTION("""COMPUTED_VALUE"""),"Unlisted")</f>
        <v>Unlisted</v>
      </c>
      <c r="C842" s="174" t="str">
        <f>IFERROR(__xludf.DUMMYFUNCTION("""COMPUTED_VALUE"""),"Mastered")</f>
        <v>Mastered</v>
      </c>
      <c r="D842" s="174" t="str">
        <f>IFERROR(__xludf.DUMMYFUNCTION("""COMPUTED_VALUE"""),"Proficient")</f>
        <v>Proficient</v>
      </c>
      <c r="E842" s="174" t="str">
        <f>IFERROR(__xludf.DUMMYFUNCTION("""COMPUTED_VALUE"""),"Proficient")</f>
        <v>Proficient</v>
      </c>
      <c r="F842" s="174" t="str">
        <f>IFERROR(__xludf.DUMMYFUNCTION("""COMPUTED_VALUE"""),"Unlisted")</f>
        <v>Unlisted</v>
      </c>
      <c r="G842" s="174" t="str">
        <f>IFERROR(__xludf.DUMMYFUNCTION("""COMPUTED_VALUE"""),"Unlisted")</f>
        <v>Unlisted</v>
      </c>
      <c r="H842" s="174" t="str">
        <f>IFERROR(__xludf.DUMMYFUNCTION("""COMPUTED_VALUE"""),"Unlisted")</f>
        <v>Unlisted</v>
      </c>
      <c r="I842" s="174" t="str">
        <f>IFERROR(__xludf.DUMMYFUNCTION("""COMPUTED_VALUE"""),"Proficient")</f>
        <v>Proficient</v>
      </c>
      <c r="J842" s="174" t="str">
        <f>IFERROR(__xludf.DUMMYFUNCTION("""COMPUTED_VALUE"""),"Inept")</f>
        <v>Inept</v>
      </c>
      <c r="K842" s="174" t="str">
        <f>IFERROR(__xludf.DUMMYFUNCTION("""COMPUTED_VALUE"""),"Unlisted")</f>
        <v>Unlisted</v>
      </c>
      <c r="L842" s="174" t="str">
        <f>IFERROR(__xludf.DUMMYFUNCTION("""COMPUTED_VALUE"""),"Unlisted")</f>
        <v>Unlisted</v>
      </c>
      <c r="M842" s="174" t="str">
        <f>IFERROR(__xludf.DUMMYFUNCTION("""COMPUTED_VALUE"""),"Unlisted")</f>
        <v>Unlisted</v>
      </c>
      <c r="N842" s="174" t="str">
        <f>IFERROR(__xludf.DUMMYFUNCTION("""COMPUTED_VALUE"""),"Unlisted")</f>
        <v>Unlisted</v>
      </c>
      <c r="O842" s="174" t="str">
        <f>IFERROR(__xludf.DUMMYFUNCTION("""COMPUTED_VALUE"""),"Unlisted")</f>
        <v>Unlisted</v>
      </c>
      <c r="P842" s="174" t="str">
        <f>IFERROR(__xludf.DUMMYFUNCTION("""COMPUTED_VALUE"""),"Unlisted")</f>
        <v>Unlisted</v>
      </c>
      <c r="Q842" s="174" t="str">
        <f>IFERROR(__xludf.DUMMYFUNCTION("""COMPUTED_VALUE"""),"Unlisted")</f>
        <v>Unlisted</v>
      </c>
      <c r="R842" s="174" t="str">
        <f>IFERROR(__xludf.DUMMYFUNCTION("""COMPUTED_VALUE"""),"Unlisted")</f>
        <v>Unlisted</v>
      </c>
    </row>
    <row r="843">
      <c r="A843" s="255" t="str">
        <f>IFERROR(__xludf.DUMMYFUNCTION("""COMPUTED_VALUE"""),"Skwovet")</f>
        <v>Skwovet</v>
      </c>
      <c r="B843" s="174" t="str">
        <f>IFERROR(__xludf.DUMMYFUNCTION("""COMPUTED_VALUE"""),"Proficient")</f>
        <v>Proficient</v>
      </c>
      <c r="C843" s="174" t="str">
        <f>IFERROR(__xludf.DUMMYFUNCTION("""COMPUTED_VALUE"""),"Proficient")</f>
        <v>Proficient</v>
      </c>
      <c r="D843" s="174" t="str">
        <f>IFERROR(__xludf.DUMMYFUNCTION("""COMPUTED_VALUE"""),"Unlisted")</f>
        <v>Unlisted</v>
      </c>
      <c r="E843" s="174" t="str">
        <f>IFERROR(__xludf.DUMMYFUNCTION("""COMPUTED_VALUE"""),"Unlisted")</f>
        <v>Unlisted</v>
      </c>
      <c r="F843" s="174" t="str">
        <f>IFERROR(__xludf.DUMMYFUNCTION("""COMPUTED_VALUE"""),"Unlisted")</f>
        <v>Unlisted</v>
      </c>
      <c r="G843" s="174" t="str">
        <f>IFERROR(__xludf.DUMMYFUNCTION("""COMPUTED_VALUE"""),"Unlisted")</f>
        <v>Unlisted</v>
      </c>
      <c r="H843" s="174" t="str">
        <f>IFERROR(__xludf.DUMMYFUNCTION("""COMPUTED_VALUE"""),"Unlisted")</f>
        <v>Unlisted</v>
      </c>
      <c r="I843" s="174" t="str">
        <f>IFERROR(__xludf.DUMMYFUNCTION("""COMPUTED_VALUE"""),"Unlisted")</f>
        <v>Unlisted</v>
      </c>
      <c r="J843" s="174" t="str">
        <f>IFERROR(__xludf.DUMMYFUNCTION("""COMPUTED_VALUE"""),"Unlisted")</f>
        <v>Unlisted</v>
      </c>
      <c r="K843" s="174" t="str">
        <f>IFERROR(__xludf.DUMMYFUNCTION("""COMPUTED_VALUE"""),"Proficient")</f>
        <v>Proficient</v>
      </c>
      <c r="L843" s="174" t="str">
        <f>IFERROR(__xludf.DUMMYFUNCTION("""COMPUTED_VALUE"""),"Unlisted")</f>
        <v>Unlisted</v>
      </c>
      <c r="M843" s="174" t="str">
        <f>IFERROR(__xludf.DUMMYFUNCTION("""COMPUTED_VALUE"""),"Unlisted")</f>
        <v>Unlisted</v>
      </c>
      <c r="N843" s="174" t="str">
        <f>IFERROR(__xludf.DUMMYFUNCTION("""COMPUTED_VALUE"""),"Unlisted")</f>
        <v>Unlisted</v>
      </c>
      <c r="O843" s="174" t="str">
        <f>IFERROR(__xludf.DUMMYFUNCTION("""COMPUTED_VALUE"""),"Unlisted")</f>
        <v>Unlisted</v>
      </c>
      <c r="P843" s="174" t="str">
        <f>IFERROR(__xludf.DUMMYFUNCTION("""COMPUTED_VALUE"""),"Unlisted")</f>
        <v>Unlisted</v>
      </c>
      <c r="Q843" s="174" t="str">
        <f>IFERROR(__xludf.DUMMYFUNCTION("""COMPUTED_VALUE"""),"Unlisted")</f>
        <v>Unlisted</v>
      </c>
      <c r="R843" s="174" t="str">
        <f>IFERROR(__xludf.DUMMYFUNCTION("""COMPUTED_VALUE"""),"Unlisted")</f>
        <v>Unlisted</v>
      </c>
    </row>
    <row r="844">
      <c r="A844" s="255" t="str">
        <f>IFERROR(__xludf.DUMMYFUNCTION("""COMPUTED_VALUE"""),"Greedent")</f>
        <v>Greedent</v>
      </c>
      <c r="B844" s="174" t="str">
        <f>IFERROR(__xludf.DUMMYFUNCTION("""COMPUTED_VALUE"""),"Proficient")</f>
        <v>Proficient</v>
      </c>
      <c r="C844" s="174" t="str">
        <f>IFERROR(__xludf.DUMMYFUNCTION("""COMPUTED_VALUE"""),"Proficient")</f>
        <v>Proficient</v>
      </c>
      <c r="D844" s="174" t="str">
        <f>IFERROR(__xludf.DUMMYFUNCTION("""COMPUTED_VALUE"""),"Unlisted")</f>
        <v>Unlisted</v>
      </c>
      <c r="E844" s="174" t="str">
        <f>IFERROR(__xludf.DUMMYFUNCTION("""COMPUTED_VALUE"""),"Unlisted")</f>
        <v>Unlisted</v>
      </c>
      <c r="F844" s="174" t="str">
        <f>IFERROR(__xludf.DUMMYFUNCTION("""COMPUTED_VALUE"""),"Unlisted")</f>
        <v>Unlisted</v>
      </c>
      <c r="G844" s="174" t="str">
        <f>IFERROR(__xludf.DUMMYFUNCTION("""COMPUTED_VALUE"""),"Unlisted")</f>
        <v>Unlisted</v>
      </c>
      <c r="H844" s="174" t="str">
        <f>IFERROR(__xludf.DUMMYFUNCTION("""COMPUTED_VALUE"""),"Unlisted")</f>
        <v>Unlisted</v>
      </c>
      <c r="I844" s="174" t="str">
        <f>IFERROR(__xludf.DUMMYFUNCTION("""COMPUTED_VALUE"""),"Unlisted")</f>
        <v>Unlisted</v>
      </c>
      <c r="J844" s="174" t="str">
        <f>IFERROR(__xludf.DUMMYFUNCTION("""COMPUTED_VALUE"""),"Unlisted")</f>
        <v>Unlisted</v>
      </c>
      <c r="K844" s="174" t="str">
        <f>IFERROR(__xludf.DUMMYFUNCTION("""COMPUTED_VALUE"""),"Proficient")</f>
        <v>Proficient</v>
      </c>
      <c r="L844" s="174" t="str">
        <f>IFERROR(__xludf.DUMMYFUNCTION("""COMPUTED_VALUE"""),"Unlisted")</f>
        <v>Unlisted</v>
      </c>
      <c r="M844" s="174" t="str">
        <f>IFERROR(__xludf.DUMMYFUNCTION("""COMPUTED_VALUE"""),"Unlisted")</f>
        <v>Unlisted</v>
      </c>
      <c r="N844" s="174" t="str">
        <f>IFERROR(__xludf.DUMMYFUNCTION("""COMPUTED_VALUE"""),"Unlisted")</f>
        <v>Unlisted</v>
      </c>
      <c r="O844" s="174" t="str">
        <f>IFERROR(__xludf.DUMMYFUNCTION("""COMPUTED_VALUE"""),"Unlisted")</f>
        <v>Unlisted</v>
      </c>
      <c r="P844" s="174" t="str">
        <f>IFERROR(__xludf.DUMMYFUNCTION("""COMPUTED_VALUE"""),"Unlisted")</f>
        <v>Unlisted</v>
      </c>
      <c r="Q844" s="174" t="str">
        <f>IFERROR(__xludf.DUMMYFUNCTION("""COMPUTED_VALUE"""),"Unlisted")</f>
        <v>Unlisted</v>
      </c>
      <c r="R844" s="174" t="str">
        <f>IFERROR(__xludf.DUMMYFUNCTION("""COMPUTED_VALUE"""),"Unlisted")</f>
        <v>Unlisted</v>
      </c>
    </row>
    <row r="845">
      <c r="A845" s="255" t="str">
        <f>IFERROR(__xludf.DUMMYFUNCTION("""COMPUTED_VALUE"""),"Wooloo")</f>
        <v>Wooloo</v>
      </c>
      <c r="B845" s="174" t="str">
        <f>IFERROR(__xludf.DUMMYFUNCTION("""COMPUTED_VALUE"""),"Proficient")</f>
        <v>Proficient</v>
      </c>
      <c r="C845" s="174" t="str">
        <f>IFERROR(__xludf.DUMMYFUNCTION("""COMPUTED_VALUE"""),"Proficient")</f>
        <v>Proficient</v>
      </c>
      <c r="D845" s="174" t="str">
        <f>IFERROR(__xludf.DUMMYFUNCTION("""COMPUTED_VALUE"""),"Unlisted")</f>
        <v>Unlisted</v>
      </c>
      <c r="E845" s="174" t="str">
        <f>IFERROR(__xludf.DUMMYFUNCTION("""COMPUTED_VALUE"""),"Unlisted")</f>
        <v>Unlisted</v>
      </c>
      <c r="F845" s="174" t="str">
        <f>IFERROR(__xludf.DUMMYFUNCTION("""COMPUTED_VALUE"""),"Unlisted")</f>
        <v>Unlisted</v>
      </c>
      <c r="G845" s="174" t="str">
        <f>IFERROR(__xludf.DUMMYFUNCTION("""COMPUTED_VALUE"""),"Unlisted")</f>
        <v>Unlisted</v>
      </c>
      <c r="H845" s="174" t="str">
        <f>IFERROR(__xludf.DUMMYFUNCTION("""COMPUTED_VALUE"""),"Unlisted")</f>
        <v>Unlisted</v>
      </c>
      <c r="I845" s="174" t="str">
        <f>IFERROR(__xludf.DUMMYFUNCTION("""COMPUTED_VALUE"""),"Unlisted")</f>
        <v>Unlisted</v>
      </c>
      <c r="J845" s="174" t="str">
        <f>IFERROR(__xludf.DUMMYFUNCTION("""COMPUTED_VALUE"""),"Proficient")</f>
        <v>Proficient</v>
      </c>
      <c r="K845" s="174" t="str">
        <f>IFERROR(__xludf.DUMMYFUNCTION("""COMPUTED_VALUE"""),"Unlisted")</f>
        <v>Unlisted</v>
      </c>
      <c r="L845" s="174" t="str">
        <f>IFERROR(__xludf.DUMMYFUNCTION("""COMPUTED_VALUE"""),"Unlisted")</f>
        <v>Unlisted</v>
      </c>
      <c r="M845" s="174" t="str">
        <f>IFERROR(__xludf.DUMMYFUNCTION("""COMPUTED_VALUE"""),"Unlisted")</f>
        <v>Unlisted</v>
      </c>
      <c r="N845" s="174" t="str">
        <f>IFERROR(__xludf.DUMMYFUNCTION("""COMPUTED_VALUE"""),"Unlisted")</f>
        <v>Unlisted</v>
      </c>
      <c r="O845" s="174" t="str">
        <f>IFERROR(__xludf.DUMMYFUNCTION("""COMPUTED_VALUE"""),"Unlisted")</f>
        <v>Unlisted</v>
      </c>
      <c r="P845" s="174" t="str">
        <f>IFERROR(__xludf.DUMMYFUNCTION("""COMPUTED_VALUE"""),"Unlisted")</f>
        <v>Unlisted</v>
      </c>
      <c r="Q845" s="174" t="str">
        <f>IFERROR(__xludf.DUMMYFUNCTION("""COMPUTED_VALUE"""),"Unlisted")</f>
        <v>Unlisted</v>
      </c>
      <c r="R845" s="174" t="str">
        <f>IFERROR(__xludf.DUMMYFUNCTION("""COMPUTED_VALUE"""),"Unlisted")</f>
        <v>Unlisted</v>
      </c>
    </row>
    <row r="846">
      <c r="A846" s="255" t="str">
        <f>IFERROR(__xludf.DUMMYFUNCTION("""COMPUTED_VALUE"""),"Dubwool")</f>
        <v>Dubwool</v>
      </c>
      <c r="B846" s="174" t="str">
        <f>IFERROR(__xludf.DUMMYFUNCTION("""COMPUTED_VALUE"""),"Proficient")</f>
        <v>Proficient</v>
      </c>
      <c r="C846" s="174" t="str">
        <f>IFERROR(__xludf.DUMMYFUNCTION("""COMPUTED_VALUE"""),"Proficient")</f>
        <v>Proficient</v>
      </c>
      <c r="D846" s="174" t="str">
        <f>IFERROR(__xludf.DUMMYFUNCTION("""COMPUTED_VALUE"""),"Unlisted")</f>
        <v>Unlisted</v>
      </c>
      <c r="E846" s="174" t="str">
        <f>IFERROR(__xludf.DUMMYFUNCTION("""COMPUTED_VALUE"""),"Unlisted")</f>
        <v>Unlisted</v>
      </c>
      <c r="F846" s="174" t="str">
        <f>IFERROR(__xludf.DUMMYFUNCTION("""COMPUTED_VALUE"""),"Unlisted")</f>
        <v>Unlisted</v>
      </c>
      <c r="G846" s="174" t="str">
        <f>IFERROR(__xludf.DUMMYFUNCTION("""COMPUTED_VALUE"""),"Unlisted")</f>
        <v>Unlisted</v>
      </c>
      <c r="H846" s="174" t="str">
        <f>IFERROR(__xludf.DUMMYFUNCTION("""COMPUTED_VALUE"""),"Unlisted")</f>
        <v>Unlisted</v>
      </c>
      <c r="I846" s="174" t="str">
        <f>IFERROR(__xludf.DUMMYFUNCTION("""COMPUTED_VALUE"""),"Unlisted")</f>
        <v>Unlisted</v>
      </c>
      <c r="J846" s="174" t="str">
        <f>IFERROR(__xludf.DUMMYFUNCTION("""COMPUTED_VALUE"""),"Proficient")</f>
        <v>Proficient</v>
      </c>
      <c r="K846" s="174" t="str">
        <f>IFERROR(__xludf.DUMMYFUNCTION("""COMPUTED_VALUE"""),"Unlisted")</f>
        <v>Unlisted</v>
      </c>
      <c r="L846" s="174" t="str">
        <f>IFERROR(__xludf.DUMMYFUNCTION("""COMPUTED_VALUE"""),"Unlisted")</f>
        <v>Unlisted</v>
      </c>
      <c r="M846" s="174" t="str">
        <f>IFERROR(__xludf.DUMMYFUNCTION("""COMPUTED_VALUE"""),"Unlisted")</f>
        <v>Unlisted</v>
      </c>
      <c r="N846" s="174" t="str">
        <f>IFERROR(__xludf.DUMMYFUNCTION("""COMPUTED_VALUE"""),"Unlisted")</f>
        <v>Unlisted</v>
      </c>
      <c r="O846" s="174" t="str">
        <f>IFERROR(__xludf.DUMMYFUNCTION("""COMPUTED_VALUE"""),"Unlisted")</f>
        <v>Unlisted</v>
      </c>
      <c r="P846" s="174" t="str">
        <f>IFERROR(__xludf.DUMMYFUNCTION("""COMPUTED_VALUE"""),"Unlisted")</f>
        <v>Unlisted</v>
      </c>
      <c r="Q846" s="174" t="str">
        <f>IFERROR(__xludf.DUMMYFUNCTION("""COMPUTED_VALUE"""),"Unlisted")</f>
        <v>Unlisted</v>
      </c>
      <c r="R846" s="174" t="str">
        <f>IFERROR(__xludf.DUMMYFUNCTION("""COMPUTED_VALUE"""),"Unlisted")</f>
        <v>Unlisted</v>
      </c>
    </row>
    <row r="847">
      <c r="A847" s="255" t="str">
        <f>IFERROR(__xludf.DUMMYFUNCTION("""COMPUTED_VALUE"""),"Lechonk")</f>
        <v>Lechonk</v>
      </c>
      <c r="B847" s="174" t="str">
        <f>IFERROR(__xludf.DUMMYFUNCTION("""COMPUTED_VALUE"""),"Unlisted")</f>
        <v>Unlisted</v>
      </c>
      <c r="C847" s="174" t="str">
        <f>IFERROR(__xludf.DUMMYFUNCTION("""COMPUTED_VALUE"""),"Proficient")</f>
        <v>Proficient</v>
      </c>
      <c r="D847" s="174" t="str">
        <f>IFERROR(__xludf.DUMMYFUNCTION("""COMPUTED_VALUE"""),"Unlisted")</f>
        <v>Unlisted</v>
      </c>
      <c r="E847" s="174" t="str">
        <f>IFERROR(__xludf.DUMMYFUNCTION("""COMPUTED_VALUE"""),"Unlisted")</f>
        <v>Unlisted</v>
      </c>
      <c r="F847" s="174" t="str">
        <f>IFERROR(__xludf.DUMMYFUNCTION("""COMPUTED_VALUE"""),"Unlisted")</f>
        <v>Unlisted</v>
      </c>
      <c r="G847" s="174" t="str">
        <f>IFERROR(__xludf.DUMMYFUNCTION("""COMPUTED_VALUE"""),"Unlisted")</f>
        <v>Unlisted</v>
      </c>
      <c r="H847" s="174" t="str">
        <f>IFERROR(__xludf.DUMMYFUNCTION("""COMPUTED_VALUE"""),"Unlisted")</f>
        <v>Unlisted</v>
      </c>
      <c r="I847" s="174" t="str">
        <f>IFERROR(__xludf.DUMMYFUNCTION("""COMPUTED_VALUE"""),"Unlisted")</f>
        <v>Unlisted</v>
      </c>
      <c r="J847" s="174" t="str">
        <f>IFERROR(__xludf.DUMMYFUNCTION("""COMPUTED_VALUE"""),"Unlisted")</f>
        <v>Unlisted</v>
      </c>
      <c r="K847" s="174" t="str">
        <f>IFERROR(__xludf.DUMMYFUNCTION("""COMPUTED_VALUE"""),"Proficient")</f>
        <v>Proficient</v>
      </c>
      <c r="L847" s="174" t="str">
        <f>IFERROR(__xludf.DUMMYFUNCTION("""COMPUTED_VALUE"""),"Unlisted")</f>
        <v>Unlisted</v>
      </c>
      <c r="M847" s="174" t="str">
        <f>IFERROR(__xludf.DUMMYFUNCTION("""COMPUTED_VALUE"""),"Unlisted")</f>
        <v>Unlisted</v>
      </c>
      <c r="N847" s="174" t="str">
        <f>IFERROR(__xludf.DUMMYFUNCTION("""COMPUTED_VALUE"""),"Unlisted")</f>
        <v>Unlisted</v>
      </c>
      <c r="O847" s="174" t="str">
        <f>IFERROR(__xludf.DUMMYFUNCTION("""COMPUTED_VALUE"""),"Proficient")</f>
        <v>Proficient</v>
      </c>
      <c r="P847" s="174" t="str">
        <f>IFERROR(__xludf.DUMMYFUNCTION("""COMPUTED_VALUE"""),"Unlisted")</f>
        <v>Unlisted</v>
      </c>
      <c r="Q847" s="174" t="str">
        <f>IFERROR(__xludf.DUMMYFUNCTION("""COMPUTED_VALUE"""),"Unlisted")</f>
        <v>Unlisted</v>
      </c>
      <c r="R847" s="174" t="str">
        <f>IFERROR(__xludf.DUMMYFUNCTION("""COMPUTED_VALUE"""),"Unlisted")</f>
        <v>Unlisted</v>
      </c>
    </row>
    <row r="848">
      <c r="A848" s="255" t="str">
        <f>IFERROR(__xludf.DUMMYFUNCTION("""COMPUTED_VALUE"""),"Oinkologne Male")</f>
        <v>Oinkologne Male</v>
      </c>
      <c r="B848" s="174" t="str">
        <f>IFERROR(__xludf.DUMMYFUNCTION("""COMPUTED_VALUE"""),"Unlisted")</f>
        <v>Unlisted</v>
      </c>
      <c r="C848" s="174" t="str">
        <f>IFERROR(__xludf.DUMMYFUNCTION("""COMPUTED_VALUE"""),"Proficient")</f>
        <v>Proficient</v>
      </c>
      <c r="D848" s="174" t="str">
        <f>IFERROR(__xludf.DUMMYFUNCTION("""COMPUTED_VALUE"""),"Unlisted")</f>
        <v>Unlisted</v>
      </c>
      <c r="E848" s="174" t="str">
        <f>IFERROR(__xludf.DUMMYFUNCTION("""COMPUTED_VALUE"""),"Unlisted")</f>
        <v>Unlisted</v>
      </c>
      <c r="F848" s="174" t="str">
        <f>IFERROR(__xludf.DUMMYFUNCTION("""COMPUTED_VALUE"""),"Unlisted")</f>
        <v>Unlisted</v>
      </c>
      <c r="G848" s="174" t="str">
        <f>IFERROR(__xludf.DUMMYFUNCTION("""COMPUTED_VALUE"""),"Unlisted")</f>
        <v>Unlisted</v>
      </c>
      <c r="H848" s="174" t="str">
        <f>IFERROR(__xludf.DUMMYFUNCTION("""COMPUTED_VALUE"""),"Unlisted")</f>
        <v>Unlisted</v>
      </c>
      <c r="I848" s="174" t="str">
        <f>IFERROR(__xludf.DUMMYFUNCTION("""COMPUTED_VALUE"""),"Unlisted")</f>
        <v>Unlisted</v>
      </c>
      <c r="J848" s="174" t="str">
        <f>IFERROR(__xludf.DUMMYFUNCTION("""COMPUTED_VALUE"""),"Unlisted")</f>
        <v>Unlisted</v>
      </c>
      <c r="K848" s="174" t="str">
        <f>IFERROR(__xludf.DUMMYFUNCTION("""COMPUTED_VALUE"""),"Proficient")</f>
        <v>Proficient</v>
      </c>
      <c r="L848" s="174" t="str">
        <f>IFERROR(__xludf.DUMMYFUNCTION("""COMPUTED_VALUE"""),"Unlisted")</f>
        <v>Unlisted</v>
      </c>
      <c r="M848" s="174" t="str">
        <f>IFERROR(__xludf.DUMMYFUNCTION("""COMPUTED_VALUE"""),"Unlisted")</f>
        <v>Unlisted</v>
      </c>
      <c r="N848" s="174" t="str">
        <f>IFERROR(__xludf.DUMMYFUNCTION("""COMPUTED_VALUE"""),"Unlisted")</f>
        <v>Unlisted</v>
      </c>
      <c r="O848" s="174" t="str">
        <f>IFERROR(__xludf.DUMMYFUNCTION("""COMPUTED_VALUE"""),"Proficient")</f>
        <v>Proficient</v>
      </c>
      <c r="P848" s="174" t="str">
        <f>IFERROR(__xludf.DUMMYFUNCTION("""COMPUTED_VALUE"""),"Unlisted")</f>
        <v>Unlisted</v>
      </c>
      <c r="Q848" s="174" t="str">
        <f>IFERROR(__xludf.DUMMYFUNCTION("""COMPUTED_VALUE"""),"Unlisted")</f>
        <v>Unlisted</v>
      </c>
      <c r="R848" s="174" t="str">
        <f>IFERROR(__xludf.DUMMYFUNCTION("""COMPUTED_VALUE"""),"Unlisted")</f>
        <v>Unlisted</v>
      </c>
    </row>
    <row r="849">
      <c r="A849" s="255" t="str">
        <f>IFERROR(__xludf.DUMMYFUNCTION("""COMPUTED_VALUE"""),"Oinkologne Female")</f>
        <v>Oinkologne Female</v>
      </c>
      <c r="B849" s="174" t="str">
        <f>IFERROR(__xludf.DUMMYFUNCTION("""COMPUTED_VALUE"""),"Unlisted")</f>
        <v>Unlisted</v>
      </c>
      <c r="C849" s="174" t="str">
        <f>IFERROR(__xludf.DUMMYFUNCTION("""COMPUTED_VALUE"""),"Proficient")</f>
        <v>Proficient</v>
      </c>
      <c r="D849" s="174" t="str">
        <f>IFERROR(__xludf.DUMMYFUNCTION("""COMPUTED_VALUE"""),"Unlisted")</f>
        <v>Unlisted</v>
      </c>
      <c r="E849" s="174" t="str">
        <f>IFERROR(__xludf.DUMMYFUNCTION("""COMPUTED_VALUE"""),"Unlisted")</f>
        <v>Unlisted</v>
      </c>
      <c r="F849" s="174" t="str">
        <f>IFERROR(__xludf.DUMMYFUNCTION("""COMPUTED_VALUE"""),"Unlisted")</f>
        <v>Unlisted</v>
      </c>
      <c r="G849" s="174" t="str">
        <f>IFERROR(__xludf.DUMMYFUNCTION("""COMPUTED_VALUE"""),"Unlisted")</f>
        <v>Unlisted</v>
      </c>
      <c r="H849" s="174" t="str">
        <f>IFERROR(__xludf.DUMMYFUNCTION("""COMPUTED_VALUE"""),"Unlisted")</f>
        <v>Unlisted</v>
      </c>
      <c r="I849" s="174" t="str">
        <f>IFERROR(__xludf.DUMMYFUNCTION("""COMPUTED_VALUE"""),"Unlisted")</f>
        <v>Unlisted</v>
      </c>
      <c r="J849" s="174" t="str">
        <f>IFERROR(__xludf.DUMMYFUNCTION("""COMPUTED_VALUE"""),"Unlisted")</f>
        <v>Unlisted</v>
      </c>
      <c r="K849" s="174" t="str">
        <f>IFERROR(__xludf.DUMMYFUNCTION("""COMPUTED_VALUE"""),"Proficient")</f>
        <v>Proficient</v>
      </c>
      <c r="L849" s="174" t="str">
        <f>IFERROR(__xludf.DUMMYFUNCTION("""COMPUTED_VALUE"""),"Unlisted")</f>
        <v>Unlisted</v>
      </c>
      <c r="M849" s="174" t="str">
        <f>IFERROR(__xludf.DUMMYFUNCTION("""COMPUTED_VALUE"""),"Unlisted")</f>
        <v>Unlisted</v>
      </c>
      <c r="N849" s="174" t="str">
        <f>IFERROR(__xludf.DUMMYFUNCTION("""COMPUTED_VALUE"""),"Unlisted")</f>
        <v>Unlisted</v>
      </c>
      <c r="O849" s="174" t="str">
        <f>IFERROR(__xludf.DUMMYFUNCTION("""COMPUTED_VALUE"""),"Proficient")</f>
        <v>Proficient</v>
      </c>
      <c r="P849" s="174" t="str">
        <f>IFERROR(__xludf.DUMMYFUNCTION("""COMPUTED_VALUE"""),"Unlisted")</f>
        <v>Unlisted</v>
      </c>
      <c r="Q849" s="174" t="str">
        <f>IFERROR(__xludf.DUMMYFUNCTION("""COMPUTED_VALUE"""),"Unlisted")</f>
        <v>Unlisted</v>
      </c>
      <c r="R849" s="174" t="str">
        <f>IFERROR(__xludf.DUMMYFUNCTION("""COMPUTED_VALUE"""),"Unlisted")</f>
        <v>Unlisted</v>
      </c>
    </row>
    <row r="850">
      <c r="A850" s="255" t="str">
        <f>IFERROR(__xludf.DUMMYFUNCTION("""COMPUTED_VALUE"""),"Tandemaus")</f>
        <v>Tandemaus</v>
      </c>
      <c r="B850" s="174" t="str">
        <f>IFERROR(__xludf.DUMMYFUNCTION("""COMPUTED_VALUE"""),"Unlisted")</f>
        <v>Unlisted</v>
      </c>
      <c r="C850" s="174" t="str">
        <f>IFERROR(__xludf.DUMMYFUNCTION("""COMPUTED_VALUE"""),"Inept")</f>
        <v>Inept</v>
      </c>
      <c r="D850" s="174" t="str">
        <f>IFERROR(__xludf.DUMMYFUNCTION("""COMPUTED_VALUE"""),"Proficient")</f>
        <v>Proficient</v>
      </c>
      <c r="E850" s="174" t="str">
        <f>IFERROR(__xludf.DUMMYFUNCTION("""COMPUTED_VALUE"""),"Unlisted")</f>
        <v>Unlisted</v>
      </c>
      <c r="F850" s="174" t="str">
        <f>IFERROR(__xludf.DUMMYFUNCTION("""COMPUTED_VALUE"""),"Unlisted")</f>
        <v>Unlisted</v>
      </c>
      <c r="G850" s="174" t="str">
        <f>IFERROR(__xludf.DUMMYFUNCTION("""COMPUTED_VALUE"""),"Unlisted")</f>
        <v>Unlisted</v>
      </c>
      <c r="H850" s="174" t="str">
        <f>IFERROR(__xludf.DUMMYFUNCTION("""COMPUTED_VALUE"""),"Unlisted")</f>
        <v>Unlisted</v>
      </c>
      <c r="I850" s="174" t="str">
        <f>IFERROR(__xludf.DUMMYFUNCTION("""COMPUTED_VALUE"""),"Unlisted")</f>
        <v>Unlisted</v>
      </c>
      <c r="J850" s="174" t="str">
        <f>IFERROR(__xludf.DUMMYFUNCTION("""COMPUTED_VALUE"""),"Unlisted")</f>
        <v>Unlisted</v>
      </c>
      <c r="K850" s="174" t="str">
        <f>IFERROR(__xludf.DUMMYFUNCTION("""COMPUTED_VALUE"""),"Proficient")</f>
        <v>Proficient</v>
      </c>
      <c r="L850" s="174" t="str">
        <f>IFERROR(__xludf.DUMMYFUNCTION("""COMPUTED_VALUE"""),"Unlisted")</f>
        <v>Unlisted</v>
      </c>
      <c r="M850" s="174" t="str">
        <f>IFERROR(__xludf.DUMMYFUNCTION("""COMPUTED_VALUE"""),"Unlisted")</f>
        <v>Unlisted</v>
      </c>
      <c r="N850" s="174" t="str">
        <f>IFERROR(__xludf.DUMMYFUNCTION("""COMPUTED_VALUE"""),"Unlisted")</f>
        <v>Unlisted</v>
      </c>
      <c r="O850" s="174" t="str">
        <f>IFERROR(__xludf.DUMMYFUNCTION("""COMPUTED_VALUE"""),"Unlisted")</f>
        <v>Unlisted</v>
      </c>
      <c r="P850" s="174" t="str">
        <f>IFERROR(__xludf.DUMMYFUNCTION("""COMPUTED_VALUE"""),"Unlisted")</f>
        <v>Unlisted</v>
      </c>
      <c r="Q850" s="174" t="str">
        <f>IFERROR(__xludf.DUMMYFUNCTION("""COMPUTED_VALUE"""),"Unlisted")</f>
        <v>Unlisted</v>
      </c>
      <c r="R850" s="174" t="str">
        <f>IFERROR(__xludf.DUMMYFUNCTION("""COMPUTED_VALUE"""),"Unlisted")</f>
        <v>Unlisted</v>
      </c>
    </row>
    <row r="851">
      <c r="A851" s="255" t="str">
        <f>IFERROR(__xludf.DUMMYFUNCTION("""COMPUTED_VALUE"""),"Maushold")</f>
        <v>Maushold</v>
      </c>
      <c r="B851" s="174" t="str">
        <f>IFERROR(__xludf.DUMMYFUNCTION("""COMPUTED_VALUE"""),"Unlisted")</f>
        <v>Unlisted</v>
      </c>
      <c r="C851" s="174" t="str">
        <f>IFERROR(__xludf.DUMMYFUNCTION("""COMPUTED_VALUE"""),"Inept")</f>
        <v>Inept</v>
      </c>
      <c r="D851" s="174" t="str">
        <f>IFERROR(__xludf.DUMMYFUNCTION("""COMPUTED_VALUE"""),"Proficient")</f>
        <v>Proficient</v>
      </c>
      <c r="E851" s="174" t="str">
        <f>IFERROR(__xludf.DUMMYFUNCTION("""COMPUTED_VALUE"""),"Unlisted")</f>
        <v>Unlisted</v>
      </c>
      <c r="F851" s="174" t="str">
        <f>IFERROR(__xludf.DUMMYFUNCTION("""COMPUTED_VALUE"""),"Unlisted")</f>
        <v>Unlisted</v>
      </c>
      <c r="G851" s="174" t="str">
        <f>IFERROR(__xludf.DUMMYFUNCTION("""COMPUTED_VALUE"""),"Unlisted")</f>
        <v>Unlisted</v>
      </c>
      <c r="H851" s="174" t="str">
        <f>IFERROR(__xludf.DUMMYFUNCTION("""COMPUTED_VALUE"""),"Unlisted")</f>
        <v>Unlisted</v>
      </c>
      <c r="I851" s="174" t="str">
        <f>IFERROR(__xludf.DUMMYFUNCTION("""COMPUTED_VALUE"""),"Unlisted")</f>
        <v>Unlisted</v>
      </c>
      <c r="J851" s="174" t="str">
        <f>IFERROR(__xludf.DUMMYFUNCTION("""COMPUTED_VALUE"""),"Unlisted")</f>
        <v>Unlisted</v>
      </c>
      <c r="K851" s="174" t="str">
        <f>IFERROR(__xludf.DUMMYFUNCTION("""COMPUTED_VALUE"""),"Proficient")</f>
        <v>Proficient</v>
      </c>
      <c r="L851" s="174" t="str">
        <f>IFERROR(__xludf.DUMMYFUNCTION("""COMPUTED_VALUE"""),"Unlisted")</f>
        <v>Unlisted</v>
      </c>
      <c r="M851" s="174" t="str">
        <f>IFERROR(__xludf.DUMMYFUNCTION("""COMPUTED_VALUE"""),"Unlisted")</f>
        <v>Unlisted</v>
      </c>
      <c r="N851" s="174" t="str">
        <f>IFERROR(__xludf.DUMMYFUNCTION("""COMPUTED_VALUE"""),"Unlisted")</f>
        <v>Unlisted</v>
      </c>
      <c r="O851" s="174" t="str">
        <f>IFERROR(__xludf.DUMMYFUNCTION("""COMPUTED_VALUE"""),"Unlisted")</f>
        <v>Unlisted</v>
      </c>
      <c r="P851" s="174" t="str">
        <f>IFERROR(__xludf.DUMMYFUNCTION("""COMPUTED_VALUE"""),"Unlisted")</f>
        <v>Unlisted</v>
      </c>
      <c r="Q851" s="174" t="str">
        <f>IFERROR(__xludf.DUMMYFUNCTION("""COMPUTED_VALUE"""),"Unlisted")</f>
        <v>Unlisted</v>
      </c>
      <c r="R851" s="174" t="str">
        <f>IFERROR(__xludf.DUMMYFUNCTION("""COMPUTED_VALUE"""),"Unlisted")</f>
        <v>Unlisted</v>
      </c>
    </row>
    <row r="852">
      <c r="A852" s="255" t="str">
        <f>IFERROR(__xludf.DUMMYFUNCTION("""COMPUTED_VALUE"""),"Ekans")</f>
        <v>Ekans</v>
      </c>
      <c r="B852" s="174" t="str">
        <f>IFERROR(__xludf.DUMMYFUNCTION("""COMPUTED_VALUE"""),"Unlisted")</f>
        <v>Unlisted</v>
      </c>
      <c r="C852" s="174" t="str">
        <f>IFERROR(__xludf.DUMMYFUNCTION("""COMPUTED_VALUE"""),"Unlisted")</f>
        <v>Unlisted</v>
      </c>
      <c r="D852" s="174" t="str">
        <f>IFERROR(__xludf.DUMMYFUNCTION("""COMPUTED_VALUE"""),"Unlisted")</f>
        <v>Unlisted</v>
      </c>
      <c r="E852" s="174" t="str">
        <f>IFERROR(__xludf.DUMMYFUNCTION("""COMPUTED_VALUE"""),"Proficient")</f>
        <v>Proficient</v>
      </c>
      <c r="F852" s="174" t="str">
        <f>IFERROR(__xludf.DUMMYFUNCTION("""COMPUTED_VALUE"""),"Unlisted")</f>
        <v>Unlisted</v>
      </c>
      <c r="G852" s="174" t="str">
        <f>IFERROR(__xludf.DUMMYFUNCTION("""COMPUTED_VALUE"""),"Proficient")</f>
        <v>Proficient</v>
      </c>
      <c r="H852" s="174" t="str">
        <f>IFERROR(__xludf.DUMMYFUNCTION("""COMPUTED_VALUE"""),"Unlisted")</f>
        <v>Unlisted</v>
      </c>
      <c r="I852" s="174" t="str">
        <f>IFERROR(__xludf.DUMMYFUNCTION("""COMPUTED_VALUE"""),"Unlisted")</f>
        <v>Unlisted</v>
      </c>
      <c r="J852" s="174" t="str">
        <f>IFERROR(__xludf.DUMMYFUNCTION("""COMPUTED_VALUE"""),"Unlisted")</f>
        <v>Unlisted</v>
      </c>
      <c r="K852" s="174" t="str">
        <f>IFERROR(__xludf.DUMMYFUNCTION("""COMPUTED_VALUE"""),"Unlisted")</f>
        <v>Unlisted</v>
      </c>
      <c r="L852" s="174" t="str">
        <f>IFERROR(__xludf.DUMMYFUNCTION("""COMPUTED_VALUE"""),"Mastered")</f>
        <v>Mastered</v>
      </c>
      <c r="M852" s="174" t="str">
        <f>IFERROR(__xludf.DUMMYFUNCTION("""COMPUTED_VALUE"""),"Unlisted")</f>
        <v>Unlisted</v>
      </c>
      <c r="N852" s="174" t="str">
        <f>IFERROR(__xludf.DUMMYFUNCTION("""COMPUTED_VALUE"""),"Unlisted")</f>
        <v>Unlisted</v>
      </c>
      <c r="O852" s="174" t="str">
        <f>IFERROR(__xludf.DUMMYFUNCTION("""COMPUTED_VALUE"""),"Unlisted")</f>
        <v>Unlisted</v>
      </c>
      <c r="P852" s="174" t="str">
        <f>IFERROR(__xludf.DUMMYFUNCTION("""COMPUTED_VALUE"""),"Unlisted")</f>
        <v>Unlisted</v>
      </c>
      <c r="Q852" s="174" t="str">
        <f>IFERROR(__xludf.DUMMYFUNCTION("""COMPUTED_VALUE"""),"Unlisted")</f>
        <v>Unlisted</v>
      </c>
      <c r="R852" s="174" t="str">
        <f>IFERROR(__xludf.DUMMYFUNCTION("""COMPUTED_VALUE"""),"Unlisted")</f>
        <v>Unlisted</v>
      </c>
    </row>
    <row r="853">
      <c r="A853" s="255" t="str">
        <f>IFERROR(__xludf.DUMMYFUNCTION("""COMPUTED_VALUE"""),"Arbok")</f>
        <v>Arbok</v>
      </c>
      <c r="B853" s="174" t="str">
        <f>IFERROR(__xludf.DUMMYFUNCTION("""COMPUTED_VALUE"""),"Unlisted")</f>
        <v>Unlisted</v>
      </c>
      <c r="C853" s="174" t="str">
        <f>IFERROR(__xludf.DUMMYFUNCTION("""COMPUTED_VALUE"""),"Unlisted")</f>
        <v>Unlisted</v>
      </c>
      <c r="D853" s="174" t="str">
        <f>IFERROR(__xludf.DUMMYFUNCTION("""COMPUTED_VALUE"""),"Unlisted")</f>
        <v>Unlisted</v>
      </c>
      <c r="E853" s="174" t="str">
        <f>IFERROR(__xludf.DUMMYFUNCTION("""COMPUTED_VALUE"""),"Proficient")</f>
        <v>Proficient</v>
      </c>
      <c r="F853" s="174" t="str">
        <f>IFERROR(__xludf.DUMMYFUNCTION("""COMPUTED_VALUE"""),"Unlisted")</f>
        <v>Unlisted</v>
      </c>
      <c r="G853" s="174" t="str">
        <f>IFERROR(__xludf.DUMMYFUNCTION("""COMPUTED_VALUE"""),"Proficient")</f>
        <v>Proficient</v>
      </c>
      <c r="H853" s="174" t="str">
        <f>IFERROR(__xludf.DUMMYFUNCTION("""COMPUTED_VALUE"""),"Unlisted")</f>
        <v>Unlisted</v>
      </c>
      <c r="I853" s="174" t="str">
        <f>IFERROR(__xludf.DUMMYFUNCTION("""COMPUTED_VALUE"""),"Unlisted")</f>
        <v>Unlisted</v>
      </c>
      <c r="J853" s="174" t="str">
        <f>IFERROR(__xludf.DUMMYFUNCTION("""COMPUTED_VALUE"""),"Unlisted")</f>
        <v>Unlisted</v>
      </c>
      <c r="K853" s="174" t="str">
        <f>IFERROR(__xludf.DUMMYFUNCTION("""COMPUTED_VALUE"""),"Unlisted")</f>
        <v>Unlisted</v>
      </c>
      <c r="L853" s="174" t="str">
        <f>IFERROR(__xludf.DUMMYFUNCTION("""COMPUTED_VALUE"""),"Mastered")</f>
        <v>Mastered</v>
      </c>
      <c r="M853" s="174" t="str">
        <f>IFERROR(__xludf.DUMMYFUNCTION("""COMPUTED_VALUE"""),"Unlisted")</f>
        <v>Unlisted</v>
      </c>
      <c r="N853" s="174" t="str">
        <f>IFERROR(__xludf.DUMMYFUNCTION("""COMPUTED_VALUE"""),"Unlisted")</f>
        <v>Unlisted</v>
      </c>
      <c r="O853" s="174" t="str">
        <f>IFERROR(__xludf.DUMMYFUNCTION("""COMPUTED_VALUE"""),"Unlisted")</f>
        <v>Unlisted</v>
      </c>
      <c r="P853" s="174" t="str">
        <f>IFERROR(__xludf.DUMMYFUNCTION("""COMPUTED_VALUE"""),"Unlisted")</f>
        <v>Unlisted</v>
      </c>
      <c r="Q853" s="174" t="str">
        <f>IFERROR(__xludf.DUMMYFUNCTION("""COMPUTED_VALUE"""),"Unlisted")</f>
        <v>Unlisted</v>
      </c>
      <c r="R853" s="174" t="str">
        <f>IFERROR(__xludf.DUMMYFUNCTION("""COMPUTED_VALUE"""),"Unlisted")</f>
        <v>Unlisted</v>
      </c>
    </row>
    <row r="854">
      <c r="A854" s="255" t="str">
        <f>IFERROR(__xludf.DUMMYFUNCTION("""COMPUTED_VALUE"""),"Grimer")</f>
        <v>Grimer</v>
      </c>
      <c r="B854" s="174" t="str">
        <f>IFERROR(__xludf.DUMMYFUNCTION("""COMPUTED_VALUE"""),"Unlisted")</f>
        <v>Unlisted</v>
      </c>
      <c r="C854" s="174" t="str">
        <f>IFERROR(__xludf.DUMMYFUNCTION("""COMPUTED_VALUE"""),"Unlisted")</f>
        <v>Unlisted</v>
      </c>
      <c r="D854" s="174" t="str">
        <f>IFERROR(__xludf.DUMMYFUNCTION("""COMPUTED_VALUE"""),"Unlisted")</f>
        <v>Unlisted</v>
      </c>
      <c r="E854" s="174" t="str">
        <f>IFERROR(__xludf.DUMMYFUNCTION("""COMPUTED_VALUE"""),"Unlisted")</f>
        <v>Unlisted</v>
      </c>
      <c r="F854" s="174" t="str">
        <f>IFERROR(__xludf.DUMMYFUNCTION("""COMPUTED_VALUE"""),"Unlisted")</f>
        <v>Unlisted</v>
      </c>
      <c r="G854" s="174" t="str">
        <f>IFERROR(__xludf.DUMMYFUNCTION("""COMPUTED_VALUE"""),"Proficient")</f>
        <v>Proficient</v>
      </c>
      <c r="H854" s="174" t="str">
        <f>IFERROR(__xludf.DUMMYFUNCTION("""COMPUTED_VALUE"""),"Unlisted")</f>
        <v>Unlisted</v>
      </c>
      <c r="I854" s="174" t="str">
        <f>IFERROR(__xludf.DUMMYFUNCTION("""COMPUTED_VALUE"""),"Unlisted")</f>
        <v>Unlisted</v>
      </c>
      <c r="J854" s="174" t="str">
        <f>IFERROR(__xludf.DUMMYFUNCTION("""COMPUTED_VALUE"""),"Unlisted")</f>
        <v>Unlisted</v>
      </c>
      <c r="K854" s="174" t="str">
        <f>IFERROR(__xludf.DUMMYFUNCTION("""COMPUTED_VALUE"""),"Proficient")</f>
        <v>Proficient</v>
      </c>
      <c r="L854" s="174" t="str">
        <f>IFERROR(__xludf.DUMMYFUNCTION("""COMPUTED_VALUE"""),"Proficient")</f>
        <v>Proficient</v>
      </c>
      <c r="M854" s="174" t="str">
        <f>IFERROR(__xludf.DUMMYFUNCTION("""COMPUTED_VALUE"""),"Unlisted")</f>
        <v>Unlisted</v>
      </c>
      <c r="N854" s="174" t="str">
        <f>IFERROR(__xludf.DUMMYFUNCTION("""COMPUTED_VALUE"""),"Unlisted")</f>
        <v>Unlisted</v>
      </c>
      <c r="O854" s="174" t="str">
        <f>IFERROR(__xludf.DUMMYFUNCTION("""COMPUTED_VALUE"""),"Unlisted")</f>
        <v>Unlisted</v>
      </c>
      <c r="P854" s="174" t="str">
        <f>IFERROR(__xludf.DUMMYFUNCTION("""COMPUTED_VALUE"""),"Unlisted")</f>
        <v>Unlisted</v>
      </c>
      <c r="Q854" s="174" t="str">
        <f>IFERROR(__xludf.DUMMYFUNCTION("""COMPUTED_VALUE"""),"Unlisted")</f>
        <v>Unlisted</v>
      </c>
      <c r="R854" s="174" t="str">
        <f>IFERROR(__xludf.DUMMYFUNCTION("""COMPUTED_VALUE"""),"Unlisted")</f>
        <v>Unlisted</v>
      </c>
    </row>
    <row r="855">
      <c r="A855" s="255" t="str">
        <f>IFERROR(__xludf.DUMMYFUNCTION("""COMPUTED_VALUE"""),"Muk")</f>
        <v>Muk</v>
      </c>
      <c r="B855" s="174" t="str">
        <f>IFERROR(__xludf.DUMMYFUNCTION("""COMPUTED_VALUE"""),"Unlisted")</f>
        <v>Unlisted</v>
      </c>
      <c r="C855" s="174" t="str">
        <f>IFERROR(__xludf.DUMMYFUNCTION("""COMPUTED_VALUE"""),"Unlisted")</f>
        <v>Unlisted</v>
      </c>
      <c r="D855" s="174" t="str">
        <f>IFERROR(__xludf.DUMMYFUNCTION("""COMPUTED_VALUE"""),"Unlisted")</f>
        <v>Unlisted</v>
      </c>
      <c r="E855" s="174" t="str">
        <f>IFERROR(__xludf.DUMMYFUNCTION("""COMPUTED_VALUE"""),"Unlisted")</f>
        <v>Unlisted</v>
      </c>
      <c r="F855" s="174" t="str">
        <f>IFERROR(__xludf.DUMMYFUNCTION("""COMPUTED_VALUE"""),"Unlisted")</f>
        <v>Unlisted</v>
      </c>
      <c r="G855" s="174" t="str">
        <f>IFERROR(__xludf.DUMMYFUNCTION("""COMPUTED_VALUE"""),"Proficient")</f>
        <v>Proficient</v>
      </c>
      <c r="H855" s="174" t="str">
        <f>IFERROR(__xludf.DUMMYFUNCTION("""COMPUTED_VALUE"""),"Unlisted")</f>
        <v>Unlisted</v>
      </c>
      <c r="I855" s="174" t="str">
        <f>IFERROR(__xludf.DUMMYFUNCTION("""COMPUTED_VALUE"""),"Unlisted")</f>
        <v>Unlisted</v>
      </c>
      <c r="J855" s="174" t="str">
        <f>IFERROR(__xludf.DUMMYFUNCTION("""COMPUTED_VALUE"""),"Unlisted")</f>
        <v>Unlisted</v>
      </c>
      <c r="K855" s="174" t="str">
        <f>IFERROR(__xludf.DUMMYFUNCTION("""COMPUTED_VALUE"""),"Proficient")</f>
        <v>Proficient</v>
      </c>
      <c r="L855" s="174" t="str">
        <f>IFERROR(__xludf.DUMMYFUNCTION("""COMPUTED_VALUE"""),"Proficient")</f>
        <v>Proficient</v>
      </c>
      <c r="M855" s="174" t="str">
        <f>IFERROR(__xludf.DUMMYFUNCTION("""COMPUTED_VALUE"""),"Unlisted")</f>
        <v>Unlisted</v>
      </c>
      <c r="N855" s="174" t="str">
        <f>IFERROR(__xludf.DUMMYFUNCTION("""COMPUTED_VALUE"""),"Unlisted")</f>
        <v>Unlisted</v>
      </c>
      <c r="O855" s="174" t="str">
        <f>IFERROR(__xludf.DUMMYFUNCTION("""COMPUTED_VALUE"""),"Unlisted")</f>
        <v>Unlisted</v>
      </c>
      <c r="P855" s="174" t="str">
        <f>IFERROR(__xludf.DUMMYFUNCTION("""COMPUTED_VALUE"""),"Unlisted")</f>
        <v>Unlisted</v>
      </c>
      <c r="Q855" s="174" t="str">
        <f>IFERROR(__xludf.DUMMYFUNCTION("""COMPUTED_VALUE"""),"Unlisted")</f>
        <v>Unlisted</v>
      </c>
      <c r="R855" s="174" t="str">
        <f>IFERROR(__xludf.DUMMYFUNCTION("""COMPUTED_VALUE"""),"Unlisted")</f>
        <v>Unlisted</v>
      </c>
    </row>
    <row r="856">
      <c r="A856" s="255" t="str">
        <f>IFERROR(__xludf.DUMMYFUNCTION("""COMPUTED_VALUE"""),"Koffing")</f>
        <v>Koffing</v>
      </c>
      <c r="B856" s="174" t="str">
        <f>IFERROR(__xludf.DUMMYFUNCTION("""COMPUTED_VALUE"""),"Unlisted")</f>
        <v>Unlisted</v>
      </c>
      <c r="C856" s="174" t="str">
        <f>IFERROR(__xludf.DUMMYFUNCTION("""COMPUTED_VALUE"""),"Proficient")</f>
        <v>Proficient</v>
      </c>
      <c r="D856" s="174" t="str">
        <f>IFERROR(__xludf.DUMMYFUNCTION("""COMPUTED_VALUE"""),"Unlisted")</f>
        <v>Unlisted</v>
      </c>
      <c r="E856" s="174" t="str">
        <f>IFERROR(__xludf.DUMMYFUNCTION("""COMPUTED_VALUE"""),"Unlisted")</f>
        <v>Unlisted</v>
      </c>
      <c r="F856" s="174" t="str">
        <f>IFERROR(__xludf.DUMMYFUNCTION("""COMPUTED_VALUE"""),"Unlisted")</f>
        <v>Unlisted</v>
      </c>
      <c r="G856" s="174" t="str">
        <f>IFERROR(__xludf.DUMMYFUNCTION("""COMPUTED_VALUE"""),"Proficient")</f>
        <v>Proficient</v>
      </c>
      <c r="H856" s="174" t="str">
        <f>IFERROR(__xludf.DUMMYFUNCTION("""COMPUTED_VALUE"""),"Unlisted")</f>
        <v>Unlisted</v>
      </c>
      <c r="I856" s="174" t="str">
        <f>IFERROR(__xludf.DUMMYFUNCTION("""COMPUTED_VALUE"""),"Unlisted")</f>
        <v>Unlisted</v>
      </c>
      <c r="J856" s="174" t="str">
        <f>IFERROR(__xludf.DUMMYFUNCTION("""COMPUTED_VALUE"""),"Unlisted")</f>
        <v>Unlisted</v>
      </c>
      <c r="K856" s="174" t="str">
        <f>IFERROR(__xludf.DUMMYFUNCTION("""COMPUTED_VALUE"""),"Unlisted")</f>
        <v>Unlisted</v>
      </c>
      <c r="L856" s="174" t="str">
        <f>IFERROR(__xludf.DUMMYFUNCTION("""COMPUTED_VALUE"""),"Unlisted")</f>
        <v>Unlisted</v>
      </c>
      <c r="M856" s="174" t="str">
        <f>IFERROR(__xludf.DUMMYFUNCTION("""COMPUTED_VALUE"""),"Unlisted")</f>
        <v>Unlisted</v>
      </c>
      <c r="N856" s="174" t="str">
        <f>IFERROR(__xludf.DUMMYFUNCTION("""COMPUTED_VALUE"""),"Unlisted")</f>
        <v>Unlisted</v>
      </c>
      <c r="O856" s="174" t="str">
        <f>IFERROR(__xludf.DUMMYFUNCTION("""COMPUTED_VALUE"""),"Unlisted")</f>
        <v>Unlisted</v>
      </c>
      <c r="P856" s="174" t="str">
        <f>IFERROR(__xludf.DUMMYFUNCTION("""COMPUTED_VALUE"""),"Unlisted")</f>
        <v>Unlisted</v>
      </c>
      <c r="Q856" s="174" t="str">
        <f>IFERROR(__xludf.DUMMYFUNCTION("""COMPUTED_VALUE"""),"Unlisted")</f>
        <v>Unlisted</v>
      </c>
      <c r="R856" s="174" t="str">
        <f>IFERROR(__xludf.DUMMYFUNCTION("""COMPUTED_VALUE"""),"Unlisted")</f>
        <v>Unlisted</v>
      </c>
    </row>
    <row r="857">
      <c r="A857" s="255" t="str">
        <f>IFERROR(__xludf.DUMMYFUNCTION("""COMPUTED_VALUE"""),"Weezing")</f>
        <v>Weezing</v>
      </c>
      <c r="B857" s="174" t="str">
        <f>IFERROR(__xludf.DUMMYFUNCTION("""COMPUTED_VALUE"""),"Unlisted")</f>
        <v>Unlisted</v>
      </c>
      <c r="C857" s="174" t="str">
        <f>IFERROR(__xludf.DUMMYFUNCTION("""COMPUTED_VALUE"""),"Proficient")</f>
        <v>Proficient</v>
      </c>
      <c r="D857" s="174" t="str">
        <f>IFERROR(__xludf.DUMMYFUNCTION("""COMPUTED_VALUE"""),"Unlisted")</f>
        <v>Unlisted</v>
      </c>
      <c r="E857" s="174" t="str">
        <f>IFERROR(__xludf.DUMMYFUNCTION("""COMPUTED_VALUE"""),"Unlisted")</f>
        <v>Unlisted</v>
      </c>
      <c r="F857" s="174" t="str">
        <f>IFERROR(__xludf.DUMMYFUNCTION("""COMPUTED_VALUE"""),"Unlisted")</f>
        <v>Unlisted</v>
      </c>
      <c r="G857" s="174" t="str">
        <f>IFERROR(__xludf.DUMMYFUNCTION("""COMPUTED_VALUE"""),"Proficient")</f>
        <v>Proficient</v>
      </c>
      <c r="H857" s="174" t="str">
        <f>IFERROR(__xludf.DUMMYFUNCTION("""COMPUTED_VALUE"""),"Unlisted")</f>
        <v>Unlisted</v>
      </c>
      <c r="I857" s="174" t="str">
        <f>IFERROR(__xludf.DUMMYFUNCTION("""COMPUTED_VALUE"""),"Unlisted")</f>
        <v>Unlisted</v>
      </c>
      <c r="J857" s="174" t="str">
        <f>IFERROR(__xludf.DUMMYFUNCTION("""COMPUTED_VALUE"""),"Unlisted")</f>
        <v>Unlisted</v>
      </c>
      <c r="K857" s="174" t="str">
        <f>IFERROR(__xludf.DUMMYFUNCTION("""COMPUTED_VALUE"""),"Unlisted")</f>
        <v>Unlisted</v>
      </c>
      <c r="L857" s="174" t="str">
        <f>IFERROR(__xludf.DUMMYFUNCTION("""COMPUTED_VALUE"""),"Unlisted")</f>
        <v>Unlisted</v>
      </c>
      <c r="M857" s="174" t="str">
        <f>IFERROR(__xludf.DUMMYFUNCTION("""COMPUTED_VALUE"""),"Unlisted")</f>
        <v>Unlisted</v>
      </c>
      <c r="N857" s="174" t="str">
        <f>IFERROR(__xludf.DUMMYFUNCTION("""COMPUTED_VALUE"""),"Unlisted")</f>
        <v>Unlisted</v>
      </c>
      <c r="O857" s="174" t="str">
        <f>IFERROR(__xludf.DUMMYFUNCTION("""COMPUTED_VALUE"""),"Unlisted")</f>
        <v>Unlisted</v>
      </c>
      <c r="P857" s="174" t="str">
        <f>IFERROR(__xludf.DUMMYFUNCTION("""COMPUTED_VALUE"""),"Unlisted")</f>
        <v>Unlisted</v>
      </c>
      <c r="Q857" s="174" t="str">
        <f>IFERROR(__xludf.DUMMYFUNCTION("""COMPUTED_VALUE"""),"Unlisted")</f>
        <v>Unlisted</v>
      </c>
      <c r="R857" s="174" t="str">
        <f>IFERROR(__xludf.DUMMYFUNCTION("""COMPUTED_VALUE"""),"Unlisted")</f>
        <v>Unlisted</v>
      </c>
    </row>
    <row r="858">
      <c r="A858" s="255" t="str">
        <f>IFERROR(__xludf.DUMMYFUNCTION("""COMPUTED_VALUE"""),"Galarian Weezing")</f>
        <v>Galarian Weezing</v>
      </c>
      <c r="B858" s="174" t="str">
        <f>IFERROR(__xludf.DUMMYFUNCTION("""COMPUTED_VALUE"""),"Unlisted")</f>
        <v>Unlisted</v>
      </c>
      <c r="C858" s="174" t="str">
        <f>IFERROR(__xludf.DUMMYFUNCTION("""COMPUTED_VALUE"""),"Unlisted")</f>
        <v>Unlisted</v>
      </c>
      <c r="D858" s="174" t="str">
        <f>IFERROR(__xludf.DUMMYFUNCTION("""COMPUTED_VALUE"""),"Unlisted")</f>
        <v>Unlisted</v>
      </c>
      <c r="E858" s="174" t="str">
        <f>IFERROR(__xludf.DUMMYFUNCTION("""COMPUTED_VALUE"""),"Unlisted")</f>
        <v>Unlisted</v>
      </c>
      <c r="F858" s="174" t="str">
        <f>IFERROR(__xludf.DUMMYFUNCTION("""COMPUTED_VALUE"""),"Unlisted")</f>
        <v>Unlisted</v>
      </c>
      <c r="G858" s="174" t="str">
        <f>IFERROR(__xludf.DUMMYFUNCTION("""COMPUTED_VALUE"""),"Proficient")</f>
        <v>Proficient</v>
      </c>
      <c r="H858" s="174" t="str">
        <f>IFERROR(__xludf.DUMMYFUNCTION("""COMPUTED_VALUE"""),"Unlisted")</f>
        <v>Unlisted</v>
      </c>
      <c r="I858" s="174" t="str">
        <f>IFERROR(__xludf.DUMMYFUNCTION("""COMPUTED_VALUE"""),"Unlisted")</f>
        <v>Unlisted</v>
      </c>
      <c r="J858" s="174" t="str">
        <f>IFERROR(__xludf.DUMMYFUNCTION("""COMPUTED_VALUE"""),"Unlisted")</f>
        <v>Unlisted</v>
      </c>
      <c r="K858" s="174" t="str">
        <f>IFERROR(__xludf.DUMMYFUNCTION("""COMPUTED_VALUE"""),"Unlisted")</f>
        <v>Unlisted</v>
      </c>
      <c r="L858" s="174" t="str">
        <f>IFERROR(__xludf.DUMMYFUNCTION("""COMPUTED_VALUE"""),"Inept")</f>
        <v>Inept</v>
      </c>
      <c r="M858" s="174" t="str">
        <f>IFERROR(__xludf.DUMMYFUNCTION("""COMPUTED_VALUE"""),"Unlisted")</f>
        <v>Unlisted</v>
      </c>
      <c r="N858" s="174" t="str">
        <f>IFERROR(__xludf.DUMMYFUNCTION("""COMPUTED_VALUE"""),"Unlisted")</f>
        <v>Unlisted</v>
      </c>
      <c r="O858" s="174" t="str">
        <f>IFERROR(__xludf.DUMMYFUNCTION("""COMPUTED_VALUE"""),"Unlisted")</f>
        <v>Unlisted</v>
      </c>
      <c r="P858" s="174" t="str">
        <f>IFERROR(__xludf.DUMMYFUNCTION("""COMPUTED_VALUE"""),"Unlisted")</f>
        <v>Unlisted</v>
      </c>
      <c r="Q858" s="174" t="str">
        <f>IFERROR(__xludf.DUMMYFUNCTION("""COMPUTED_VALUE"""),"Unlisted")</f>
        <v>Unlisted</v>
      </c>
      <c r="R858" s="174" t="str">
        <f>IFERROR(__xludf.DUMMYFUNCTION("""COMPUTED_VALUE"""),"Unlisted")</f>
        <v>Unlisted</v>
      </c>
    </row>
    <row r="859">
      <c r="A859" s="255" t="str">
        <f>IFERROR(__xludf.DUMMYFUNCTION("""COMPUTED_VALUE"""),"Gulpin")</f>
        <v>Gulpin</v>
      </c>
      <c r="B859" s="174" t="str">
        <f>IFERROR(__xludf.DUMMYFUNCTION("""COMPUTED_VALUE"""),"Unlisted")</f>
        <v>Unlisted</v>
      </c>
      <c r="C859" s="174" t="str">
        <f>IFERROR(__xludf.DUMMYFUNCTION("""COMPUTED_VALUE"""),"Inept")</f>
        <v>Inept</v>
      </c>
      <c r="D859" s="174" t="str">
        <f>IFERROR(__xludf.DUMMYFUNCTION("""COMPUTED_VALUE"""),"Unlisted")</f>
        <v>Unlisted</v>
      </c>
      <c r="E859" s="174" t="str">
        <f>IFERROR(__xludf.DUMMYFUNCTION("""COMPUTED_VALUE"""),"Unlisted")</f>
        <v>Unlisted</v>
      </c>
      <c r="F859" s="174" t="str">
        <f>IFERROR(__xludf.DUMMYFUNCTION("""COMPUTED_VALUE"""),"Unlisted")</f>
        <v>Unlisted</v>
      </c>
      <c r="G859" s="174" t="str">
        <f>IFERROR(__xludf.DUMMYFUNCTION("""COMPUTED_VALUE"""),"Proficient")</f>
        <v>Proficient</v>
      </c>
      <c r="H859" s="174" t="str">
        <f>IFERROR(__xludf.DUMMYFUNCTION("""COMPUTED_VALUE"""),"Unlisted")</f>
        <v>Unlisted</v>
      </c>
      <c r="I859" s="174" t="str">
        <f>IFERROR(__xludf.DUMMYFUNCTION("""COMPUTED_VALUE"""),"Unlisted")</f>
        <v>Unlisted</v>
      </c>
      <c r="J859" s="174" t="str">
        <f>IFERROR(__xludf.DUMMYFUNCTION("""COMPUTED_VALUE"""),"Unlisted")</f>
        <v>Unlisted</v>
      </c>
      <c r="K859" s="174" t="str">
        <f>IFERROR(__xludf.DUMMYFUNCTION("""COMPUTED_VALUE"""),"Unlisted")</f>
        <v>Unlisted</v>
      </c>
      <c r="L859" s="174" t="str">
        <f>IFERROR(__xludf.DUMMYFUNCTION("""COMPUTED_VALUE"""),"Unlisted")</f>
        <v>Unlisted</v>
      </c>
      <c r="M859" s="174" t="str">
        <f>IFERROR(__xludf.DUMMYFUNCTION("""COMPUTED_VALUE"""),"Unlisted")</f>
        <v>Unlisted</v>
      </c>
      <c r="N859" s="174" t="str">
        <f>IFERROR(__xludf.DUMMYFUNCTION("""COMPUTED_VALUE"""),"Unlisted")</f>
        <v>Unlisted</v>
      </c>
      <c r="O859" s="174" t="str">
        <f>IFERROR(__xludf.DUMMYFUNCTION("""COMPUTED_VALUE"""),"Proficient")</f>
        <v>Proficient</v>
      </c>
      <c r="P859" s="174" t="str">
        <f>IFERROR(__xludf.DUMMYFUNCTION("""COMPUTED_VALUE"""),"Unlisted")</f>
        <v>Unlisted</v>
      </c>
      <c r="Q859" s="174" t="str">
        <f>IFERROR(__xludf.DUMMYFUNCTION("""COMPUTED_VALUE"""),"Unlisted")</f>
        <v>Unlisted</v>
      </c>
      <c r="R859" s="174" t="str">
        <f>IFERROR(__xludf.DUMMYFUNCTION("""COMPUTED_VALUE"""),"Unlisted")</f>
        <v>Unlisted</v>
      </c>
    </row>
    <row r="860">
      <c r="A860" s="255" t="str">
        <f>IFERROR(__xludf.DUMMYFUNCTION("""COMPUTED_VALUE"""),"Swalot")</f>
        <v>Swalot</v>
      </c>
      <c r="B860" s="174" t="str">
        <f>IFERROR(__xludf.DUMMYFUNCTION("""COMPUTED_VALUE"""),"Unlisted")</f>
        <v>Unlisted</v>
      </c>
      <c r="C860" s="174" t="str">
        <f>IFERROR(__xludf.DUMMYFUNCTION("""COMPUTED_VALUE"""),"Unlisted")</f>
        <v>Unlisted</v>
      </c>
      <c r="D860" s="174" t="str">
        <f>IFERROR(__xludf.DUMMYFUNCTION("""COMPUTED_VALUE"""),"Unlisted")</f>
        <v>Unlisted</v>
      </c>
      <c r="E860" s="174" t="str">
        <f>IFERROR(__xludf.DUMMYFUNCTION("""COMPUTED_VALUE"""),"Unlisted")</f>
        <v>Unlisted</v>
      </c>
      <c r="F860" s="174" t="str">
        <f>IFERROR(__xludf.DUMMYFUNCTION("""COMPUTED_VALUE"""),"Unlisted")</f>
        <v>Unlisted</v>
      </c>
      <c r="G860" s="174" t="str">
        <f>IFERROR(__xludf.DUMMYFUNCTION("""COMPUTED_VALUE"""),"Proficient")</f>
        <v>Proficient</v>
      </c>
      <c r="H860" s="174" t="str">
        <f>IFERROR(__xludf.DUMMYFUNCTION("""COMPUTED_VALUE"""),"Unlisted")</f>
        <v>Unlisted</v>
      </c>
      <c r="I860" s="174" t="str">
        <f>IFERROR(__xludf.DUMMYFUNCTION("""COMPUTED_VALUE"""),"Unlisted")</f>
        <v>Unlisted</v>
      </c>
      <c r="J860" s="174" t="str">
        <f>IFERROR(__xludf.DUMMYFUNCTION("""COMPUTED_VALUE"""),"Unlisted")</f>
        <v>Unlisted</v>
      </c>
      <c r="K860" s="174" t="str">
        <f>IFERROR(__xludf.DUMMYFUNCTION("""COMPUTED_VALUE"""),"Unlisted")</f>
        <v>Unlisted</v>
      </c>
      <c r="L860" s="174" t="str">
        <f>IFERROR(__xludf.DUMMYFUNCTION("""COMPUTED_VALUE"""),"Unlisted")</f>
        <v>Unlisted</v>
      </c>
      <c r="M860" s="174" t="str">
        <f>IFERROR(__xludf.DUMMYFUNCTION("""COMPUTED_VALUE"""),"Unlisted")</f>
        <v>Unlisted</v>
      </c>
      <c r="N860" s="174" t="str">
        <f>IFERROR(__xludf.DUMMYFUNCTION("""COMPUTED_VALUE"""),"Unlisted")</f>
        <v>Unlisted</v>
      </c>
      <c r="O860" s="174" t="str">
        <f>IFERROR(__xludf.DUMMYFUNCTION("""COMPUTED_VALUE"""),"Proficient")</f>
        <v>Proficient</v>
      </c>
      <c r="P860" s="174" t="str">
        <f>IFERROR(__xludf.DUMMYFUNCTION("""COMPUTED_VALUE"""),"Unlisted")</f>
        <v>Unlisted</v>
      </c>
      <c r="Q860" s="174" t="str">
        <f>IFERROR(__xludf.DUMMYFUNCTION("""COMPUTED_VALUE"""),"Unlisted")</f>
        <v>Unlisted</v>
      </c>
      <c r="R860" s="174" t="str">
        <f>IFERROR(__xludf.DUMMYFUNCTION("""COMPUTED_VALUE"""),"Unlisted")</f>
        <v>Unlisted</v>
      </c>
    </row>
    <row r="861">
      <c r="A861" s="255" t="str">
        <f>IFERROR(__xludf.DUMMYFUNCTION("""COMPUTED_VALUE"""),"Stunky")</f>
        <v>Stunky</v>
      </c>
      <c r="B861" s="174" t="str">
        <f>IFERROR(__xludf.DUMMYFUNCTION("""COMPUTED_VALUE"""),"Unlisted")</f>
        <v>Unlisted</v>
      </c>
      <c r="C861" s="174" t="str">
        <f>IFERROR(__xludf.DUMMYFUNCTION("""COMPUTED_VALUE"""),"Unlisted")</f>
        <v>Unlisted</v>
      </c>
      <c r="D861" s="174" t="str">
        <f>IFERROR(__xludf.DUMMYFUNCTION("""COMPUTED_VALUE"""),"Unlisted")</f>
        <v>Unlisted</v>
      </c>
      <c r="E861" s="174" t="str">
        <f>IFERROR(__xludf.DUMMYFUNCTION("""COMPUTED_VALUE"""),"Unlisted")</f>
        <v>Unlisted</v>
      </c>
      <c r="F861" s="174" t="str">
        <f>IFERROR(__xludf.DUMMYFUNCTION("""COMPUTED_VALUE"""),"Unlisted")</f>
        <v>Unlisted</v>
      </c>
      <c r="G861" s="174" t="str">
        <f>IFERROR(__xludf.DUMMYFUNCTION("""COMPUTED_VALUE"""),"Unlisted")</f>
        <v>Unlisted</v>
      </c>
      <c r="H861" s="174" t="str">
        <f>IFERROR(__xludf.DUMMYFUNCTION("""COMPUTED_VALUE"""),"Unlisted")</f>
        <v>Unlisted</v>
      </c>
      <c r="I861" s="174" t="str">
        <f>IFERROR(__xludf.DUMMYFUNCTION("""COMPUTED_VALUE"""),"Unlisted")</f>
        <v>Unlisted</v>
      </c>
      <c r="J861" s="174" t="str">
        <f>IFERROR(__xludf.DUMMYFUNCTION("""COMPUTED_VALUE"""),"Unlisted")</f>
        <v>Unlisted</v>
      </c>
      <c r="K861" s="174" t="str">
        <f>IFERROR(__xludf.DUMMYFUNCTION("""COMPUTED_VALUE"""),"Proficient")</f>
        <v>Proficient</v>
      </c>
      <c r="L861" s="174" t="str">
        <f>IFERROR(__xludf.DUMMYFUNCTION("""COMPUTED_VALUE"""),"Unlisted")</f>
        <v>Unlisted</v>
      </c>
      <c r="M861" s="174" t="str">
        <f>IFERROR(__xludf.DUMMYFUNCTION("""COMPUTED_VALUE"""),"Unlisted")</f>
        <v>Unlisted</v>
      </c>
      <c r="N861" s="174" t="str">
        <f>IFERROR(__xludf.DUMMYFUNCTION("""COMPUTED_VALUE"""),"Unlisted")</f>
        <v>Unlisted</v>
      </c>
      <c r="O861" s="174" t="str">
        <f>IFERROR(__xludf.DUMMYFUNCTION("""COMPUTED_VALUE"""),"Unlisted")</f>
        <v>Unlisted</v>
      </c>
      <c r="P861" s="174" t="str">
        <f>IFERROR(__xludf.DUMMYFUNCTION("""COMPUTED_VALUE"""),"Unlisted")</f>
        <v>Unlisted</v>
      </c>
      <c r="Q861" s="174" t="str">
        <f>IFERROR(__xludf.DUMMYFUNCTION("""COMPUTED_VALUE"""),"Unlisted")</f>
        <v>Unlisted</v>
      </c>
      <c r="R861" s="174" t="str">
        <f>IFERROR(__xludf.DUMMYFUNCTION("""COMPUTED_VALUE"""),"Unlisted")</f>
        <v>Unlisted</v>
      </c>
    </row>
    <row r="862">
      <c r="A862" s="255" t="str">
        <f>IFERROR(__xludf.DUMMYFUNCTION("""COMPUTED_VALUE"""),"Skuntank")</f>
        <v>Skuntank</v>
      </c>
      <c r="B862" s="174" t="str">
        <f>IFERROR(__xludf.DUMMYFUNCTION("""COMPUTED_VALUE"""),"Unlisted")</f>
        <v>Unlisted</v>
      </c>
      <c r="C862" s="174" t="str">
        <f>IFERROR(__xludf.DUMMYFUNCTION("""COMPUTED_VALUE"""),"Proficient")</f>
        <v>Proficient</v>
      </c>
      <c r="D862" s="174" t="str">
        <f>IFERROR(__xludf.DUMMYFUNCTION("""COMPUTED_VALUE"""),"Unlisted")</f>
        <v>Unlisted</v>
      </c>
      <c r="E862" s="174" t="str">
        <f>IFERROR(__xludf.DUMMYFUNCTION("""COMPUTED_VALUE"""),"Unlisted")</f>
        <v>Unlisted</v>
      </c>
      <c r="F862" s="174" t="str">
        <f>IFERROR(__xludf.DUMMYFUNCTION("""COMPUTED_VALUE"""),"Unlisted")</f>
        <v>Unlisted</v>
      </c>
      <c r="G862" s="174" t="str">
        <f>IFERROR(__xludf.DUMMYFUNCTION("""COMPUTED_VALUE"""),"Unlisted")</f>
        <v>Unlisted</v>
      </c>
      <c r="H862" s="174" t="str">
        <f>IFERROR(__xludf.DUMMYFUNCTION("""COMPUTED_VALUE"""),"Unlisted")</f>
        <v>Unlisted</v>
      </c>
      <c r="I862" s="174" t="str">
        <f>IFERROR(__xludf.DUMMYFUNCTION("""COMPUTED_VALUE"""),"Unlisted")</f>
        <v>Unlisted</v>
      </c>
      <c r="J862" s="174" t="str">
        <f>IFERROR(__xludf.DUMMYFUNCTION("""COMPUTED_VALUE"""),"Unlisted")</f>
        <v>Unlisted</v>
      </c>
      <c r="K862" s="174" t="str">
        <f>IFERROR(__xludf.DUMMYFUNCTION("""COMPUTED_VALUE"""),"Proficient")</f>
        <v>Proficient</v>
      </c>
      <c r="L862" s="174" t="str">
        <f>IFERROR(__xludf.DUMMYFUNCTION("""COMPUTED_VALUE"""),"Unlisted")</f>
        <v>Unlisted</v>
      </c>
      <c r="M862" s="174" t="str">
        <f>IFERROR(__xludf.DUMMYFUNCTION("""COMPUTED_VALUE"""),"Unlisted")</f>
        <v>Unlisted</v>
      </c>
      <c r="N862" s="174" t="str">
        <f>IFERROR(__xludf.DUMMYFUNCTION("""COMPUTED_VALUE"""),"Unlisted")</f>
        <v>Unlisted</v>
      </c>
      <c r="O862" s="174" t="str">
        <f>IFERROR(__xludf.DUMMYFUNCTION("""COMPUTED_VALUE"""),"Unlisted")</f>
        <v>Unlisted</v>
      </c>
      <c r="P862" s="174" t="str">
        <f>IFERROR(__xludf.DUMMYFUNCTION("""COMPUTED_VALUE"""),"Unlisted")</f>
        <v>Unlisted</v>
      </c>
      <c r="Q862" s="174" t="str">
        <f>IFERROR(__xludf.DUMMYFUNCTION("""COMPUTED_VALUE"""),"Unlisted")</f>
        <v>Unlisted</v>
      </c>
      <c r="R862" s="174" t="str">
        <f>IFERROR(__xludf.DUMMYFUNCTION("""COMPUTED_VALUE"""),"Unlisted")</f>
        <v>Unlisted</v>
      </c>
    </row>
    <row r="863">
      <c r="A863" s="255" t="str">
        <f>IFERROR(__xludf.DUMMYFUNCTION("""COMPUTED_VALUE"""),"Skorupi")</f>
        <v>Skorupi</v>
      </c>
      <c r="B863" s="174" t="str">
        <f>IFERROR(__xludf.DUMMYFUNCTION("""COMPUTED_VALUE"""),"Unlisted")</f>
        <v>Unlisted</v>
      </c>
      <c r="C863" s="174" t="str">
        <f>IFERROR(__xludf.DUMMYFUNCTION("""COMPUTED_VALUE"""),"Proficient")</f>
        <v>Proficient</v>
      </c>
      <c r="D863" s="174" t="str">
        <f>IFERROR(__xludf.DUMMYFUNCTION("""COMPUTED_VALUE"""),"Unlisted")</f>
        <v>Unlisted</v>
      </c>
      <c r="E863" s="174" t="str">
        <f>IFERROR(__xludf.DUMMYFUNCTION("""COMPUTED_VALUE"""),"Proficient")</f>
        <v>Proficient</v>
      </c>
      <c r="F863" s="174" t="str">
        <f>IFERROR(__xludf.DUMMYFUNCTION("""COMPUTED_VALUE"""),"Unlisted")</f>
        <v>Unlisted</v>
      </c>
      <c r="G863" s="174" t="str">
        <f>IFERROR(__xludf.DUMMYFUNCTION("""COMPUTED_VALUE"""),"Unlisted")</f>
        <v>Unlisted</v>
      </c>
      <c r="H863" s="174" t="str">
        <f>IFERROR(__xludf.DUMMYFUNCTION("""COMPUTED_VALUE"""),"Unlisted")</f>
        <v>Unlisted</v>
      </c>
      <c r="I863" s="174" t="str">
        <f>IFERROR(__xludf.DUMMYFUNCTION("""COMPUTED_VALUE"""),"Unlisted")</f>
        <v>Unlisted</v>
      </c>
      <c r="J863" s="174" t="str">
        <f>IFERROR(__xludf.DUMMYFUNCTION("""COMPUTED_VALUE"""),"Unlisted")</f>
        <v>Unlisted</v>
      </c>
      <c r="K863" s="174" t="str">
        <f>IFERROR(__xludf.DUMMYFUNCTION("""COMPUTED_VALUE"""),"Unlisted")</f>
        <v>Unlisted</v>
      </c>
      <c r="L863" s="174" t="str">
        <f>IFERROR(__xludf.DUMMYFUNCTION("""COMPUTED_VALUE"""),"Proficient")</f>
        <v>Proficient</v>
      </c>
      <c r="M863" s="174" t="str">
        <f>IFERROR(__xludf.DUMMYFUNCTION("""COMPUTED_VALUE"""),"Unlisted")</f>
        <v>Unlisted</v>
      </c>
      <c r="N863" s="174" t="str">
        <f>IFERROR(__xludf.DUMMYFUNCTION("""COMPUTED_VALUE"""),"Unlisted")</f>
        <v>Unlisted</v>
      </c>
      <c r="O863" s="174" t="str">
        <f>IFERROR(__xludf.DUMMYFUNCTION("""COMPUTED_VALUE"""),"Unlisted")</f>
        <v>Unlisted</v>
      </c>
      <c r="P863" s="174" t="str">
        <f>IFERROR(__xludf.DUMMYFUNCTION("""COMPUTED_VALUE"""),"Unlisted")</f>
        <v>Unlisted</v>
      </c>
      <c r="Q863" s="174" t="str">
        <f>IFERROR(__xludf.DUMMYFUNCTION("""COMPUTED_VALUE"""),"Unlisted")</f>
        <v>Unlisted</v>
      </c>
      <c r="R863" s="174" t="str">
        <f>IFERROR(__xludf.DUMMYFUNCTION("""COMPUTED_VALUE"""),"Unlisted")</f>
        <v>Unlisted</v>
      </c>
    </row>
    <row r="864">
      <c r="A864" s="255" t="str">
        <f>IFERROR(__xludf.DUMMYFUNCTION("""COMPUTED_VALUE"""),"Drapion")</f>
        <v>Drapion</v>
      </c>
      <c r="B864" s="174" t="str">
        <f>IFERROR(__xludf.DUMMYFUNCTION("""COMPUTED_VALUE"""),"Unlisted")</f>
        <v>Unlisted</v>
      </c>
      <c r="C864" s="174" t="str">
        <f>IFERROR(__xludf.DUMMYFUNCTION("""COMPUTED_VALUE"""),"Proficient")</f>
        <v>Proficient</v>
      </c>
      <c r="D864" s="174" t="str">
        <f>IFERROR(__xludf.DUMMYFUNCTION("""COMPUTED_VALUE"""),"Unlisted")</f>
        <v>Unlisted</v>
      </c>
      <c r="E864" s="174" t="str">
        <f>IFERROR(__xludf.DUMMYFUNCTION("""COMPUTED_VALUE"""),"Proficient")</f>
        <v>Proficient</v>
      </c>
      <c r="F864" s="174" t="str">
        <f>IFERROR(__xludf.DUMMYFUNCTION("""COMPUTED_VALUE"""),"Unlisted")</f>
        <v>Unlisted</v>
      </c>
      <c r="G864" s="174" t="str">
        <f>IFERROR(__xludf.DUMMYFUNCTION("""COMPUTED_VALUE"""),"Unlisted")</f>
        <v>Unlisted</v>
      </c>
      <c r="H864" s="174" t="str">
        <f>IFERROR(__xludf.DUMMYFUNCTION("""COMPUTED_VALUE"""),"Unlisted")</f>
        <v>Unlisted</v>
      </c>
      <c r="I864" s="174" t="str">
        <f>IFERROR(__xludf.DUMMYFUNCTION("""COMPUTED_VALUE"""),"Unlisted")</f>
        <v>Unlisted</v>
      </c>
      <c r="J864" s="174" t="str">
        <f>IFERROR(__xludf.DUMMYFUNCTION("""COMPUTED_VALUE"""),"Unlisted")</f>
        <v>Unlisted</v>
      </c>
      <c r="K864" s="174" t="str">
        <f>IFERROR(__xludf.DUMMYFUNCTION("""COMPUTED_VALUE"""),"Unlisted")</f>
        <v>Unlisted</v>
      </c>
      <c r="L864" s="174" t="str">
        <f>IFERROR(__xludf.DUMMYFUNCTION("""COMPUTED_VALUE"""),"Proficient")</f>
        <v>Proficient</v>
      </c>
      <c r="M864" s="174" t="str">
        <f>IFERROR(__xludf.DUMMYFUNCTION("""COMPUTED_VALUE"""),"Unlisted")</f>
        <v>Unlisted</v>
      </c>
      <c r="N864" s="174" t="str">
        <f>IFERROR(__xludf.DUMMYFUNCTION("""COMPUTED_VALUE"""),"Unlisted")</f>
        <v>Unlisted</v>
      </c>
      <c r="O864" s="174" t="str">
        <f>IFERROR(__xludf.DUMMYFUNCTION("""COMPUTED_VALUE"""),"Unlisted")</f>
        <v>Unlisted</v>
      </c>
      <c r="P864" s="174" t="str">
        <f>IFERROR(__xludf.DUMMYFUNCTION("""COMPUTED_VALUE"""),"Unlisted")</f>
        <v>Unlisted</v>
      </c>
      <c r="Q864" s="174" t="str">
        <f>IFERROR(__xludf.DUMMYFUNCTION("""COMPUTED_VALUE"""),"Unlisted")</f>
        <v>Unlisted</v>
      </c>
      <c r="R864" s="174" t="str">
        <f>IFERROR(__xludf.DUMMYFUNCTION("""COMPUTED_VALUE"""),"Unlisted")</f>
        <v>Unlisted</v>
      </c>
    </row>
    <row r="865">
      <c r="A865" s="255" t="str">
        <f>IFERROR(__xludf.DUMMYFUNCTION("""COMPUTED_VALUE"""),"Croagunk")</f>
        <v>Croagunk</v>
      </c>
      <c r="B865" s="174" t="str">
        <f>IFERROR(__xludf.DUMMYFUNCTION("""COMPUTED_VALUE"""),"Proficient")</f>
        <v>Proficient</v>
      </c>
      <c r="C865" s="174" t="str">
        <f>IFERROR(__xludf.DUMMYFUNCTION("""COMPUTED_VALUE"""),"Proficient")</f>
        <v>Proficient</v>
      </c>
      <c r="D865" s="174" t="str">
        <f>IFERROR(__xludf.DUMMYFUNCTION("""COMPUTED_VALUE"""),"Unlisted")</f>
        <v>Unlisted</v>
      </c>
      <c r="E865" s="174" t="str">
        <f>IFERROR(__xludf.DUMMYFUNCTION("""COMPUTED_VALUE"""),"Unlisted")</f>
        <v>Unlisted</v>
      </c>
      <c r="F865" s="174" t="str">
        <f>IFERROR(__xludf.DUMMYFUNCTION("""COMPUTED_VALUE"""),"Unlisted")</f>
        <v>Unlisted</v>
      </c>
      <c r="G865" s="174" t="str">
        <f>IFERROR(__xludf.DUMMYFUNCTION("""COMPUTED_VALUE"""),"Unlisted")</f>
        <v>Unlisted</v>
      </c>
      <c r="H865" s="174" t="str">
        <f>IFERROR(__xludf.DUMMYFUNCTION("""COMPUTED_VALUE"""),"Unlisted")</f>
        <v>Unlisted</v>
      </c>
      <c r="I865" s="174" t="str">
        <f>IFERROR(__xludf.DUMMYFUNCTION("""COMPUTED_VALUE"""),"Unlisted")</f>
        <v>Unlisted</v>
      </c>
      <c r="J865" s="174" t="str">
        <f>IFERROR(__xludf.DUMMYFUNCTION("""COMPUTED_VALUE"""),"Unlisted")</f>
        <v>Unlisted</v>
      </c>
      <c r="K865" s="174" t="str">
        <f>IFERROR(__xludf.DUMMYFUNCTION("""COMPUTED_VALUE"""),"Unlisted")</f>
        <v>Unlisted</v>
      </c>
      <c r="L865" s="174" t="str">
        <f>IFERROR(__xludf.DUMMYFUNCTION("""COMPUTED_VALUE"""),"Proficient")</f>
        <v>Proficient</v>
      </c>
      <c r="M865" s="174" t="str">
        <f>IFERROR(__xludf.DUMMYFUNCTION("""COMPUTED_VALUE"""),"Unlisted")</f>
        <v>Unlisted</v>
      </c>
      <c r="N865" s="174" t="str">
        <f>IFERROR(__xludf.DUMMYFUNCTION("""COMPUTED_VALUE"""),"Unlisted")</f>
        <v>Unlisted</v>
      </c>
      <c r="O865" s="174" t="str">
        <f>IFERROR(__xludf.DUMMYFUNCTION("""COMPUTED_VALUE"""),"Unlisted")</f>
        <v>Unlisted</v>
      </c>
      <c r="P865" s="174" t="str">
        <f>IFERROR(__xludf.DUMMYFUNCTION("""COMPUTED_VALUE"""),"Unlisted")</f>
        <v>Unlisted</v>
      </c>
      <c r="Q865" s="174" t="str">
        <f>IFERROR(__xludf.DUMMYFUNCTION("""COMPUTED_VALUE"""),"Unlisted")</f>
        <v>Unlisted</v>
      </c>
      <c r="R865" s="174" t="str">
        <f>IFERROR(__xludf.DUMMYFUNCTION("""COMPUTED_VALUE"""),"Unlisted")</f>
        <v>Unlisted</v>
      </c>
    </row>
    <row r="866">
      <c r="A866" s="255" t="str">
        <f>IFERROR(__xludf.DUMMYFUNCTION("""COMPUTED_VALUE"""),"Toxicroak")</f>
        <v>Toxicroak</v>
      </c>
      <c r="B866" s="174" t="str">
        <f>IFERROR(__xludf.DUMMYFUNCTION("""COMPUTED_VALUE"""),"Proficient")</f>
        <v>Proficient</v>
      </c>
      <c r="C866" s="174" t="str">
        <f>IFERROR(__xludf.DUMMYFUNCTION("""COMPUTED_VALUE"""),"Proficient")</f>
        <v>Proficient</v>
      </c>
      <c r="D866" s="174" t="str">
        <f>IFERROR(__xludf.DUMMYFUNCTION("""COMPUTED_VALUE"""),"Unlisted")</f>
        <v>Unlisted</v>
      </c>
      <c r="E866" s="174" t="str">
        <f>IFERROR(__xludf.DUMMYFUNCTION("""COMPUTED_VALUE"""),"Unlisted")</f>
        <v>Unlisted</v>
      </c>
      <c r="F866" s="174" t="str">
        <f>IFERROR(__xludf.DUMMYFUNCTION("""COMPUTED_VALUE"""),"Unlisted")</f>
        <v>Unlisted</v>
      </c>
      <c r="G866" s="174" t="str">
        <f>IFERROR(__xludf.DUMMYFUNCTION("""COMPUTED_VALUE"""),"Unlisted")</f>
        <v>Unlisted</v>
      </c>
      <c r="H866" s="174" t="str">
        <f>IFERROR(__xludf.DUMMYFUNCTION("""COMPUTED_VALUE"""),"Unlisted")</f>
        <v>Unlisted</v>
      </c>
      <c r="I866" s="174" t="str">
        <f>IFERROR(__xludf.DUMMYFUNCTION("""COMPUTED_VALUE"""),"Unlisted")</f>
        <v>Unlisted</v>
      </c>
      <c r="J866" s="174" t="str">
        <f>IFERROR(__xludf.DUMMYFUNCTION("""COMPUTED_VALUE"""),"Unlisted")</f>
        <v>Unlisted</v>
      </c>
      <c r="K866" s="174" t="str">
        <f>IFERROR(__xludf.DUMMYFUNCTION("""COMPUTED_VALUE"""),"Unlisted")</f>
        <v>Unlisted</v>
      </c>
      <c r="L866" s="174" t="str">
        <f>IFERROR(__xludf.DUMMYFUNCTION("""COMPUTED_VALUE"""),"Proficient")</f>
        <v>Proficient</v>
      </c>
      <c r="M866" s="174" t="str">
        <f>IFERROR(__xludf.DUMMYFUNCTION("""COMPUTED_VALUE"""),"Unlisted")</f>
        <v>Unlisted</v>
      </c>
      <c r="N866" s="174" t="str">
        <f>IFERROR(__xludf.DUMMYFUNCTION("""COMPUTED_VALUE"""),"Unlisted")</f>
        <v>Unlisted</v>
      </c>
      <c r="O866" s="174" t="str">
        <f>IFERROR(__xludf.DUMMYFUNCTION("""COMPUTED_VALUE"""),"Unlisted")</f>
        <v>Unlisted</v>
      </c>
      <c r="P866" s="174" t="str">
        <f>IFERROR(__xludf.DUMMYFUNCTION("""COMPUTED_VALUE"""),"Unlisted")</f>
        <v>Unlisted</v>
      </c>
      <c r="Q866" s="174" t="str">
        <f>IFERROR(__xludf.DUMMYFUNCTION("""COMPUTED_VALUE"""),"Unlisted")</f>
        <v>Unlisted</v>
      </c>
      <c r="R866" s="174" t="str">
        <f>IFERROR(__xludf.DUMMYFUNCTION("""COMPUTED_VALUE"""),"Unlisted")</f>
        <v>Unlisted</v>
      </c>
    </row>
    <row r="867">
      <c r="A867" s="255" t="str">
        <f>IFERROR(__xludf.DUMMYFUNCTION("""COMPUTED_VALUE"""),"Trubbish")</f>
        <v>Trubbish</v>
      </c>
      <c r="B867" s="174" t="str">
        <f>IFERROR(__xludf.DUMMYFUNCTION("""COMPUTED_VALUE"""),"Inept")</f>
        <v>Inept</v>
      </c>
      <c r="C867" s="174" t="str">
        <f>IFERROR(__xludf.DUMMYFUNCTION("""COMPUTED_VALUE"""),"Proficient")</f>
        <v>Proficient</v>
      </c>
      <c r="D867" s="174" t="str">
        <f>IFERROR(__xludf.DUMMYFUNCTION("""COMPUTED_VALUE"""),"Unlisted")</f>
        <v>Unlisted</v>
      </c>
      <c r="E867" s="174" t="str">
        <f>IFERROR(__xludf.DUMMYFUNCTION("""COMPUTED_VALUE"""),"Unlisted")</f>
        <v>Unlisted</v>
      </c>
      <c r="F867" s="174" t="str">
        <f>IFERROR(__xludf.DUMMYFUNCTION("""COMPUTED_VALUE"""),"Unlisted")</f>
        <v>Unlisted</v>
      </c>
      <c r="G867" s="174" t="str">
        <f>IFERROR(__xludf.DUMMYFUNCTION("""COMPUTED_VALUE"""),"Unlisted")</f>
        <v>Unlisted</v>
      </c>
      <c r="H867" s="174" t="str">
        <f>IFERROR(__xludf.DUMMYFUNCTION("""COMPUTED_VALUE"""),"Unlisted")</f>
        <v>Unlisted</v>
      </c>
      <c r="I867" s="174" t="str">
        <f>IFERROR(__xludf.DUMMYFUNCTION("""COMPUTED_VALUE"""),"Unlisted")</f>
        <v>Unlisted</v>
      </c>
      <c r="J867" s="174" t="str">
        <f>IFERROR(__xludf.DUMMYFUNCTION("""COMPUTED_VALUE"""),"Unlisted")</f>
        <v>Unlisted</v>
      </c>
      <c r="K867" s="174" t="str">
        <f>IFERROR(__xludf.DUMMYFUNCTION("""COMPUTED_VALUE"""),"Unlisted")</f>
        <v>Unlisted</v>
      </c>
      <c r="L867" s="174" t="str">
        <f>IFERROR(__xludf.DUMMYFUNCTION("""COMPUTED_VALUE"""),"Proficient")</f>
        <v>Proficient</v>
      </c>
      <c r="M867" s="174" t="str">
        <f>IFERROR(__xludf.DUMMYFUNCTION("""COMPUTED_VALUE"""),"Unlisted")</f>
        <v>Unlisted</v>
      </c>
      <c r="N867" s="174" t="str">
        <f>IFERROR(__xludf.DUMMYFUNCTION("""COMPUTED_VALUE"""),"Unlisted")</f>
        <v>Unlisted</v>
      </c>
      <c r="O867" s="174" t="str">
        <f>IFERROR(__xludf.DUMMYFUNCTION("""COMPUTED_VALUE"""),"Proficient")</f>
        <v>Proficient</v>
      </c>
      <c r="P867" s="174" t="str">
        <f>IFERROR(__xludf.DUMMYFUNCTION("""COMPUTED_VALUE"""),"Unlisted")</f>
        <v>Unlisted</v>
      </c>
      <c r="Q867" s="174" t="str">
        <f>IFERROR(__xludf.DUMMYFUNCTION("""COMPUTED_VALUE"""),"Unlisted")</f>
        <v>Unlisted</v>
      </c>
      <c r="R867" s="174" t="str">
        <f>IFERROR(__xludf.DUMMYFUNCTION("""COMPUTED_VALUE"""),"Unlisted")</f>
        <v>Unlisted</v>
      </c>
    </row>
    <row r="868">
      <c r="A868" s="255" t="str">
        <f>IFERROR(__xludf.DUMMYFUNCTION("""COMPUTED_VALUE"""),"Garbodor")</f>
        <v>Garbodor</v>
      </c>
      <c r="B868" s="174" t="str">
        <f>IFERROR(__xludf.DUMMYFUNCTION("""COMPUTED_VALUE"""),"Inept")</f>
        <v>Inept</v>
      </c>
      <c r="C868" s="174" t="str">
        <f>IFERROR(__xludf.DUMMYFUNCTION("""COMPUTED_VALUE"""),"Proficient")</f>
        <v>Proficient</v>
      </c>
      <c r="D868" s="174" t="str">
        <f>IFERROR(__xludf.DUMMYFUNCTION("""COMPUTED_VALUE"""),"Unlisted")</f>
        <v>Unlisted</v>
      </c>
      <c r="E868" s="174" t="str">
        <f>IFERROR(__xludf.DUMMYFUNCTION("""COMPUTED_VALUE"""),"Unlisted")</f>
        <v>Unlisted</v>
      </c>
      <c r="F868" s="174" t="str">
        <f>IFERROR(__xludf.DUMMYFUNCTION("""COMPUTED_VALUE"""),"Unlisted")</f>
        <v>Unlisted</v>
      </c>
      <c r="G868" s="174" t="str">
        <f>IFERROR(__xludf.DUMMYFUNCTION("""COMPUTED_VALUE"""),"Unlisted")</f>
        <v>Unlisted</v>
      </c>
      <c r="H868" s="174" t="str">
        <f>IFERROR(__xludf.DUMMYFUNCTION("""COMPUTED_VALUE"""),"Unlisted")</f>
        <v>Unlisted</v>
      </c>
      <c r="I868" s="174" t="str">
        <f>IFERROR(__xludf.DUMMYFUNCTION("""COMPUTED_VALUE"""),"Unlisted")</f>
        <v>Unlisted</v>
      </c>
      <c r="J868" s="174" t="str">
        <f>IFERROR(__xludf.DUMMYFUNCTION("""COMPUTED_VALUE"""),"Unlisted")</f>
        <v>Unlisted</v>
      </c>
      <c r="K868" s="174" t="str">
        <f>IFERROR(__xludf.DUMMYFUNCTION("""COMPUTED_VALUE"""),"Unlisted")</f>
        <v>Unlisted</v>
      </c>
      <c r="L868" s="174" t="str">
        <f>IFERROR(__xludf.DUMMYFUNCTION("""COMPUTED_VALUE"""),"Proficient")</f>
        <v>Proficient</v>
      </c>
      <c r="M868" s="174" t="str">
        <f>IFERROR(__xludf.DUMMYFUNCTION("""COMPUTED_VALUE"""),"Unlisted")</f>
        <v>Unlisted</v>
      </c>
      <c r="N868" s="174" t="str">
        <f>IFERROR(__xludf.DUMMYFUNCTION("""COMPUTED_VALUE"""),"Unlisted")</f>
        <v>Unlisted</v>
      </c>
      <c r="O868" s="174" t="str">
        <f>IFERROR(__xludf.DUMMYFUNCTION("""COMPUTED_VALUE"""),"Proficient")</f>
        <v>Proficient</v>
      </c>
      <c r="P868" s="174" t="str">
        <f>IFERROR(__xludf.DUMMYFUNCTION("""COMPUTED_VALUE"""),"Unlisted")</f>
        <v>Unlisted</v>
      </c>
      <c r="Q868" s="174" t="str">
        <f>IFERROR(__xludf.DUMMYFUNCTION("""COMPUTED_VALUE"""),"Unlisted")</f>
        <v>Unlisted</v>
      </c>
      <c r="R868" s="174" t="str">
        <f>IFERROR(__xludf.DUMMYFUNCTION("""COMPUTED_VALUE"""),"Unlisted")</f>
        <v>Unlisted</v>
      </c>
    </row>
    <row r="869">
      <c r="A869" s="255" t="str">
        <f>IFERROR(__xludf.DUMMYFUNCTION("""COMPUTED_VALUE"""),"Skrelp")</f>
        <v>Skrelp</v>
      </c>
      <c r="B869" s="174" t="str">
        <f>IFERROR(__xludf.DUMMYFUNCTION("""COMPUTED_VALUE"""),"Proficient")</f>
        <v>Proficient</v>
      </c>
      <c r="C869" s="174" t="str">
        <f>IFERROR(__xludf.DUMMYFUNCTION("""COMPUTED_VALUE"""),"Unlisted")</f>
        <v>Unlisted</v>
      </c>
      <c r="D869" s="174" t="str">
        <f>IFERROR(__xludf.DUMMYFUNCTION("""COMPUTED_VALUE"""),"Unlisted")</f>
        <v>Unlisted</v>
      </c>
      <c r="E869" s="174" t="str">
        <f>IFERROR(__xludf.DUMMYFUNCTION("""COMPUTED_VALUE"""),"Unlisted")</f>
        <v>Unlisted</v>
      </c>
      <c r="F869" s="174" t="str">
        <f>IFERROR(__xludf.DUMMYFUNCTION("""COMPUTED_VALUE"""),"Unlisted")</f>
        <v>Unlisted</v>
      </c>
      <c r="G869" s="174" t="str">
        <f>IFERROR(__xludf.DUMMYFUNCTION("""COMPUTED_VALUE"""),"Unlisted")</f>
        <v>Unlisted</v>
      </c>
      <c r="H869" s="174" t="str">
        <f>IFERROR(__xludf.DUMMYFUNCTION("""COMPUTED_VALUE"""),"Unlisted")</f>
        <v>Unlisted</v>
      </c>
      <c r="I869" s="174" t="str">
        <f>IFERROR(__xludf.DUMMYFUNCTION("""COMPUTED_VALUE"""),"Unlisted")</f>
        <v>Unlisted</v>
      </c>
      <c r="J869" s="174" t="str">
        <f>IFERROR(__xludf.DUMMYFUNCTION("""COMPUTED_VALUE"""),"Unlisted")</f>
        <v>Unlisted</v>
      </c>
      <c r="K869" s="174" t="str">
        <f>IFERROR(__xludf.DUMMYFUNCTION("""COMPUTED_VALUE"""),"Unlisted")</f>
        <v>Unlisted</v>
      </c>
      <c r="L869" s="174" t="str">
        <f>IFERROR(__xludf.DUMMYFUNCTION("""COMPUTED_VALUE"""),"Proficient")</f>
        <v>Proficient</v>
      </c>
      <c r="M869" s="174" t="str">
        <f>IFERROR(__xludf.DUMMYFUNCTION("""COMPUTED_VALUE"""),"Unlisted")</f>
        <v>Unlisted</v>
      </c>
      <c r="N869" s="174" t="str">
        <f>IFERROR(__xludf.DUMMYFUNCTION("""COMPUTED_VALUE"""),"Unlisted")</f>
        <v>Unlisted</v>
      </c>
      <c r="O869" s="174" t="str">
        <f>IFERROR(__xludf.DUMMYFUNCTION("""COMPUTED_VALUE"""),"Proficient")</f>
        <v>Proficient</v>
      </c>
      <c r="P869" s="174" t="str">
        <f>IFERROR(__xludf.DUMMYFUNCTION("""COMPUTED_VALUE"""),"Unlisted")</f>
        <v>Unlisted</v>
      </c>
      <c r="Q869" s="174" t="str">
        <f>IFERROR(__xludf.DUMMYFUNCTION("""COMPUTED_VALUE"""),"Unlisted")</f>
        <v>Unlisted</v>
      </c>
      <c r="R869" s="174" t="str">
        <f>IFERROR(__xludf.DUMMYFUNCTION("""COMPUTED_VALUE"""),"Unlisted")</f>
        <v>Unlisted</v>
      </c>
    </row>
    <row r="870">
      <c r="A870" s="255" t="str">
        <f>IFERROR(__xludf.DUMMYFUNCTION("""COMPUTED_VALUE"""),"Dragalge")</f>
        <v>Dragalge</v>
      </c>
      <c r="B870" s="174" t="str">
        <f>IFERROR(__xludf.DUMMYFUNCTION("""COMPUTED_VALUE"""),"Proficient")</f>
        <v>Proficient</v>
      </c>
      <c r="C870" s="174" t="str">
        <f>IFERROR(__xludf.DUMMYFUNCTION("""COMPUTED_VALUE"""),"Unlisted")</f>
        <v>Unlisted</v>
      </c>
      <c r="D870" s="174" t="str">
        <f>IFERROR(__xludf.DUMMYFUNCTION("""COMPUTED_VALUE"""),"Unlisted")</f>
        <v>Unlisted</v>
      </c>
      <c r="E870" s="174" t="str">
        <f>IFERROR(__xludf.DUMMYFUNCTION("""COMPUTED_VALUE"""),"Unlisted")</f>
        <v>Unlisted</v>
      </c>
      <c r="F870" s="174" t="str">
        <f>IFERROR(__xludf.DUMMYFUNCTION("""COMPUTED_VALUE"""),"Unlisted")</f>
        <v>Unlisted</v>
      </c>
      <c r="G870" s="174" t="str">
        <f>IFERROR(__xludf.DUMMYFUNCTION("""COMPUTED_VALUE"""),"Unlisted")</f>
        <v>Unlisted</v>
      </c>
      <c r="H870" s="174" t="str">
        <f>IFERROR(__xludf.DUMMYFUNCTION("""COMPUTED_VALUE"""),"Unlisted")</f>
        <v>Unlisted</v>
      </c>
      <c r="I870" s="174" t="str">
        <f>IFERROR(__xludf.DUMMYFUNCTION("""COMPUTED_VALUE"""),"Unlisted")</f>
        <v>Unlisted</v>
      </c>
      <c r="J870" s="174" t="str">
        <f>IFERROR(__xludf.DUMMYFUNCTION("""COMPUTED_VALUE"""),"Unlisted")</f>
        <v>Unlisted</v>
      </c>
      <c r="K870" s="174" t="str">
        <f>IFERROR(__xludf.DUMMYFUNCTION("""COMPUTED_VALUE"""),"Unlisted")</f>
        <v>Unlisted</v>
      </c>
      <c r="L870" s="174" t="str">
        <f>IFERROR(__xludf.DUMMYFUNCTION("""COMPUTED_VALUE"""),"Proficient")</f>
        <v>Proficient</v>
      </c>
      <c r="M870" s="174" t="str">
        <f>IFERROR(__xludf.DUMMYFUNCTION("""COMPUTED_VALUE"""),"Unlisted")</f>
        <v>Unlisted</v>
      </c>
      <c r="N870" s="174" t="str">
        <f>IFERROR(__xludf.DUMMYFUNCTION("""COMPUTED_VALUE"""),"Unlisted")</f>
        <v>Unlisted</v>
      </c>
      <c r="O870" s="174" t="str">
        <f>IFERROR(__xludf.DUMMYFUNCTION("""COMPUTED_VALUE"""),"Proficient")</f>
        <v>Proficient</v>
      </c>
      <c r="P870" s="174" t="str">
        <f>IFERROR(__xludf.DUMMYFUNCTION("""COMPUTED_VALUE"""),"Unlisted")</f>
        <v>Unlisted</v>
      </c>
      <c r="Q870" s="174" t="str">
        <f>IFERROR(__xludf.DUMMYFUNCTION("""COMPUTED_VALUE"""),"Unlisted")</f>
        <v>Unlisted</v>
      </c>
      <c r="R870" s="174" t="str">
        <f>IFERROR(__xludf.DUMMYFUNCTION("""COMPUTED_VALUE"""),"Unlisted")</f>
        <v>Unlisted</v>
      </c>
    </row>
    <row r="871">
      <c r="A871" s="255" t="str">
        <f>IFERROR(__xludf.DUMMYFUNCTION("""COMPUTED_VALUE"""),"Mareanie")</f>
        <v>Mareanie</v>
      </c>
      <c r="B871" s="174" t="str">
        <f>IFERROR(__xludf.DUMMYFUNCTION("""COMPUTED_VALUE"""),"Inept")</f>
        <v>Inept</v>
      </c>
      <c r="C871" s="174" t="str">
        <f>IFERROR(__xludf.DUMMYFUNCTION("""COMPUTED_VALUE"""),"Unlisted")</f>
        <v>Unlisted</v>
      </c>
      <c r="D871" s="174" t="str">
        <f>IFERROR(__xludf.DUMMYFUNCTION("""COMPUTED_VALUE"""),"Unlisted")</f>
        <v>Unlisted</v>
      </c>
      <c r="E871" s="174" t="str">
        <f>IFERROR(__xludf.DUMMYFUNCTION("""COMPUTED_VALUE"""),"Unlisted")</f>
        <v>Unlisted</v>
      </c>
      <c r="F871" s="174" t="str">
        <f>IFERROR(__xludf.DUMMYFUNCTION("""COMPUTED_VALUE"""),"Unlisted")</f>
        <v>Unlisted</v>
      </c>
      <c r="G871" s="174" t="str">
        <f>IFERROR(__xludf.DUMMYFUNCTION("""COMPUTED_VALUE"""),"Proficient")</f>
        <v>Proficient</v>
      </c>
      <c r="H871" s="174" t="str">
        <f>IFERROR(__xludf.DUMMYFUNCTION("""COMPUTED_VALUE"""),"Unlisted")</f>
        <v>Unlisted</v>
      </c>
      <c r="I871" s="174" t="str">
        <f>IFERROR(__xludf.DUMMYFUNCTION("""COMPUTED_VALUE"""),"Unlisted")</f>
        <v>Unlisted</v>
      </c>
      <c r="J871" s="174" t="str">
        <f>IFERROR(__xludf.DUMMYFUNCTION("""COMPUTED_VALUE"""),"Unlisted")</f>
        <v>Unlisted</v>
      </c>
      <c r="K871" s="174" t="str">
        <f>IFERROR(__xludf.DUMMYFUNCTION("""COMPUTED_VALUE"""),"Unlisted")</f>
        <v>Unlisted</v>
      </c>
      <c r="L871" s="174" t="str">
        <f>IFERROR(__xludf.DUMMYFUNCTION("""COMPUTED_VALUE"""),"Proficient")</f>
        <v>Proficient</v>
      </c>
      <c r="M871" s="174" t="str">
        <f>IFERROR(__xludf.DUMMYFUNCTION("""COMPUTED_VALUE"""),"Unlisted")</f>
        <v>Unlisted</v>
      </c>
      <c r="N871" s="174" t="str">
        <f>IFERROR(__xludf.DUMMYFUNCTION("""COMPUTED_VALUE"""),"Unlisted")</f>
        <v>Unlisted</v>
      </c>
      <c r="O871" s="174" t="str">
        <f>IFERROR(__xludf.DUMMYFUNCTION("""COMPUTED_VALUE"""),"Unlisted")</f>
        <v>Unlisted</v>
      </c>
      <c r="P871" s="174" t="str">
        <f>IFERROR(__xludf.DUMMYFUNCTION("""COMPUTED_VALUE"""),"Unlisted")</f>
        <v>Unlisted</v>
      </c>
      <c r="Q871" s="174" t="str">
        <f>IFERROR(__xludf.DUMMYFUNCTION("""COMPUTED_VALUE"""),"Unlisted")</f>
        <v>Unlisted</v>
      </c>
      <c r="R871" s="174" t="str">
        <f>IFERROR(__xludf.DUMMYFUNCTION("""COMPUTED_VALUE"""),"Unlisted")</f>
        <v>Unlisted</v>
      </c>
    </row>
    <row r="872">
      <c r="A872" s="255" t="str">
        <f>IFERROR(__xludf.DUMMYFUNCTION("""COMPUTED_VALUE"""),"Toxapex")</f>
        <v>Toxapex</v>
      </c>
      <c r="B872" s="174" t="str">
        <f>IFERROR(__xludf.DUMMYFUNCTION("""COMPUTED_VALUE"""),"Inept")</f>
        <v>Inept</v>
      </c>
      <c r="C872" s="174" t="str">
        <f>IFERROR(__xludf.DUMMYFUNCTION("""COMPUTED_VALUE"""),"Unlisted")</f>
        <v>Unlisted</v>
      </c>
      <c r="D872" s="174" t="str">
        <f>IFERROR(__xludf.DUMMYFUNCTION("""COMPUTED_VALUE"""),"Unlisted")</f>
        <v>Unlisted</v>
      </c>
      <c r="E872" s="174" t="str">
        <f>IFERROR(__xludf.DUMMYFUNCTION("""COMPUTED_VALUE"""),"Unlisted")</f>
        <v>Unlisted</v>
      </c>
      <c r="F872" s="174" t="str">
        <f>IFERROR(__xludf.DUMMYFUNCTION("""COMPUTED_VALUE"""),"Unlisted")</f>
        <v>Unlisted</v>
      </c>
      <c r="G872" s="174" t="str">
        <f>IFERROR(__xludf.DUMMYFUNCTION("""COMPUTED_VALUE"""),"Proficient")</f>
        <v>Proficient</v>
      </c>
      <c r="H872" s="174" t="str">
        <f>IFERROR(__xludf.DUMMYFUNCTION("""COMPUTED_VALUE"""),"Unlisted")</f>
        <v>Unlisted</v>
      </c>
      <c r="I872" s="174" t="str">
        <f>IFERROR(__xludf.DUMMYFUNCTION("""COMPUTED_VALUE"""),"Unlisted")</f>
        <v>Unlisted</v>
      </c>
      <c r="J872" s="174" t="str">
        <f>IFERROR(__xludf.DUMMYFUNCTION("""COMPUTED_VALUE"""),"Unlisted")</f>
        <v>Unlisted</v>
      </c>
      <c r="K872" s="174" t="str">
        <f>IFERROR(__xludf.DUMMYFUNCTION("""COMPUTED_VALUE"""),"Unlisted")</f>
        <v>Unlisted</v>
      </c>
      <c r="L872" s="174" t="str">
        <f>IFERROR(__xludf.DUMMYFUNCTION("""COMPUTED_VALUE"""),"Proficient")</f>
        <v>Proficient</v>
      </c>
      <c r="M872" s="174" t="str">
        <f>IFERROR(__xludf.DUMMYFUNCTION("""COMPUTED_VALUE"""),"Unlisted")</f>
        <v>Unlisted</v>
      </c>
      <c r="N872" s="174" t="str">
        <f>IFERROR(__xludf.DUMMYFUNCTION("""COMPUTED_VALUE"""),"Unlisted")</f>
        <v>Unlisted</v>
      </c>
      <c r="O872" s="174" t="str">
        <f>IFERROR(__xludf.DUMMYFUNCTION("""COMPUTED_VALUE"""),"Unlisted")</f>
        <v>Unlisted</v>
      </c>
      <c r="P872" s="174" t="str">
        <f>IFERROR(__xludf.DUMMYFUNCTION("""COMPUTED_VALUE"""),"Unlisted")</f>
        <v>Unlisted</v>
      </c>
      <c r="Q872" s="174" t="str">
        <f>IFERROR(__xludf.DUMMYFUNCTION("""COMPUTED_VALUE"""),"Unlisted")</f>
        <v>Unlisted</v>
      </c>
      <c r="R872" s="174" t="str">
        <f>IFERROR(__xludf.DUMMYFUNCTION("""COMPUTED_VALUE"""),"Unlisted")</f>
        <v>Unlisted</v>
      </c>
    </row>
    <row r="873">
      <c r="A873" s="255" t="str">
        <f>IFERROR(__xludf.DUMMYFUNCTION("""COMPUTED_VALUE"""),"Salandit")</f>
        <v>Salandit</v>
      </c>
      <c r="B873" s="174" t="str">
        <f>IFERROR(__xludf.DUMMYFUNCTION("""COMPUTED_VALUE"""),"Unlisted")</f>
        <v>Unlisted</v>
      </c>
      <c r="C873" s="174" t="str">
        <f>IFERROR(__xludf.DUMMYFUNCTION("""COMPUTED_VALUE"""),"Unlisted")</f>
        <v>Unlisted</v>
      </c>
      <c r="D873" s="174" t="str">
        <f>IFERROR(__xludf.DUMMYFUNCTION("""COMPUTED_VALUE"""),"Unlisted")</f>
        <v>Unlisted</v>
      </c>
      <c r="E873" s="174" t="str">
        <f>IFERROR(__xludf.DUMMYFUNCTION("""COMPUTED_VALUE"""),"Unlisted")</f>
        <v>Unlisted</v>
      </c>
      <c r="F873" s="174" t="str">
        <f>IFERROR(__xludf.DUMMYFUNCTION("""COMPUTED_VALUE"""),"Unlisted")</f>
        <v>Unlisted</v>
      </c>
      <c r="G873" s="174" t="str">
        <f>IFERROR(__xludf.DUMMYFUNCTION("""COMPUTED_VALUE"""),"Unlisted")</f>
        <v>Unlisted</v>
      </c>
      <c r="H873" s="174" t="str">
        <f>IFERROR(__xludf.DUMMYFUNCTION("""COMPUTED_VALUE"""),"Unlisted")</f>
        <v>Unlisted</v>
      </c>
      <c r="I873" s="174" t="str">
        <f>IFERROR(__xludf.DUMMYFUNCTION("""COMPUTED_VALUE"""),"Unlisted")</f>
        <v>Unlisted</v>
      </c>
      <c r="J873" s="174" t="str">
        <f>IFERROR(__xludf.DUMMYFUNCTION("""COMPUTED_VALUE"""),"Unlisted")</f>
        <v>Unlisted</v>
      </c>
      <c r="K873" s="174" t="str">
        <f>IFERROR(__xludf.DUMMYFUNCTION("""COMPUTED_VALUE"""),"Unlisted")</f>
        <v>Unlisted</v>
      </c>
      <c r="L873" s="174" t="str">
        <f>IFERROR(__xludf.DUMMYFUNCTION("""COMPUTED_VALUE"""),"Proficient")</f>
        <v>Proficient</v>
      </c>
      <c r="M873" s="174" t="str">
        <f>IFERROR(__xludf.DUMMYFUNCTION("""COMPUTED_VALUE"""),"Unlisted")</f>
        <v>Unlisted</v>
      </c>
      <c r="N873" s="174" t="str">
        <f>IFERROR(__xludf.DUMMYFUNCTION("""COMPUTED_VALUE"""),"Unlisted")</f>
        <v>Unlisted</v>
      </c>
      <c r="O873" s="174" t="str">
        <f>IFERROR(__xludf.DUMMYFUNCTION("""COMPUTED_VALUE"""),"Unlisted")</f>
        <v>Unlisted</v>
      </c>
      <c r="P873" s="174" t="str">
        <f>IFERROR(__xludf.DUMMYFUNCTION("""COMPUTED_VALUE"""),"Unlisted")</f>
        <v>Unlisted</v>
      </c>
      <c r="Q873" s="174" t="str">
        <f>IFERROR(__xludf.DUMMYFUNCTION("""COMPUTED_VALUE"""),"Unlisted")</f>
        <v>Unlisted</v>
      </c>
      <c r="R873" s="174" t="str">
        <f>IFERROR(__xludf.DUMMYFUNCTION("""COMPUTED_VALUE"""),"Unlisted")</f>
        <v>Unlisted</v>
      </c>
    </row>
    <row r="874">
      <c r="A874" s="255" t="str">
        <f>IFERROR(__xludf.DUMMYFUNCTION("""COMPUTED_VALUE"""),"Salazzle")</f>
        <v>Salazzle</v>
      </c>
      <c r="B874" s="174" t="str">
        <f>IFERROR(__xludf.DUMMYFUNCTION("""COMPUTED_VALUE"""),"Unlisted")</f>
        <v>Unlisted</v>
      </c>
      <c r="C874" s="174" t="str">
        <f>IFERROR(__xludf.DUMMYFUNCTION("""COMPUTED_VALUE"""),"Unlisted")</f>
        <v>Unlisted</v>
      </c>
      <c r="D874" s="174" t="str">
        <f>IFERROR(__xludf.DUMMYFUNCTION("""COMPUTED_VALUE"""),"Proficient")</f>
        <v>Proficient</v>
      </c>
      <c r="E874" s="174" t="str">
        <f>IFERROR(__xludf.DUMMYFUNCTION("""COMPUTED_VALUE"""),"Unlisted")</f>
        <v>Unlisted</v>
      </c>
      <c r="F874" s="174" t="str">
        <f>IFERROR(__xludf.DUMMYFUNCTION("""COMPUTED_VALUE"""),"Unlisted")</f>
        <v>Unlisted</v>
      </c>
      <c r="G874" s="174" t="str">
        <f>IFERROR(__xludf.DUMMYFUNCTION("""COMPUTED_VALUE"""),"Unlisted")</f>
        <v>Unlisted</v>
      </c>
      <c r="H874" s="174" t="str">
        <f>IFERROR(__xludf.DUMMYFUNCTION("""COMPUTED_VALUE"""),"Proficient")</f>
        <v>Proficient</v>
      </c>
      <c r="I874" s="174" t="str">
        <f>IFERROR(__xludf.DUMMYFUNCTION("""COMPUTED_VALUE"""),"Unlisted")</f>
        <v>Unlisted</v>
      </c>
      <c r="J874" s="174" t="str">
        <f>IFERROR(__xludf.DUMMYFUNCTION("""COMPUTED_VALUE"""),"Unlisted")</f>
        <v>Unlisted</v>
      </c>
      <c r="K874" s="174" t="str">
        <f>IFERROR(__xludf.DUMMYFUNCTION("""COMPUTED_VALUE"""),"Unlisted")</f>
        <v>Unlisted</v>
      </c>
      <c r="L874" s="174" t="str">
        <f>IFERROR(__xludf.DUMMYFUNCTION("""COMPUTED_VALUE"""),"Proficient")</f>
        <v>Proficient</v>
      </c>
      <c r="M874" s="174" t="str">
        <f>IFERROR(__xludf.DUMMYFUNCTION("""COMPUTED_VALUE"""),"Unlisted")</f>
        <v>Unlisted</v>
      </c>
      <c r="N874" s="174" t="str">
        <f>IFERROR(__xludf.DUMMYFUNCTION("""COMPUTED_VALUE"""),"Unlisted")</f>
        <v>Unlisted</v>
      </c>
      <c r="O874" s="174" t="str">
        <f>IFERROR(__xludf.DUMMYFUNCTION("""COMPUTED_VALUE"""),"Unlisted")</f>
        <v>Unlisted</v>
      </c>
      <c r="P874" s="174" t="str">
        <f>IFERROR(__xludf.DUMMYFUNCTION("""COMPUTED_VALUE"""),"Unlisted")</f>
        <v>Unlisted</v>
      </c>
      <c r="Q874" s="174" t="str">
        <f>IFERROR(__xludf.DUMMYFUNCTION("""COMPUTED_VALUE"""),"Unlisted")</f>
        <v>Unlisted</v>
      </c>
      <c r="R874" s="174" t="str">
        <f>IFERROR(__xludf.DUMMYFUNCTION("""COMPUTED_VALUE"""),"Unlisted")</f>
        <v>Unlisted</v>
      </c>
    </row>
    <row r="875">
      <c r="A875" s="255" t="str">
        <f>IFERROR(__xludf.DUMMYFUNCTION("""COMPUTED_VALUE"""),"Shroodle")</f>
        <v>Shroodle</v>
      </c>
      <c r="B875" s="174" t="str">
        <f>IFERROR(__xludf.DUMMYFUNCTION("""COMPUTED_VALUE"""),"Proficient")</f>
        <v>Proficient</v>
      </c>
      <c r="C875" s="174" t="str">
        <f>IFERROR(__xludf.DUMMYFUNCTION("""COMPUTED_VALUE"""),"Inept")</f>
        <v>Inept</v>
      </c>
      <c r="D875" s="174" t="str">
        <f>IFERROR(__xludf.DUMMYFUNCTION("""COMPUTED_VALUE"""),"Unlisted")</f>
        <v>Unlisted</v>
      </c>
      <c r="E875" s="174" t="str">
        <f>IFERROR(__xludf.DUMMYFUNCTION("""COMPUTED_VALUE"""),"Unlisted")</f>
        <v>Unlisted</v>
      </c>
      <c r="F875" s="174" t="str">
        <f>IFERROR(__xludf.DUMMYFUNCTION("""COMPUTED_VALUE"""),"Unlisted")</f>
        <v>Unlisted</v>
      </c>
      <c r="G875" s="174" t="str">
        <f>IFERROR(__xludf.DUMMYFUNCTION("""COMPUTED_VALUE"""),"Proficient")</f>
        <v>Proficient</v>
      </c>
      <c r="H875" s="174" t="str">
        <f>IFERROR(__xludf.DUMMYFUNCTION("""COMPUTED_VALUE"""),"Proficient")</f>
        <v>Proficient</v>
      </c>
      <c r="I875" s="174" t="str">
        <f>IFERROR(__xludf.DUMMYFUNCTION("""COMPUTED_VALUE"""),"Unlisted")</f>
        <v>Unlisted</v>
      </c>
      <c r="J875" s="174" t="str">
        <f>IFERROR(__xludf.DUMMYFUNCTION("""COMPUTED_VALUE"""),"Unlisted")</f>
        <v>Unlisted</v>
      </c>
      <c r="K875" s="174" t="str">
        <f>IFERROR(__xludf.DUMMYFUNCTION("""COMPUTED_VALUE"""),"Unlisted")</f>
        <v>Unlisted</v>
      </c>
      <c r="L875" s="174" t="str">
        <f>IFERROR(__xludf.DUMMYFUNCTION("""COMPUTED_VALUE"""),"Unlisted")</f>
        <v>Unlisted</v>
      </c>
      <c r="M875" s="174" t="str">
        <f>IFERROR(__xludf.DUMMYFUNCTION("""COMPUTED_VALUE"""),"Unlisted")</f>
        <v>Unlisted</v>
      </c>
      <c r="N875" s="174" t="str">
        <f>IFERROR(__xludf.DUMMYFUNCTION("""COMPUTED_VALUE"""),"Unlisted")</f>
        <v>Unlisted</v>
      </c>
      <c r="O875" s="174" t="str">
        <f>IFERROR(__xludf.DUMMYFUNCTION("""COMPUTED_VALUE"""),"Unlisted")</f>
        <v>Unlisted</v>
      </c>
      <c r="P875" s="174" t="str">
        <f>IFERROR(__xludf.DUMMYFUNCTION("""COMPUTED_VALUE"""),"Unlisted")</f>
        <v>Unlisted</v>
      </c>
      <c r="Q875" s="174" t="str">
        <f>IFERROR(__xludf.DUMMYFUNCTION("""COMPUTED_VALUE"""),"Unlisted")</f>
        <v>Unlisted</v>
      </c>
      <c r="R875" s="174" t="str">
        <f>IFERROR(__xludf.DUMMYFUNCTION("""COMPUTED_VALUE"""),"Unlisted")</f>
        <v>Unlisted</v>
      </c>
    </row>
    <row r="876">
      <c r="A876" s="255" t="str">
        <f>IFERROR(__xludf.DUMMYFUNCTION("""COMPUTED_VALUE"""),"Grafaiai")</f>
        <v>Grafaiai</v>
      </c>
      <c r="B876" s="174" t="str">
        <f>IFERROR(__xludf.DUMMYFUNCTION("""COMPUTED_VALUE"""),"Proficient")</f>
        <v>Proficient</v>
      </c>
      <c r="C876" s="174" t="str">
        <f>IFERROR(__xludf.DUMMYFUNCTION("""COMPUTED_VALUE"""),"Inept")</f>
        <v>Inept</v>
      </c>
      <c r="D876" s="174" t="str">
        <f>IFERROR(__xludf.DUMMYFUNCTION("""COMPUTED_VALUE"""),"Unlisted")</f>
        <v>Unlisted</v>
      </c>
      <c r="E876" s="174" t="str">
        <f>IFERROR(__xludf.DUMMYFUNCTION("""COMPUTED_VALUE"""),"Unlisted")</f>
        <v>Unlisted</v>
      </c>
      <c r="F876" s="174" t="str">
        <f>IFERROR(__xludf.DUMMYFUNCTION("""COMPUTED_VALUE"""),"Unlisted")</f>
        <v>Unlisted</v>
      </c>
      <c r="G876" s="174" t="str">
        <f>IFERROR(__xludf.DUMMYFUNCTION("""COMPUTED_VALUE"""),"Proficient")</f>
        <v>Proficient</v>
      </c>
      <c r="H876" s="174" t="str">
        <f>IFERROR(__xludf.DUMMYFUNCTION("""COMPUTED_VALUE"""),"Proficient")</f>
        <v>Proficient</v>
      </c>
      <c r="I876" s="174" t="str">
        <f>IFERROR(__xludf.DUMMYFUNCTION("""COMPUTED_VALUE"""),"Unlisted")</f>
        <v>Unlisted</v>
      </c>
      <c r="J876" s="174" t="str">
        <f>IFERROR(__xludf.DUMMYFUNCTION("""COMPUTED_VALUE"""),"Unlisted")</f>
        <v>Unlisted</v>
      </c>
      <c r="K876" s="174" t="str">
        <f>IFERROR(__xludf.DUMMYFUNCTION("""COMPUTED_VALUE"""),"Unlisted")</f>
        <v>Unlisted</v>
      </c>
      <c r="L876" s="174" t="str">
        <f>IFERROR(__xludf.DUMMYFUNCTION("""COMPUTED_VALUE"""),"Unlisted")</f>
        <v>Unlisted</v>
      </c>
      <c r="M876" s="174" t="str">
        <f>IFERROR(__xludf.DUMMYFUNCTION("""COMPUTED_VALUE"""),"Unlisted")</f>
        <v>Unlisted</v>
      </c>
      <c r="N876" s="174" t="str">
        <f>IFERROR(__xludf.DUMMYFUNCTION("""COMPUTED_VALUE"""),"Unlisted")</f>
        <v>Unlisted</v>
      </c>
      <c r="O876" s="174" t="str">
        <f>IFERROR(__xludf.DUMMYFUNCTION("""COMPUTED_VALUE"""),"Unlisted")</f>
        <v>Unlisted</v>
      </c>
      <c r="P876" s="174" t="str">
        <f>IFERROR(__xludf.DUMMYFUNCTION("""COMPUTED_VALUE"""),"Unlisted")</f>
        <v>Unlisted</v>
      </c>
      <c r="Q876" s="174" t="str">
        <f>IFERROR(__xludf.DUMMYFUNCTION("""COMPUTED_VALUE"""),"Unlisted")</f>
        <v>Unlisted</v>
      </c>
      <c r="R876" s="174" t="str">
        <f>IFERROR(__xludf.DUMMYFUNCTION("""COMPUTED_VALUE"""),"Unlisted")</f>
        <v>Unlisted</v>
      </c>
    </row>
    <row r="877">
      <c r="A877" s="255" t="str">
        <f>IFERROR(__xludf.DUMMYFUNCTION("""COMPUTED_VALUE"""),"Varoom")</f>
        <v>Varoom</v>
      </c>
      <c r="B877" s="174" t="str">
        <f>IFERROR(__xludf.DUMMYFUNCTION("""COMPUTED_VALUE"""),"Unlisted")</f>
        <v>Unlisted</v>
      </c>
      <c r="C877" s="174" t="str">
        <f>IFERROR(__xludf.DUMMYFUNCTION("""COMPUTED_VALUE"""),"Unlisted")</f>
        <v>Unlisted</v>
      </c>
      <c r="D877" s="174" t="str">
        <f>IFERROR(__xludf.DUMMYFUNCTION("""COMPUTED_VALUE"""),"Unlisted")</f>
        <v>Unlisted</v>
      </c>
      <c r="E877" s="174" t="str">
        <f>IFERROR(__xludf.DUMMYFUNCTION("""COMPUTED_VALUE"""),"Unlisted")</f>
        <v>Unlisted</v>
      </c>
      <c r="F877" s="174" t="str">
        <f>IFERROR(__xludf.DUMMYFUNCTION("""COMPUTED_VALUE"""),"Unlisted")</f>
        <v>Unlisted</v>
      </c>
      <c r="G877" s="174" t="str">
        <f>IFERROR(__xludf.DUMMYFUNCTION("""COMPUTED_VALUE"""),"Proficient")</f>
        <v>Proficient</v>
      </c>
      <c r="H877" s="174" t="str">
        <f>IFERROR(__xludf.DUMMYFUNCTION("""COMPUTED_VALUE"""),"Unlisted")</f>
        <v>Unlisted</v>
      </c>
      <c r="I877" s="174" t="str">
        <f>IFERROR(__xludf.DUMMYFUNCTION("""COMPUTED_VALUE"""),"Unlisted")</f>
        <v>Unlisted</v>
      </c>
      <c r="J877" s="174" t="str">
        <f>IFERROR(__xludf.DUMMYFUNCTION("""COMPUTED_VALUE"""),"Unlisted")</f>
        <v>Unlisted</v>
      </c>
      <c r="K877" s="174" t="str">
        <f>IFERROR(__xludf.DUMMYFUNCTION("""COMPUTED_VALUE"""),"Unlisted")</f>
        <v>Unlisted</v>
      </c>
      <c r="L877" s="174" t="str">
        <f>IFERROR(__xludf.DUMMYFUNCTION("""COMPUTED_VALUE"""),"Unlisted")</f>
        <v>Unlisted</v>
      </c>
      <c r="M877" s="174" t="str">
        <f>IFERROR(__xludf.DUMMYFUNCTION("""COMPUTED_VALUE"""),"Unlisted")</f>
        <v>Unlisted</v>
      </c>
      <c r="N877" s="174" t="str">
        <f>IFERROR(__xludf.DUMMYFUNCTION("""COMPUTED_VALUE"""),"Unlisted")</f>
        <v>Unlisted</v>
      </c>
      <c r="O877" s="174" t="str">
        <f>IFERROR(__xludf.DUMMYFUNCTION("""COMPUTED_VALUE"""),"Proficient")</f>
        <v>Proficient</v>
      </c>
      <c r="P877" s="174" t="str">
        <f>IFERROR(__xludf.DUMMYFUNCTION("""COMPUTED_VALUE"""),"Unlisted")</f>
        <v>Unlisted</v>
      </c>
      <c r="Q877" s="174" t="str">
        <f>IFERROR(__xludf.DUMMYFUNCTION("""COMPUTED_VALUE"""),"Unlisted")</f>
        <v>Unlisted</v>
      </c>
      <c r="R877" s="174" t="str">
        <f>IFERROR(__xludf.DUMMYFUNCTION("""COMPUTED_VALUE"""),"Unlisted")</f>
        <v>Unlisted</v>
      </c>
    </row>
    <row r="878">
      <c r="A878" s="255" t="str">
        <f>IFERROR(__xludf.DUMMYFUNCTION("""COMPUTED_VALUE"""),"Revavroom")</f>
        <v>Revavroom</v>
      </c>
      <c r="B878" s="174" t="str">
        <f>IFERROR(__xludf.DUMMYFUNCTION("""COMPUTED_VALUE"""),"Unlisted")</f>
        <v>Unlisted</v>
      </c>
      <c r="C878" s="174" t="str">
        <f>IFERROR(__xludf.DUMMYFUNCTION("""COMPUTED_VALUE"""),"Unlisted")</f>
        <v>Unlisted</v>
      </c>
      <c r="D878" s="174" t="str">
        <f>IFERROR(__xludf.DUMMYFUNCTION("""COMPUTED_VALUE"""),"Unlisted")</f>
        <v>Unlisted</v>
      </c>
      <c r="E878" s="174" t="str">
        <f>IFERROR(__xludf.DUMMYFUNCTION("""COMPUTED_VALUE"""),"Unlisted")</f>
        <v>Unlisted</v>
      </c>
      <c r="F878" s="174" t="str">
        <f>IFERROR(__xludf.DUMMYFUNCTION("""COMPUTED_VALUE"""),"Unlisted")</f>
        <v>Unlisted</v>
      </c>
      <c r="G878" s="174" t="str">
        <f>IFERROR(__xludf.DUMMYFUNCTION("""COMPUTED_VALUE"""),"Proficient")</f>
        <v>Proficient</v>
      </c>
      <c r="H878" s="174" t="str">
        <f>IFERROR(__xludf.DUMMYFUNCTION("""COMPUTED_VALUE"""),"Unlisted")</f>
        <v>Unlisted</v>
      </c>
      <c r="I878" s="174" t="str">
        <f>IFERROR(__xludf.DUMMYFUNCTION("""COMPUTED_VALUE"""),"Unlisted")</f>
        <v>Unlisted</v>
      </c>
      <c r="J878" s="174" t="str">
        <f>IFERROR(__xludf.DUMMYFUNCTION("""COMPUTED_VALUE"""),"Unlisted")</f>
        <v>Unlisted</v>
      </c>
      <c r="K878" s="174" t="str">
        <f>IFERROR(__xludf.DUMMYFUNCTION("""COMPUTED_VALUE"""),"Unlisted")</f>
        <v>Unlisted</v>
      </c>
      <c r="L878" s="174" t="str">
        <f>IFERROR(__xludf.DUMMYFUNCTION("""COMPUTED_VALUE"""),"Unlisted")</f>
        <v>Unlisted</v>
      </c>
      <c r="M878" s="174" t="str">
        <f>IFERROR(__xludf.DUMMYFUNCTION("""COMPUTED_VALUE"""),"Unlisted")</f>
        <v>Unlisted</v>
      </c>
      <c r="N878" s="174" t="str">
        <f>IFERROR(__xludf.DUMMYFUNCTION("""COMPUTED_VALUE"""),"Unlisted")</f>
        <v>Unlisted</v>
      </c>
      <c r="O878" s="174" t="str">
        <f>IFERROR(__xludf.DUMMYFUNCTION("""COMPUTED_VALUE"""),"Proficient")</f>
        <v>Proficient</v>
      </c>
      <c r="P878" s="174" t="str">
        <f>IFERROR(__xludf.DUMMYFUNCTION("""COMPUTED_VALUE"""),"Unlisted")</f>
        <v>Unlisted</v>
      </c>
      <c r="Q878" s="174" t="str">
        <f>IFERROR(__xludf.DUMMYFUNCTION("""COMPUTED_VALUE"""),"Unlisted")</f>
        <v>Unlisted</v>
      </c>
      <c r="R878" s="174" t="str">
        <f>IFERROR(__xludf.DUMMYFUNCTION("""COMPUTED_VALUE"""),"Unlisted")</f>
        <v>Unlisted</v>
      </c>
    </row>
    <row r="879">
      <c r="A879" s="255" t="str">
        <f>IFERROR(__xludf.DUMMYFUNCTION("""COMPUTED_VALUE"""),"Drowzee")</f>
        <v>Drowzee</v>
      </c>
      <c r="B879" s="174" t="str">
        <f>IFERROR(__xludf.DUMMYFUNCTION("""COMPUTED_VALUE"""),"Unlisted")</f>
        <v>Unlisted</v>
      </c>
      <c r="C879" s="174" t="str">
        <f>IFERROR(__xludf.DUMMYFUNCTION("""COMPUTED_VALUE"""),"Unlisted")</f>
        <v>Unlisted</v>
      </c>
      <c r="D879" s="174" t="str">
        <f>IFERROR(__xludf.DUMMYFUNCTION("""COMPUTED_VALUE"""),"Unlisted")</f>
        <v>Unlisted</v>
      </c>
      <c r="E879" s="174" t="str">
        <f>IFERROR(__xludf.DUMMYFUNCTION("""COMPUTED_VALUE"""),"Unlisted")</f>
        <v>Unlisted</v>
      </c>
      <c r="F879" s="174" t="str">
        <f>IFERROR(__xludf.DUMMYFUNCTION("""COMPUTED_VALUE"""),"Unlisted")</f>
        <v>Unlisted</v>
      </c>
      <c r="G879" s="174" t="str">
        <f>IFERROR(__xludf.DUMMYFUNCTION("""COMPUTED_VALUE"""),"Mastered")</f>
        <v>Mastered</v>
      </c>
      <c r="H879" s="174" t="str">
        <f>IFERROR(__xludf.DUMMYFUNCTION("""COMPUTED_VALUE"""),"Unlisted")</f>
        <v>Unlisted</v>
      </c>
      <c r="I879" s="174" t="str">
        <f>IFERROR(__xludf.DUMMYFUNCTION("""COMPUTED_VALUE"""),"Unlisted")</f>
        <v>Unlisted</v>
      </c>
      <c r="J879" s="174" t="str">
        <f>IFERROR(__xludf.DUMMYFUNCTION("""COMPUTED_VALUE"""),"Proficient")</f>
        <v>Proficient</v>
      </c>
      <c r="K879" s="174" t="str">
        <f>IFERROR(__xludf.DUMMYFUNCTION("""COMPUTED_VALUE"""),"Proficient")</f>
        <v>Proficient</v>
      </c>
      <c r="L879" s="174" t="str">
        <f>IFERROR(__xludf.DUMMYFUNCTION("""COMPUTED_VALUE"""),"Unlisted")</f>
        <v>Unlisted</v>
      </c>
      <c r="M879" s="174" t="str">
        <f>IFERROR(__xludf.DUMMYFUNCTION("""COMPUTED_VALUE"""),"Unlisted")</f>
        <v>Unlisted</v>
      </c>
      <c r="N879" s="174" t="str">
        <f>IFERROR(__xludf.DUMMYFUNCTION("""COMPUTED_VALUE"""),"Unlisted")</f>
        <v>Unlisted</v>
      </c>
      <c r="O879" s="174" t="str">
        <f>IFERROR(__xludf.DUMMYFUNCTION("""COMPUTED_VALUE"""),"Unlisted")</f>
        <v>Unlisted</v>
      </c>
      <c r="P879" s="174" t="str">
        <f>IFERROR(__xludf.DUMMYFUNCTION("""COMPUTED_VALUE"""),"Unlisted")</f>
        <v>Unlisted</v>
      </c>
      <c r="Q879" s="174" t="str">
        <f>IFERROR(__xludf.DUMMYFUNCTION("""COMPUTED_VALUE"""),"Unlisted")</f>
        <v>Unlisted</v>
      </c>
      <c r="R879" s="174" t="str">
        <f>IFERROR(__xludf.DUMMYFUNCTION("""COMPUTED_VALUE"""),"Unlisted")</f>
        <v>Unlisted</v>
      </c>
    </row>
    <row r="880">
      <c r="A880" s="255" t="str">
        <f>IFERROR(__xludf.DUMMYFUNCTION("""COMPUTED_VALUE"""),"Hypno")</f>
        <v>Hypno</v>
      </c>
      <c r="B880" s="174" t="str">
        <f>IFERROR(__xludf.DUMMYFUNCTION("""COMPUTED_VALUE"""),"Unlisted")</f>
        <v>Unlisted</v>
      </c>
      <c r="C880" s="174" t="str">
        <f>IFERROR(__xludf.DUMMYFUNCTION("""COMPUTED_VALUE"""),"Unlisted")</f>
        <v>Unlisted</v>
      </c>
      <c r="D880" s="174" t="str">
        <f>IFERROR(__xludf.DUMMYFUNCTION("""COMPUTED_VALUE"""),"Unlisted")</f>
        <v>Unlisted</v>
      </c>
      <c r="E880" s="174" t="str">
        <f>IFERROR(__xludf.DUMMYFUNCTION("""COMPUTED_VALUE"""),"Unlisted")</f>
        <v>Unlisted</v>
      </c>
      <c r="F880" s="174" t="str">
        <f>IFERROR(__xludf.DUMMYFUNCTION("""COMPUTED_VALUE"""),"Unlisted")</f>
        <v>Unlisted</v>
      </c>
      <c r="G880" s="174" t="str">
        <f>IFERROR(__xludf.DUMMYFUNCTION("""COMPUTED_VALUE"""),"Mastered")</f>
        <v>Mastered</v>
      </c>
      <c r="H880" s="174" t="str">
        <f>IFERROR(__xludf.DUMMYFUNCTION("""COMPUTED_VALUE"""),"Unlisted")</f>
        <v>Unlisted</v>
      </c>
      <c r="I880" s="174" t="str">
        <f>IFERROR(__xludf.DUMMYFUNCTION("""COMPUTED_VALUE"""),"Unlisted")</f>
        <v>Unlisted</v>
      </c>
      <c r="J880" s="174" t="str">
        <f>IFERROR(__xludf.DUMMYFUNCTION("""COMPUTED_VALUE"""),"Proficient")</f>
        <v>Proficient</v>
      </c>
      <c r="K880" s="174" t="str">
        <f>IFERROR(__xludf.DUMMYFUNCTION("""COMPUTED_VALUE"""),"Proficient")</f>
        <v>Proficient</v>
      </c>
      <c r="L880" s="174" t="str">
        <f>IFERROR(__xludf.DUMMYFUNCTION("""COMPUTED_VALUE"""),"Unlisted")</f>
        <v>Unlisted</v>
      </c>
      <c r="M880" s="174" t="str">
        <f>IFERROR(__xludf.DUMMYFUNCTION("""COMPUTED_VALUE"""),"Unlisted")</f>
        <v>Unlisted</v>
      </c>
      <c r="N880" s="174" t="str">
        <f>IFERROR(__xludf.DUMMYFUNCTION("""COMPUTED_VALUE"""),"Unlisted")</f>
        <v>Unlisted</v>
      </c>
      <c r="O880" s="174" t="str">
        <f>IFERROR(__xludf.DUMMYFUNCTION("""COMPUTED_VALUE"""),"Unlisted")</f>
        <v>Unlisted</v>
      </c>
      <c r="P880" s="174" t="str">
        <f>IFERROR(__xludf.DUMMYFUNCTION("""COMPUTED_VALUE"""),"Unlisted")</f>
        <v>Unlisted</v>
      </c>
      <c r="Q880" s="174" t="str">
        <f>IFERROR(__xludf.DUMMYFUNCTION("""COMPUTED_VALUE"""),"Unlisted")</f>
        <v>Unlisted</v>
      </c>
      <c r="R880" s="174" t="str">
        <f>IFERROR(__xludf.DUMMYFUNCTION("""COMPUTED_VALUE"""),"Unlisted")</f>
        <v>Unlisted</v>
      </c>
    </row>
    <row r="881">
      <c r="A881" s="255" t="str">
        <f>IFERROR(__xludf.DUMMYFUNCTION("""COMPUTED_VALUE"""),"Mime Jr.")</f>
        <v>Mime Jr.</v>
      </c>
      <c r="B881" s="174" t="str">
        <f>IFERROR(__xludf.DUMMYFUNCTION("""COMPUTED_VALUE"""),"Unlisted")</f>
        <v>Unlisted</v>
      </c>
      <c r="C881" s="174" t="str">
        <f>IFERROR(__xludf.DUMMYFUNCTION("""COMPUTED_VALUE"""),"Unlisted")</f>
        <v>Unlisted</v>
      </c>
      <c r="D881" s="174" t="str">
        <f>IFERROR(__xludf.DUMMYFUNCTION("""COMPUTED_VALUE"""),"Unlisted")</f>
        <v>Unlisted</v>
      </c>
      <c r="E881" s="174" t="str">
        <f>IFERROR(__xludf.DUMMYFUNCTION("""COMPUTED_VALUE"""),"Unlisted")</f>
        <v>Unlisted</v>
      </c>
      <c r="F881" s="174" t="str">
        <f>IFERROR(__xludf.DUMMYFUNCTION("""COMPUTED_VALUE"""),"Unlisted")</f>
        <v>Unlisted</v>
      </c>
      <c r="G881" s="174" t="str">
        <f>IFERROR(__xludf.DUMMYFUNCTION("""COMPUTED_VALUE"""),"Mastered")</f>
        <v>Mastered</v>
      </c>
      <c r="H881" s="174" t="str">
        <f>IFERROR(__xludf.DUMMYFUNCTION("""COMPUTED_VALUE"""),"Unlisted")</f>
        <v>Unlisted</v>
      </c>
      <c r="I881" s="174" t="str">
        <f>IFERROR(__xludf.DUMMYFUNCTION("""COMPUTED_VALUE"""),"Unlisted")</f>
        <v>Unlisted</v>
      </c>
      <c r="J881" s="174" t="str">
        <f>IFERROR(__xludf.DUMMYFUNCTION("""COMPUTED_VALUE"""),"Proficient")</f>
        <v>Proficient</v>
      </c>
      <c r="K881" s="174" t="str">
        <f>IFERROR(__xludf.DUMMYFUNCTION("""COMPUTED_VALUE"""),"Proficient")</f>
        <v>Proficient</v>
      </c>
      <c r="L881" s="174" t="str">
        <f>IFERROR(__xludf.DUMMYFUNCTION("""COMPUTED_VALUE"""),"Unlisted")</f>
        <v>Unlisted</v>
      </c>
      <c r="M881" s="174" t="str">
        <f>IFERROR(__xludf.DUMMYFUNCTION("""COMPUTED_VALUE"""),"Unlisted")</f>
        <v>Unlisted</v>
      </c>
      <c r="N881" s="174" t="str">
        <f>IFERROR(__xludf.DUMMYFUNCTION("""COMPUTED_VALUE"""),"Unlisted")</f>
        <v>Unlisted</v>
      </c>
      <c r="O881" s="174" t="str">
        <f>IFERROR(__xludf.DUMMYFUNCTION("""COMPUTED_VALUE"""),"Unlisted")</f>
        <v>Unlisted</v>
      </c>
      <c r="P881" s="174" t="str">
        <f>IFERROR(__xludf.DUMMYFUNCTION("""COMPUTED_VALUE"""),"Unlisted")</f>
        <v>Unlisted</v>
      </c>
      <c r="Q881" s="174" t="str">
        <f>IFERROR(__xludf.DUMMYFUNCTION("""COMPUTED_VALUE"""),"Unlisted")</f>
        <v>Unlisted</v>
      </c>
      <c r="R881" s="174" t="str">
        <f>IFERROR(__xludf.DUMMYFUNCTION("""COMPUTED_VALUE"""),"Unlisted")</f>
        <v>Unlisted</v>
      </c>
    </row>
    <row r="882">
      <c r="A882" s="255" t="str">
        <f>IFERROR(__xludf.DUMMYFUNCTION("""COMPUTED_VALUE"""),"Mr. Mime")</f>
        <v>Mr. Mime</v>
      </c>
      <c r="B882" s="174" t="str">
        <f>IFERROR(__xludf.DUMMYFUNCTION("""COMPUTED_VALUE"""),"Unlisted")</f>
        <v>Unlisted</v>
      </c>
      <c r="C882" s="174" t="str">
        <f>IFERROR(__xludf.DUMMYFUNCTION("""COMPUTED_VALUE"""),"Unlisted")</f>
        <v>Unlisted</v>
      </c>
      <c r="D882" s="174" t="str">
        <f>IFERROR(__xludf.DUMMYFUNCTION("""COMPUTED_VALUE"""),"Unlisted")</f>
        <v>Unlisted</v>
      </c>
      <c r="E882" s="174" t="str">
        <f>IFERROR(__xludf.DUMMYFUNCTION("""COMPUTED_VALUE"""),"Unlisted")</f>
        <v>Unlisted</v>
      </c>
      <c r="F882" s="174" t="str">
        <f>IFERROR(__xludf.DUMMYFUNCTION("""COMPUTED_VALUE"""),"Unlisted")</f>
        <v>Unlisted</v>
      </c>
      <c r="G882" s="174" t="str">
        <f>IFERROR(__xludf.DUMMYFUNCTION("""COMPUTED_VALUE"""),"Mastered")</f>
        <v>Mastered</v>
      </c>
      <c r="H882" s="174" t="str">
        <f>IFERROR(__xludf.DUMMYFUNCTION("""COMPUTED_VALUE"""),"Unlisted")</f>
        <v>Unlisted</v>
      </c>
      <c r="I882" s="174" t="str">
        <f>IFERROR(__xludf.DUMMYFUNCTION("""COMPUTED_VALUE"""),"Unlisted")</f>
        <v>Unlisted</v>
      </c>
      <c r="J882" s="174" t="str">
        <f>IFERROR(__xludf.DUMMYFUNCTION("""COMPUTED_VALUE"""),"Proficient")</f>
        <v>Proficient</v>
      </c>
      <c r="K882" s="174" t="str">
        <f>IFERROR(__xludf.DUMMYFUNCTION("""COMPUTED_VALUE"""),"Proficient")</f>
        <v>Proficient</v>
      </c>
      <c r="L882" s="174" t="str">
        <f>IFERROR(__xludf.DUMMYFUNCTION("""COMPUTED_VALUE"""),"Unlisted")</f>
        <v>Unlisted</v>
      </c>
      <c r="M882" s="174" t="str">
        <f>IFERROR(__xludf.DUMMYFUNCTION("""COMPUTED_VALUE"""),"Unlisted")</f>
        <v>Unlisted</v>
      </c>
      <c r="N882" s="174" t="str">
        <f>IFERROR(__xludf.DUMMYFUNCTION("""COMPUTED_VALUE"""),"Unlisted")</f>
        <v>Unlisted</v>
      </c>
      <c r="O882" s="174" t="str">
        <f>IFERROR(__xludf.DUMMYFUNCTION("""COMPUTED_VALUE"""),"Unlisted")</f>
        <v>Unlisted</v>
      </c>
      <c r="P882" s="174" t="str">
        <f>IFERROR(__xludf.DUMMYFUNCTION("""COMPUTED_VALUE"""),"Unlisted")</f>
        <v>Unlisted</v>
      </c>
      <c r="Q882" s="174" t="str">
        <f>IFERROR(__xludf.DUMMYFUNCTION("""COMPUTED_VALUE"""),"Unlisted")</f>
        <v>Unlisted</v>
      </c>
      <c r="R882" s="174" t="str">
        <f>IFERROR(__xludf.DUMMYFUNCTION("""COMPUTED_VALUE"""),"Unlisted")</f>
        <v>Unlisted</v>
      </c>
    </row>
    <row r="883">
      <c r="A883" s="255" t="str">
        <f>IFERROR(__xludf.DUMMYFUNCTION("""COMPUTED_VALUE"""),"Galarian Mr. Mime")</f>
        <v>Galarian Mr. Mime</v>
      </c>
      <c r="B883" s="174" t="str">
        <f>IFERROR(__xludf.DUMMYFUNCTION("""COMPUTED_VALUE"""),"Proficient")</f>
        <v>Proficient</v>
      </c>
      <c r="C883" s="174" t="str">
        <f>IFERROR(__xludf.DUMMYFUNCTION("""COMPUTED_VALUE"""),"Unlisted")</f>
        <v>Unlisted</v>
      </c>
      <c r="D883" s="174" t="str">
        <f>IFERROR(__xludf.DUMMYFUNCTION("""COMPUTED_VALUE"""),"Unlisted")</f>
        <v>Unlisted</v>
      </c>
      <c r="E883" s="174" t="str">
        <f>IFERROR(__xludf.DUMMYFUNCTION("""COMPUTED_VALUE"""),"Unlisted")</f>
        <v>Unlisted</v>
      </c>
      <c r="F883" s="174" t="str">
        <f>IFERROR(__xludf.DUMMYFUNCTION("""COMPUTED_VALUE"""),"Unlisted")</f>
        <v>Unlisted</v>
      </c>
      <c r="G883" s="174" t="str">
        <f>IFERROR(__xludf.DUMMYFUNCTION("""COMPUTED_VALUE"""),"Mastered")</f>
        <v>Mastered</v>
      </c>
      <c r="H883" s="174" t="str">
        <f>IFERROR(__xludf.DUMMYFUNCTION("""COMPUTED_VALUE"""),"Unlisted")</f>
        <v>Unlisted</v>
      </c>
      <c r="I883" s="174" t="str">
        <f>IFERROR(__xludf.DUMMYFUNCTION("""COMPUTED_VALUE"""),"Unlisted")</f>
        <v>Unlisted</v>
      </c>
      <c r="J883" s="174" t="str">
        <f>IFERROR(__xludf.DUMMYFUNCTION("""COMPUTED_VALUE"""),"Proficient")</f>
        <v>Proficient</v>
      </c>
      <c r="K883" s="174" t="str">
        <f>IFERROR(__xludf.DUMMYFUNCTION("""COMPUTED_VALUE"""),"Unlisted")</f>
        <v>Unlisted</v>
      </c>
      <c r="L883" s="174" t="str">
        <f>IFERROR(__xludf.DUMMYFUNCTION("""COMPUTED_VALUE"""),"Unlisted")</f>
        <v>Unlisted</v>
      </c>
      <c r="M883" s="174" t="str">
        <f>IFERROR(__xludf.DUMMYFUNCTION("""COMPUTED_VALUE"""),"Unlisted")</f>
        <v>Unlisted</v>
      </c>
      <c r="N883" s="174" t="str">
        <f>IFERROR(__xludf.DUMMYFUNCTION("""COMPUTED_VALUE"""),"Unlisted")</f>
        <v>Unlisted</v>
      </c>
      <c r="O883" s="174" t="str">
        <f>IFERROR(__xludf.DUMMYFUNCTION("""COMPUTED_VALUE"""),"Unlisted")</f>
        <v>Unlisted</v>
      </c>
      <c r="P883" s="174" t="str">
        <f>IFERROR(__xludf.DUMMYFUNCTION("""COMPUTED_VALUE"""),"Unlisted")</f>
        <v>Unlisted</v>
      </c>
      <c r="Q883" s="174" t="str">
        <f>IFERROR(__xludf.DUMMYFUNCTION("""COMPUTED_VALUE"""),"Unlisted")</f>
        <v>Unlisted</v>
      </c>
      <c r="R883" s="174" t="str">
        <f>IFERROR(__xludf.DUMMYFUNCTION("""COMPUTED_VALUE"""),"Unlisted")</f>
        <v>Unlisted</v>
      </c>
    </row>
    <row r="884">
      <c r="A884" s="255" t="str">
        <f>IFERROR(__xludf.DUMMYFUNCTION("""COMPUTED_VALUE"""),"Mr. Rime")</f>
        <v>Mr. Rime</v>
      </c>
      <c r="B884" s="174" t="str">
        <f>IFERROR(__xludf.DUMMYFUNCTION("""COMPUTED_VALUE"""),"Proficient")</f>
        <v>Proficient</v>
      </c>
      <c r="C884" s="174" t="str">
        <f>IFERROR(__xludf.DUMMYFUNCTION("""COMPUTED_VALUE"""),"Unlisted")</f>
        <v>Unlisted</v>
      </c>
      <c r="D884" s="174" t="str">
        <f>IFERROR(__xludf.DUMMYFUNCTION("""COMPUTED_VALUE"""),"Unlisted")</f>
        <v>Unlisted</v>
      </c>
      <c r="E884" s="174" t="str">
        <f>IFERROR(__xludf.DUMMYFUNCTION("""COMPUTED_VALUE"""),"Unlisted")</f>
        <v>Unlisted</v>
      </c>
      <c r="F884" s="174" t="str">
        <f>IFERROR(__xludf.DUMMYFUNCTION("""COMPUTED_VALUE"""),"Unlisted")</f>
        <v>Unlisted</v>
      </c>
      <c r="G884" s="174" t="str">
        <f>IFERROR(__xludf.DUMMYFUNCTION("""COMPUTED_VALUE"""),"Mastered")</f>
        <v>Mastered</v>
      </c>
      <c r="H884" s="174" t="str">
        <f>IFERROR(__xludf.DUMMYFUNCTION("""COMPUTED_VALUE"""),"Unlisted")</f>
        <v>Unlisted</v>
      </c>
      <c r="I884" s="174" t="str">
        <f>IFERROR(__xludf.DUMMYFUNCTION("""COMPUTED_VALUE"""),"Unlisted")</f>
        <v>Unlisted</v>
      </c>
      <c r="J884" s="174" t="str">
        <f>IFERROR(__xludf.DUMMYFUNCTION("""COMPUTED_VALUE"""),"Proficient")</f>
        <v>Proficient</v>
      </c>
      <c r="K884" s="174" t="str">
        <f>IFERROR(__xludf.DUMMYFUNCTION("""COMPUTED_VALUE"""),"Unlisted")</f>
        <v>Unlisted</v>
      </c>
      <c r="L884" s="174" t="str">
        <f>IFERROR(__xludf.DUMMYFUNCTION("""COMPUTED_VALUE"""),"Unlisted")</f>
        <v>Unlisted</v>
      </c>
      <c r="M884" s="174" t="str">
        <f>IFERROR(__xludf.DUMMYFUNCTION("""COMPUTED_VALUE"""),"Unlisted")</f>
        <v>Unlisted</v>
      </c>
      <c r="N884" s="174" t="str">
        <f>IFERROR(__xludf.DUMMYFUNCTION("""COMPUTED_VALUE"""),"Unlisted")</f>
        <v>Unlisted</v>
      </c>
      <c r="O884" s="174" t="str">
        <f>IFERROR(__xludf.DUMMYFUNCTION("""COMPUTED_VALUE"""),"Unlisted")</f>
        <v>Unlisted</v>
      </c>
      <c r="P884" s="174" t="str">
        <f>IFERROR(__xludf.DUMMYFUNCTION("""COMPUTED_VALUE"""),"Unlisted")</f>
        <v>Unlisted</v>
      </c>
      <c r="Q884" s="174" t="str">
        <f>IFERROR(__xludf.DUMMYFUNCTION("""COMPUTED_VALUE"""),"Unlisted")</f>
        <v>Unlisted</v>
      </c>
      <c r="R884" s="174" t="str">
        <f>IFERROR(__xludf.DUMMYFUNCTION("""COMPUTED_VALUE"""),"Unlisted")</f>
        <v>Unlisted</v>
      </c>
    </row>
    <row r="885">
      <c r="A885" s="255" t="str">
        <f>IFERROR(__xludf.DUMMYFUNCTION("""COMPUTED_VALUE"""),"Natu")</f>
        <v>Natu</v>
      </c>
      <c r="B885" s="174" t="str">
        <f>IFERROR(__xludf.DUMMYFUNCTION("""COMPUTED_VALUE"""),"Unlisted")</f>
        <v>Unlisted</v>
      </c>
      <c r="C885" s="174" t="str">
        <f>IFERROR(__xludf.DUMMYFUNCTION("""COMPUTED_VALUE"""),"Unlisted")</f>
        <v>Unlisted</v>
      </c>
      <c r="D885" s="174" t="str">
        <f>IFERROR(__xludf.DUMMYFUNCTION("""COMPUTED_VALUE"""),"Unlisted")</f>
        <v>Unlisted</v>
      </c>
      <c r="E885" s="174" t="str">
        <f>IFERROR(__xludf.DUMMYFUNCTION("""COMPUTED_VALUE"""),"Inept")</f>
        <v>Inept</v>
      </c>
      <c r="F885" s="174" t="str">
        <f>IFERROR(__xludf.DUMMYFUNCTION("""COMPUTED_VALUE"""),"Unlisted")</f>
        <v>Unlisted</v>
      </c>
      <c r="G885" s="174" t="str">
        <f>IFERROR(__xludf.DUMMYFUNCTION("""COMPUTED_VALUE"""),"Proficient")</f>
        <v>Proficient</v>
      </c>
      <c r="H885" s="174" t="str">
        <f>IFERROR(__xludf.DUMMYFUNCTION("""COMPUTED_VALUE"""),"Unlisted")</f>
        <v>Unlisted</v>
      </c>
      <c r="I885" s="174" t="str">
        <f>IFERROR(__xludf.DUMMYFUNCTION("""COMPUTED_VALUE"""),"Unlisted")</f>
        <v>Unlisted</v>
      </c>
      <c r="J885" s="174" t="str">
        <f>IFERROR(__xludf.DUMMYFUNCTION("""COMPUTED_VALUE"""),"Proficient")</f>
        <v>Proficient</v>
      </c>
      <c r="K885" s="174" t="str">
        <f>IFERROR(__xludf.DUMMYFUNCTION("""COMPUTED_VALUE"""),"Mastered")</f>
        <v>Mastered</v>
      </c>
      <c r="L885" s="174" t="str">
        <f>IFERROR(__xludf.DUMMYFUNCTION("""COMPUTED_VALUE"""),"Unlisted")</f>
        <v>Unlisted</v>
      </c>
      <c r="M885" s="174" t="str">
        <f>IFERROR(__xludf.DUMMYFUNCTION("""COMPUTED_VALUE"""),"Unlisted")</f>
        <v>Unlisted</v>
      </c>
      <c r="N885" s="174" t="str">
        <f>IFERROR(__xludf.DUMMYFUNCTION("""COMPUTED_VALUE"""),"Unlisted")</f>
        <v>Unlisted</v>
      </c>
      <c r="O885" s="174" t="str">
        <f>IFERROR(__xludf.DUMMYFUNCTION("""COMPUTED_VALUE"""),"Unlisted")</f>
        <v>Unlisted</v>
      </c>
      <c r="P885" s="174" t="str">
        <f>IFERROR(__xludf.DUMMYFUNCTION("""COMPUTED_VALUE"""),"Unlisted")</f>
        <v>Unlisted</v>
      </c>
      <c r="Q885" s="174" t="str">
        <f>IFERROR(__xludf.DUMMYFUNCTION("""COMPUTED_VALUE"""),"Unlisted")</f>
        <v>Unlisted</v>
      </c>
      <c r="R885" s="174" t="str">
        <f>IFERROR(__xludf.DUMMYFUNCTION("""COMPUTED_VALUE"""),"Unlisted")</f>
        <v>Unlisted</v>
      </c>
    </row>
    <row r="886">
      <c r="A886" s="255" t="str">
        <f>IFERROR(__xludf.DUMMYFUNCTION("""COMPUTED_VALUE"""),"Xatu")</f>
        <v>Xatu</v>
      </c>
      <c r="B886" s="174" t="str">
        <f>IFERROR(__xludf.DUMMYFUNCTION("""COMPUTED_VALUE"""),"Unlisted")</f>
        <v>Unlisted</v>
      </c>
      <c r="C886" s="174" t="str">
        <f>IFERROR(__xludf.DUMMYFUNCTION("""COMPUTED_VALUE"""),"Unlisted")</f>
        <v>Unlisted</v>
      </c>
      <c r="D886" s="174" t="str">
        <f>IFERROR(__xludf.DUMMYFUNCTION("""COMPUTED_VALUE"""),"Unlisted")</f>
        <v>Unlisted</v>
      </c>
      <c r="E886" s="174" t="str">
        <f>IFERROR(__xludf.DUMMYFUNCTION("""COMPUTED_VALUE"""),"Inept")</f>
        <v>Inept</v>
      </c>
      <c r="F886" s="174" t="str">
        <f>IFERROR(__xludf.DUMMYFUNCTION("""COMPUTED_VALUE"""),"Unlisted")</f>
        <v>Unlisted</v>
      </c>
      <c r="G886" s="174" t="str">
        <f>IFERROR(__xludf.DUMMYFUNCTION("""COMPUTED_VALUE"""),"Proficient")</f>
        <v>Proficient</v>
      </c>
      <c r="H886" s="174" t="str">
        <f>IFERROR(__xludf.DUMMYFUNCTION("""COMPUTED_VALUE"""),"Unlisted")</f>
        <v>Unlisted</v>
      </c>
      <c r="I886" s="174" t="str">
        <f>IFERROR(__xludf.DUMMYFUNCTION("""COMPUTED_VALUE"""),"Unlisted")</f>
        <v>Unlisted</v>
      </c>
      <c r="J886" s="174" t="str">
        <f>IFERROR(__xludf.DUMMYFUNCTION("""COMPUTED_VALUE"""),"Proficient")</f>
        <v>Proficient</v>
      </c>
      <c r="K886" s="174" t="str">
        <f>IFERROR(__xludf.DUMMYFUNCTION("""COMPUTED_VALUE"""),"Mastered")</f>
        <v>Mastered</v>
      </c>
      <c r="L886" s="174" t="str">
        <f>IFERROR(__xludf.DUMMYFUNCTION("""COMPUTED_VALUE"""),"Unlisted")</f>
        <v>Unlisted</v>
      </c>
      <c r="M886" s="174" t="str">
        <f>IFERROR(__xludf.DUMMYFUNCTION("""COMPUTED_VALUE"""),"Unlisted")</f>
        <v>Unlisted</v>
      </c>
      <c r="N886" s="174" t="str">
        <f>IFERROR(__xludf.DUMMYFUNCTION("""COMPUTED_VALUE"""),"Unlisted")</f>
        <v>Unlisted</v>
      </c>
      <c r="O886" s="174" t="str">
        <f>IFERROR(__xludf.DUMMYFUNCTION("""COMPUTED_VALUE"""),"Unlisted")</f>
        <v>Unlisted</v>
      </c>
      <c r="P886" s="174" t="str">
        <f>IFERROR(__xludf.DUMMYFUNCTION("""COMPUTED_VALUE"""),"Unlisted")</f>
        <v>Unlisted</v>
      </c>
      <c r="Q886" s="174" t="str">
        <f>IFERROR(__xludf.DUMMYFUNCTION("""COMPUTED_VALUE"""),"Unlisted")</f>
        <v>Unlisted</v>
      </c>
      <c r="R886" s="174" t="str">
        <f>IFERROR(__xludf.DUMMYFUNCTION("""COMPUTED_VALUE"""),"Unlisted")</f>
        <v>Unlisted</v>
      </c>
    </row>
    <row r="887">
      <c r="A887" s="255" t="str">
        <f>IFERROR(__xludf.DUMMYFUNCTION("""COMPUTED_VALUE"""),"Wynaut")</f>
        <v>Wynaut</v>
      </c>
      <c r="B887" s="174" t="str">
        <f>IFERROR(__xludf.DUMMYFUNCTION("""COMPUTED_VALUE"""),"Unlisted")</f>
        <v>Unlisted</v>
      </c>
      <c r="C887" s="174" t="str">
        <f>IFERROR(__xludf.DUMMYFUNCTION("""COMPUTED_VALUE"""),"Inept")</f>
        <v>Inept</v>
      </c>
      <c r="D887" s="174" t="str">
        <f>IFERROR(__xludf.DUMMYFUNCTION("""COMPUTED_VALUE"""),"Unlisted")</f>
        <v>Unlisted</v>
      </c>
      <c r="E887" s="174" t="str">
        <f>IFERROR(__xludf.DUMMYFUNCTION("""COMPUTED_VALUE"""),"Proficient")</f>
        <v>Proficient</v>
      </c>
      <c r="F887" s="174" t="str">
        <f>IFERROR(__xludf.DUMMYFUNCTION("""COMPUTED_VALUE"""),"Unlisted")</f>
        <v>Unlisted</v>
      </c>
      <c r="G887" s="174" t="str">
        <f>IFERROR(__xludf.DUMMYFUNCTION("""COMPUTED_VALUE"""),"Proficient")</f>
        <v>Proficient</v>
      </c>
      <c r="H887" s="174" t="str">
        <f>IFERROR(__xludf.DUMMYFUNCTION("""COMPUTED_VALUE"""),"Unlisted")</f>
        <v>Unlisted</v>
      </c>
      <c r="I887" s="174" t="str">
        <f>IFERROR(__xludf.DUMMYFUNCTION("""COMPUTED_VALUE"""),"Unlisted")</f>
        <v>Unlisted</v>
      </c>
      <c r="J887" s="174" t="str">
        <f>IFERROR(__xludf.DUMMYFUNCTION("""COMPUTED_VALUE"""),"Inept")</f>
        <v>Inept</v>
      </c>
      <c r="K887" s="174" t="str">
        <f>IFERROR(__xludf.DUMMYFUNCTION("""COMPUTED_VALUE"""),"Unlisted")</f>
        <v>Unlisted</v>
      </c>
      <c r="L887" s="174" t="str">
        <f>IFERROR(__xludf.DUMMYFUNCTION("""COMPUTED_VALUE"""),"Unlisted")</f>
        <v>Unlisted</v>
      </c>
      <c r="M887" s="174" t="str">
        <f>IFERROR(__xludf.DUMMYFUNCTION("""COMPUTED_VALUE"""),"Unlisted")</f>
        <v>Unlisted</v>
      </c>
      <c r="N887" s="174" t="str">
        <f>IFERROR(__xludf.DUMMYFUNCTION("""COMPUTED_VALUE"""),"Unlisted")</f>
        <v>Unlisted</v>
      </c>
      <c r="O887" s="174" t="str">
        <f>IFERROR(__xludf.DUMMYFUNCTION("""COMPUTED_VALUE"""),"Mastered")</f>
        <v>Mastered</v>
      </c>
      <c r="P887" s="174" t="str">
        <f>IFERROR(__xludf.DUMMYFUNCTION("""COMPUTED_VALUE"""),"Unlisted")</f>
        <v>Unlisted</v>
      </c>
      <c r="Q887" s="174" t="str">
        <f>IFERROR(__xludf.DUMMYFUNCTION("""COMPUTED_VALUE"""),"Unlisted")</f>
        <v>Unlisted</v>
      </c>
      <c r="R887" s="174" t="str">
        <f>IFERROR(__xludf.DUMMYFUNCTION("""COMPUTED_VALUE"""),"Unlisted")</f>
        <v>Unlisted</v>
      </c>
    </row>
    <row r="888">
      <c r="A888" s="255" t="str">
        <f>IFERROR(__xludf.DUMMYFUNCTION("""COMPUTED_VALUE"""),"Wobbuffet")</f>
        <v>Wobbuffet</v>
      </c>
      <c r="B888" s="174" t="str">
        <f>IFERROR(__xludf.DUMMYFUNCTION("""COMPUTED_VALUE"""),"Unlisted")</f>
        <v>Unlisted</v>
      </c>
      <c r="C888" s="174" t="str">
        <f>IFERROR(__xludf.DUMMYFUNCTION("""COMPUTED_VALUE"""),"Inept")</f>
        <v>Inept</v>
      </c>
      <c r="D888" s="174" t="str">
        <f>IFERROR(__xludf.DUMMYFUNCTION("""COMPUTED_VALUE"""),"Unlisted")</f>
        <v>Unlisted</v>
      </c>
      <c r="E888" s="174" t="str">
        <f>IFERROR(__xludf.DUMMYFUNCTION("""COMPUTED_VALUE"""),"Proficient")</f>
        <v>Proficient</v>
      </c>
      <c r="F888" s="174" t="str">
        <f>IFERROR(__xludf.DUMMYFUNCTION("""COMPUTED_VALUE"""),"Unlisted")</f>
        <v>Unlisted</v>
      </c>
      <c r="G888" s="174" t="str">
        <f>IFERROR(__xludf.DUMMYFUNCTION("""COMPUTED_VALUE"""),"Proficient")</f>
        <v>Proficient</v>
      </c>
      <c r="H888" s="174" t="str">
        <f>IFERROR(__xludf.DUMMYFUNCTION("""COMPUTED_VALUE"""),"Unlisted")</f>
        <v>Unlisted</v>
      </c>
      <c r="I888" s="174" t="str">
        <f>IFERROR(__xludf.DUMMYFUNCTION("""COMPUTED_VALUE"""),"Unlisted")</f>
        <v>Unlisted</v>
      </c>
      <c r="J888" s="174" t="str">
        <f>IFERROR(__xludf.DUMMYFUNCTION("""COMPUTED_VALUE"""),"Inept")</f>
        <v>Inept</v>
      </c>
      <c r="K888" s="174" t="str">
        <f>IFERROR(__xludf.DUMMYFUNCTION("""COMPUTED_VALUE"""),"Unlisted")</f>
        <v>Unlisted</v>
      </c>
      <c r="L888" s="174" t="str">
        <f>IFERROR(__xludf.DUMMYFUNCTION("""COMPUTED_VALUE"""),"Unlisted")</f>
        <v>Unlisted</v>
      </c>
      <c r="M888" s="174" t="str">
        <f>IFERROR(__xludf.DUMMYFUNCTION("""COMPUTED_VALUE"""),"Unlisted")</f>
        <v>Unlisted</v>
      </c>
      <c r="N888" s="174" t="str">
        <f>IFERROR(__xludf.DUMMYFUNCTION("""COMPUTED_VALUE"""),"Unlisted")</f>
        <v>Unlisted</v>
      </c>
      <c r="O888" s="174" t="str">
        <f>IFERROR(__xludf.DUMMYFUNCTION("""COMPUTED_VALUE"""),"Mastered")</f>
        <v>Mastered</v>
      </c>
      <c r="P888" s="174" t="str">
        <f>IFERROR(__xludf.DUMMYFUNCTION("""COMPUTED_VALUE"""),"Unlisted")</f>
        <v>Unlisted</v>
      </c>
      <c r="Q888" s="174" t="str">
        <f>IFERROR(__xludf.DUMMYFUNCTION("""COMPUTED_VALUE"""),"Unlisted")</f>
        <v>Unlisted</v>
      </c>
      <c r="R888" s="174" t="str">
        <f>IFERROR(__xludf.DUMMYFUNCTION("""COMPUTED_VALUE"""),"Unlisted")</f>
        <v>Unlisted</v>
      </c>
    </row>
    <row r="889">
      <c r="A889" s="255" t="str">
        <f>IFERROR(__xludf.DUMMYFUNCTION("""COMPUTED_VALUE"""),"Spoink")</f>
        <v>Spoink</v>
      </c>
      <c r="B889" s="174" t="str">
        <f>IFERROR(__xludf.DUMMYFUNCTION("""COMPUTED_VALUE"""),"Proficient")</f>
        <v>Proficient</v>
      </c>
      <c r="C889" s="174" t="str">
        <f>IFERROR(__xludf.DUMMYFUNCTION("""COMPUTED_VALUE"""),"Unlisted")</f>
        <v>Unlisted</v>
      </c>
      <c r="D889" s="174" t="str">
        <f>IFERROR(__xludf.DUMMYFUNCTION("""COMPUTED_VALUE"""),"Unlisted")</f>
        <v>Unlisted</v>
      </c>
      <c r="E889" s="174" t="str">
        <f>IFERROR(__xludf.DUMMYFUNCTION("""COMPUTED_VALUE"""),"Unlisted")</f>
        <v>Unlisted</v>
      </c>
      <c r="F889" s="174" t="str">
        <f>IFERROR(__xludf.DUMMYFUNCTION("""COMPUTED_VALUE"""),"Unlisted")</f>
        <v>Unlisted</v>
      </c>
      <c r="G889" s="174" t="str">
        <f>IFERROR(__xludf.DUMMYFUNCTION("""COMPUTED_VALUE"""),"Proficient")</f>
        <v>Proficient</v>
      </c>
      <c r="H889" s="174" t="str">
        <f>IFERROR(__xludf.DUMMYFUNCTION("""COMPUTED_VALUE"""),"Unlisted")</f>
        <v>Unlisted</v>
      </c>
      <c r="I889" s="174" t="str">
        <f>IFERROR(__xludf.DUMMYFUNCTION("""COMPUTED_VALUE"""),"Unlisted")</f>
        <v>Unlisted</v>
      </c>
      <c r="J889" s="174" t="str">
        <f>IFERROR(__xludf.DUMMYFUNCTION("""COMPUTED_VALUE"""),"Unlisted")</f>
        <v>Unlisted</v>
      </c>
      <c r="K889" s="174" t="str">
        <f>IFERROR(__xludf.DUMMYFUNCTION("""COMPUTED_VALUE"""),"Unlisted")</f>
        <v>Unlisted</v>
      </c>
      <c r="L889" s="174" t="str">
        <f>IFERROR(__xludf.DUMMYFUNCTION("""COMPUTED_VALUE"""),"Unlisted")</f>
        <v>Unlisted</v>
      </c>
      <c r="M889" s="174" t="str">
        <f>IFERROR(__xludf.DUMMYFUNCTION("""COMPUTED_VALUE"""),"Unlisted")</f>
        <v>Unlisted</v>
      </c>
      <c r="N889" s="174" t="str">
        <f>IFERROR(__xludf.DUMMYFUNCTION("""COMPUTED_VALUE"""),"Unlisted")</f>
        <v>Unlisted</v>
      </c>
      <c r="O889" s="174" t="str">
        <f>IFERROR(__xludf.DUMMYFUNCTION("""COMPUTED_VALUE"""),"Unlisted")</f>
        <v>Unlisted</v>
      </c>
      <c r="P889" s="174" t="str">
        <f>IFERROR(__xludf.DUMMYFUNCTION("""COMPUTED_VALUE"""),"Unlisted")</f>
        <v>Unlisted</v>
      </c>
      <c r="Q889" s="174" t="str">
        <f>IFERROR(__xludf.DUMMYFUNCTION("""COMPUTED_VALUE"""),"Unlisted")</f>
        <v>Unlisted</v>
      </c>
      <c r="R889" s="174" t="str">
        <f>IFERROR(__xludf.DUMMYFUNCTION("""COMPUTED_VALUE"""),"Unlisted")</f>
        <v>Unlisted</v>
      </c>
    </row>
    <row r="890">
      <c r="A890" s="255" t="str">
        <f>IFERROR(__xludf.DUMMYFUNCTION("""COMPUTED_VALUE"""),"Grumpig")</f>
        <v>Grumpig</v>
      </c>
      <c r="B890" s="174" t="str">
        <f>IFERROR(__xludf.DUMMYFUNCTION("""COMPUTED_VALUE"""),"Proficient")</f>
        <v>Proficient</v>
      </c>
      <c r="C890" s="174" t="str">
        <f>IFERROR(__xludf.DUMMYFUNCTION("""COMPUTED_VALUE"""),"Proficient")</f>
        <v>Proficient</v>
      </c>
      <c r="D890" s="174" t="str">
        <f>IFERROR(__xludf.DUMMYFUNCTION("""COMPUTED_VALUE"""),"Unlisted")</f>
        <v>Unlisted</v>
      </c>
      <c r="E890" s="174" t="str">
        <f>IFERROR(__xludf.DUMMYFUNCTION("""COMPUTED_VALUE"""),"Unlisted")</f>
        <v>Unlisted</v>
      </c>
      <c r="F890" s="174" t="str">
        <f>IFERROR(__xludf.DUMMYFUNCTION("""COMPUTED_VALUE"""),"Unlisted")</f>
        <v>Unlisted</v>
      </c>
      <c r="G890" s="174" t="str">
        <f>IFERROR(__xludf.DUMMYFUNCTION("""COMPUTED_VALUE"""),"Proficient")</f>
        <v>Proficient</v>
      </c>
      <c r="H890" s="174" t="str">
        <f>IFERROR(__xludf.DUMMYFUNCTION("""COMPUTED_VALUE"""),"Unlisted")</f>
        <v>Unlisted</v>
      </c>
      <c r="I890" s="174" t="str">
        <f>IFERROR(__xludf.DUMMYFUNCTION("""COMPUTED_VALUE"""),"Unlisted")</f>
        <v>Unlisted</v>
      </c>
      <c r="J890" s="174" t="str">
        <f>IFERROR(__xludf.DUMMYFUNCTION("""COMPUTED_VALUE"""),"Unlisted")</f>
        <v>Unlisted</v>
      </c>
      <c r="K890" s="174" t="str">
        <f>IFERROR(__xludf.DUMMYFUNCTION("""COMPUTED_VALUE"""),"Unlisted")</f>
        <v>Unlisted</v>
      </c>
      <c r="L890" s="174" t="str">
        <f>IFERROR(__xludf.DUMMYFUNCTION("""COMPUTED_VALUE"""),"Unlisted")</f>
        <v>Unlisted</v>
      </c>
      <c r="M890" s="174" t="str">
        <f>IFERROR(__xludf.DUMMYFUNCTION("""COMPUTED_VALUE"""),"Unlisted")</f>
        <v>Unlisted</v>
      </c>
      <c r="N890" s="174" t="str">
        <f>IFERROR(__xludf.DUMMYFUNCTION("""COMPUTED_VALUE"""),"Unlisted")</f>
        <v>Unlisted</v>
      </c>
      <c r="O890" s="174" t="str">
        <f>IFERROR(__xludf.DUMMYFUNCTION("""COMPUTED_VALUE"""),"Unlisted")</f>
        <v>Unlisted</v>
      </c>
      <c r="P890" s="174" t="str">
        <f>IFERROR(__xludf.DUMMYFUNCTION("""COMPUTED_VALUE"""),"Unlisted")</f>
        <v>Unlisted</v>
      </c>
      <c r="Q890" s="174" t="str">
        <f>IFERROR(__xludf.DUMMYFUNCTION("""COMPUTED_VALUE"""),"Unlisted")</f>
        <v>Unlisted</v>
      </c>
      <c r="R890" s="174" t="str">
        <f>IFERROR(__xludf.DUMMYFUNCTION("""COMPUTED_VALUE"""),"Unlisted")</f>
        <v>Unlisted</v>
      </c>
    </row>
    <row r="891">
      <c r="A891" s="255" t="str">
        <f>IFERROR(__xludf.DUMMYFUNCTION("""COMPUTED_VALUE"""),"Chingling")</f>
        <v>Chingling</v>
      </c>
      <c r="B891" s="174" t="str">
        <f>IFERROR(__xludf.DUMMYFUNCTION("""COMPUTED_VALUE"""),"Unlisted")</f>
        <v>Unlisted</v>
      </c>
      <c r="C891" s="174" t="str">
        <f>IFERROR(__xludf.DUMMYFUNCTION("""COMPUTED_VALUE"""),"Inept")</f>
        <v>Inept</v>
      </c>
      <c r="D891" s="174" t="str">
        <f>IFERROR(__xludf.DUMMYFUNCTION("""COMPUTED_VALUE"""),"Unlisted")</f>
        <v>Unlisted</v>
      </c>
      <c r="E891" s="174" t="str">
        <f>IFERROR(__xludf.DUMMYFUNCTION("""COMPUTED_VALUE"""),"Unlisted")</f>
        <v>Unlisted</v>
      </c>
      <c r="F891" s="174" t="str">
        <f>IFERROR(__xludf.DUMMYFUNCTION("""COMPUTED_VALUE"""),"Unlisted")</f>
        <v>Unlisted</v>
      </c>
      <c r="G891" s="174" t="str">
        <f>IFERROR(__xludf.DUMMYFUNCTION("""COMPUTED_VALUE"""),"Mastered")</f>
        <v>Mastered</v>
      </c>
      <c r="H891" s="174" t="str">
        <f>IFERROR(__xludf.DUMMYFUNCTION("""COMPUTED_VALUE"""),"Unlisted")</f>
        <v>Unlisted</v>
      </c>
      <c r="I891" s="174" t="str">
        <f>IFERROR(__xludf.DUMMYFUNCTION("""COMPUTED_VALUE"""),"Unlisted")</f>
        <v>Unlisted</v>
      </c>
      <c r="J891" s="174" t="str">
        <f>IFERROR(__xludf.DUMMYFUNCTION("""COMPUTED_VALUE"""),"Proficient")</f>
        <v>Proficient</v>
      </c>
      <c r="K891" s="174" t="str">
        <f>IFERROR(__xludf.DUMMYFUNCTION("""COMPUTED_VALUE"""),"Proficient")</f>
        <v>Proficient</v>
      </c>
      <c r="L891" s="174" t="str">
        <f>IFERROR(__xludf.DUMMYFUNCTION("""COMPUTED_VALUE"""),"Unlisted")</f>
        <v>Unlisted</v>
      </c>
      <c r="M891" s="174" t="str">
        <f>IFERROR(__xludf.DUMMYFUNCTION("""COMPUTED_VALUE"""),"Unlisted")</f>
        <v>Unlisted</v>
      </c>
      <c r="N891" s="174" t="str">
        <f>IFERROR(__xludf.DUMMYFUNCTION("""COMPUTED_VALUE"""),"Unlisted")</f>
        <v>Unlisted</v>
      </c>
      <c r="O891" s="174" t="str">
        <f>IFERROR(__xludf.DUMMYFUNCTION("""COMPUTED_VALUE"""),"Unlisted")</f>
        <v>Unlisted</v>
      </c>
      <c r="P891" s="174" t="str">
        <f>IFERROR(__xludf.DUMMYFUNCTION("""COMPUTED_VALUE"""),"Unlisted")</f>
        <v>Unlisted</v>
      </c>
      <c r="Q891" s="174" t="str">
        <f>IFERROR(__xludf.DUMMYFUNCTION("""COMPUTED_VALUE"""),"Unlisted")</f>
        <v>Unlisted</v>
      </c>
      <c r="R891" s="174" t="str">
        <f>IFERROR(__xludf.DUMMYFUNCTION("""COMPUTED_VALUE"""),"Unlisted")</f>
        <v>Unlisted</v>
      </c>
    </row>
    <row r="892">
      <c r="A892" s="255" t="str">
        <f>IFERROR(__xludf.DUMMYFUNCTION("""COMPUTED_VALUE"""),"Chimecho")</f>
        <v>Chimecho</v>
      </c>
      <c r="B892" s="174" t="str">
        <f>IFERROR(__xludf.DUMMYFUNCTION("""COMPUTED_VALUE"""),"Unlisted")</f>
        <v>Unlisted</v>
      </c>
      <c r="C892" s="174" t="str">
        <f>IFERROR(__xludf.DUMMYFUNCTION("""COMPUTED_VALUE"""),"Inept")</f>
        <v>Inept</v>
      </c>
      <c r="D892" s="174" t="str">
        <f>IFERROR(__xludf.DUMMYFUNCTION("""COMPUTED_VALUE"""),"Unlisted")</f>
        <v>Unlisted</v>
      </c>
      <c r="E892" s="174" t="str">
        <f>IFERROR(__xludf.DUMMYFUNCTION("""COMPUTED_VALUE"""),"Unlisted")</f>
        <v>Unlisted</v>
      </c>
      <c r="F892" s="174" t="str">
        <f>IFERROR(__xludf.DUMMYFUNCTION("""COMPUTED_VALUE"""),"Unlisted")</f>
        <v>Unlisted</v>
      </c>
      <c r="G892" s="174" t="str">
        <f>IFERROR(__xludf.DUMMYFUNCTION("""COMPUTED_VALUE"""),"Mastered")</f>
        <v>Mastered</v>
      </c>
      <c r="H892" s="174" t="str">
        <f>IFERROR(__xludf.DUMMYFUNCTION("""COMPUTED_VALUE"""),"Unlisted")</f>
        <v>Unlisted</v>
      </c>
      <c r="I892" s="174" t="str">
        <f>IFERROR(__xludf.DUMMYFUNCTION("""COMPUTED_VALUE"""),"Unlisted")</f>
        <v>Unlisted</v>
      </c>
      <c r="J892" s="174" t="str">
        <f>IFERROR(__xludf.DUMMYFUNCTION("""COMPUTED_VALUE"""),"Proficient")</f>
        <v>Proficient</v>
      </c>
      <c r="K892" s="174" t="str">
        <f>IFERROR(__xludf.DUMMYFUNCTION("""COMPUTED_VALUE"""),"Proficient")</f>
        <v>Proficient</v>
      </c>
      <c r="L892" s="174" t="str">
        <f>IFERROR(__xludf.DUMMYFUNCTION("""COMPUTED_VALUE"""),"Unlisted")</f>
        <v>Unlisted</v>
      </c>
      <c r="M892" s="174" t="str">
        <f>IFERROR(__xludf.DUMMYFUNCTION("""COMPUTED_VALUE"""),"Unlisted")</f>
        <v>Unlisted</v>
      </c>
      <c r="N892" s="174" t="str">
        <f>IFERROR(__xludf.DUMMYFUNCTION("""COMPUTED_VALUE"""),"Unlisted")</f>
        <v>Unlisted</v>
      </c>
      <c r="O892" s="174" t="str">
        <f>IFERROR(__xludf.DUMMYFUNCTION("""COMPUTED_VALUE"""),"Unlisted")</f>
        <v>Unlisted</v>
      </c>
      <c r="P892" s="174" t="str">
        <f>IFERROR(__xludf.DUMMYFUNCTION("""COMPUTED_VALUE"""),"Unlisted")</f>
        <v>Unlisted</v>
      </c>
      <c r="Q892" s="174" t="str">
        <f>IFERROR(__xludf.DUMMYFUNCTION("""COMPUTED_VALUE"""),"Unlisted")</f>
        <v>Unlisted</v>
      </c>
      <c r="R892" s="174" t="str">
        <f>IFERROR(__xludf.DUMMYFUNCTION("""COMPUTED_VALUE"""),"Unlisted")</f>
        <v>Unlisted</v>
      </c>
    </row>
    <row r="893">
      <c r="A893" s="255" t="str">
        <f>IFERROR(__xludf.DUMMYFUNCTION("""COMPUTED_VALUE"""),"Munna")</f>
        <v>Munna</v>
      </c>
      <c r="B893" s="174" t="str">
        <f>IFERROR(__xludf.DUMMYFUNCTION("""COMPUTED_VALUE"""),"Unlisted")</f>
        <v>Unlisted</v>
      </c>
      <c r="C893" s="174" t="str">
        <f>IFERROR(__xludf.DUMMYFUNCTION("""COMPUTED_VALUE"""),"Unlisted")</f>
        <v>Unlisted</v>
      </c>
      <c r="D893" s="174" t="str">
        <f>IFERROR(__xludf.DUMMYFUNCTION("""COMPUTED_VALUE"""),"Unlisted")</f>
        <v>Unlisted</v>
      </c>
      <c r="E893" s="174" t="str">
        <f>IFERROR(__xludf.DUMMYFUNCTION("""COMPUTED_VALUE"""),"Inept")</f>
        <v>Inept</v>
      </c>
      <c r="F893" s="174" t="str">
        <f>IFERROR(__xludf.DUMMYFUNCTION("""COMPUTED_VALUE"""),"Unlisted")</f>
        <v>Unlisted</v>
      </c>
      <c r="G893" s="174" t="str">
        <f>IFERROR(__xludf.DUMMYFUNCTION("""COMPUTED_VALUE"""),"Proficient")</f>
        <v>Proficient</v>
      </c>
      <c r="H893" s="174" t="str">
        <f>IFERROR(__xludf.DUMMYFUNCTION("""COMPUTED_VALUE"""),"Unlisted")</f>
        <v>Unlisted</v>
      </c>
      <c r="I893" s="174" t="str">
        <f>IFERROR(__xludf.DUMMYFUNCTION("""COMPUTED_VALUE"""),"Unlisted")</f>
        <v>Unlisted</v>
      </c>
      <c r="J893" s="174" t="str">
        <f>IFERROR(__xludf.DUMMYFUNCTION("""COMPUTED_VALUE"""),"Unlisted")</f>
        <v>Unlisted</v>
      </c>
      <c r="K893" s="174" t="str">
        <f>IFERROR(__xludf.DUMMYFUNCTION("""COMPUTED_VALUE"""),"Proficient")</f>
        <v>Proficient</v>
      </c>
      <c r="L893" s="174" t="str">
        <f>IFERROR(__xludf.DUMMYFUNCTION("""COMPUTED_VALUE"""),"Unlisted")</f>
        <v>Unlisted</v>
      </c>
      <c r="M893" s="174" t="str">
        <f>IFERROR(__xludf.DUMMYFUNCTION("""COMPUTED_VALUE"""),"Unlisted")</f>
        <v>Unlisted</v>
      </c>
      <c r="N893" s="174" t="str">
        <f>IFERROR(__xludf.DUMMYFUNCTION("""COMPUTED_VALUE"""),"Unlisted")</f>
        <v>Unlisted</v>
      </c>
      <c r="O893" s="174" t="str">
        <f>IFERROR(__xludf.DUMMYFUNCTION("""COMPUTED_VALUE"""),"Unlisted")</f>
        <v>Unlisted</v>
      </c>
      <c r="P893" s="174" t="str">
        <f>IFERROR(__xludf.DUMMYFUNCTION("""COMPUTED_VALUE"""),"Unlisted")</f>
        <v>Unlisted</v>
      </c>
      <c r="Q893" s="174" t="str">
        <f>IFERROR(__xludf.DUMMYFUNCTION("""COMPUTED_VALUE"""),"Unlisted")</f>
        <v>Unlisted</v>
      </c>
      <c r="R893" s="174" t="str">
        <f>IFERROR(__xludf.DUMMYFUNCTION("""COMPUTED_VALUE"""),"Unlisted")</f>
        <v>Unlisted</v>
      </c>
    </row>
    <row r="894">
      <c r="A894" s="255" t="str">
        <f>IFERROR(__xludf.DUMMYFUNCTION("""COMPUTED_VALUE"""),"Musharna")</f>
        <v>Musharna</v>
      </c>
      <c r="B894" s="174" t="str">
        <f>IFERROR(__xludf.DUMMYFUNCTION("""COMPUTED_VALUE"""),"Unlisted")</f>
        <v>Unlisted</v>
      </c>
      <c r="C894" s="174" t="str">
        <f>IFERROR(__xludf.DUMMYFUNCTION("""COMPUTED_VALUE"""),"Unlisted")</f>
        <v>Unlisted</v>
      </c>
      <c r="D894" s="174" t="str">
        <f>IFERROR(__xludf.DUMMYFUNCTION("""COMPUTED_VALUE"""),"Unlisted")</f>
        <v>Unlisted</v>
      </c>
      <c r="E894" s="174" t="str">
        <f>IFERROR(__xludf.DUMMYFUNCTION("""COMPUTED_VALUE"""),"Inept")</f>
        <v>Inept</v>
      </c>
      <c r="F894" s="174" t="str">
        <f>IFERROR(__xludf.DUMMYFUNCTION("""COMPUTED_VALUE"""),"Unlisted")</f>
        <v>Unlisted</v>
      </c>
      <c r="G894" s="174" t="str">
        <f>IFERROR(__xludf.DUMMYFUNCTION("""COMPUTED_VALUE"""),"Proficient")</f>
        <v>Proficient</v>
      </c>
      <c r="H894" s="174" t="str">
        <f>IFERROR(__xludf.DUMMYFUNCTION("""COMPUTED_VALUE"""),"Unlisted")</f>
        <v>Unlisted</v>
      </c>
      <c r="I894" s="174" t="str">
        <f>IFERROR(__xludf.DUMMYFUNCTION("""COMPUTED_VALUE"""),"Unlisted")</f>
        <v>Unlisted</v>
      </c>
      <c r="J894" s="174" t="str">
        <f>IFERROR(__xludf.DUMMYFUNCTION("""COMPUTED_VALUE"""),"Unlisted")</f>
        <v>Unlisted</v>
      </c>
      <c r="K894" s="174" t="str">
        <f>IFERROR(__xludf.DUMMYFUNCTION("""COMPUTED_VALUE"""),"Proficient")</f>
        <v>Proficient</v>
      </c>
      <c r="L894" s="174" t="str">
        <f>IFERROR(__xludf.DUMMYFUNCTION("""COMPUTED_VALUE"""),"Unlisted")</f>
        <v>Unlisted</v>
      </c>
      <c r="M894" s="174" t="str">
        <f>IFERROR(__xludf.DUMMYFUNCTION("""COMPUTED_VALUE"""),"Unlisted")</f>
        <v>Unlisted</v>
      </c>
      <c r="N894" s="174" t="str">
        <f>IFERROR(__xludf.DUMMYFUNCTION("""COMPUTED_VALUE"""),"Unlisted")</f>
        <v>Unlisted</v>
      </c>
      <c r="O894" s="174" t="str">
        <f>IFERROR(__xludf.DUMMYFUNCTION("""COMPUTED_VALUE"""),"Unlisted")</f>
        <v>Unlisted</v>
      </c>
      <c r="P894" s="174" t="str">
        <f>IFERROR(__xludf.DUMMYFUNCTION("""COMPUTED_VALUE"""),"Unlisted")</f>
        <v>Unlisted</v>
      </c>
      <c r="Q894" s="174" t="str">
        <f>IFERROR(__xludf.DUMMYFUNCTION("""COMPUTED_VALUE"""),"Unlisted")</f>
        <v>Unlisted</v>
      </c>
      <c r="R894" s="174" t="str">
        <f>IFERROR(__xludf.DUMMYFUNCTION("""COMPUTED_VALUE"""),"Unlisted")</f>
        <v>Unlisted</v>
      </c>
    </row>
    <row r="895">
      <c r="A895" s="255" t="str">
        <f>IFERROR(__xludf.DUMMYFUNCTION("""COMPUTED_VALUE"""),"Woobat")</f>
        <v>Woobat</v>
      </c>
      <c r="B895" s="174" t="str">
        <f>IFERROR(__xludf.DUMMYFUNCTION("""COMPUTED_VALUE"""),"Proficient")</f>
        <v>Proficient</v>
      </c>
      <c r="C895" s="174" t="str">
        <f>IFERROR(__xludf.DUMMYFUNCTION("""COMPUTED_VALUE"""),"Unlisted")</f>
        <v>Unlisted</v>
      </c>
      <c r="D895" s="174" t="str">
        <f>IFERROR(__xludf.DUMMYFUNCTION("""COMPUTED_VALUE"""),"Unlisted")</f>
        <v>Unlisted</v>
      </c>
      <c r="E895" s="174" t="str">
        <f>IFERROR(__xludf.DUMMYFUNCTION("""COMPUTED_VALUE"""),"Unlisted")</f>
        <v>Unlisted</v>
      </c>
      <c r="F895" s="174" t="str">
        <f>IFERROR(__xludf.DUMMYFUNCTION("""COMPUTED_VALUE"""),"Unlisted")</f>
        <v>Unlisted</v>
      </c>
      <c r="G895" s="174" t="str">
        <f>IFERROR(__xludf.DUMMYFUNCTION("""COMPUTED_VALUE"""),"Proficient")</f>
        <v>Proficient</v>
      </c>
      <c r="H895" s="174" t="str">
        <f>IFERROR(__xludf.DUMMYFUNCTION("""COMPUTED_VALUE"""),"Unlisted")</f>
        <v>Unlisted</v>
      </c>
      <c r="I895" s="174" t="str">
        <f>IFERROR(__xludf.DUMMYFUNCTION("""COMPUTED_VALUE"""),"Unlisted")</f>
        <v>Unlisted</v>
      </c>
      <c r="J895" s="174" t="str">
        <f>IFERROR(__xludf.DUMMYFUNCTION("""COMPUTED_VALUE"""),"Unlisted")</f>
        <v>Unlisted</v>
      </c>
      <c r="K895" s="174" t="str">
        <f>IFERROR(__xludf.DUMMYFUNCTION("""COMPUTED_VALUE"""),"Proficient")</f>
        <v>Proficient</v>
      </c>
      <c r="L895" s="174" t="str">
        <f>IFERROR(__xludf.DUMMYFUNCTION("""COMPUTED_VALUE"""),"Unlisted")</f>
        <v>Unlisted</v>
      </c>
      <c r="M895" s="174" t="str">
        <f>IFERROR(__xludf.DUMMYFUNCTION("""COMPUTED_VALUE"""),"Unlisted")</f>
        <v>Unlisted</v>
      </c>
      <c r="N895" s="174" t="str">
        <f>IFERROR(__xludf.DUMMYFUNCTION("""COMPUTED_VALUE"""),"Unlisted")</f>
        <v>Unlisted</v>
      </c>
      <c r="O895" s="174" t="str">
        <f>IFERROR(__xludf.DUMMYFUNCTION("""COMPUTED_VALUE"""),"Unlisted")</f>
        <v>Unlisted</v>
      </c>
      <c r="P895" s="174" t="str">
        <f>IFERROR(__xludf.DUMMYFUNCTION("""COMPUTED_VALUE"""),"Unlisted")</f>
        <v>Unlisted</v>
      </c>
      <c r="Q895" s="174" t="str">
        <f>IFERROR(__xludf.DUMMYFUNCTION("""COMPUTED_VALUE"""),"Unlisted")</f>
        <v>Unlisted</v>
      </c>
      <c r="R895" s="174" t="str">
        <f>IFERROR(__xludf.DUMMYFUNCTION("""COMPUTED_VALUE"""),"Unlisted")</f>
        <v>Unlisted</v>
      </c>
    </row>
    <row r="896">
      <c r="A896" s="255" t="str">
        <f>IFERROR(__xludf.DUMMYFUNCTION("""COMPUTED_VALUE"""),"Swoobat")</f>
        <v>Swoobat</v>
      </c>
      <c r="B896" s="174" t="str">
        <f>IFERROR(__xludf.DUMMYFUNCTION("""COMPUTED_VALUE"""),"Proficient")</f>
        <v>Proficient</v>
      </c>
      <c r="C896" s="174" t="str">
        <f>IFERROR(__xludf.DUMMYFUNCTION("""COMPUTED_VALUE"""),"Unlisted")</f>
        <v>Unlisted</v>
      </c>
      <c r="D896" s="174" t="str">
        <f>IFERROR(__xludf.DUMMYFUNCTION("""COMPUTED_VALUE"""),"Unlisted")</f>
        <v>Unlisted</v>
      </c>
      <c r="E896" s="174" t="str">
        <f>IFERROR(__xludf.DUMMYFUNCTION("""COMPUTED_VALUE"""),"Unlisted")</f>
        <v>Unlisted</v>
      </c>
      <c r="F896" s="174" t="str">
        <f>IFERROR(__xludf.DUMMYFUNCTION("""COMPUTED_VALUE"""),"Unlisted")</f>
        <v>Unlisted</v>
      </c>
      <c r="G896" s="174" t="str">
        <f>IFERROR(__xludf.DUMMYFUNCTION("""COMPUTED_VALUE"""),"Proficient")</f>
        <v>Proficient</v>
      </c>
      <c r="H896" s="174" t="str">
        <f>IFERROR(__xludf.DUMMYFUNCTION("""COMPUTED_VALUE"""),"Unlisted")</f>
        <v>Unlisted</v>
      </c>
      <c r="I896" s="174" t="str">
        <f>IFERROR(__xludf.DUMMYFUNCTION("""COMPUTED_VALUE"""),"Unlisted")</f>
        <v>Unlisted</v>
      </c>
      <c r="J896" s="174" t="str">
        <f>IFERROR(__xludf.DUMMYFUNCTION("""COMPUTED_VALUE"""),"Unlisted")</f>
        <v>Unlisted</v>
      </c>
      <c r="K896" s="174" t="str">
        <f>IFERROR(__xludf.DUMMYFUNCTION("""COMPUTED_VALUE"""),"Proficient")</f>
        <v>Proficient</v>
      </c>
      <c r="L896" s="174" t="str">
        <f>IFERROR(__xludf.DUMMYFUNCTION("""COMPUTED_VALUE"""),"Unlisted")</f>
        <v>Unlisted</v>
      </c>
      <c r="M896" s="174" t="str">
        <f>IFERROR(__xludf.DUMMYFUNCTION("""COMPUTED_VALUE"""),"Unlisted")</f>
        <v>Unlisted</v>
      </c>
      <c r="N896" s="174" t="str">
        <f>IFERROR(__xludf.DUMMYFUNCTION("""COMPUTED_VALUE"""),"Unlisted")</f>
        <v>Unlisted</v>
      </c>
      <c r="O896" s="174" t="str">
        <f>IFERROR(__xludf.DUMMYFUNCTION("""COMPUTED_VALUE"""),"Unlisted")</f>
        <v>Unlisted</v>
      </c>
      <c r="P896" s="174" t="str">
        <f>IFERROR(__xludf.DUMMYFUNCTION("""COMPUTED_VALUE"""),"Unlisted")</f>
        <v>Unlisted</v>
      </c>
      <c r="Q896" s="174" t="str">
        <f>IFERROR(__xludf.DUMMYFUNCTION("""COMPUTED_VALUE"""),"Unlisted")</f>
        <v>Unlisted</v>
      </c>
      <c r="R896" s="174" t="str">
        <f>IFERROR(__xludf.DUMMYFUNCTION("""COMPUTED_VALUE"""),"Unlisted")</f>
        <v>Unlisted</v>
      </c>
    </row>
    <row r="897">
      <c r="A897" s="255" t="str">
        <f>IFERROR(__xludf.DUMMYFUNCTION("""COMPUTED_VALUE"""),"Elgyem")</f>
        <v>Elgyem</v>
      </c>
      <c r="B897" s="174" t="str">
        <f>IFERROR(__xludf.DUMMYFUNCTION("""COMPUTED_VALUE"""),"Unlisted")</f>
        <v>Unlisted</v>
      </c>
      <c r="C897" s="174" t="str">
        <f>IFERROR(__xludf.DUMMYFUNCTION("""COMPUTED_VALUE"""),"Inept")</f>
        <v>Inept</v>
      </c>
      <c r="D897" s="174" t="str">
        <f>IFERROR(__xludf.DUMMYFUNCTION("""COMPUTED_VALUE"""),"Unlisted")</f>
        <v>Unlisted</v>
      </c>
      <c r="E897" s="174" t="str">
        <f>IFERROR(__xludf.DUMMYFUNCTION("""COMPUTED_VALUE"""),"Unlisted")</f>
        <v>Unlisted</v>
      </c>
      <c r="F897" s="174" t="str">
        <f>IFERROR(__xludf.DUMMYFUNCTION("""COMPUTED_VALUE"""),"Unlisted")</f>
        <v>Unlisted</v>
      </c>
      <c r="G897" s="174" t="str">
        <f>IFERROR(__xludf.DUMMYFUNCTION("""COMPUTED_VALUE"""),"Mastered")</f>
        <v>Mastered</v>
      </c>
      <c r="H897" s="174" t="str">
        <f>IFERROR(__xludf.DUMMYFUNCTION("""COMPUTED_VALUE"""),"Unlisted")</f>
        <v>Unlisted</v>
      </c>
      <c r="I897" s="174" t="str">
        <f>IFERROR(__xludf.DUMMYFUNCTION("""COMPUTED_VALUE"""),"Unlisted")</f>
        <v>Unlisted</v>
      </c>
      <c r="J897" s="174" t="str">
        <f>IFERROR(__xludf.DUMMYFUNCTION("""COMPUTED_VALUE"""),"Unlisted")</f>
        <v>Unlisted</v>
      </c>
      <c r="K897" s="174" t="str">
        <f>IFERROR(__xludf.DUMMYFUNCTION("""COMPUTED_VALUE"""),"Unlisted")</f>
        <v>Unlisted</v>
      </c>
      <c r="L897" s="174" t="str">
        <f>IFERROR(__xludf.DUMMYFUNCTION("""COMPUTED_VALUE"""),"Unlisted")</f>
        <v>Unlisted</v>
      </c>
      <c r="M897" s="174" t="str">
        <f>IFERROR(__xludf.DUMMYFUNCTION("""COMPUTED_VALUE"""),"Proficient")</f>
        <v>Proficient</v>
      </c>
      <c r="N897" s="174" t="str">
        <f>IFERROR(__xludf.DUMMYFUNCTION("""COMPUTED_VALUE"""),"Unlisted")</f>
        <v>Unlisted</v>
      </c>
      <c r="O897" s="174" t="str">
        <f>IFERROR(__xludf.DUMMYFUNCTION("""COMPUTED_VALUE"""),"Unlisted")</f>
        <v>Unlisted</v>
      </c>
      <c r="P897" s="174" t="str">
        <f>IFERROR(__xludf.DUMMYFUNCTION("""COMPUTED_VALUE"""),"Proficient")</f>
        <v>Proficient</v>
      </c>
      <c r="Q897" s="174" t="str">
        <f>IFERROR(__xludf.DUMMYFUNCTION("""COMPUTED_VALUE"""),"Unlisted")</f>
        <v>Unlisted</v>
      </c>
      <c r="R897" s="174" t="str">
        <f>IFERROR(__xludf.DUMMYFUNCTION("""COMPUTED_VALUE"""),"Proficient")</f>
        <v>Proficient</v>
      </c>
    </row>
    <row r="898">
      <c r="A898" s="255" t="str">
        <f>IFERROR(__xludf.DUMMYFUNCTION("""COMPUTED_VALUE"""),"Beheeyem")</f>
        <v>Beheeyem</v>
      </c>
      <c r="B898" s="174" t="str">
        <f>IFERROR(__xludf.DUMMYFUNCTION("""COMPUTED_VALUE"""),"Unlisted")</f>
        <v>Unlisted</v>
      </c>
      <c r="C898" s="174" t="str">
        <f>IFERROR(__xludf.DUMMYFUNCTION("""COMPUTED_VALUE"""),"Inept")</f>
        <v>Inept</v>
      </c>
      <c r="D898" s="174" t="str">
        <f>IFERROR(__xludf.DUMMYFUNCTION("""COMPUTED_VALUE"""),"Unlisted")</f>
        <v>Unlisted</v>
      </c>
      <c r="E898" s="174" t="str">
        <f>IFERROR(__xludf.DUMMYFUNCTION("""COMPUTED_VALUE"""),"Unlisted")</f>
        <v>Unlisted</v>
      </c>
      <c r="F898" s="174" t="str">
        <f>IFERROR(__xludf.DUMMYFUNCTION("""COMPUTED_VALUE"""),"Unlisted")</f>
        <v>Unlisted</v>
      </c>
      <c r="G898" s="174" t="str">
        <f>IFERROR(__xludf.DUMMYFUNCTION("""COMPUTED_VALUE"""),"Mastered")</f>
        <v>Mastered</v>
      </c>
      <c r="H898" s="174" t="str">
        <f>IFERROR(__xludf.DUMMYFUNCTION("""COMPUTED_VALUE"""),"Unlisted")</f>
        <v>Unlisted</v>
      </c>
      <c r="I898" s="174" t="str">
        <f>IFERROR(__xludf.DUMMYFUNCTION("""COMPUTED_VALUE"""),"Unlisted")</f>
        <v>Unlisted</v>
      </c>
      <c r="J898" s="174" t="str">
        <f>IFERROR(__xludf.DUMMYFUNCTION("""COMPUTED_VALUE"""),"Unlisted")</f>
        <v>Unlisted</v>
      </c>
      <c r="K898" s="174" t="str">
        <f>IFERROR(__xludf.DUMMYFUNCTION("""COMPUTED_VALUE"""),"Unlisted")</f>
        <v>Unlisted</v>
      </c>
      <c r="L898" s="174" t="str">
        <f>IFERROR(__xludf.DUMMYFUNCTION("""COMPUTED_VALUE"""),"Unlisted")</f>
        <v>Unlisted</v>
      </c>
      <c r="M898" s="174" t="str">
        <f>IFERROR(__xludf.DUMMYFUNCTION("""COMPUTED_VALUE"""),"Proficient")</f>
        <v>Proficient</v>
      </c>
      <c r="N898" s="174" t="str">
        <f>IFERROR(__xludf.DUMMYFUNCTION("""COMPUTED_VALUE"""),"Unlisted")</f>
        <v>Unlisted</v>
      </c>
      <c r="O898" s="174" t="str">
        <f>IFERROR(__xludf.DUMMYFUNCTION("""COMPUTED_VALUE"""),"Unlisted")</f>
        <v>Unlisted</v>
      </c>
      <c r="P898" s="174" t="str">
        <f>IFERROR(__xludf.DUMMYFUNCTION("""COMPUTED_VALUE"""),"Proficient")</f>
        <v>Proficient</v>
      </c>
      <c r="Q898" s="174" t="str">
        <f>IFERROR(__xludf.DUMMYFUNCTION("""COMPUTED_VALUE"""),"Unlisted")</f>
        <v>Unlisted</v>
      </c>
      <c r="R898" s="174" t="str">
        <f>IFERROR(__xludf.DUMMYFUNCTION("""COMPUTED_VALUE"""),"Proficient")</f>
        <v>Proficient</v>
      </c>
    </row>
    <row r="899">
      <c r="A899" s="255" t="str">
        <f>IFERROR(__xludf.DUMMYFUNCTION("""COMPUTED_VALUE"""),"Espurr")</f>
        <v>Espurr</v>
      </c>
      <c r="B899" s="174" t="str">
        <f>IFERROR(__xludf.DUMMYFUNCTION("""COMPUTED_VALUE"""),"Unlisted")</f>
        <v>Unlisted</v>
      </c>
      <c r="C899" s="174" t="str">
        <f>IFERROR(__xludf.DUMMYFUNCTION("""COMPUTED_VALUE"""),"Unlisted")</f>
        <v>Unlisted</v>
      </c>
      <c r="D899" s="174" t="str">
        <f>IFERROR(__xludf.DUMMYFUNCTION("""COMPUTED_VALUE"""),"Unlisted")</f>
        <v>Unlisted</v>
      </c>
      <c r="E899" s="174" t="str">
        <f>IFERROR(__xludf.DUMMYFUNCTION("""COMPUTED_VALUE"""),"Unlisted")</f>
        <v>Unlisted</v>
      </c>
      <c r="F899" s="174" t="str">
        <f>IFERROR(__xludf.DUMMYFUNCTION("""COMPUTED_VALUE"""),"Unlisted")</f>
        <v>Unlisted</v>
      </c>
      <c r="G899" s="174" t="str">
        <f>IFERROR(__xludf.DUMMYFUNCTION("""COMPUTED_VALUE"""),"Mastered")</f>
        <v>Mastered</v>
      </c>
      <c r="H899" s="174" t="str">
        <f>IFERROR(__xludf.DUMMYFUNCTION("""COMPUTED_VALUE"""),"Unlisted")</f>
        <v>Unlisted</v>
      </c>
      <c r="I899" s="174" t="str">
        <f>IFERROR(__xludf.DUMMYFUNCTION("""COMPUTED_VALUE"""),"Unlisted")</f>
        <v>Unlisted</v>
      </c>
      <c r="J899" s="174" t="str">
        <f>IFERROR(__xludf.DUMMYFUNCTION("""COMPUTED_VALUE"""),"Proficient")</f>
        <v>Proficient</v>
      </c>
      <c r="K899" s="174" t="str">
        <f>IFERROR(__xludf.DUMMYFUNCTION("""COMPUTED_VALUE"""),"Proficient")</f>
        <v>Proficient</v>
      </c>
      <c r="L899" s="174" t="str">
        <f>IFERROR(__xludf.DUMMYFUNCTION("""COMPUTED_VALUE"""),"Unlisted")</f>
        <v>Unlisted</v>
      </c>
      <c r="M899" s="174" t="str">
        <f>IFERROR(__xludf.DUMMYFUNCTION("""COMPUTED_VALUE"""),"Unlisted")</f>
        <v>Unlisted</v>
      </c>
      <c r="N899" s="174" t="str">
        <f>IFERROR(__xludf.DUMMYFUNCTION("""COMPUTED_VALUE"""),"Unlisted")</f>
        <v>Unlisted</v>
      </c>
      <c r="O899" s="174" t="str">
        <f>IFERROR(__xludf.DUMMYFUNCTION("""COMPUTED_VALUE"""),"Unlisted")</f>
        <v>Unlisted</v>
      </c>
      <c r="P899" s="174" t="str">
        <f>IFERROR(__xludf.DUMMYFUNCTION("""COMPUTED_VALUE"""),"Unlisted")</f>
        <v>Unlisted</v>
      </c>
      <c r="Q899" s="174" t="str">
        <f>IFERROR(__xludf.DUMMYFUNCTION("""COMPUTED_VALUE"""),"Unlisted")</f>
        <v>Unlisted</v>
      </c>
      <c r="R899" s="174" t="str">
        <f>IFERROR(__xludf.DUMMYFUNCTION("""COMPUTED_VALUE"""),"Unlisted")</f>
        <v>Unlisted</v>
      </c>
    </row>
    <row r="900">
      <c r="A900" s="255" t="str">
        <f>IFERROR(__xludf.DUMMYFUNCTION("""COMPUTED_VALUE"""),"Meowstic Male")</f>
        <v>Meowstic Male</v>
      </c>
      <c r="B900" s="174" t="str">
        <f>IFERROR(__xludf.DUMMYFUNCTION("""COMPUTED_VALUE"""),"Unlisted")</f>
        <v>Unlisted</v>
      </c>
      <c r="C900" s="174" t="str">
        <f>IFERROR(__xludf.DUMMYFUNCTION("""COMPUTED_VALUE"""),"Unlisted")</f>
        <v>Unlisted</v>
      </c>
      <c r="D900" s="174" t="str">
        <f>IFERROR(__xludf.DUMMYFUNCTION("""COMPUTED_VALUE"""),"Unlisted")</f>
        <v>Unlisted</v>
      </c>
      <c r="E900" s="174" t="str">
        <f>IFERROR(__xludf.DUMMYFUNCTION("""COMPUTED_VALUE"""),"Unlisted")</f>
        <v>Unlisted</v>
      </c>
      <c r="F900" s="174" t="str">
        <f>IFERROR(__xludf.DUMMYFUNCTION("""COMPUTED_VALUE"""),"Unlisted")</f>
        <v>Unlisted</v>
      </c>
      <c r="G900" s="174" t="str">
        <f>IFERROR(__xludf.DUMMYFUNCTION("""COMPUTED_VALUE"""),"Mastered")</f>
        <v>Mastered</v>
      </c>
      <c r="H900" s="174" t="str">
        <f>IFERROR(__xludf.DUMMYFUNCTION("""COMPUTED_VALUE"""),"Proficient")</f>
        <v>Proficient</v>
      </c>
      <c r="I900" s="174" t="str">
        <f>IFERROR(__xludf.DUMMYFUNCTION("""COMPUTED_VALUE"""),"Unlisted")</f>
        <v>Unlisted</v>
      </c>
      <c r="J900" s="174" t="str">
        <f>IFERROR(__xludf.DUMMYFUNCTION("""COMPUTED_VALUE"""),"Proficient")</f>
        <v>Proficient</v>
      </c>
      <c r="K900" s="174" t="str">
        <f>IFERROR(__xludf.DUMMYFUNCTION("""COMPUTED_VALUE"""),"Proficient")</f>
        <v>Proficient</v>
      </c>
      <c r="L900" s="174" t="str">
        <f>IFERROR(__xludf.DUMMYFUNCTION("""COMPUTED_VALUE"""),"Unlisted")</f>
        <v>Unlisted</v>
      </c>
      <c r="M900" s="174" t="str">
        <f>IFERROR(__xludf.DUMMYFUNCTION("""COMPUTED_VALUE"""),"Unlisted")</f>
        <v>Unlisted</v>
      </c>
      <c r="N900" s="174" t="str">
        <f>IFERROR(__xludf.DUMMYFUNCTION("""COMPUTED_VALUE"""),"Unlisted")</f>
        <v>Unlisted</v>
      </c>
      <c r="O900" s="174" t="str">
        <f>IFERROR(__xludf.DUMMYFUNCTION("""COMPUTED_VALUE"""),"Unlisted")</f>
        <v>Unlisted</v>
      </c>
      <c r="P900" s="174" t="str">
        <f>IFERROR(__xludf.DUMMYFUNCTION("""COMPUTED_VALUE"""),"Unlisted")</f>
        <v>Unlisted</v>
      </c>
      <c r="Q900" s="174" t="str">
        <f>IFERROR(__xludf.DUMMYFUNCTION("""COMPUTED_VALUE"""),"Unlisted")</f>
        <v>Unlisted</v>
      </c>
      <c r="R900" s="174" t="str">
        <f>IFERROR(__xludf.DUMMYFUNCTION("""COMPUTED_VALUE"""),"Unlisted")</f>
        <v>Unlisted</v>
      </c>
    </row>
    <row r="901">
      <c r="A901" s="255" t="str">
        <f>IFERROR(__xludf.DUMMYFUNCTION("""COMPUTED_VALUE"""),"Meowstic Female")</f>
        <v>Meowstic Female</v>
      </c>
      <c r="B901" s="174" t="str">
        <f>IFERROR(__xludf.DUMMYFUNCTION("""COMPUTED_VALUE"""),"Unlisted")</f>
        <v>Unlisted</v>
      </c>
      <c r="C901" s="174" t="str">
        <f>IFERROR(__xludf.DUMMYFUNCTION("""COMPUTED_VALUE"""),"Unlisted")</f>
        <v>Unlisted</v>
      </c>
      <c r="D901" s="174" t="str">
        <f>IFERROR(__xludf.DUMMYFUNCTION("""COMPUTED_VALUE"""),"Unlisted")</f>
        <v>Unlisted</v>
      </c>
      <c r="E901" s="174" t="str">
        <f>IFERROR(__xludf.DUMMYFUNCTION("""COMPUTED_VALUE"""),"Unlisted")</f>
        <v>Unlisted</v>
      </c>
      <c r="F901" s="174" t="str">
        <f>IFERROR(__xludf.DUMMYFUNCTION("""COMPUTED_VALUE"""),"Proficient")</f>
        <v>Proficient</v>
      </c>
      <c r="G901" s="174" t="str">
        <f>IFERROR(__xludf.DUMMYFUNCTION("""COMPUTED_VALUE"""),"Mastered")</f>
        <v>Mastered</v>
      </c>
      <c r="H901" s="174" t="str">
        <f>IFERROR(__xludf.DUMMYFUNCTION("""COMPUTED_VALUE"""),"Unlisted")</f>
        <v>Unlisted</v>
      </c>
      <c r="I901" s="174" t="str">
        <f>IFERROR(__xludf.DUMMYFUNCTION("""COMPUTED_VALUE"""),"Unlisted")</f>
        <v>Unlisted</v>
      </c>
      <c r="J901" s="174" t="str">
        <f>IFERROR(__xludf.DUMMYFUNCTION("""COMPUTED_VALUE"""),"Proficient")</f>
        <v>Proficient</v>
      </c>
      <c r="K901" s="174" t="str">
        <f>IFERROR(__xludf.DUMMYFUNCTION("""COMPUTED_VALUE"""),"Proficient")</f>
        <v>Proficient</v>
      </c>
      <c r="L901" s="174" t="str">
        <f>IFERROR(__xludf.DUMMYFUNCTION("""COMPUTED_VALUE"""),"Unlisted")</f>
        <v>Unlisted</v>
      </c>
      <c r="M901" s="174" t="str">
        <f>IFERROR(__xludf.DUMMYFUNCTION("""COMPUTED_VALUE"""),"Unlisted")</f>
        <v>Unlisted</v>
      </c>
      <c r="N901" s="174" t="str">
        <f>IFERROR(__xludf.DUMMYFUNCTION("""COMPUTED_VALUE"""),"Unlisted")</f>
        <v>Unlisted</v>
      </c>
      <c r="O901" s="174" t="str">
        <f>IFERROR(__xludf.DUMMYFUNCTION("""COMPUTED_VALUE"""),"Unlisted")</f>
        <v>Unlisted</v>
      </c>
      <c r="P901" s="174" t="str">
        <f>IFERROR(__xludf.DUMMYFUNCTION("""COMPUTED_VALUE"""),"Unlisted")</f>
        <v>Unlisted</v>
      </c>
      <c r="Q901" s="174" t="str">
        <f>IFERROR(__xludf.DUMMYFUNCTION("""COMPUTED_VALUE"""),"Unlisted")</f>
        <v>Unlisted</v>
      </c>
      <c r="R901" s="174" t="str">
        <f>IFERROR(__xludf.DUMMYFUNCTION("""COMPUTED_VALUE"""),"Unlisted")</f>
        <v>Unlisted</v>
      </c>
    </row>
    <row r="902">
      <c r="A902" s="255" t="str">
        <f>IFERROR(__xludf.DUMMYFUNCTION("""COMPUTED_VALUE"""),"Flittle")</f>
        <v>Flittle</v>
      </c>
      <c r="B902" s="174" t="str">
        <f>IFERROR(__xludf.DUMMYFUNCTION("""COMPUTED_VALUE"""),"Proficient")</f>
        <v>Proficient</v>
      </c>
      <c r="C902" s="174" t="str">
        <f>IFERROR(__xludf.DUMMYFUNCTION("""COMPUTED_VALUE"""),"Inept")</f>
        <v>Inept</v>
      </c>
      <c r="D902" s="174" t="str">
        <f>IFERROR(__xludf.DUMMYFUNCTION("""COMPUTED_VALUE"""),"Unlisted")</f>
        <v>Unlisted</v>
      </c>
      <c r="E902" s="174" t="str">
        <f>IFERROR(__xludf.DUMMYFUNCTION("""COMPUTED_VALUE"""),"Unlisted")</f>
        <v>Unlisted</v>
      </c>
      <c r="F902" s="174" t="str">
        <f>IFERROR(__xludf.DUMMYFUNCTION("""COMPUTED_VALUE"""),"Unlisted")</f>
        <v>Unlisted</v>
      </c>
      <c r="G902" s="174" t="str">
        <f>IFERROR(__xludf.DUMMYFUNCTION("""COMPUTED_VALUE"""),"Proficient")</f>
        <v>Proficient</v>
      </c>
      <c r="H902" s="174" t="str">
        <f>IFERROR(__xludf.DUMMYFUNCTION("""COMPUTED_VALUE"""),"Unlisted")</f>
        <v>Unlisted</v>
      </c>
      <c r="I902" s="174" t="str">
        <f>IFERROR(__xludf.DUMMYFUNCTION("""COMPUTED_VALUE"""),"Unlisted")</f>
        <v>Unlisted</v>
      </c>
      <c r="J902" s="174" t="str">
        <f>IFERROR(__xludf.DUMMYFUNCTION("""COMPUTED_VALUE"""),"Unlisted")</f>
        <v>Unlisted</v>
      </c>
      <c r="K902" s="174" t="str">
        <f>IFERROR(__xludf.DUMMYFUNCTION("""COMPUTED_VALUE"""),"proficient")</f>
        <v>proficient</v>
      </c>
      <c r="L902" s="174" t="str">
        <f>IFERROR(__xludf.DUMMYFUNCTION("""COMPUTED_VALUE"""),"Unlisted")</f>
        <v>Unlisted</v>
      </c>
      <c r="M902" s="174" t="str">
        <f>IFERROR(__xludf.DUMMYFUNCTION("""COMPUTED_VALUE"""),"Unlisted")</f>
        <v>Unlisted</v>
      </c>
      <c r="N902" s="174" t="str">
        <f>IFERROR(__xludf.DUMMYFUNCTION("""COMPUTED_VALUE"""),"Unlisted")</f>
        <v>Unlisted</v>
      </c>
      <c r="O902" s="174" t="str">
        <f>IFERROR(__xludf.DUMMYFUNCTION("""COMPUTED_VALUE"""),"Unlisted")</f>
        <v>Unlisted</v>
      </c>
      <c r="P902" s="174" t="str">
        <f>IFERROR(__xludf.DUMMYFUNCTION("""COMPUTED_VALUE"""),"Unlisted")</f>
        <v>Unlisted</v>
      </c>
      <c r="Q902" s="174" t="str">
        <f>IFERROR(__xludf.DUMMYFUNCTION("""COMPUTED_VALUE"""),"Unlisted")</f>
        <v>Unlisted</v>
      </c>
      <c r="R902" s="174" t="str">
        <f>IFERROR(__xludf.DUMMYFUNCTION("""COMPUTED_VALUE"""),"Unlisted")</f>
        <v>Unlisted</v>
      </c>
    </row>
    <row r="903">
      <c r="A903" s="255" t="str">
        <f>IFERROR(__xludf.DUMMYFUNCTION("""COMPUTED_VALUE"""),"Espathra")</f>
        <v>Espathra</v>
      </c>
      <c r="B903" s="174" t="str">
        <f>IFERROR(__xludf.DUMMYFUNCTION("""COMPUTED_VALUE"""),"Proficient")</f>
        <v>Proficient</v>
      </c>
      <c r="C903" s="174" t="str">
        <f>IFERROR(__xludf.DUMMYFUNCTION("""COMPUTED_VALUE"""),"Unlisted")</f>
        <v>Unlisted</v>
      </c>
      <c r="D903" s="174" t="str">
        <f>IFERROR(__xludf.DUMMYFUNCTION("""COMPUTED_VALUE"""),"Unlisted")</f>
        <v>Unlisted</v>
      </c>
      <c r="E903" s="174" t="str">
        <f>IFERROR(__xludf.DUMMYFUNCTION("""COMPUTED_VALUE"""),"Unlisted")</f>
        <v>Unlisted</v>
      </c>
      <c r="F903" s="174" t="str">
        <f>IFERROR(__xludf.DUMMYFUNCTION("""COMPUTED_VALUE"""),"Unlisted")</f>
        <v>Unlisted</v>
      </c>
      <c r="G903" s="174" t="str">
        <f>IFERROR(__xludf.DUMMYFUNCTION("""COMPUTED_VALUE"""),"Proficient")</f>
        <v>Proficient</v>
      </c>
      <c r="H903" s="174" t="str">
        <f>IFERROR(__xludf.DUMMYFUNCTION("""COMPUTED_VALUE"""),"Unlisted")</f>
        <v>Unlisted</v>
      </c>
      <c r="I903" s="174" t="str">
        <f>IFERROR(__xludf.DUMMYFUNCTION("""COMPUTED_VALUE"""),"Unlisted")</f>
        <v>Unlisted</v>
      </c>
      <c r="J903" s="174" t="str">
        <f>IFERROR(__xludf.DUMMYFUNCTION("""COMPUTED_VALUE"""),"Unlisted")</f>
        <v>Unlisted</v>
      </c>
      <c r="K903" s="174" t="str">
        <f>IFERROR(__xludf.DUMMYFUNCTION("""COMPUTED_VALUE"""),"proficient")</f>
        <v>proficient</v>
      </c>
      <c r="L903" s="174" t="str">
        <f>IFERROR(__xludf.DUMMYFUNCTION("""COMPUTED_VALUE"""),"Unlisted")</f>
        <v>Unlisted</v>
      </c>
      <c r="M903" s="174" t="str">
        <f>IFERROR(__xludf.DUMMYFUNCTION("""COMPUTED_VALUE"""),"Unlisted")</f>
        <v>Unlisted</v>
      </c>
      <c r="N903" s="174" t="str">
        <f>IFERROR(__xludf.DUMMYFUNCTION("""COMPUTED_VALUE"""),"Unlisted")</f>
        <v>Unlisted</v>
      </c>
      <c r="O903" s="174" t="str">
        <f>IFERROR(__xludf.DUMMYFUNCTION("""COMPUTED_VALUE"""),"Unlisted")</f>
        <v>Unlisted</v>
      </c>
      <c r="P903" s="174" t="str">
        <f>IFERROR(__xludf.DUMMYFUNCTION("""COMPUTED_VALUE"""),"Unlisted")</f>
        <v>Unlisted</v>
      </c>
      <c r="Q903" s="174" t="str">
        <f>IFERROR(__xludf.DUMMYFUNCTION("""COMPUTED_VALUE"""),"Unlisted")</f>
        <v>Unlisted</v>
      </c>
      <c r="R903" s="174" t="str">
        <f>IFERROR(__xludf.DUMMYFUNCTION("""COMPUTED_VALUE"""),"Unlisted")</f>
        <v>Unlisted</v>
      </c>
    </row>
    <row r="904">
      <c r="A904" s="255" t="str">
        <f>IFERROR(__xludf.DUMMYFUNCTION("""COMPUTED_VALUE"""),"Onix")</f>
        <v>Onix</v>
      </c>
      <c r="B904" s="174" t="str">
        <f>IFERROR(__xludf.DUMMYFUNCTION("""COMPUTED_VALUE"""),"Unlisted")</f>
        <v>Unlisted</v>
      </c>
      <c r="C904" s="174" t="str">
        <f>IFERROR(__xludf.DUMMYFUNCTION("""COMPUTED_VALUE"""),"Proficient")</f>
        <v>Proficient</v>
      </c>
      <c r="D904" s="174" t="str">
        <f>IFERROR(__xludf.DUMMYFUNCTION("""COMPUTED_VALUE"""),"Unlisted")</f>
        <v>Unlisted</v>
      </c>
      <c r="E904" s="174" t="str">
        <f>IFERROR(__xludf.DUMMYFUNCTION("""COMPUTED_VALUE"""),"Unlisted")</f>
        <v>Unlisted</v>
      </c>
      <c r="F904" s="174" t="str">
        <f>IFERROR(__xludf.DUMMYFUNCTION("""COMPUTED_VALUE"""),"Unlisted")</f>
        <v>Unlisted</v>
      </c>
      <c r="G904" s="174" t="str">
        <f>IFERROR(__xludf.DUMMYFUNCTION("""COMPUTED_VALUE"""),"Proficient")</f>
        <v>Proficient</v>
      </c>
      <c r="H904" s="174" t="str">
        <f>IFERROR(__xludf.DUMMYFUNCTION("""COMPUTED_VALUE"""),"Unlisted")</f>
        <v>Unlisted</v>
      </c>
      <c r="I904" s="174" t="str">
        <f>IFERROR(__xludf.DUMMYFUNCTION("""COMPUTED_VALUE"""),"Proficient")</f>
        <v>Proficient</v>
      </c>
      <c r="J904" s="174" t="str">
        <f>IFERROR(__xludf.DUMMYFUNCTION("""COMPUTED_VALUE"""),"Unlisted")</f>
        <v>Unlisted</v>
      </c>
      <c r="K904" s="174" t="str">
        <f>IFERROR(__xludf.DUMMYFUNCTION("""COMPUTED_VALUE"""),"Unlisted")</f>
        <v>Unlisted</v>
      </c>
      <c r="L904" s="174" t="str">
        <f>IFERROR(__xludf.DUMMYFUNCTION("""COMPUTED_VALUE"""),"Unlisted")</f>
        <v>Unlisted</v>
      </c>
      <c r="M904" s="174" t="str">
        <f>IFERROR(__xludf.DUMMYFUNCTION("""COMPUTED_VALUE"""),"Unlisted")</f>
        <v>Unlisted</v>
      </c>
      <c r="N904" s="174" t="str">
        <f>IFERROR(__xludf.DUMMYFUNCTION("""COMPUTED_VALUE"""),"Unlisted")</f>
        <v>Unlisted</v>
      </c>
      <c r="O904" s="174" t="str">
        <f>IFERROR(__xludf.DUMMYFUNCTION("""COMPUTED_VALUE"""),"Unlisted")</f>
        <v>Unlisted</v>
      </c>
      <c r="P904" s="174" t="str">
        <f>IFERROR(__xludf.DUMMYFUNCTION("""COMPUTED_VALUE"""),"Unlisted")</f>
        <v>Unlisted</v>
      </c>
      <c r="Q904" s="174" t="str">
        <f>IFERROR(__xludf.DUMMYFUNCTION("""COMPUTED_VALUE"""),"Unlisted")</f>
        <v>Unlisted</v>
      </c>
      <c r="R904" s="174" t="str">
        <f>IFERROR(__xludf.DUMMYFUNCTION("""COMPUTED_VALUE"""),"Unlisted")</f>
        <v>Unlisted</v>
      </c>
    </row>
    <row r="905">
      <c r="A905" s="255" t="str">
        <f>IFERROR(__xludf.DUMMYFUNCTION("""COMPUTED_VALUE"""),"Steelix")</f>
        <v>Steelix</v>
      </c>
      <c r="B905" s="174" t="str">
        <f>IFERROR(__xludf.DUMMYFUNCTION("""COMPUTED_VALUE"""),"Unlisted")</f>
        <v>Unlisted</v>
      </c>
      <c r="C905" s="174" t="str">
        <f>IFERROR(__xludf.DUMMYFUNCTION("""COMPUTED_VALUE"""),"Proficient")</f>
        <v>Proficient</v>
      </c>
      <c r="D905" s="174" t="str">
        <f>IFERROR(__xludf.DUMMYFUNCTION("""COMPUTED_VALUE"""),"Unlisted")</f>
        <v>Unlisted</v>
      </c>
      <c r="E905" s="174" t="str">
        <f>IFERROR(__xludf.DUMMYFUNCTION("""COMPUTED_VALUE"""),"Unlisted")</f>
        <v>Unlisted</v>
      </c>
      <c r="F905" s="174" t="str">
        <f>IFERROR(__xludf.DUMMYFUNCTION("""COMPUTED_VALUE"""),"Unlisted")</f>
        <v>Unlisted</v>
      </c>
      <c r="G905" s="174" t="str">
        <f>IFERROR(__xludf.DUMMYFUNCTION("""COMPUTED_VALUE"""),"Proficient")</f>
        <v>Proficient</v>
      </c>
      <c r="H905" s="174" t="str">
        <f>IFERROR(__xludf.DUMMYFUNCTION("""COMPUTED_VALUE"""),"Unlisted")</f>
        <v>Unlisted</v>
      </c>
      <c r="I905" s="174" t="str">
        <f>IFERROR(__xludf.DUMMYFUNCTION("""COMPUTED_VALUE"""),"Proficient")</f>
        <v>Proficient</v>
      </c>
      <c r="J905" s="174" t="str">
        <f>IFERROR(__xludf.DUMMYFUNCTION("""COMPUTED_VALUE"""),"Unlisted")</f>
        <v>Unlisted</v>
      </c>
      <c r="K905" s="174" t="str">
        <f>IFERROR(__xludf.DUMMYFUNCTION("""COMPUTED_VALUE"""),"Unlisted")</f>
        <v>Unlisted</v>
      </c>
      <c r="L905" s="174" t="str">
        <f>IFERROR(__xludf.DUMMYFUNCTION("""COMPUTED_VALUE"""),"Unlisted")</f>
        <v>Unlisted</v>
      </c>
      <c r="M905" s="174" t="str">
        <f>IFERROR(__xludf.DUMMYFUNCTION("""COMPUTED_VALUE"""),"Unlisted")</f>
        <v>Unlisted</v>
      </c>
      <c r="N905" s="174" t="str">
        <f>IFERROR(__xludf.DUMMYFUNCTION("""COMPUTED_VALUE"""),"Unlisted")</f>
        <v>Unlisted</v>
      </c>
      <c r="O905" s="174" t="str">
        <f>IFERROR(__xludf.DUMMYFUNCTION("""COMPUTED_VALUE"""),"Unlisted")</f>
        <v>Unlisted</v>
      </c>
      <c r="P905" s="174" t="str">
        <f>IFERROR(__xludf.DUMMYFUNCTION("""COMPUTED_VALUE"""),"Unlisted")</f>
        <v>Unlisted</v>
      </c>
      <c r="Q905" s="174" t="str">
        <f>IFERROR(__xludf.DUMMYFUNCTION("""COMPUTED_VALUE"""),"Unlisted")</f>
        <v>Unlisted</v>
      </c>
      <c r="R905" s="174" t="str">
        <f>IFERROR(__xludf.DUMMYFUNCTION("""COMPUTED_VALUE"""),"Unlisted")</f>
        <v>Unlisted</v>
      </c>
    </row>
    <row r="906">
      <c r="A906" s="255" t="str">
        <f>IFERROR(__xludf.DUMMYFUNCTION("""COMPUTED_VALUE"""),"Omanyte")</f>
        <v>Omanyte</v>
      </c>
      <c r="B906" s="174" t="str">
        <f>IFERROR(__xludf.DUMMYFUNCTION("""COMPUTED_VALUE"""),"Unlisted")</f>
        <v>Unlisted</v>
      </c>
      <c r="C906" s="174" t="str">
        <f>IFERROR(__xludf.DUMMYFUNCTION("""COMPUTED_VALUE"""),"Unlisted")</f>
        <v>Unlisted</v>
      </c>
      <c r="D906" s="174" t="str">
        <f>IFERROR(__xludf.DUMMYFUNCTION("""COMPUTED_VALUE"""),"Unlisted")</f>
        <v>Unlisted</v>
      </c>
      <c r="E906" s="174" t="str">
        <f>IFERROR(__xludf.DUMMYFUNCTION("""COMPUTED_VALUE"""),"Unlisted")</f>
        <v>Unlisted</v>
      </c>
      <c r="F906" s="174" t="str">
        <f>IFERROR(__xludf.DUMMYFUNCTION("""COMPUTED_VALUE"""),"Unlisted")</f>
        <v>Unlisted</v>
      </c>
      <c r="G906" s="174" t="str">
        <f>IFERROR(__xludf.DUMMYFUNCTION("""COMPUTED_VALUE"""),"Proficient")</f>
        <v>Proficient</v>
      </c>
      <c r="H906" s="174" t="str">
        <f>IFERROR(__xludf.DUMMYFUNCTION("""COMPUTED_VALUE"""),"Unlisted")</f>
        <v>Unlisted</v>
      </c>
      <c r="I906" s="174" t="str">
        <f>IFERROR(__xludf.DUMMYFUNCTION("""COMPUTED_VALUE"""),"Unlisted")</f>
        <v>Unlisted</v>
      </c>
      <c r="J906" s="174" t="str">
        <f>IFERROR(__xludf.DUMMYFUNCTION("""COMPUTED_VALUE"""),"Unlisted")</f>
        <v>Unlisted</v>
      </c>
      <c r="K906" s="174" t="str">
        <f>IFERROR(__xludf.DUMMYFUNCTION("""COMPUTED_VALUE"""),"Unlisted")</f>
        <v>Unlisted</v>
      </c>
      <c r="L906" s="174" t="str">
        <f>IFERROR(__xludf.DUMMYFUNCTION("""COMPUTED_VALUE"""),"Unlisted")</f>
        <v>Unlisted</v>
      </c>
      <c r="M906" s="174" t="str">
        <f>IFERROR(__xludf.DUMMYFUNCTION("""COMPUTED_VALUE"""),"Unlisted")</f>
        <v>Unlisted</v>
      </c>
      <c r="N906" s="174" t="str">
        <f>IFERROR(__xludf.DUMMYFUNCTION("""COMPUTED_VALUE"""),"Unlisted")</f>
        <v>Unlisted</v>
      </c>
      <c r="O906" s="174" t="str">
        <f>IFERROR(__xludf.DUMMYFUNCTION("""COMPUTED_VALUE"""),"Proficient")</f>
        <v>Proficient</v>
      </c>
      <c r="P906" s="174" t="str">
        <f>IFERROR(__xludf.DUMMYFUNCTION("""COMPUTED_VALUE"""),"Unlisted")</f>
        <v>Unlisted</v>
      </c>
      <c r="Q906" s="174" t="str">
        <f>IFERROR(__xludf.DUMMYFUNCTION("""COMPUTED_VALUE"""),"Unlisted")</f>
        <v>Unlisted</v>
      </c>
      <c r="R906" s="174" t="str">
        <f>IFERROR(__xludf.DUMMYFUNCTION("""COMPUTED_VALUE"""),"Unlisted")</f>
        <v>Unlisted</v>
      </c>
    </row>
    <row r="907">
      <c r="A907" s="255" t="str">
        <f>IFERROR(__xludf.DUMMYFUNCTION("""COMPUTED_VALUE"""),"Omastar")</f>
        <v>Omastar</v>
      </c>
      <c r="B907" s="174" t="str">
        <f>IFERROR(__xludf.DUMMYFUNCTION("""COMPUTED_VALUE"""),"Unlisted")</f>
        <v>Unlisted</v>
      </c>
      <c r="C907" s="174" t="str">
        <f>IFERROR(__xludf.DUMMYFUNCTION("""COMPUTED_VALUE"""),"Unlisted")</f>
        <v>Unlisted</v>
      </c>
      <c r="D907" s="174" t="str">
        <f>IFERROR(__xludf.DUMMYFUNCTION("""COMPUTED_VALUE"""),"Unlisted")</f>
        <v>Unlisted</v>
      </c>
      <c r="E907" s="174" t="str">
        <f>IFERROR(__xludf.DUMMYFUNCTION("""COMPUTED_VALUE"""),"Unlisted")</f>
        <v>Unlisted</v>
      </c>
      <c r="F907" s="174" t="str">
        <f>IFERROR(__xludf.DUMMYFUNCTION("""COMPUTED_VALUE"""),"Unlisted")</f>
        <v>Unlisted</v>
      </c>
      <c r="G907" s="174" t="str">
        <f>IFERROR(__xludf.DUMMYFUNCTION("""COMPUTED_VALUE"""),"Proficient")</f>
        <v>Proficient</v>
      </c>
      <c r="H907" s="174" t="str">
        <f>IFERROR(__xludf.DUMMYFUNCTION("""COMPUTED_VALUE"""),"Unlisted")</f>
        <v>Unlisted</v>
      </c>
      <c r="I907" s="174" t="str">
        <f>IFERROR(__xludf.DUMMYFUNCTION("""COMPUTED_VALUE"""),"Unlisted")</f>
        <v>Unlisted</v>
      </c>
      <c r="J907" s="174" t="str">
        <f>IFERROR(__xludf.DUMMYFUNCTION("""COMPUTED_VALUE"""),"Unlisted")</f>
        <v>Unlisted</v>
      </c>
      <c r="K907" s="174" t="str">
        <f>IFERROR(__xludf.DUMMYFUNCTION("""COMPUTED_VALUE"""),"Unlisted")</f>
        <v>Unlisted</v>
      </c>
      <c r="L907" s="174" t="str">
        <f>IFERROR(__xludf.DUMMYFUNCTION("""COMPUTED_VALUE"""),"Unlisted")</f>
        <v>Unlisted</v>
      </c>
      <c r="M907" s="174" t="str">
        <f>IFERROR(__xludf.DUMMYFUNCTION("""COMPUTED_VALUE"""),"Unlisted")</f>
        <v>Unlisted</v>
      </c>
      <c r="N907" s="174" t="str">
        <f>IFERROR(__xludf.DUMMYFUNCTION("""COMPUTED_VALUE"""),"Unlisted")</f>
        <v>Unlisted</v>
      </c>
      <c r="O907" s="174" t="str">
        <f>IFERROR(__xludf.DUMMYFUNCTION("""COMPUTED_VALUE"""),"Proficient")</f>
        <v>Proficient</v>
      </c>
      <c r="P907" s="174" t="str">
        <f>IFERROR(__xludf.DUMMYFUNCTION("""COMPUTED_VALUE"""),"Unlisted")</f>
        <v>Unlisted</v>
      </c>
      <c r="Q907" s="174" t="str">
        <f>IFERROR(__xludf.DUMMYFUNCTION("""COMPUTED_VALUE"""),"Unlisted")</f>
        <v>Unlisted</v>
      </c>
      <c r="R907" s="174" t="str">
        <f>IFERROR(__xludf.DUMMYFUNCTION("""COMPUTED_VALUE"""),"Unlisted")</f>
        <v>Unlisted</v>
      </c>
    </row>
    <row r="908">
      <c r="A908" s="255" t="str">
        <f>IFERROR(__xludf.DUMMYFUNCTION("""COMPUTED_VALUE"""),"Kabuto")</f>
        <v>Kabuto</v>
      </c>
      <c r="B908" s="174" t="str">
        <f>IFERROR(__xludf.DUMMYFUNCTION("""COMPUTED_VALUE"""),"Inept")</f>
        <v>Inept</v>
      </c>
      <c r="C908" s="174" t="str">
        <f>IFERROR(__xludf.DUMMYFUNCTION("""COMPUTED_VALUE"""),"Unlisted")</f>
        <v>Unlisted</v>
      </c>
      <c r="D908" s="174" t="str">
        <f>IFERROR(__xludf.DUMMYFUNCTION("""COMPUTED_VALUE"""),"Unlisted")</f>
        <v>Unlisted</v>
      </c>
      <c r="E908" s="174" t="str">
        <f>IFERROR(__xludf.DUMMYFUNCTION("""COMPUTED_VALUE"""),"Unlisted")</f>
        <v>Unlisted</v>
      </c>
      <c r="F908" s="174" t="str">
        <f>IFERROR(__xludf.DUMMYFUNCTION("""COMPUTED_VALUE"""),"Unlisted")</f>
        <v>Unlisted</v>
      </c>
      <c r="G908" s="174" t="str">
        <f>IFERROR(__xludf.DUMMYFUNCTION("""COMPUTED_VALUE"""),"Proficient")</f>
        <v>Proficient</v>
      </c>
      <c r="H908" s="174" t="str">
        <f>IFERROR(__xludf.DUMMYFUNCTION("""COMPUTED_VALUE"""),"Unlisted")</f>
        <v>Unlisted</v>
      </c>
      <c r="I908" s="174" t="str">
        <f>IFERROR(__xludf.DUMMYFUNCTION("""COMPUTED_VALUE"""),"Unlisted")</f>
        <v>Unlisted</v>
      </c>
      <c r="J908" s="174" t="str">
        <f>IFERROR(__xludf.DUMMYFUNCTION("""COMPUTED_VALUE"""),"Unlisted")</f>
        <v>Unlisted</v>
      </c>
      <c r="K908" s="174" t="str">
        <f>IFERROR(__xludf.DUMMYFUNCTION("""COMPUTED_VALUE"""),"Unlisted")</f>
        <v>Unlisted</v>
      </c>
      <c r="L908" s="174" t="str">
        <f>IFERROR(__xludf.DUMMYFUNCTION("""COMPUTED_VALUE"""),"Proficient")</f>
        <v>Proficient</v>
      </c>
      <c r="M908" s="174" t="str">
        <f>IFERROR(__xludf.DUMMYFUNCTION("""COMPUTED_VALUE"""),"Unlisted")</f>
        <v>Unlisted</v>
      </c>
      <c r="N908" s="174" t="str">
        <f>IFERROR(__xludf.DUMMYFUNCTION("""COMPUTED_VALUE"""),"Unlisted")</f>
        <v>Unlisted</v>
      </c>
      <c r="O908" s="174" t="str">
        <f>IFERROR(__xludf.DUMMYFUNCTION("""COMPUTED_VALUE"""),"Unlisted")</f>
        <v>Unlisted</v>
      </c>
      <c r="P908" s="174" t="str">
        <f>IFERROR(__xludf.DUMMYFUNCTION("""COMPUTED_VALUE"""),"Unlisted")</f>
        <v>Unlisted</v>
      </c>
      <c r="Q908" s="174" t="str">
        <f>IFERROR(__xludf.DUMMYFUNCTION("""COMPUTED_VALUE"""),"Unlisted")</f>
        <v>Unlisted</v>
      </c>
      <c r="R908" s="174" t="str">
        <f>IFERROR(__xludf.DUMMYFUNCTION("""COMPUTED_VALUE"""),"Unlisted")</f>
        <v>Unlisted</v>
      </c>
    </row>
    <row r="909">
      <c r="A909" s="255" t="str">
        <f>IFERROR(__xludf.DUMMYFUNCTION("""COMPUTED_VALUE"""),"Kabutops")</f>
        <v>Kabutops</v>
      </c>
      <c r="B909" s="174" t="str">
        <f>IFERROR(__xludf.DUMMYFUNCTION("""COMPUTED_VALUE"""),"Unlisted")</f>
        <v>Unlisted</v>
      </c>
      <c r="C909" s="174" t="str">
        <f>IFERROR(__xludf.DUMMYFUNCTION("""COMPUTED_VALUE"""),"Unlisted")</f>
        <v>Unlisted</v>
      </c>
      <c r="D909" s="174" t="str">
        <f>IFERROR(__xludf.DUMMYFUNCTION("""COMPUTED_VALUE"""),"Unlisted")</f>
        <v>Unlisted</v>
      </c>
      <c r="E909" s="174" t="str">
        <f>IFERROR(__xludf.DUMMYFUNCTION("""COMPUTED_VALUE"""),"Unlisted")</f>
        <v>Unlisted</v>
      </c>
      <c r="F909" s="174" t="str">
        <f>IFERROR(__xludf.DUMMYFUNCTION("""COMPUTED_VALUE"""),"Unlisted")</f>
        <v>Unlisted</v>
      </c>
      <c r="G909" s="174" t="str">
        <f>IFERROR(__xludf.DUMMYFUNCTION("""COMPUTED_VALUE"""),"Proficient")</f>
        <v>Proficient</v>
      </c>
      <c r="H909" s="174" t="str">
        <f>IFERROR(__xludf.DUMMYFUNCTION("""COMPUTED_VALUE"""),"Unlisted")</f>
        <v>Unlisted</v>
      </c>
      <c r="I909" s="174" t="str">
        <f>IFERROR(__xludf.DUMMYFUNCTION("""COMPUTED_VALUE"""),"Unlisted")</f>
        <v>Unlisted</v>
      </c>
      <c r="J909" s="174" t="str">
        <f>IFERROR(__xludf.DUMMYFUNCTION("""COMPUTED_VALUE"""),"Unlisted")</f>
        <v>Unlisted</v>
      </c>
      <c r="K909" s="174" t="str">
        <f>IFERROR(__xludf.DUMMYFUNCTION("""COMPUTED_VALUE"""),"Unlisted")</f>
        <v>Unlisted</v>
      </c>
      <c r="L909" s="174" t="str">
        <f>IFERROR(__xludf.DUMMYFUNCTION("""COMPUTED_VALUE"""),"Proficient")</f>
        <v>Proficient</v>
      </c>
      <c r="M909" s="174" t="str">
        <f>IFERROR(__xludf.DUMMYFUNCTION("""COMPUTED_VALUE"""),"Unlisted")</f>
        <v>Unlisted</v>
      </c>
      <c r="N909" s="174" t="str">
        <f>IFERROR(__xludf.DUMMYFUNCTION("""COMPUTED_VALUE"""),"Unlisted")</f>
        <v>Unlisted</v>
      </c>
      <c r="O909" s="174" t="str">
        <f>IFERROR(__xludf.DUMMYFUNCTION("""COMPUTED_VALUE"""),"Unlisted")</f>
        <v>Unlisted</v>
      </c>
      <c r="P909" s="174" t="str">
        <f>IFERROR(__xludf.DUMMYFUNCTION("""COMPUTED_VALUE"""),"Unlisted")</f>
        <v>Unlisted</v>
      </c>
      <c r="Q909" s="174" t="str">
        <f>IFERROR(__xludf.DUMMYFUNCTION("""COMPUTED_VALUE"""),"Unlisted")</f>
        <v>Unlisted</v>
      </c>
      <c r="R909" s="174" t="str">
        <f>IFERROR(__xludf.DUMMYFUNCTION("""COMPUTED_VALUE"""),"Unlisted")</f>
        <v>Unlisted</v>
      </c>
    </row>
    <row r="910">
      <c r="A910" s="255" t="str">
        <f>IFERROR(__xludf.DUMMYFUNCTION("""COMPUTED_VALUE"""),"Nosepass")</f>
        <v>Nosepass</v>
      </c>
      <c r="B910" s="174" t="str">
        <f>IFERROR(__xludf.DUMMYFUNCTION("""COMPUTED_VALUE"""),"Inept")</f>
        <v>Inept</v>
      </c>
      <c r="C910" s="174" t="str">
        <f>IFERROR(__xludf.DUMMYFUNCTION("""COMPUTED_VALUE"""),"Proficient")</f>
        <v>Proficient</v>
      </c>
      <c r="D910" s="174" t="str">
        <f>IFERROR(__xludf.DUMMYFUNCTION("""COMPUTED_VALUE"""),"Unlisted")</f>
        <v>Unlisted</v>
      </c>
      <c r="E910" s="174" t="str">
        <f>IFERROR(__xludf.DUMMYFUNCTION("""COMPUTED_VALUE"""),"Unlisted")</f>
        <v>Unlisted</v>
      </c>
      <c r="F910" s="174" t="str">
        <f>IFERROR(__xludf.DUMMYFUNCTION("""COMPUTED_VALUE"""),"Unlisted")</f>
        <v>Unlisted</v>
      </c>
      <c r="G910" s="174" t="str">
        <f>IFERROR(__xludf.DUMMYFUNCTION("""COMPUTED_VALUE"""),"Proficient")</f>
        <v>Proficient</v>
      </c>
      <c r="H910" s="174" t="str">
        <f>IFERROR(__xludf.DUMMYFUNCTION("""COMPUTED_VALUE"""),"Unlisted")</f>
        <v>Unlisted</v>
      </c>
      <c r="I910" s="174" t="str">
        <f>IFERROR(__xludf.DUMMYFUNCTION("""COMPUTED_VALUE"""),"Unlisted")</f>
        <v>Unlisted</v>
      </c>
      <c r="J910" s="174" t="str">
        <f>IFERROR(__xludf.DUMMYFUNCTION("""COMPUTED_VALUE"""),"Unlisted")</f>
        <v>Unlisted</v>
      </c>
      <c r="K910" s="174" t="str">
        <f>IFERROR(__xludf.DUMMYFUNCTION("""COMPUTED_VALUE"""),"Unlisted")</f>
        <v>Unlisted</v>
      </c>
      <c r="L910" s="174" t="str">
        <f>IFERROR(__xludf.DUMMYFUNCTION("""COMPUTED_VALUE"""),"Unlisted")</f>
        <v>Unlisted</v>
      </c>
      <c r="M910" s="174" t="str">
        <f>IFERROR(__xludf.DUMMYFUNCTION("""COMPUTED_VALUE"""),"Unlisted")</f>
        <v>Unlisted</v>
      </c>
      <c r="N910" s="174" t="str">
        <f>IFERROR(__xludf.DUMMYFUNCTION("""COMPUTED_VALUE"""),"Unlisted")</f>
        <v>Unlisted</v>
      </c>
      <c r="O910" s="174" t="str">
        <f>IFERROR(__xludf.DUMMYFUNCTION("""COMPUTED_VALUE"""),"Unlisted")</f>
        <v>Unlisted</v>
      </c>
      <c r="P910" s="174" t="str">
        <f>IFERROR(__xludf.DUMMYFUNCTION("""COMPUTED_VALUE"""),"Unlisted")</f>
        <v>Unlisted</v>
      </c>
      <c r="Q910" s="174" t="str">
        <f>IFERROR(__xludf.DUMMYFUNCTION("""COMPUTED_VALUE"""),"Unlisted")</f>
        <v>Unlisted</v>
      </c>
      <c r="R910" s="174" t="str">
        <f>IFERROR(__xludf.DUMMYFUNCTION("""COMPUTED_VALUE"""),"Unlisted")</f>
        <v>Unlisted</v>
      </c>
    </row>
    <row r="911">
      <c r="A911" s="255" t="str">
        <f>IFERROR(__xludf.DUMMYFUNCTION("""COMPUTED_VALUE"""),"Probopass")</f>
        <v>Probopass</v>
      </c>
      <c r="B911" s="174" t="str">
        <f>IFERROR(__xludf.DUMMYFUNCTION("""COMPUTED_VALUE"""),"Inept")</f>
        <v>Inept</v>
      </c>
      <c r="C911" s="174" t="str">
        <f>IFERROR(__xludf.DUMMYFUNCTION("""COMPUTED_VALUE"""),"Proficient")</f>
        <v>Proficient</v>
      </c>
      <c r="D911" s="174" t="str">
        <f>IFERROR(__xludf.DUMMYFUNCTION("""COMPUTED_VALUE"""),"Unlisted")</f>
        <v>Unlisted</v>
      </c>
      <c r="E911" s="174" t="str">
        <f>IFERROR(__xludf.DUMMYFUNCTION("""COMPUTED_VALUE"""),"Unlisted")</f>
        <v>Unlisted</v>
      </c>
      <c r="F911" s="174" t="str">
        <f>IFERROR(__xludf.DUMMYFUNCTION("""COMPUTED_VALUE"""),"Unlisted")</f>
        <v>Unlisted</v>
      </c>
      <c r="G911" s="174" t="str">
        <f>IFERROR(__xludf.DUMMYFUNCTION("""COMPUTED_VALUE"""),"Proficient")</f>
        <v>Proficient</v>
      </c>
      <c r="H911" s="174" t="str">
        <f>IFERROR(__xludf.DUMMYFUNCTION("""COMPUTED_VALUE"""),"Unlisted")</f>
        <v>Unlisted</v>
      </c>
      <c r="I911" s="174" t="str">
        <f>IFERROR(__xludf.DUMMYFUNCTION("""COMPUTED_VALUE"""),"Unlisted")</f>
        <v>Unlisted</v>
      </c>
      <c r="J911" s="174" t="str">
        <f>IFERROR(__xludf.DUMMYFUNCTION("""COMPUTED_VALUE"""),"Unlisted")</f>
        <v>Unlisted</v>
      </c>
      <c r="K911" s="174" t="str">
        <f>IFERROR(__xludf.DUMMYFUNCTION("""COMPUTED_VALUE"""),"Unlisted")</f>
        <v>Unlisted</v>
      </c>
      <c r="L911" s="174" t="str">
        <f>IFERROR(__xludf.DUMMYFUNCTION("""COMPUTED_VALUE"""),"Unlisted")</f>
        <v>Unlisted</v>
      </c>
      <c r="M911" s="174" t="str">
        <f>IFERROR(__xludf.DUMMYFUNCTION("""COMPUTED_VALUE"""),"Unlisted")</f>
        <v>Unlisted</v>
      </c>
      <c r="N911" s="174" t="str">
        <f>IFERROR(__xludf.DUMMYFUNCTION("""COMPUTED_VALUE"""),"Unlisted")</f>
        <v>Unlisted</v>
      </c>
      <c r="O911" s="174" t="str">
        <f>IFERROR(__xludf.DUMMYFUNCTION("""COMPUTED_VALUE"""),"Unlisted")</f>
        <v>Unlisted</v>
      </c>
      <c r="P911" s="174" t="str">
        <f>IFERROR(__xludf.DUMMYFUNCTION("""COMPUTED_VALUE"""),"Unlisted")</f>
        <v>Unlisted</v>
      </c>
      <c r="Q911" s="174" t="str">
        <f>IFERROR(__xludf.DUMMYFUNCTION("""COMPUTED_VALUE"""),"Unlisted")</f>
        <v>Unlisted</v>
      </c>
      <c r="R911" s="174" t="str">
        <f>IFERROR(__xludf.DUMMYFUNCTION("""COMPUTED_VALUE"""),"Unlisted")</f>
        <v>Unlisted</v>
      </c>
    </row>
    <row r="912">
      <c r="A912" s="255" t="str">
        <f>IFERROR(__xludf.DUMMYFUNCTION("""COMPUTED_VALUE"""),"Lileep")</f>
        <v>Lileep</v>
      </c>
      <c r="B912" s="174" t="str">
        <f>IFERROR(__xludf.DUMMYFUNCTION("""COMPUTED_VALUE"""),"Inept")</f>
        <v>Inept</v>
      </c>
      <c r="C912" s="174" t="str">
        <f>IFERROR(__xludf.DUMMYFUNCTION("""COMPUTED_VALUE"""),"Unlisted")</f>
        <v>Unlisted</v>
      </c>
      <c r="D912" s="174" t="str">
        <f>IFERROR(__xludf.DUMMYFUNCTION("""COMPUTED_VALUE"""),"Unlisted")</f>
        <v>Unlisted</v>
      </c>
      <c r="E912" s="174" t="str">
        <f>IFERROR(__xludf.DUMMYFUNCTION("""COMPUTED_VALUE"""),"Unlisted")</f>
        <v>Unlisted</v>
      </c>
      <c r="F912" s="174" t="str">
        <f>IFERROR(__xludf.DUMMYFUNCTION("""COMPUTED_VALUE"""),"Unlisted")</f>
        <v>Unlisted</v>
      </c>
      <c r="G912" s="174" t="str">
        <f>IFERROR(__xludf.DUMMYFUNCTION("""COMPUTED_VALUE"""),"Proficient")</f>
        <v>Proficient</v>
      </c>
      <c r="H912" s="174" t="str">
        <f>IFERROR(__xludf.DUMMYFUNCTION("""COMPUTED_VALUE"""),"Unlisted")</f>
        <v>Unlisted</v>
      </c>
      <c r="I912" s="174" t="str">
        <f>IFERROR(__xludf.DUMMYFUNCTION("""COMPUTED_VALUE"""),"Unlisted")</f>
        <v>Unlisted</v>
      </c>
      <c r="J912" s="174" t="str">
        <f>IFERROR(__xludf.DUMMYFUNCTION("""COMPUTED_VALUE"""),"Proficient")</f>
        <v>Proficient</v>
      </c>
      <c r="K912" s="174" t="str">
        <f>IFERROR(__xludf.DUMMYFUNCTION("""COMPUTED_VALUE"""),"Unlisted")</f>
        <v>Unlisted</v>
      </c>
      <c r="L912" s="174" t="str">
        <f>IFERROR(__xludf.DUMMYFUNCTION("""COMPUTED_VALUE"""),"Unlisted")</f>
        <v>Unlisted</v>
      </c>
      <c r="M912" s="174" t="str">
        <f>IFERROR(__xludf.DUMMYFUNCTION("""COMPUTED_VALUE"""),"Unlisted")</f>
        <v>Unlisted</v>
      </c>
      <c r="N912" s="174" t="str">
        <f>IFERROR(__xludf.DUMMYFUNCTION("""COMPUTED_VALUE"""),"Unlisted")</f>
        <v>Unlisted</v>
      </c>
      <c r="O912" s="174" t="str">
        <f>IFERROR(__xludf.DUMMYFUNCTION("""COMPUTED_VALUE"""),"Unlisted")</f>
        <v>Unlisted</v>
      </c>
      <c r="P912" s="174" t="str">
        <f>IFERROR(__xludf.DUMMYFUNCTION("""COMPUTED_VALUE"""),"Unlisted")</f>
        <v>Unlisted</v>
      </c>
      <c r="Q912" s="174" t="str">
        <f>IFERROR(__xludf.DUMMYFUNCTION("""COMPUTED_VALUE"""),"Unlisted")</f>
        <v>Unlisted</v>
      </c>
      <c r="R912" s="174" t="str">
        <f>IFERROR(__xludf.DUMMYFUNCTION("""COMPUTED_VALUE"""),"Unlisted")</f>
        <v>Unlisted</v>
      </c>
    </row>
    <row r="913">
      <c r="A913" s="255" t="str">
        <f>IFERROR(__xludf.DUMMYFUNCTION("""COMPUTED_VALUE"""),"Cradily")</f>
        <v>Cradily</v>
      </c>
      <c r="B913" s="174" t="str">
        <f>IFERROR(__xludf.DUMMYFUNCTION("""COMPUTED_VALUE"""),"Inept")</f>
        <v>Inept</v>
      </c>
      <c r="C913" s="174" t="str">
        <f>IFERROR(__xludf.DUMMYFUNCTION("""COMPUTED_VALUE"""),"Unlisted")</f>
        <v>Unlisted</v>
      </c>
      <c r="D913" s="174" t="str">
        <f>IFERROR(__xludf.DUMMYFUNCTION("""COMPUTED_VALUE"""),"Unlisted")</f>
        <v>Unlisted</v>
      </c>
      <c r="E913" s="174" t="str">
        <f>IFERROR(__xludf.DUMMYFUNCTION("""COMPUTED_VALUE"""),"Unlisted")</f>
        <v>Unlisted</v>
      </c>
      <c r="F913" s="174" t="str">
        <f>IFERROR(__xludf.DUMMYFUNCTION("""COMPUTED_VALUE"""),"Unlisted")</f>
        <v>Unlisted</v>
      </c>
      <c r="G913" s="174" t="str">
        <f>IFERROR(__xludf.DUMMYFUNCTION("""COMPUTED_VALUE"""),"Proficient")</f>
        <v>Proficient</v>
      </c>
      <c r="H913" s="174" t="str">
        <f>IFERROR(__xludf.DUMMYFUNCTION("""COMPUTED_VALUE"""),"Unlisted")</f>
        <v>Unlisted</v>
      </c>
      <c r="I913" s="174" t="str">
        <f>IFERROR(__xludf.DUMMYFUNCTION("""COMPUTED_VALUE"""),"Unlisted")</f>
        <v>Unlisted</v>
      </c>
      <c r="J913" s="174" t="str">
        <f>IFERROR(__xludf.DUMMYFUNCTION("""COMPUTED_VALUE"""),"Proficient")</f>
        <v>Proficient</v>
      </c>
      <c r="K913" s="174" t="str">
        <f>IFERROR(__xludf.DUMMYFUNCTION("""COMPUTED_VALUE"""),"Unlisted")</f>
        <v>Unlisted</v>
      </c>
      <c r="L913" s="174" t="str">
        <f>IFERROR(__xludf.DUMMYFUNCTION("""COMPUTED_VALUE"""),"Unlisted")</f>
        <v>Unlisted</v>
      </c>
      <c r="M913" s="174" t="str">
        <f>IFERROR(__xludf.DUMMYFUNCTION("""COMPUTED_VALUE"""),"Unlisted")</f>
        <v>Unlisted</v>
      </c>
      <c r="N913" s="174" t="str">
        <f>IFERROR(__xludf.DUMMYFUNCTION("""COMPUTED_VALUE"""),"Unlisted")</f>
        <v>Unlisted</v>
      </c>
      <c r="O913" s="174" t="str">
        <f>IFERROR(__xludf.DUMMYFUNCTION("""COMPUTED_VALUE"""),"Unlisted")</f>
        <v>Unlisted</v>
      </c>
      <c r="P913" s="174" t="str">
        <f>IFERROR(__xludf.DUMMYFUNCTION("""COMPUTED_VALUE"""),"Unlisted")</f>
        <v>Unlisted</v>
      </c>
      <c r="Q913" s="174" t="str">
        <f>IFERROR(__xludf.DUMMYFUNCTION("""COMPUTED_VALUE"""),"Unlisted")</f>
        <v>Unlisted</v>
      </c>
      <c r="R913" s="174" t="str">
        <f>IFERROR(__xludf.DUMMYFUNCTION("""COMPUTED_VALUE"""),"Unlisted")</f>
        <v>Unlisted</v>
      </c>
    </row>
    <row r="914">
      <c r="A914" s="255" t="str">
        <f>IFERROR(__xludf.DUMMYFUNCTION("""COMPUTED_VALUE"""),"Anorith")</f>
        <v>Anorith</v>
      </c>
      <c r="B914" s="174" t="str">
        <f>IFERROR(__xludf.DUMMYFUNCTION("""COMPUTED_VALUE"""),"Unlisted")</f>
        <v>Unlisted</v>
      </c>
      <c r="C914" s="174" t="str">
        <f>IFERROR(__xludf.DUMMYFUNCTION("""COMPUTED_VALUE"""),"Proficient")</f>
        <v>Proficient</v>
      </c>
      <c r="D914" s="174" t="str">
        <f>IFERROR(__xludf.DUMMYFUNCTION("""COMPUTED_VALUE"""),"Unlisted")</f>
        <v>Unlisted</v>
      </c>
      <c r="E914" s="174" t="str">
        <f>IFERROR(__xludf.DUMMYFUNCTION("""COMPUTED_VALUE"""),"Proficient")</f>
        <v>Proficient</v>
      </c>
      <c r="F914" s="174" t="str">
        <f>IFERROR(__xludf.DUMMYFUNCTION("""COMPUTED_VALUE"""),"Unlisted")</f>
        <v>Unlisted</v>
      </c>
      <c r="G914" s="174" t="str">
        <f>IFERROR(__xludf.DUMMYFUNCTION("""COMPUTED_VALUE"""),"Mastered")</f>
        <v>Mastered</v>
      </c>
      <c r="H914" s="174" t="str">
        <f>IFERROR(__xludf.DUMMYFUNCTION("""COMPUTED_VALUE"""),"Unlisted")</f>
        <v>Unlisted</v>
      </c>
      <c r="I914" s="174" t="str">
        <f>IFERROR(__xludf.DUMMYFUNCTION("""COMPUTED_VALUE"""),"Unlisted")</f>
        <v>Unlisted</v>
      </c>
      <c r="J914" s="174" t="str">
        <f>IFERROR(__xludf.DUMMYFUNCTION("""COMPUTED_VALUE"""),"Unlisted")</f>
        <v>Unlisted</v>
      </c>
      <c r="K914" s="174" t="str">
        <f>IFERROR(__xludf.DUMMYFUNCTION("""COMPUTED_VALUE"""),"Unlisted")</f>
        <v>Unlisted</v>
      </c>
      <c r="L914" s="174" t="str">
        <f>IFERROR(__xludf.DUMMYFUNCTION("""COMPUTED_VALUE"""),"Unlisted")</f>
        <v>Unlisted</v>
      </c>
      <c r="M914" s="174" t="str">
        <f>IFERROR(__xludf.DUMMYFUNCTION("""COMPUTED_VALUE"""),"Unlisted")</f>
        <v>Unlisted</v>
      </c>
      <c r="N914" s="174" t="str">
        <f>IFERROR(__xludf.DUMMYFUNCTION("""COMPUTED_VALUE"""),"Unlisted")</f>
        <v>Unlisted</v>
      </c>
      <c r="O914" s="174" t="str">
        <f>IFERROR(__xludf.DUMMYFUNCTION("""COMPUTED_VALUE"""),"Unlisted")</f>
        <v>Unlisted</v>
      </c>
      <c r="P914" s="174" t="str">
        <f>IFERROR(__xludf.DUMMYFUNCTION("""COMPUTED_VALUE"""),"Unlisted")</f>
        <v>Unlisted</v>
      </c>
      <c r="Q914" s="174" t="str">
        <f>IFERROR(__xludf.DUMMYFUNCTION("""COMPUTED_VALUE"""),"Unlisted")</f>
        <v>Unlisted</v>
      </c>
      <c r="R914" s="174" t="str">
        <f>IFERROR(__xludf.DUMMYFUNCTION("""COMPUTED_VALUE"""),"Unlisted")</f>
        <v>Unlisted</v>
      </c>
    </row>
    <row r="915">
      <c r="A915" s="255" t="str">
        <f>IFERROR(__xludf.DUMMYFUNCTION("""COMPUTED_VALUE"""),"Armaldo")</f>
        <v>Armaldo</v>
      </c>
      <c r="B915" s="174" t="str">
        <f>IFERROR(__xludf.DUMMYFUNCTION("""COMPUTED_VALUE"""),"Unlisted")</f>
        <v>Unlisted</v>
      </c>
      <c r="C915" s="174" t="str">
        <f>IFERROR(__xludf.DUMMYFUNCTION("""COMPUTED_VALUE"""),"Proficient")</f>
        <v>Proficient</v>
      </c>
      <c r="D915" s="174" t="str">
        <f>IFERROR(__xludf.DUMMYFUNCTION("""COMPUTED_VALUE"""),"Unlisted")</f>
        <v>Unlisted</v>
      </c>
      <c r="E915" s="174" t="str">
        <f>IFERROR(__xludf.DUMMYFUNCTION("""COMPUTED_VALUE"""),"Proficient")</f>
        <v>Proficient</v>
      </c>
      <c r="F915" s="174" t="str">
        <f>IFERROR(__xludf.DUMMYFUNCTION("""COMPUTED_VALUE"""),"Unlisted")</f>
        <v>Unlisted</v>
      </c>
      <c r="G915" s="174" t="str">
        <f>IFERROR(__xludf.DUMMYFUNCTION("""COMPUTED_VALUE"""),"Mastered")</f>
        <v>Mastered</v>
      </c>
      <c r="H915" s="174" t="str">
        <f>IFERROR(__xludf.DUMMYFUNCTION("""COMPUTED_VALUE"""),"Unlisted")</f>
        <v>Unlisted</v>
      </c>
      <c r="I915" s="174" t="str">
        <f>IFERROR(__xludf.DUMMYFUNCTION("""COMPUTED_VALUE"""),"Unlisted")</f>
        <v>Unlisted</v>
      </c>
      <c r="J915" s="174" t="str">
        <f>IFERROR(__xludf.DUMMYFUNCTION("""COMPUTED_VALUE"""),"Unlisted")</f>
        <v>Unlisted</v>
      </c>
      <c r="K915" s="174" t="str">
        <f>IFERROR(__xludf.DUMMYFUNCTION("""COMPUTED_VALUE"""),"Unlisted")</f>
        <v>Unlisted</v>
      </c>
      <c r="L915" s="174" t="str">
        <f>IFERROR(__xludf.DUMMYFUNCTION("""COMPUTED_VALUE"""),"Unlisted")</f>
        <v>Unlisted</v>
      </c>
      <c r="M915" s="174" t="str">
        <f>IFERROR(__xludf.DUMMYFUNCTION("""COMPUTED_VALUE"""),"Unlisted")</f>
        <v>Unlisted</v>
      </c>
      <c r="N915" s="174" t="str">
        <f>IFERROR(__xludf.DUMMYFUNCTION("""COMPUTED_VALUE"""),"Unlisted")</f>
        <v>Unlisted</v>
      </c>
      <c r="O915" s="174" t="str">
        <f>IFERROR(__xludf.DUMMYFUNCTION("""COMPUTED_VALUE"""),"Unlisted")</f>
        <v>Unlisted</v>
      </c>
      <c r="P915" s="174" t="str">
        <f>IFERROR(__xludf.DUMMYFUNCTION("""COMPUTED_VALUE"""),"Unlisted")</f>
        <v>Unlisted</v>
      </c>
      <c r="Q915" s="174" t="str">
        <f>IFERROR(__xludf.DUMMYFUNCTION("""COMPUTED_VALUE"""),"Unlisted")</f>
        <v>Unlisted</v>
      </c>
      <c r="R915" s="174" t="str">
        <f>IFERROR(__xludf.DUMMYFUNCTION("""COMPUTED_VALUE"""),"Unlisted")</f>
        <v>Unlisted</v>
      </c>
    </row>
    <row r="916">
      <c r="A916" s="255" t="str">
        <f>IFERROR(__xludf.DUMMYFUNCTION("""COMPUTED_VALUE"""),"Cranidos")</f>
        <v>Cranidos</v>
      </c>
      <c r="B916" s="174" t="str">
        <f>IFERROR(__xludf.DUMMYFUNCTION("""COMPUTED_VALUE"""),"Unlisted")</f>
        <v>Unlisted</v>
      </c>
      <c r="C916" s="174" t="str">
        <f>IFERROR(__xludf.DUMMYFUNCTION("""COMPUTED_VALUE"""),"Proficient")</f>
        <v>Proficient</v>
      </c>
      <c r="D916" s="174" t="str">
        <f>IFERROR(__xludf.DUMMYFUNCTION("""COMPUTED_VALUE"""),"Unlisted")</f>
        <v>Unlisted</v>
      </c>
      <c r="E916" s="174" t="str">
        <f>IFERROR(__xludf.DUMMYFUNCTION("""COMPUTED_VALUE"""),"Proficient")</f>
        <v>Proficient</v>
      </c>
      <c r="F916" s="174" t="str">
        <f>IFERROR(__xludf.DUMMYFUNCTION("""COMPUTED_VALUE"""),"Unlisted")</f>
        <v>Unlisted</v>
      </c>
      <c r="G916" s="174" t="str">
        <f>IFERROR(__xludf.DUMMYFUNCTION("""COMPUTED_VALUE"""),"Unlisted")</f>
        <v>Unlisted</v>
      </c>
      <c r="H916" s="174" t="str">
        <f>IFERROR(__xludf.DUMMYFUNCTION("""COMPUTED_VALUE"""),"Unlisted")</f>
        <v>Unlisted</v>
      </c>
      <c r="I916" s="174" t="str">
        <f>IFERROR(__xludf.DUMMYFUNCTION("""COMPUTED_VALUE"""),"Unlisted")</f>
        <v>Unlisted</v>
      </c>
      <c r="J916" s="174" t="str">
        <f>IFERROR(__xludf.DUMMYFUNCTION("""COMPUTED_VALUE"""),"Unlisted")</f>
        <v>Unlisted</v>
      </c>
      <c r="K916" s="174" t="str">
        <f>IFERROR(__xludf.DUMMYFUNCTION("""COMPUTED_VALUE"""),"Unlisted")</f>
        <v>Unlisted</v>
      </c>
      <c r="L916" s="174" t="str">
        <f>IFERROR(__xludf.DUMMYFUNCTION("""COMPUTED_VALUE"""),"Unlisted")</f>
        <v>Unlisted</v>
      </c>
      <c r="M916" s="174" t="str">
        <f>IFERROR(__xludf.DUMMYFUNCTION("""COMPUTED_VALUE"""),"Unlisted")</f>
        <v>Unlisted</v>
      </c>
      <c r="N916" s="174" t="str">
        <f>IFERROR(__xludf.DUMMYFUNCTION("""COMPUTED_VALUE"""),"Unlisted")</f>
        <v>Unlisted</v>
      </c>
      <c r="O916" s="174" t="str">
        <f>IFERROR(__xludf.DUMMYFUNCTION("""COMPUTED_VALUE"""),"Proficient")</f>
        <v>Proficient</v>
      </c>
      <c r="P916" s="174" t="str">
        <f>IFERROR(__xludf.DUMMYFUNCTION("""COMPUTED_VALUE"""),"Unlisted")</f>
        <v>Unlisted</v>
      </c>
      <c r="Q916" s="174" t="str">
        <f>IFERROR(__xludf.DUMMYFUNCTION("""COMPUTED_VALUE"""),"Unlisted")</f>
        <v>Unlisted</v>
      </c>
      <c r="R916" s="174" t="str">
        <f>IFERROR(__xludf.DUMMYFUNCTION("""COMPUTED_VALUE"""),"Unlisted")</f>
        <v>Unlisted</v>
      </c>
    </row>
    <row r="917">
      <c r="A917" s="255" t="str">
        <f>IFERROR(__xludf.DUMMYFUNCTION("""COMPUTED_VALUE"""),"Rampardos")</f>
        <v>Rampardos</v>
      </c>
      <c r="B917" s="174" t="str">
        <f>IFERROR(__xludf.DUMMYFUNCTION("""COMPUTED_VALUE"""),"Unlisted")</f>
        <v>Unlisted</v>
      </c>
      <c r="C917" s="174" t="str">
        <f>IFERROR(__xludf.DUMMYFUNCTION("""COMPUTED_VALUE"""),"Proficient")</f>
        <v>Proficient</v>
      </c>
      <c r="D917" s="174" t="str">
        <f>IFERROR(__xludf.DUMMYFUNCTION("""COMPUTED_VALUE"""),"Unlisted")</f>
        <v>Unlisted</v>
      </c>
      <c r="E917" s="174" t="str">
        <f>IFERROR(__xludf.DUMMYFUNCTION("""COMPUTED_VALUE"""),"Proficient")</f>
        <v>Proficient</v>
      </c>
      <c r="F917" s="174" t="str">
        <f>IFERROR(__xludf.DUMMYFUNCTION("""COMPUTED_VALUE"""),"Unlisted")</f>
        <v>Unlisted</v>
      </c>
      <c r="G917" s="174" t="str">
        <f>IFERROR(__xludf.DUMMYFUNCTION("""COMPUTED_VALUE"""),"Unlisted")</f>
        <v>Unlisted</v>
      </c>
      <c r="H917" s="174" t="str">
        <f>IFERROR(__xludf.DUMMYFUNCTION("""COMPUTED_VALUE"""),"Unlisted")</f>
        <v>Unlisted</v>
      </c>
      <c r="I917" s="174" t="str">
        <f>IFERROR(__xludf.DUMMYFUNCTION("""COMPUTED_VALUE"""),"Proficient")</f>
        <v>Proficient</v>
      </c>
      <c r="J917" s="174" t="str">
        <f>IFERROR(__xludf.DUMMYFUNCTION("""COMPUTED_VALUE"""),"Unlisted")</f>
        <v>Unlisted</v>
      </c>
      <c r="K917" s="174" t="str">
        <f>IFERROR(__xludf.DUMMYFUNCTION("""COMPUTED_VALUE"""),"Unlisted")</f>
        <v>Unlisted</v>
      </c>
      <c r="L917" s="174" t="str">
        <f>IFERROR(__xludf.DUMMYFUNCTION("""COMPUTED_VALUE"""),"Unlisted")</f>
        <v>Unlisted</v>
      </c>
      <c r="M917" s="174" t="str">
        <f>IFERROR(__xludf.DUMMYFUNCTION("""COMPUTED_VALUE"""),"Unlisted")</f>
        <v>Unlisted</v>
      </c>
      <c r="N917" s="174" t="str">
        <f>IFERROR(__xludf.DUMMYFUNCTION("""COMPUTED_VALUE"""),"Unlisted")</f>
        <v>Unlisted</v>
      </c>
      <c r="O917" s="174" t="str">
        <f>IFERROR(__xludf.DUMMYFUNCTION("""COMPUTED_VALUE"""),"Proficient")</f>
        <v>Proficient</v>
      </c>
      <c r="P917" s="174" t="str">
        <f>IFERROR(__xludf.DUMMYFUNCTION("""COMPUTED_VALUE"""),"Unlisted")</f>
        <v>Unlisted</v>
      </c>
      <c r="Q917" s="174" t="str">
        <f>IFERROR(__xludf.DUMMYFUNCTION("""COMPUTED_VALUE"""),"Unlisted")</f>
        <v>Unlisted</v>
      </c>
      <c r="R917" s="174" t="str">
        <f>IFERROR(__xludf.DUMMYFUNCTION("""COMPUTED_VALUE"""),"Unlisted")</f>
        <v>Unlisted</v>
      </c>
    </row>
    <row r="918">
      <c r="A918" s="255" t="str">
        <f>IFERROR(__xludf.DUMMYFUNCTION("""COMPUTED_VALUE"""),"Shieldon")</f>
        <v>Shieldon</v>
      </c>
      <c r="B918" s="174" t="str">
        <f>IFERROR(__xludf.DUMMYFUNCTION("""COMPUTED_VALUE"""),"Inept")</f>
        <v>Inept</v>
      </c>
      <c r="C918" s="174" t="str">
        <f>IFERROR(__xludf.DUMMYFUNCTION("""COMPUTED_VALUE"""),"Proficient")</f>
        <v>Proficient</v>
      </c>
      <c r="D918" s="174" t="str">
        <f>IFERROR(__xludf.DUMMYFUNCTION("""COMPUTED_VALUE"""),"Unlisted")</f>
        <v>Unlisted</v>
      </c>
      <c r="E918" s="174" t="str">
        <f>IFERROR(__xludf.DUMMYFUNCTION("""COMPUTED_VALUE"""),"Unlisted")</f>
        <v>Unlisted</v>
      </c>
      <c r="F918" s="174" t="str">
        <f>IFERROR(__xludf.DUMMYFUNCTION("""COMPUTED_VALUE"""),"Unlisted")</f>
        <v>Unlisted</v>
      </c>
      <c r="G918" s="174" t="str">
        <f>IFERROR(__xludf.DUMMYFUNCTION("""COMPUTED_VALUE"""),"Unlisted")</f>
        <v>Unlisted</v>
      </c>
      <c r="H918" s="174" t="str">
        <f>IFERROR(__xludf.DUMMYFUNCTION("""COMPUTED_VALUE"""),"Unlisted")</f>
        <v>Unlisted</v>
      </c>
      <c r="I918" s="174" t="str">
        <f>IFERROR(__xludf.DUMMYFUNCTION("""COMPUTED_VALUE"""),"Unlisted")</f>
        <v>Unlisted</v>
      </c>
      <c r="J918" s="174" t="str">
        <f>IFERROR(__xludf.DUMMYFUNCTION("""COMPUTED_VALUE"""),"Proficient")</f>
        <v>Proficient</v>
      </c>
      <c r="K918" s="174" t="str">
        <f>IFERROR(__xludf.DUMMYFUNCTION("""COMPUTED_VALUE"""),"Unlisted")</f>
        <v>Unlisted</v>
      </c>
      <c r="L918" s="174" t="str">
        <f>IFERROR(__xludf.DUMMYFUNCTION("""COMPUTED_VALUE"""),"Unlisted")</f>
        <v>Unlisted</v>
      </c>
      <c r="M918" s="174" t="str">
        <f>IFERROR(__xludf.DUMMYFUNCTION("""COMPUTED_VALUE"""),"Unlisted")</f>
        <v>Unlisted</v>
      </c>
      <c r="N918" s="174" t="str">
        <f>IFERROR(__xludf.DUMMYFUNCTION("""COMPUTED_VALUE"""),"Unlisted")</f>
        <v>Unlisted</v>
      </c>
      <c r="O918" s="174" t="str">
        <f>IFERROR(__xludf.DUMMYFUNCTION("""COMPUTED_VALUE"""),"Proficient")</f>
        <v>Proficient</v>
      </c>
      <c r="P918" s="174" t="str">
        <f>IFERROR(__xludf.DUMMYFUNCTION("""COMPUTED_VALUE"""),"Unlisted")</f>
        <v>Unlisted</v>
      </c>
      <c r="Q918" s="174" t="str">
        <f>IFERROR(__xludf.DUMMYFUNCTION("""COMPUTED_VALUE"""),"Unlisted")</f>
        <v>Unlisted</v>
      </c>
      <c r="R918" s="174" t="str">
        <f>IFERROR(__xludf.DUMMYFUNCTION("""COMPUTED_VALUE"""),"Unlisted")</f>
        <v>Unlisted</v>
      </c>
    </row>
    <row r="919">
      <c r="A919" s="255" t="str">
        <f>IFERROR(__xludf.DUMMYFUNCTION("""COMPUTED_VALUE"""),"Bastiodon")</f>
        <v>Bastiodon</v>
      </c>
      <c r="B919" s="174" t="str">
        <f>IFERROR(__xludf.DUMMYFUNCTION("""COMPUTED_VALUE"""),"Inept")</f>
        <v>Inept</v>
      </c>
      <c r="C919" s="174" t="str">
        <f>IFERROR(__xludf.DUMMYFUNCTION("""COMPUTED_VALUE"""),"Proficient")</f>
        <v>Proficient</v>
      </c>
      <c r="D919" s="174" t="str">
        <f>IFERROR(__xludf.DUMMYFUNCTION("""COMPUTED_VALUE"""),"Unlisted")</f>
        <v>Unlisted</v>
      </c>
      <c r="E919" s="174" t="str">
        <f>IFERROR(__xludf.DUMMYFUNCTION("""COMPUTED_VALUE"""),"Unlisted")</f>
        <v>Unlisted</v>
      </c>
      <c r="F919" s="174" t="str">
        <f>IFERROR(__xludf.DUMMYFUNCTION("""COMPUTED_VALUE"""),"Unlisted")</f>
        <v>Unlisted</v>
      </c>
      <c r="G919" s="174" t="str">
        <f>IFERROR(__xludf.DUMMYFUNCTION("""COMPUTED_VALUE"""),"Unlisted")</f>
        <v>Unlisted</v>
      </c>
      <c r="H919" s="174" t="str">
        <f>IFERROR(__xludf.DUMMYFUNCTION("""COMPUTED_VALUE"""),"Unlisted")</f>
        <v>Unlisted</v>
      </c>
      <c r="I919" s="174" t="str">
        <f>IFERROR(__xludf.DUMMYFUNCTION("""COMPUTED_VALUE"""),"Unlisted")</f>
        <v>Unlisted</v>
      </c>
      <c r="J919" s="174" t="str">
        <f>IFERROR(__xludf.DUMMYFUNCTION("""COMPUTED_VALUE"""),"Proficient")</f>
        <v>Proficient</v>
      </c>
      <c r="K919" s="174" t="str">
        <f>IFERROR(__xludf.DUMMYFUNCTION("""COMPUTED_VALUE"""),"Unlisted")</f>
        <v>Unlisted</v>
      </c>
      <c r="L919" s="174" t="str">
        <f>IFERROR(__xludf.DUMMYFUNCTION("""COMPUTED_VALUE"""),"Unlisted")</f>
        <v>Unlisted</v>
      </c>
      <c r="M919" s="174" t="str">
        <f>IFERROR(__xludf.DUMMYFUNCTION("""COMPUTED_VALUE"""),"Unlisted")</f>
        <v>Unlisted</v>
      </c>
      <c r="N919" s="174" t="str">
        <f>IFERROR(__xludf.DUMMYFUNCTION("""COMPUTED_VALUE"""),"Unlisted")</f>
        <v>Unlisted</v>
      </c>
      <c r="O919" s="174" t="str">
        <f>IFERROR(__xludf.DUMMYFUNCTION("""COMPUTED_VALUE"""),"Proficient")</f>
        <v>Proficient</v>
      </c>
      <c r="P919" s="174" t="str">
        <f>IFERROR(__xludf.DUMMYFUNCTION("""COMPUTED_VALUE"""),"Unlisted")</f>
        <v>Unlisted</v>
      </c>
      <c r="Q919" s="174" t="str">
        <f>IFERROR(__xludf.DUMMYFUNCTION("""COMPUTED_VALUE"""),"Unlisted")</f>
        <v>Unlisted</v>
      </c>
      <c r="R919" s="174" t="str">
        <f>IFERROR(__xludf.DUMMYFUNCTION("""COMPUTED_VALUE"""),"Unlisted")</f>
        <v>Unlisted</v>
      </c>
    </row>
    <row r="920">
      <c r="A920" s="255" t="str">
        <f>IFERROR(__xludf.DUMMYFUNCTION("""COMPUTED_VALUE"""),"Bonsly")</f>
        <v>Bonsly</v>
      </c>
      <c r="B920" s="174" t="str">
        <f>IFERROR(__xludf.DUMMYFUNCTION("""COMPUTED_VALUE"""),"Unlisted")</f>
        <v>Unlisted</v>
      </c>
      <c r="C920" s="174" t="str">
        <f>IFERROR(__xludf.DUMMYFUNCTION("""COMPUTED_VALUE"""),"Proficient")</f>
        <v>Proficient</v>
      </c>
      <c r="D920" s="174" t="str">
        <f>IFERROR(__xludf.DUMMYFUNCTION("""COMPUTED_VALUE"""),"Unlisted")</f>
        <v>Unlisted</v>
      </c>
      <c r="E920" s="174" t="str">
        <f>IFERROR(__xludf.DUMMYFUNCTION("""COMPUTED_VALUE"""),"Unlisted")</f>
        <v>Unlisted</v>
      </c>
      <c r="F920" s="174" t="str">
        <f>IFERROR(__xludf.DUMMYFUNCTION("""COMPUTED_VALUE"""),"Unlisted")</f>
        <v>Unlisted</v>
      </c>
      <c r="G920" s="174" t="str">
        <f>IFERROR(__xludf.DUMMYFUNCTION("""COMPUTED_VALUE"""),"Unlisted")</f>
        <v>Unlisted</v>
      </c>
      <c r="H920" s="174" t="str">
        <f>IFERROR(__xludf.DUMMYFUNCTION("""COMPUTED_VALUE"""),"Unlisted")</f>
        <v>Unlisted</v>
      </c>
      <c r="I920" s="174" t="str">
        <f>IFERROR(__xludf.DUMMYFUNCTION("""COMPUTED_VALUE"""),"Unlisted")</f>
        <v>Unlisted</v>
      </c>
      <c r="J920" s="174" t="str">
        <f>IFERROR(__xludf.DUMMYFUNCTION("""COMPUTED_VALUE"""),"Unlisted")</f>
        <v>Unlisted</v>
      </c>
      <c r="K920" s="174" t="str">
        <f>IFERROR(__xludf.DUMMYFUNCTION("""COMPUTED_VALUE"""),"Unlisted")</f>
        <v>Unlisted</v>
      </c>
      <c r="L920" s="174" t="str">
        <f>IFERROR(__xludf.DUMMYFUNCTION("""COMPUTED_VALUE"""),"Mastered")</f>
        <v>Mastered</v>
      </c>
      <c r="M920" s="174" t="str">
        <f>IFERROR(__xludf.DUMMYFUNCTION("""COMPUTED_VALUE"""),"Unlisted")</f>
        <v>Unlisted</v>
      </c>
      <c r="N920" s="174" t="str">
        <f>IFERROR(__xludf.DUMMYFUNCTION("""COMPUTED_VALUE"""),"Unlisted")</f>
        <v>Unlisted</v>
      </c>
      <c r="O920" s="174" t="str">
        <f>IFERROR(__xludf.DUMMYFUNCTION("""COMPUTED_VALUE"""),"Proficient")</f>
        <v>Proficient</v>
      </c>
      <c r="P920" s="174" t="str">
        <f>IFERROR(__xludf.DUMMYFUNCTION("""COMPUTED_VALUE"""),"Unlisted")</f>
        <v>Unlisted</v>
      </c>
      <c r="Q920" s="174" t="str">
        <f>IFERROR(__xludf.DUMMYFUNCTION("""COMPUTED_VALUE"""),"Unlisted")</f>
        <v>Unlisted</v>
      </c>
      <c r="R920" s="174" t="str">
        <f>IFERROR(__xludf.DUMMYFUNCTION("""COMPUTED_VALUE"""),"Unlisted")</f>
        <v>Unlisted</v>
      </c>
    </row>
    <row r="921">
      <c r="A921" s="255" t="str">
        <f>IFERROR(__xludf.DUMMYFUNCTION("""COMPUTED_VALUE"""),"Sudowoodo")</f>
        <v>Sudowoodo</v>
      </c>
      <c r="B921" s="174" t="str">
        <f>IFERROR(__xludf.DUMMYFUNCTION("""COMPUTED_VALUE"""),"Unlisted")</f>
        <v>Unlisted</v>
      </c>
      <c r="C921" s="174" t="str">
        <f>IFERROR(__xludf.DUMMYFUNCTION("""COMPUTED_VALUE"""),"Proficient")</f>
        <v>Proficient</v>
      </c>
      <c r="D921" s="174" t="str">
        <f>IFERROR(__xludf.DUMMYFUNCTION("""COMPUTED_VALUE"""),"Unlisted")</f>
        <v>Unlisted</v>
      </c>
      <c r="E921" s="174" t="str">
        <f>IFERROR(__xludf.DUMMYFUNCTION("""COMPUTED_VALUE"""),"Unlisted")</f>
        <v>Unlisted</v>
      </c>
      <c r="F921" s="174" t="str">
        <f>IFERROR(__xludf.DUMMYFUNCTION("""COMPUTED_VALUE"""),"Unlisted")</f>
        <v>Unlisted</v>
      </c>
      <c r="G921" s="174" t="str">
        <f>IFERROR(__xludf.DUMMYFUNCTION("""COMPUTED_VALUE"""),"Unlisted")</f>
        <v>Unlisted</v>
      </c>
      <c r="H921" s="174" t="str">
        <f>IFERROR(__xludf.DUMMYFUNCTION("""COMPUTED_VALUE"""),"Unlisted")</f>
        <v>Unlisted</v>
      </c>
      <c r="I921" s="174" t="str">
        <f>IFERROR(__xludf.DUMMYFUNCTION("""COMPUTED_VALUE"""),"Unlisted")</f>
        <v>Unlisted</v>
      </c>
      <c r="J921" s="174" t="str">
        <f>IFERROR(__xludf.DUMMYFUNCTION("""COMPUTED_VALUE"""),"Unlisted")</f>
        <v>Unlisted</v>
      </c>
      <c r="K921" s="174" t="str">
        <f>IFERROR(__xludf.DUMMYFUNCTION("""COMPUTED_VALUE"""),"Unlisted")</f>
        <v>Unlisted</v>
      </c>
      <c r="L921" s="174" t="str">
        <f>IFERROR(__xludf.DUMMYFUNCTION("""COMPUTED_VALUE"""),"Mastered")</f>
        <v>Mastered</v>
      </c>
      <c r="M921" s="174" t="str">
        <f>IFERROR(__xludf.DUMMYFUNCTION("""COMPUTED_VALUE"""),"Unlisted")</f>
        <v>Unlisted</v>
      </c>
      <c r="N921" s="174" t="str">
        <f>IFERROR(__xludf.DUMMYFUNCTION("""COMPUTED_VALUE"""),"Unlisted")</f>
        <v>Unlisted</v>
      </c>
      <c r="O921" s="174" t="str">
        <f>IFERROR(__xludf.DUMMYFUNCTION("""COMPUTED_VALUE"""),"Proficient")</f>
        <v>Proficient</v>
      </c>
      <c r="P921" s="174" t="str">
        <f>IFERROR(__xludf.DUMMYFUNCTION("""COMPUTED_VALUE"""),"Unlisted")</f>
        <v>Unlisted</v>
      </c>
      <c r="Q921" s="174" t="str">
        <f>IFERROR(__xludf.DUMMYFUNCTION("""COMPUTED_VALUE"""),"Unlisted")</f>
        <v>Unlisted</v>
      </c>
      <c r="R921" s="174" t="str">
        <f>IFERROR(__xludf.DUMMYFUNCTION("""COMPUTED_VALUE"""),"Unlisted")</f>
        <v>Unlisted</v>
      </c>
    </row>
    <row r="922">
      <c r="A922" s="255" t="str">
        <f>IFERROR(__xludf.DUMMYFUNCTION("""COMPUTED_VALUE"""),"Tirtouga")</f>
        <v>Tirtouga</v>
      </c>
      <c r="B922" s="174" t="str">
        <f>IFERROR(__xludf.DUMMYFUNCTION("""COMPUTED_VALUE"""),"Proficient")</f>
        <v>Proficient</v>
      </c>
      <c r="C922" s="174" t="str">
        <f>IFERROR(__xludf.DUMMYFUNCTION("""COMPUTED_VALUE"""),"Proficient")</f>
        <v>Proficient</v>
      </c>
      <c r="D922" s="174" t="str">
        <f>IFERROR(__xludf.DUMMYFUNCTION("""COMPUTED_VALUE"""),"Unlisted")</f>
        <v>Unlisted</v>
      </c>
      <c r="E922" s="174" t="str">
        <f>IFERROR(__xludf.DUMMYFUNCTION("""COMPUTED_VALUE"""),"Unlisted")</f>
        <v>Unlisted</v>
      </c>
      <c r="F922" s="174" t="str">
        <f>IFERROR(__xludf.DUMMYFUNCTION("""COMPUTED_VALUE"""),"Unlisted")</f>
        <v>Unlisted</v>
      </c>
      <c r="G922" s="174" t="str">
        <f>IFERROR(__xludf.DUMMYFUNCTION("""COMPUTED_VALUE"""),"Unlisted")</f>
        <v>Unlisted</v>
      </c>
      <c r="H922" s="174" t="str">
        <f>IFERROR(__xludf.DUMMYFUNCTION("""COMPUTED_VALUE"""),"Unlisted")</f>
        <v>Unlisted</v>
      </c>
      <c r="I922" s="174" t="str">
        <f>IFERROR(__xludf.DUMMYFUNCTION("""COMPUTED_VALUE"""),"Unlisted")</f>
        <v>Unlisted</v>
      </c>
      <c r="J922" s="174" t="str">
        <f>IFERROR(__xludf.DUMMYFUNCTION("""COMPUTED_VALUE"""),"Unlisted")</f>
        <v>Unlisted</v>
      </c>
      <c r="K922" s="174" t="str">
        <f>IFERROR(__xludf.DUMMYFUNCTION("""COMPUTED_VALUE"""),"Proficient")</f>
        <v>Proficient</v>
      </c>
      <c r="L922" s="174" t="str">
        <f>IFERROR(__xludf.DUMMYFUNCTION("""COMPUTED_VALUE"""),"Unlisted")</f>
        <v>Unlisted</v>
      </c>
      <c r="M922" s="174" t="str">
        <f>IFERROR(__xludf.DUMMYFUNCTION("""COMPUTED_VALUE"""),"Unlisted")</f>
        <v>Unlisted</v>
      </c>
      <c r="N922" s="174" t="str">
        <f>IFERROR(__xludf.DUMMYFUNCTION("""COMPUTED_VALUE"""),"Unlisted")</f>
        <v>Unlisted</v>
      </c>
      <c r="O922" s="174" t="str">
        <f>IFERROR(__xludf.DUMMYFUNCTION("""COMPUTED_VALUE"""),"Unlisted")</f>
        <v>Unlisted</v>
      </c>
      <c r="P922" s="174" t="str">
        <f>IFERROR(__xludf.DUMMYFUNCTION("""COMPUTED_VALUE"""),"Unlisted")</f>
        <v>Unlisted</v>
      </c>
      <c r="Q922" s="174" t="str">
        <f>IFERROR(__xludf.DUMMYFUNCTION("""COMPUTED_VALUE"""),"Unlisted")</f>
        <v>Unlisted</v>
      </c>
      <c r="R922" s="174" t="str">
        <f>IFERROR(__xludf.DUMMYFUNCTION("""COMPUTED_VALUE"""),"Unlisted")</f>
        <v>Unlisted</v>
      </c>
    </row>
    <row r="923">
      <c r="A923" s="255" t="str">
        <f>IFERROR(__xludf.DUMMYFUNCTION("""COMPUTED_VALUE"""),"Carracosta")</f>
        <v>Carracosta</v>
      </c>
      <c r="B923" s="174" t="str">
        <f>IFERROR(__xludf.DUMMYFUNCTION("""COMPUTED_VALUE"""),"Proficient")</f>
        <v>Proficient</v>
      </c>
      <c r="C923" s="174" t="str">
        <f>IFERROR(__xludf.DUMMYFUNCTION("""COMPUTED_VALUE"""),"Mastered")</f>
        <v>Mastered</v>
      </c>
      <c r="D923" s="174" t="str">
        <f>IFERROR(__xludf.DUMMYFUNCTION("""COMPUTED_VALUE"""),"Unlisted")</f>
        <v>Unlisted</v>
      </c>
      <c r="E923" s="174" t="str">
        <f>IFERROR(__xludf.DUMMYFUNCTION("""COMPUTED_VALUE"""),"Unlisted")</f>
        <v>Unlisted</v>
      </c>
      <c r="F923" s="174" t="str">
        <f>IFERROR(__xludf.DUMMYFUNCTION("""COMPUTED_VALUE"""),"Unlisted")</f>
        <v>Unlisted</v>
      </c>
      <c r="G923" s="174" t="str">
        <f>IFERROR(__xludf.DUMMYFUNCTION("""COMPUTED_VALUE"""),"Unlisted")</f>
        <v>Unlisted</v>
      </c>
      <c r="H923" s="174" t="str">
        <f>IFERROR(__xludf.DUMMYFUNCTION("""COMPUTED_VALUE"""),"Unlisted")</f>
        <v>Unlisted</v>
      </c>
      <c r="I923" s="174" t="str">
        <f>IFERROR(__xludf.DUMMYFUNCTION("""COMPUTED_VALUE"""),"Unlisted")</f>
        <v>Unlisted</v>
      </c>
      <c r="J923" s="174" t="str">
        <f>IFERROR(__xludf.DUMMYFUNCTION("""COMPUTED_VALUE"""),"Unlisted")</f>
        <v>Unlisted</v>
      </c>
      <c r="K923" s="174" t="str">
        <f>IFERROR(__xludf.DUMMYFUNCTION("""COMPUTED_VALUE"""),"Proficient")</f>
        <v>Proficient</v>
      </c>
      <c r="L923" s="174" t="str">
        <f>IFERROR(__xludf.DUMMYFUNCTION("""COMPUTED_VALUE"""),"Unlisted")</f>
        <v>Unlisted</v>
      </c>
      <c r="M923" s="174" t="str">
        <f>IFERROR(__xludf.DUMMYFUNCTION("""COMPUTED_VALUE"""),"Unlisted")</f>
        <v>Unlisted</v>
      </c>
      <c r="N923" s="174" t="str">
        <f>IFERROR(__xludf.DUMMYFUNCTION("""COMPUTED_VALUE"""),"Unlisted")</f>
        <v>Unlisted</v>
      </c>
      <c r="O923" s="174" t="str">
        <f>IFERROR(__xludf.DUMMYFUNCTION("""COMPUTED_VALUE"""),"Unlisted")</f>
        <v>Unlisted</v>
      </c>
      <c r="P923" s="174" t="str">
        <f>IFERROR(__xludf.DUMMYFUNCTION("""COMPUTED_VALUE"""),"Unlisted")</f>
        <v>Unlisted</v>
      </c>
      <c r="Q923" s="174" t="str">
        <f>IFERROR(__xludf.DUMMYFUNCTION("""COMPUTED_VALUE"""),"Unlisted")</f>
        <v>Unlisted</v>
      </c>
      <c r="R923" s="174" t="str">
        <f>IFERROR(__xludf.DUMMYFUNCTION("""COMPUTED_VALUE"""),"Unlisted")</f>
        <v>Unlisted</v>
      </c>
    </row>
    <row r="924">
      <c r="A924" s="255" t="str">
        <f>IFERROR(__xludf.DUMMYFUNCTION("""COMPUTED_VALUE"""),"Archen")</f>
        <v>Archen</v>
      </c>
      <c r="B924" s="174" t="str">
        <f>IFERROR(__xludf.DUMMYFUNCTION("""COMPUTED_VALUE"""),"Proficient")</f>
        <v>Proficient</v>
      </c>
      <c r="C924" s="174" t="str">
        <f>IFERROR(__xludf.DUMMYFUNCTION("""COMPUTED_VALUE"""),"Proficient")</f>
        <v>Proficient</v>
      </c>
      <c r="D924" s="174" t="str">
        <f>IFERROR(__xludf.DUMMYFUNCTION("""COMPUTED_VALUE"""),"Unlisted")</f>
        <v>Unlisted</v>
      </c>
      <c r="E924" s="174" t="str">
        <f>IFERROR(__xludf.DUMMYFUNCTION("""COMPUTED_VALUE"""),"Unlisted")</f>
        <v>Unlisted</v>
      </c>
      <c r="F924" s="174" t="str">
        <f>IFERROR(__xludf.DUMMYFUNCTION("""COMPUTED_VALUE"""),"Unlisted")</f>
        <v>Unlisted</v>
      </c>
      <c r="G924" s="174" t="str">
        <f>IFERROR(__xludf.DUMMYFUNCTION("""COMPUTED_VALUE"""),"Inept")</f>
        <v>Inept</v>
      </c>
      <c r="H924" s="174" t="str">
        <f>IFERROR(__xludf.DUMMYFUNCTION("""COMPUTED_VALUE"""),"Unlisted")</f>
        <v>Unlisted</v>
      </c>
      <c r="I924" s="174" t="str">
        <f>IFERROR(__xludf.DUMMYFUNCTION("""COMPUTED_VALUE"""),"Unlisted")</f>
        <v>Unlisted</v>
      </c>
      <c r="J924" s="174" t="str">
        <f>IFERROR(__xludf.DUMMYFUNCTION("""COMPUTED_VALUE"""),"Unlisted")</f>
        <v>Unlisted</v>
      </c>
      <c r="K924" s="174" t="str">
        <f>IFERROR(__xludf.DUMMYFUNCTION("""COMPUTED_VALUE"""),"Proficient")</f>
        <v>Proficient</v>
      </c>
      <c r="L924" s="174" t="str">
        <f>IFERROR(__xludf.DUMMYFUNCTION("""COMPUTED_VALUE"""),"Unlisted")</f>
        <v>Unlisted</v>
      </c>
      <c r="M924" s="174" t="str">
        <f>IFERROR(__xludf.DUMMYFUNCTION("""COMPUTED_VALUE"""),"Unlisted")</f>
        <v>Unlisted</v>
      </c>
      <c r="N924" s="174" t="str">
        <f>IFERROR(__xludf.DUMMYFUNCTION("""COMPUTED_VALUE"""),"Unlisted")</f>
        <v>Unlisted</v>
      </c>
      <c r="O924" s="174" t="str">
        <f>IFERROR(__xludf.DUMMYFUNCTION("""COMPUTED_VALUE"""),"Unlisted")</f>
        <v>Unlisted</v>
      </c>
      <c r="P924" s="174" t="str">
        <f>IFERROR(__xludf.DUMMYFUNCTION("""COMPUTED_VALUE"""),"Unlisted")</f>
        <v>Unlisted</v>
      </c>
      <c r="Q924" s="174" t="str">
        <f>IFERROR(__xludf.DUMMYFUNCTION("""COMPUTED_VALUE"""),"Unlisted")</f>
        <v>Unlisted</v>
      </c>
      <c r="R924" s="174" t="str">
        <f>IFERROR(__xludf.DUMMYFUNCTION("""COMPUTED_VALUE"""),"Unlisted")</f>
        <v>Unlisted</v>
      </c>
    </row>
    <row r="925">
      <c r="A925" s="255" t="str">
        <f>IFERROR(__xludf.DUMMYFUNCTION("""COMPUTED_VALUE"""),"Archeops")</f>
        <v>Archeops</v>
      </c>
      <c r="B925" s="174" t="str">
        <f>IFERROR(__xludf.DUMMYFUNCTION("""COMPUTED_VALUE"""),"Proficient")</f>
        <v>Proficient</v>
      </c>
      <c r="C925" s="174" t="str">
        <f>IFERROR(__xludf.DUMMYFUNCTION("""COMPUTED_VALUE"""),"Proficient")</f>
        <v>Proficient</v>
      </c>
      <c r="D925" s="174" t="str">
        <f>IFERROR(__xludf.DUMMYFUNCTION("""COMPUTED_VALUE"""),"Unlisted")</f>
        <v>Unlisted</v>
      </c>
      <c r="E925" s="174" t="str">
        <f>IFERROR(__xludf.DUMMYFUNCTION("""COMPUTED_VALUE"""),"Unlisted")</f>
        <v>Unlisted</v>
      </c>
      <c r="F925" s="174" t="str">
        <f>IFERROR(__xludf.DUMMYFUNCTION("""COMPUTED_VALUE"""),"Unlisted")</f>
        <v>Unlisted</v>
      </c>
      <c r="G925" s="174" t="str">
        <f>IFERROR(__xludf.DUMMYFUNCTION("""COMPUTED_VALUE"""),"Inept")</f>
        <v>Inept</v>
      </c>
      <c r="H925" s="174" t="str">
        <f>IFERROR(__xludf.DUMMYFUNCTION("""COMPUTED_VALUE"""),"Unlisted")</f>
        <v>Unlisted</v>
      </c>
      <c r="I925" s="174" t="str">
        <f>IFERROR(__xludf.DUMMYFUNCTION("""COMPUTED_VALUE"""),"Unlisted")</f>
        <v>Unlisted</v>
      </c>
      <c r="J925" s="174" t="str">
        <f>IFERROR(__xludf.DUMMYFUNCTION("""COMPUTED_VALUE"""),"Unlisted")</f>
        <v>Unlisted</v>
      </c>
      <c r="K925" s="174" t="str">
        <f>IFERROR(__xludf.DUMMYFUNCTION("""COMPUTED_VALUE"""),"Proficient")</f>
        <v>Proficient</v>
      </c>
      <c r="L925" s="174" t="str">
        <f>IFERROR(__xludf.DUMMYFUNCTION("""COMPUTED_VALUE"""),"Unlisted")</f>
        <v>Unlisted</v>
      </c>
      <c r="M925" s="174" t="str">
        <f>IFERROR(__xludf.DUMMYFUNCTION("""COMPUTED_VALUE"""),"Unlisted")</f>
        <v>Unlisted</v>
      </c>
      <c r="N925" s="174" t="str">
        <f>IFERROR(__xludf.DUMMYFUNCTION("""COMPUTED_VALUE"""),"Unlisted")</f>
        <v>Unlisted</v>
      </c>
      <c r="O925" s="174" t="str">
        <f>IFERROR(__xludf.DUMMYFUNCTION("""COMPUTED_VALUE"""),"Unlisted")</f>
        <v>Unlisted</v>
      </c>
      <c r="P925" s="174" t="str">
        <f>IFERROR(__xludf.DUMMYFUNCTION("""COMPUTED_VALUE"""),"Unlisted")</f>
        <v>Unlisted</v>
      </c>
      <c r="Q925" s="174" t="str">
        <f>IFERROR(__xludf.DUMMYFUNCTION("""COMPUTED_VALUE"""),"Unlisted")</f>
        <v>Unlisted</v>
      </c>
      <c r="R925" s="174" t="str">
        <f>IFERROR(__xludf.DUMMYFUNCTION("""COMPUTED_VALUE"""),"Unlisted")</f>
        <v>Unlisted</v>
      </c>
    </row>
    <row r="926">
      <c r="A926" s="255" t="str">
        <f>IFERROR(__xludf.DUMMYFUNCTION("""COMPUTED_VALUE"""),"Binacle")</f>
        <v>Binacle</v>
      </c>
      <c r="B926" s="174" t="str">
        <f>IFERROR(__xludf.DUMMYFUNCTION("""COMPUTED_VALUE"""),"Unlisted")</f>
        <v>Unlisted</v>
      </c>
      <c r="C926" s="174" t="str">
        <f>IFERROR(__xludf.DUMMYFUNCTION("""COMPUTED_VALUE"""),"Proficient")</f>
        <v>Proficient</v>
      </c>
      <c r="D926" s="174" t="str">
        <f>IFERROR(__xludf.DUMMYFUNCTION("""COMPUTED_VALUE"""),"Unlisted")</f>
        <v>Unlisted</v>
      </c>
      <c r="E926" s="174" t="str">
        <f>IFERROR(__xludf.DUMMYFUNCTION("""COMPUTED_VALUE"""),"Unlisted")</f>
        <v>Unlisted</v>
      </c>
      <c r="F926" s="174" t="str">
        <f>IFERROR(__xludf.DUMMYFUNCTION("""COMPUTED_VALUE"""),"Unlisted")</f>
        <v>Unlisted</v>
      </c>
      <c r="G926" s="174" t="str">
        <f>IFERROR(__xludf.DUMMYFUNCTION("""COMPUTED_VALUE"""),"Unlisted")</f>
        <v>Unlisted</v>
      </c>
      <c r="H926" s="174" t="str">
        <f>IFERROR(__xludf.DUMMYFUNCTION("""COMPUTED_VALUE"""),"Unlisted")</f>
        <v>Unlisted</v>
      </c>
      <c r="I926" s="174" t="str">
        <f>IFERROR(__xludf.DUMMYFUNCTION("""COMPUTED_VALUE"""),"Unlisted")</f>
        <v>Unlisted</v>
      </c>
      <c r="J926" s="174" t="str">
        <f>IFERROR(__xludf.DUMMYFUNCTION("""COMPUTED_VALUE"""),"Unlisted")</f>
        <v>Unlisted</v>
      </c>
      <c r="K926" s="174" t="str">
        <f>IFERROR(__xludf.DUMMYFUNCTION("""COMPUTED_VALUE"""),"Unlisted")</f>
        <v>Unlisted</v>
      </c>
      <c r="L926" s="174" t="str">
        <f>IFERROR(__xludf.DUMMYFUNCTION("""COMPUTED_VALUE"""),"Unlisted")</f>
        <v>Unlisted</v>
      </c>
      <c r="M926" s="174" t="str">
        <f>IFERROR(__xludf.DUMMYFUNCTION("""COMPUTED_VALUE"""),"Unlisted")</f>
        <v>Unlisted</v>
      </c>
      <c r="N926" s="174" t="str">
        <f>IFERROR(__xludf.DUMMYFUNCTION("""COMPUTED_VALUE"""),"Unlisted")</f>
        <v>Unlisted</v>
      </c>
      <c r="O926" s="174" t="str">
        <f>IFERROR(__xludf.DUMMYFUNCTION("""COMPUTED_VALUE"""),"Proficient")</f>
        <v>Proficient</v>
      </c>
      <c r="P926" s="174" t="str">
        <f>IFERROR(__xludf.DUMMYFUNCTION("""COMPUTED_VALUE"""),"Unlisted")</f>
        <v>Unlisted</v>
      </c>
      <c r="Q926" s="174" t="str">
        <f>IFERROR(__xludf.DUMMYFUNCTION("""COMPUTED_VALUE"""),"Unlisted")</f>
        <v>Unlisted</v>
      </c>
      <c r="R926" s="174" t="str">
        <f>IFERROR(__xludf.DUMMYFUNCTION("""COMPUTED_VALUE"""),"Unlisted")</f>
        <v>Unlisted</v>
      </c>
    </row>
    <row r="927">
      <c r="A927" s="255" t="str">
        <f>IFERROR(__xludf.DUMMYFUNCTION("""COMPUTED_VALUE"""),"Barbaracle")</f>
        <v>Barbaracle</v>
      </c>
      <c r="B927" s="174" t="str">
        <f>IFERROR(__xludf.DUMMYFUNCTION("""COMPUTED_VALUE"""),"Unlisted")</f>
        <v>Unlisted</v>
      </c>
      <c r="C927" s="174" t="str">
        <f>IFERROR(__xludf.DUMMYFUNCTION("""COMPUTED_VALUE"""),"Mastered")</f>
        <v>Mastered</v>
      </c>
      <c r="D927" s="174" t="str">
        <f>IFERROR(__xludf.DUMMYFUNCTION("""COMPUTED_VALUE"""),"Unlisted")</f>
        <v>Unlisted</v>
      </c>
      <c r="E927" s="174" t="str">
        <f>IFERROR(__xludf.DUMMYFUNCTION("""COMPUTED_VALUE"""),"Proficient")</f>
        <v>Proficient</v>
      </c>
      <c r="F927" s="174" t="str">
        <f>IFERROR(__xludf.DUMMYFUNCTION("""COMPUTED_VALUE"""),"Unlisted")</f>
        <v>Unlisted</v>
      </c>
      <c r="G927" s="174" t="str">
        <f>IFERROR(__xludf.DUMMYFUNCTION("""COMPUTED_VALUE"""),"Inept")</f>
        <v>Inept</v>
      </c>
      <c r="H927" s="174" t="str">
        <f>IFERROR(__xludf.DUMMYFUNCTION("""COMPUTED_VALUE"""),"Unlisted")</f>
        <v>Unlisted</v>
      </c>
      <c r="I927" s="174" t="str">
        <f>IFERROR(__xludf.DUMMYFUNCTION("""COMPUTED_VALUE"""),"Unlisted")</f>
        <v>Unlisted</v>
      </c>
      <c r="J927" s="174" t="str">
        <f>IFERROR(__xludf.DUMMYFUNCTION("""COMPUTED_VALUE"""),"Unlisted")</f>
        <v>Unlisted</v>
      </c>
      <c r="K927" s="174" t="str">
        <f>IFERROR(__xludf.DUMMYFUNCTION("""COMPUTED_VALUE"""),"Unlisted")</f>
        <v>Unlisted</v>
      </c>
      <c r="L927" s="174" t="str">
        <f>IFERROR(__xludf.DUMMYFUNCTION("""COMPUTED_VALUE"""),"Unlisted")</f>
        <v>Unlisted</v>
      </c>
      <c r="M927" s="174" t="str">
        <f>IFERROR(__xludf.DUMMYFUNCTION("""COMPUTED_VALUE"""),"Unlisted")</f>
        <v>Unlisted</v>
      </c>
      <c r="N927" s="174" t="str">
        <f>IFERROR(__xludf.DUMMYFUNCTION("""COMPUTED_VALUE"""),"Unlisted")</f>
        <v>Unlisted</v>
      </c>
      <c r="O927" s="174" t="str">
        <f>IFERROR(__xludf.DUMMYFUNCTION("""COMPUTED_VALUE"""),"Proficient")</f>
        <v>Proficient</v>
      </c>
      <c r="P927" s="174" t="str">
        <f>IFERROR(__xludf.DUMMYFUNCTION("""COMPUTED_VALUE"""),"Unlisted")</f>
        <v>Unlisted</v>
      </c>
      <c r="Q927" s="174" t="str">
        <f>IFERROR(__xludf.DUMMYFUNCTION("""COMPUTED_VALUE"""),"Unlisted")</f>
        <v>Unlisted</v>
      </c>
      <c r="R927" s="174" t="str">
        <f>IFERROR(__xludf.DUMMYFUNCTION("""COMPUTED_VALUE"""),"Unlisted")</f>
        <v>Unlisted</v>
      </c>
    </row>
    <row r="928">
      <c r="A928" s="255" t="str">
        <f>IFERROR(__xludf.DUMMYFUNCTION("""COMPUTED_VALUE"""),"Tyrunt")</f>
        <v>Tyrunt</v>
      </c>
      <c r="B928" s="174" t="str">
        <f>IFERROR(__xludf.DUMMYFUNCTION("""COMPUTED_VALUE"""),"Unlisted")</f>
        <v>Unlisted</v>
      </c>
      <c r="C928" s="174" t="str">
        <f>IFERROR(__xludf.DUMMYFUNCTION("""COMPUTED_VALUE"""),"Mastered")</f>
        <v>Mastered</v>
      </c>
      <c r="D928" s="174" t="str">
        <f>IFERROR(__xludf.DUMMYFUNCTION("""COMPUTED_VALUE"""),"Unlisted")</f>
        <v>Unlisted</v>
      </c>
      <c r="E928" s="174" t="str">
        <f>IFERROR(__xludf.DUMMYFUNCTION("""COMPUTED_VALUE"""),"Proficient")</f>
        <v>Proficient</v>
      </c>
      <c r="F928" s="174" t="str">
        <f>IFERROR(__xludf.DUMMYFUNCTION("""COMPUTED_VALUE"""),"Unlisted")</f>
        <v>Unlisted</v>
      </c>
      <c r="G928" s="174" t="str">
        <f>IFERROR(__xludf.DUMMYFUNCTION("""COMPUTED_VALUE"""),"Unlisted")</f>
        <v>Unlisted</v>
      </c>
      <c r="H928" s="174" t="str">
        <f>IFERROR(__xludf.DUMMYFUNCTION("""COMPUTED_VALUE"""),"Unlisted")</f>
        <v>Unlisted</v>
      </c>
      <c r="I928" s="174" t="str">
        <f>IFERROR(__xludf.DUMMYFUNCTION("""COMPUTED_VALUE"""),"Proficient")</f>
        <v>Proficient</v>
      </c>
      <c r="J928" s="174" t="str">
        <f>IFERROR(__xludf.DUMMYFUNCTION("""COMPUTED_VALUE"""),"Unlisted")</f>
        <v>Unlisted</v>
      </c>
      <c r="K928" s="174" t="str">
        <f>IFERROR(__xludf.DUMMYFUNCTION("""COMPUTED_VALUE"""),"Inept")</f>
        <v>Inept</v>
      </c>
      <c r="L928" s="174" t="str">
        <f>IFERROR(__xludf.DUMMYFUNCTION("""COMPUTED_VALUE"""),"Unlisted")</f>
        <v>Unlisted</v>
      </c>
      <c r="M928" s="174" t="str">
        <f>IFERROR(__xludf.DUMMYFUNCTION("""COMPUTED_VALUE"""),"Unlisted")</f>
        <v>Unlisted</v>
      </c>
      <c r="N928" s="174" t="str">
        <f>IFERROR(__xludf.DUMMYFUNCTION("""COMPUTED_VALUE"""),"Unlisted")</f>
        <v>Unlisted</v>
      </c>
      <c r="O928" s="174" t="str">
        <f>IFERROR(__xludf.DUMMYFUNCTION("""COMPUTED_VALUE"""),"Unlisted")</f>
        <v>Unlisted</v>
      </c>
      <c r="P928" s="174" t="str">
        <f>IFERROR(__xludf.DUMMYFUNCTION("""COMPUTED_VALUE"""),"Unlisted")</f>
        <v>Unlisted</v>
      </c>
      <c r="Q928" s="174" t="str">
        <f>IFERROR(__xludf.DUMMYFUNCTION("""COMPUTED_VALUE"""),"Unlisted")</f>
        <v>Unlisted</v>
      </c>
      <c r="R928" s="174" t="str">
        <f>IFERROR(__xludf.DUMMYFUNCTION("""COMPUTED_VALUE"""),"Unlisted")</f>
        <v>Unlisted</v>
      </c>
    </row>
    <row r="929">
      <c r="A929" s="255" t="str">
        <f>IFERROR(__xludf.DUMMYFUNCTION("""COMPUTED_VALUE"""),"Tyrantrum")</f>
        <v>Tyrantrum</v>
      </c>
      <c r="B929" s="174" t="str">
        <f>IFERROR(__xludf.DUMMYFUNCTION("""COMPUTED_VALUE"""),"Unlisted")</f>
        <v>Unlisted</v>
      </c>
      <c r="C929" s="174" t="str">
        <f>IFERROR(__xludf.DUMMYFUNCTION("""COMPUTED_VALUE"""),"Mastered")</f>
        <v>Mastered</v>
      </c>
      <c r="D929" s="174" t="str">
        <f>IFERROR(__xludf.DUMMYFUNCTION("""COMPUTED_VALUE"""),"Unlisted")</f>
        <v>Unlisted</v>
      </c>
      <c r="E929" s="174" t="str">
        <f>IFERROR(__xludf.DUMMYFUNCTION("""COMPUTED_VALUE"""),"Proficient")</f>
        <v>Proficient</v>
      </c>
      <c r="F929" s="174" t="str">
        <f>IFERROR(__xludf.DUMMYFUNCTION("""COMPUTED_VALUE"""),"Unlisted")</f>
        <v>Unlisted</v>
      </c>
      <c r="G929" s="174" t="str">
        <f>IFERROR(__xludf.DUMMYFUNCTION("""COMPUTED_VALUE"""),"Unlisted")</f>
        <v>Unlisted</v>
      </c>
      <c r="H929" s="174" t="str">
        <f>IFERROR(__xludf.DUMMYFUNCTION("""COMPUTED_VALUE"""),"Unlisted")</f>
        <v>Unlisted</v>
      </c>
      <c r="I929" s="174" t="str">
        <f>IFERROR(__xludf.DUMMYFUNCTION("""COMPUTED_VALUE"""),"Proficient")</f>
        <v>Proficient</v>
      </c>
      <c r="J929" s="174" t="str">
        <f>IFERROR(__xludf.DUMMYFUNCTION("""COMPUTED_VALUE"""),"Unlisted")</f>
        <v>Unlisted</v>
      </c>
      <c r="K929" s="174" t="str">
        <f>IFERROR(__xludf.DUMMYFUNCTION("""COMPUTED_VALUE"""),"Inept")</f>
        <v>Inept</v>
      </c>
      <c r="L929" s="174" t="str">
        <f>IFERROR(__xludf.DUMMYFUNCTION("""COMPUTED_VALUE"""),"Unlisted")</f>
        <v>Unlisted</v>
      </c>
      <c r="M929" s="174" t="str">
        <f>IFERROR(__xludf.DUMMYFUNCTION("""COMPUTED_VALUE"""),"Unlisted")</f>
        <v>Unlisted</v>
      </c>
      <c r="N929" s="174" t="str">
        <f>IFERROR(__xludf.DUMMYFUNCTION("""COMPUTED_VALUE"""),"Unlisted")</f>
        <v>Unlisted</v>
      </c>
      <c r="O929" s="174" t="str">
        <f>IFERROR(__xludf.DUMMYFUNCTION("""COMPUTED_VALUE"""),"Unlisted")</f>
        <v>Unlisted</v>
      </c>
      <c r="P929" s="174" t="str">
        <f>IFERROR(__xludf.DUMMYFUNCTION("""COMPUTED_VALUE"""),"Unlisted")</f>
        <v>Unlisted</v>
      </c>
      <c r="Q929" s="174" t="str">
        <f>IFERROR(__xludf.DUMMYFUNCTION("""COMPUTED_VALUE"""),"Unlisted")</f>
        <v>Unlisted</v>
      </c>
      <c r="R929" s="174" t="str">
        <f>IFERROR(__xludf.DUMMYFUNCTION("""COMPUTED_VALUE"""),"Unlisted")</f>
        <v>Unlisted</v>
      </c>
    </row>
    <row r="930">
      <c r="A930" s="255" t="str">
        <f>IFERROR(__xludf.DUMMYFUNCTION("""COMPUTED_VALUE"""),"Amaura")</f>
        <v>Amaura</v>
      </c>
      <c r="B930" s="174" t="str">
        <f>IFERROR(__xludf.DUMMYFUNCTION("""COMPUTED_VALUE"""),"Unlisted")</f>
        <v>Unlisted</v>
      </c>
      <c r="C930" s="174" t="str">
        <f>IFERROR(__xludf.DUMMYFUNCTION("""COMPUTED_VALUE"""),"Proficient")</f>
        <v>Proficient</v>
      </c>
      <c r="D930" s="174" t="str">
        <f>IFERROR(__xludf.DUMMYFUNCTION("""COMPUTED_VALUE"""),"Unlisted")</f>
        <v>Unlisted</v>
      </c>
      <c r="E930" s="174" t="str">
        <f>IFERROR(__xludf.DUMMYFUNCTION("""COMPUTED_VALUE"""),"Unlisted")</f>
        <v>Unlisted</v>
      </c>
      <c r="F930" s="174" t="str">
        <f>IFERROR(__xludf.DUMMYFUNCTION("""COMPUTED_VALUE"""),"Unlisted")</f>
        <v>Unlisted</v>
      </c>
      <c r="G930" s="174" t="str">
        <f>IFERROR(__xludf.DUMMYFUNCTION("""COMPUTED_VALUE"""),"Unlisted")</f>
        <v>Unlisted</v>
      </c>
      <c r="H930" s="174" t="str">
        <f>IFERROR(__xludf.DUMMYFUNCTION("""COMPUTED_VALUE"""),"Unlisted")</f>
        <v>Unlisted</v>
      </c>
      <c r="I930" s="174" t="str">
        <f>IFERROR(__xludf.DUMMYFUNCTION("""COMPUTED_VALUE"""),"Unlisted")</f>
        <v>Unlisted</v>
      </c>
      <c r="J930" s="174" t="str">
        <f>IFERROR(__xludf.DUMMYFUNCTION("""COMPUTED_VALUE"""),"Proficient")</f>
        <v>Proficient</v>
      </c>
      <c r="K930" s="174" t="str">
        <f>IFERROR(__xludf.DUMMYFUNCTION("""COMPUTED_VALUE"""),"Unlisted")</f>
        <v>Unlisted</v>
      </c>
      <c r="L930" s="174" t="str">
        <f>IFERROR(__xludf.DUMMYFUNCTION("""COMPUTED_VALUE"""),"Unlisted")</f>
        <v>Unlisted</v>
      </c>
      <c r="M930" s="174" t="str">
        <f>IFERROR(__xludf.DUMMYFUNCTION("""COMPUTED_VALUE"""),"Unlisted")</f>
        <v>Unlisted</v>
      </c>
      <c r="N930" s="174" t="str">
        <f>IFERROR(__xludf.DUMMYFUNCTION("""COMPUTED_VALUE"""),"Unlisted")</f>
        <v>Unlisted</v>
      </c>
      <c r="O930" s="174" t="str">
        <f>IFERROR(__xludf.DUMMYFUNCTION("""COMPUTED_VALUE"""),"Mastered")</f>
        <v>Mastered</v>
      </c>
      <c r="P930" s="174" t="str">
        <f>IFERROR(__xludf.DUMMYFUNCTION("""COMPUTED_VALUE"""),"Unlisted")</f>
        <v>Unlisted</v>
      </c>
      <c r="Q930" s="174" t="str">
        <f>IFERROR(__xludf.DUMMYFUNCTION("""COMPUTED_VALUE"""),"Unlisted")</f>
        <v>Unlisted</v>
      </c>
      <c r="R930" s="174" t="str">
        <f>IFERROR(__xludf.DUMMYFUNCTION("""COMPUTED_VALUE"""),"Unlisted")</f>
        <v>Unlisted</v>
      </c>
    </row>
    <row r="931">
      <c r="A931" s="255" t="str">
        <f>IFERROR(__xludf.DUMMYFUNCTION("""COMPUTED_VALUE"""),"Aurorus")</f>
        <v>Aurorus</v>
      </c>
      <c r="B931" s="174" t="str">
        <f>IFERROR(__xludf.DUMMYFUNCTION("""COMPUTED_VALUE"""),"Unlisted")</f>
        <v>Unlisted</v>
      </c>
      <c r="C931" s="174" t="str">
        <f>IFERROR(__xludf.DUMMYFUNCTION("""COMPUTED_VALUE"""),"Proficient")</f>
        <v>Proficient</v>
      </c>
      <c r="D931" s="174" t="str">
        <f>IFERROR(__xludf.DUMMYFUNCTION("""COMPUTED_VALUE"""),"Unlisted")</f>
        <v>Unlisted</v>
      </c>
      <c r="E931" s="174" t="str">
        <f>IFERROR(__xludf.DUMMYFUNCTION("""COMPUTED_VALUE"""),"Unlisted")</f>
        <v>Unlisted</v>
      </c>
      <c r="F931" s="174" t="str">
        <f>IFERROR(__xludf.DUMMYFUNCTION("""COMPUTED_VALUE"""),"Unlisted")</f>
        <v>Unlisted</v>
      </c>
      <c r="G931" s="174" t="str">
        <f>IFERROR(__xludf.DUMMYFUNCTION("""COMPUTED_VALUE"""),"Unlisted")</f>
        <v>Unlisted</v>
      </c>
      <c r="H931" s="174" t="str">
        <f>IFERROR(__xludf.DUMMYFUNCTION("""COMPUTED_VALUE"""),"Unlisted")</f>
        <v>Unlisted</v>
      </c>
      <c r="I931" s="174" t="str">
        <f>IFERROR(__xludf.DUMMYFUNCTION("""COMPUTED_VALUE"""),"Unlisted")</f>
        <v>Unlisted</v>
      </c>
      <c r="J931" s="174" t="str">
        <f>IFERROR(__xludf.DUMMYFUNCTION("""COMPUTED_VALUE"""),"Proficient")</f>
        <v>Proficient</v>
      </c>
      <c r="K931" s="174" t="str">
        <f>IFERROR(__xludf.DUMMYFUNCTION("""COMPUTED_VALUE"""),"Unlisted")</f>
        <v>Unlisted</v>
      </c>
      <c r="L931" s="174" t="str">
        <f>IFERROR(__xludf.DUMMYFUNCTION("""COMPUTED_VALUE"""),"Unlisted")</f>
        <v>Unlisted</v>
      </c>
      <c r="M931" s="174" t="str">
        <f>IFERROR(__xludf.DUMMYFUNCTION("""COMPUTED_VALUE"""),"Unlisted")</f>
        <v>Unlisted</v>
      </c>
      <c r="N931" s="174" t="str">
        <f>IFERROR(__xludf.DUMMYFUNCTION("""COMPUTED_VALUE"""),"Unlisted")</f>
        <v>Unlisted</v>
      </c>
      <c r="O931" s="174" t="str">
        <f>IFERROR(__xludf.DUMMYFUNCTION("""COMPUTED_VALUE"""),"Mastered")</f>
        <v>Mastered</v>
      </c>
      <c r="P931" s="174" t="str">
        <f>IFERROR(__xludf.DUMMYFUNCTION("""COMPUTED_VALUE"""),"Unlisted")</f>
        <v>Unlisted</v>
      </c>
      <c r="Q931" s="174" t="str">
        <f>IFERROR(__xludf.DUMMYFUNCTION("""COMPUTED_VALUE"""),"Unlisted")</f>
        <v>Unlisted</v>
      </c>
      <c r="R931" s="174" t="str">
        <f>IFERROR(__xludf.DUMMYFUNCTION("""COMPUTED_VALUE"""),"Unlisted")</f>
        <v>Unlisted</v>
      </c>
    </row>
    <row r="932">
      <c r="A932" s="255" t="str">
        <f>IFERROR(__xludf.DUMMYFUNCTION("""COMPUTED_VALUE"""),"Rockruff")</f>
        <v>Rockruff</v>
      </c>
      <c r="B932" s="174" t="str">
        <f>IFERROR(__xludf.DUMMYFUNCTION("""COMPUTED_VALUE"""),"Proficient")</f>
        <v>Proficient</v>
      </c>
      <c r="C932" s="174" t="str">
        <f>IFERROR(__xludf.DUMMYFUNCTION("""COMPUTED_VALUE"""),"Proficient")</f>
        <v>Proficient</v>
      </c>
      <c r="D932" s="174" t="str">
        <f>IFERROR(__xludf.DUMMYFUNCTION("""COMPUTED_VALUE"""),"Unlisted")</f>
        <v>Unlisted</v>
      </c>
      <c r="E932" s="174" t="str">
        <f>IFERROR(__xludf.DUMMYFUNCTION("""COMPUTED_VALUE"""),"Mastered")</f>
        <v>Mastered</v>
      </c>
      <c r="F932" s="174" t="str">
        <f>IFERROR(__xludf.DUMMYFUNCTION("""COMPUTED_VALUE"""),"Unlisted")</f>
        <v>Unlisted</v>
      </c>
      <c r="G932" s="174" t="str">
        <f>IFERROR(__xludf.DUMMYFUNCTION("""COMPUTED_VALUE"""),"Unlisted")</f>
        <v>Unlisted</v>
      </c>
      <c r="H932" s="174" t="str">
        <f>IFERROR(__xludf.DUMMYFUNCTION("""COMPUTED_VALUE"""),"Unlisted")</f>
        <v>Unlisted</v>
      </c>
      <c r="I932" s="174" t="str">
        <f>IFERROR(__xludf.DUMMYFUNCTION("""COMPUTED_VALUE"""),"Unlisted")</f>
        <v>Unlisted</v>
      </c>
      <c r="J932" s="174" t="str">
        <f>IFERROR(__xludf.DUMMYFUNCTION("""COMPUTED_VALUE"""),"Unlisted")</f>
        <v>Unlisted</v>
      </c>
      <c r="K932" s="174" t="str">
        <f>IFERROR(__xludf.DUMMYFUNCTION("""COMPUTED_VALUE"""),"Unlisted")</f>
        <v>Unlisted</v>
      </c>
      <c r="L932" s="174" t="str">
        <f>IFERROR(__xludf.DUMMYFUNCTION("""COMPUTED_VALUE"""),"Unlisted")</f>
        <v>Unlisted</v>
      </c>
      <c r="M932" s="174" t="str">
        <f>IFERROR(__xludf.DUMMYFUNCTION("""COMPUTED_VALUE"""),"Unlisted")</f>
        <v>Unlisted</v>
      </c>
      <c r="N932" s="174" t="str">
        <f>IFERROR(__xludf.DUMMYFUNCTION("""COMPUTED_VALUE"""),"Unlisted")</f>
        <v>Unlisted</v>
      </c>
      <c r="O932" s="174" t="str">
        <f>IFERROR(__xludf.DUMMYFUNCTION("""COMPUTED_VALUE"""),"Unlisted")</f>
        <v>Unlisted</v>
      </c>
      <c r="P932" s="174" t="str">
        <f>IFERROR(__xludf.DUMMYFUNCTION("""COMPUTED_VALUE"""),"Unlisted")</f>
        <v>Unlisted</v>
      </c>
      <c r="Q932" s="174" t="str">
        <f>IFERROR(__xludf.DUMMYFUNCTION("""COMPUTED_VALUE"""),"Unlisted")</f>
        <v>Unlisted</v>
      </c>
      <c r="R932" s="174" t="str">
        <f>IFERROR(__xludf.DUMMYFUNCTION("""COMPUTED_VALUE"""),"Unlisted")</f>
        <v>Unlisted</v>
      </c>
    </row>
    <row r="933">
      <c r="A933" s="255" t="str">
        <f>IFERROR(__xludf.DUMMYFUNCTION("""COMPUTED_VALUE"""),"Lycanroc Midday")</f>
        <v>Lycanroc Midday</v>
      </c>
      <c r="B933" s="174" t="str">
        <f>IFERROR(__xludf.DUMMYFUNCTION("""COMPUTED_VALUE"""),"Proficient")</f>
        <v>Proficient</v>
      </c>
      <c r="C933" s="174" t="str">
        <f>IFERROR(__xludf.DUMMYFUNCTION("""COMPUTED_VALUE"""),"Proficient")</f>
        <v>Proficient</v>
      </c>
      <c r="D933" s="174" t="str">
        <f>IFERROR(__xludf.DUMMYFUNCTION("""COMPUTED_VALUE"""),"Unlisted")</f>
        <v>Unlisted</v>
      </c>
      <c r="E933" s="174" t="str">
        <f>IFERROR(__xludf.DUMMYFUNCTION("""COMPUTED_VALUE"""),"Mastered")</f>
        <v>Mastered</v>
      </c>
      <c r="F933" s="174" t="str">
        <f>IFERROR(__xludf.DUMMYFUNCTION("""COMPUTED_VALUE"""),"Unlisted")</f>
        <v>Unlisted</v>
      </c>
      <c r="G933" s="174" t="str">
        <f>IFERROR(__xludf.DUMMYFUNCTION("""COMPUTED_VALUE"""),"Unlisted")</f>
        <v>Unlisted</v>
      </c>
      <c r="H933" s="174" t="str">
        <f>IFERROR(__xludf.DUMMYFUNCTION("""COMPUTED_VALUE"""),"Unlisted")</f>
        <v>Unlisted</v>
      </c>
      <c r="I933" s="174" t="str">
        <f>IFERROR(__xludf.DUMMYFUNCTION("""COMPUTED_VALUE"""),"Unlisted")</f>
        <v>Unlisted</v>
      </c>
      <c r="J933" s="174" t="str">
        <f>IFERROR(__xludf.DUMMYFUNCTION("""COMPUTED_VALUE"""),"Unlisted")</f>
        <v>Unlisted</v>
      </c>
      <c r="K933" s="174" t="str">
        <f>IFERROR(__xludf.DUMMYFUNCTION("""COMPUTED_VALUE"""),"Unlisted")</f>
        <v>Unlisted</v>
      </c>
      <c r="L933" s="174" t="str">
        <f>IFERROR(__xludf.DUMMYFUNCTION("""COMPUTED_VALUE"""),"Unlisted")</f>
        <v>Unlisted</v>
      </c>
      <c r="M933" s="174" t="str">
        <f>IFERROR(__xludf.DUMMYFUNCTION("""COMPUTED_VALUE"""),"Unlisted")</f>
        <v>Unlisted</v>
      </c>
      <c r="N933" s="174" t="str">
        <f>IFERROR(__xludf.DUMMYFUNCTION("""COMPUTED_VALUE"""),"Unlisted")</f>
        <v>Unlisted</v>
      </c>
      <c r="O933" s="174" t="str">
        <f>IFERROR(__xludf.DUMMYFUNCTION("""COMPUTED_VALUE"""),"Unlisted")</f>
        <v>Unlisted</v>
      </c>
      <c r="P933" s="174" t="str">
        <f>IFERROR(__xludf.DUMMYFUNCTION("""COMPUTED_VALUE"""),"Unlisted")</f>
        <v>Unlisted</v>
      </c>
      <c r="Q933" s="174" t="str">
        <f>IFERROR(__xludf.DUMMYFUNCTION("""COMPUTED_VALUE"""),"Unlisted")</f>
        <v>Unlisted</v>
      </c>
      <c r="R933" s="174" t="str">
        <f>IFERROR(__xludf.DUMMYFUNCTION("""COMPUTED_VALUE"""),"Unlisted")</f>
        <v>Unlisted</v>
      </c>
    </row>
    <row r="934">
      <c r="A934" s="255" t="str">
        <f>IFERROR(__xludf.DUMMYFUNCTION("""COMPUTED_VALUE"""),"Lycanroc Midnight")</f>
        <v>Lycanroc Midnight</v>
      </c>
      <c r="B934" s="174" t="str">
        <f>IFERROR(__xludf.DUMMYFUNCTION("""COMPUTED_VALUE"""),"Unlisted")</f>
        <v>Unlisted</v>
      </c>
      <c r="C934" s="174" t="str">
        <f>IFERROR(__xludf.DUMMYFUNCTION("""COMPUTED_VALUE"""),"Unlisted")</f>
        <v>Unlisted</v>
      </c>
      <c r="D934" s="174" t="str">
        <f>IFERROR(__xludf.DUMMYFUNCTION("""COMPUTED_VALUE"""),"Unlisted")</f>
        <v>Unlisted</v>
      </c>
      <c r="E934" s="174" t="str">
        <f>IFERROR(__xludf.DUMMYFUNCTION("""COMPUTED_VALUE"""),"Mastered")</f>
        <v>Mastered</v>
      </c>
      <c r="F934" s="174" t="str">
        <f>IFERROR(__xludf.DUMMYFUNCTION("""COMPUTED_VALUE"""),"Unlisted")</f>
        <v>Unlisted</v>
      </c>
      <c r="G934" s="174" t="str">
        <f>IFERROR(__xludf.DUMMYFUNCTION("""COMPUTED_VALUE"""),"Unlisted")</f>
        <v>Unlisted</v>
      </c>
      <c r="H934" s="174" t="str">
        <f>IFERROR(__xludf.DUMMYFUNCTION("""COMPUTED_VALUE"""),"Unlisted")</f>
        <v>Unlisted</v>
      </c>
      <c r="I934" s="174" t="str">
        <f>IFERROR(__xludf.DUMMYFUNCTION("""COMPUTED_VALUE"""),"Proficient")</f>
        <v>Proficient</v>
      </c>
      <c r="J934" s="174" t="str">
        <f>IFERROR(__xludf.DUMMYFUNCTION("""COMPUTED_VALUE"""),"Unlisted")</f>
        <v>Unlisted</v>
      </c>
      <c r="K934" s="174" t="str">
        <f>IFERROR(__xludf.DUMMYFUNCTION("""COMPUTED_VALUE"""),"Unlisted")</f>
        <v>Unlisted</v>
      </c>
      <c r="L934" s="174" t="str">
        <f>IFERROR(__xludf.DUMMYFUNCTION("""COMPUTED_VALUE"""),"Proficient")</f>
        <v>Proficient</v>
      </c>
      <c r="M934" s="174" t="str">
        <f>IFERROR(__xludf.DUMMYFUNCTION("""COMPUTED_VALUE"""),"Unlisted")</f>
        <v>Unlisted</v>
      </c>
      <c r="N934" s="174" t="str">
        <f>IFERROR(__xludf.DUMMYFUNCTION("""COMPUTED_VALUE"""),"Unlisted")</f>
        <v>Unlisted</v>
      </c>
      <c r="O934" s="174" t="str">
        <f>IFERROR(__xludf.DUMMYFUNCTION("""COMPUTED_VALUE"""),"Unlisted")</f>
        <v>Unlisted</v>
      </c>
      <c r="P934" s="174" t="str">
        <f>IFERROR(__xludf.DUMMYFUNCTION("""COMPUTED_VALUE"""),"Unlisted")</f>
        <v>Unlisted</v>
      </c>
      <c r="Q934" s="174" t="str">
        <f>IFERROR(__xludf.DUMMYFUNCTION("""COMPUTED_VALUE"""),"Unlisted")</f>
        <v>Unlisted</v>
      </c>
      <c r="R934" s="174" t="str">
        <f>IFERROR(__xludf.DUMMYFUNCTION("""COMPUTED_VALUE"""),"Unlisted")</f>
        <v>Unlisted</v>
      </c>
    </row>
    <row r="935">
      <c r="A935" s="255" t="str">
        <f>IFERROR(__xludf.DUMMYFUNCTION("""COMPUTED_VALUE"""),"Lycanroc Dusk")</f>
        <v>Lycanroc Dusk</v>
      </c>
      <c r="B935" s="174" t="str">
        <f>IFERROR(__xludf.DUMMYFUNCTION("""COMPUTED_VALUE"""),"Proficient")</f>
        <v>Proficient</v>
      </c>
      <c r="C935" s="174" t="str">
        <f>IFERROR(__xludf.DUMMYFUNCTION("""COMPUTED_VALUE"""),"Unlisted")</f>
        <v>Unlisted</v>
      </c>
      <c r="D935" s="174" t="str">
        <f>IFERROR(__xludf.DUMMYFUNCTION("""COMPUTED_VALUE"""),"Unlisted")</f>
        <v>Unlisted</v>
      </c>
      <c r="E935" s="174" t="str">
        <f>IFERROR(__xludf.DUMMYFUNCTION("""COMPUTED_VALUE"""),"Mastered")</f>
        <v>Mastered</v>
      </c>
      <c r="F935" s="174" t="str">
        <f>IFERROR(__xludf.DUMMYFUNCTION("""COMPUTED_VALUE"""),"Unlisted")</f>
        <v>Unlisted</v>
      </c>
      <c r="G935" s="174" t="str">
        <f>IFERROR(__xludf.DUMMYFUNCTION("""COMPUTED_VALUE"""),"Unlisted")</f>
        <v>Unlisted</v>
      </c>
      <c r="H935" s="174" t="str">
        <f>IFERROR(__xludf.DUMMYFUNCTION("""COMPUTED_VALUE"""),"Unlisted")</f>
        <v>Unlisted</v>
      </c>
      <c r="I935" s="174" t="str">
        <f>IFERROR(__xludf.DUMMYFUNCTION("""COMPUTED_VALUE"""),"Unlisted")</f>
        <v>Unlisted</v>
      </c>
      <c r="J935" s="174" t="str">
        <f>IFERROR(__xludf.DUMMYFUNCTION("""COMPUTED_VALUE"""),"Unlisted")</f>
        <v>Unlisted</v>
      </c>
      <c r="K935" s="174" t="str">
        <f>IFERROR(__xludf.DUMMYFUNCTION("""COMPUTED_VALUE"""),"Unlisted")</f>
        <v>Unlisted</v>
      </c>
      <c r="L935" s="174" t="str">
        <f>IFERROR(__xludf.DUMMYFUNCTION("""COMPUTED_VALUE"""),"Proficient")</f>
        <v>Proficient</v>
      </c>
      <c r="M935" s="174" t="str">
        <f>IFERROR(__xludf.DUMMYFUNCTION("""COMPUTED_VALUE"""),"Unlisted")</f>
        <v>Unlisted</v>
      </c>
      <c r="N935" s="174" t="str">
        <f>IFERROR(__xludf.DUMMYFUNCTION("""COMPUTED_VALUE"""),"Unlisted")</f>
        <v>Unlisted</v>
      </c>
      <c r="O935" s="174" t="str">
        <f>IFERROR(__xludf.DUMMYFUNCTION("""COMPUTED_VALUE"""),"Unlisted")</f>
        <v>Unlisted</v>
      </c>
      <c r="P935" s="174" t="str">
        <f>IFERROR(__xludf.DUMMYFUNCTION("""COMPUTED_VALUE"""),"Unlisted")</f>
        <v>Unlisted</v>
      </c>
      <c r="Q935" s="174" t="str">
        <f>IFERROR(__xludf.DUMMYFUNCTION("""COMPUTED_VALUE"""),"Unlisted")</f>
        <v>Unlisted</v>
      </c>
      <c r="R935" s="174" t="str">
        <f>IFERROR(__xludf.DUMMYFUNCTION("""COMPUTED_VALUE"""),"Unlisted")</f>
        <v>Unlisted</v>
      </c>
    </row>
    <row r="936">
      <c r="A936" s="255" t="str">
        <f>IFERROR(__xludf.DUMMYFUNCTION("""COMPUTED_VALUE"""),"Glimmet")</f>
        <v>Glimmet</v>
      </c>
      <c r="B936" s="174" t="str">
        <f>IFERROR(__xludf.DUMMYFUNCTION("""COMPUTED_VALUE"""),"Inept")</f>
        <v>Inept</v>
      </c>
      <c r="C936" s="174" t="str">
        <f>IFERROR(__xludf.DUMMYFUNCTION("""COMPUTED_VALUE"""),"Unlisted")</f>
        <v>Unlisted</v>
      </c>
      <c r="D936" s="174" t="str">
        <f>IFERROR(__xludf.DUMMYFUNCTION("""COMPUTED_VALUE"""),"Unlisted")</f>
        <v>Unlisted</v>
      </c>
      <c r="E936" s="174" t="str">
        <f>IFERROR(__xludf.DUMMYFUNCTION("""COMPUTED_VALUE"""),"Unlisted")</f>
        <v>Unlisted</v>
      </c>
      <c r="F936" s="174" t="str">
        <f>IFERROR(__xludf.DUMMYFUNCTION("""COMPUTED_VALUE"""),"Unlisted")</f>
        <v>Unlisted</v>
      </c>
      <c r="G936" s="174" t="str">
        <f>IFERROR(__xludf.DUMMYFUNCTION("""COMPUTED_VALUE"""),"Proficient")</f>
        <v>Proficient</v>
      </c>
      <c r="H936" s="174" t="str">
        <f>IFERROR(__xludf.DUMMYFUNCTION("""COMPUTED_VALUE"""),"Unlisted")</f>
        <v>Unlisted</v>
      </c>
      <c r="I936" s="174" t="str">
        <f>IFERROR(__xludf.DUMMYFUNCTION("""COMPUTED_VALUE"""),"Unlisted")</f>
        <v>Unlisted</v>
      </c>
      <c r="J936" s="174" t="str">
        <f>IFERROR(__xludf.DUMMYFUNCTION("""COMPUTED_VALUE"""),"Unlisted")</f>
        <v>Unlisted</v>
      </c>
      <c r="K936" s="174" t="str">
        <f>IFERROR(__xludf.DUMMYFUNCTION("""COMPUTED_VALUE"""),"Unlisted")</f>
        <v>Unlisted</v>
      </c>
      <c r="L936" s="174" t="str">
        <f>IFERROR(__xludf.DUMMYFUNCTION("""COMPUTED_VALUE"""),"Unlisted")</f>
        <v>Unlisted</v>
      </c>
      <c r="M936" s="174" t="str">
        <f>IFERROR(__xludf.DUMMYFUNCTION("""COMPUTED_VALUE"""),"Unlisted")</f>
        <v>Unlisted</v>
      </c>
      <c r="N936" s="174" t="str">
        <f>IFERROR(__xludf.DUMMYFUNCTION("""COMPUTED_VALUE"""),"Unlisted")</f>
        <v>Unlisted</v>
      </c>
      <c r="O936" s="174" t="str">
        <f>IFERROR(__xludf.DUMMYFUNCTION("""COMPUTED_VALUE"""),"Unlisted")</f>
        <v>Unlisted</v>
      </c>
      <c r="P936" s="174" t="str">
        <f>IFERROR(__xludf.DUMMYFUNCTION("""COMPUTED_VALUE"""),"Unlisted")</f>
        <v>Unlisted</v>
      </c>
      <c r="Q936" s="174" t="str">
        <f>IFERROR(__xludf.DUMMYFUNCTION("""COMPUTED_VALUE"""),"Unlisted")</f>
        <v>Unlisted</v>
      </c>
      <c r="R936" s="174" t="str">
        <f>IFERROR(__xludf.DUMMYFUNCTION("""COMPUTED_VALUE"""),"Unlisted")</f>
        <v>Unlisted</v>
      </c>
    </row>
    <row r="937">
      <c r="A937" s="255" t="str">
        <f>IFERROR(__xludf.DUMMYFUNCTION("""COMPUTED_VALUE"""),"Glimmora")</f>
        <v>Glimmora</v>
      </c>
      <c r="B937" s="174" t="str">
        <f>IFERROR(__xludf.DUMMYFUNCTION("""COMPUTED_VALUE"""),"Inept")</f>
        <v>Inept</v>
      </c>
      <c r="C937" s="174" t="str">
        <f>IFERROR(__xludf.DUMMYFUNCTION("""COMPUTED_VALUE"""),"Unlisted")</f>
        <v>Unlisted</v>
      </c>
      <c r="D937" s="174" t="str">
        <f>IFERROR(__xludf.DUMMYFUNCTION("""COMPUTED_VALUE"""),"Unlisted")</f>
        <v>Unlisted</v>
      </c>
      <c r="E937" s="174" t="str">
        <f>IFERROR(__xludf.DUMMYFUNCTION("""COMPUTED_VALUE"""),"Unlisted")</f>
        <v>Unlisted</v>
      </c>
      <c r="F937" s="174" t="str">
        <f>IFERROR(__xludf.DUMMYFUNCTION("""COMPUTED_VALUE"""),"Unlisted")</f>
        <v>Unlisted</v>
      </c>
      <c r="G937" s="174" t="str">
        <f>IFERROR(__xludf.DUMMYFUNCTION("""COMPUTED_VALUE"""),"Proficient")</f>
        <v>Proficient</v>
      </c>
      <c r="H937" s="174" t="str">
        <f>IFERROR(__xludf.DUMMYFUNCTION("""COMPUTED_VALUE"""),"Unlisted")</f>
        <v>Unlisted</v>
      </c>
      <c r="I937" s="174" t="str">
        <f>IFERROR(__xludf.DUMMYFUNCTION("""COMPUTED_VALUE"""),"Unlisted")</f>
        <v>Unlisted</v>
      </c>
      <c r="J937" s="174" t="str">
        <f>IFERROR(__xludf.DUMMYFUNCTION("""COMPUTED_VALUE"""),"Unlisted")</f>
        <v>Unlisted</v>
      </c>
      <c r="K937" s="174" t="str">
        <f>IFERROR(__xludf.DUMMYFUNCTION("""COMPUTED_VALUE"""),"Unlisted")</f>
        <v>Unlisted</v>
      </c>
      <c r="L937" s="174" t="str">
        <f>IFERROR(__xludf.DUMMYFUNCTION("""COMPUTED_VALUE"""),"Unlisted")</f>
        <v>Unlisted</v>
      </c>
      <c r="M937" s="174" t="str">
        <f>IFERROR(__xludf.DUMMYFUNCTION("""COMPUTED_VALUE"""),"Unlisted")</f>
        <v>Unlisted</v>
      </c>
      <c r="N937" s="174" t="str">
        <f>IFERROR(__xludf.DUMMYFUNCTION("""COMPUTED_VALUE"""),"Unlisted")</f>
        <v>Unlisted</v>
      </c>
      <c r="O937" s="174" t="str">
        <f>IFERROR(__xludf.DUMMYFUNCTION("""COMPUTED_VALUE"""),"Unlisted")</f>
        <v>Unlisted</v>
      </c>
      <c r="P937" s="174" t="str">
        <f>IFERROR(__xludf.DUMMYFUNCTION("""COMPUTED_VALUE"""),"Unlisted")</f>
        <v>Unlisted</v>
      </c>
      <c r="Q937" s="174" t="str">
        <f>IFERROR(__xludf.DUMMYFUNCTION("""COMPUTED_VALUE"""),"Unlisted")</f>
        <v>Unlisted</v>
      </c>
      <c r="R937" s="174" t="str">
        <f>IFERROR(__xludf.DUMMYFUNCTION("""COMPUTED_VALUE"""),"Unlisted")</f>
        <v>Unlisted</v>
      </c>
    </row>
    <row r="938">
      <c r="A938" s="255" t="str">
        <f>IFERROR(__xludf.DUMMYFUNCTION("""COMPUTED_VALUE"""),"Bronzor")</f>
        <v>Bronzor</v>
      </c>
      <c r="B938" s="174" t="str">
        <f>IFERROR(__xludf.DUMMYFUNCTION("""COMPUTED_VALUE"""),"Unlisted")</f>
        <v>Unlisted</v>
      </c>
      <c r="C938" s="174" t="str">
        <f>IFERROR(__xludf.DUMMYFUNCTION("""COMPUTED_VALUE"""),"Unlisted")</f>
        <v>Unlisted</v>
      </c>
      <c r="D938" s="174" t="str">
        <f>IFERROR(__xludf.DUMMYFUNCTION("""COMPUTED_VALUE"""),"Unlisted")</f>
        <v>Unlisted</v>
      </c>
      <c r="E938" s="174" t="str">
        <f>IFERROR(__xludf.DUMMYFUNCTION("""COMPUTED_VALUE"""),"Unlisted")</f>
        <v>Unlisted</v>
      </c>
      <c r="F938" s="174" t="str">
        <f>IFERROR(__xludf.DUMMYFUNCTION("""COMPUTED_VALUE"""),"Unlisted")</f>
        <v>Unlisted</v>
      </c>
      <c r="G938" s="174" t="str">
        <f>IFERROR(__xludf.DUMMYFUNCTION("""COMPUTED_VALUE"""),"Mastered")</f>
        <v>Mastered</v>
      </c>
      <c r="H938" s="174" t="str">
        <f>IFERROR(__xludf.DUMMYFUNCTION("""COMPUTED_VALUE"""),"Unlisted")</f>
        <v>Unlisted</v>
      </c>
      <c r="I938" s="174" t="str">
        <f>IFERROR(__xludf.DUMMYFUNCTION("""COMPUTED_VALUE"""),"Unlisted")</f>
        <v>Unlisted</v>
      </c>
      <c r="J938" s="174" t="str">
        <f>IFERROR(__xludf.DUMMYFUNCTION("""COMPUTED_VALUE"""),"Proficient")</f>
        <v>Proficient</v>
      </c>
      <c r="K938" s="174" t="str">
        <f>IFERROR(__xludf.DUMMYFUNCTION("""COMPUTED_VALUE"""),"Proficient")</f>
        <v>Proficient</v>
      </c>
      <c r="L938" s="174" t="str">
        <f>IFERROR(__xludf.DUMMYFUNCTION("""COMPUTED_VALUE"""),"Unlisted")</f>
        <v>Unlisted</v>
      </c>
      <c r="M938" s="174" t="str">
        <f>IFERROR(__xludf.DUMMYFUNCTION("""COMPUTED_VALUE"""),"Unlisted")</f>
        <v>Unlisted</v>
      </c>
      <c r="N938" s="174" t="str">
        <f>IFERROR(__xludf.DUMMYFUNCTION("""COMPUTED_VALUE"""),"Unlisted")</f>
        <v>Unlisted</v>
      </c>
      <c r="O938" s="174" t="str">
        <f>IFERROR(__xludf.DUMMYFUNCTION("""COMPUTED_VALUE"""),"Unlisted")</f>
        <v>Unlisted</v>
      </c>
      <c r="P938" s="174" t="str">
        <f>IFERROR(__xludf.DUMMYFUNCTION("""COMPUTED_VALUE"""),"Unlisted")</f>
        <v>Unlisted</v>
      </c>
      <c r="Q938" s="174" t="str">
        <f>IFERROR(__xludf.DUMMYFUNCTION("""COMPUTED_VALUE"""),"Unlisted")</f>
        <v>Unlisted</v>
      </c>
      <c r="R938" s="174" t="str">
        <f>IFERROR(__xludf.DUMMYFUNCTION("""COMPUTED_VALUE"""),"Unlisted")</f>
        <v>Unlisted</v>
      </c>
    </row>
    <row r="939">
      <c r="A939" s="255" t="str">
        <f>IFERROR(__xludf.DUMMYFUNCTION("""COMPUTED_VALUE"""),"Bronzong")</f>
        <v>Bronzong</v>
      </c>
      <c r="B939" s="174" t="str">
        <f>IFERROR(__xludf.DUMMYFUNCTION("""COMPUTED_VALUE"""),"Unlisted")</f>
        <v>Unlisted</v>
      </c>
      <c r="C939" s="174" t="str">
        <f>IFERROR(__xludf.DUMMYFUNCTION("""COMPUTED_VALUE"""),"Unlisted")</f>
        <v>Unlisted</v>
      </c>
      <c r="D939" s="174" t="str">
        <f>IFERROR(__xludf.DUMMYFUNCTION("""COMPUTED_VALUE"""),"Unlisted")</f>
        <v>Unlisted</v>
      </c>
      <c r="E939" s="174" t="str">
        <f>IFERROR(__xludf.DUMMYFUNCTION("""COMPUTED_VALUE"""),"Unlisted")</f>
        <v>Unlisted</v>
      </c>
      <c r="F939" s="174" t="str">
        <f>IFERROR(__xludf.DUMMYFUNCTION("""COMPUTED_VALUE"""),"Unlisted")</f>
        <v>Unlisted</v>
      </c>
      <c r="G939" s="174" t="str">
        <f>IFERROR(__xludf.DUMMYFUNCTION("""COMPUTED_VALUE"""),"Mastered")</f>
        <v>Mastered</v>
      </c>
      <c r="H939" s="174" t="str">
        <f>IFERROR(__xludf.DUMMYFUNCTION("""COMPUTED_VALUE"""),"Unlisted")</f>
        <v>Unlisted</v>
      </c>
      <c r="I939" s="174" t="str">
        <f>IFERROR(__xludf.DUMMYFUNCTION("""COMPUTED_VALUE"""),"Unlisted")</f>
        <v>Unlisted</v>
      </c>
      <c r="J939" s="174" t="str">
        <f>IFERROR(__xludf.DUMMYFUNCTION("""COMPUTED_VALUE"""),"Proficient")</f>
        <v>Proficient</v>
      </c>
      <c r="K939" s="174" t="str">
        <f>IFERROR(__xludf.DUMMYFUNCTION("""COMPUTED_VALUE"""),"Proficient")</f>
        <v>Proficient</v>
      </c>
      <c r="L939" s="174" t="str">
        <f>IFERROR(__xludf.DUMMYFUNCTION("""COMPUTED_VALUE"""),"Unlisted")</f>
        <v>Unlisted</v>
      </c>
      <c r="M939" s="174" t="str">
        <f>IFERROR(__xludf.DUMMYFUNCTION("""COMPUTED_VALUE"""),"Unlisted")</f>
        <v>Unlisted</v>
      </c>
      <c r="N939" s="174" t="str">
        <f>IFERROR(__xludf.DUMMYFUNCTION("""COMPUTED_VALUE"""),"Unlisted")</f>
        <v>Unlisted</v>
      </c>
      <c r="O939" s="174" t="str">
        <f>IFERROR(__xludf.DUMMYFUNCTION("""COMPUTED_VALUE"""),"Unlisted")</f>
        <v>Unlisted</v>
      </c>
      <c r="P939" s="174" t="str">
        <f>IFERROR(__xludf.DUMMYFUNCTION("""COMPUTED_VALUE"""),"Unlisted")</f>
        <v>Unlisted</v>
      </c>
      <c r="Q939" s="174" t="str">
        <f>IFERROR(__xludf.DUMMYFUNCTION("""COMPUTED_VALUE"""),"Unlisted")</f>
        <v>Unlisted</v>
      </c>
      <c r="R939" s="174" t="str">
        <f>IFERROR(__xludf.DUMMYFUNCTION("""COMPUTED_VALUE"""),"Unlisted")</f>
        <v>Unlisted</v>
      </c>
    </row>
    <row r="940">
      <c r="A940" s="255" t="str">
        <f>IFERROR(__xludf.DUMMYFUNCTION("""COMPUTED_VALUE"""),"Meltan")</f>
        <v>Meltan</v>
      </c>
      <c r="B940" s="174" t="str">
        <f>IFERROR(__xludf.DUMMYFUNCTION("""COMPUTED_VALUE"""),"Unlisted")</f>
        <v>Unlisted</v>
      </c>
      <c r="C940" s="174" t="str">
        <f>IFERROR(__xludf.DUMMYFUNCTION("""COMPUTED_VALUE"""),"Unlisted")</f>
        <v>Unlisted</v>
      </c>
      <c r="D940" s="174" t="str">
        <f>IFERROR(__xludf.DUMMYFUNCTION("""COMPUTED_VALUE"""),"Unlisted")</f>
        <v>Unlisted</v>
      </c>
      <c r="E940" s="174" t="str">
        <f>IFERROR(__xludf.DUMMYFUNCTION("""COMPUTED_VALUE"""),"Unlisted")</f>
        <v>Unlisted</v>
      </c>
      <c r="F940" s="174" t="str">
        <f>IFERROR(__xludf.DUMMYFUNCTION("""COMPUTED_VALUE"""),"Unlisted")</f>
        <v>Unlisted</v>
      </c>
      <c r="G940" s="174" t="str">
        <f>IFERROR(__xludf.DUMMYFUNCTION("""COMPUTED_VALUE"""),"Proficient")</f>
        <v>Proficient</v>
      </c>
      <c r="H940" s="174" t="str">
        <f>IFERROR(__xludf.DUMMYFUNCTION("""COMPUTED_VALUE"""),"Unlisted")</f>
        <v>Unlisted</v>
      </c>
      <c r="I940" s="174" t="str">
        <f>IFERROR(__xludf.DUMMYFUNCTION("""COMPUTED_VALUE"""),"Unlisted")</f>
        <v>Unlisted</v>
      </c>
      <c r="J940" s="174" t="str">
        <f>IFERROR(__xludf.DUMMYFUNCTION("""COMPUTED_VALUE"""),"Unlisted")</f>
        <v>Unlisted</v>
      </c>
      <c r="K940" s="174" t="str">
        <f>IFERROR(__xludf.DUMMYFUNCTION("""COMPUTED_VALUE"""),"Unlisted")</f>
        <v>Unlisted</v>
      </c>
      <c r="L940" s="174" t="str">
        <f>IFERROR(__xludf.DUMMYFUNCTION("""COMPUTED_VALUE"""),"Proficient")</f>
        <v>Proficient</v>
      </c>
      <c r="M940" s="174" t="str">
        <f>IFERROR(__xludf.DUMMYFUNCTION("""COMPUTED_VALUE"""),"Unlisted")</f>
        <v>Unlisted</v>
      </c>
      <c r="N940" s="174" t="str">
        <f>IFERROR(__xludf.DUMMYFUNCTION("""COMPUTED_VALUE"""),"Unlisted")</f>
        <v>Unlisted</v>
      </c>
      <c r="O940" s="174" t="str">
        <f>IFERROR(__xludf.DUMMYFUNCTION("""COMPUTED_VALUE"""),"Unlisted")</f>
        <v>Unlisted</v>
      </c>
      <c r="P940" s="174" t="str">
        <f>IFERROR(__xludf.DUMMYFUNCTION("""COMPUTED_VALUE"""),"Unlisted")</f>
        <v>Unlisted</v>
      </c>
      <c r="Q940" s="174" t="str">
        <f>IFERROR(__xludf.DUMMYFUNCTION("""COMPUTED_VALUE"""),"Unlisted")</f>
        <v>Unlisted</v>
      </c>
      <c r="R940" s="174" t="str">
        <f>IFERROR(__xludf.DUMMYFUNCTION("""COMPUTED_VALUE"""),"Unlisted")</f>
        <v>Unlisted</v>
      </c>
    </row>
    <row r="941">
      <c r="A941" s="255" t="str">
        <f>IFERROR(__xludf.DUMMYFUNCTION("""COMPUTED_VALUE"""),"Melmetal")</f>
        <v>Melmetal</v>
      </c>
      <c r="B941" s="174" t="str">
        <f>IFERROR(__xludf.DUMMYFUNCTION("""COMPUTED_VALUE"""),"Unlisted")</f>
        <v>Unlisted</v>
      </c>
      <c r="C941" s="174" t="str">
        <f>IFERROR(__xludf.DUMMYFUNCTION("""COMPUTED_VALUE"""),"Mastered")</f>
        <v>Mastered</v>
      </c>
      <c r="D941" s="174" t="str">
        <f>IFERROR(__xludf.DUMMYFUNCTION("""COMPUTED_VALUE"""),"Unlisted")</f>
        <v>Unlisted</v>
      </c>
      <c r="E941" s="174" t="str">
        <f>IFERROR(__xludf.DUMMYFUNCTION("""COMPUTED_VALUE"""),"Proficient")</f>
        <v>Proficient</v>
      </c>
      <c r="F941" s="174" t="str">
        <f>IFERROR(__xludf.DUMMYFUNCTION("""COMPUTED_VALUE"""),"Unlisted")</f>
        <v>Unlisted</v>
      </c>
      <c r="G941" s="174" t="str">
        <f>IFERROR(__xludf.DUMMYFUNCTION("""COMPUTED_VALUE"""),"Proficient")</f>
        <v>Proficient</v>
      </c>
      <c r="H941" s="174" t="str">
        <f>IFERROR(__xludf.DUMMYFUNCTION("""COMPUTED_VALUE"""),"Unlisted")</f>
        <v>Unlisted</v>
      </c>
      <c r="I941" s="174" t="str">
        <f>IFERROR(__xludf.DUMMYFUNCTION("""COMPUTED_VALUE"""),"Unlisted")</f>
        <v>Unlisted</v>
      </c>
      <c r="J941" s="174" t="str">
        <f>IFERROR(__xludf.DUMMYFUNCTION("""COMPUTED_VALUE"""),"Unlisted")</f>
        <v>Unlisted</v>
      </c>
      <c r="K941" s="174" t="str">
        <f>IFERROR(__xludf.DUMMYFUNCTION("""COMPUTED_VALUE"""),"Unlisted")</f>
        <v>Unlisted</v>
      </c>
      <c r="L941" s="174" t="str">
        <f>IFERROR(__xludf.DUMMYFUNCTION("""COMPUTED_VALUE"""),"Unlisted")</f>
        <v>Unlisted</v>
      </c>
      <c r="M941" s="174" t="str">
        <f>IFERROR(__xludf.DUMMYFUNCTION("""COMPUTED_VALUE"""),"Unlisted")</f>
        <v>Unlisted</v>
      </c>
      <c r="N941" s="174" t="str">
        <f>IFERROR(__xludf.DUMMYFUNCTION("""COMPUTED_VALUE"""),"Unlisted")</f>
        <v>Unlisted</v>
      </c>
      <c r="O941" s="174" t="str">
        <f>IFERROR(__xludf.DUMMYFUNCTION("""COMPUTED_VALUE"""),"Unlisted")</f>
        <v>Unlisted</v>
      </c>
      <c r="P941" s="174" t="str">
        <f>IFERROR(__xludf.DUMMYFUNCTION("""COMPUTED_VALUE"""),"Unlisted")</f>
        <v>Unlisted</v>
      </c>
      <c r="Q941" s="174" t="str">
        <f>IFERROR(__xludf.DUMMYFUNCTION("""COMPUTED_VALUE"""),"Unlisted")</f>
        <v>Unlisted</v>
      </c>
      <c r="R941" s="174" t="str">
        <f>IFERROR(__xludf.DUMMYFUNCTION("""COMPUTED_VALUE"""),"Unlisted")</f>
        <v>Unlisted</v>
      </c>
    </row>
    <row r="942">
      <c r="A942" s="255" t="str">
        <f>IFERROR(__xludf.DUMMYFUNCTION("""COMPUTED_VALUE"""),"Cufant")</f>
        <v>Cufant</v>
      </c>
      <c r="B942" s="174" t="str">
        <f>IFERROR(__xludf.DUMMYFUNCTION("""COMPUTED_VALUE"""),"Unlisted")</f>
        <v>Unlisted</v>
      </c>
      <c r="C942" s="174" t="str">
        <f>IFERROR(__xludf.DUMMYFUNCTION("""COMPUTED_VALUE"""),"Mastered")</f>
        <v>Mastered</v>
      </c>
      <c r="D942" s="174" t="str">
        <f>IFERROR(__xludf.DUMMYFUNCTION("""COMPUTED_VALUE"""),"Unlisted")</f>
        <v>Unlisted</v>
      </c>
      <c r="E942" s="174" t="str">
        <f>IFERROR(__xludf.DUMMYFUNCTION("""COMPUTED_VALUE"""),"Unlisted")</f>
        <v>Unlisted</v>
      </c>
      <c r="F942" s="174" t="str">
        <f>IFERROR(__xludf.DUMMYFUNCTION("""COMPUTED_VALUE"""),"Unlisted")</f>
        <v>Unlisted</v>
      </c>
      <c r="G942" s="174" t="str">
        <f>IFERROR(__xludf.DUMMYFUNCTION("""COMPUTED_VALUE"""),"Proficient")</f>
        <v>Proficient</v>
      </c>
      <c r="H942" s="174" t="str">
        <f>IFERROR(__xludf.DUMMYFUNCTION("""COMPUTED_VALUE"""),"Unlisted")</f>
        <v>Unlisted</v>
      </c>
      <c r="I942" s="174" t="str">
        <f>IFERROR(__xludf.DUMMYFUNCTION("""COMPUTED_VALUE"""),"Unlisted")</f>
        <v>Unlisted</v>
      </c>
      <c r="J942" s="174" t="str">
        <f>IFERROR(__xludf.DUMMYFUNCTION("""COMPUTED_VALUE"""),"Proficient")</f>
        <v>Proficient</v>
      </c>
      <c r="K942" s="174" t="str">
        <f>IFERROR(__xludf.DUMMYFUNCTION("""COMPUTED_VALUE"""),"Unlisted")</f>
        <v>Unlisted</v>
      </c>
      <c r="L942" s="174" t="str">
        <f>IFERROR(__xludf.DUMMYFUNCTION("""COMPUTED_VALUE"""),"Unlisted")</f>
        <v>Unlisted</v>
      </c>
      <c r="M942" s="174" t="str">
        <f>IFERROR(__xludf.DUMMYFUNCTION("""COMPUTED_VALUE"""),"Unlisted")</f>
        <v>Unlisted</v>
      </c>
      <c r="N942" s="174" t="str">
        <f>IFERROR(__xludf.DUMMYFUNCTION("""COMPUTED_VALUE"""),"Unlisted")</f>
        <v>Unlisted</v>
      </c>
      <c r="O942" s="174" t="str">
        <f>IFERROR(__xludf.DUMMYFUNCTION("""COMPUTED_VALUE"""),"Unlisted")</f>
        <v>Unlisted</v>
      </c>
      <c r="P942" s="174" t="str">
        <f>IFERROR(__xludf.DUMMYFUNCTION("""COMPUTED_VALUE"""),"Unlisted")</f>
        <v>Unlisted</v>
      </c>
      <c r="Q942" s="174" t="str">
        <f>IFERROR(__xludf.DUMMYFUNCTION("""COMPUTED_VALUE"""),"Unlisted")</f>
        <v>Unlisted</v>
      </c>
      <c r="R942" s="174" t="str">
        <f>IFERROR(__xludf.DUMMYFUNCTION("""COMPUTED_VALUE"""),"Unlisted")</f>
        <v>Unlisted</v>
      </c>
    </row>
    <row r="943">
      <c r="A943" s="255" t="str">
        <f>IFERROR(__xludf.DUMMYFUNCTION("""COMPUTED_VALUE"""),"Copperajah")</f>
        <v>Copperajah</v>
      </c>
      <c r="B943" s="174" t="str">
        <f>IFERROR(__xludf.DUMMYFUNCTION("""COMPUTED_VALUE"""),"Unlisted")</f>
        <v>Unlisted</v>
      </c>
      <c r="C943" s="174" t="str">
        <f>IFERROR(__xludf.DUMMYFUNCTION("""COMPUTED_VALUE"""),"Mastered")</f>
        <v>Mastered</v>
      </c>
      <c r="D943" s="174" t="str">
        <f>IFERROR(__xludf.DUMMYFUNCTION("""COMPUTED_VALUE"""),"Unlisted")</f>
        <v>Unlisted</v>
      </c>
      <c r="E943" s="174" t="str">
        <f>IFERROR(__xludf.DUMMYFUNCTION("""COMPUTED_VALUE"""),"Unlisted")</f>
        <v>Unlisted</v>
      </c>
      <c r="F943" s="174" t="str">
        <f>IFERROR(__xludf.DUMMYFUNCTION("""COMPUTED_VALUE"""),"Unlisted")</f>
        <v>Unlisted</v>
      </c>
      <c r="G943" s="174" t="str">
        <f>IFERROR(__xludf.DUMMYFUNCTION("""COMPUTED_VALUE"""),"Proficient")</f>
        <v>Proficient</v>
      </c>
      <c r="H943" s="174" t="str">
        <f>IFERROR(__xludf.DUMMYFUNCTION("""COMPUTED_VALUE"""),"Unlisted")</f>
        <v>Unlisted</v>
      </c>
      <c r="I943" s="174" t="str">
        <f>IFERROR(__xludf.DUMMYFUNCTION("""COMPUTED_VALUE"""),"Unlisted")</f>
        <v>Unlisted</v>
      </c>
      <c r="J943" s="174" t="str">
        <f>IFERROR(__xludf.DUMMYFUNCTION("""COMPUTED_VALUE"""),"Proficient")</f>
        <v>Proficient</v>
      </c>
      <c r="K943" s="174" t="str">
        <f>IFERROR(__xludf.DUMMYFUNCTION("""COMPUTED_VALUE"""),"Unlisted")</f>
        <v>Unlisted</v>
      </c>
      <c r="L943" s="174" t="str">
        <f>IFERROR(__xludf.DUMMYFUNCTION("""COMPUTED_VALUE"""),"Unlisted")</f>
        <v>Unlisted</v>
      </c>
      <c r="M943" s="174" t="str">
        <f>IFERROR(__xludf.DUMMYFUNCTION("""COMPUTED_VALUE"""),"Unlisted")</f>
        <v>Unlisted</v>
      </c>
      <c r="N943" s="174" t="str">
        <f>IFERROR(__xludf.DUMMYFUNCTION("""COMPUTED_VALUE"""),"Unlisted")</f>
        <v>Unlisted</v>
      </c>
      <c r="O943" s="174" t="str">
        <f>IFERROR(__xludf.DUMMYFUNCTION("""COMPUTED_VALUE"""),"Unlisted")</f>
        <v>Unlisted</v>
      </c>
      <c r="P943" s="174" t="str">
        <f>IFERROR(__xludf.DUMMYFUNCTION("""COMPUTED_VALUE"""),"Unlisted")</f>
        <v>Unlisted</v>
      </c>
      <c r="Q943" s="174" t="str">
        <f>IFERROR(__xludf.DUMMYFUNCTION("""COMPUTED_VALUE"""),"Unlisted")</f>
        <v>Unlisted</v>
      </c>
      <c r="R943" s="174" t="str">
        <f>IFERROR(__xludf.DUMMYFUNCTION("""COMPUTED_VALUE"""),"Unlisted")</f>
        <v>Unlisted</v>
      </c>
    </row>
    <row r="944">
      <c r="A944" s="255" t="str">
        <f>IFERROR(__xludf.DUMMYFUNCTION("""COMPUTED_VALUE"""),"Duraludon")</f>
        <v>Duraludon</v>
      </c>
      <c r="B944" s="174" t="str">
        <f>IFERROR(__xludf.DUMMYFUNCTION("""COMPUTED_VALUE"""),"Unlisted")</f>
        <v>Unlisted</v>
      </c>
      <c r="C944" s="174" t="str">
        <f>IFERROR(__xludf.DUMMYFUNCTION("""COMPUTED_VALUE"""),"Proficient")</f>
        <v>Proficient</v>
      </c>
      <c r="D944" s="174" t="str">
        <f>IFERROR(__xludf.DUMMYFUNCTION("""COMPUTED_VALUE"""),"Unlisted")</f>
        <v>Unlisted</v>
      </c>
      <c r="E944" s="174" t="str">
        <f>IFERROR(__xludf.DUMMYFUNCTION("""COMPUTED_VALUE"""),"Proficient")</f>
        <v>Proficient</v>
      </c>
      <c r="F944" s="174" t="str">
        <f>IFERROR(__xludf.DUMMYFUNCTION("""COMPUTED_VALUE"""),"Unlisted")</f>
        <v>Unlisted</v>
      </c>
      <c r="G944" s="174" t="str">
        <f>IFERROR(__xludf.DUMMYFUNCTION("""COMPUTED_VALUE"""),"Unlisted")</f>
        <v>Unlisted</v>
      </c>
      <c r="H944" s="174" t="str">
        <f>IFERROR(__xludf.DUMMYFUNCTION("""COMPUTED_VALUE"""),"Unlisted")</f>
        <v>Unlisted</v>
      </c>
      <c r="I944" s="174" t="str">
        <f>IFERROR(__xludf.DUMMYFUNCTION("""COMPUTED_VALUE"""),"Unlisted")</f>
        <v>Unlisted</v>
      </c>
      <c r="J944" s="174" t="str">
        <f>IFERROR(__xludf.DUMMYFUNCTION("""COMPUTED_VALUE"""),"Unlisted")</f>
        <v>Unlisted</v>
      </c>
      <c r="K944" s="174" t="str">
        <f>IFERROR(__xludf.DUMMYFUNCTION("""COMPUTED_VALUE"""),"Mastered")</f>
        <v>Mastered</v>
      </c>
      <c r="L944" s="174" t="str">
        <f>IFERROR(__xludf.DUMMYFUNCTION("""COMPUTED_VALUE"""),"Unlisted")</f>
        <v>Unlisted</v>
      </c>
      <c r="M944" s="174" t="str">
        <f>IFERROR(__xludf.DUMMYFUNCTION("""COMPUTED_VALUE"""),"Unlisted")</f>
        <v>Unlisted</v>
      </c>
      <c r="N944" s="174" t="str">
        <f>IFERROR(__xludf.DUMMYFUNCTION("""COMPUTED_VALUE"""),"Unlisted")</f>
        <v>Unlisted</v>
      </c>
      <c r="O944" s="174" t="str">
        <f>IFERROR(__xludf.DUMMYFUNCTION("""COMPUTED_VALUE"""),"Unlisted")</f>
        <v>Unlisted</v>
      </c>
      <c r="P944" s="174" t="str">
        <f>IFERROR(__xludf.DUMMYFUNCTION("""COMPUTED_VALUE"""),"Unlisted")</f>
        <v>Unlisted</v>
      </c>
      <c r="Q944" s="174" t="str">
        <f>IFERROR(__xludf.DUMMYFUNCTION("""COMPUTED_VALUE"""),"Unlisted")</f>
        <v>Unlisted</v>
      </c>
      <c r="R944" s="174" t="str">
        <f>IFERROR(__xludf.DUMMYFUNCTION("""COMPUTED_VALUE"""),"Unlisted")</f>
        <v>Unlisted</v>
      </c>
    </row>
    <row r="945">
      <c r="A945" s="255" t="str">
        <f>IFERROR(__xludf.DUMMYFUNCTION("""COMPUTED_VALUE"""),"Archaludon")</f>
        <v>Archaludon</v>
      </c>
      <c r="B945" s="174" t="str">
        <f>IFERROR(__xludf.DUMMYFUNCTION("""COMPUTED_VALUE"""),"Unlisted")</f>
        <v>Unlisted</v>
      </c>
      <c r="C945" s="174" t="str">
        <f>IFERROR(__xludf.DUMMYFUNCTION("""COMPUTED_VALUE"""),"Proficient")</f>
        <v>Proficient</v>
      </c>
      <c r="D945" s="174" t="str">
        <f>IFERROR(__xludf.DUMMYFUNCTION("""COMPUTED_VALUE"""),"Unlisted")</f>
        <v>Unlisted</v>
      </c>
      <c r="E945" s="174" t="str">
        <f>IFERROR(__xludf.DUMMYFUNCTION("""COMPUTED_VALUE"""),"Proficient")</f>
        <v>Proficient</v>
      </c>
      <c r="F945" s="174" t="str">
        <f>IFERROR(__xludf.DUMMYFUNCTION("""COMPUTED_VALUE"""),"Unlisted")</f>
        <v>Unlisted</v>
      </c>
      <c r="G945" s="174" t="str">
        <f>IFERROR(__xludf.DUMMYFUNCTION("""COMPUTED_VALUE"""),"Unlisted")</f>
        <v>Unlisted</v>
      </c>
      <c r="H945" s="174" t="str">
        <f>IFERROR(__xludf.DUMMYFUNCTION("""COMPUTED_VALUE"""),"Unlisted")</f>
        <v>Unlisted</v>
      </c>
      <c r="I945" s="174" t="str">
        <f>IFERROR(__xludf.DUMMYFUNCTION("""COMPUTED_VALUE"""),"Unlisted")</f>
        <v>Unlisted</v>
      </c>
      <c r="J945" s="174" t="str">
        <f>IFERROR(__xludf.DUMMYFUNCTION("""COMPUTED_VALUE"""),"Unlisted")</f>
        <v>Unlisted</v>
      </c>
      <c r="K945" s="174" t="str">
        <f>IFERROR(__xludf.DUMMYFUNCTION("""COMPUTED_VALUE"""),"Mastered")</f>
        <v>Mastered</v>
      </c>
      <c r="L945" s="174" t="str">
        <f>IFERROR(__xludf.DUMMYFUNCTION("""COMPUTED_VALUE"""),"Unlisted")</f>
        <v>Unlisted</v>
      </c>
      <c r="M945" s="174" t="str">
        <f>IFERROR(__xludf.DUMMYFUNCTION("""COMPUTED_VALUE"""),"Unlisted")</f>
        <v>Unlisted</v>
      </c>
      <c r="N945" s="174" t="str">
        <f>IFERROR(__xludf.DUMMYFUNCTION("""COMPUTED_VALUE"""),"Unlisted")</f>
        <v>Unlisted</v>
      </c>
      <c r="O945" s="174" t="str">
        <f>IFERROR(__xludf.DUMMYFUNCTION("""COMPUTED_VALUE"""),"Unlisted")</f>
        <v>Unlisted</v>
      </c>
      <c r="P945" s="174" t="str">
        <f>IFERROR(__xludf.DUMMYFUNCTION("""COMPUTED_VALUE"""),"Unlisted")</f>
        <v>Unlisted</v>
      </c>
      <c r="Q945" s="174" t="str">
        <f>IFERROR(__xludf.DUMMYFUNCTION("""COMPUTED_VALUE"""),"Unlisted")</f>
        <v>Unlisted</v>
      </c>
      <c r="R945" s="174" t="str">
        <f>IFERROR(__xludf.DUMMYFUNCTION("""COMPUTED_VALUE"""),"Unlisted")</f>
        <v>Unlisted</v>
      </c>
    </row>
    <row r="946">
      <c r="A946" s="255" t="str">
        <f>IFERROR(__xludf.DUMMYFUNCTION("""COMPUTED_VALUE"""),"Psyduck")</f>
        <v>Psyduck</v>
      </c>
      <c r="B946" s="174" t="str">
        <f>IFERROR(__xludf.DUMMYFUNCTION("""COMPUTED_VALUE"""),"Inept")</f>
        <v>Inept</v>
      </c>
      <c r="C946" s="174" t="str">
        <f>IFERROR(__xludf.DUMMYFUNCTION("""COMPUTED_VALUE"""),"Unlisted")</f>
        <v>Unlisted</v>
      </c>
      <c r="D946" s="174" t="str">
        <f>IFERROR(__xludf.DUMMYFUNCTION("""COMPUTED_VALUE"""),"Unlisted")</f>
        <v>Unlisted</v>
      </c>
      <c r="E946" s="174" t="str">
        <f>IFERROR(__xludf.DUMMYFUNCTION("""COMPUTED_VALUE"""),"Inept")</f>
        <v>Inept</v>
      </c>
      <c r="F946" s="174" t="str">
        <f>IFERROR(__xludf.DUMMYFUNCTION("""COMPUTED_VALUE"""),"Unlisted")</f>
        <v>Unlisted</v>
      </c>
      <c r="G946" s="174" t="str">
        <f>IFERROR(__xludf.DUMMYFUNCTION("""COMPUTED_VALUE"""),"Proficient")</f>
        <v>Proficient</v>
      </c>
      <c r="H946" s="174" t="str">
        <f>IFERROR(__xludf.DUMMYFUNCTION("""COMPUTED_VALUE"""),"Unlisted")</f>
        <v>Unlisted</v>
      </c>
      <c r="I946" s="174" t="str">
        <f>IFERROR(__xludf.DUMMYFUNCTION("""COMPUTED_VALUE"""),"Unlisted")</f>
        <v>Unlisted</v>
      </c>
      <c r="J946" s="174" t="str">
        <f>IFERROR(__xludf.DUMMYFUNCTION("""COMPUTED_VALUE"""),"Inept")</f>
        <v>Inept</v>
      </c>
      <c r="K946" s="174" t="str">
        <f>IFERROR(__xludf.DUMMYFUNCTION("""COMPUTED_VALUE"""),"Inept")</f>
        <v>Inept</v>
      </c>
      <c r="L946" s="174" t="str">
        <f>IFERROR(__xludf.DUMMYFUNCTION("""COMPUTED_VALUE"""),"Unlisted")</f>
        <v>Unlisted</v>
      </c>
      <c r="M946" s="174" t="str">
        <f>IFERROR(__xludf.DUMMYFUNCTION("""COMPUTED_VALUE"""),"Unlisted")</f>
        <v>Unlisted</v>
      </c>
      <c r="N946" s="174" t="str">
        <f>IFERROR(__xludf.DUMMYFUNCTION("""COMPUTED_VALUE"""),"Unlisted")</f>
        <v>Unlisted</v>
      </c>
      <c r="O946" s="174" t="str">
        <f>IFERROR(__xludf.DUMMYFUNCTION("""COMPUTED_VALUE"""),"Unlisted")</f>
        <v>Unlisted</v>
      </c>
      <c r="P946" s="174" t="str">
        <f>IFERROR(__xludf.DUMMYFUNCTION("""COMPUTED_VALUE"""),"Unlisted")</f>
        <v>Unlisted</v>
      </c>
      <c r="Q946" s="174" t="str">
        <f>IFERROR(__xludf.DUMMYFUNCTION("""COMPUTED_VALUE"""),"Unlisted")</f>
        <v>Unlisted</v>
      </c>
      <c r="R946" s="174" t="str">
        <f>IFERROR(__xludf.DUMMYFUNCTION("""COMPUTED_VALUE"""),"Unlisted")</f>
        <v>Unlisted</v>
      </c>
    </row>
    <row r="947">
      <c r="A947" s="255" t="str">
        <f>IFERROR(__xludf.DUMMYFUNCTION("""COMPUTED_VALUE"""),"Golduck")</f>
        <v>Golduck</v>
      </c>
      <c r="B947" s="174" t="str">
        <f>IFERROR(__xludf.DUMMYFUNCTION("""COMPUTED_VALUE"""),"Unlisted")</f>
        <v>Unlisted</v>
      </c>
      <c r="C947" s="174" t="str">
        <f>IFERROR(__xludf.DUMMYFUNCTION("""COMPUTED_VALUE"""),"Unlisted")</f>
        <v>Unlisted</v>
      </c>
      <c r="D947" s="174" t="str">
        <f>IFERROR(__xludf.DUMMYFUNCTION("""COMPUTED_VALUE"""),"Unlisted")</f>
        <v>Unlisted</v>
      </c>
      <c r="E947" s="174" t="str">
        <f>IFERROR(__xludf.DUMMYFUNCTION("""COMPUTED_VALUE"""),"Unlisted")</f>
        <v>Unlisted</v>
      </c>
      <c r="F947" s="174" t="str">
        <f>IFERROR(__xludf.DUMMYFUNCTION("""COMPUTED_VALUE"""),"Unlisted")</f>
        <v>Unlisted</v>
      </c>
      <c r="G947" s="174" t="str">
        <f>IFERROR(__xludf.DUMMYFUNCTION("""COMPUTED_VALUE"""),"Proficient")</f>
        <v>Proficient</v>
      </c>
      <c r="H947" s="174" t="str">
        <f>IFERROR(__xludf.DUMMYFUNCTION("""COMPUTED_VALUE"""),"Unlisted")</f>
        <v>Unlisted</v>
      </c>
      <c r="I947" s="174" t="str">
        <f>IFERROR(__xludf.DUMMYFUNCTION("""COMPUTED_VALUE"""),"Unlisted")</f>
        <v>Unlisted</v>
      </c>
      <c r="J947" s="174" t="str">
        <f>IFERROR(__xludf.DUMMYFUNCTION("""COMPUTED_VALUE"""),"Unlisted")</f>
        <v>Unlisted</v>
      </c>
      <c r="K947" s="174" t="str">
        <f>IFERROR(__xludf.DUMMYFUNCTION("""COMPUTED_VALUE"""),"Proficient")</f>
        <v>Proficient</v>
      </c>
      <c r="L947" s="174" t="str">
        <f>IFERROR(__xludf.DUMMYFUNCTION("""COMPUTED_VALUE"""),"Unlisted")</f>
        <v>Unlisted</v>
      </c>
      <c r="M947" s="174" t="str">
        <f>IFERROR(__xludf.DUMMYFUNCTION("""COMPUTED_VALUE"""),"Unlisted")</f>
        <v>Unlisted</v>
      </c>
      <c r="N947" s="174" t="str">
        <f>IFERROR(__xludf.DUMMYFUNCTION("""COMPUTED_VALUE"""),"Unlisted")</f>
        <v>Unlisted</v>
      </c>
      <c r="O947" s="174" t="str">
        <f>IFERROR(__xludf.DUMMYFUNCTION("""COMPUTED_VALUE"""),"Unlisted")</f>
        <v>Unlisted</v>
      </c>
      <c r="P947" s="174" t="str">
        <f>IFERROR(__xludf.DUMMYFUNCTION("""COMPUTED_VALUE"""),"Unlisted")</f>
        <v>Unlisted</v>
      </c>
      <c r="Q947" s="174" t="str">
        <f>IFERROR(__xludf.DUMMYFUNCTION("""COMPUTED_VALUE"""),"Unlisted")</f>
        <v>Unlisted</v>
      </c>
      <c r="R947" s="174" t="str">
        <f>IFERROR(__xludf.DUMMYFUNCTION("""COMPUTED_VALUE"""),"Unlisted")</f>
        <v>Unlisted</v>
      </c>
    </row>
    <row r="948">
      <c r="A948" s="255" t="str">
        <f>IFERROR(__xludf.DUMMYFUNCTION("""COMPUTED_VALUE"""),"Tentacool")</f>
        <v>Tentacool</v>
      </c>
      <c r="B948" s="174" t="str">
        <f>IFERROR(__xludf.DUMMYFUNCTION("""COMPUTED_VALUE"""),"Unlisted")</f>
        <v>Unlisted</v>
      </c>
      <c r="C948" s="174" t="str">
        <f>IFERROR(__xludf.DUMMYFUNCTION("""COMPUTED_VALUE"""),"Unlisted")</f>
        <v>Unlisted</v>
      </c>
      <c r="D948" s="174" t="str">
        <f>IFERROR(__xludf.DUMMYFUNCTION("""COMPUTED_VALUE"""),"Unlisted")</f>
        <v>Unlisted</v>
      </c>
      <c r="E948" s="174" t="str">
        <f>IFERROR(__xludf.DUMMYFUNCTION("""COMPUTED_VALUE"""),"Unlisted")</f>
        <v>Unlisted</v>
      </c>
      <c r="F948" s="174" t="str">
        <f>IFERROR(__xludf.DUMMYFUNCTION("""COMPUTED_VALUE"""),"Unlisted")</f>
        <v>Unlisted</v>
      </c>
      <c r="G948" s="174" t="str">
        <f>IFERROR(__xludf.DUMMYFUNCTION("""COMPUTED_VALUE"""),"Unlisted")</f>
        <v>Unlisted</v>
      </c>
      <c r="H948" s="174" t="str">
        <f>IFERROR(__xludf.DUMMYFUNCTION("""COMPUTED_VALUE"""),"Unlisted")</f>
        <v>Unlisted</v>
      </c>
      <c r="I948" s="174" t="str">
        <f>IFERROR(__xludf.DUMMYFUNCTION("""COMPUTED_VALUE"""),"Unlisted")</f>
        <v>Unlisted</v>
      </c>
      <c r="J948" s="174" t="str">
        <f>IFERROR(__xludf.DUMMYFUNCTION("""COMPUTED_VALUE"""),"Unlisted")</f>
        <v>Unlisted</v>
      </c>
      <c r="K948" s="174" t="str">
        <f>IFERROR(__xludf.DUMMYFUNCTION("""COMPUTED_VALUE"""),"Unlisted")</f>
        <v>Unlisted</v>
      </c>
      <c r="L948" s="174" t="str">
        <f>IFERROR(__xludf.DUMMYFUNCTION("""COMPUTED_VALUE"""),"Proficient")</f>
        <v>Proficient</v>
      </c>
      <c r="M948" s="174" t="str">
        <f>IFERROR(__xludf.DUMMYFUNCTION("""COMPUTED_VALUE"""),"Unlisted")</f>
        <v>Unlisted</v>
      </c>
      <c r="N948" s="174" t="str">
        <f>IFERROR(__xludf.DUMMYFUNCTION("""COMPUTED_VALUE"""),"Unlisted")</f>
        <v>Unlisted</v>
      </c>
      <c r="O948" s="174" t="str">
        <f>IFERROR(__xludf.DUMMYFUNCTION("""COMPUTED_VALUE"""),"Unlisted")</f>
        <v>Unlisted</v>
      </c>
      <c r="P948" s="174" t="str">
        <f>IFERROR(__xludf.DUMMYFUNCTION("""COMPUTED_VALUE"""),"Unlisted")</f>
        <v>Unlisted</v>
      </c>
      <c r="Q948" s="174" t="str">
        <f>IFERROR(__xludf.DUMMYFUNCTION("""COMPUTED_VALUE"""),"Unlisted")</f>
        <v>Unlisted</v>
      </c>
      <c r="R948" s="174" t="str">
        <f>IFERROR(__xludf.DUMMYFUNCTION("""COMPUTED_VALUE"""),"Unlisted")</f>
        <v>Unlisted</v>
      </c>
    </row>
    <row r="949">
      <c r="A949" s="255" t="str">
        <f>IFERROR(__xludf.DUMMYFUNCTION("""COMPUTED_VALUE"""),"Tentacruel")</f>
        <v>Tentacruel</v>
      </c>
      <c r="B949" s="174" t="str">
        <f>IFERROR(__xludf.DUMMYFUNCTION("""COMPUTED_VALUE"""),"Unlisted")</f>
        <v>Unlisted</v>
      </c>
      <c r="C949" s="174" t="str">
        <f>IFERROR(__xludf.DUMMYFUNCTION("""COMPUTED_VALUE"""),"Proficient")</f>
        <v>Proficient</v>
      </c>
      <c r="D949" s="174" t="str">
        <f>IFERROR(__xludf.DUMMYFUNCTION("""COMPUTED_VALUE"""),"Unlisted")</f>
        <v>Unlisted</v>
      </c>
      <c r="E949" s="174" t="str">
        <f>IFERROR(__xludf.DUMMYFUNCTION("""COMPUTED_VALUE"""),"Unlisted")</f>
        <v>Unlisted</v>
      </c>
      <c r="F949" s="174" t="str">
        <f>IFERROR(__xludf.DUMMYFUNCTION("""COMPUTED_VALUE"""),"Unlisted")</f>
        <v>Unlisted</v>
      </c>
      <c r="G949" s="174" t="str">
        <f>IFERROR(__xludf.DUMMYFUNCTION("""COMPUTED_VALUE"""),"Unlisted")</f>
        <v>Unlisted</v>
      </c>
      <c r="H949" s="174" t="str">
        <f>IFERROR(__xludf.DUMMYFUNCTION("""COMPUTED_VALUE"""),"Unlisted")</f>
        <v>Unlisted</v>
      </c>
      <c r="I949" s="174" t="str">
        <f>IFERROR(__xludf.DUMMYFUNCTION("""COMPUTED_VALUE"""),"Unlisted")</f>
        <v>Unlisted</v>
      </c>
      <c r="J949" s="174" t="str">
        <f>IFERROR(__xludf.DUMMYFUNCTION("""COMPUTED_VALUE"""),"Unlisted")</f>
        <v>Unlisted</v>
      </c>
      <c r="K949" s="174" t="str">
        <f>IFERROR(__xludf.DUMMYFUNCTION("""COMPUTED_VALUE"""),"Unlisted")</f>
        <v>Unlisted</v>
      </c>
      <c r="L949" s="174" t="str">
        <f>IFERROR(__xludf.DUMMYFUNCTION("""COMPUTED_VALUE"""),"Proficient")</f>
        <v>Proficient</v>
      </c>
      <c r="M949" s="174" t="str">
        <f>IFERROR(__xludf.DUMMYFUNCTION("""COMPUTED_VALUE"""),"Unlisted")</f>
        <v>Unlisted</v>
      </c>
      <c r="N949" s="174" t="str">
        <f>IFERROR(__xludf.DUMMYFUNCTION("""COMPUTED_VALUE"""),"Unlisted")</f>
        <v>Unlisted</v>
      </c>
      <c r="O949" s="174" t="str">
        <f>IFERROR(__xludf.DUMMYFUNCTION("""COMPUTED_VALUE"""),"Unlisted")</f>
        <v>Unlisted</v>
      </c>
      <c r="P949" s="174" t="str">
        <f>IFERROR(__xludf.DUMMYFUNCTION("""COMPUTED_VALUE"""),"Unlisted")</f>
        <v>Unlisted</v>
      </c>
      <c r="Q949" s="174" t="str">
        <f>IFERROR(__xludf.DUMMYFUNCTION("""COMPUTED_VALUE"""),"Unlisted")</f>
        <v>Unlisted</v>
      </c>
      <c r="R949" s="174" t="str">
        <f>IFERROR(__xludf.DUMMYFUNCTION("""COMPUTED_VALUE"""),"Unlisted")</f>
        <v>Unlisted</v>
      </c>
    </row>
    <row r="950">
      <c r="A950" s="255" t="str">
        <f>IFERROR(__xludf.DUMMYFUNCTION("""COMPUTED_VALUE"""),"Slowpoke")</f>
        <v>Slowpoke</v>
      </c>
      <c r="B950" s="174" t="str">
        <f>IFERROR(__xludf.DUMMYFUNCTION("""COMPUTED_VALUE"""),"Inept")</f>
        <v>Inept</v>
      </c>
      <c r="C950" s="174" t="str">
        <f>IFERROR(__xludf.DUMMYFUNCTION("""COMPUTED_VALUE"""),"Unlisted")</f>
        <v>Unlisted</v>
      </c>
      <c r="D950" s="174" t="str">
        <f>IFERROR(__xludf.DUMMYFUNCTION("""COMPUTED_VALUE"""),"Unlisted")</f>
        <v>Unlisted</v>
      </c>
      <c r="E950" s="174" t="str">
        <f>IFERROR(__xludf.DUMMYFUNCTION("""COMPUTED_VALUE"""),"Inept")</f>
        <v>Inept</v>
      </c>
      <c r="F950" s="174" t="str">
        <f>IFERROR(__xludf.DUMMYFUNCTION("""COMPUTED_VALUE"""),"Unlisted")</f>
        <v>Unlisted</v>
      </c>
      <c r="G950" s="174" t="str">
        <f>IFERROR(__xludf.DUMMYFUNCTION("""COMPUTED_VALUE"""),"Mastered")</f>
        <v>Mastered</v>
      </c>
      <c r="H950" s="174" t="str">
        <f>IFERROR(__xludf.DUMMYFUNCTION("""COMPUTED_VALUE"""),"Unlisted")</f>
        <v>Unlisted</v>
      </c>
      <c r="I950" s="174" t="str">
        <f>IFERROR(__xludf.DUMMYFUNCTION("""COMPUTED_VALUE"""),"Unlisted")</f>
        <v>Unlisted</v>
      </c>
      <c r="J950" s="174" t="str">
        <f>IFERROR(__xludf.DUMMYFUNCTION("""COMPUTED_VALUE"""),"Inept")</f>
        <v>Inept</v>
      </c>
      <c r="K950" s="174" t="str">
        <f>IFERROR(__xludf.DUMMYFUNCTION("""COMPUTED_VALUE"""),"Unlisted")</f>
        <v>Unlisted</v>
      </c>
      <c r="L950" s="174" t="str">
        <f>IFERROR(__xludf.DUMMYFUNCTION("""COMPUTED_VALUE"""),"Unlisted")</f>
        <v>Unlisted</v>
      </c>
      <c r="M950" s="174" t="str">
        <f>IFERROR(__xludf.DUMMYFUNCTION("""COMPUTED_VALUE"""),"Unlisted")</f>
        <v>Unlisted</v>
      </c>
      <c r="N950" s="174" t="str">
        <f>IFERROR(__xludf.DUMMYFUNCTION("""COMPUTED_VALUE"""),"Unlisted")</f>
        <v>Unlisted</v>
      </c>
      <c r="O950" s="174" t="str">
        <f>IFERROR(__xludf.DUMMYFUNCTION("""COMPUTED_VALUE"""),"Unlisted")</f>
        <v>Unlisted</v>
      </c>
      <c r="P950" s="174" t="str">
        <f>IFERROR(__xludf.DUMMYFUNCTION("""COMPUTED_VALUE"""),"Unlisted")</f>
        <v>Unlisted</v>
      </c>
      <c r="Q950" s="174" t="str">
        <f>IFERROR(__xludf.DUMMYFUNCTION("""COMPUTED_VALUE"""),"Unlisted")</f>
        <v>Unlisted</v>
      </c>
      <c r="R950" s="174" t="str">
        <f>IFERROR(__xludf.DUMMYFUNCTION("""COMPUTED_VALUE"""),"Unlisted")</f>
        <v>Unlisted</v>
      </c>
    </row>
    <row r="951">
      <c r="A951" s="255" t="str">
        <f>IFERROR(__xludf.DUMMYFUNCTION("""COMPUTED_VALUE"""),"Slowbro")</f>
        <v>Slowbro</v>
      </c>
      <c r="B951" s="174" t="str">
        <f>IFERROR(__xludf.DUMMYFUNCTION("""COMPUTED_VALUE"""),"Unlisted")</f>
        <v>Unlisted</v>
      </c>
      <c r="C951" s="174" t="str">
        <f>IFERROR(__xludf.DUMMYFUNCTION("""COMPUTED_VALUE"""),"Unlisted")</f>
        <v>Unlisted</v>
      </c>
      <c r="D951" s="174" t="str">
        <f>IFERROR(__xludf.DUMMYFUNCTION("""COMPUTED_VALUE"""),"Unlisted")</f>
        <v>Unlisted</v>
      </c>
      <c r="E951" s="174" t="str">
        <f>IFERROR(__xludf.DUMMYFUNCTION("""COMPUTED_VALUE"""),"Unlisted")</f>
        <v>Unlisted</v>
      </c>
      <c r="F951" s="174" t="str">
        <f>IFERROR(__xludf.DUMMYFUNCTION("""COMPUTED_VALUE"""),"Unlisted")</f>
        <v>Unlisted</v>
      </c>
      <c r="G951" s="174" t="str">
        <f>IFERROR(__xludf.DUMMYFUNCTION("""COMPUTED_VALUE"""),"Mastered")</f>
        <v>Mastered</v>
      </c>
      <c r="H951" s="174" t="str">
        <f>IFERROR(__xludf.DUMMYFUNCTION("""COMPUTED_VALUE"""),"Unlisted")</f>
        <v>Unlisted</v>
      </c>
      <c r="I951" s="174" t="str">
        <f>IFERROR(__xludf.DUMMYFUNCTION("""COMPUTED_VALUE"""),"Unlisted")</f>
        <v>Unlisted</v>
      </c>
      <c r="J951" s="174" t="str">
        <f>IFERROR(__xludf.DUMMYFUNCTION("""COMPUTED_VALUE"""),"Inept")</f>
        <v>Inept</v>
      </c>
      <c r="K951" s="174" t="str">
        <f>IFERROR(__xludf.DUMMYFUNCTION("""COMPUTED_VALUE"""),"Unlisted")</f>
        <v>Unlisted</v>
      </c>
      <c r="L951" s="174" t="str">
        <f>IFERROR(__xludf.DUMMYFUNCTION("""COMPUTED_VALUE"""),"Unlisted")</f>
        <v>Unlisted</v>
      </c>
      <c r="M951" s="174" t="str">
        <f>IFERROR(__xludf.DUMMYFUNCTION("""COMPUTED_VALUE"""),"Unlisted")</f>
        <v>Unlisted</v>
      </c>
      <c r="N951" s="174" t="str">
        <f>IFERROR(__xludf.DUMMYFUNCTION("""COMPUTED_VALUE"""),"Unlisted")</f>
        <v>Unlisted</v>
      </c>
      <c r="O951" s="174" t="str">
        <f>IFERROR(__xludf.DUMMYFUNCTION("""COMPUTED_VALUE"""),"Unlisted")</f>
        <v>Unlisted</v>
      </c>
      <c r="P951" s="174" t="str">
        <f>IFERROR(__xludf.DUMMYFUNCTION("""COMPUTED_VALUE"""),"Unlisted")</f>
        <v>Unlisted</v>
      </c>
      <c r="Q951" s="174" t="str">
        <f>IFERROR(__xludf.DUMMYFUNCTION("""COMPUTED_VALUE"""),"Unlisted")</f>
        <v>Unlisted</v>
      </c>
      <c r="R951" s="174" t="str">
        <f>IFERROR(__xludf.DUMMYFUNCTION("""COMPUTED_VALUE"""),"Unlisted")</f>
        <v>Unlisted</v>
      </c>
    </row>
    <row r="952">
      <c r="A952" s="255" t="str">
        <f>IFERROR(__xludf.DUMMYFUNCTION("""COMPUTED_VALUE"""),"Slowking")</f>
        <v>Slowking</v>
      </c>
      <c r="B952" s="174" t="str">
        <f>IFERROR(__xludf.DUMMYFUNCTION("""COMPUTED_VALUE"""),"Unlisted")</f>
        <v>Unlisted</v>
      </c>
      <c r="C952" s="174" t="str">
        <f>IFERROR(__xludf.DUMMYFUNCTION("""COMPUTED_VALUE"""),"Unlisted")</f>
        <v>Unlisted</v>
      </c>
      <c r="D952" s="174" t="str">
        <f>IFERROR(__xludf.DUMMYFUNCTION("""COMPUTED_VALUE"""),"Unlisted")</f>
        <v>Unlisted</v>
      </c>
      <c r="E952" s="174" t="str">
        <f>IFERROR(__xludf.DUMMYFUNCTION("""COMPUTED_VALUE"""),"Unlisted")</f>
        <v>Unlisted</v>
      </c>
      <c r="F952" s="174" t="str">
        <f>IFERROR(__xludf.DUMMYFUNCTION("""COMPUTED_VALUE"""),"Unlisted")</f>
        <v>Unlisted</v>
      </c>
      <c r="G952" s="174" t="str">
        <f>IFERROR(__xludf.DUMMYFUNCTION("""COMPUTED_VALUE"""),"Mastered")</f>
        <v>Mastered</v>
      </c>
      <c r="H952" s="174" t="str">
        <f>IFERROR(__xludf.DUMMYFUNCTION("""COMPUTED_VALUE"""),"Unlisted")</f>
        <v>Unlisted</v>
      </c>
      <c r="I952" s="174" t="str">
        <f>IFERROR(__xludf.DUMMYFUNCTION("""COMPUTED_VALUE"""),"Unlisted")</f>
        <v>Unlisted</v>
      </c>
      <c r="J952" s="174" t="str">
        <f>IFERROR(__xludf.DUMMYFUNCTION("""COMPUTED_VALUE"""),"Proficient")</f>
        <v>Proficient</v>
      </c>
      <c r="K952" s="174" t="str">
        <f>IFERROR(__xludf.DUMMYFUNCTION("""COMPUTED_VALUE"""),"Unlisted")</f>
        <v>Unlisted</v>
      </c>
      <c r="L952" s="174" t="str">
        <f>IFERROR(__xludf.DUMMYFUNCTION("""COMPUTED_VALUE"""),"Unlisted")</f>
        <v>Unlisted</v>
      </c>
      <c r="M952" s="174" t="str">
        <f>IFERROR(__xludf.DUMMYFUNCTION("""COMPUTED_VALUE"""),"Unlisted")</f>
        <v>Unlisted</v>
      </c>
      <c r="N952" s="174" t="str">
        <f>IFERROR(__xludf.DUMMYFUNCTION("""COMPUTED_VALUE"""),"Unlisted")</f>
        <v>Unlisted</v>
      </c>
      <c r="O952" s="174" t="str">
        <f>IFERROR(__xludf.DUMMYFUNCTION("""COMPUTED_VALUE"""),"Unlisted")</f>
        <v>Unlisted</v>
      </c>
      <c r="P952" s="174" t="str">
        <f>IFERROR(__xludf.DUMMYFUNCTION("""COMPUTED_VALUE"""),"Unlisted")</f>
        <v>Unlisted</v>
      </c>
      <c r="Q952" s="174" t="str">
        <f>IFERROR(__xludf.DUMMYFUNCTION("""COMPUTED_VALUE"""),"Unlisted")</f>
        <v>Unlisted</v>
      </c>
      <c r="R952" s="174" t="str">
        <f>IFERROR(__xludf.DUMMYFUNCTION("""COMPUTED_VALUE"""),"Unlisted")</f>
        <v>Unlisted</v>
      </c>
    </row>
    <row r="953">
      <c r="A953" s="255" t="str">
        <f>IFERROR(__xludf.DUMMYFUNCTION("""COMPUTED_VALUE"""),"Seel")</f>
        <v>Seel</v>
      </c>
      <c r="B953" s="174" t="str">
        <f>IFERROR(__xludf.DUMMYFUNCTION("""COMPUTED_VALUE"""),"Proficient")</f>
        <v>Proficient</v>
      </c>
      <c r="C953" s="174" t="str">
        <f>IFERROR(__xludf.DUMMYFUNCTION("""COMPUTED_VALUE"""),"Proficient")</f>
        <v>Proficient</v>
      </c>
      <c r="D953" s="174" t="str">
        <f>IFERROR(__xludf.DUMMYFUNCTION("""COMPUTED_VALUE"""),"Unlisted")</f>
        <v>Unlisted</v>
      </c>
      <c r="E953" s="174" t="str">
        <f>IFERROR(__xludf.DUMMYFUNCTION("""COMPUTED_VALUE"""),"Unlisted")</f>
        <v>Unlisted</v>
      </c>
      <c r="F953" s="174" t="str">
        <f>IFERROR(__xludf.DUMMYFUNCTION("""COMPUTED_VALUE"""),"Unlisted")</f>
        <v>Unlisted</v>
      </c>
      <c r="G953" s="174" t="str">
        <f>IFERROR(__xludf.DUMMYFUNCTION("""COMPUTED_VALUE"""),"Unlisted")</f>
        <v>Unlisted</v>
      </c>
      <c r="H953" s="174" t="str">
        <f>IFERROR(__xludf.DUMMYFUNCTION("""COMPUTED_VALUE"""),"Unlisted")</f>
        <v>Unlisted</v>
      </c>
      <c r="I953" s="174" t="str">
        <f>IFERROR(__xludf.DUMMYFUNCTION("""COMPUTED_VALUE"""),"Unlisted")</f>
        <v>Unlisted</v>
      </c>
      <c r="J953" s="174" t="str">
        <f>IFERROR(__xludf.DUMMYFUNCTION("""COMPUTED_VALUE"""),"Unlisted")</f>
        <v>Unlisted</v>
      </c>
      <c r="K953" s="174" t="str">
        <f>IFERROR(__xludf.DUMMYFUNCTION("""COMPUTED_VALUE"""),"Unlisted")</f>
        <v>Unlisted</v>
      </c>
      <c r="L953" s="174" t="str">
        <f>IFERROR(__xludf.DUMMYFUNCTION("""COMPUTED_VALUE"""),"Unlisted")</f>
        <v>Unlisted</v>
      </c>
      <c r="M953" s="174" t="str">
        <f>IFERROR(__xludf.DUMMYFUNCTION("""COMPUTED_VALUE"""),"Unlisted")</f>
        <v>Unlisted</v>
      </c>
      <c r="N953" s="174" t="str">
        <f>IFERROR(__xludf.DUMMYFUNCTION("""COMPUTED_VALUE"""),"Unlisted")</f>
        <v>Unlisted</v>
      </c>
      <c r="O953" s="174" t="str">
        <f>IFERROR(__xludf.DUMMYFUNCTION("""COMPUTED_VALUE"""),"Proficient")</f>
        <v>Proficient</v>
      </c>
      <c r="P953" s="174" t="str">
        <f>IFERROR(__xludf.DUMMYFUNCTION("""COMPUTED_VALUE"""),"Unlisted")</f>
        <v>Unlisted</v>
      </c>
      <c r="Q953" s="174" t="str">
        <f>IFERROR(__xludf.DUMMYFUNCTION("""COMPUTED_VALUE"""),"Unlisted")</f>
        <v>Unlisted</v>
      </c>
      <c r="R953" s="174" t="str">
        <f>IFERROR(__xludf.DUMMYFUNCTION("""COMPUTED_VALUE"""),"Unlisted")</f>
        <v>Unlisted</v>
      </c>
    </row>
    <row r="954">
      <c r="A954" s="255" t="str">
        <f>IFERROR(__xludf.DUMMYFUNCTION("""COMPUTED_VALUE"""),"Dewgong")</f>
        <v>Dewgong</v>
      </c>
      <c r="B954" s="174" t="str">
        <f>IFERROR(__xludf.DUMMYFUNCTION("""COMPUTED_VALUE"""),"Proficient")</f>
        <v>Proficient</v>
      </c>
      <c r="C954" s="174" t="str">
        <f>IFERROR(__xludf.DUMMYFUNCTION("""COMPUTED_VALUE"""),"Proficient")</f>
        <v>Proficient</v>
      </c>
      <c r="D954" s="174" t="str">
        <f>IFERROR(__xludf.DUMMYFUNCTION("""COMPUTED_VALUE"""),"Unlisted")</f>
        <v>Unlisted</v>
      </c>
      <c r="E954" s="174" t="str">
        <f>IFERROR(__xludf.DUMMYFUNCTION("""COMPUTED_VALUE"""),"Unlisted")</f>
        <v>Unlisted</v>
      </c>
      <c r="F954" s="174" t="str">
        <f>IFERROR(__xludf.DUMMYFUNCTION("""COMPUTED_VALUE"""),"Unlisted")</f>
        <v>Unlisted</v>
      </c>
      <c r="G954" s="174" t="str">
        <f>IFERROR(__xludf.DUMMYFUNCTION("""COMPUTED_VALUE"""),"Unlisted")</f>
        <v>Unlisted</v>
      </c>
      <c r="H954" s="174" t="str">
        <f>IFERROR(__xludf.DUMMYFUNCTION("""COMPUTED_VALUE"""),"Unlisted")</f>
        <v>Unlisted</v>
      </c>
      <c r="I954" s="174" t="str">
        <f>IFERROR(__xludf.DUMMYFUNCTION("""COMPUTED_VALUE"""),"Unlisted")</f>
        <v>Unlisted</v>
      </c>
      <c r="J954" s="174" t="str">
        <f>IFERROR(__xludf.DUMMYFUNCTION("""COMPUTED_VALUE"""),"Unlisted")</f>
        <v>Unlisted</v>
      </c>
      <c r="K954" s="174" t="str">
        <f>IFERROR(__xludf.DUMMYFUNCTION("""COMPUTED_VALUE"""),"Unlisted")</f>
        <v>Unlisted</v>
      </c>
      <c r="L954" s="174" t="str">
        <f>IFERROR(__xludf.DUMMYFUNCTION("""COMPUTED_VALUE"""),"Unlisted")</f>
        <v>Unlisted</v>
      </c>
      <c r="M954" s="174" t="str">
        <f>IFERROR(__xludf.DUMMYFUNCTION("""COMPUTED_VALUE"""),"Unlisted")</f>
        <v>Unlisted</v>
      </c>
      <c r="N954" s="174" t="str">
        <f>IFERROR(__xludf.DUMMYFUNCTION("""COMPUTED_VALUE"""),"Unlisted")</f>
        <v>Unlisted</v>
      </c>
      <c r="O954" s="174" t="str">
        <f>IFERROR(__xludf.DUMMYFUNCTION("""COMPUTED_VALUE"""),"Proficient")</f>
        <v>Proficient</v>
      </c>
      <c r="P954" s="174" t="str">
        <f>IFERROR(__xludf.DUMMYFUNCTION("""COMPUTED_VALUE"""),"Unlisted")</f>
        <v>Unlisted</v>
      </c>
      <c r="Q954" s="174" t="str">
        <f>IFERROR(__xludf.DUMMYFUNCTION("""COMPUTED_VALUE"""),"Unlisted")</f>
        <v>Unlisted</v>
      </c>
      <c r="R954" s="174" t="str">
        <f>IFERROR(__xludf.DUMMYFUNCTION("""COMPUTED_VALUE"""),"Unlisted")</f>
        <v>Unlisted</v>
      </c>
    </row>
    <row r="955">
      <c r="A955" s="255" t="str">
        <f>IFERROR(__xludf.DUMMYFUNCTION("""COMPUTED_VALUE"""),"Shellder")</f>
        <v>Shellder</v>
      </c>
      <c r="B955" s="174" t="str">
        <f>IFERROR(__xludf.DUMMYFUNCTION("""COMPUTED_VALUE"""),"Unlisted")</f>
        <v>Unlisted</v>
      </c>
      <c r="C955" s="174" t="str">
        <f>IFERROR(__xludf.DUMMYFUNCTION("""COMPUTED_VALUE"""),"Unlisted")</f>
        <v>Unlisted</v>
      </c>
      <c r="D955" s="174" t="str">
        <f>IFERROR(__xludf.DUMMYFUNCTION("""COMPUTED_VALUE"""),"Unlisted")</f>
        <v>Unlisted</v>
      </c>
      <c r="E955" s="174" t="str">
        <f>IFERROR(__xludf.DUMMYFUNCTION("""COMPUTED_VALUE"""),"Unlisted")</f>
        <v>Unlisted</v>
      </c>
      <c r="F955" s="174" t="str">
        <f>IFERROR(__xludf.DUMMYFUNCTION("""COMPUTED_VALUE"""),"Unlisted")</f>
        <v>Unlisted</v>
      </c>
      <c r="G955" s="174" t="str">
        <f>IFERROR(__xludf.DUMMYFUNCTION("""COMPUTED_VALUE"""),"Proficient")</f>
        <v>Proficient</v>
      </c>
      <c r="H955" s="174" t="str">
        <f>IFERROR(__xludf.DUMMYFUNCTION("""COMPUTED_VALUE"""),"Unlisted")</f>
        <v>Unlisted</v>
      </c>
      <c r="I955" s="174" t="str">
        <f>IFERROR(__xludf.DUMMYFUNCTION("""COMPUTED_VALUE"""),"Unlisted")</f>
        <v>Unlisted</v>
      </c>
      <c r="J955" s="174" t="str">
        <f>IFERROR(__xludf.DUMMYFUNCTION("""COMPUTED_VALUE"""),"Unlisted")</f>
        <v>Unlisted</v>
      </c>
      <c r="K955" s="174" t="str">
        <f>IFERROR(__xludf.DUMMYFUNCTION("""COMPUTED_VALUE"""),"Unlisted")</f>
        <v>Unlisted</v>
      </c>
      <c r="L955" s="174" t="str">
        <f>IFERROR(__xludf.DUMMYFUNCTION("""COMPUTED_VALUE"""),"Proficient")</f>
        <v>Proficient</v>
      </c>
      <c r="M955" s="174" t="str">
        <f>IFERROR(__xludf.DUMMYFUNCTION("""COMPUTED_VALUE"""),"Unlisted")</f>
        <v>Unlisted</v>
      </c>
      <c r="N955" s="174" t="str">
        <f>IFERROR(__xludf.DUMMYFUNCTION("""COMPUTED_VALUE"""),"Unlisted")</f>
        <v>Unlisted</v>
      </c>
      <c r="O955" s="174" t="str">
        <f>IFERROR(__xludf.DUMMYFUNCTION("""COMPUTED_VALUE"""),"Unlisted")</f>
        <v>Unlisted</v>
      </c>
      <c r="P955" s="174" t="str">
        <f>IFERROR(__xludf.DUMMYFUNCTION("""COMPUTED_VALUE"""),"Unlisted")</f>
        <v>Unlisted</v>
      </c>
      <c r="Q955" s="174" t="str">
        <f>IFERROR(__xludf.DUMMYFUNCTION("""COMPUTED_VALUE"""),"Unlisted")</f>
        <v>Unlisted</v>
      </c>
      <c r="R955" s="174" t="str">
        <f>IFERROR(__xludf.DUMMYFUNCTION("""COMPUTED_VALUE"""),"Unlisted")</f>
        <v>Unlisted</v>
      </c>
    </row>
    <row r="956">
      <c r="A956" s="255" t="str">
        <f>IFERROR(__xludf.DUMMYFUNCTION("""COMPUTED_VALUE"""),"Cloyster")</f>
        <v>Cloyster</v>
      </c>
      <c r="B956" s="174" t="str">
        <f>IFERROR(__xludf.DUMMYFUNCTION("""COMPUTED_VALUE"""),"Unlisted")</f>
        <v>Unlisted</v>
      </c>
      <c r="C956" s="174" t="str">
        <f>IFERROR(__xludf.DUMMYFUNCTION("""COMPUTED_VALUE"""),"Proficient")</f>
        <v>Proficient</v>
      </c>
      <c r="D956" s="174" t="str">
        <f>IFERROR(__xludf.DUMMYFUNCTION("""COMPUTED_VALUE"""),"Unlisted")</f>
        <v>Unlisted</v>
      </c>
      <c r="E956" s="174" t="str">
        <f>IFERROR(__xludf.DUMMYFUNCTION("""COMPUTED_VALUE"""),"Unlisted")</f>
        <v>Unlisted</v>
      </c>
      <c r="F956" s="174" t="str">
        <f>IFERROR(__xludf.DUMMYFUNCTION("""COMPUTED_VALUE"""),"Unlisted")</f>
        <v>Unlisted</v>
      </c>
      <c r="G956" s="174" t="str">
        <f>IFERROR(__xludf.DUMMYFUNCTION("""COMPUTED_VALUE"""),"Proficient")</f>
        <v>Proficient</v>
      </c>
      <c r="H956" s="174" t="str">
        <f>IFERROR(__xludf.DUMMYFUNCTION("""COMPUTED_VALUE"""),"Unlisted")</f>
        <v>Unlisted</v>
      </c>
      <c r="I956" s="174" t="str">
        <f>IFERROR(__xludf.DUMMYFUNCTION("""COMPUTED_VALUE"""),"Unlisted")</f>
        <v>Unlisted</v>
      </c>
      <c r="J956" s="174" t="str">
        <f>IFERROR(__xludf.DUMMYFUNCTION("""COMPUTED_VALUE"""),"Unlisted")</f>
        <v>Unlisted</v>
      </c>
      <c r="K956" s="174" t="str">
        <f>IFERROR(__xludf.DUMMYFUNCTION("""COMPUTED_VALUE"""),"Unlisted")</f>
        <v>Unlisted</v>
      </c>
      <c r="L956" s="174" t="str">
        <f>IFERROR(__xludf.DUMMYFUNCTION("""COMPUTED_VALUE"""),"Proficient")</f>
        <v>Proficient</v>
      </c>
      <c r="M956" s="174" t="str">
        <f>IFERROR(__xludf.DUMMYFUNCTION("""COMPUTED_VALUE"""),"Unlisted")</f>
        <v>Unlisted</v>
      </c>
      <c r="N956" s="174" t="str">
        <f>IFERROR(__xludf.DUMMYFUNCTION("""COMPUTED_VALUE"""),"Unlisted")</f>
        <v>Unlisted</v>
      </c>
      <c r="O956" s="174" t="str">
        <f>IFERROR(__xludf.DUMMYFUNCTION("""COMPUTED_VALUE"""),"Unlisted")</f>
        <v>Unlisted</v>
      </c>
      <c r="P956" s="174" t="str">
        <f>IFERROR(__xludf.DUMMYFUNCTION("""COMPUTED_VALUE"""),"Unlisted")</f>
        <v>Unlisted</v>
      </c>
      <c r="Q956" s="174" t="str">
        <f>IFERROR(__xludf.DUMMYFUNCTION("""COMPUTED_VALUE"""),"Unlisted")</f>
        <v>Unlisted</v>
      </c>
      <c r="R956" s="174" t="str">
        <f>IFERROR(__xludf.DUMMYFUNCTION("""COMPUTED_VALUE"""),"Unlisted")</f>
        <v>Unlisted</v>
      </c>
    </row>
    <row r="957">
      <c r="A957" s="255" t="str">
        <f>IFERROR(__xludf.DUMMYFUNCTION("""COMPUTED_VALUE"""),"Krabby")</f>
        <v>Krabby</v>
      </c>
      <c r="B957" s="174" t="str">
        <f>IFERROR(__xludf.DUMMYFUNCTION("""COMPUTED_VALUE"""),"Unlisted")</f>
        <v>Unlisted</v>
      </c>
      <c r="C957" s="174" t="str">
        <f>IFERROR(__xludf.DUMMYFUNCTION("""COMPUTED_VALUE"""),"Proficient")</f>
        <v>Proficient</v>
      </c>
      <c r="D957" s="174" t="str">
        <f>IFERROR(__xludf.DUMMYFUNCTION("""COMPUTED_VALUE"""),"Unlisted")</f>
        <v>Unlisted</v>
      </c>
      <c r="E957" s="174" t="str">
        <f>IFERROR(__xludf.DUMMYFUNCTION("""COMPUTED_VALUE"""),"Proficient")</f>
        <v>Proficient</v>
      </c>
      <c r="F957" s="174" t="str">
        <f>IFERROR(__xludf.DUMMYFUNCTION("""COMPUTED_VALUE"""),"Unlisted")</f>
        <v>Unlisted</v>
      </c>
      <c r="G957" s="174" t="str">
        <f>IFERROR(__xludf.DUMMYFUNCTION("""COMPUTED_VALUE"""),"Unlisted")</f>
        <v>Unlisted</v>
      </c>
      <c r="H957" s="174" t="str">
        <f>IFERROR(__xludf.DUMMYFUNCTION("""COMPUTED_VALUE"""),"Unlisted")</f>
        <v>Unlisted</v>
      </c>
      <c r="I957" s="174" t="str">
        <f>IFERROR(__xludf.DUMMYFUNCTION("""COMPUTED_VALUE"""),"Unlisted")</f>
        <v>Unlisted</v>
      </c>
      <c r="J957" s="174" t="str">
        <f>IFERROR(__xludf.DUMMYFUNCTION("""COMPUTED_VALUE"""),"Unlisted")</f>
        <v>Unlisted</v>
      </c>
      <c r="K957" s="174" t="str">
        <f>IFERROR(__xludf.DUMMYFUNCTION("""COMPUTED_VALUE"""),"Unlisted")</f>
        <v>Unlisted</v>
      </c>
      <c r="L957" s="174" t="str">
        <f>IFERROR(__xludf.DUMMYFUNCTION("""COMPUTED_VALUE"""),"Unlisted")</f>
        <v>Unlisted</v>
      </c>
      <c r="M957" s="174" t="str">
        <f>IFERROR(__xludf.DUMMYFUNCTION("""COMPUTED_VALUE"""),"Unlisted")</f>
        <v>Unlisted</v>
      </c>
      <c r="N957" s="174" t="str">
        <f>IFERROR(__xludf.DUMMYFUNCTION("""COMPUTED_VALUE"""),"Unlisted")</f>
        <v>Unlisted</v>
      </c>
      <c r="O957" s="174" t="str">
        <f>IFERROR(__xludf.DUMMYFUNCTION("""COMPUTED_VALUE"""),"Unlisted")</f>
        <v>Unlisted</v>
      </c>
      <c r="P957" s="174" t="str">
        <f>IFERROR(__xludf.DUMMYFUNCTION("""COMPUTED_VALUE"""),"Unlisted")</f>
        <v>Unlisted</v>
      </c>
      <c r="Q957" s="174" t="str">
        <f>IFERROR(__xludf.DUMMYFUNCTION("""COMPUTED_VALUE"""),"Unlisted")</f>
        <v>Unlisted</v>
      </c>
      <c r="R957" s="174" t="str">
        <f>IFERROR(__xludf.DUMMYFUNCTION("""COMPUTED_VALUE"""),"Unlisted")</f>
        <v>Unlisted</v>
      </c>
    </row>
    <row r="958">
      <c r="A958" s="255" t="str">
        <f>IFERROR(__xludf.DUMMYFUNCTION("""COMPUTED_VALUE"""),"Kingler")</f>
        <v>Kingler</v>
      </c>
      <c r="B958" s="174" t="str">
        <f>IFERROR(__xludf.DUMMYFUNCTION("""COMPUTED_VALUE"""),"Unlisted")</f>
        <v>Unlisted</v>
      </c>
      <c r="C958" s="174" t="str">
        <f>IFERROR(__xludf.DUMMYFUNCTION("""COMPUTED_VALUE"""),"Proficient")</f>
        <v>Proficient</v>
      </c>
      <c r="D958" s="174" t="str">
        <f>IFERROR(__xludf.DUMMYFUNCTION("""COMPUTED_VALUE"""),"Unlisted")</f>
        <v>Unlisted</v>
      </c>
      <c r="E958" s="174" t="str">
        <f>IFERROR(__xludf.DUMMYFUNCTION("""COMPUTED_VALUE"""),"Proficient")</f>
        <v>Proficient</v>
      </c>
      <c r="F958" s="174" t="str">
        <f>IFERROR(__xludf.DUMMYFUNCTION("""COMPUTED_VALUE"""),"Unlisted")</f>
        <v>Unlisted</v>
      </c>
      <c r="G958" s="174" t="str">
        <f>IFERROR(__xludf.DUMMYFUNCTION("""COMPUTED_VALUE"""),"Unlisted")</f>
        <v>Unlisted</v>
      </c>
      <c r="H958" s="174" t="str">
        <f>IFERROR(__xludf.DUMMYFUNCTION("""COMPUTED_VALUE"""),"Unlisted")</f>
        <v>Unlisted</v>
      </c>
      <c r="I958" s="174" t="str">
        <f>IFERROR(__xludf.DUMMYFUNCTION("""COMPUTED_VALUE"""),"Unlisted")</f>
        <v>Unlisted</v>
      </c>
      <c r="J958" s="174" t="str">
        <f>IFERROR(__xludf.DUMMYFUNCTION("""COMPUTED_VALUE"""),"Unlisted")</f>
        <v>Unlisted</v>
      </c>
      <c r="K958" s="174" t="str">
        <f>IFERROR(__xludf.DUMMYFUNCTION("""COMPUTED_VALUE"""),"Unlisted")</f>
        <v>Unlisted</v>
      </c>
      <c r="L958" s="174" t="str">
        <f>IFERROR(__xludf.DUMMYFUNCTION("""COMPUTED_VALUE"""),"Unlisted")</f>
        <v>Unlisted</v>
      </c>
      <c r="M958" s="174" t="str">
        <f>IFERROR(__xludf.DUMMYFUNCTION("""COMPUTED_VALUE"""),"Unlisted")</f>
        <v>Unlisted</v>
      </c>
      <c r="N958" s="174" t="str">
        <f>IFERROR(__xludf.DUMMYFUNCTION("""COMPUTED_VALUE"""),"Unlisted")</f>
        <v>Unlisted</v>
      </c>
      <c r="O958" s="174" t="str">
        <f>IFERROR(__xludf.DUMMYFUNCTION("""COMPUTED_VALUE"""),"Unlisted")</f>
        <v>Unlisted</v>
      </c>
      <c r="P958" s="174" t="str">
        <f>IFERROR(__xludf.DUMMYFUNCTION("""COMPUTED_VALUE"""),"Unlisted")</f>
        <v>Unlisted</v>
      </c>
      <c r="Q958" s="174" t="str">
        <f>IFERROR(__xludf.DUMMYFUNCTION("""COMPUTED_VALUE"""),"Unlisted")</f>
        <v>Unlisted</v>
      </c>
      <c r="R958" s="174" t="str">
        <f>IFERROR(__xludf.DUMMYFUNCTION("""COMPUTED_VALUE"""),"Unlisted")</f>
        <v>Unlisted</v>
      </c>
    </row>
    <row r="959">
      <c r="A959" s="255" t="str">
        <f>IFERROR(__xludf.DUMMYFUNCTION("""COMPUTED_VALUE"""),"Goldeen")</f>
        <v>Goldeen</v>
      </c>
      <c r="B959" s="174" t="str">
        <f>IFERROR(__xludf.DUMMYFUNCTION("""COMPUTED_VALUE"""),"Proficient")</f>
        <v>Proficient</v>
      </c>
      <c r="C959" s="174" t="str">
        <f>IFERROR(__xludf.DUMMYFUNCTION("""COMPUTED_VALUE"""),"Unlisted")</f>
        <v>Unlisted</v>
      </c>
      <c r="D959" s="174" t="str">
        <f>IFERROR(__xludf.DUMMYFUNCTION("""COMPUTED_VALUE"""),"Unlisted")</f>
        <v>Unlisted</v>
      </c>
      <c r="E959" s="174" t="str">
        <f>IFERROR(__xludf.DUMMYFUNCTION("""COMPUTED_VALUE"""),"Unlisted")</f>
        <v>Unlisted</v>
      </c>
      <c r="F959" s="174" t="str">
        <f>IFERROR(__xludf.DUMMYFUNCTION("""COMPUTED_VALUE"""),"Unlisted")</f>
        <v>Unlisted</v>
      </c>
      <c r="G959" s="174" t="str">
        <f>IFERROR(__xludf.DUMMYFUNCTION("""COMPUTED_VALUE"""),"Proficient")</f>
        <v>Proficient</v>
      </c>
      <c r="H959" s="174" t="str">
        <f>IFERROR(__xludf.DUMMYFUNCTION("""COMPUTED_VALUE"""),"Unlisted")</f>
        <v>Unlisted</v>
      </c>
      <c r="I959" s="174" t="str">
        <f>IFERROR(__xludf.DUMMYFUNCTION("""COMPUTED_VALUE"""),"Unlisted")</f>
        <v>Unlisted</v>
      </c>
      <c r="J959" s="174" t="str">
        <f>IFERROR(__xludf.DUMMYFUNCTION("""COMPUTED_VALUE"""),"Unlisted")</f>
        <v>Unlisted</v>
      </c>
      <c r="K959" s="174" t="str">
        <f>IFERROR(__xludf.DUMMYFUNCTION("""COMPUTED_VALUE"""),"Unlisted")</f>
        <v>Unlisted</v>
      </c>
      <c r="L959" s="174" t="str">
        <f>IFERROR(__xludf.DUMMYFUNCTION("""COMPUTED_VALUE"""),"Unlisted")</f>
        <v>Unlisted</v>
      </c>
      <c r="M959" s="174" t="str">
        <f>IFERROR(__xludf.DUMMYFUNCTION("""COMPUTED_VALUE"""),"Unlisted")</f>
        <v>Unlisted</v>
      </c>
      <c r="N959" s="174" t="str">
        <f>IFERROR(__xludf.DUMMYFUNCTION("""COMPUTED_VALUE"""),"Unlisted")</f>
        <v>Unlisted</v>
      </c>
      <c r="O959" s="174" t="str">
        <f>IFERROR(__xludf.DUMMYFUNCTION("""COMPUTED_VALUE"""),"Unlisted")</f>
        <v>Unlisted</v>
      </c>
      <c r="P959" s="174" t="str">
        <f>IFERROR(__xludf.DUMMYFUNCTION("""COMPUTED_VALUE"""),"Unlisted")</f>
        <v>Unlisted</v>
      </c>
      <c r="Q959" s="174" t="str">
        <f>IFERROR(__xludf.DUMMYFUNCTION("""COMPUTED_VALUE"""),"Unlisted")</f>
        <v>Unlisted</v>
      </c>
      <c r="R959" s="174" t="str">
        <f>IFERROR(__xludf.DUMMYFUNCTION("""COMPUTED_VALUE"""),"Unlisted")</f>
        <v>Unlisted</v>
      </c>
    </row>
    <row r="960">
      <c r="A960" s="255" t="str">
        <f>IFERROR(__xludf.DUMMYFUNCTION("""COMPUTED_VALUE"""),"Seaking")</f>
        <v>Seaking</v>
      </c>
      <c r="B960" s="174" t="str">
        <f>IFERROR(__xludf.DUMMYFUNCTION("""COMPUTED_VALUE"""),"Proficient")</f>
        <v>Proficient</v>
      </c>
      <c r="C960" s="174" t="str">
        <f>IFERROR(__xludf.DUMMYFUNCTION("""COMPUTED_VALUE"""),"Proficient")</f>
        <v>Proficient</v>
      </c>
      <c r="D960" s="174" t="str">
        <f>IFERROR(__xludf.DUMMYFUNCTION("""COMPUTED_VALUE"""),"Unlisted")</f>
        <v>Unlisted</v>
      </c>
      <c r="E960" s="174" t="str">
        <f>IFERROR(__xludf.DUMMYFUNCTION("""COMPUTED_VALUE"""),"Unlisted")</f>
        <v>Unlisted</v>
      </c>
      <c r="F960" s="174" t="str">
        <f>IFERROR(__xludf.DUMMYFUNCTION("""COMPUTED_VALUE"""),"Unlisted")</f>
        <v>Unlisted</v>
      </c>
      <c r="G960" s="174" t="str">
        <f>IFERROR(__xludf.DUMMYFUNCTION("""COMPUTED_VALUE"""),"Proficient")</f>
        <v>Proficient</v>
      </c>
      <c r="H960" s="174" t="str">
        <f>IFERROR(__xludf.DUMMYFUNCTION("""COMPUTED_VALUE"""),"Unlisted")</f>
        <v>Unlisted</v>
      </c>
      <c r="I960" s="174" t="str">
        <f>IFERROR(__xludf.DUMMYFUNCTION("""COMPUTED_VALUE"""),"Unlisted")</f>
        <v>Unlisted</v>
      </c>
      <c r="J960" s="174" t="str">
        <f>IFERROR(__xludf.DUMMYFUNCTION("""COMPUTED_VALUE"""),"Unlisted")</f>
        <v>Unlisted</v>
      </c>
      <c r="K960" s="174" t="str">
        <f>IFERROR(__xludf.DUMMYFUNCTION("""COMPUTED_VALUE"""),"Unlisted")</f>
        <v>Unlisted</v>
      </c>
      <c r="L960" s="174" t="str">
        <f>IFERROR(__xludf.DUMMYFUNCTION("""COMPUTED_VALUE"""),"Unlisted")</f>
        <v>Unlisted</v>
      </c>
      <c r="M960" s="174" t="str">
        <f>IFERROR(__xludf.DUMMYFUNCTION("""COMPUTED_VALUE"""),"Unlisted")</f>
        <v>Unlisted</v>
      </c>
      <c r="N960" s="174" t="str">
        <f>IFERROR(__xludf.DUMMYFUNCTION("""COMPUTED_VALUE"""),"Unlisted")</f>
        <v>Unlisted</v>
      </c>
      <c r="O960" s="174" t="str">
        <f>IFERROR(__xludf.DUMMYFUNCTION("""COMPUTED_VALUE"""),"Unlisted")</f>
        <v>Unlisted</v>
      </c>
      <c r="P960" s="174" t="str">
        <f>IFERROR(__xludf.DUMMYFUNCTION("""COMPUTED_VALUE"""),"Unlisted")</f>
        <v>Unlisted</v>
      </c>
      <c r="Q960" s="174" t="str">
        <f>IFERROR(__xludf.DUMMYFUNCTION("""COMPUTED_VALUE"""),"Unlisted")</f>
        <v>Unlisted</v>
      </c>
      <c r="R960" s="174" t="str">
        <f>IFERROR(__xludf.DUMMYFUNCTION("""COMPUTED_VALUE"""),"Unlisted")</f>
        <v>Unlisted</v>
      </c>
    </row>
    <row r="961">
      <c r="A961" s="255" t="str">
        <f>IFERROR(__xludf.DUMMYFUNCTION("""COMPUTED_VALUE"""),"Staryu")</f>
        <v>Staryu</v>
      </c>
      <c r="B961" s="174" t="str">
        <f>IFERROR(__xludf.DUMMYFUNCTION("""COMPUTED_VALUE"""),"Unlisted")</f>
        <v>Unlisted</v>
      </c>
      <c r="C961" s="174" t="str">
        <f>IFERROR(__xludf.DUMMYFUNCTION("""COMPUTED_VALUE"""),"Unlisted")</f>
        <v>Unlisted</v>
      </c>
      <c r="D961" s="174" t="str">
        <f>IFERROR(__xludf.DUMMYFUNCTION("""COMPUTED_VALUE"""),"Unlisted")</f>
        <v>Unlisted</v>
      </c>
      <c r="E961" s="174" t="str">
        <f>IFERROR(__xludf.DUMMYFUNCTION("""COMPUTED_VALUE"""),"Unlisted")</f>
        <v>Unlisted</v>
      </c>
      <c r="F961" s="174" t="str">
        <f>IFERROR(__xludf.DUMMYFUNCTION("""COMPUTED_VALUE"""),"Unlisted")</f>
        <v>Unlisted</v>
      </c>
      <c r="G961" s="174" t="str">
        <f>IFERROR(__xludf.DUMMYFUNCTION("""COMPUTED_VALUE"""),"Proficient")</f>
        <v>Proficient</v>
      </c>
      <c r="H961" s="174" t="str">
        <f>IFERROR(__xludf.DUMMYFUNCTION("""COMPUTED_VALUE"""),"Unlisted")</f>
        <v>Unlisted</v>
      </c>
      <c r="I961" s="174" t="str">
        <f>IFERROR(__xludf.DUMMYFUNCTION("""COMPUTED_VALUE"""),"Unlisted")</f>
        <v>Unlisted</v>
      </c>
      <c r="J961" s="174" t="str">
        <f>IFERROR(__xludf.DUMMYFUNCTION("""COMPUTED_VALUE"""),"Unlisted")</f>
        <v>Unlisted</v>
      </c>
      <c r="K961" s="174" t="str">
        <f>IFERROR(__xludf.DUMMYFUNCTION("""COMPUTED_VALUE"""),"Proficient")</f>
        <v>Proficient</v>
      </c>
      <c r="L961" s="174" t="str">
        <f>IFERROR(__xludf.DUMMYFUNCTION("""COMPUTED_VALUE"""),"Unlisted")</f>
        <v>Unlisted</v>
      </c>
      <c r="M961" s="174" t="str">
        <f>IFERROR(__xludf.DUMMYFUNCTION("""COMPUTED_VALUE"""),"Unlisted")</f>
        <v>Unlisted</v>
      </c>
      <c r="N961" s="174" t="str">
        <f>IFERROR(__xludf.DUMMYFUNCTION("""COMPUTED_VALUE"""),"Unlisted")</f>
        <v>Unlisted</v>
      </c>
      <c r="O961" s="174" t="str">
        <f>IFERROR(__xludf.DUMMYFUNCTION("""COMPUTED_VALUE"""),"Unlisted")</f>
        <v>Unlisted</v>
      </c>
      <c r="P961" s="174" t="str">
        <f>IFERROR(__xludf.DUMMYFUNCTION("""COMPUTED_VALUE"""),"Unlisted")</f>
        <v>Unlisted</v>
      </c>
      <c r="Q961" s="174" t="str">
        <f>IFERROR(__xludf.DUMMYFUNCTION("""COMPUTED_VALUE"""),"Unlisted")</f>
        <v>Unlisted</v>
      </c>
      <c r="R961" s="174" t="str">
        <f>IFERROR(__xludf.DUMMYFUNCTION("""COMPUTED_VALUE"""),"Unlisted")</f>
        <v>Unlisted</v>
      </c>
    </row>
    <row r="962">
      <c r="A962" s="255" t="str">
        <f>IFERROR(__xludf.DUMMYFUNCTION("""COMPUTED_VALUE"""),"Starmie")</f>
        <v>Starmie</v>
      </c>
      <c r="B962" s="174" t="str">
        <f>IFERROR(__xludf.DUMMYFUNCTION("""COMPUTED_VALUE"""),"Unlisted")</f>
        <v>Unlisted</v>
      </c>
      <c r="C962" s="174" t="str">
        <f>IFERROR(__xludf.DUMMYFUNCTION("""COMPUTED_VALUE"""),"Unlisted")</f>
        <v>Unlisted</v>
      </c>
      <c r="D962" s="174" t="str">
        <f>IFERROR(__xludf.DUMMYFUNCTION("""COMPUTED_VALUE"""),"Unlisted")</f>
        <v>Unlisted</v>
      </c>
      <c r="E962" s="174" t="str">
        <f>IFERROR(__xludf.DUMMYFUNCTION("""COMPUTED_VALUE"""),"Unlisted")</f>
        <v>Unlisted</v>
      </c>
      <c r="F962" s="174" t="str">
        <f>IFERROR(__xludf.DUMMYFUNCTION("""COMPUTED_VALUE"""),"Unlisted")</f>
        <v>Unlisted</v>
      </c>
      <c r="G962" s="174" t="str">
        <f>IFERROR(__xludf.DUMMYFUNCTION("""COMPUTED_VALUE"""),"Proficient")</f>
        <v>Proficient</v>
      </c>
      <c r="H962" s="174" t="str">
        <f>IFERROR(__xludf.DUMMYFUNCTION("""COMPUTED_VALUE"""),"Unlisted")</f>
        <v>Unlisted</v>
      </c>
      <c r="I962" s="174" t="str">
        <f>IFERROR(__xludf.DUMMYFUNCTION("""COMPUTED_VALUE"""),"Unlisted")</f>
        <v>Unlisted</v>
      </c>
      <c r="J962" s="174" t="str">
        <f>IFERROR(__xludf.DUMMYFUNCTION("""COMPUTED_VALUE"""),"Unlisted")</f>
        <v>Unlisted</v>
      </c>
      <c r="K962" s="174" t="str">
        <f>IFERROR(__xludf.DUMMYFUNCTION("""COMPUTED_VALUE"""),"Proficient")</f>
        <v>Proficient</v>
      </c>
      <c r="L962" s="174" t="str">
        <f>IFERROR(__xludf.DUMMYFUNCTION("""COMPUTED_VALUE"""),"Unlisted")</f>
        <v>Unlisted</v>
      </c>
      <c r="M962" s="174" t="str">
        <f>IFERROR(__xludf.DUMMYFUNCTION("""COMPUTED_VALUE"""),"Unlisted")</f>
        <v>Unlisted</v>
      </c>
      <c r="N962" s="174" t="str">
        <f>IFERROR(__xludf.DUMMYFUNCTION("""COMPUTED_VALUE"""),"Unlisted")</f>
        <v>Unlisted</v>
      </c>
      <c r="O962" s="174" t="str">
        <f>IFERROR(__xludf.DUMMYFUNCTION("""COMPUTED_VALUE"""),"Unlisted")</f>
        <v>Unlisted</v>
      </c>
      <c r="P962" s="174" t="str">
        <f>IFERROR(__xludf.DUMMYFUNCTION("""COMPUTED_VALUE"""),"Unlisted")</f>
        <v>Unlisted</v>
      </c>
      <c r="Q962" s="174" t="str">
        <f>IFERROR(__xludf.DUMMYFUNCTION("""COMPUTED_VALUE"""),"Unlisted")</f>
        <v>Unlisted</v>
      </c>
      <c r="R962" s="174" t="str">
        <f>IFERROR(__xludf.DUMMYFUNCTION("""COMPUTED_VALUE"""),"Unlisted")</f>
        <v>Unlisted</v>
      </c>
    </row>
    <row r="963">
      <c r="A963" s="255" t="str">
        <f>IFERROR(__xludf.DUMMYFUNCTION("""COMPUTED_VALUE"""),"Magikarp")</f>
        <v>Magikarp</v>
      </c>
      <c r="B963" s="174" t="str">
        <f>IFERROR(__xludf.DUMMYFUNCTION("""COMPUTED_VALUE"""),"Unlisted")</f>
        <v>Unlisted</v>
      </c>
      <c r="C963" s="174" t="str">
        <f>IFERROR(__xludf.DUMMYFUNCTION("""COMPUTED_VALUE"""),"Inept")</f>
        <v>Inept</v>
      </c>
      <c r="D963" s="174" t="str">
        <f>IFERROR(__xludf.DUMMYFUNCTION("""COMPUTED_VALUE"""),"Unlisted")</f>
        <v>Unlisted</v>
      </c>
      <c r="E963" s="174" t="str">
        <f>IFERROR(__xludf.DUMMYFUNCTION("""COMPUTED_VALUE"""),"Inept")</f>
        <v>Inept</v>
      </c>
      <c r="F963" s="174" t="str">
        <f>IFERROR(__xludf.DUMMYFUNCTION("""COMPUTED_VALUE"""),"Unlisted")</f>
        <v>Unlisted</v>
      </c>
      <c r="G963" s="174" t="str">
        <f>IFERROR(__xludf.DUMMYFUNCTION("""COMPUTED_VALUE"""),"Unlisted")</f>
        <v>Unlisted</v>
      </c>
      <c r="H963" s="174" t="str">
        <f>IFERROR(__xludf.DUMMYFUNCTION("""COMPUTED_VALUE"""),"Unlisted")</f>
        <v>Unlisted</v>
      </c>
      <c r="I963" s="174" t="str">
        <f>IFERROR(__xludf.DUMMYFUNCTION("""COMPUTED_VALUE"""),"Unlisted")</f>
        <v>Unlisted</v>
      </c>
      <c r="J963" s="174" t="str">
        <f>IFERROR(__xludf.DUMMYFUNCTION("""COMPUTED_VALUE"""),"Unlisted")</f>
        <v>Unlisted</v>
      </c>
      <c r="K963" s="174" t="str">
        <f>IFERROR(__xludf.DUMMYFUNCTION("""COMPUTED_VALUE"""),"Unlisted")</f>
        <v>Unlisted</v>
      </c>
      <c r="L963" s="174" t="str">
        <f>IFERROR(__xludf.DUMMYFUNCTION("""COMPUTED_VALUE"""),"Unlisted")</f>
        <v>Unlisted</v>
      </c>
      <c r="M963" s="174" t="str">
        <f>IFERROR(__xludf.DUMMYFUNCTION("""COMPUTED_VALUE"""),"Unlisted")</f>
        <v>Unlisted</v>
      </c>
      <c r="N963" s="174" t="str">
        <f>IFERROR(__xludf.DUMMYFUNCTION("""COMPUTED_VALUE"""),"Unlisted")</f>
        <v>Unlisted</v>
      </c>
      <c r="O963" s="174" t="str">
        <f>IFERROR(__xludf.DUMMYFUNCTION("""COMPUTED_VALUE"""),"Unlisted")</f>
        <v>Unlisted</v>
      </c>
      <c r="P963" s="174" t="str">
        <f>IFERROR(__xludf.DUMMYFUNCTION("""COMPUTED_VALUE"""),"Unlisted")</f>
        <v>Unlisted</v>
      </c>
      <c r="Q963" s="174" t="str">
        <f>IFERROR(__xludf.DUMMYFUNCTION("""COMPUTED_VALUE"""),"Unlisted")</f>
        <v>Unlisted</v>
      </c>
      <c r="R963" s="174" t="str">
        <f>IFERROR(__xludf.DUMMYFUNCTION("""COMPUTED_VALUE"""),"Unlisted")</f>
        <v>Unlisted</v>
      </c>
    </row>
    <row r="964">
      <c r="A964" s="255" t="str">
        <f>IFERROR(__xludf.DUMMYFUNCTION("""COMPUTED_VALUE"""),"Gyarados")</f>
        <v>Gyarados</v>
      </c>
      <c r="B964" s="174" t="str">
        <f>IFERROR(__xludf.DUMMYFUNCTION("""COMPUTED_VALUE"""),"Unlisted")</f>
        <v>Unlisted</v>
      </c>
      <c r="C964" s="174" t="str">
        <f>IFERROR(__xludf.DUMMYFUNCTION("""COMPUTED_VALUE"""),"Mastered")</f>
        <v>Mastered</v>
      </c>
      <c r="D964" s="174" t="str">
        <f>IFERROR(__xludf.DUMMYFUNCTION("""COMPUTED_VALUE"""),"Unlisted")</f>
        <v>Unlisted</v>
      </c>
      <c r="E964" s="174" t="str">
        <f>IFERROR(__xludf.DUMMYFUNCTION("""COMPUTED_VALUE"""),"Proficient")</f>
        <v>Proficient</v>
      </c>
      <c r="F964" s="174" t="str">
        <f>IFERROR(__xludf.DUMMYFUNCTION("""COMPUTED_VALUE"""),"Unlisted")</f>
        <v>Unlisted</v>
      </c>
      <c r="G964" s="174" t="str">
        <f>IFERROR(__xludf.DUMMYFUNCTION("""COMPUTED_VALUE"""),"Unlisted")</f>
        <v>Unlisted</v>
      </c>
      <c r="H964" s="174" t="str">
        <f>IFERROR(__xludf.DUMMYFUNCTION("""COMPUTED_VALUE"""),"Unlisted")</f>
        <v>Unlisted</v>
      </c>
      <c r="I964" s="174" t="str">
        <f>IFERROR(__xludf.DUMMYFUNCTION("""COMPUTED_VALUE"""),"Proficient")</f>
        <v>Proficient</v>
      </c>
      <c r="J964" s="174" t="str">
        <f>IFERROR(__xludf.DUMMYFUNCTION("""COMPUTED_VALUE"""),"Unlisted")</f>
        <v>Unlisted</v>
      </c>
      <c r="K964" s="174" t="str">
        <f>IFERROR(__xludf.DUMMYFUNCTION("""COMPUTED_VALUE"""),"Unlisted")</f>
        <v>Unlisted</v>
      </c>
      <c r="L964" s="174" t="str">
        <f>IFERROR(__xludf.DUMMYFUNCTION("""COMPUTED_VALUE"""),"Unlisted")</f>
        <v>Unlisted</v>
      </c>
      <c r="M964" s="174" t="str">
        <f>IFERROR(__xludf.DUMMYFUNCTION("""COMPUTED_VALUE"""),"Unlisted")</f>
        <v>Unlisted</v>
      </c>
      <c r="N964" s="174" t="str">
        <f>IFERROR(__xludf.DUMMYFUNCTION("""COMPUTED_VALUE"""),"Unlisted")</f>
        <v>Unlisted</v>
      </c>
      <c r="O964" s="174" t="str">
        <f>IFERROR(__xludf.DUMMYFUNCTION("""COMPUTED_VALUE"""),"Unlisted")</f>
        <v>Unlisted</v>
      </c>
      <c r="P964" s="174" t="str">
        <f>IFERROR(__xludf.DUMMYFUNCTION("""COMPUTED_VALUE"""),"Unlisted")</f>
        <v>Unlisted</v>
      </c>
      <c r="Q964" s="174" t="str">
        <f>IFERROR(__xludf.DUMMYFUNCTION("""COMPUTED_VALUE"""),"Unlisted")</f>
        <v>Unlisted</v>
      </c>
      <c r="R964" s="174" t="str">
        <f>IFERROR(__xludf.DUMMYFUNCTION("""COMPUTED_VALUE"""),"Unlisted")</f>
        <v>Unlisted</v>
      </c>
    </row>
    <row r="965">
      <c r="A965" s="255" t="str">
        <f>IFERROR(__xludf.DUMMYFUNCTION("""COMPUTED_VALUE"""),"Chinchou")</f>
        <v>Chinchou</v>
      </c>
      <c r="B965" s="174" t="str">
        <f>IFERROR(__xludf.DUMMYFUNCTION("""COMPUTED_VALUE"""),"Unlisted")</f>
        <v>Unlisted</v>
      </c>
      <c r="C965" s="174" t="str">
        <f>IFERROR(__xludf.DUMMYFUNCTION("""COMPUTED_VALUE"""),"Unlisted")</f>
        <v>Unlisted</v>
      </c>
      <c r="D965" s="174" t="str">
        <f>IFERROR(__xludf.DUMMYFUNCTION("""COMPUTED_VALUE"""),"Unlisted")</f>
        <v>Unlisted</v>
      </c>
      <c r="E965" s="174" t="str">
        <f>IFERROR(__xludf.DUMMYFUNCTION("""COMPUTED_VALUE"""),"Unlisted")</f>
        <v>Unlisted</v>
      </c>
      <c r="F965" s="174" t="str">
        <f>IFERROR(__xludf.DUMMYFUNCTION("""COMPUTED_VALUE"""),"Unlisted")</f>
        <v>Unlisted</v>
      </c>
      <c r="G965" s="174" t="str">
        <f>IFERROR(__xludf.DUMMYFUNCTION("""COMPUTED_VALUE"""),"Proficient")</f>
        <v>Proficient</v>
      </c>
      <c r="H965" s="174" t="str">
        <f>IFERROR(__xludf.DUMMYFUNCTION("""COMPUTED_VALUE"""),"Unlisted")</f>
        <v>Unlisted</v>
      </c>
      <c r="I965" s="174" t="str">
        <f>IFERROR(__xludf.DUMMYFUNCTION("""COMPUTED_VALUE"""),"Unlisted")</f>
        <v>Unlisted</v>
      </c>
      <c r="J965" s="174" t="str">
        <f>IFERROR(__xludf.DUMMYFUNCTION("""COMPUTED_VALUE"""),"Unlisted")</f>
        <v>Unlisted</v>
      </c>
      <c r="K965" s="174" t="str">
        <f>IFERROR(__xludf.DUMMYFUNCTION("""COMPUTED_VALUE"""),"Proficient")</f>
        <v>Proficient</v>
      </c>
      <c r="L965" s="174" t="str">
        <f>IFERROR(__xludf.DUMMYFUNCTION("""COMPUTED_VALUE"""),"Inept")</f>
        <v>Inept</v>
      </c>
      <c r="M965" s="174" t="str">
        <f>IFERROR(__xludf.DUMMYFUNCTION("""COMPUTED_VALUE"""),"Unlisted")</f>
        <v>Unlisted</v>
      </c>
      <c r="N965" s="174" t="str">
        <f>IFERROR(__xludf.DUMMYFUNCTION("""COMPUTED_VALUE"""),"Unlisted")</f>
        <v>Unlisted</v>
      </c>
      <c r="O965" s="174" t="str">
        <f>IFERROR(__xludf.DUMMYFUNCTION("""COMPUTED_VALUE"""),"Unlisted")</f>
        <v>Unlisted</v>
      </c>
      <c r="P965" s="174" t="str">
        <f>IFERROR(__xludf.DUMMYFUNCTION("""COMPUTED_VALUE"""),"Unlisted")</f>
        <v>Unlisted</v>
      </c>
      <c r="Q965" s="174" t="str">
        <f>IFERROR(__xludf.DUMMYFUNCTION("""COMPUTED_VALUE"""),"Unlisted")</f>
        <v>Unlisted</v>
      </c>
      <c r="R965" s="174" t="str">
        <f>IFERROR(__xludf.DUMMYFUNCTION("""COMPUTED_VALUE"""),"Unlisted")</f>
        <v>Unlisted</v>
      </c>
    </row>
    <row r="966">
      <c r="A966" s="255" t="str">
        <f>IFERROR(__xludf.DUMMYFUNCTION("""COMPUTED_VALUE"""),"Lanturn")</f>
        <v>Lanturn</v>
      </c>
      <c r="B966" s="174" t="str">
        <f>IFERROR(__xludf.DUMMYFUNCTION("""COMPUTED_VALUE"""),"Unlisted")</f>
        <v>Unlisted</v>
      </c>
      <c r="C966" s="174" t="str">
        <f>IFERROR(__xludf.DUMMYFUNCTION("""COMPUTED_VALUE"""),"Unlisted")</f>
        <v>Unlisted</v>
      </c>
      <c r="D966" s="174" t="str">
        <f>IFERROR(__xludf.DUMMYFUNCTION("""COMPUTED_VALUE"""),"Unlisted")</f>
        <v>Unlisted</v>
      </c>
      <c r="E966" s="174" t="str">
        <f>IFERROR(__xludf.DUMMYFUNCTION("""COMPUTED_VALUE"""),"Unlisted")</f>
        <v>Unlisted</v>
      </c>
      <c r="F966" s="174" t="str">
        <f>IFERROR(__xludf.DUMMYFUNCTION("""COMPUTED_VALUE"""),"Unlisted")</f>
        <v>Unlisted</v>
      </c>
      <c r="G966" s="174" t="str">
        <f>IFERROR(__xludf.DUMMYFUNCTION("""COMPUTED_VALUE"""),"Proficient")</f>
        <v>Proficient</v>
      </c>
      <c r="H966" s="174" t="str">
        <f>IFERROR(__xludf.DUMMYFUNCTION("""COMPUTED_VALUE"""),"Unlisted")</f>
        <v>Unlisted</v>
      </c>
      <c r="I966" s="174" t="str">
        <f>IFERROR(__xludf.DUMMYFUNCTION("""COMPUTED_VALUE"""),"Unlisted")</f>
        <v>Unlisted</v>
      </c>
      <c r="J966" s="174" t="str">
        <f>IFERROR(__xludf.DUMMYFUNCTION("""COMPUTED_VALUE"""),"Unlisted")</f>
        <v>Unlisted</v>
      </c>
      <c r="K966" s="174" t="str">
        <f>IFERROR(__xludf.DUMMYFUNCTION("""COMPUTED_VALUE"""),"Proficient")</f>
        <v>Proficient</v>
      </c>
      <c r="L966" s="174" t="str">
        <f>IFERROR(__xludf.DUMMYFUNCTION("""COMPUTED_VALUE"""),"Inept")</f>
        <v>Inept</v>
      </c>
      <c r="M966" s="174" t="str">
        <f>IFERROR(__xludf.DUMMYFUNCTION("""COMPUTED_VALUE"""),"Unlisted")</f>
        <v>Unlisted</v>
      </c>
      <c r="N966" s="174" t="str">
        <f>IFERROR(__xludf.DUMMYFUNCTION("""COMPUTED_VALUE"""),"Unlisted")</f>
        <v>Unlisted</v>
      </c>
      <c r="O966" s="174" t="str">
        <f>IFERROR(__xludf.DUMMYFUNCTION("""COMPUTED_VALUE"""),"Unlisted")</f>
        <v>Unlisted</v>
      </c>
      <c r="P966" s="174" t="str">
        <f>IFERROR(__xludf.DUMMYFUNCTION("""COMPUTED_VALUE"""),"Unlisted")</f>
        <v>Unlisted</v>
      </c>
      <c r="Q966" s="174" t="str">
        <f>IFERROR(__xludf.DUMMYFUNCTION("""COMPUTED_VALUE"""),"Unlisted")</f>
        <v>Unlisted</v>
      </c>
      <c r="R966" s="174" t="str">
        <f>IFERROR(__xludf.DUMMYFUNCTION("""COMPUTED_VALUE"""),"Unlisted")</f>
        <v>Unlisted</v>
      </c>
    </row>
    <row r="967">
      <c r="A967" s="255" t="str">
        <f>IFERROR(__xludf.DUMMYFUNCTION("""COMPUTED_VALUE"""),"Wooper")</f>
        <v>Wooper</v>
      </c>
      <c r="B967" s="174" t="str">
        <f>IFERROR(__xludf.DUMMYFUNCTION("""COMPUTED_VALUE"""),"Inept")</f>
        <v>Inept</v>
      </c>
      <c r="C967" s="174" t="str">
        <f>IFERROR(__xludf.DUMMYFUNCTION("""COMPUTED_VALUE"""),"Inept")</f>
        <v>Inept</v>
      </c>
      <c r="D967" s="174" t="str">
        <f>IFERROR(__xludf.DUMMYFUNCTION("""COMPUTED_VALUE"""),"Unlisted")</f>
        <v>Unlisted</v>
      </c>
      <c r="E967" s="174" t="str">
        <f>IFERROR(__xludf.DUMMYFUNCTION("""COMPUTED_VALUE"""),"Unlisted")</f>
        <v>Unlisted</v>
      </c>
      <c r="F967" s="174" t="str">
        <f>IFERROR(__xludf.DUMMYFUNCTION("""COMPUTED_VALUE"""),"Unlisted")</f>
        <v>Unlisted</v>
      </c>
      <c r="G967" s="174" t="str">
        <f>IFERROR(__xludf.DUMMYFUNCTION("""COMPUTED_VALUE"""),"Proficient")</f>
        <v>Proficient</v>
      </c>
      <c r="H967" s="174" t="str">
        <f>IFERROR(__xludf.DUMMYFUNCTION("""COMPUTED_VALUE"""),"Unlisted")</f>
        <v>Unlisted</v>
      </c>
      <c r="I967" s="174" t="str">
        <f>IFERROR(__xludf.DUMMYFUNCTION("""COMPUTED_VALUE"""),"Unlisted")</f>
        <v>Unlisted</v>
      </c>
      <c r="J967" s="174" t="str">
        <f>IFERROR(__xludf.DUMMYFUNCTION("""COMPUTED_VALUE"""),"Inept")</f>
        <v>Inept</v>
      </c>
      <c r="K967" s="174" t="str">
        <f>IFERROR(__xludf.DUMMYFUNCTION("""COMPUTED_VALUE"""),"Unlisted")</f>
        <v>Unlisted</v>
      </c>
      <c r="L967" s="174" t="str">
        <f>IFERROR(__xludf.DUMMYFUNCTION("""COMPUTED_VALUE"""),"Unlisted")</f>
        <v>Unlisted</v>
      </c>
      <c r="M967" s="174" t="str">
        <f>IFERROR(__xludf.DUMMYFUNCTION("""COMPUTED_VALUE"""),"Unlisted")</f>
        <v>Unlisted</v>
      </c>
      <c r="N967" s="174" t="str">
        <f>IFERROR(__xludf.DUMMYFUNCTION("""COMPUTED_VALUE"""),"Unlisted")</f>
        <v>Unlisted</v>
      </c>
      <c r="O967" s="174" t="str">
        <f>IFERROR(__xludf.DUMMYFUNCTION("""COMPUTED_VALUE"""),"Proficient")</f>
        <v>Proficient</v>
      </c>
      <c r="P967" s="174" t="str">
        <f>IFERROR(__xludf.DUMMYFUNCTION("""COMPUTED_VALUE"""),"Unlisted")</f>
        <v>Unlisted</v>
      </c>
      <c r="Q967" s="174" t="str">
        <f>IFERROR(__xludf.DUMMYFUNCTION("""COMPUTED_VALUE"""),"Unlisted")</f>
        <v>Unlisted</v>
      </c>
      <c r="R967" s="174" t="str">
        <f>IFERROR(__xludf.DUMMYFUNCTION("""COMPUTED_VALUE"""),"Unlisted")</f>
        <v>Unlisted</v>
      </c>
    </row>
    <row r="968">
      <c r="A968" s="255" t="str">
        <f>IFERROR(__xludf.DUMMYFUNCTION("""COMPUTED_VALUE"""),"Quagsire")</f>
        <v>Quagsire</v>
      </c>
      <c r="B968" s="174" t="str">
        <f>IFERROR(__xludf.DUMMYFUNCTION("""COMPUTED_VALUE"""),"Unlisted")</f>
        <v>Unlisted</v>
      </c>
      <c r="C968" s="174" t="str">
        <f>IFERROR(__xludf.DUMMYFUNCTION("""COMPUTED_VALUE"""),"Proficient")</f>
        <v>Proficient</v>
      </c>
      <c r="D968" s="174" t="str">
        <f>IFERROR(__xludf.DUMMYFUNCTION("""COMPUTED_VALUE"""),"Unlisted")</f>
        <v>Unlisted</v>
      </c>
      <c r="E968" s="174" t="str">
        <f>IFERROR(__xludf.DUMMYFUNCTION("""COMPUTED_VALUE"""),"Unlisted")</f>
        <v>Unlisted</v>
      </c>
      <c r="F968" s="174" t="str">
        <f>IFERROR(__xludf.DUMMYFUNCTION("""COMPUTED_VALUE"""),"Unlisted")</f>
        <v>Unlisted</v>
      </c>
      <c r="G968" s="174" t="str">
        <f>IFERROR(__xludf.DUMMYFUNCTION("""COMPUTED_VALUE"""),"Proficient")</f>
        <v>Proficient</v>
      </c>
      <c r="H968" s="174" t="str">
        <f>IFERROR(__xludf.DUMMYFUNCTION("""COMPUTED_VALUE"""),"Unlisted")</f>
        <v>Unlisted</v>
      </c>
      <c r="I968" s="174" t="str">
        <f>IFERROR(__xludf.DUMMYFUNCTION("""COMPUTED_VALUE"""),"Unlisted")</f>
        <v>Unlisted</v>
      </c>
      <c r="J968" s="174" t="str">
        <f>IFERROR(__xludf.DUMMYFUNCTION("""COMPUTED_VALUE"""),"Inept")</f>
        <v>Inept</v>
      </c>
      <c r="K968" s="174" t="str">
        <f>IFERROR(__xludf.DUMMYFUNCTION("""COMPUTED_VALUE"""),"Unlisted")</f>
        <v>Unlisted</v>
      </c>
      <c r="L968" s="174" t="str">
        <f>IFERROR(__xludf.DUMMYFUNCTION("""COMPUTED_VALUE"""),"Unlisted")</f>
        <v>Unlisted</v>
      </c>
      <c r="M968" s="174" t="str">
        <f>IFERROR(__xludf.DUMMYFUNCTION("""COMPUTED_VALUE"""),"Unlisted")</f>
        <v>Unlisted</v>
      </c>
      <c r="N968" s="174" t="str">
        <f>IFERROR(__xludf.DUMMYFUNCTION("""COMPUTED_VALUE"""),"Unlisted")</f>
        <v>Unlisted</v>
      </c>
      <c r="O968" s="174" t="str">
        <f>IFERROR(__xludf.DUMMYFUNCTION("""COMPUTED_VALUE"""),"Proficient")</f>
        <v>Proficient</v>
      </c>
      <c r="P968" s="174" t="str">
        <f>IFERROR(__xludf.DUMMYFUNCTION("""COMPUTED_VALUE"""),"Unlisted")</f>
        <v>Unlisted</v>
      </c>
      <c r="Q968" s="174" t="str">
        <f>IFERROR(__xludf.DUMMYFUNCTION("""COMPUTED_VALUE"""),"Unlisted")</f>
        <v>Unlisted</v>
      </c>
      <c r="R968" s="174" t="str">
        <f>IFERROR(__xludf.DUMMYFUNCTION("""COMPUTED_VALUE"""),"Unlisted")</f>
        <v>Unlisted</v>
      </c>
    </row>
    <row r="969">
      <c r="A969" s="255" t="str">
        <f>IFERROR(__xludf.DUMMYFUNCTION("""COMPUTED_VALUE"""),"Remoraid")</f>
        <v>Remoraid</v>
      </c>
      <c r="B969" s="174" t="str">
        <f>IFERROR(__xludf.DUMMYFUNCTION("""COMPUTED_VALUE"""),"Unlisted")</f>
        <v>Unlisted</v>
      </c>
      <c r="C969" s="174" t="str">
        <f>IFERROR(__xludf.DUMMYFUNCTION("""COMPUTED_VALUE"""),"Inept")</f>
        <v>Inept</v>
      </c>
      <c r="D969" s="174" t="str">
        <f>IFERROR(__xludf.DUMMYFUNCTION("""COMPUTED_VALUE"""),"Unlisted")</f>
        <v>Unlisted</v>
      </c>
      <c r="E969" s="174" t="str">
        <f>IFERROR(__xludf.DUMMYFUNCTION("""COMPUTED_VALUE"""),"Unlisted")</f>
        <v>Unlisted</v>
      </c>
      <c r="F969" s="174" t="str">
        <f>IFERROR(__xludf.DUMMYFUNCTION("""COMPUTED_VALUE"""),"Unlisted")</f>
        <v>Unlisted</v>
      </c>
      <c r="G969" s="174" t="str">
        <f>IFERROR(__xludf.DUMMYFUNCTION("""COMPUTED_VALUE"""),"Proficient")</f>
        <v>Proficient</v>
      </c>
      <c r="H969" s="174" t="str">
        <f>IFERROR(__xludf.DUMMYFUNCTION("""COMPUTED_VALUE"""),"Unlisted")</f>
        <v>Unlisted</v>
      </c>
      <c r="I969" s="174" t="str">
        <f>IFERROR(__xludf.DUMMYFUNCTION("""COMPUTED_VALUE"""),"Unlisted")</f>
        <v>Unlisted</v>
      </c>
      <c r="J969" s="174" t="str">
        <f>IFERROR(__xludf.DUMMYFUNCTION("""COMPUTED_VALUE"""),"Unlisted")</f>
        <v>Unlisted</v>
      </c>
      <c r="K969" s="174" t="str">
        <f>IFERROR(__xludf.DUMMYFUNCTION("""COMPUTED_VALUE"""),"Proficient")</f>
        <v>Proficient</v>
      </c>
      <c r="L969" s="174" t="str">
        <f>IFERROR(__xludf.DUMMYFUNCTION("""COMPUTED_VALUE"""),"Unlisted")</f>
        <v>Unlisted</v>
      </c>
      <c r="M969" s="174" t="str">
        <f>IFERROR(__xludf.DUMMYFUNCTION("""COMPUTED_VALUE"""),"Unlisted")</f>
        <v>Unlisted</v>
      </c>
      <c r="N969" s="174" t="str">
        <f>IFERROR(__xludf.DUMMYFUNCTION("""COMPUTED_VALUE"""),"Unlisted")</f>
        <v>Unlisted</v>
      </c>
      <c r="O969" s="174" t="str">
        <f>IFERROR(__xludf.DUMMYFUNCTION("""COMPUTED_VALUE"""),"Unlisted")</f>
        <v>Unlisted</v>
      </c>
      <c r="P969" s="174" t="str">
        <f>IFERROR(__xludf.DUMMYFUNCTION("""COMPUTED_VALUE"""),"Unlisted")</f>
        <v>Unlisted</v>
      </c>
      <c r="Q969" s="174" t="str">
        <f>IFERROR(__xludf.DUMMYFUNCTION("""COMPUTED_VALUE"""),"Unlisted")</f>
        <v>Unlisted</v>
      </c>
      <c r="R969" s="174" t="str">
        <f>IFERROR(__xludf.DUMMYFUNCTION("""COMPUTED_VALUE"""),"Unlisted")</f>
        <v>Unlisted</v>
      </c>
    </row>
    <row r="970">
      <c r="A970" s="255" t="str">
        <f>IFERROR(__xludf.DUMMYFUNCTION("""COMPUTED_VALUE"""),"Octillery")</f>
        <v>Octillery</v>
      </c>
      <c r="B970" s="174" t="str">
        <f>IFERROR(__xludf.DUMMYFUNCTION("""COMPUTED_VALUE"""),"Unlisted")</f>
        <v>Unlisted</v>
      </c>
      <c r="C970" s="174" t="str">
        <f>IFERROR(__xludf.DUMMYFUNCTION("""COMPUTED_VALUE"""),"Inept")</f>
        <v>Inept</v>
      </c>
      <c r="D970" s="174" t="str">
        <f>IFERROR(__xludf.DUMMYFUNCTION("""COMPUTED_VALUE"""),"Unlisted")</f>
        <v>Unlisted</v>
      </c>
      <c r="E970" s="174" t="str">
        <f>IFERROR(__xludf.DUMMYFUNCTION("""COMPUTED_VALUE"""),"Unlisted")</f>
        <v>Unlisted</v>
      </c>
      <c r="F970" s="174" t="str">
        <f>IFERROR(__xludf.DUMMYFUNCTION("""COMPUTED_VALUE"""),"Unlisted")</f>
        <v>Unlisted</v>
      </c>
      <c r="G970" s="174" t="str">
        <f>IFERROR(__xludf.DUMMYFUNCTION("""COMPUTED_VALUE"""),"Proficient")</f>
        <v>Proficient</v>
      </c>
      <c r="H970" s="174" t="str">
        <f>IFERROR(__xludf.DUMMYFUNCTION("""COMPUTED_VALUE"""),"Unlisted")</f>
        <v>Unlisted</v>
      </c>
      <c r="I970" s="174" t="str">
        <f>IFERROR(__xludf.DUMMYFUNCTION("""COMPUTED_VALUE"""),"Unlisted")</f>
        <v>Unlisted</v>
      </c>
      <c r="J970" s="174" t="str">
        <f>IFERROR(__xludf.DUMMYFUNCTION("""COMPUTED_VALUE"""),"Unlisted")</f>
        <v>Unlisted</v>
      </c>
      <c r="K970" s="174" t="str">
        <f>IFERROR(__xludf.DUMMYFUNCTION("""COMPUTED_VALUE"""),"Proficient")</f>
        <v>Proficient</v>
      </c>
      <c r="L970" s="174" t="str">
        <f>IFERROR(__xludf.DUMMYFUNCTION("""COMPUTED_VALUE"""),"Unlisted")</f>
        <v>Unlisted</v>
      </c>
      <c r="M970" s="174" t="str">
        <f>IFERROR(__xludf.DUMMYFUNCTION("""COMPUTED_VALUE"""),"Unlisted")</f>
        <v>Unlisted</v>
      </c>
      <c r="N970" s="174" t="str">
        <f>IFERROR(__xludf.DUMMYFUNCTION("""COMPUTED_VALUE"""),"Unlisted")</f>
        <v>Unlisted</v>
      </c>
      <c r="O970" s="174" t="str">
        <f>IFERROR(__xludf.DUMMYFUNCTION("""COMPUTED_VALUE"""),"Unlisted")</f>
        <v>Unlisted</v>
      </c>
      <c r="P970" s="174" t="str">
        <f>IFERROR(__xludf.DUMMYFUNCTION("""COMPUTED_VALUE"""),"Unlisted")</f>
        <v>Unlisted</v>
      </c>
      <c r="Q970" s="174" t="str">
        <f>IFERROR(__xludf.DUMMYFUNCTION("""COMPUTED_VALUE"""),"Unlisted")</f>
        <v>Unlisted</v>
      </c>
      <c r="R970" s="174" t="str">
        <f>IFERROR(__xludf.DUMMYFUNCTION("""COMPUTED_VALUE"""),"Unlisted")</f>
        <v>Unlisted</v>
      </c>
    </row>
    <row r="971">
      <c r="A971" s="255" t="str">
        <f>IFERROR(__xludf.DUMMYFUNCTION("""COMPUTED_VALUE"""),"Mantyke")</f>
        <v>Mantyke</v>
      </c>
      <c r="B971" s="174" t="str">
        <f>IFERROR(__xludf.DUMMYFUNCTION("""COMPUTED_VALUE"""),"Proficient")</f>
        <v>Proficient</v>
      </c>
      <c r="C971" s="174" t="str">
        <f>IFERROR(__xludf.DUMMYFUNCTION("""COMPUTED_VALUE"""),"Unlisted")</f>
        <v>Unlisted</v>
      </c>
      <c r="D971" s="174" t="str">
        <f>IFERROR(__xludf.DUMMYFUNCTION("""COMPUTED_VALUE"""),"Unlisted")</f>
        <v>Unlisted</v>
      </c>
      <c r="E971" s="174" t="str">
        <f>IFERROR(__xludf.DUMMYFUNCTION("""COMPUTED_VALUE"""),"Unlisted")</f>
        <v>Unlisted</v>
      </c>
      <c r="F971" s="174" t="str">
        <f>IFERROR(__xludf.DUMMYFUNCTION("""COMPUTED_VALUE"""),"Unlisted")</f>
        <v>Unlisted</v>
      </c>
      <c r="G971" s="174" t="str">
        <f>IFERROR(__xludf.DUMMYFUNCTION("""COMPUTED_VALUE"""),"Unlisted")</f>
        <v>Unlisted</v>
      </c>
      <c r="H971" s="174" t="str">
        <f>IFERROR(__xludf.DUMMYFUNCTION("""COMPUTED_VALUE"""),"Unlisted")</f>
        <v>Unlisted</v>
      </c>
      <c r="I971" s="174" t="str">
        <f>IFERROR(__xludf.DUMMYFUNCTION("""COMPUTED_VALUE"""),"Unlisted")</f>
        <v>Unlisted</v>
      </c>
      <c r="J971" s="174" t="str">
        <f>IFERROR(__xludf.DUMMYFUNCTION("""COMPUTED_VALUE"""),"Unlisted")</f>
        <v>Unlisted</v>
      </c>
      <c r="K971" s="174" t="str">
        <f>IFERROR(__xludf.DUMMYFUNCTION("""COMPUTED_VALUE"""),"Proficient")</f>
        <v>Proficient</v>
      </c>
      <c r="L971" s="174" t="str">
        <f>IFERROR(__xludf.DUMMYFUNCTION("""COMPUTED_VALUE"""),"Unlisted")</f>
        <v>Unlisted</v>
      </c>
      <c r="M971" s="174" t="str">
        <f>IFERROR(__xludf.DUMMYFUNCTION("""COMPUTED_VALUE"""),"Unlisted")</f>
        <v>Unlisted</v>
      </c>
      <c r="N971" s="174" t="str">
        <f>IFERROR(__xludf.DUMMYFUNCTION("""COMPUTED_VALUE"""),"Unlisted")</f>
        <v>Unlisted</v>
      </c>
      <c r="O971" s="174" t="str">
        <f>IFERROR(__xludf.DUMMYFUNCTION("""COMPUTED_VALUE"""),"Unlisted")</f>
        <v>Unlisted</v>
      </c>
      <c r="P971" s="174" t="str">
        <f>IFERROR(__xludf.DUMMYFUNCTION("""COMPUTED_VALUE"""),"Unlisted")</f>
        <v>Unlisted</v>
      </c>
      <c r="Q971" s="174" t="str">
        <f>IFERROR(__xludf.DUMMYFUNCTION("""COMPUTED_VALUE"""),"Unlisted")</f>
        <v>Unlisted</v>
      </c>
      <c r="R971" s="174" t="str">
        <f>IFERROR(__xludf.DUMMYFUNCTION("""COMPUTED_VALUE"""),"Unlisted")</f>
        <v>Unlisted</v>
      </c>
    </row>
    <row r="972">
      <c r="A972" s="255" t="str">
        <f>IFERROR(__xludf.DUMMYFUNCTION("""COMPUTED_VALUE"""),"Mantine")</f>
        <v>Mantine</v>
      </c>
      <c r="B972" s="174" t="str">
        <f>IFERROR(__xludf.DUMMYFUNCTION("""COMPUTED_VALUE"""),"Proficient")</f>
        <v>Proficient</v>
      </c>
      <c r="C972" s="174" t="str">
        <f>IFERROR(__xludf.DUMMYFUNCTION("""COMPUTED_VALUE"""),"Unlisted")</f>
        <v>Unlisted</v>
      </c>
      <c r="D972" s="174" t="str">
        <f>IFERROR(__xludf.DUMMYFUNCTION("""COMPUTED_VALUE"""),"Unlisted")</f>
        <v>Unlisted</v>
      </c>
      <c r="E972" s="174" t="str">
        <f>IFERROR(__xludf.DUMMYFUNCTION("""COMPUTED_VALUE"""),"Unlisted")</f>
        <v>Unlisted</v>
      </c>
      <c r="F972" s="174" t="str">
        <f>IFERROR(__xludf.DUMMYFUNCTION("""COMPUTED_VALUE"""),"Unlisted")</f>
        <v>Unlisted</v>
      </c>
      <c r="G972" s="174" t="str">
        <f>IFERROR(__xludf.DUMMYFUNCTION("""COMPUTED_VALUE"""),"Unlisted")</f>
        <v>Unlisted</v>
      </c>
      <c r="H972" s="174" t="str">
        <f>IFERROR(__xludf.DUMMYFUNCTION("""COMPUTED_VALUE"""),"Unlisted")</f>
        <v>Unlisted</v>
      </c>
      <c r="I972" s="174" t="str">
        <f>IFERROR(__xludf.DUMMYFUNCTION("""COMPUTED_VALUE"""),"Unlisted")</f>
        <v>Unlisted</v>
      </c>
      <c r="J972" s="174" t="str">
        <f>IFERROR(__xludf.DUMMYFUNCTION("""COMPUTED_VALUE"""),"Unlisted")</f>
        <v>Unlisted</v>
      </c>
      <c r="K972" s="174" t="str">
        <f>IFERROR(__xludf.DUMMYFUNCTION("""COMPUTED_VALUE"""),"Proficient")</f>
        <v>Proficient</v>
      </c>
      <c r="L972" s="174" t="str">
        <f>IFERROR(__xludf.DUMMYFUNCTION("""COMPUTED_VALUE"""),"Unlisted")</f>
        <v>Unlisted</v>
      </c>
      <c r="M972" s="174" t="str">
        <f>IFERROR(__xludf.DUMMYFUNCTION("""COMPUTED_VALUE"""),"Unlisted")</f>
        <v>Unlisted</v>
      </c>
      <c r="N972" s="174" t="str">
        <f>IFERROR(__xludf.DUMMYFUNCTION("""COMPUTED_VALUE"""),"Unlisted")</f>
        <v>Unlisted</v>
      </c>
      <c r="O972" s="174" t="str">
        <f>IFERROR(__xludf.DUMMYFUNCTION("""COMPUTED_VALUE"""),"Unlisted")</f>
        <v>Unlisted</v>
      </c>
      <c r="P972" s="174" t="str">
        <f>IFERROR(__xludf.DUMMYFUNCTION("""COMPUTED_VALUE"""),"Unlisted")</f>
        <v>Unlisted</v>
      </c>
      <c r="Q972" s="174" t="str">
        <f>IFERROR(__xludf.DUMMYFUNCTION("""COMPUTED_VALUE"""),"Unlisted")</f>
        <v>Unlisted</v>
      </c>
      <c r="R972" s="174" t="str">
        <f>IFERROR(__xludf.DUMMYFUNCTION("""COMPUTED_VALUE"""),"Unlisted")</f>
        <v>Unlisted</v>
      </c>
    </row>
    <row r="973">
      <c r="A973" s="255" t="str">
        <f>IFERROR(__xludf.DUMMYFUNCTION("""COMPUTED_VALUE"""),"Wingull")</f>
        <v>Wingull</v>
      </c>
      <c r="B973" s="174" t="str">
        <f>IFERROR(__xludf.DUMMYFUNCTION("""COMPUTED_VALUE"""),"Proficient")</f>
        <v>Proficient</v>
      </c>
      <c r="C973" s="174" t="str">
        <f>IFERROR(__xludf.DUMMYFUNCTION("""COMPUTED_VALUE"""),"Inept")</f>
        <v>Inept</v>
      </c>
      <c r="D973" s="174" t="str">
        <f>IFERROR(__xludf.DUMMYFUNCTION("""COMPUTED_VALUE"""),"Unlisted")</f>
        <v>Unlisted</v>
      </c>
      <c r="E973" s="174" t="str">
        <f>IFERROR(__xludf.DUMMYFUNCTION("""COMPUTED_VALUE"""),"Inept")</f>
        <v>Inept</v>
      </c>
      <c r="F973" s="174" t="str">
        <f>IFERROR(__xludf.DUMMYFUNCTION("""COMPUTED_VALUE"""),"Unlisted")</f>
        <v>Unlisted</v>
      </c>
      <c r="G973" s="174" t="str">
        <f>IFERROR(__xludf.DUMMYFUNCTION("""COMPUTED_VALUE"""),"Unlisted")</f>
        <v>Unlisted</v>
      </c>
      <c r="H973" s="174" t="str">
        <f>IFERROR(__xludf.DUMMYFUNCTION("""COMPUTED_VALUE"""),"Unlisted")</f>
        <v>Unlisted</v>
      </c>
      <c r="I973" s="174" t="str">
        <f>IFERROR(__xludf.DUMMYFUNCTION("""COMPUTED_VALUE"""),"Unlisted")</f>
        <v>Unlisted</v>
      </c>
      <c r="J973" s="174" t="str">
        <f>IFERROR(__xludf.DUMMYFUNCTION("""COMPUTED_VALUE"""),"Unlisted")</f>
        <v>Unlisted</v>
      </c>
      <c r="K973" s="174" t="str">
        <f>IFERROR(__xludf.DUMMYFUNCTION("""COMPUTED_VALUE"""),"Proficient")</f>
        <v>Proficient</v>
      </c>
      <c r="L973" s="174" t="str">
        <f>IFERROR(__xludf.DUMMYFUNCTION("""COMPUTED_VALUE"""),"Unlisted")</f>
        <v>Unlisted</v>
      </c>
      <c r="M973" s="174" t="str">
        <f>IFERROR(__xludf.DUMMYFUNCTION("""COMPUTED_VALUE"""),"Unlisted")</f>
        <v>Unlisted</v>
      </c>
      <c r="N973" s="174" t="str">
        <f>IFERROR(__xludf.DUMMYFUNCTION("""COMPUTED_VALUE"""),"Unlisted")</f>
        <v>Unlisted</v>
      </c>
      <c r="O973" s="174" t="str">
        <f>IFERROR(__xludf.DUMMYFUNCTION("""COMPUTED_VALUE"""),"Unlisted")</f>
        <v>Unlisted</v>
      </c>
      <c r="P973" s="174" t="str">
        <f>IFERROR(__xludf.DUMMYFUNCTION("""COMPUTED_VALUE"""),"Unlisted")</f>
        <v>Unlisted</v>
      </c>
      <c r="Q973" s="174" t="str">
        <f>IFERROR(__xludf.DUMMYFUNCTION("""COMPUTED_VALUE"""),"Unlisted")</f>
        <v>Unlisted</v>
      </c>
      <c r="R973" s="174" t="str">
        <f>IFERROR(__xludf.DUMMYFUNCTION("""COMPUTED_VALUE"""),"Unlisted")</f>
        <v>Unlisted</v>
      </c>
    </row>
    <row r="974">
      <c r="A974" s="255" t="str">
        <f>IFERROR(__xludf.DUMMYFUNCTION("""COMPUTED_VALUE"""),"Pelipper")</f>
        <v>Pelipper</v>
      </c>
      <c r="B974" s="174" t="str">
        <f>IFERROR(__xludf.DUMMYFUNCTION("""COMPUTED_VALUE"""),"Proficient")</f>
        <v>Proficient</v>
      </c>
      <c r="C974" s="174" t="str">
        <f>IFERROR(__xludf.DUMMYFUNCTION("""COMPUTED_VALUE"""),"Inept")</f>
        <v>Inept</v>
      </c>
      <c r="D974" s="174" t="str">
        <f>IFERROR(__xludf.DUMMYFUNCTION("""COMPUTED_VALUE"""),"Unlisted")</f>
        <v>Unlisted</v>
      </c>
      <c r="E974" s="174" t="str">
        <f>IFERROR(__xludf.DUMMYFUNCTION("""COMPUTED_VALUE"""),"Inept")</f>
        <v>Inept</v>
      </c>
      <c r="F974" s="174" t="str">
        <f>IFERROR(__xludf.DUMMYFUNCTION("""COMPUTED_VALUE"""),"Unlisted")</f>
        <v>Unlisted</v>
      </c>
      <c r="G974" s="174" t="str">
        <f>IFERROR(__xludf.DUMMYFUNCTION("""COMPUTED_VALUE"""),"Unlisted")</f>
        <v>Unlisted</v>
      </c>
      <c r="H974" s="174" t="str">
        <f>IFERROR(__xludf.DUMMYFUNCTION("""COMPUTED_VALUE"""),"Unlisted")</f>
        <v>Unlisted</v>
      </c>
      <c r="I974" s="174" t="str">
        <f>IFERROR(__xludf.DUMMYFUNCTION("""COMPUTED_VALUE"""),"Unlisted")</f>
        <v>Unlisted</v>
      </c>
      <c r="J974" s="174" t="str">
        <f>IFERROR(__xludf.DUMMYFUNCTION("""COMPUTED_VALUE"""),"Unlisted")</f>
        <v>Unlisted</v>
      </c>
      <c r="K974" s="174" t="str">
        <f>IFERROR(__xludf.DUMMYFUNCTION("""COMPUTED_VALUE"""),"Proficient")</f>
        <v>Proficient</v>
      </c>
      <c r="L974" s="174" t="str">
        <f>IFERROR(__xludf.DUMMYFUNCTION("""COMPUTED_VALUE"""),"Unlisted")</f>
        <v>Unlisted</v>
      </c>
      <c r="M974" s="174" t="str">
        <f>IFERROR(__xludf.DUMMYFUNCTION("""COMPUTED_VALUE"""),"Unlisted")</f>
        <v>Unlisted</v>
      </c>
      <c r="N974" s="174" t="str">
        <f>IFERROR(__xludf.DUMMYFUNCTION("""COMPUTED_VALUE"""),"Unlisted")</f>
        <v>Unlisted</v>
      </c>
      <c r="O974" s="174" t="str">
        <f>IFERROR(__xludf.DUMMYFUNCTION("""COMPUTED_VALUE"""),"Unlisted")</f>
        <v>Unlisted</v>
      </c>
      <c r="P974" s="174" t="str">
        <f>IFERROR(__xludf.DUMMYFUNCTION("""COMPUTED_VALUE"""),"Unlisted")</f>
        <v>Unlisted</v>
      </c>
      <c r="Q974" s="174" t="str">
        <f>IFERROR(__xludf.DUMMYFUNCTION("""COMPUTED_VALUE"""),"Unlisted")</f>
        <v>Unlisted</v>
      </c>
      <c r="R974" s="174" t="str">
        <f>IFERROR(__xludf.DUMMYFUNCTION("""COMPUTED_VALUE"""),"Unlisted")</f>
        <v>Unlisted</v>
      </c>
    </row>
    <row r="975">
      <c r="A975" s="255" t="str">
        <f>IFERROR(__xludf.DUMMYFUNCTION("""COMPUTED_VALUE"""),"Carvanha")</f>
        <v>Carvanha</v>
      </c>
      <c r="B975" s="174" t="str">
        <f>IFERROR(__xludf.DUMMYFUNCTION("""COMPUTED_VALUE"""),"Proficient")</f>
        <v>Proficient</v>
      </c>
      <c r="C975" s="174" t="str">
        <f>IFERROR(__xludf.DUMMYFUNCTION("""COMPUTED_VALUE"""),"Unlisted")</f>
        <v>Unlisted</v>
      </c>
      <c r="D975" s="174" t="str">
        <f>IFERROR(__xludf.DUMMYFUNCTION("""COMPUTED_VALUE"""),"Unlisted")</f>
        <v>Unlisted</v>
      </c>
      <c r="E975" s="174" t="str">
        <f>IFERROR(__xludf.DUMMYFUNCTION("""COMPUTED_VALUE"""),"Proficient")</f>
        <v>Proficient</v>
      </c>
      <c r="F975" s="174" t="str">
        <f>IFERROR(__xludf.DUMMYFUNCTION("""COMPUTED_VALUE"""),"Unlisted")</f>
        <v>Unlisted</v>
      </c>
      <c r="G975" s="174" t="str">
        <f>IFERROR(__xludf.DUMMYFUNCTION("""COMPUTED_VALUE"""),"Unlisted")</f>
        <v>Unlisted</v>
      </c>
      <c r="H975" s="174" t="str">
        <f>IFERROR(__xludf.DUMMYFUNCTION("""COMPUTED_VALUE"""),"Unlisted")</f>
        <v>Unlisted</v>
      </c>
      <c r="I975" s="174" t="str">
        <f>IFERROR(__xludf.DUMMYFUNCTION("""COMPUTED_VALUE"""),"Unlisted")</f>
        <v>Unlisted</v>
      </c>
      <c r="J975" s="174" t="str">
        <f>IFERROR(__xludf.DUMMYFUNCTION("""COMPUTED_VALUE"""),"Unlisted")</f>
        <v>Unlisted</v>
      </c>
      <c r="K975" s="174" t="str">
        <f>IFERROR(__xludf.DUMMYFUNCTION("""COMPUTED_VALUE"""),"Unlisted")</f>
        <v>Unlisted</v>
      </c>
      <c r="L975" s="174" t="str">
        <f>IFERROR(__xludf.DUMMYFUNCTION("""COMPUTED_VALUE"""),"Proficient")</f>
        <v>Proficient</v>
      </c>
      <c r="M975" s="174" t="str">
        <f>IFERROR(__xludf.DUMMYFUNCTION("""COMPUTED_VALUE"""),"Unlisted")</f>
        <v>Unlisted</v>
      </c>
      <c r="N975" s="174" t="str">
        <f>IFERROR(__xludf.DUMMYFUNCTION("""COMPUTED_VALUE"""),"Unlisted")</f>
        <v>Unlisted</v>
      </c>
      <c r="O975" s="174" t="str">
        <f>IFERROR(__xludf.DUMMYFUNCTION("""COMPUTED_VALUE"""),"Unlisted")</f>
        <v>Unlisted</v>
      </c>
      <c r="P975" s="174" t="str">
        <f>IFERROR(__xludf.DUMMYFUNCTION("""COMPUTED_VALUE"""),"Unlisted")</f>
        <v>Unlisted</v>
      </c>
      <c r="Q975" s="174" t="str">
        <f>IFERROR(__xludf.DUMMYFUNCTION("""COMPUTED_VALUE"""),"Unlisted")</f>
        <v>Unlisted</v>
      </c>
      <c r="R975" s="174" t="str">
        <f>IFERROR(__xludf.DUMMYFUNCTION("""COMPUTED_VALUE"""),"Unlisted")</f>
        <v>Unlisted</v>
      </c>
    </row>
    <row r="976">
      <c r="A976" s="255" t="str">
        <f>IFERROR(__xludf.DUMMYFUNCTION("""COMPUTED_VALUE"""),"Sharpedo")</f>
        <v>Sharpedo</v>
      </c>
      <c r="B976" s="174" t="str">
        <f>IFERROR(__xludf.DUMMYFUNCTION("""COMPUTED_VALUE"""),"Proficient")</f>
        <v>Proficient</v>
      </c>
      <c r="C976" s="174" t="str">
        <f>IFERROR(__xludf.DUMMYFUNCTION("""COMPUTED_VALUE"""),"Unlisted")</f>
        <v>Unlisted</v>
      </c>
      <c r="D976" s="174" t="str">
        <f>IFERROR(__xludf.DUMMYFUNCTION("""COMPUTED_VALUE"""),"Unlisted")</f>
        <v>Unlisted</v>
      </c>
      <c r="E976" s="174" t="str">
        <f>IFERROR(__xludf.DUMMYFUNCTION("""COMPUTED_VALUE"""),"Proficient")</f>
        <v>Proficient</v>
      </c>
      <c r="F976" s="174" t="str">
        <f>IFERROR(__xludf.DUMMYFUNCTION("""COMPUTED_VALUE"""),"Unlisted")</f>
        <v>Unlisted</v>
      </c>
      <c r="G976" s="174" t="str">
        <f>IFERROR(__xludf.DUMMYFUNCTION("""COMPUTED_VALUE"""),"Unlisted")</f>
        <v>Unlisted</v>
      </c>
      <c r="H976" s="174" t="str">
        <f>IFERROR(__xludf.DUMMYFUNCTION("""COMPUTED_VALUE"""),"Unlisted")</f>
        <v>Unlisted</v>
      </c>
      <c r="I976" s="174" t="str">
        <f>IFERROR(__xludf.DUMMYFUNCTION("""COMPUTED_VALUE"""),"Unlisted")</f>
        <v>Unlisted</v>
      </c>
      <c r="J976" s="174" t="str">
        <f>IFERROR(__xludf.DUMMYFUNCTION("""COMPUTED_VALUE"""),"Unlisted")</f>
        <v>Unlisted</v>
      </c>
      <c r="K976" s="174" t="str">
        <f>IFERROR(__xludf.DUMMYFUNCTION("""COMPUTED_VALUE"""),"Unlisted")</f>
        <v>Unlisted</v>
      </c>
      <c r="L976" s="174" t="str">
        <f>IFERROR(__xludf.DUMMYFUNCTION("""COMPUTED_VALUE"""),"Proficient")</f>
        <v>Proficient</v>
      </c>
      <c r="M976" s="174" t="str">
        <f>IFERROR(__xludf.DUMMYFUNCTION("""COMPUTED_VALUE"""),"Unlisted")</f>
        <v>Unlisted</v>
      </c>
      <c r="N976" s="174" t="str">
        <f>IFERROR(__xludf.DUMMYFUNCTION("""COMPUTED_VALUE"""),"Unlisted")</f>
        <v>Unlisted</v>
      </c>
      <c r="O976" s="174" t="str">
        <f>IFERROR(__xludf.DUMMYFUNCTION("""COMPUTED_VALUE"""),"Unlisted")</f>
        <v>Unlisted</v>
      </c>
      <c r="P976" s="174" t="str">
        <f>IFERROR(__xludf.DUMMYFUNCTION("""COMPUTED_VALUE"""),"Unlisted")</f>
        <v>Unlisted</v>
      </c>
      <c r="Q976" s="174" t="str">
        <f>IFERROR(__xludf.DUMMYFUNCTION("""COMPUTED_VALUE"""),"Unlisted")</f>
        <v>Unlisted</v>
      </c>
      <c r="R976" s="174" t="str">
        <f>IFERROR(__xludf.DUMMYFUNCTION("""COMPUTED_VALUE"""),"Unlisted")</f>
        <v>Unlisted</v>
      </c>
    </row>
    <row r="977">
      <c r="A977" s="255" t="str">
        <f>IFERROR(__xludf.DUMMYFUNCTION("""COMPUTED_VALUE"""),"Wailmer")</f>
        <v>Wailmer</v>
      </c>
      <c r="B977" s="174" t="str">
        <f>IFERROR(__xludf.DUMMYFUNCTION("""COMPUTED_VALUE"""),"Unlisted")</f>
        <v>Unlisted</v>
      </c>
      <c r="C977" s="174" t="str">
        <f>IFERROR(__xludf.DUMMYFUNCTION("""COMPUTED_VALUE"""),"Proficient")</f>
        <v>Proficient</v>
      </c>
      <c r="D977" s="174" t="str">
        <f>IFERROR(__xludf.DUMMYFUNCTION("""COMPUTED_VALUE"""),"Unlisted")</f>
        <v>Unlisted</v>
      </c>
      <c r="E977" s="174" t="str">
        <f>IFERROR(__xludf.DUMMYFUNCTION("""COMPUTED_VALUE"""),"Unlisted")</f>
        <v>Unlisted</v>
      </c>
      <c r="F977" s="174" t="str">
        <f>IFERROR(__xludf.DUMMYFUNCTION("""COMPUTED_VALUE"""),"Unlisted")</f>
        <v>Unlisted</v>
      </c>
      <c r="G977" s="174" t="str">
        <f>IFERROR(__xludf.DUMMYFUNCTION("""COMPUTED_VALUE"""),"Proficient")</f>
        <v>Proficient</v>
      </c>
      <c r="H977" s="174" t="str">
        <f>IFERROR(__xludf.DUMMYFUNCTION("""COMPUTED_VALUE"""),"Unlisted")</f>
        <v>Unlisted</v>
      </c>
      <c r="I977" s="174" t="str">
        <f>IFERROR(__xludf.DUMMYFUNCTION("""COMPUTED_VALUE"""),"Unlisted")</f>
        <v>Unlisted</v>
      </c>
      <c r="J977" s="174" t="str">
        <f>IFERROR(__xludf.DUMMYFUNCTION("""COMPUTED_VALUE"""),"Unlisted")</f>
        <v>Unlisted</v>
      </c>
      <c r="K977" s="174" t="str">
        <f>IFERROR(__xludf.DUMMYFUNCTION("""COMPUTED_VALUE"""),"Unlisted")</f>
        <v>Unlisted</v>
      </c>
      <c r="L977" s="174" t="str">
        <f>IFERROR(__xludf.DUMMYFUNCTION("""COMPUTED_VALUE"""),"Inept")</f>
        <v>Inept</v>
      </c>
      <c r="M977" s="174" t="str">
        <f>IFERROR(__xludf.DUMMYFUNCTION("""COMPUTED_VALUE"""),"Unlisted")</f>
        <v>Unlisted</v>
      </c>
      <c r="N977" s="174" t="str">
        <f>IFERROR(__xludf.DUMMYFUNCTION("""COMPUTED_VALUE"""),"Unlisted")</f>
        <v>Unlisted</v>
      </c>
      <c r="O977" s="174" t="str">
        <f>IFERROR(__xludf.DUMMYFUNCTION("""COMPUTED_VALUE"""),"Unlisted")</f>
        <v>Unlisted</v>
      </c>
      <c r="P977" s="174" t="str">
        <f>IFERROR(__xludf.DUMMYFUNCTION("""COMPUTED_VALUE"""),"Unlisted")</f>
        <v>Unlisted</v>
      </c>
      <c r="Q977" s="174" t="str">
        <f>IFERROR(__xludf.DUMMYFUNCTION("""COMPUTED_VALUE"""),"Unlisted")</f>
        <v>Unlisted</v>
      </c>
      <c r="R977" s="174" t="str">
        <f>IFERROR(__xludf.DUMMYFUNCTION("""COMPUTED_VALUE"""),"Unlisted")</f>
        <v>Unlisted</v>
      </c>
    </row>
    <row r="978">
      <c r="A978" s="255" t="str">
        <f>IFERROR(__xludf.DUMMYFUNCTION("""COMPUTED_VALUE"""),"Wailord")</f>
        <v>Wailord</v>
      </c>
      <c r="B978" s="174" t="str">
        <f>IFERROR(__xludf.DUMMYFUNCTION("""COMPUTED_VALUE"""),"Unlisted")</f>
        <v>Unlisted</v>
      </c>
      <c r="C978" s="174" t="str">
        <f>IFERROR(__xludf.DUMMYFUNCTION("""COMPUTED_VALUE"""),"Proficient")</f>
        <v>Proficient</v>
      </c>
      <c r="D978" s="174" t="str">
        <f>IFERROR(__xludf.DUMMYFUNCTION("""COMPUTED_VALUE"""),"Unlisted")</f>
        <v>Unlisted</v>
      </c>
      <c r="E978" s="174" t="str">
        <f>IFERROR(__xludf.DUMMYFUNCTION("""COMPUTED_VALUE"""),"Unlisted")</f>
        <v>Unlisted</v>
      </c>
      <c r="F978" s="174" t="str">
        <f>IFERROR(__xludf.DUMMYFUNCTION("""COMPUTED_VALUE"""),"Unlisted")</f>
        <v>Unlisted</v>
      </c>
      <c r="G978" s="174" t="str">
        <f>IFERROR(__xludf.DUMMYFUNCTION("""COMPUTED_VALUE"""),"Proficient")</f>
        <v>Proficient</v>
      </c>
      <c r="H978" s="174" t="str">
        <f>IFERROR(__xludf.DUMMYFUNCTION("""COMPUTED_VALUE"""),"Unlisted")</f>
        <v>Unlisted</v>
      </c>
      <c r="I978" s="174" t="str">
        <f>IFERROR(__xludf.DUMMYFUNCTION("""COMPUTED_VALUE"""),"Unlisted")</f>
        <v>Unlisted</v>
      </c>
      <c r="J978" s="174" t="str">
        <f>IFERROR(__xludf.DUMMYFUNCTION("""COMPUTED_VALUE"""),"Unlisted")</f>
        <v>Unlisted</v>
      </c>
      <c r="K978" s="174" t="str">
        <f>IFERROR(__xludf.DUMMYFUNCTION("""COMPUTED_VALUE"""),"Unlisted")</f>
        <v>Unlisted</v>
      </c>
      <c r="L978" s="174" t="str">
        <f>IFERROR(__xludf.DUMMYFUNCTION("""COMPUTED_VALUE"""),"Inept")</f>
        <v>Inept</v>
      </c>
      <c r="M978" s="174" t="str">
        <f>IFERROR(__xludf.DUMMYFUNCTION("""COMPUTED_VALUE"""),"Unlisted")</f>
        <v>Unlisted</v>
      </c>
      <c r="N978" s="174" t="str">
        <f>IFERROR(__xludf.DUMMYFUNCTION("""COMPUTED_VALUE"""),"Unlisted")</f>
        <v>Unlisted</v>
      </c>
      <c r="O978" s="174" t="str">
        <f>IFERROR(__xludf.DUMMYFUNCTION("""COMPUTED_VALUE"""),"Unlisted")</f>
        <v>Unlisted</v>
      </c>
      <c r="P978" s="174" t="str">
        <f>IFERROR(__xludf.DUMMYFUNCTION("""COMPUTED_VALUE"""),"Unlisted")</f>
        <v>Unlisted</v>
      </c>
      <c r="Q978" s="174" t="str">
        <f>IFERROR(__xludf.DUMMYFUNCTION("""COMPUTED_VALUE"""),"Unlisted")</f>
        <v>Unlisted</v>
      </c>
      <c r="R978" s="174" t="str">
        <f>IFERROR(__xludf.DUMMYFUNCTION("""COMPUTED_VALUE"""),"Unlisted")</f>
        <v>Unlisted</v>
      </c>
    </row>
    <row r="979">
      <c r="A979" s="255" t="str">
        <f>IFERROR(__xludf.DUMMYFUNCTION("""COMPUTED_VALUE"""),"Barboach")</f>
        <v>Barboach</v>
      </c>
      <c r="B979" s="174" t="str">
        <f>IFERROR(__xludf.DUMMYFUNCTION("""COMPUTED_VALUE"""),"Unlisted")</f>
        <v>Unlisted</v>
      </c>
      <c r="C979" s="174" t="str">
        <f>IFERROR(__xludf.DUMMYFUNCTION("""COMPUTED_VALUE"""),"Unlisted")</f>
        <v>Unlisted</v>
      </c>
      <c r="D979" s="174" t="str">
        <f>IFERROR(__xludf.DUMMYFUNCTION("""COMPUTED_VALUE"""),"Unlisted")</f>
        <v>Unlisted</v>
      </c>
      <c r="E979" s="174" t="str">
        <f>IFERROR(__xludf.DUMMYFUNCTION("""COMPUTED_VALUE"""),"Unlisted")</f>
        <v>Unlisted</v>
      </c>
      <c r="F979" s="174" t="str">
        <f>IFERROR(__xludf.DUMMYFUNCTION("""COMPUTED_VALUE"""),"Unlisted")</f>
        <v>Unlisted</v>
      </c>
      <c r="G979" s="174" t="str">
        <f>IFERROR(__xludf.DUMMYFUNCTION("""COMPUTED_VALUE"""),"Proficient")</f>
        <v>Proficient</v>
      </c>
      <c r="H979" s="174" t="str">
        <f>IFERROR(__xludf.DUMMYFUNCTION("""COMPUTED_VALUE"""),"Unlisted")</f>
        <v>Unlisted</v>
      </c>
      <c r="I979" s="174" t="str">
        <f>IFERROR(__xludf.DUMMYFUNCTION("""COMPUTED_VALUE"""),"Unlisted")</f>
        <v>Unlisted</v>
      </c>
      <c r="J979" s="174" t="str">
        <f>IFERROR(__xludf.DUMMYFUNCTION("""COMPUTED_VALUE"""),"Proficient")</f>
        <v>Proficient</v>
      </c>
      <c r="K979" s="174" t="str">
        <f>IFERROR(__xludf.DUMMYFUNCTION("""COMPUTED_VALUE"""),"Unlisted")</f>
        <v>Unlisted</v>
      </c>
      <c r="L979" s="174" t="str">
        <f>IFERROR(__xludf.DUMMYFUNCTION("""COMPUTED_VALUE"""),"Proficient")</f>
        <v>Proficient</v>
      </c>
      <c r="M979" s="174" t="str">
        <f>IFERROR(__xludf.DUMMYFUNCTION("""COMPUTED_VALUE"""),"Unlisted")</f>
        <v>Unlisted</v>
      </c>
      <c r="N979" s="174" t="str">
        <f>IFERROR(__xludf.DUMMYFUNCTION("""COMPUTED_VALUE"""),"Unlisted")</f>
        <v>Unlisted</v>
      </c>
      <c r="O979" s="174" t="str">
        <f>IFERROR(__xludf.DUMMYFUNCTION("""COMPUTED_VALUE"""),"Unlisted")</f>
        <v>Unlisted</v>
      </c>
      <c r="P979" s="174" t="str">
        <f>IFERROR(__xludf.DUMMYFUNCTION("""COMPUTED_VALUE"""),"Unlisted")</f>
        <v>Unlisted</v>
      </c>
      <c r="Q979" s="174" t="str">
        <f>IFERROR(__xludf.DUMMYFUNCTION("""COMPUTED_VALUE"""),"Unlisted")</f>
        <v>Unlisted</v>
      </c>
      <c r="R979" s="174" t="str">
        <f>IFERROR(__xludf.DUMMYFUNCTION("""COMPUTED_VALUE"""),"Unlisted")</f>
        <v>Unlisted</v>
      </c>
    </row>
    <row r="980">
      <c r="A980" s="255" t="str">
        <f>IFERROR(__xludf.DUMMYFUNCTION("""COMPUTED_VALUE"""),"Whiscash")</f>
        <v>Whiscash</v>
      </c>
      <c r="B980" s="174" t="str">
        <f>IFERROR(__xludf.DUMMYFUNCTION("""COMPUTED_VALUE"""),"Unlisted")</f>
        <v>Unlisted</v>
      </c>
      <c r="C980" s="174" t="str">
        <f>IFERROR(__xludf.DUMMYFUNCTION("""COMPUTED_VALUE"""),"Unlisted")</f>
        <v>Unlisted</v>
      </c>
      <c r="D980" s="174" t="str">
        <f>IFERROR(__xludf.DUMMYFUNCTION("""COMPUTED_VALUE"""),"Unlisted")</f>
        <v>Unlisted</v>
      </c>
      <c r="E980" s="174" t="str">
        <f>IFERROR(__xludf.DUMMYFUNCTION("""COMPUTED_VALUE"""),"Unlisted")</f>
        <v>Unlisted</v>
      </c>
      <c r="F980" s="174" t="str">
        <f>IFERROR(__xludf.DUMMYFUNCTION("""COMPUTED_VALUE"""),"Unlisted")</f>
        <v>Unlisted</v>
      </c>
      <c r="G980" s="174" t="str">
        <f>IFERROR(__xludf.DUMMYFUNCTION("""COMPUTED_VALUE"""),"Proficient")</f>
        <v>Proficient</v>
      </c>
      <c r="H980" s="174" t="str">
        <f>IFERROR(__xludf.DUMMYFUNCTION("""COMPUTED_VALUE"""),"Unlisted")</f>
        <v>Unlisted</v>
      </c>
      <c r="I980" s="174" t="str">
        <f>IFERROR(__xludf.DUMMYFUNCTION("""COMPUTED_VALUE"""),"Unlisted")</f>
        <v>Unlisted</v>
      </c>
      <c r="J980" s="174" t="str">
        <f>IFERROR(__xludf.DUMMYFUNCTION("""COMPUTED_VALUE"""),"Proficient")</f>
        <v>Proficient</v>
      </c>
      <c r="K980" s="174" t="str">
        <f>IFERROR(__xludf.DUMMYFUNCTION("""COMPUTED_VALUE"""),"Unlisted")</f>
        <v>Unlisted</v>
      </c>
      <c r="L980" s="174" t="str">
        <f>IFERROR(__xludf.DUMMYFUNCTION("""COMPUTED_VALUE"""),"Proficient")</f>
        <v>Proficient</v>
      </c>
      <c r="M980" s="174" t="str">
        <f>IFERROR(__xludf.DUMMYFUNCTION("""COMPUTED_VALUE"""),"Unlisted")</f>
        <v>Unlisted</v>
      </c>
      <c r="N980" s="174" t="str">
        <f>IFERROR(__xludf.DUMMYFUNCTION("""COMPUTED_VALUE"""),"Unlisted")</f>
        <v>Unlisted</v>
      </c>
      <c r="O980" s="174" t="str">
        <f>IFERROR(__xludf.DUMMYFUNCTION("""COMPUTED_VALUE"""),"Unlisted")</f>
        <v>Unlisted</v>
      </c>
      <c r="P980" s="174" t="str">
        <f>IFERROR(__xludf.DUMMYFUNCTION("""COMPUTED_VALUE"""),"Unlisted")</f>
        <v>Unlisted</v>
      </c>
      <c r="Q980" s="174" t="str">
        <f>IFERROR(__xludf.DUMMYFUNCTION("""COMPUTED_VALUE"""),"Unlisted")</f>
        <v>Unlisted</v>
      </c>
      <c r="R980" s="174" t="str">
        <f>IFERROR(__xludf.DUMMYFUNCTION("""COMPUTED_VALUE"""),"Unlisted")</f>
        <v>Unlisted</v>
      </c>
    </row>
    <row r="981">
      <c r="A981" s="255" t="str">
        <f>IFERROR(__xludf.DUMMYFUNCTION("""COMPUTED_VALUE"""),"Corphish")</f>
        <v>Corphish</v>
      </c>
      <c r="B981" s="174" t="str">
        <f>IFERROR(__xludf.DUMMYFUNCTION("""COMPUTED_VALUE"""),"Unlisted")</f>
        <v>Unlisted</v>
      </c>
      <c r="C981" s="174" t="str">
        <f>IFERROR(__xludf.DUMMYFUNCTION("""COMPUTED_VALUE"""),"Proficient")</f>
        <v>Proficient</v>
      </c>
      <c r="D981" s="174" t="str">
        <f>IFERROR(__xludf.DUMMYFUNCTION("""COMPUTED_VALUE"""),"Unlisted")</f>
        <v>Unlisted</v>
      </c>
      <c r="E981" s="174" t="str">
        <f>IFERROR(__xludf.DUMMYFUNCTION("""COMPUTED_VALUE"""),"Proficient")</f>
        <v>Proficient</v>
      </c>
      <c r="F981" s="174" t="str">
        <f>IFERROR(__xludf.DUMMYFUNCTION("""COMPUTED_VALUE"""),"Unlisted")</f>
        <v>Unlisted</v>
      </c>
      <c r="G981" s="174" t="str">
        <f>IFERROR(__xludf.DUMMYFUNCTION("""COMPUTED_VALUE"""),"Unlisted")</f>
        <v>Unlisted</v>
      </c>
      <c r="H981" s="174" t="str">
        <f>IFERROR(__xludf.DUMMYFUNCTION("""COMPUTED_VALUE"""),"Proficient")</f>
        <v>Proficient</v>
      </c>
      <c r="I981" s="174" t="str">
        <f>IFERROR(__xludf.DUMMYFUNCTION("""COMPUTED_VALUE"""),"Unlisted")</f>
        <v>Unlisted</v>
      </c>
      <c r="J981" s="174" t="str">
        <f>IFERROR(__xludf.DUMMYFUNCTION("""COMPUTED_VALUE"""),"Unlisted")</f>
        <v>Unlisted</v>
      </c>
      <c r="K981" s="174" t="str">
        <f>IFERROR(__xludf.DUMMYFUNCTION("""COMPUTED_VALUE"""),"Unlisted")</f>
        <v>Unlisted</v>
      </c>
      <c r="L981" s="174" t="str">
        <f>IFERROR(__xludf.DUMMYFUNCTION("""COMPUTED_VALUE"""),"Unlisted")</f>
        <v>Unlisted</v>
      </c>
      <c r="M981" s="174" t="str">
        <f>IFERROR(__xludf.DUMMYFUNCTION("""COMPUTED_VALUE"""),"Unlisted")</f>
        <v>Unlisted</v>
      </c>
      <c r="N981" s="174" t="str">
        <f>IFERROR(__xludf.DUMMYFUNCTION("""COMPUTED_VALUE"""),"Unlisted")</f>
        <v>Unlisted</v>
      </c>
      <c r="O981" s="174" t="str">
        <f>IFERROR(__xludf.DUMMYFUNCTION("""COMPUTED_VALUE"""),"Unlisted")</f>
        <v>Unlisted</v>
      </c>
      <c r="P981" s="174" t="str">
        <f>IFERROR(__xludf.DUMMYFUNCTION("""COMPUTED_VALUE"""),"Unlisted")</f>
        <v>Unlisted</v>
      </c>
      <c r="Q981" s="174" t="str">
        <f>IFERROR(__xludf.DUMMYFUNCTION("""COMPUTED_VALUE"""),"Unlisted")</f>
        <v>Unlisted</v>
      </c>
      <c r="R981" s="174" t="str">
        <f>IFERROR(__xludf.DUMMYFUNCTION("""COMPUTED_VALUE"""),"Unlisted")</f>
        <v>Unlisted</v>
      </c>
    </row>
    <row r="982">
      <c r="A982" s="255" t="str">
        <f>IFERROR(__xludf.DUMMYFUNCTION("""COMPUTED_VALUE"""),"Crawdaunt")</f>
        <v>Crawdaunt</v>
      </c>
      <c r="B982" s="174" t="str">
        <f>IFERROR(__xludf.DUMMYFUNCTION("""COMPUTED_VALUE"""),"Unlisted")</f>
        <v>Unlisted</v>
      </c>
      <c r="C982" s="174" t="str">
        <f>IFERROR(__xludf.DUMMYFUNCTION("""COMPUTED_VALUE"""),"Proficient")</f>
        <v>Proficient</v>
      </c>
      <c r="D982" s="174" t="str">
        <f>IFERROR(__xludf.DUMMYFUNCTION("""COMPUTED_VALUE"""),"Unlisted")</f>
        <v>Unlisted</v>
      </c>
      <c r="E982" s="174" t="str">
        <f>IFERROR(__xludf.DUMMYFUNCTION("""COMPUTED_VALUE"""),"Proficient")</f>
        <v>Proficient</v>
      </c>
      <c r="F982" s="174" t="str">
        <f>IFERROR(__xludf.DUMMYFUNCTION("""COMPUTED_VALUE"""),"Unlisted")</f>
        <v>Unlisted</v>
      </c>
      <c r="G982" s="174" t="str">
        <f>IFERROR(__xludf.DUMMYFUNCTION("""COMPUTED_VALUE"""),"Unlisted")</f>
        <v>Unlisted</v>
      </c>
      <c r="H982" s="174" t="str">
        <f>IFERROR(__xludf.DUMMYFUNCTION("""COMPUTED_VALUE"""),"Proficient")</f>
        <v>Proficient</v>
      </c>
      <c r="I982" s="174" t="str">
        <f>IFERROR(__xludf.DUMMYFUNCTION("""COMPUTED_VALUE"""),"Unlisted")</f>
        <v>Unlisted</v>
      </c>
      <c r="J982" s="174" t="str">
        <f>IFERROR(__xludf.DUMMYFUNCTION("""COMPUTED_VALUE"""),"Unlisted")</f>
        <v>Unlisted</v>
      </c>
      <c r="K982" s="174" t="str">
        <f>IFERROR(__xludf.DUMMYFUNCTION("""COMPUTED_VALUE"""),"Unlisted")</f>
        <v>Unlisted</v>
      </c>
      <c r="L982" s="174" t="str">
        <f>IFERROR(__xludf.DUMMYFUNCTION("""COMPUTED_VALUE"""),"Unlisted")</f>
        <v>Unlisted</v>
      </c>
      <c r="M982" s="174" t="str">
        <f>IFERROR(__xludf.DUMMYFUNCTION("""COMPUTED_VALUE"""),"Unlisted")</f>
        <v>Unlisted</v>
      </c>
      <c r="N982" s="174" t="str">
        <f>IFERROR(__xludf.DUMMYFUNCTION("""COMPUTED_VALUE"""),"Unlisted")</f>
        <v>Unlisted</v>
      </c>
      <c r="O982" s="174" t="str">
        <f>IFERROR(__xludf.DUMMYFUNCTION("""COMPUTED_VALUE"""),"Unlisted")</f>
        <v>Unlisted</v>
      </c>
      <c r="P982" s="174" t="str">
        <f>IFERROR(__xludf.DUMMYFUNCTION("""COMPUTED_VALUE"""),"Unlisted")</f>
        <v>Unlisted</v>
      </c>
      <c r="Q982" s="174" t="str">
        <f>IFERROR(__xludf.DUMMYFUNCTION("""COMPUTED_VALUE"""),"Unlisted")</f>
        <v>Unlisted</v>
      </c>
      <c r="R982" s="174" t="str">
        <f>IFERROR(__xludf.DUMMYFUNCTION("""COMPUTED_VALUE"""),"Unlisted")</f>
        <v>Unlisted</v>
      </c>
    </row>
    <row r="983">
      <c r="A983" s="255" t="str">
        <f>IFERROR(__xludf.DUMMYFUNCTION("""COMPUTED_VALUE"""),"Feebas")</f>
        <v>Feebas</v>
      </c>
      <c r="B983" s="174" t="str">
        <f>IFERROR(__xludf.DUMMYFUNCTION("""COMPUTED_VALUE"""),"Unlisted")</f>
        <v>Unlisted</v>
      </c>
      <c r="C983" s="174" t="str">
        <f>IFERROR(__xludf.DUMMYFUNCTION("""COMPUTED_VALUE"""),"Inept")</f>
        <v>Inept</v>
      </c>
      <c r="D983" s="174" t="str">
        <f>IFERROR(__xludf.DUMMYFUNCTION("""COMPUTED_VALUE"""),"Inept")</f>
        <v>Inept</v>
      </c>
      <c r="E983" s="174" t="str">
        <f>IFERROR(__xludf.DUMMYFUNCTION("""COMPUTED_VALUE"""),"Inept")</f>
        <v>Inept</v>
      </c>
      <c r="F983" s="174" t="str">
        <f>IFERROR(__xludf.DUMMYFUNCTION("""COMPUTED_VALUE"""),"Unlisted")</f>
        <v>Unlisted</v>
      </c>
      <c r="G983" s="174" t="str">
        <f>IFERROR(__xludf.DUMMYFUNCTION("""COMPUTED_VALUE"""),"Unlisted")</f>
        <v>Unlisted</v>
      </c>
      <c r="H983" s="174" t="str">
        <f>IFERROR(__xludf.DUMMYFUNCTION("""COMPUTED_VALUE"""),"Unlisted")</f>
        <v>Unlisted</v>
      </c>
      <c r="I983" s="174" t="str">
        <f>IFERROR(__xludf.DUMMYFUNCTION("""COMPUTED_VALUE"""),"Unlisted")</f>
        <v>Unlisted</v>
      </c>
      <c r="J983" s="174" t="str">
        <f>IFERROR(__xludf.DUMMYFUNCTION("""COMPUTED_VALUE"""),"Unlisted")</f>
        <v>Unlisted</v>
      </c>
      <c r="K983" s="174" t="str">
        <f>IFERROR(__xludf.DUMMYFUNCTION("""COMPUTED_VALUE"""),"Unlisted")</f>
        <v>Unlisted</v>
      </c>
      <c r="L983" s="174" t="str">
        <f>IFERROR(__xludf.DUMMYFUNCTION("""COMPUTED_VALUE"""),"Unlisted")</f>
        <v>Unlisted</v>
      </c>
      <c r="M983" s="174" t="str">
        <f>IFERROR(__xludf.DUMMYFUNCTION("""COMPUTED_VALUE"""),"Unlisted")</f>
        <v>Unlisted</v>
      </c>
      <c r="N983" s="174" t="str">
        <f>IFERROR(__xludf.DUMMYFUNCTION("""COMPUTED_VALUE"""),"Unlisted")</f>
        <v>Unlisted</v>
      </c>
      <c r="O983" s="174" t="str">
        <f>IFERROR(__xludf.DUMMYFUNCTION("""COMPUTED_VALUE"""),"Unlisted")</f>
        <v>Unlisted</v>
      </c>
      <c r="P983" s="174" t="str">
        <f>IFERROR(__xludf.DUMMYFUNCTION("""COMPUTED_VALUE"""),"Unlisted")</f>
        <v>Unlisted</v>
      </c>
      <c r="Q983" s="174" t="str">
        <f>IFERROR(__xludf.DUMMYFUNCTION("""COMPUTED_VALUE"""),"Unlisted")</f>
        <v>Unlisted</v>
      </c>
      <c r="R983" s="174" t="str">
        <f>IFERROR(__xludf.DUMMYFUNCTION("""COMPUTED_VALUE"""),"Unlisted")</f>
        <v>Unlisted</v>
      </c>
    </row>
    <row r="984">
      <c r="A984" s="255" t="str">
        <f>IFERROR(__xludf.DUMMYFUNCTION("""COMPUTED_VALUE"""),"Milotic")</f>
        <v>Milotic</v>
      </c>
      <c r="B984" s="174" t="str">
        <f>IFERROR(__xludf.DUMMYFUNCTION("""COMPUTED_VALUE"""),"Proficient")</f>
        <v>Proficient</v>
      </c>
      <c r="C984" s="174" t="str">
        <f>IFERROR(__xludf.DUMMYFUNCTION("""COMPUTED_VALUE"""),"Unlisted")</f>
        <v>Unlisted</v>
      </c>
      <c r="D984" s="174" t="str">
        <f>IFERROR(__xludf.DUMMYFUNCTION("""COMPUTED_VALUE"""),"Proficient")</f>
        <v>Proficient</v>
      </c>
      <c r="E984" s="174" t="str">
        <f>IFERROR(__xludf.DUMMYFUNCTION("""COMPUTED_VALUE"""),"Unlisted")</f>
        <v>Unlisted</v>
      </c>
      <c r="F984" s="174" t="str">
        <f>IFERROR(__xludf.DUMMYFUNCTION("""COMPUTED_VALUE"""),"Unlisted")</f>
        <v>Unlisted</v>
      </c>
      <c r="G984" s="174" t="str">
        <f>IFERROR(__xludf.DUMMYFUNCTION("""COMPUTED_VALUE"""),"Proficient")</f>
        <v>Proficient</v>
      </c>
      <c r="H984" s="174" t="str">
        <f>IFERROR(__xludf.DUMMYFUNCTION("""COMPUTED_VALUE"""),"Unlisted")</f>
        <v>Unlisted</v>
      </c>
      <c r="I984" s="174" t="str">
        <f>IFERROR(__xludf.DUMMYFUNCTION("""COMPUTED_VALUE"""),"Unlisted")</f>
        <v>Unlisted</v>
      </c>
      <c r="J984" s="174" t="str">
        <f>IFERROR(__xludf.DUMMYFUNCTION("""COMPUTED_VALUE"""),"Unlisted")</f>
        <v>Unlisted</v>
      </c>
      <c r="K984" s="174" t="str">
        <f>IFERROR(__xludf.DUMMYFUNCTION("""COMPUTED_VALUE"""),"Unlisted")</f>
        <v>Unlisted</v>
      </c>
      <c r="L984" s="174" t="str">
        <f>IFERROR(__xludf.DUMMYFUNCTION("""COMPUTED_VALUE"""),"Unlisted")</f>
        <v>Unlisted</v>
      </c>
      <c r="M984" s="174" t="str">
        <f>IFERROR(__xludf.DUMMYFUNCTION("""COMPUTED_VALUE"""),"Unlisted")</f>
        <v>Unlisted</v>
      </c>
      <c r="N984" s="174" t="str">
        <f>IFERROR(__xludf.DUMMYFUNCTION("""COMPUTED_VALUE"""),"Unlisted")</f>
        <v>Unlisted</v>
      </c>
      <c r="O984" s="174" t="str">
        <f>IFERROR(__xludf.DUMMYFUNCTION("""COMPUTED_VALUE"""),"Unlisted")</f>
        <v>Unlisted</v>
      </c>
      <c r="P984" s="174" t="str">
        <f>IFERROR(__xludf.DUMMYFUNCTION("""COMPUTED_VALUE"""),"Unlisted")</f>
        <v>Unlisted</v>
      </c>
      <c r="Q984" s="174" t="str">
        <f>IFERROR(__xludf.DUMMYFUNCTION("""COMPUTED_VALUE"""),"Unlisted")</f>
        <v>Unlisted</v>
      </c>
      <c r="R984" s="174" t="str">
        <f>IFERROR(__xludf.DUMMYFUNCTION("""COMPUTED_VALUE"""),"Unlisted")</f>
        <v>Unlisted</v>
      </c>
    </row>
    <row r="985">
      <c r="A985" s="255" t="str">
        <f>IFERROR(__xludf.DUMMYFUNCTION("""COMPUTED_VALUE"""),"Clamperl")</f>
        <v>Clamperl</v>
      </c>
      <c r="B985" s="174" t="str">
        <f>IFERROR(__xludf.DUMMYFUNCTION("""COMPUTED_VALUE"""),"Inept")</f>
        <v>Inept</v>
      </c>
      <c r="C985" s="174" t="str">
        <f>IFERROR(__xludf.DUMMYFUNCTION("""COMPUTED_VALUE"""),"Inept")</f>
        <v>Inept</v>
      </c>
      <c r="D985" s="174" t="str">
        <f>IFERROR(__xludf.DUMMYFUNCTION("""COMPUTED_VALUE"""),"Unlisted")</f>
        <v>Unlisted</v>
      </c>
      <c r="E985" s="174" t="str">
        <f>IFERROR(__xludf.DUMMYFUNCTION("""COMPUTED_VALUE"""),"Unlisted")</f>
        <v>Unlisted</v>
      </c>
      <c r="F985" s="174" t="str">
        <f>IFERROR(__xludf.DUMMYFUNCTION("""COMPUTED_VALUE"""),"Unlisted")</f>
        <v>Unlisted</v>
      </c>
      <c r="G985" s="174" t="str">
        <f>IFERROR(__xludf.DUMMYFUNCTION("""COMPUTED_VALUE"""),"Proficient")</f>
        <v>Proficient</v>
      </c>
      <c r="H985" s="174" t="str">
        <f>IFERROR(__xludf.DUMMYFUNCTION("""COMPUTED_VALUE"""),"Unlisted")</f>
        <v>Unlisted</v>
      </c>
      <c r="I985" s="174" t="str">
        <f>IFERROR(__xludf.DUMMYFUNCTION("""COMPUTED_VALUE"""),"Unlisted")</f>
        <v>Unlisted</v>
      </c>
      <c r="J985" s="174" t="str">
        <f>IFERROR(__xludf.DUMMYFUNCTION("""COMPUTED_VALUE"""),"Unlisted")</f>
        <v>Unlisted</v>
      </c>
      <c r="K985" s="174" t="str">
        <f>IFERROR(__xludf.DUMMYFUNCTION("""COMPUTED_VALUE"""),"Unlisted")</f>
        <v>Unlisted</v>
      </c>
      <c r="L985" s="174" t="str">
        <f>IFERROR(__xludf.DUMMYFUNCTION("""COMPUTED_VALUE"""),"Proficient")</f>
        <v>Proficient</v>
      </c>
      <c r="M985" s="174" t="str">
        <f>IFERROR(__xludf.DUMMYFUNCTION("""COMPUTED_VALUE"""),"Unlisted")</f>
        <v>Unlisted</v>
      </c>
      <c r="N985" s="174" t="str">
        <f>IFERROR(__xludf.DUMMYFUNCTION("""COMPUTED_VALUE"""),"Unlisted")</f>
        <v>Unlisted</v>
      </c>
      <c r="O985" s="174" t="str">
        <f>IFERROR(__xludf.DUMMYFUNCTION("""COMPUTED_VALUE"""),"Unlisted")</f>
        <v>Unlisted</v>
      </c>
      <c r="P985" s="174" t="str">
        <f>IFERROR(__xludf.DUMMYFUNCTION("""COMPUTED_VALUE"""),"Unlisted")</f>
        <v>Unlisted</v>
      </c>
      <c r="Q985" s="174" t="str">
        <f>IFERROR(__xludf.DUMMYFUNCTION("""COMPUTED_VALUE"""),"Unlisted")</f>
        <v>Unlisted</v>
      </c>
      <c r="R985" s="174" t="str">
        <f>IFERROR(__xludf.DUMMYFUNCTION("""COMPUTED_VALUE"""),"Unlisted")</f>
        <v>Unlisted</v>
      </c>
    </row>
    <row r="986">
      <c r="A986" s="255" t="str">
        <f>IFERROR(__xludf.DUMMYFUNCTION("""COMPUTED_VALUE"""),"Huntail")</f>
        <v>Huntail</v>
      </c>
      <c r="B986" s="174" t="str">
        <f>IFERROR(__xludf.DUMMYFUNCTION("""COMPUTED_VALUE"""),"Proficient")</f>
        <v>Proficient</v>
      </c>
      <c r="C986" s="174" t="str">
        <f>IFERROR(__xludf.DUMMYFUNCTION("""COMPUTED_VALUE"""),"Unlisted")</f>
        <v>Unlisted</v>
      </c>
      <c r="D986" s="174" t="str">
        <f>IFERROR(__xludf.DUMMYFUNCTION("""COMPUTED_VALUE"""),"Unlisted")</f>
        <v>Unlisted</v>
      </c>
      <c r="E986" s="174" t="str">
        <f>IFERROR(__xludf.DUMMYFUNCTION("""COMPUTED_VALUE"""),"Unlisted")</f>
        <v>Unlisted</v>
      </c>
      <c r="F986" s="174" t="str">
        <f>IFERROR(__xludf.DUMMYFUNCTION("""COMPUTED_VALUE"""),"Unlisted")</f>
        <v>Unlisted</v>
      </c>
      <c r="G986" s="174" t="str">
        <f>IFERROR(__xludf.DUMMYFUNCTION("""COMPUTED_VALUE"""),"Proficient")</f>
        <v>Proficient</v>
      </c>
      <c r="H986" s="174" t="str">
        <f>IFERROR(__xludf.DUMMYFUNCTION("""COMPUTED_VALUE"""),"Unlisted")</f>
        <v>Unlisted</v>
      </c>
      <c r="I986" s="174" t="str">
        <f>IFERROR(__xludf.DUMMYFUNCTION("""COMPUTED_VALUE"""),"Unlisted")</f>
        <v>Unlisted</v>
      </c>
      <c r="J986" s="174" t="str">
        <f>IFERROR(__xludf.DUMMYFUNCTION("""COMPUTED_VALUE"""),"Unlisted")</f>
        <v>Unlisted</v>
      </c>
      <c r="K986" s="174" t="str">
        <f>IFERROR(__xludf.DUMMYFUNCTION("""COMPUTED_VALUE"""),"Unlisted")</f>
        <v>Unlisted</v>
      </c>
      <c r="L986" s="174" t="str">
        <f>IFERROR(__xludf.DUMMYFUNCTION("""COMPUTED_VALUE"""),"Proficient")</f>
        <v>Proficient</v>
      </c>
      <c r="M986" s="174" t="str">
        <f>IFERROR(__xludf.DUMMYFUNCTION("""COMPUTED_VALUE"""),"Unlisted")</f>
        <v>Unlisted</v>
      </c>
      <c r="N986" s="174" t="str">
        <f>IFERROR(__xludf.DUMMYFUNCTION("""COMPUTED_VALUE"""),"Unlisted")</f>
        <v>Unlisted</v>
      </c>
      <c r="O986" s="174" t="str">
        <f>IFERROR(__xludf.DUMMYFUNCTION("""COMPUTED_VALUE"""),"Unlisted")</f>
        <v>Unlisted</v>
      </c>
      <c r="P986" s="174" t="str">
        <f>IFERROR(__xludf.DUMMYFUNCTION("""COMPUTED_VALUE"""),"Unlisted")</f>
        <v>Unlisted</v>
      </c>
      <c r="Q986" s="174" t="str">
        <f>IFERROR(__xludf.DUMMYFUNCTION("""COMPUTED_VALUE"""),"Unlisted")</f>
        <v>Unlisted</v>
      </c>
      <c r="R986" s="174" t="str">
        <f>IFERROR(__xludf.DUMMYFUNCTION("""COMPUTED_VALUE"""),"Unlisted")</f>
        <v>Unlisted</v>
      </c>
    </row>
    <row r="987">
      <c r="A987" s="255" t="str">
        <f>IFERROR(__xludf.DUMMYFUNCTION("""COMPUTED_VALUE"""),"Gorebyss")</f>
        <v>Gorebyss</v>
      </c>
      <c r="B987" s="174" t="str">
        <f>IFERROR(__xludf.DUMMYFUNCTION("""COMPUTED_VALUE"""),"Proficient")</f>
        <v>Proficient</v>
      </c>
      <c r="C987" s="174" t="str">
        <f>IFERROR(__xludf.DUMMYFUNCTION("""COMPUTED_VALUE"""),"Unlisted")</f>
        <v>Unlisted</v>
      </c>
      <c r="D987" s="174" t="str">
        <f>IFERROR(__xludf.DUMMYFUNCTION("""COMPUTED_VALUE"""),"Unlisted")</f>
        <v>Unlisted</v>
      </c>
      <c r="E987" s="174" t="str">
        <f>IFERROR(__xludf.DUMMYFUNCTION("""COMPUTED_VALUE"""),"Unlisted")</f>
        <v>Unlisted</v>
      </c>
      <c r="F987" s="174" t="str">
        <f>IFERROR(__xludf.DUMMYFUNCTION("""COMPUTED_VALUE"""),"Unlisted")</f>
        <v>Unlisted</v>
      </c>
      <c r="G987" s="174" t="str">
        <f>IFERROR(__xludf.DUMMYFUNCTION("""COMPUTED_VALUE"""),"Proficient")</f>
        <v>Proficient</v>
      </c>
      <c r="H987" s="174" t="str">
        <f>IFERROR(__xludf.DUMMYFUNCTION("""COMPUTED_VALUE"""),"Unlisted")</f>
        <v>Unlisted</v>
      </c>
      <c r="I987" s="174" t="str">
        <f>IFERROR(__xludf.DUMMYFUNCTION("""COMPUTED_VALUE"""),"Unlisted")</f>
        <v>Unlisted</v>
      </c>
      <c r="J987" s="174" t="str">
        <f>IFERROR(__xludf.DUMMYFUNCTION("""COMPUTED_VALUE"""),"Unlisted")</f>
        <v>Unlisted</v>
      </c>
      <c r="K987" s="174" t="str">
        <f>IFERROR(__xludf.DUMMYFUNCTION("""COMPUTED_VALUE"""),"Unlisted")</f>
        <v>Unlisted</v>
      </c>
      <c r="L987" s="174" t="str">
        <f>IFERROR(__xludf.DUMMYFUNCTION("""COMPUTED_VALUE"""),"Proficient")</f>
        <v>Proficient</v>
      </c>
      <c r="M987" s="174" t="str">
        <f>IFERROR(__xludf.DUMMYFUNCTION("""COMPUTED_VALUE"""),"Unlisted")</f>
        <v>Unlisted</v>
      </c>
      <c r="N987" s="174" t="str">
        <f>IFERROR(__xludf.DUMMYFUNCTION("""COMPUTED_VALUE"""),"Unlisted")</f>
        <v>Unlisted</v>
      </c>
      <c r="O987" s="174" t="str">
        <f>IFERROR(__xludf.DUMMYFUNCTION("""COMPUTED_VALUE"""),"Unlisted")</f>
        <v>Unlisted</v>
      </c>
      <c r="P987" s="174" t="str">
        <f>IFERROR(__xludf.DUMMYFUNCTION("""COMPUTED_VALUE"""),"Unlisted")</f>
        <v>Unlisted</v>
      </c>
      <c r="Q987" s="174" t="str">
        <f>IFERROR(__xludf.DUMMYFUNCTION("""COMPUTED_VALUE"""),"Unlisted")</f>
        <v>Unlisted</v>
      </c>
      <c r="R987" s="174" t="str">
        <f>IFERROR(__xludf.DUMMYFUNCTION("""COMPUTED_VALUE"""),"Unlisted")</f>
        <v>Unlisted</v>
      </c>
    </row>
    <row r="988">
      <c r="A988" s="255" t="str">
        <f>IFERROR(__xludf.DUMMYFUNCTION("""COMPUTED_VALUE"""),"Buizel")</f>
        <v>Buizel</v>
      </c>
      <c r="B988" s="174" t="str">
        <f>IFERROR(__xludf.DUMMYFUNCTION("""COMPUTED_VALUE"""),"Mastered")</f>
        <v>Mastered</v>
      </c>
      <c r="C988" s="174" t="str">
        <f>IFERROR(__xludf.DUMMYFUNCTION("""COMPUTED_VALUE"""),"Unlisted")</f>
        <v>Unlisted</v>
      </c>
      <c r="D988" s="174" t="str">
        <f>IFERROR(__xludf.DUMMYFUNCTION("""COMPUTED_VALUE"""),"Unlisted")</f>
        <v>Unlisted</v>
      </c>
      <c r="E988" s="174" t="str">
        <f>IFERROR(__xludf.DUMMYFUNCTION("""COMPUTED_VALUE"""),"Proficient")</f>
        <v>Proficient</v>
      </c>
      <c r="F988" s="174" t="str">
        <f>IFERROR(__xludf.DUMMYFUNCTION("""COMPUTED_VALUE"""),"Unlisted")</f>
        <v>Unlisted</v>
      </c>
      <c r="G988" s="174" t="str">
        <f>IFERROR(__xludf.DUMMYFUNCTION("""COMPUTED_VALUE"""),"Unlisted")</f>
        <v>Unlisted</v>
      </c>
      <c r="H988" s="174" t="str">
        <f>IFERROR(__xludf.DUMMYFUNCTION("""COMPUTED_VALUE"""),"Unlisted")</f>
        <v>Unlisted</v>
      </c>
      <c r="I988" s="174" t="str">
        <f>IFERROR(__xludf.DUMMYFUNCTION("""COMPUTED_VALUE"""),"Unlisted")</f>
        <v>Unlisted</v>
      </c>
      <c r="J988" s="174" t="str">
        <f>IFERROR(__xludf.DUMMYFUNCTION("""COMPUTED_VALUE"""),"Unlisted")</f>
        <v>Unlisted</v>
      </c>
      <c r="K988" s="174" t="str">
        <f>IFERROR(__xludf.DUMMYFUNCTION("""COMPUTED_VALUE"""),"Proficient")</f>
        <v>Proficient</v>
      </c>
      <c r="L988" s="174" t="str">
        <f>IFERROR(__xludf.DUMMYFUNCTION("""COMPUTED_VALUE"""),"Unlisted")</f>
        <v>Unlisted</v>
      </c>
      <c r="M988" s="174" t="str">
        <f>IFERROR(__xludf.DUMMYFUNCTION("""COMPUTED_VALUE"""),"Unlisted")</f>
        <v>Unlisted</v>
      </c>
      <c r="N988" s="174" t="str">
        <f>IFERROR(__xludf.DUMMYFUNCTION("""COMPUTED_VALUE"""),"Unlisted")</f>
        <v>Unlisted</v>
      </c>
      <c r="O988" s="174" t="str">
        <f>IFERROR(__xludf.DUMMYFUNCTION("""COMPUTED_VALUE"""),"Unlisted")</f>
        <v>Unlisted</v>
      </c>
      <c r="P988" s="174" t="str">
        <f>IFERROR(__xludf.DUMMYFUNCTION("""COMPUTED_VALUE"""),"Unlisted")</f>
        <v>Unlisted</v>
      </c>
      <c r="Q988" s="174" t="str">
        <f>IFERROR(__xludf.DUMMYFUNCTION("""COMPUTED_VALUE"""),"Unlisted")</f>
        <v>Unlisted</v>
      </c>
      <c r="R988" s="174" t="str">
        <f>IFERROR(__xludf.DUMMYFUNCTION("""COMPUTED_VALUE"""),"Unlisted")</f>
        <v>Unlisted</v>
      </c>
    </row>
    <row r="989">
      <c r="A989" s="255" t="str">
        <f>IFERROR(__xludf.DUMMYFUNCTION("""COMPUTED_VALUE"""),"Floatzel")</f>
        <v>Floatzel</v>
      </c>
      <c r="B989" s="174" t="str">
        <f>IFERROR(__xludf.DUMMYFUNCTION("""COMPUTED_VALUE"""),"Mastered")</f>
        <v>Mastered</v>
      </c>
      <c r="C989" s="174" t="str">
        <f>IFERROR(__xludf.DUMMYFUNCTION("""COMPUTED_VALUE"""),"Unlisted")</f>
        <v>Unlisted</v>
      </c>
      <c r="D989" s="174" t="str">
        <f>IFERROR(__xludf.DUMMYFUNCTION("""COMPUTED_VALUE"""),"Unlisted")</f>
        <v>Unlisted</v>
      </c>
      <c r="E989" s="174" t="str">
        <f>IFERROR(__xludf.DUMMYFUNCTION("""COMPUTED_VALUE"""),"Proficient")</f>
        <v>Proficient</v>
      </c>
      <c r="F989" s="174" t="str">
        <f>IFERROR(__xludf.DUMMYFUNCTION("""COMPUTED_VALUE"""),"Unlisted")</f>
        <v>Unlisted</v>
      </c>
      <c r="G989" s="174" t="str">
        <f>IFERROR(__xludf.DUMMYFUNCTION("""COMPUTED_VALUE"""),"Unlisted")</f>
        <v>Unlisted</v>
      </c>
      <c r="H989" s="174" t="str">
        <f>IFERROR(__xludf.DUMMYFUNCTION("""COMPUTED_VALUE"""),"Unlisted")</f>
        <v>Unlisted</v>
      </c>
      <c r="I989" s="174" t="str">
        <f>IFERROR(__xludf.DUMMYFUNCTION("""COMPUTED_VALUE"""),"Unlisted")</f>
        <v>Unlisted</v>
      </c>
      <c r="J989" s="174" t="str">
        <f>IFERROR(__xludf.DUMMYFUNCTION("""COMPUTED_VALUE"""),"Unlisted")</f>
        <v>Unlisted</v>
      </c>
      <c r="K989" s="174" t="str">
        <f>IFERROR(__xludf.DUMMYFUNCTION("""COMPUTED_VALUE"""),"Proficient")</f>
        <v>Proficient</v>
      </c>
      <c r="L989" s="174" t="str">
        <f>IFERROR(__xludf.DUMMYFUNCTION("""COMPUTED_VALUE"""),"Unlisted")</f>
        <v>Unlisted</v>
      </c>
      <c r="M989" s="174" t="str">
        <f>IFERROR(__xludf.DUMMYFUNCTION("""COMPUTED_VALUE"""),"Unlisted")</f>
        <v>Unlisted</v>
      </c>
      <c r="N989" s="174" t="str">
        <f>IFERROR(__xludf.DUMMYFUNCTION("""COMPUTED_VALUE"""),"Unlisted")</f>
        <v>Unlisted</v>
      </c>
      <c r="O989" s="174" t="str">
        <f>IFERROR(__xludf.DUMMYFUNCTION("""COMPUTED_VALUE"""),"Unlisted")</f>
        <v>Unlisted</v>
      </c>
      <c r="P989" s="174" t="str">
        <f>IFERROR(__xludf.DUMMYFUNCTION("""COMPUTED_VALUE"""),"Unlisted")</f>
        <v>Unlisted</v>
      </c>
      <c r="Q989" s="174" t="str">
        <f>IFERROR(__xludf.DUMMYFUNCTION("""COMPUTED_VALUE"""),"Unlisted")</f>
        <v>Unlisted</v>
      </c>
      <c r="R989" s="174" t="str">
        <f>IFERROR(__xludf.DUMMYFUNCTION("""COMPUTED_VALUE"""),"Unlisted")</f>
        <v>Unlisted</v>
      </c>
    </row>
    <row r="990">
      <c r="A990" s="255" t="str">
        <f>IFERROR(__xludf.DUMMYFUNCTION("""COMPUTED_VALUE"""),"Shellos")</f>
        <v>Shellos</v>
      </c>
      <c r="B990" s="174" t="str">
        <f>IFERROR(__xludf.DUMMYFUNCTION("""COMPUTED_VALUE"""),"Inept")</f>
        <v>Inept</v>
      </c>
      <c r="C990" s="174" t="str">
        <f>IFERROR(__xludf.DUMMYFUNCTION("""COMPUTED_VALUE"""),"Proficient")</f>
        <v>Proficient</v>
      </c>
      <c r="D990" s="174" t="str">
        <f>IFERROR(__xludf.DUMMYFUNCTION("""COMPUTED_VALUE"""),"Unlisted")</f>
        <v>Unlisted</v>
      </c>
      <c r="E990" s="174" t="str">
        <f>IFERROR(__xludf.DUMMYFUNCTION("""COMPUTED_VALUE"""),"Unlisted")</f>
        <v>Unlisted</v>
      </c>
      <c r="F990" s="174" t="str">
        <f>IFERROR(__xludf.DUMMYFUNCTION("""COMPUTED_VALUE"""),"Unlisted")</f>
        <v>Unlisted</v>
      </c>
      <c r="G990" s="174" t="str">
        <f>IFERROR(__xludf.DUMMYFUNCTION("""COMPUTED_VALUE"""),"Unlisted")</f>
        <v>Unlisted</v>
      </c>
      <c r="H990" s="174" t="str">
        <f>IFERROR(__xludf.DUMMYFUNCTION("""COMPUTED_VALUE"""),"Unlisted")</f>
        <v>Unlisted</v>
      </c>
      <c r="I990" s="174" t="str">
        <f>IFERROR(__xludf.DUMMYFUNCTION("""COMPUTED_VALUE"""),"Unlisted")</f>
        <v>Unlisted</v>
      </c>
      <c r="J990" s="174" t="str">
        <f>IFERROR(__xludf.DUMMYFUNCTION("""COMPUTED_VALUE"""),"Unlisted")</f>
        <v>Unlisted</v>
      </c>
      <c r="K990" s="174" t="str">
        <f>IFERROR(__xludf.DUMMYFUNCTION("""COMPUTED_VALUE"""),"Proficient")</f>
        <v>Proficient</v>
      </c>
      <c r="L990" s="174" t="str">
        <f>IFERROR(__xludf.DUMMYFUNCTION("""COMPUTED_VALUE"""),"Unlisted")</f>
        <v>Unlisted</v>
      </c>
      <c r="M990" s="174" t="str">
        <f>IFERROR(__xludf.DUMMYFUNCTION("""COMPUTED_VALUE"""),"Unlisted")</f>
        <v>Unlisted</v>
      </c>
      <c r="N990" s="174" t="str">
        <f>IFERROR(__xludf.DUMMYFUNCTION("""COMPUTED_VALUE"""),"Unlisted")</f>
        <v>Unlisted</v>
      </c>
      <c r="O990" s="174" t="str">
        <f>IFERROR(__xludf.DUMMYFUNCTION("""COMPUTED_VALUE"""),"Unlisted")</f>
        <v>Unlisted</v>
      </c>
      <c r="P990" s="174" t="str">
        <f>IFERROR(__xludf.DUMMYFUNCTION("""COMPUTED_VALUE"""),"Unlisted")</f>
        <v>Unlisted</v>
      </c>
      <c r="Q990" s="174" t="str">
        <f>IFERROR(__xludf.DUMMYFUNCTION("""COMPUTED_VALUE"""),"Unlisted")</f>
        <v>Unlisted</v>
      </c>
      <c r="R990" s="174" t="str">
        <f>IFERROR(__xludf.DUMMYFUNCTION("""COMPUTED_VALUE"""),"Unlisted")</f>
        <v>Unlisted</v>
      </c>
    </row>
    <row r="991">
      <c r="A991" s="255" t="str">
        <f>IFERROR(__xludf.DUMMYFUNCTION("""COMPUTED_VALUE"""),"Gastrodon")</f>
        <v>Gastrodon</v>
      </c>
      <c r="B991" s="174" t="str">
        <f>IFERROR(__xludf.DUMMYFUNCTION("""COMPUTED_VALUE"""),"Inept")</f>
        <v>Inept</v>
      </c>
      <c r="C991" s="174" t="str">
        <f>IFERROR(__xludf.DUMMYFUNCTION("""COMPUTED_VALUE"""),"Proficient")</f>
        <v>Proficient</v>
      </c>
      <c r="D991" s="174" t="str">
        <f>IFERROR(__xludf.DUMMYFUNCTION("""COMPUTED_VALUE"""),"Unlisted")</f>
        <v>Unlisted</v>
      </c>
      <c r="E991" s="174" t="str">
        <f>IFERROR(__xludf.DUMMYFUNCTION("""COMPUTED_VALUE"""),"Unlisted")</f>
        <v>Unlisted</v>
      </c>
      <c r="F991" s="174" t="str">
        <f>IFERROR(__xludf.DUMMYFUNCTION("""COMPUTED_VALUE"""),"Unlisted")</f>
        <v>Unlisted</v>
      </c>
      <c r="G991" s="174" t="str">
        <f>IFERROR(__xludf.DUMMYFUNCTION("""COMPUTED_VALUE"""),"Unlisted")</f>
        <v>Unlisted</v>
      </c>
      <c r="H991" s="174" t="str">
        <f>IFERROR(__xludf.DUMMYFUNCTION("""COMPUTED_VALUE"""),"Unlisted")</f>
        <v>Unlisted</v>
      </c>
      <c r="I991" s="174" t="str">
        <f>IFERROR(__xludf.DUMMYFUNCTION("""COMPUTED_VALUE"""),"Unlisted")</f>
        <v>Unlisted</v>
      </c>
      <c r="J991" s="174" t="str">
        <f>IFERROR(__xludf.DUMMYFUNCTION("""COMPUTED_VALUE"""),"Unlisted")</f>
        <v>Unlisted</v>
      </c>
      <c r="K991" s="174" t="str">
        <f>IFERROR(__xludf.DUMMYFUNCTION("""COMPUTED_VALUE"""),"Proficient")</f>
        <v>Proficient</v>
      </c>
      <c r="L991" s="174" t="str">
        <f>IFERROR(__xludf.DUMMYFUNCTION("""COMPUTED_VALUE"""),"Unlisted")</f>
        <v>Unlisted</v>
      </c>
      <c r="M991" s="174" t="str">
        <f>IFERROR(__xludf.DUMMYFUNCTION("""COMPUTED_VALUE"""),"Unlisted")</f>
        <v>Unlisted</v>
      </c>
      <c r="N991" s="174" t="str">
        <f>IFERROR(__xludf.DUMMYFUNCTION("""COMPUTED_VALUE"""),"Unlisted")</f>
        <v>Unlisted</v>
      </c>
      <c r="O991" s="174" t="str">
        <f>IFERROR(__xludf.DUMMYFUNCTION("""COMPUTED_VALUE"""),"Unlisted")</f>
        <v>Unlisted</v>
      </c>
      <c r="P991" s="174" t="str">
        <f>IFERROR(__xludf.DUMMYFUNCTION("""COMPUTED_VALUE"""),"Unlisted")</f>
        <v>Unlisted</v>
      </c>
      <c r="Q991" s="174" t="str">
        <f>IFERROR(__xludf.DUMMYFUNCTION("""COMPUTED_VALUE"""),"Unlisted")</f>
        <v>Unlisted</v>
      </c>
      <c r="R991" s="174" t="str">
        <f>IFERROR(__xludf.DUMMYFUNCTION("""COMPUTED_VALUE"""),"Unlisted")</f>
        <v>Unlisted</v>
      </c>
    </row>
    <row r="992">
      <c r="A992" s="255" t="str">
        <f>IFERROR(__xludf.DUMMYFUNCTION("""COMPUTED_VALUE"""),"Finneon")</f>
        <v>Finneon</v>
      </c>
      <c r="B992" s="174" t="str">
        <f>IFERROR(__xludf.DUMMYFUNCTION("""COMPUTED_VALUE"""),"Proficient")</f>
        <v>Proficient</v>
      </c>
      <c r="C992" s="174" t="str">
        <f>IFERROR(__xludf.DUMMYFUNCTION("""COMPUTED_VALUE"""),"Unlisted")</f>
        <v>Unlisted</v>
      </c>
      <c r="D992" s="174" t="str">
        <f>IFERROR(__xludf.DUMMYFUNCTION("""COMPUTED_VALUE"""),"Proficient")</f>
        <v>Proficient</v>
      </c>
      <c r="E992" s="174" t="str">
        <f>IFERROR(__xludf.DUMMYFUNCTION("""COMPUTED_VALUE"""),"Unlisted")</f>
        <v>Unlisted</v>
      </c>
      <c r="F992" s="174" t="str">
        <f>IFERROR(__xludf.DUMMYFUNCTION("""COMPUTED_VALUE"""),"Unlisted")</f>
        <v>Unlisted</v>
      </c>
      <c r="G992" s="174" t="str">
        <f>IFERROR(__xludf.DUMMYFUNCTION("""COMPUTED_VALUE"""),"Unlisted")</f>
        <v>Unlisted</v>
      </c>
      <c r="H992" s="174" t="str">
        <f>IFERROR(__xludf.DUMMYFUNCTION("""COMPUTED_VALUE"""),"Unlisted")</f>
        <v>Unlisted</v>
      </c>
      <c r="I992" s="174" t="str">
        <f>IFERROR(__xludf.DUMMYFUNCTION("""COMPUTED_VALUE"""),"Unlisted")</f>
        <v>Unlisted</v>
      </c>
      <c r="J992" s="174" t="str">
        <f>IFERROR(__xludf.DUMMYFUNCTION("""COMPUTED_VALUE"""),"Unlisted")</f>
        <v>Unlisted</v>
      </c>
      <c r="K992" s="174" t="str">
        <f>IFERROR(__xludf.DUMMYFUNCTION("""COMPUTED_VALUE"""),"Unlisted")</f>
        <v>Unlisted</v>
      </c>
      <c r="L992" s="174" t="str">
        <f>IFERROR(__xludf.DUMMYFUNCTION("""COMPUTED_VALUE"""),"Proficient")</f>
        <v>Proficient</v>
      </c>
      <c r="M992" s="174" t="str">
        <f>IFERROR(__xludf.DUMMYFUNCTION("""COMPUTED_VALUE"""),"Unlisted")</f>
        <v>Unlisted</v>
      </c>
      <c r="N992" s="174" t="str">
        <f>IFERROR(__xludf.DUMMYFUNCTION("""COMPUTED_VALUE"""),"Unlisted")</f>
        <v>Unlisted</v>
      </c>
      <c r="O992" s="174" t="str">
        <f>IFERROR(__xludf.DUMMYFUNCTION("""COMPUTED_VALUE"""),"Unlisted")</f>
        <v>Unlisted</v>
      </c>
      <c r="P992" s="174" t="str">
        <f>IFERROR(__xludf.DUMMYFUNCTION("""COMPUTED_VALUE"""),"Unlisted")</f>
        <v>Unlisted</v>
      </c>
      <c r="Q992" s="174" t="str">
        <f>IFERROR(__xludf.DUMMYFUNCTION("""COMPUTED_VALUE"""),"Unlisted")</f>
        <v>Unlisted</v>
      </c>
      <c r="R992" s="174" t="str">
        <f>IFERROR(__xludf.DUMMYFUNCTION("""COMPUTED_VALUE"""),"Unlisted")</f>
        <v>Unlisted</v>
      </c>
    </row>
    <row r="993">
      <c r="A993" s="255" t="str">
        <f>IFERROR(__xludf.DUMMYFUNCTION("""COMPUTED_VALUE"""),"Lumineon")</f>
        <v>Lumineon</v>
      </c>
      <c r="B993" s="174" t="str">
        <f>IFERROR(__xludf.DUMMYFUNCTION("""COMPUTED_VALUE"""),"Proficient")</f>
        <v>Proficient</v>
      </c>
      <c r="C993" s="174" t="str">
        <f>IFERROR(__xludf.DUMMYFUNCTION("""COMPUTED_VALUE"""),"Unlisted")</f>
        <v>Unlisted</v>
      </c>
      <c r="D993" s="174" t="str">
        <f>IFERROR(__xludf.DUMMYFUNCTION("""COMPUTED_VALUE"""),"Proficient")</f>
        <v>Proficient</v>
      </c>
      <c r="E993" s="174" t="str">
        <f>IFERROR(__xludf.DUMMYFUNCTION("""COMPUTED_VALUE"""),"Unlisted")</f>
        <v>Unlisted</v>
      </c>
      <c r="F993" s="174" t="str">
        <f>IFERROR(__xludf.DUMMYFUNCTION("""COMPUTED_VALUE"""),"Unlisted")</f>
        <v>Unlisted</v>
      </c>
      <c r="G993" s="174" t="str">
        <f>IFERROR(__xludf.DUMMYFUNCTION("""COMPUTED_VALUE"""),"Unlisted")</f>
        <v>Unlisted</v>
      </c>
      <c r="H993" s="174" t="str">
        <f>IFERROR(__xludf.DUMMYFUNCTION("""COMPUTED_VALUE"""),"Unlisted")</f>
        <v>Unlisted</v>
      </c>
      <c r="I993" s="174" t="str">
        <f>IFERROR(__xludf.DUMMYFUNCTION("""COMPUTED_VALUE"""),"Unlisted")</f>
        <v>Unlisted</v>
      </c>
      <c r="J993" s="174" t="str">
        <f>IFERROR(__xludf.DUMMYFUNCTION("""COMPUTED_VALUE"""),"Unlisted")</f>
        <v>Unlisted</v>
      </c>
      <c r="K993" s="174" t="str">
        <f>IFERROR(__xludf.DUMMYFUNCTION("""COMPUTED_VALUE"""),"Unlisted")</f>
        <v>Unlisted</v>
      </c>
      <c r="L993" s="174" t="str">
        <f>IFERROR(__xludf.DUMMYFUNCTION("""COMPUTED_VALUE"""),"Proficient")</f>
        <v>Proficient</v>
      </c>
      <c r="M993" s="174" t="str">
        <f>IFERROR(__xludf.DUMMYFUNCTION("""COMPUTED_VALUE"""),"Unlisted")</f>
        <v>Unlisted</v>
      </c>
      <c r="N993" s="174" t="str">
        <f>IFERROR(__xludf.DUMMYFUNCTION("""COMPUTED_VALUE"""),"Unlisted")</f>
        <v>Unlisted</v>
      </c>
      <c r="O993" s="174" t="str">
        <f>IFERROR(__xludf.DUMMYFUNCTION("""COMPUTED_VALUE"""),"Unlisted")</f>
        <v>Unlisted</v>
      </c>
      <c r="P993" s="174" t="str">
        <f>IFERROR(__xludf.DUMMYFUNCTION("""COMPUTED_VALUE"""),"Unlisted")</f>
        <v>Unlisted</v>
      </c>
      <c r="Q993" s="174" t="str">
        <f>IFERROR(__xludf.DUMMYFUNCTION("""COMPUTED_VALUE"""),"Unlisted")</f>
        <v>Unlisted</v>
      </c>
      <c r="R993" s="174" t="str">
        <f>IFERROR(__xludf.DUMMYFUNCTION("""COMPUTED_VALUE"""),"Unlisted")</f>
        <v>Unlisted</v>
      </c>
    </row>
    <row r="994">
      <c r="A994" s="255" t="str">
        <f>IFERROR(__xludf.DUMMYFUNCTION("""COMPUTED_VALUE"""),"Panpour")</f>
        <v>Panpour</v>
      </c>
      <c r="B994" s="174" t="str">
        <f>IFERROR(__xludf.DUMMYFUNCTION("""COMPUTED_VALUE"""),"Mastered")</f>
        <v>Mastered</v>
      </c>
      <c r="C994" s="174" t="str">
        <f>IFERROR(__xludf.DUMMYFUNCTION("""COMPUTED_VALUE"""),"Unlisted")</f>
        <v>Unlisted</v>
      </c>
      <c r="D994" s="174" t="str">
        <f>IFERROR(__xludf.DUMMYFUNCTION("""COMPUTED_VALUE"""),"Unlisted")</f>
        <v>Unlisted</v>
      </c>
      <c r="E994" s="174" t="str">
        <f>IFERROR(__xludf.DUMMYFUNCTION("""COMPUTED_VALUE"""),"Unlisted")</f>
        <v>Unlisted</v>
      </c>
      <c r="F994" s="174" t="str">
        <f>IFERROR(__xludf.DUMMYFUNCTION("""COMPUTED_VALUE"""),"Unlisted")</f>
        <v>Unlisted</v>
      </c>
      <c r="G994" s="174" t="str">
        <f>IFERROR(__xludf.DUMMYFUNCTION("""COMPUTED_VALUE"""),"Proficient")</f>
        <v>Proficient</v>
      </c>
      <c r="H994" s="174" t="str">
        <f>IFERROR(__xludf.DUMMYFUNCTION("""COMPUTED_VALUE"""),"Unlisted")</f>
        <v>Unlisted</v>
      </c>
      <c r="I994" s="174" t="str">
        <f>IFERROR(__xludf.DUMMYFUNCTION("""COMPUTED_VALUE"""),"Unlisted")</f>
        <v>Unlisted</v>
      </c>
      <c r="J994" s="174" t="str">
        <f>IFERROR(__xludf.DUMMYFUNCTION("""COMPUTED_VALUE"""),"Proficient")</f>
        <v>Proficient</v>
      </c>
      <c r="K994" s="174" t="str">
        <f>IFERROR(__xludf.DUMMYFUNCTION("""COMPUTED_VALUE"""),"Unlisted")</f>
        <v>Unlisted</v>
      </c>
      <c r="L994" s="174" t="str">
        <f>IFERROR(__xludf.DUMMYFUNCTION("""COMPUTED_VALUE"""),"Unlisted")</f>
        <v>Unlisted</v>
      </c>
      <c r="M994" s="174" t="str">
        <f>IFERROR(__xludf.DUMMYFUNCTION("""COMPUTED_VALUE"""),"Unlisted")</f>
        <v>Unlisted</v>
      </c>
      <c r="N994" s="174" t="str">
        <f>IFERROR(__xludf.DUMMYFUNCTION("""COMPUTED_VALUE"""),"Unlisted")</f>
        <v>Unlisted</v>
      </c>
      <c r="O994" s="174" t="str">
        <f>IFERROR(__xludf.DUMMYFUNCTION("""COMPUTED_VALUE"""),"Unlisted")</f>
        <v>Unlisted</v>
      </c>
      <c r="P994" s="174" t="str">
        <f>IFERROR(__xludf.DUMMYFUNCTION("""COMPUTED_VALUE"""),"Unlisted")</f>
        <v>Unlisted</v>
      </c>
      <c r="Q994" s="174" t="str">
        <f>IFERROR(__xludf.DUMMYFUNCTION("""COMPUTED_VALUE"""),"Unlisted")</f>
        <v>Unlisted</v>
      </c>
      <c r="R994" s="174" t="str">
        <f>IFERROR(__xludf.DUMMYFUNCTION("""COMPUTED_VALUE"""),"Unlisted")</f>
        <v>Unlisted</v>
      </c>
    </row>
    <row r="995">
      <c r="A995" s="255" t="str">
        <f>IFERROR(__xludf.DUMMYFUNCTION("""COMPUTED_VALUE"""),"Simipour")</f>
        <v>Simipour</v>
      </c>
      <c r="B995" s="174" t="str">
        <f>IFERROR(__xludf.DUMMYFUNCTION("""COMPUTED_VALUE"""),"Mastered")</f>
        <v>Mastered</v>
      </c>
      <c r="C995" s="174" t="str">
        <f>IFERROR(__xludf.DUMMYFUNCTION("""COMPUTED_VALUE"""),"Unlisted")</f>
        <v>Unlisted</v>
      </c>
      <c r="D995" s="174" t="str">
        <f>IFERROR(__xludf.DUMMYFUNCTION("""COMPUTED_VALUE"""),"Unlisted")</f>
        <v>Unlisted</v>
      </c>
      <c r="E995" s="174" t="str">
        <f>IFERROR(__xludf.DUMMYFUNCTION("""COMPUTED_VALUE"""),"Unlisted")</f>
        <v>Unlisted</v>
      </c>
      <c r="F995" s="174" t="str">
        <f>IFERROR(__xludf.DUMMYFUNCTION("""COMPUTED_VALUE"""),"Unlisted")</f>
        <v>Unlisted</v>
      </c>
      <c r="G995" s="174" t="str">
        <f>IFERROR(__xludf.DUMMYFUNCTION("""COMPUTED_VALUE"""),"Proficient")</f>
        <v>Proficient</v>
      </c>
      <c r="H995" s="174" t="str">
        <f>IFERROR(__xludf.DUMMYFUNCTION("""COMPUTED_VALUE"""),"Unlisted")</f>
        <v>Unlisted</v>
      </c>
      <c r="I995" s="174" t="str">
        <f>IFERROR(__xludf.DUMMYFUNCTION("""COMPUTED_VALUE"""),"Unlisted")</f>
        <v>Unlisted</v>
      </c>
      <c r="J995" s="174" t="str">
        <f>IFERROR(__xludf.DUMMYFUNCTION("""COMPUTED_VALUE"""),"Proficient")</f>
        <v>Proficient</v>
      </c>
      <c r="K995" s="174" t="str">
        <f>IFERROR(__xludf.DUMMYFUNCTION("""COMPUTED_VALUE"""),"Unlisted")</f>
        <v>Unlisted</v>
      </c>
      <c r="L995" s="174" t="str">
        <f>IFERROR(__xludf.DUMMYFUNCTION("""COMPUTED_VALUE"""),"Unlisted")</f>
        <v>Unlisted</v>
      </c>
      <c r="M995" s="174" t="str">
        <f>IFERROR(__xludf.DUMMYFUNCTION("""COMPUTED_VALUE"""),"Unlisted")</f>
        <v>Unlisted</v>
      </c>
      <c r="N995" s="174" t="str">
        <f>IFERROR(__xludf.DUMMYFUNCTION("""COMPUTED_VALUE"""),"Unlisted")</f>
        <v>Unlisted</v>
      </c>
      <c r="O995" s="174" t="str">
        <f>IFERROR(__xludf.DUMMYFUNCTION("""COMPUTED_VALUE"""),"Unlisted")</f>
        <v>Unlisted</v>
      </c>
      <c r="P995" s="174" t="str">
        <f>IFERROR(__xludf.DUMMYFUNCTION("""COMPUTED_VALUE"""),"Unlisted")</f>
        <v>Unlisted</v>
      </c>
      <c r="Q995" s="174" t="str">
        <f>IFERROR(__xludf.DUMMYFUNCTION("""COMPUTED_VALUE"""),"Unlisted")</f>
        <v>Unlisted</v>
      </c>
      <c r="R995" s="174" t="str">
        <f>IFERROR(__xludf.DUMMYFUNCTION("""COMPUTED_VALUE"""),"Unlisted")</f>
        <v>Unlisted</v>
      </c>
    </row>
    <row r="996">
      <c r="A996" s="255" t="str">
        <f>IFERROR(__xludf.DUMMYFUNCTION("""COMPUTED_VALUE"""),"Ducklett")</f>
        <v>Ducklett</v>
      </c>
      <c r="B996" s="174" t="str">
        <f>IFERROR(__xludf.DUMMYFUNCTION("""COMPUTED_VALUE"""),"Proficient")</f>
        <v>Proficient</v>
      </c>
      <c r="C996" s="174" t="str">
        <f>IFERROR(__xludf.DUMMYFUNCTION("""COMPUTED_VALUE"""),"Unlisted")</f>
        <v>Unlisted</v>
      </c>
      <c r="D996" s="174" t="str">
        <f>IFERROR(__xludf.DUMMYFUNCTION("""COMPUTED_VALUE"""),"Unlisted")</f>
        <v>Unlisted</v>
      </c>
      <c r="E996" s="174" t="str">
        <f>IFERROR(__xludf.DUMMYFUNCTION("""COMPUTED_VALUE"""),"Unlisted")</f>
        <v>Unlisted</v>
      </c>
      <c r="F996" s="174" t="str">
        <f>IFERROR(__xludf.DUMMYFUNCTION("""COMPUTED_VALUE"""),"Unlisted")</f>
        <v>Unlisted</v>
      </c>
      <c r="G996" s="174" t="str">
        <f>IFERROR(__xludf.DUMMYFUNCTION("""COMPUTED_VALUE"""),"Proficient")</f>
        <v>Proficient</v>
      </c>
      <c r="H996" s="174" t="str">
        <f>IFERROR(__xludf.DUMMYFUNCTION("""COMPUTED_VALUE"""),"Unlisted")</f>
        <v>Unlisted</v>
      </c>
      <c r="I996" s="174" t="str">
        <f>IFERROR(__xludf.DUMMYFUNCTION("""COMPUTED_VALUE"""),"Unlisted")</f>
        <v>Unlisted</v>
      </c>
      <c r="J996" s="174" t="str">
        <f>IFERROR(__xludf.DUMMYFUNCTION("""COMPUTED_VALUE"""),"Unlisted")</f>
        <v>Unlisted</v>
      </c>
      <c r="K996" s="174" t="str">
        <f>IFERROR(__xludf.DUMMYFUNCTION("""COMPUTED_VALUE"""),"Proficient")</f>
        <v>Proficient</v>
      </c>
      <c r="L996" s="174" t="str">
        <f>IFERROR(__xludf.DUMMYFUNCTION("""COMPUTED_VALUE"""),"Unlisted")</f>
        <v>Unlisted</v>
      </c>
      <c r="M996" s="174" t="str">
        <f>IFERROR(__xludf.DUMMYFUNCTION("""COMPUTED_VALUE"""),"Unlisted")</f>
        <v>Unlisted</v>
      </c>
      <c r="N996" s="174" t="str">
        <f>IFERROR(__xludf.DUMMYFUNCTION("""COMPUTED_VALUE"""),"Unlisted")</f>
        <v>Unlisted</v>
      </c>
      <c r="O996" s="174" t="str">
        <f>IFERROR(__xludf.DUMMYFUNCTION("""COMPUTED_VALUE"""),"Unlisted")</f>
        <v>Unlisted</v>
      </c>
      <c r="P996" s="174" t="str">
        <f>IFERROR(__xludf.DUMMYFUNCTION("""COMPUTED_VALUE"""),"Unlisted")</f>
        <v>Unlisted</v>
      </c>
      <c r="Q996" s="174" t="str">
        <f>IFERROR(__xludf.DUMMYFUNCTION("""COMPUTED_VALUE"""),"Unlisted")</f>
        <v>Unlisted</v>
      </c>
      <c r="R996" s="174" t="str">
        <f>IFERROR(__xludf.DUMMYFUNCTION("""COMPUTED_VALUE"""),"Unlisted")</f>
        <v>Unlisted</v>
      </c>
    </row>
    <row r="997">
      <c r="A997" s="255" t="str">
        <f>IFERROR(__xludf.DUMMYFUNCTION("""COMPUTED_VALUE"""),"Swanna")</f>
        <v>Swanna</v>
      </c>
      <c r="B997" s="174" t="str">
        <f>IFERROR(__xludf.DUMMYFUNCTION("""COMPUTED_VALUE"""),"Proficient")</f>
        <v>Proficient</v>
      </c>
      <c r="C997" s="174" t="str">
        <f>IFERROR(__xludf.DUMMYFUNCTION("""COMPUTED_VALUE"""),"Unlisted")</f>
        <v>Unlisted</v>
      </c>
      <c r="D997" s="174" t="str">
        <f>IFERROR(__xludf.DUMMYFUNCTION("""COMPUTED_VALUE"""),"Unlisted")</f>
        <v>Unlisted</v>
      </c>
      <c r="E997" s="174" t="str">
        <f>IFERROR(__xludf.DUMMYFUNCTION("""COMPUTED_VALUE"""),"Proficient")</f>
        <v>Proficient</v>
      </c>
      <c r="F997" s="174" t="str">
        <f>IFERROR(__xludf.DUMMYFUNCTION("""COMPUTED_VALUE"""),"Unlisted")</f>
        <v>Unlisted</v>
      </c>
      <c r="G997" s="174" t="str">
        <f>IFERROR(__xludf.DUMMYFUNCTION("""COMPUTED_VALUE"""),"Unlisted")</f>
        <v>Unlisted</v>
      </c>
      <c r="H997" s="174" t="str">
        <f>IFERROR(__xludf.DUMMYFUNCTION("""COMPUTED_VALUE"""),"Unlisted")</f>
        <v>Unlisted</v>
      </c>
      <c r="I997" s="174" t="str">
        <f>IFERROR(__xludf.DUMMYFUNCTION("""COMPUTED_VALUE"""),"Unlisted")</f>
        <v>Unlisted</v>
      </c>
      <c r="J997" s="174" t="str">
        <f>IFERROR(__xludf.DUMMYFUNCTION("""COMPUTED_VALUE"""),"Unlisted")</f>
        <v>Unlisted</v>
      </c>
      <c r="K997" s="174" t="str">
        <f>IFERROR(__xludf.DUMMYFUNCTION("""COMPUTED_VALUE"""),"Proficient")</f>
        <v>Proficient</v>
      </c>
      <c r="L997" s="174" t="str">
        <f>IFERROR(__xludf.DUMMYFUNCTION("""COMPUTED_VALUE"""),"Unlisted")</f>
        <v>Unlisted</v>
      </c>
      <c r="M997" s="174" t="str">
        <f>IFERROR(__xludf.DUMMYFUNCTION("""COMPUTED_VALUE"""),"Unlisted")</f>
        <v>Unlisted</v>
      </c>
      <c r="N997" s="174" t="str">
        <f>IFERROR(__xludf.DUMMYFUNCTION("""COMPUTED_VALUE"""),"Unlisted")</f>
        <v>Unlisted</v>
      </c>
      <c r="O997" s="174" t="str">
        <f>IFERROR(__xludf.DUMMYFUNCTION("""COMPUTED_VALUE"""),"Unlisted")</f>
        <v>Unlisted</v>
      </c>
      <c r="P997" s="174" t="str">
        <f>IFERROR(__xludf.DUMMYFUNCTION("""COMPUTED_VALUE"""),"Unlisted")</f>
        <v>Unlisted</v>
      </c>
      <c r="Q997" s="174" t="str">
        <f>IFERROR(__xludf.DUMMYFUNCTION("""COMPUTED_VALUE"""),"Unlisted")</f>
        <v>Unlisted</v>
      </c>
      <c r="R997" s="174" t="str">
        <f>IFERROR(__xludf.DUMMYFUNCTION("""COMPUTED_VALUE"""),"Unlisted")</f>
        <v>Unlisted</v>
      </c>
    </row>
    <row r="998">
      <c r="A998" s="255" t="str">
        <f>IFERROR(__xludf.DUMMYFUNCTION("""COMPUTED_VALUE"""),"Basculin")</f>
        <v>Basculin</v>
      </c>
      <c r="B998" s="174" t="str">
        <f>IFERROR(__xludf.DUMMYFUNCTION("""COMPUTED_VALUE"""),"Proficient")</f>
        <v>Proficient</v>
      </c>
      <c r="C998" s="174" t="str">
        <f>IFERROR(__xludf.DUMMYFUNCTION("""COMPUTED_VALUE"""),"Proficient")</f>
        <v>Proficient</v>
      </c>
      <c r="D998" s="174" t="str">
        <f>IFERROR(__xludf.DUMMYFUNCTION("""COMPUTED_VALUE"""),"Unlisted")</f>
        <v>Unlisted</v>
      </c>
      <c r="E998" s="174" t="str">
        <f>IFERROR(__xludf.DUMMYFUNCTION("""COMPUTED_VALUE"""),"Proficient")</f>
        <v>Proficient</v>
      </c>
      <c r="F998" s="174" t="str">
        <f>IFERROR(__xludf.DUMMYFUNCTION("""COMPUTED_VALUE"""),"Unlisted")</f>
        <v>Unlisted</v>
      </c>
      <c r="G998" s="174" t="str">
        <f>IFERROR(__xludf.DUMMYFUNCTION("""COMPUTED_VALUE"""),"Unlisted")</f>
        <v>Unlisted</v>
      </c>
      <c r="H998" s="174" t="str">
        <f>IFERROR(__xludf.DUMMYFUNCTION("""COMPUTED_VALUE"""),"Unlisted")</f>
        <v>Unlisted</v>
      </c>
      <c r="I998" s="174" t="str">
        <f>IFERROR(__xludf.DUMMYFUNCTION("""COMPUTED_VALUE"""),"Unlisted")</f>
        <v>Unlisted</v>
      </c>
      <c r="J998" s="174" t="str">
        <f>IFERROR(__xludf.DUMMYFUNCTION("""COMPUTED_VALUE"""),"Unlisted")</f>
        <v>Unlisted</v>
      </c>
      <c r="K998" s="174" t="str">
        <f>IFERROR(__xludf.DUMMYFUNCTION("""COMPUTED_VALUE"""),"Unlisted")</f>
        <v>Unlisted</v>
      </c>
      <c r="L998" s="174" t="str">
        <f>IFERROR(__xludf.DUMMYFUNCTION("""COMPUTED_VALUE"""),"Unlisted")</f>
        <v>Unlisted</v>
      </c>
      <c r="M998" s="174" t="str">
        <f>IFERROR(__xludf.DUMMYFUNCTION("""COMPUTED_VALUE"""),"Unlisted")</f>
        <v>Unlisted</v>
      </c>
      <c r="N998" s="174" t="str">
        <f>IFERROR(__xludf.DUMMYFUNCTION("""COMPUTED_VALUE"""),"Unlisted")</f>
        <v>Unlisted</v>
      </c>
      <c r="O998" s="174" t="str">
        <f>IFERROR(__xludf.DUMMYFUNCTION("""COMPUTED_VALUE"""),"Unlisted")</f>
        <v>Unlisted</v>
      </c>
      <c r="P998" s="174" t="str">
        <f>IFERROR(__xludf.DUMMYFUNCTION("""COMPUTED_VALUE"""),"Unlisted")</f>
        <v>Unlisted</v>
      </c>
      <c r="Q998" s="174" t="str">
        <f>IFERROR(__xludf.DUMMYFUNCTION("""COMPUTED_VALUE"""),"Unlisted")</f>
        <v>Unlisted</v>
      </c>
      <c r="R998" s="174" t="str">
        <f>IFERROR(__xludf.DUMMYFUNCTION("""COMPUTED_VALUE"""),"Unlisted")</f>
        <v>Unlisted</v>
      </c>
    </row>
    <row r="999">
      <c r="A999" s="255" t="str">
        <f>IFERROR(__xludf.DUMMYFUNCTION("""COMPUTED_VALUE"""),"Basculegion")</f>
        <v>Basculegion</v>
      </c>
      <c r="B999" s="174" t="str">
        <f>IFERROR(__xludf.DUMMYFUNCTION("""COMPUTED_VALUE"""),"Proficient")</f>
        <v>Proficient</v>
      </c>
      <c r="C999" s="174" t="str">
        <f>IFERROR(__xludf.DUMMYFUNCTION("""COMPUTED_VALUE"""),"Proficient")</f>
        <v>Proficient</v>
      </c>
      <c r="D999" s="174" t="str">
        <f>IFERROR(__xludf.DUMMYFUNCTION("""COMPUTED_VALUE"""),"Unlisted")</f>
        <v>Unlisted</v>
      </c>
      <c r="E999" s="174" t="str">
        <f>IFERROR(__xludf.DUMMYFUNCTION("""COMPUTED_VALUE"""),"Mastered")</f>
        <v>Mastered</v>
      </c>
      <c r="F999" s="174" t="str">
        <f>IFERROR(__xludf.DUMMYFUNCTION("""COMPUTED_VALUE"""),"Unlisted")</f>
        <v>Unlisted</v>
      </c>
      <c r="G999" s="174" t="str">
        <f>IFERROR(__xludf.DUMMYFUNCTION("""COMPUTED_VALUE"""),"Unlisted")</f>
        <v>Unlisted</v>
      </c>
      <c r="H999" s="174" t="str">
        <f>IFERROR(__xludf.DUMMYFUNCTION("""COMPUTED_VALUE"""),"Unlisted")</f>
        <v>Unlisted</v>
      </c>
      <c r="I999" s="174" t="str">
        <f>IFERROR(__xludf.DUMMYFUNCTION("""COMPUTED_VALUE"""),"Unlisted")</f>
        <v>Unlisted</v>
      </c>
      <c r="J999" s="174" t="str">
        <f>IFERROR(__xludf.DUMMYFUNCTION("""COMPUTED_VALUE"""),"Unlisted")</f>
        <v>Unlisted</v>
      </c>
      <c r="K999" s="174" t="str">
        <f>IFERROR(__xludf.DUMMYFUNCTION("""COMPUTED_VALUE"""),"Unlisted")</f>
        <v>Unlisted</v>
      </c>
      <c r="L999" s="174" t="str">
        <f>IFERROR(__xludf.DUMMYFUNCTION("""COMPUTED_VALUE"""),"Unlisted")</f>
        <v>Unlisted</v>
      </c>
      <c r="M999" s="174" t="str">
        <f>IFERROR(__xludf.DUMMYFUNCTION("""COMPUTED_VALUE"""),"Unlisted")</f>
        <v>Unlisted</v>
      </c>
      <c r="N999" s="174" t="str">
        <f>IFERROR(__xludf.DUMMYFUNCTION("""COMPUTED_VALUE"""),"Unlisted")</f>
        <v>Unlisted</v>
      </c>
      <c r="O999" s="174" t="str">
        <f>IFERROR(__xludf.DUMMYFUNCTION("""COMPUTED_VALUE"""),"Unlisted")</f>
        <v>Unlisted</v>
      </c>
      <c r="P999" s="174" t="str">
        <f>IFERROR(__xludf.DUMMYFUNCTION("""COMPUTED_VALUE"""),"Unlisted")</f>
        <v>Unlisted</v>
      </c>
      <c r="Q999" s="174" t="str">
        <f>IFERROR(__xludf.DUMMYFUNCTION("""COMPUTED_VALUE"""),"Unlisted")</f>
        <v>Unlisted</v>
      </c>
      <c r="R999" s="174" t="str">
        <f>IFERROR(__xludf.DUMMYFUNCTION("""COMPUTED_VALUE"""),"Unlisted")</f>
        <v>Unlisted</v>
      </c>
    </row>
    <row r="1000">
      <c r="A1000" s="255" t="str">
        <f>IFERROR(__xludf.DUMMYFUNCTION("""COMPUTED_VALUE"""),"Frillish")</f>
        <v>Frillish</v>
      </c>
      <c r="B1000" s="174" t="str">
        <f>IFERROR(__xludf.DUMMYFUNCTION("""COMPUTED_VALUE"""),"Unlisted")</f>
        <v>Unlisted</v>
      </c>
      <c r="C1000" s="174" t="str">
        <f>IFERROR(__xludf.DUMMYFUNCTION("""COMPUTED_VALUE"""),"Inept")</f>
        <v>Inept</v>
      </c>
      <c r="D1000" s="174" t="str">
        <f>IFERROR(__xludf.DUMMYFUNCTION("""COMPUTED_VALUE"""),"Unlisted")</f>
        <v>Unlisted</v>
      </c>
      <c r="E1000" s="174" t="str">
        <f>IFERROR(__xludf.DUMMYFUNCTION("""COMPUTED_VALUE"""),"Unlisted")</f>
        <v>Unlisted</v>
      </c>
      <c r="F1000" s="174" t="str">
        <f>IFERROR(__xludf.DUMMYFUNCTION("""COMPUTED_VALUE"""),"Unlisted")</f>
        <v>Unlisted</v>
      </c>
      <c r="G1000" s="174" t="str">
        <f>IFERROR(__xludf.DUMMYFUNCTION("""COMPUTED_VALUE"""),"Unlisted")</f>
        <v>Unlisted</v>
      </c>
      <c r="H1000" s="174" t="str">
        <f>IFERROR(__xludf.DUMMYFUNCTION("""COMPUTED_VALUE"""),"Unlisted")</f>
        <v>Unlisted</v>
      </c>
      <c r="I1000" s="174" t="str">
        <f>IFERROR(__xludf.DUMMYFUNCTION("""COMPUTED_VALUE"""),"Unlisted")</f>
        <v>Unlisted</v>
      </c>
      <c r="J1000" s="174" t="str">
        <f>IFERROR(__xludf.DUMMYFUNCTION("""COMPUTED_VALUE"""),"Unlisted")</f>
        <v>Unlisted</v>
      </c>
      <c r="K1000" s="174" t="str">
        <f>IFERROR(__xludf.DUMMYFUNCTION("""COMPUTED_VALUE"""),"Proficient")</f>
        <v>Proficient</v>
      </c>
      <c r="L1000" s="174" t="str">
        <f>IFERROR(__xludf.DUMMYFUNCTION("""COMPUTED_VALUE"""),"Proficient")</f>
        <v>Proficient</v>
      </c>
      <c r="M1000" s="174" t="str">
        <f>IFERROR(__xludf.DUMMYFUNCTION("""COMPUTED_VALUE"""),"Unlisted")</f>
        <v>Unlisted</v>
      </c>
      <c r="N1000" s="174" t="str">
        <f>IFERROR(__xludf.DUMMYFUNCTION("""COMPUTED_VALUE"""),"Unlisted")</f>
        <v>Unlisted</v>
      </c>
      <c r="O1000" s="174" t="str">
        <f>IFERROR(__xludf.DUMMYFUNCTION("""COMPUTED_VALUE"""),"Unlisted")</f>
        <v>Unlisted</v>
      </c>
      <c r="P1000" s="174" t="str">
        <f>IFERROR(__xludf.DUMMYFUNCTION("""COMPUTED_VALUE"""),"Unlisted")</f>
        <v>Unlisted</v>
      </c>
      <c r="Q1000" s="174" t="str">
        <f>IFERROR(__xludf.DUMMYFUNCTION("""COMPUTED_VALUE"""),"Unlisted")</f>
        <v>Unlisted</v>
      </c>
      <c r="R1000" s="174" t="str">
        <f>IFERROR(__xludf.DUMMYFUNCTION("""COMPUTED_VALUE"""),"Unlisted")</f>
        <v>Unlisted</v>
      </c>
    </row>
    <row r="1001">
      <c r="A1001" s="255" t="str">
        <f>IFERROR(__xludf.DUMMYFUNCTION("""COMPUTED_VALUE"""),"Jellicent")</f>
        <v>Jellicent</v>
      </c>
      <c r="B1001" s="174" t="str">
        <f>IFERROR(__xludf.DUMMYFUNCTION("""COMPUTED_VALUE"""),"Unlisted")</f>
        <v>Unlisted</v>
      </c>
      <c r="C1001" s="174" t="str">
        <f>IFERROR(__xludf.DUMMYFUNCTION("""COMPUTED_VALUE"""),"Inept")</f>
        <v>Inept</v>
      </c>
      <c r="D1001" s="174" t="str">
        <f>IFERROR(__xludf.DUMMYFUNCTION("""COMPUTED_VALUE"""),"Unlisted")</f>
        <v>Unlisted</v>
      </c>
      <c r="E1001" s="174" t="str">
        <f>IFERROR(__xludf.DUMMYFUNCTION("""COMPUTED_VALUE"""),"Unlisted")</f>
        <v>Unlisted</v>
      </c>
      <c r="F1001" s="174" t="str">
        <f>IFERROR(__xludf.DUMMYFUNCTION("""COMPUTED_VALUE"""),"Unlisted")</f>
        <v>Unlisted</v>
      </c>
      <c r="G1001" s="174" t="str">
        <f>IFERROR(__xludf.DUMMYFUNCTION("""COMPUTED_VALUE"""),"Unlisted")</f>
        <v>Unlisted</v>
      </c>
      <c r="H1001" s="174" t="str">
        <f>IFERROR(__xludf.DUMMYFUNCTION("""COMPUTED_VALUE"""),"Unlisted")</f>
        <v>Unlisted</v>
      </c>
      <c r="I1001" s="174" t="str">
        <f>IFERROR(__xludf.DUMMYFUNCTION("""COMPUTED_VALUE"""),"Unlisted")</f>
        <v>Unlisted</v>
      </c>
      <c r="J1001" s="174" t="str">
        <f>IFERROR(__xludf.DUMMYFUNCTION("""COMPUTED_VALUE"""),"Unlisted")</f>
        <v>Unlisted</v>
      </c>
      <c r="K1001" s="174" t="str">
        <f>IFERROR(__xludf.DUMMYFUNCTION("""COMPUTED_VALUE"""),"Proficient")</f>
        <v>Proficient</v>
      </c>
      <c r="L1001" s="174" t="str">
        <f>IFERROR(__xludf.DUMMYFUNCTION("""COMPUTED_VALUE"""),"Proficient")</f>
        <v>Proficient</v>
      </c>
      <c r="M1001" s="174" t="str">
        <f>IFERROR(__xludf.DUMMYFUNCTION("""COMPUTED_VALUE"""),"Unlisted")</f>
        <v>Unlisted</v>
      </c>
      <c r="N1001" s="174" t="str">
        <f>IFERROR(__xludf.DUMMYFUNCTION("""COMPUTED_VALUE"""),"Unlisted")</f>
        <v>Unlisted</v>
      </c>
      <c r="O1001" s="174" t="str">
        <f>IFERROR(__xludf.DUMMYFUNCTION("""COMPUTED_VALUE"""),"Unlisted")</f>
        <v>Unlisted</v>
      </c>
      <c r="P1001" s="174" t="str">
        <f>IFERROR(__xludf.DUMMYFUNCTION("""COMPUTED_VALUE"""),"Unlisted")</f>
        <v>Unlisted</v>
      </c>
      <c r="Q1001" s="174" t="str">
        <f>IFERROR(__xludf.DUMMYFUNCTION("""COMPUTED_VALUE"""),"Unlisted")</f>
        <v>Unlisted</v>
      </c>
      <c r="R1001" s="174" t="str">
        <f>IFERROR(__xludf.DUMMYFUNCTION("""COMPUTED_VALUE"""),"Unlisted")</f>
        <v>Unlisted</v>
      </c>
    </row>
    <row r="1002">
      <c r="A1002" s="255" t="str">
        <f>IFERROR(__xludf.DUMMYFUNCTION("""COMPUTED_VALUE"""),"Clauncher")</f>
        <v>Clauncher</v>
      </c>
      <c r="B1002" s="174" t="str">
        <f>IFERROR(__xludf.DUMMYFUNCTION("""COMPUTED_VALUE"""),"Unlisted")</f>
        <v>Unlisted</v>
      </c>
      <c r="C1002" s="174" t="str">
        <f>IFERROR(__xludf.DUMMYFUNCTION("""COMPUTED_VALUE"""),"Unlisted")</f>
        <v>Unlisted</v>
      </c>
      <c r="D1002" s="174" t="str">
        <f>IFERROR(__xludf.DUMMYFUNCTION("""COMPUTED_VALUE"""),"Unlisted")</f>
        <v>Unlisted</v>
      </c>
      <c r="E1002" s="174" t="str">
        <f>IFERROR(__xludf.DUMMYFUNCTION("""COMPUTED_VALUE"""),"Proficient")</f>
        <v>Proficient</v>
      </c>
      <c r="F1002" s="174" t="str">
        <f>IFERROR(__xludf.DUMMYFUNCTION("""COMPUTED_VALUE"""),"Unlisted")</f>
        <v>Unlisted</v>
      </c>
      <c r="G1002" s="174" t="str">
        <f>IFERROR(__xludf.DUMMYFUNCTION("""COMPUTED_VALUE"""),"Proficient")</f>
        <v>Proficient</v>
      </c>
      <c r="H1002" s="174" t="str">
        <f>IFERROR(__xludf.DUMMYFUNCTION("""COMPUTED_VALUE"""),"Unlisted")</f>
        <v>Unlisted</v>
      </c>
      <c r="I1002" s="174" t="str">
        <f>IFERROR(__xludf.DUMMYFUNCTION("""COMPUTED_VALUE"""),"Unlisted")</f>
        <v>Unlisted</v>
      </c>
      <c r="J1002" s="174" t="str">
        <f>IFERROR(__xludf.DUMMYFUNCTION("""COMPUTED_VALUE"""),"Unlisted")</f>
        <v>Unlisted</v>
      </c>
      <c r="K1002" s="174" t="str">
        <f>IFERROR(__xludf.DUMMYFUNCTION("""COMPUTED_VALUE"""),"Proficient")</f>
        <v>Proficient</v>
      </c>
      <c r="L1002" s="174" t="str">
        <f>IFERROR(__xludf.DUMMYFUNCTION("""COMPUTED_VALUE"""),"Unlisted")</f>
        <v>Unlisted</v>
      </c>
      <c r="M1002" s="174" t="str">
        <f>IFERROR(__xludf.DUMMYFUNCTION("""COMPUTED_VALUE"""),"Unlisted")</f>
        <v>Unlisted</v>
      </c>
      <c r="N1002" s="174" t="str">
        <f>IFERROR(__xludf.DUMMYFUNCTION("""COMPUTED_VALUE"""),"Unlisted")</f>
        <v>Unlisted</v>
      </c>
      <c r="O1002" s="174" t="str">
        <f>IFERROR(__xludf.DUMMYFUNCTION("""COMPUTED_VALUE"""),"Unlisted")</f>
        <v>Unlisted</v>
      </c>
      <c r="P1002" s="174" t="str">
        <f>IFERROR(__xludf.DUMMYFUNCTION("""COMPUTED_VALUE"""),"Unlisted")</f>
        <v>Unlisted</v>
      </c>
      <c r="Q1002" s="174" t="str">
        <f>IFERROR(__xludf.DUMMYFUNCTION("""COMPUTED_VALUE"""),"Unlisted")</f>
        <v>Unlisted</v>
      </c>
      <c r="R1002" s="174" t="str">
        <f>IFERROR(__xludf.DUMMYFUNCTION("""COMPUTED_VALUE"""),"Unlisted")</f>
        <v>Unlisted</v>
      </c>
    </row>
    <row r="1003">
      <c r="A1003" s="255" t="str">
        <f>IFERROR(__xludf.DUMMYFUNCTION("""COMPUTED_VALUE"""),"Clawitzer")</f>
        <v>Clawitzer</v>
      </c>
      <c r="B1003" s="174" t="str">
        <f>IFERROR(__xludf.DUMMYFUNCTION("""COMPUTED_VALUE"""),"Unlisted")</f>
        <v>Unlisted</v>
      </c>
      <c r="C1003" s="174" t="str">
        <f>IFERROR(__xludf.DUMMYFUNCTION("""COMPUTED_VALUE"""),"Unlisted")</f>
        <v>Unlisted</v>
      </c>
      <c r="D1003" s="174" t="str">
        <f>IFERROR(__xludf.DUMMYFUNCTION("""COMPUTED_VALUE"""),"Unlisted")</f>
        <v>Unlisted</v>
      </c>
      <c r="E1003" s="174" t="str">
        <f>IFERROR(__xludf.DUMMYFUNCTION("""COMPUTED_VALUE"""),"Proficient")</f>
        <v>Proficient</v>
      </c>
      <c r="F1003" s="174" t="str">
        <f>IFERROR(__xludf.DUMMYFUNCTION("""COMPUTED_VALUE"""),"Unlisted")</f>
        <v>Unlisted</v>
      </c>
      <c r="G1003" s="174" t="str">
        <f>IFERROR(__xludf.DUMMYFUNCTION("""COMPUTED_VALUE"""),"Proficient")</f>
        <v>Proficient</v>
      </c>
      <c r="H1003" s="174" t="str">
        <f>IFERROR(__xludf.DUMMYFUNCTION("""COMPUTED_VALUE"""),"Unlisted")</f>
        <v>Unlisted</v>
      </c>
      <c r="I1003" s="174" t="str">
        <f>IFERROR(__xludf.DUMMYFUNCTION("""COMPUTED_VALUE"""),"Unlisted")</f>
        <v>Unlisted</v>
      </c>
      <c r="J1003" s="174" t="str">
        <f>IFERROR(__xludf.DUMMYFUNCTION("""COMPUTED_VALUE"""),"Unlisted")</f>
        <v>Unlisted</v>
      </c>
      <c r="K1003" s="174" t="str">
        <f>IFERROR(__xludf.DUMMYFUNCTION("""COMPUTED_VALUE"""),"Proficient")</f>
        <v>Proficient</v>
      </c>
      <c r="L1003" s="174" t="str">
        <f>IFERROR(__xludf.DUMMYFUNCTION("""COMPUTED_VALUE"""),"Unlisted")</f>
        <v>Unlisted</v>
      </c>
      <c r="M1003" s="174" t="str">
        <f>IFERROR(__xludf.DUMMYFUNCTION("""COMPUTED_VALUE"""),"Unlisted")</f>
        <v>Unlisted</v>
      </c>
      <c r="N1003" s="174" t="str">
        <f>IFERROR(__xludf.DUMMYFUNCTION("""COMPUTED_VALUE"""),"Unlisted")</f>
        <v>Unlisted</v>
      </c>
      <c r="O1003" s="174" t="str">
        <f>IFERROR(__xludf.DUMMYFUNCTION("""COMPUTED_VALUE"""),"Unlisted")</f>
        <v>Unlisted</v>
      </c>
      <c r="P1003" s="174" t="str">
        <f>IFERROR(__xludf.DUMMYFUNCTION("""COMPUTED_VALUE"""),"Unlisted")</f>
        <v>Unlisted</v>
      </c>
      <c r="Q1003" s="174" t="str">
        <f>IFERROR(__xludf.DUMMYFUNCTION("""COMPUTED_VALUE"""),"Unlisted")</f>
        <v>Unlisted</v>
      </c>
      <c r="R1003" s="174" t="str">
        <f>IFERROR(__xludf.DUMMYFUNCTION("""COMPUTED_VALUE"""),"Unlisted")</f>
        <v>Unlisted</v>
      </c>
    </row>
    <row r="1004">
      <c r="A1004" s="255" t="str">
        <f>IFERROR(__xludf.DUMMYFUNCTION("""COMPUTED_VALUE"""),"Dewpider")</f>
        <v>Dewpider</v>
      </c>
      <c r="B1004" s="174" t="str">
        <f>IFERROR(__xludf.DUMMYFUNCTION("""COMPUTED_VALUE"""),"Unlisted")</f>
        <v>Unlisted</v>
      </c>
      <c r="C1004" s="174" t="str">
        <f>IFERROR(__xludf.DUMMYFUNCTION("""COMPUTED_VALUE"""),"Unlisted")</f>
        <v>Unlisted</v>
      </c>
      <c r="D1004" s="174" t="str">
        <f>IFERROR(__xludf.DUMMYFUNCTION("""COMPUTED_VALUE"""),"Unlisted")</f>
        <v>Unlisted</v>
      </c>
      <c r="E1004" s="174" t="str">
        <f>IFERROR(__xludf.DUMMYFUNCTION("""COMPUTED_VALUE"""),"Unlisted")</f>
        <v>Unlisted</v>
      </c>
      <c r="F1004" s="174" t="str">
        <f>IFERROR(__xludf.DUMMYFUNCTION("""COMPUTED_VALUE"""),"Unlisted")</f>
        <v>Unlisted</v>
      </c>
      <c r="G1004" s="174" t="str">
        <f>IFERROR(__xludf.DUMMYFUNCTION("""COMPUTED_VALUE"""),"Unlisted")</f>
        <v>Unlisted</v>
      </c>
      <c r="H1004" s="174" t="str">
        <f>IFERROR(__xludf.DUMMYFUNCTION("""COMPUTED_VALUE"""),"Unlisted")</f>
        <v>Unlisted</v>
      </c>
      <c r="I1004" s="174" t="str">
        <f>IFERROR(__xludf.DUMMYFUNCTION("""COMPUTED_VALUE"""),"Unlisted")</f>
        <v>Unlisted</v>
      </c>
      <c r="J1004" s="174" t="str">
        <f>IFERROR(__xludf.DUMMYFUNCTION("""COMPUTED_VALUE"""),"Unlisted")</f>
        <v>Unlisted</v>
      </c>
      <c r="K1004" s="174" t="str">
        <f>IFERROR(__xludf.DUMMYFUNCTION("""COMPUTED_VALUE"""),"Unlisted")</f>
        <v>Unlisted</v>
      </c>
      <c r="L1004" s="174" t="str">
        <f>IFERROR(__xludf.DUMMYFUNCTION("""COMPUTED_VALUE"""),"Proficient")</f>
        <v>Proficient</v>
      </c>
      <c r="M1004" s="174" t="str">
        <f>IFERROR(__xludf.DUMMYFUNCTION("""COMPUTED_VALUE"""),"Unlisted")</f>
        <v>Unlisted</v>
      </c>
      <c r="N1004" s="174" t="str">
        <f>IFERROR(__xludf.DUMMYFUNCTION("""COMPUTED_VALUE"""),"Unlisted")</f>
        <v>Unlisted</v>
      </c>
      <c r="O1004" s="174" t="str">
        <f>IFERROR(__xludf.DUMMYFUNCTION("""COMPUTED_VALUE"""),"Proficient")</f>
        <v>Proficient</v>
      </c>
      <c r="P1004" s="174" t="str">
        <f>IFERROR(__xludf.DUMMYFUNCTION("""COMPUTED_VALUE"""),"Unlisted")</f>
        <v>Unlisted</v>
      </c>
      <c r="Q1004" s="174" t="str">
        <f>IFERROR(__xludf.DUMMYFUNCTION("""COMPUTED_VALUE"""),"Unlisted")</f>
        <v>Unlisted</v>
      </c>
      <c r="R1004" s="174" t="str">
        <f>IFERROR(__xludf.DUMMYFUNCTION("""COMPUTED_VALUE"""),"Unlisted")</f>
        <v>Unlisted</v>
      </c>
    </row>
    <row r="1005">
      <c r="A1005" s="255" t="str">
        <f>IFERROR(__xludf.DUMMYFUNCTION("""COMPUTED_VALUE"""),"Araquanid")</f>
        <v>Araquanid</v>
      </c>
      <c r="B1005" s="174" t="str">
        <f>IFERROR(__xludf.DUMMYFUNCTION("""COMPUTED_VALUE"""),"Unlisted")</f>
        <v>Unlisted</v>
      </c>
      <c r="C1005" s="174" t="str">
        <f>IFERROR(__xludf.DUMMYFUNCTION("""COMPUTED_VALUE"""),"Proficient")</f>
        <v>Proficient</v>
      </c>
      <c r="D1005" s="174" t="str">
        <f>IFERROR(__xludf.DUMMYFUNCTION("""COMPUTED_VALUE"""),"Unlisted")</f>
        <v>Unlisted</v>
      </c>
      <c r="E1005" s="174" t="str">
        <f>IFERROR(__xludf.DUMMYFUNCTION("""COMPUTED_VALUE"""),"Unlisted")</f>
        <v>Unlisted</v>
      </c>
      <c r="F1005" s="174" t="str">
        <f>IFERROR(__xludf.DUMMYFUNCTION("""COMPUTED_VALUE"""),"Unlisted")</f>
        <v>Unlisted</v>
      </c>
      <c r="G1005" s="174" t="str">
        <f>IFERROR(__xludf.DUMMYFUNCTION("""COMPUTED_VALUE"""),"Unlisted")</f>
        <v>Unlisted</v>
      </c>
      <c r="H1005" s="174" t="str">
        <f>IFERROR(__xludf.DUMMYFUNCTION("""COMPUTED_VALUE"""),"Unlisted")</f>
        <v>Unlisted</v>
      </c>
      <c r="I1005" s="174" t="str">
        <f>IFERROR(__xludf.DUMMYFUNCTION("""COMPUTED_VALUE"""),"Unlisted")</f>
        <v>Unlisted</v>
      </c>
      <c r="J1005" s="174" t="str">
        <f>IFERROR(__xludf.DUMMYFUNCTION("""COMPUTED_VALUE"""),"Unlisted")</f>
        <v>Unlisted</v>
      </c>
      <c r="K1005" s="174" t="str">
        <f>IFERROR(__xludf.DUMMYFUNCTION("""COMPUTED_VALUE"""),"Unlisted")</f>
        <v>Unlisted</v>
      </c>
      <c r="L1005" s="174" t="str">
        <f>IFERROR(__xludf.DUMMYFUNCTION("""COMPUTED_VALUE"""),"Proficient")</f>
        <v>Proficient</v>
      </c>
      <c r="M1005" s="174" t="str">
        <f>IFERROR(__xludf.DUMMYFUNCTION("""COMPUTED_VALUE"""),"Unlisted")</f>
        <v>Unlisted</v>
      </c>
      <c r="N1005" s="174" t="str">
        <f>IFERROR(__xludf.DUMMYFUNCTION("""COMPUTED_VALUE"""),"Unlisted")</f>
        <v>Unlisted</v>
      </c>
      <c r="O1005" s="174" t="str">
        <f>IFERROR(__xludf.DUMMYFUNCTION("""COMPUTED_VALUE"""),"Proficient")</f>
        <v>Proficient</v>
      </c>
      <c r="P1005" s="174" t="str">
        <f>IFERROR(__xludf.DUMMYFUNCTION("""COMPUTED_VALUE"""),"Unlisted")</f>
        <v>Unlisted</v>
      </c>
      <c r="Q1005" s="174" t="str">
        <f>IFERROR(__xludf.DUMMYFUNCTION("""COMPUTED_VALUE"""),"Unlisted")</f>
        <v>Unlisted</v>
      </c>
      <c r="R1005" s="174" t="str">
        <f>IFERROR(__xludf.DUMMYFUNCTION("""COMPUTED_VALUE"""),"Unlisted")</f>
        <v>Unlisted</v>
      </c>
    </row>
    <row r="1006">
      <c r="A1006" s="255" t="str">
        <f>IFERROR(__xludf.DUMMYFUNCTION("""COMPUTED_VALUE"""),"Chewtle")</f>
        <v>Chewtle</v>
      </c>
      <c r="B1006" s="174" t="str">
        <f>IFERROR(__xludf.DUMMYFUNCTION("""COMPUTED_VALUE"""),"Unlisted")</f>
        <v>Unlisted</v>
      </c>
      <c r="C1006" s="174" t="str">
        <f>IFERROR(__xludf.DUMMYFUNCTION("""COMPUTED_VALUE"""),"Mastered")</f>
        <v>Mastered</v>
      </c>
      <c r="D1006" s="174" t="str">
        <f>IFERROR(__xludf.DUMMYFUNCTION("""COMPUTED_VALUE"""),"Unlisted")</f>
        <v>Unlisted</v>
      </c>
      <c r="E1006" s="174" t="str">
        <f>IFERROR(__xludf.DUMMYFUNCTION("""COMPUTED_VALUE"""),"Proficient")</f>
        <v>Proficient</v>
      </c>
      <c r="F1006" s="174" t="str">
        <f>IFERROR(__xludf.DUMMYFUNCTION("""COMPUTED_VALUE"""),"Unlisted")</f>
        <v>Unlisted</v>
      </c>
      <c r="G1006" s="174" t="str">
        <f>IFERROR(__xludf.DUMMYFUNCTION("""COMPUTED_VALUE"""),"Proficient")</f>
        <v>Proficient</v>
      </c>
      <c r="H1006" s="174" t="str">
        <f>IFERROR(__xludf.DUMMYFUNCTION("""COMPUTED_VALUE"""),"Unlisted")</f>
        <v>Unlisted</v>
      </c>
      <c r="I1006" s="174" t="str">
        <f>IFERROR(__xludf.DUMMYFUNCTION("""COMPUTED_VALUE"""),"Unlisted")</f>
        <v>Unlisted</v>
      </c>
      <c r="J1006" s="174" t="str">
        <f>IFERROR(__xludf.DUMMYFUNCTION("""COMPUTED_VALUE"""),"Unlisted")</f>
        <v>Unlisted</v>
      </c>
      <c r="K1006" s="174" t="str">
        <f>IFERROR(__xludf.DUMMYFUNCTION("""COMPUTED_VALUE"""),"Unlisted")</f>
        <v>Unlisted</v>
      </c>
      <c r="L1006" s="174" t="str">
        <f>IFERROR(__xludf.DUMMYFUNCTION("""COMPUTED_VALUE"""),"Unlisted")</f>
        <v>Unlisted</v>
      </c>
      <c r="M1006" s="174" t="str">
        <f>IFERROR(__xludf.DUMMYFUNCTION("""COMPUTED_VALUE"""),"Unlisted")</f>
        <v>Unlisted</v>
      </c>
      <c r="N1006" s="174" t="str">
        <f>IFERROR(__xludf.DUMMYFUNCTION("""COMPUTED_VALUE"""),"Unlisted")</f>
        <v>Unlisted</v>
      </c>
      <c r="O1006" s="174" t="str">
        <f>IFERROR(__xludf.DUMMYFUNCTION("""COMPUTED_VALUE"""),"Unlisted")</f>
        <v>Unlisted</v>
      </c>
      <c r="P1006" s="174" t="str">
        <f>IFERROR(__xludf.DUMMYFUNCTION("""COMPUTED_VALUE"""),"Unlisted")</f>
        <v>Unlisted</v>
      </c>
      <c r="Q1006" s="174" t="str">
        <f>IFERROR(__xludf.DUMMYFUNCTION("""COMPUTED_VALUE"""),"Unlisted")</f>
        <v>Unlisted</v>
      </c>
      <c r="R1006" s="174" t="str">
        <f>IFERROR(__xludf.DUMMYFUNCTION("""COMPUTED_VALUE"""),"Unlisted")</f>
        <v>Unlisted</v>
      </c>
    </row>
    <row r="1007">
      <c r="A1007" s="255" t="str">
        <f>IFERROR(__xludf.DUMMYFUNCTION("""COMPUTED_VALUE"""),"Drednaw")</f>
        <v>Drednaw</v>
      </c>
      <c r="B1007" s="174" t="str">
        <f>IFERROR(__xludf.DUMMYFUNCTION("""COMPUTED_VALUE"""),"Unlisted")</f>
        <v>Unlisted</v>
      </c>
      <c r="C1007" s="174" t="str">
        <f>IFERROR(__xludf.DUMMYFUNCTION("""COMPUTED_VALUE"""),"Mastered")</f>
        <v>Mastered</v>
      </c>
      <c r="D1007" s="174" t="str">
        <f>IFERROR(__xludf.DUMMYFUNCTION("""COMPUTED_VALUE"""),"Unlisted")</f>
        <v>Unlisted</v>
      </c>
      <c r="E1007" s="174" t="str">
        <f>IFERROR(__xludf.DUMMYFUNCTION("""COMPUTED_VALUE"""),"Proficient")</f>
        <v>Proficient</v>
      </c>
      <c r="F1007" s="174" t="str">
        <f>IFERROR(__xludf.DUMMYFUNCTION("""COMPUTED_VALUE"""),"Unlisted")</f>
        <v>Unlisted</v>
      </c>
      <c r="G1007" s="174" t="str">
        <f>IFERROR(__xludf.DUMMYFUNCTION("""COMPUTED_VALUE"""),"Proficient")</f>
        <v>Proficient</v>
      </c>
      <c r="H1007" s="174" t="str">
        <f>IFERROR(__xludf.DUMMYFUNCTION("""COMPUTED_VALUE"""),"Unlisted")</f>
        <v>Unlisted</v>
      </c>
      <c r="I1007" s="174" t="str">
        <f>IFERROR(__xludf.DUMMYFUNCTION("""COMPUTED_VALUE"""),"Unlisted")</f>
        <v>Unlisted</v>
      </c>
      <c r="J1007" s="174" t="str">
        <f>IFERROR(__xludf.DUMMYFUNCTION("""COMPUTED_VALUE"""),"Unlisted")</f>
        <v>Unlisted</v>
      </c>
      <c r="K1007" s="174" t="str">
        <f>IFERROR(__xludf.DUMMYFUNCTION("""COMPUTED_VALUE"""),"Unlisted")</f>
        <v>Unlisted</v>
      </c>
      <c r="L1007" s="174" t="str">
        <f>IFERROR(__xludf.DUMMYFUNCTION("""COMPUTED_VALUE"""),"Unlisted")</f>
        <v>Unlisted</v>
      </c>
      <c r="M1007" s="174" t="str">
        <f>IFERROR(__xludf.DUMMYFUNCTION("""COMPUTED_VALUE"""),"Unlisted")</f>
        <v>Unlisted</v>
      </c>
      <c r="N1007" s="174" t="str">
        <f>IFERROR(__xludf.DUMMYFUNCTION("""COMPUTED_VALUE"""),"Unlisted")</f>
        <v>Unlisted</v>
      </c>
      <c r="O1007" s="174" t="str">
        <f>IFERROR(__xludf.DUMMYFUNCTION("""COMPUTED_VALUE"""),"Unlisted")</f>
        <v>Unlisted</v>
      </c>
      <c r="P1007" s="174" t="str">
        <f>IFERROR(__xludf.DUMMYFUNCTION("""COMPUTED_VALUE"""),"Unlisted")</f>
        <v>Unlisted</v>
      </c>
      <c r="Q1007" s="174" t="str">
        <f>IFERROR(__xludf.DUMMYFUNCTION("""COMPUTED_VALUE"""),"Unlisted")</f>
        <v>Unlisted</v>
      </c>
      <c r="R1007" s="174" t="str">
        <f>IFERROR(__xludf.DUMMYFUNCTION("""COMPUTED_VALUE"""),"Unlisted")</f>
        <v>Unlisted</v>
      </c>
    </row>
    <row r="1008">
      <c r="A1008" s="255" t="str">
        <f>IFERROR(__xludf.DUMMYFUNCTION("""COMPUTED_VALUE"""),"Arrokuda")</f>
        <v>Arrokuda</v>
      </c>
      <c r="B1008" s="174" t="str">
        <f>IFERROR(__xludf.DUMMYFUNCTION("""COMPUTED_VALUE"""),"Proficient")</f>
        <v>Proficient</v>
      </c>
      <c r="C1008" s="174" t="str">
        <f>IFERROR(__xludf.DUMMYFUNCTION("""COMPUTED_VALUE"""),"Unlisted")</f>
        <v>Unlisted</v>
      </c>
      <c r="D1008" s="174" t="str">
        <f>IFERROR(__xludf.DUMMYFUNCTION("""COMPUTED_VALUE"""),"Unlisted")</f>
        <v>Unlisted</v>
      </c>
      <c r="E1008" s="174" t="str">
        <f>IFERROR(__xludf.DUMMYFUNCTION("""COMPUTED_VALUE"""),"Proficient")</f>
        <v>Proficient</v>
      </c>
      <c r="F1008" s="174" t="str">
        <f>IFERROR(__xludf.DUMMYFUNCTION("""COMPUTED_VALUE"""),"Unlisted")</f>
        <v>Unlisted</v>
      </c>
      <c r="G1008" s="174" t="str">
        <f>IFERROR(__xludf.DUMMYFUNCTION("""COMPUTED_VALUE"""),"Unlisted")</f>
        <v>Unlisted</v>
      </c>
      <c r="H1008" s="174" t="str">
        <f>IFERROR(__xludf.DUMMYFUNCTION("""COMPUTED_VALUE"""),"Unlisted")</f>
        <v>Unlisted</v>
      </c>
      <c r="I1008" s="174" t="str">
        <f>IFERROR(__xludf.DUMMYFUNCTION("""COMPUTED_VALUE"""),"Unlisted")</f>
        <v>Unlisted</v>
      </c>
      <c r="J1008" s="174" t="str">
        <f>IFERROR(__xludf.DUMMYFUNCTION("""COMPUTED_VALUE"""),"Unlisted")</f>
        <v>Unlisted</v>
      </c>
      <c r="K1008" s="174" t="str">
        <f>IFERROR(__xludf.DUMMYFUNCTION("""COMPUTED_VALUE"""),"Unlisted")</f>
        <v>Unlisted</v>
      </c>
      <c r="L1008" s="174" t="str">
        <f>IFERROR(__xludf.DUMMYFUNCTION("""COMPUTED_VALUE"""),"Unlisted")</f>
        <v>Unlisted</v>
      </c>
      <c r="M1008" s="174" t="str">
        <f>IFERROR(__xludf.DUMMYFUNCTION("""COMPUTED_VALUE"""),"Unlisted")</f>
        <v>Unlisted</v>
      </c>
      <c r="N1008" s="174" t="str">
        <f>IFERROR(__xludf.DUMMYFUNCTION("""COMPUTED_VALUE"""),"Unlisted")</f>
        <v>Unlisted</v>
      </c>
      <c r="O1008" s="174" t="str">
        <f>IFERROR(__xludf.DUMMYFUNCTION("""COMPUTED_VALUE"""),"Proficient")</f>
        <v>Proficient</v>
      </c>
      <c r="P1008" s="174" t="str">
        <f>IFERROR(__xludf.DUMMYFUNCTION("""COMPUTED_VALUE"""),"Unlisted")</f>
        <v>Unlisted</v>
      </c>
      <c r="Q1008" s="174" t="str">
        <f>IFERROR(__xludf.DUMMYFUNCTION("""COMPUTED_VALUE"""),"Unlisted")</f>
        <v>Unlisted</v>
      </c>
      <c r="R1008" s="174" t="str">
        <f>IFERROR(__xludf.DUMMYFUNCTION("""COMPUTED_VALUE"""),"Unlisted")</f>
        <v>Unlisted</v>
      </c>
    </row>
    <row r="1009">
      <c r="A1009" s="255" t="str">
        <f>IFERROR(__xludf.DUMMYFUNCTION("""COMPUTED_VALUE"""),"Barraskewda")</f>
        <v>Barraskewda</v>
      </c>
      <c r="B1009" s="174" t="str">
        <f>IFERROR(__xludf.DUMMYFUNCTION("""COMPUTED_VALUE"""),"Proficient")</f>
        <v>Proficient</v>
      </c>
      <c r="C1009" s="174" t="str">
        <f>IFERROR(__xludf.DUMMYFUNCTION("""COMPUTED_VALUE"""),"Unlisted")</f>
        <v>Unlisted</v>
      </c>
      <c r="D1009" s="174" t="str">
        <f>IFERROR(__xludf.DUMMYFUNCTION("""COMPUTED_VALUE"""),"Unlisted")</f>
        <v>Unlisted</v>
      </c>
      <c r="E1009" s="174" t="str">
        <f>IFERROR(__xludf.DUMMYFUNCTION("""COMPUTED_VALUE"""),"Proficient")</f>
        <v>Proficient</v>
      </c>
      <c r="F1009" s="174" t="str">
        <f>IFERROR(__xludf.DUMMYFUNCTION("""COMPUTED_VALUE"""),"Unlisted")</f>
        <v>Unlisted</v>
      </c>
      <c r="G1009" s="174" t="str">
        <f>IFERROR(__xludf.DUMMYFUNCTION("""COMPUTED_VALUE"""),"Unlisted")</f>
        <v>Unlisted</v>
      </c>
      <c r="H1009" s="174" t="str">
        <f>IFERROR(__xludf.DUMMYFUNCTION("""COMPUTED_VALUE"""),"Unlisted")</f>
        <v>Unlisted</v>
      </c>
      <c r="I1009" s="174" t="str">
        <f>IFERROR(__xludf.DUMMYFUNCTION("""COMPUTED_VALUE"""),"Unlisted")</f>
        <v>Unlisted</v>
      </c>
      <c r="J1009" s="174" t="str">
        <f>IFERROR(__xludf.DUMMYFUNCTION("""COMPUTED_VALUE"""),"Unlisted")</f>
        <v>Unlisted</v>
      </c>
      <c r="K1009" s="174" t="str">
        <f>IFERROR(__xludf.DUMMYFUNCTION("""COMPUTED_VALUE"""),"Unlisted")</f>
        <v>Unlisted</v>
      </c>
      <c r="L1009" s="174" t="str">
        <f>IFERROR(__xludf.DUMMYFUNCTION("""COMPUTED_VALUE"""),"Unlisted")</f>
        <v>Unlisted</v>
      </c>
      <c r="M1009" s="174" t="str">
        <f>IFERROR(__xludf.DUMMYFUNCTION("""COMPUTED_VALUE"""),"Unlisted")</f>
        <v>Unlisted</v>
      </c>
      <c r="N1009" s="174" t="str">
        <f>IFERROR(__xludf.DUMMYFUNCTION("""COMPUTED_VALUE"""),"Unlisted")</f>
        <v>Unlisted</v>
      </c>
      <c r="O1009" s="174" t="str">
        <f>IFERROR(__xludf.DUMMYFUNCTION("""COMPUTED_VALUE"""),"Proficient")</f>
        <v>Proficient</v>
      </c>
      <c r="P1009" s="174" t="str">
        <f>IFERROR(__xludf.DUMMYFUNCTION("""COMPUTED_VALUE"""),"Unlisted")</f>
        <v>Unlisted</v>
      </c>
      <c r="Q1009" s="174" t="str">
        <f>IFERROR(__xludf.DUMMYFUNCTION("""COMPUTED_VALUE"""),"Unlisted")</f>
        <v>Unlisted</v>
      </c>
      <c r="R1009" s="174" t="str">
        <f>IFERROR(__xludf.DUMMYFUNCTION("""COMPUTED_VALUE"""),"Unlisted")</f>
        <v>Unlisted</v>
      </c>
    </row>
    <row r="1010">
      <c r="A1010" s="255" t="str">
        <f>IFERROR(__xludf.DUMMYFUNCTION("""COMPUTED_VALUE"""),"Pinsir")</f>
        <v>Pinsir</v>
      </c>
      <c r="B1010" s="174" t="str">
        <f>IFERROR(__xludf.DUMMYFUNCTION("""COMPUTED_VALUE"""),"Unlisted")</f>
        <v>Unlisted</v>
      </c>
      <c r="C1010" s="174" t="str">
        <f>IFERROR(__xludf.DUMMYFUNCTION("""COMPUTED_VALUE"""),"Mastered")</f>
        <v>Mastered</v>
      </c>
      <c r="D1010" s="174" t="str">
        <f>IFERROR(__xludf.DUMMYFUNCTION("""COMPUTED_VALUE"""),"Unlisted")</f>
        <v>Unlisted</v>
      </c>
      <c r="E1010" s="174" t="str">
        <f>IFERROR(__xludf.DUMMYFUNCTION("""COMPUTED_VALUE"""),"Proficient")</f>
        <v>Proficient</v>
      </c>
      <c r="F1010" s="174" t="str">
        <f>IFERROR(__xludf.DUMMYFUNCTION("""COMPUTED_VALUE"""),"Unlisted")</f>
        <v>Unlisted</v>
      </c>
      <c r="G1010" s="174" t="str">
        <f>IFERROR(__xludf.DUMMYFUNCTION("""COMPUTED_VALUE"""),"Unlisted")</f>
        <v>Unlisted</v>
      </c>
      <c r="H1010" s="174" t="str">
        <f>IFERROR(__xludf.DUMMYFUNCTION("""COMPUTED_VALUE"""),"Unlisted")</f>
        <v>Unlisted</v>
      </c>
      <c r="I1010" s="174" t="str">
        <f>IFERROR(__xludf.DUMMYFUNCTION("""COMPUTED_VALUE"""),"Proficient")</f>
        <v>Proficient</v>
      </c>
      <c r="J1010" s="174" t="str">
        <f>IFERROR(__xludf.DUMMYFUNCTION("""COMPUTED_VALUE"""),"Unlisted")</f>
        <v>Unlisted</v>
      </c>
      <c r="K1010" s="174" t="str">
        <f>IFERROR(__xludf.DUMMYFUNCTION("""COMPUTED_VALUE"""),"Unlisted")</f>
        <v>Unlisted</v>
      </c>
      <c r="L1010" s="174" t="str">
        <f>IFERROR(__xludf.DUMMYFUNCTION("""COMPUTED_VALUE"""),"Unlisted")</f>
        <v>Unlisted</v>
      </c>
      <c r="M1010" s="174" t="str">
        <f>IFERROR(__xludf.DUMMYFUNCTION("""COMPUTED_VALUE"""),"Unlisted")</f>
        <v>Unlisted</v>
      </c>
      <c r="N1010" s="174" t="str">
        <f>IFERROR(__xludf.DUMMYFUNCTION("""COMPUTED_VALUE"""),"Unlisted")</f>
        <v>Unlisted</v>
      </c>
      <c r="O1010" s="174" t="str">
        <f>IFERROR(__xludf.DUMMYFUNCTION("""COMPUTED_VALUE"""),"Unlisted")</f>
        <v>Unlisted</v>
      </c>
      <c r="P1010" s="174" t="str">
        <f>IFERROR(__xludf.DUMMYFUNCTION("""COMPUTED_VALUE"""),"Unlisted")</f>
        <v>Unlisted</v>
      </c>
      <c r="Q1010" s="174" t="str">
        <f>IFERROR(__xludf.DUMMYFUNCTION("""COMPUTED_VALUE"""),"Unlisted")</f>
        <v>Unlisted</v>
      </c>
      <c r="R1010" s="174" t="str">
        <f>IFERROR(__xludf.DUMMYFUNCTION("""COMPUTED_VALUE"""),"Unlisted")</f>
        <v>Unlisted</v>
      </c>
    </row>
    <row r="1011">
      <c r="A1011" s="255" t="str">
        <f>IFERROR(__xludf.DUMMYFUNCTION("""COMPUTED_VALUE"""),"Shuckle")</f>
        <v>Shuckle</v>
      </c>
      <c r="B1011" s="174" t="str">
        <f>IFERROR(__xludf.DUMMYFUNCTION("""COMPUTED_VALUE"""),"Unlisted")</f>
        <v>Unlisted</v>
      </c>
      <c r="C1011" s="174" t="str">
        <f>IFERROR(__xludf.DUMMYFUNCTION("""COMPUTED_VALUE"""),"Inept")</f>
        <v>Inept</v>
      </c>
      <c r="D1011" s="174" t="str">
        <f>IFERROR(__xludf.DUMMYFUNCTION("""COMPUTED_VALUE"""),"Unlisted")</f>
        <v>Unlisted</v>
      </c>
      <c r="E1011" s="174" t="str">
        <f>IFERROR(__xludf.DUMMYFUNCTION("""COMPUTED_VALUE"""),"Inept")</f>
        <v>Inept</v>
      </c>
      <c r="F1011" s="174" t="str">
        <f>IFERROR(__xludf.DUMMYFUNCTION("""COMPUTED_VALUE"""),"Unlisted")</f>
        <v>Unlisted</v>
      </c>
      <c r="G1011" s="174" t="str">
        <f>IFERROR(__xludf.DUMMYFUNCTION("""COMPUTED_VALUE"""),"Unlisted")</f>
        <v>Unlisted</v>
      </c>
      <c r="H1011" s="174" t="str">
        <f>IFERROR(__xludf.DUMMYFUNCTION("""COMPUTED_VALUE"""),"Unlisted")</f>
        <v>Unlisted</v>
      </c>
      <c r="I1011" s="174" t="str">
        <f>IFERROR(__xludf.DUMMYFUNCTION("""COMPUTED_VALUE"""),"Unlisted")</f>
        <v>Unlisted</v>
      </c>
      <c r="J1011" s="174" t="str">
        <f>IFERROR(__xludf.DUMMYFUNCTION("""COMPUTED_VALUE"""),"Unlisted")</f>
        <v>Unlisted</v>
      </c>
      <c r="K1011" s="174" t="str">
        <f>IFERROR(__xludf.DUMMYFUNCTION("""COMPUTED_VALUE"""),"Unlisted")</f>
        <v>Unlisted</v>
      </c>
      <c r="L1011" s="174" t="str">
        <f>IFERROR(__xludf.DUMMYFUNCTION("""COMPUTED_VALUE"""),"Unlisted")</f>
        <v>Unlisted</v>
      </c>
      <c r="M1011" s="174" t="str">
        <f>IFERROR(__xludf.DUMMYFUNCTION("""COMPUTED_VALUE"""),"Unlisted")</f>
        <v>Unlisted</v>
      </c>
      <c r="N1011" s="174" t="str">
        <f>IFERROR(__xludf.DUMMYFUNCTION("""COMPUTED_VALUE"""),"Unlisted")</f>
        <v>Unlisted</v>
      </c>
      <c r="O1011" s="174" t="str">
        <f>IFERROR(__xludf.DUMMYFUNCTION("""COMPUTED_VALUE"""),"Unlisted")</f>
        <v>Unlisted</v>
      </c>
      <c r="P1011" s="174" t="str">
        <f>IFERROR(__xludf.DUMMYFUNCTION("""COMPUTED_VALUE"""),"Unlisted")</f>
        <v>Unlisted</v>
      </c>
      <c r="Q1011" s="174" t="str">
        <f>IFERROR(__xludf.DUMMYFUNCTION("""COMPUTED_VALUE"""),"Unlisted")</f>
        <v>Unlisted</v>
      </c>
      <c r="R1011" s="174" t="str">
        <f>IFERROR(__xludf.DUMMYFUNCTION("""COMPUTED_VALUE"""),"Unlisted")</f>
        <v>Unlisted</v>
      </c>
    </row>
    <row r="1012">
      <c r="A1012" s="255" t="str">
        <f>IFERROR(__xludf.DUMMYFUNCTION("""COMPUTED_VALUE"""),"Heracross")</f>
        <v>Heracross</v>
      </c>
      <c r="B1012" s="174" t="str">
        <f>IFERROR(__xludf.DUMMYFUNCTION("""COMPUTED_VALUE"""),"Proficient")</f>
        <v>Proficient</v>
      </c>
      <c r="C1012" s="174" t="str">
        <f>IFERROR(__xludf.DUMMYFUNCTION("""COMPUTED_VALUE"""),"Mastered")</f>
        <v>Mastered</v>
      </c>
      <c r="D1012" s="174" t="str">
        <f>IFERROR(__xludf.DUMMYFUNCTION("""COMPUTED_VALUE"""),"Unlisted")</f>
        <v>Unlisted</v>
      </c>
      <c r="E1012" s="174" t="str">
        <f>IFERROR(__xludf.DUMMYFUNCTION("""COMPUTED_VALUE"""),"Proficient")</f>
        <v>Proficient</v>
      </c>
      <c r="F1012" s="174" t="str">
        <f>IFERROR(__xludf.DUMMYFUNCTION("""COMPUTED_VALUE"""),"Unlisted")</f>
        <v>Unlisted</v>
      </c>
      <c r="G1012" s="174" t="str">
        <f>IFERROR(__xludf.DUMMYFUNCTION("""COMPUTED_VALUE"""),"Unlisted")</f>
        <v>Unlisted</v>
      </c>
      <c r="H1012" s="174" t="str">
        <f>IFERROR(__xludf.DUMMYFUNCTION("""COMPUTED_VALUE"""),"Unlisted")</f>
        <v>Unlisted</v>
      </c>
      <c r="I1012" s="174" t="str">
        <f>IFERROR(__xludf.DUMMYFUNCTION("""COMPUTED_VALUE"""),"Unlisted")</f>
        <v>Unlisted</v>
      </c>
      <c r="J1012" s="174" t="str">
        <f>IFERROR(__xludf.DUMMYFUNCTION("""COMPUTED_VALUE"""),"Unlisted")</f>
        <v>Unlisted</v>
      </c>
      <c r="K1012" s="174" t="str">
        <f>IFERROR(__xludf.DUMMYFUNCTION("""COMPUTED_VALUE"""),"Unlisted")</f>
        <v>Unlisted</v>
      </c>
      <c r="L1012" s="174" t="str">
        <f>IFERROR(__xludf.DUMMYFUNCTION("""COMPUTED_VALUE"""),"Unlisted")</f>
        <v>Unlisted</v>
      </c>
      <c r="M1012" s="174" t="str">
        <f>IFERROR(__xludf.DUMMYFUNCTION("""COMPUTED_VALUE"""),"Unlisted")</f>
        <v>Unlisted</v>
      </c>
      <c r="N1012" s="174" t="str">
        <f>IFERROR(__xludf.DUMMYFUNCTION("""COMPUTED_VALUE"""),"Unlisted")</f>
        <v>Unlisted</v>
      </c>
      <c r="O1012" s="174" t="str">
        <f>IFERROR(__xludf.DUMMYFUNCTION("""COMPUTED_VALUE"""),"Unlisted")</f>
        <v>Unlisted</v>
      </c>
      <c r="P1012" s="174" t="str">
        <f>IFERROR(__xludf.DUMMYFUNCTION("""COMPUTED_VALUE"""),"Unlisted")</f>
        <v>Unlisted</v>
      </c>
      <c r="Q1012" s="174" t="str">
        <f>IFERROR(__xludf.DUMMYFUNCTION("""COMPUTED_VALUE"""),"Unlisted")</f>
        <v>Unlisted</v>
      </c>
      <c r="R1012" s="174" t="str">
        <f>IFERROR(__xludf.DUMMYFUNCTION("""COMPUTED_VALUE"""),"Unlisted")</f>
        <v>Unlisted</v>
      </c>
    </row>
    <row r="1013">
      <c r="A1013" s="255" t="str">
        <f>IFERROR(__xludf.DUMMYFUNCTION("""COMPUTED_VALUE"""),"Volbeat")</f>
        <v>Volbeat</v>
      </c>
      <c r="B1013" s="174" t="str">
        <f>IFERROR(__xludf.DUMMYFUNCTION("""COMPUTED_VALUE"""),"Proficient")</f>
        <v>Proficient</v>
      </c>
      <c r="C1013" s="174" t="str">
        <f>IFERROR(__xludf.DUMMYFUNCTION("""COMPUTED_VALUE"""),"Unlisted")</f>
        <v>Unlisted</v>
      </c>
      <c r="D1013" s="174" t="str">
        <f>IFERROR(__xludf.DUMMYFUNCTION("""COMPUTED_VALUE"""),"Proficient")</f>
        <v>Proficient</v>
      </c>
      <c r="E1013" s="174" t="str">
        <f>IFERROR(__xludf.DUMMYFUNCTION("""COMPUTED_VALUE"""),"Unlisted")</f>
        <v>Unlisted</v>
      </c>
      <c r="F1013" s="174" t="str">
        <f>IFERROR(__xludf.DUMMYFUNCTION("""COMPUTED_VALUE"""),"Unlisted")</f>
        <v>Unlisted</v>
      </c>
      <c r="G1013" s="174" t="str">
        <f>IFERROR(__xludf.DUMMYFUNCTION("""COMPUTED_VALUE"""),"Proficient")</f>
        <v>Proficient</v>
      </c>
      <c r="H1013" s="174" t="str">
        <f>IFERROR(__xludf.DUMMYFUNCTION("""COMPUTED_VALUE"""),"Unlisted")</f>
        <v>Unlisted</v>
      </c>
      <c r="I1013" s="174" t="str">
        <f>IFERROR(__xludf.DUMMYFUNCTION("""COMPUTED_VALUE"""),"Unlisted")</f>
        <v>Unlisted</v>
      </c>
      <c r="J1013" s="174" t="str">
        <f>IFERROR(__xludf.DUMMYFUNCTION("""COMPUTED_VALUE"""),"Unlisted")</f>
        <v>Unlisted</v>
      </c>
      <c r="K1013" s="174" t="str">
        <f>IFERROR(__xludf.DUMMYFUNCTION("""COMPUTED_VALUE"""),"Unlisted")</f>
        <v>Unlisted</v>
      </c>
      <c r="L1013" s="174" t="str">
        <f>IFERROR(__xludf.DUMMYFUNCTION("""COMPUTED_VALUE"""),"Unlisted")</f>
        <v>Unlisted</v>
      </c>
      <c r="M1013" s="174" t="str">
        <f>IFERROR(__xludf.DUMMYFUNCTION("""COMPUTED_VALUE"""),"Unlisted")</f>
        <v>Unlisted</v>
      </c>
      <c r="N1013" s="174" t="str">
        <f>IFERROR(__xludf.DUMMYFUNCTION("""COMPUTED_VALUE"""),"Unlisted")</f>
        <v>Unlisted</v>
      </c>
      <c r="O1013" s="174" t="str">
        <f>IFERROR(__xludf.DUMMYFUNCTION("""COMPUTED_VALUE"""),"Unlisted")</f>
        <v>Unlisted</v>
      </c>
      <c r="P1013" s="174" t="str">
        <f>IFERROR(__xludf.DUMMYFUNCTION("""COMPUTED_VALUE"""),"Unlisted")</f>
        <v>Unlisted</v>
      </c>
      <c r="Q1013" s="174" t="str">
        <f>IFERROR(__xludf.DUMMYFUNCTION("""COMPUTED_VALUE"""),"Unlisted")</f>
        <v>Unlisted</v>
      </c>
      <c r="R1013" s="174" t="str">
        <f>IFERROR(__xludf.DUMMYFUNCTION("""COMPUTED_VALUE"""),"Unlisted")</f>
        <v>Unlisted</v>
      </c>
    </row>
    <row r="1014">
      <c r="A1014" s="255" t="str">
        <f>IFERROR(__xludf.DUMMYFUNCTION("""COMPUTED_VALUE"""),"Illumise")</f>
        <v>Illumise</v>
      </c>
      <c r="B1014" s="174" t="str">
        <f>IFERROR(__xludf.DUMMYFUNCTION("""COMPUTED_VALUE"""),"Proficient")</f>
        <v>Proficient</v>
      </c>
      <c r="C1014" s="174" t="str">
        <f>IFERROR(__xludf.DUMMYFUNCTION("""COMPUTED_VALUE"""),"Unlisted")</f>
        <v>Unlisted</v>
      </c>
      <c r="D1014" s="174" t="str">
        <f>IFERROR(__xludf.DUMMYFUNCTION("""COMPUTED_VALUE"""),"Proficient")</f>
        <v>Proficient</v>
      </c>
      <c r="E1014" s="174" t="str">
        <f>IFERROR(__xludf.DUMMYFUNCTION("""COMPUTED_VALUE"""),"Unlisted")</f>
        <v>Unlisted</v>
      </c>
      <c r="F1014" s="174" t="str">
        <f>IFERROR(__xludf.DUMMYFUNCTION("""COMPUTED_VALUE"""),"Unlisted")</f>
        <v>Unlisted</v>
      </c>
      <c r="G1014" s="174" t="str">
        <f>IFERROR(__xludf.DUMMYFUNCTION("""COMPUTED_VALUE"""),"Proficient")</f>
        <v>Proficient</v>
      </c>
      <c r="H1014" s="174" t="str">
        <f>IFERROR(__xludf.DUMMYFUNCTION("""COMPUTED_VALUE"""),"Unlisted")</f>
        <v>Unlisted</v>
      </c>
      <c r="I1014" s="174" t="str">
        <f>IFERROR(__xludf.DUMMYFUNCTION("""COMPUTED_VALUE"""),"Unlisted")</f>
        <v>Unlisted</v>
      </c>
      <c r="J1014" s="174" t="str">
        <f>IFERROR(__xludf.DUMMYFUNCTION("""COMPUTED_VALUE"""),"Unlisted")</f>
        <v>Unlisted</v>
      </c>
      <c r="K1014" s="174" t="str">
        <f>IFERROR(__xludf.DUMMYFUNCTION("""COMPUTED_VALUE"""),"Unlisted")</f>
        <v>Unlisted</v>
      </c>
      <c r="L1014" s="174" t="str">
        <f>IFERROR(__xludf.DUMMYFUNCTION("""COMPUTED_VALUE"""),"Unlisted")</f>
        <v>Unlisted</v>
      </c>
      <c r="M1014" s="174" t="str">
        <f>IFERROR(__xludf.DUMMYFUNCTION("""COMPUTED_VALUE"""),"Unlisted")</f>
        <v>Unlisted</v>
      </c>
      <c r="N1014" s="174" t="str">
        <f>IFERROR(__xludf.DUMMYFUNCTION("""COMPUTED_VALUE"""),"Unlisted")</f>
        <v>Unlisted</v>
      </c>
      <c r="O1014" s="174" t="str">
        <f>IFERROR(__xludf.DUMMYFUNCTION("""COMPUTED_VALUE"""),"Unlisted")</f>
        <v>Unlisted</v>
      </c>
      <c r="P1014" s="174" t="str">
        <f>IFERROR(__xludf.DUMMYFUNCTION("""COMPUTED_VALUE"""),"Unlisted")</f>
        <v>Unlisted</v>
      </c>
      <c r="Q1014" s="174" t="str">
        <f>IFERROR(__xludf.DUMMYFUNCTION("""COMPUTED_VALUE"""),"Unlisted")</f>
        <v>Unlisted</v>
      </c>
      <c r="R1014" s="174" t="str">
        <f>IFERROR(__xludf.DUMMYFUNCTION("""COMPUTED_VALUE"""),"Unlisted")</f>
        <v>Unlisted</v>
      </c>
    </row>
    <row r="1015">
      <c r="A1015" s="255" t="str">
        <f>IFERROR(__xludf.DUMMYFUNCTION("""COMPUTED_VALUE"""),"Durant")</f>
        <v>Durant</v>
      </c>
      <c r="B1015" s="174" t="str">
        <f>IFERROR(__xludf.DUMMYFUNCTION("""COMPUTED_VALUE"""),"Mastered")</f>
        <v>Mastered</v>
      </c>
      <c r="C1015" s="174" t="str">
        <f>IFERROR(__xludf.DUMMYFUNCTION("""COMPUTED_VALUE"""),"Proficient")</f>
        <v>Proficient</v>
      </c>
      <c r="D1015" s="174" t="str">
        <f>IFERROR(__xludf.DUMMYFUNCTION("""COMPUTED_VALUE"""),"Unlisted")</f>
        <v>Unlisted</v>
      </c>
      <c r="E1015" s="174" t="str">
        <f>IFERROR(__xludf.DUMMYFUNCTION("""COMPUTED_VALUE"""),"Unlisted")</f>
        <v>Unlisted</v>
      </c>
      <c r="F1015" s="174" t="str">
        <f>IFERROR(__xludf.DUMMYFUNCTION("""COMPUTED_VALUE"""),"Unlisted")</f>
        <v>Unlisted</v>
      </c>
      <c r="G1015" s="174" t="str">
        <f>IFERROR(__xludf.DUMMYFUNCTION("""COMPUTED_VALUE"""),"Inept")</f>
        <v>Inept</v>
      </c>
      <c r="H1015" s="174" t="str">
        <f>IFERROR(__xludf.DUMMYFUNCTION("""COMPUTED_VALUE"""),"Unlisted")</f>
        <v>Unlisted</v>
      </c>
      <c r="I1015" s="174" t="str">
        <f>IFERROR(__xludf.DUMMYFUNCTION("""COMPUTED_VALUE"""),"Unlisted")</f>
        <v>Unlisted</v>
      </c>
      <c r="J1015" s="174" t="str">
        <f>IFERROR(__xludf.DUMMYFUNCTION("""COMPUTED_VALUE"""),"Unlisted")</f>
        <v>Unlisted</v>
      </c>
      <c r="K1015" s="174" t="str">
        <f>IFERROR(__xludf.DUMMYFUNCTION("""COMPUTED_VALUE"""),"Proficient")</f>
        <v>Proficient</v>
      </c>
      <c r="L1015" s="174" t="str">
        <f>IFERROR(__xludf.DUMMYFUNCTION("""COMPUTED_VALUE"""),"Proficient")</f>
        <v>Proficient</v>
      </c>
      <c r="M1015" s="174" t="str">
        <f>IFERROR(__xludf.DUMMYFUNCTION("""COMPUTED_VALUE"""),"Unlisted")</f>
        <v>Unlisted</v>
      </c>
      <c r="N1015" s="174" t="str">
        <f>IFERROR(__xludf.DUMMYFUNCTION("""COMPUTED_VALUE"""),"Unlisted")</f>
        <v>Unlisted</v>
      </c>
      <c r="O1015" s="174" t="str">
        <f>IFERROR(__xludf.DUMMYFUNCTION("""COMPUTED_VALUE"""),"Unlisted")</f>
        <v>Unlisted</v>
      </c>
      <c r="P1015" s="174" t="str">
        <f>IFERROR(__xludf.DUMMYFUNCTION("""COMPUTED_VALUE"""),"Unlisted")</f>
        <v>Unlisted</v>
      </c>
      <c r="Q1015" s="174" t="str">
        <f>IFERROR(__xludf.DUMMYFUNCTION("""COMPUTED_VALUE"""),"Unlisted")</f>
        <v>Unlisted</v>
      </c>
      <c r="R1015" s="174" t="str">
        <f>IFERROR(__xludf.DUMMYFUNCTION("""COMPUTED_VALUE"""),"Unlisted")</f>
        <v>Unlisted</v>
      </c>
    </row>
    <row r="1016">
      <c r="A1016" s="255" t="str">
        <f>IFERROR(__xludf.DUMMYFUNCTION("""COMPUTED_VALUE"""),"Sableye")</f>
        <v>Sableye</v>
      </c>
      <c r="B1016" s="174" t="str">
        <f>IFERROR(__xludf.DUMMYFUNCTION("""COMPUTED_VALUE"""),"Unlisted")</f>
        <v>Unlisted</v>
      </c>
      <c r="C1016" s="174" t="str">
        <f>IFERROR(__xludf.DUMMYFUNCTION("""COMPUTED_VALUE"""),"Unlisted")</f>
        <v>Unlisted</v>
      </c>
      <c r="D1016" s="174" t="str">
        <f>IFERROR(__xludf.DUMMYFUNCTION("""COMPUTED_VALUE"""),"Unlisted")</f>
        <v>Unlisted</v>
      </c>
      <c r="E1016" s="174" t="str">
        <f>IFERROR(__xludf.DUMMYFUNCTION("""COMPUTED_VALUE"""),"Unlisted")</f>
        <v>Unlisted</v>
      </c>
      <c r="F1016" s="174" t="str">
        <f>IFERROR(__xludf.DUMMYFUNCTION("""COMPUTED_VALUE"""),"Unlisted")</f>
        <v>Unlisted</v>
      </c>
      <c r="G1016" s="174" t="str">
        <f>IFERROR(__xludf.DUMMYFUNCTION("""COMPUTED_VALUE"""),"Unlisted")</f>
        <v>Unlisted</v>
      </c>
      <c r="H1016" s="174" t="str">
        <f>IFERROR(__xludf.DUMMYFUNCTION("""COMPUTED_VALUE"""),"Unlisted")</f>
        <v>Unlisted</v>
      </c>
      <c r="I1016" s="174" t="str">
        <f>IFERROR(__xludf.DUMMYFUNCTION("""COMPUTED_VALUE"""),"Unlisted")</f>
        <v>Unlisted</v>
      </c>
      <c r="J1016" s="174" t="str">
        <f>IFERROR(__xludf.DUMMYFUNCTION("""COMPUTED_VALUE"""),"Unlisted")</f>
        <v>Unlisted</v>
      </c>
      <c r="K1016" s="174" t="str">
        <f>IFERROR(__xludf.DUMMYFUNCTION("""COMPUTED_VALUE"""),"Mastered")</f>
        <v>Mastered</v>
      </c>
      <c r="L1016" s="174" t="str">
        <f>IFERROR(__xludf.DUMMYFUNCTION("""COMPUTED_VALUE"""),"Proficient")</f>
        <v>Proficient</v>
      </c>
      <c r="M1016" s="174" t="str">
        <f>IFERROR(__xludf.DUMMYFUNCTION("""COMPUTED_VALUE"""),"Unlisted")</f>
        <v>Unlisted</v>
      </c>
      <c r="N1016" s="174" t="str">
        <f>IFERROR(__xludf.DUMMYFUNCTION("""COMPUTED_VALUE"""),"Unlisted")</f>
        <v>Unlisted</v>
      </c>
      <c r="O1016" s="174" t="str">
        <f>IFERROR(__xludf.DUMMYFUNCTION("""COMPUTED_VALUE"""),"Proficient")</f>
        <v>Proficient</v>
      </c>
      <c r="P1016" s="174" t="str">
        <f>IFERROR(__xludf.DUMMYFUNCTION("""COMPUTED_VALUE"""),"Unlisted")</f>
        <v>Unlisted</v>
      </c>
      <c r="Q1016" s="174" t="str">
        <f>IFERROR(__xludf.DUMMYFUNCTION("""COMPUTED_VALUE"""),"Unlisted")</f>
        <v>Unlisted</v>
      </c>
      <c r="R1016" s="174" t="str">
        <f>IFERROR(__xludf.DUMMYFUNCTION("""COMPUTED_VALUE"""),"Unlisted")</f>
        <v>Unlisted</v>
      </c>
    </row>
    <row r="1017">
      <c r="A1017" s="255" t="str">
        <f>IFERROR(__xludf.DUMMYFUNCTION("""COMPUTED_VALUE"""),"Absol")</f>
        <v>Absol</v>
      </c>
      <c r="B1017" s="174" t="str">
        <f>IFERROR(__xludf.DUMMYFUNCTION("""COMPUTED_VALUE"""),"Proficient")</f>
        <v>Proficient</v>
      </c>
      <c r="C1017" s="174" t="str">
        <f>IFERROR(__xludf.DUMMYFUNCTION("""COMPUTED_VALUE"""),"Unlisted")</f>
        <v>Unlisted</v>
      </c>
      <c r="D1017" s="174" t="str">
        <f>IFERROR(__xludf.DUMMYFUNCTION("""COMPUTED_VALUE"""),"Unlisted")</f>
        <v>Unlisted</v>
      </c>
      <c r="E1017" s="174" t="str">
        <f>IFERROR(__xludf.DUMMYFUNCTION("""COMPUTED_VALUE"""),"Proficient")</f>
        <v>Proficient</v>
      </c>
      <c r="F1017" s="174" t="str">
        <f>IFERROR(__xludf.DUMMYFUNCTION("""COMPUTED_VALUE"""),"Unlisted")</f>
        <v>Unlisted</v>
      </c>
      <c r="G1017" s="174" t="str">
        <f>IFERROR(__xludf.DUMMYFUNCTION("""COMPUTED_VALUE"""),"Unlisted")</f>
        <v>Unlisted</v>
      </c>
      <c r="H1017" s="174" t="str">
        <f>IFERROR(__xludf.DUMMYFUNCTION("""COMPUTED_VALUE"""),"Unlisted")</f>
        <v>Unlisted</v>
      </c>
      <c r="I1017" s="174" t="str">
        <f>IFERROR(__xludf.DUMMYFUNCTION("""COMPUTED_VALUE"""),"Unlisted")</f>
        <v>Unlisted</v>
      </c>
      <c r="J1017" s="174" t="str">
        <f>IFERROR(__xludf.DUMMYFUNCTION("""COMPUTED_VALUE"""),"Unlisted")</f>
        <v>Unlisted</v>
      </c>
      <c r="K1017" s="174" t="str">
        <f>IFERROR(__xludf.DUMMYFUNCTION("""COMPUTED_VALUE"""),"Unlisted")</f>
        <v>Unlisted</v>
      </c>
      <c r="L1017" s="174" t="str">
        <f>IFERROR(__xludf.DUMMYFUNCTION("""COMPUTED_VALUE"""),"Unlisted")</f>
        <v>Unlisted</v>
      </c>
      <c r="M1017" s="174" t="str">
        <f>IFERROR(__xludf.DUMMYFUNCTION("""COMPUTED_VALUE"""),"Unlisted")</f>
        <v>Unlisted</v>
      </c>
      <c r="N1017" s="174" t="str">
        <f>IFERROR(__xludf.DUMMYFUNCTION("""COMPUTED_VALUE"""),"Unlisted")</f>
        <v>Unlisted</v>
      </c>
      <c r="O1017" s="174" t="str">
        <f>IFERROR(__xludf.DUMMYFUNCTION("""COMPUTED_VALUE"""),"Unlisted")</f>
        <v>Unlisted</v>
      </c>
      <c r="P1017" s="174" t="str">
        <f>IFERROR(__xludf.DUMMYFUNCTION("""COMPUTED_VALUE"""),"Unlisted")</f>
        <v>Unlisted</v>
      </c>
      <c r="Q1017" s="174" t="str">
        <f>IFERROR(__xludf.DUMMYFUNCTION("""COMPUTED_VALUE"""),"Unlisted")</f>
        <v>Unlisted</v>
      </c>
      <c r="R1017" s="174" t="str">
        <f>IFERROR(__xludf.DUMMYFUNCTION("""COMPUTED_VALUE"""),"Unlisted")</f>
        <v>Unlisted</v>
      </c>
    </row>
    <row r="1018">
      <c r="A1018" s="255" t="str">
        <f>IFERROR(__xludf.DUMMYFUNCTION("""COMPUTED_VALUE"""),"Druddigon")</f>
        <v>Druddigon</v>
      </c>
      <c r="B1018" s="174" t="str">
        <f>IFERROR(__xludf.DUMMYFUNCTION("""COMPUTED_VALUE"""),"Unlisted")</f>
        <v>Unlisted</v>
      </c>
      <c r="C1018" s="174" t="str">
        <f>IFERROR(__xludf.DUMMYFUNCTION("""COMPUTED_VALUE"""),"Proficient")</f>
        <v>Proficient</v>
      </c>
      <c r="D1018" s="174" t="str">
        <f>IFERROR(__xludf.DUMMYFUNCTION("""COMPUTED_VALUE"""),"Inept")</f>
        <v>Inept</v>
      </c>
      <c r="E1018" s="174" t="str">
        <f>IFERROR(__xludf.DUMMYFUNCTION("""COMPUTED_VALUE"""),"Mastered")</f>
        <v>Mastered</v>
      </c>
      <c r="F1018" s="174" t="str">
        <f>IFERROR(__xludf.DUMMYFUNCTION("""COMPUTED_VALUE"""),"Unlisted")</f>
        <v>Unlisted</v>
      </c>
      <c r="G1018" s="174" t="str">
        <f>IFERROR(__xludf.DUMMYFUNCTION("""COMPUTED_VALUE"""),"Unlisted")</f>
        <v>Unlisted</v>
      </c>
      <c r="H1018" s="174" t="str">
        <f>IFERROR(__xludf.DUMMYFUNCTION("""COMPUTED_VALUE"""),"Unlisted")</f>
        <v>Unlisted</v>
      </c>
      <c r="I1018" s="174" t="str">
        <f>IFERROR(__xludf.DUMMYFUNCTION("""COMPUTED_VALUE"""),"Proficient")</f>
        <v>Proficient</v>
      </c>
      <c r="J1018" s="174" t="str">
        <f>IFERROR(__xludf.DUMMYFUNCTION("""COMPUTED_VALUE"""),"Unlisted")</f>
        <v>Unlisted</v>
      </c>
      <c r="K1018" s="174" t="str">
        <f>IFERROR(__xludf.DUMMYFUNCTION("""COMPUTED_VALUE"""),"Unlisted")</f>
        <v>Unlisted</v>
      </c>
      <c r="L1018" s="174" t="str">
        <f>IFERROR(__xludf.DUMMYFUNCTION("""COMPUTED_VALUE"""),"Unlisted")</f>
        <v>Unlisted</v>
      </c>
      <c r="M1018" s="174" t="str">
        <f>IFERROR(__xludf.DUMMYFUNCTION("""COMPUTED_VALUE"""),"Unlisted")</f>
        <v>Unlisted</v>
      </c>
      <c r="N1018" s="174" t="str">
        <f>IFERROR(__xludf.DUMMYFUNCTION("""COMPUTED_VALUE"""),"Unlisted")</f>
        <v>Unlisted</v>
      </c>
      <c r="O1018" s="174" t="str">
        <f>IFERROR(__xludf.DUMMYFUNCTION("""COMPUTED_VALUE"""),"Proficient")</f>
        <v>Proficient</v>
      </c>
      <c r="P1018" s="174" t="str">
        <f>IFERROR(__xludf.DUMMYFUNCTION("""COMPUTED_VALUE"""),"Unlisted")</f>
        <v>Unlisted</v>
      </c>
      <c r="Q1018" s="174" t="str">
        <f>IFERROR(__xludf.DUMMYFUNCTION("""COMPUTED_VALUE"""),"Unlisted")</f>
        <v>Unlisted</v>
      </c>
      <c r="R1018" s="174" t="str">
        <f>IFERROR(__xludf.DUMMYFUNCTION("""COMPUTED_VALUE"""),"Unlisted")</f>
        <v>Unlisted</v>
      </c>
    </row>
    <row r="1019">
      <c r="A1019" s="255" t="str">
        <f>IFERROR(__xludf.DUMMYFUNCTION("""COMPUTED_VALUE"""),"Tatsugiri")</f>
        <v>Tatsugiri</v>
      </c>
      <c r="B1019" s="174" t="str">
        <f>IFERROR(__xludf.DUMMYFUNCTION("""COMPUTED_VALUE"""),"Mastered")</f>
        <v>Mastered</v>
      </c>
      <c r="C1019" s="174" t="str">
        <f>IFERROR(__xludf.DUMMYFUNCTION("""COMPUTED_VALUE"""),"Inept")</f>
        <v>Inept</v>
      </c>
      <c r="D1019" s="174" t="str">
        <f>IFERROR(__xludf.DUMMYFUNCTION("""COMPUTED_VALUE"""),"Unlisted")</f>
        <v>Unlisted</v>
      </c>
      <c r="E1019" s="174" t="str">
        <f>IFERROR(__xludf.DUMMYFUNCTION("""COMPUTED_VALUE"""),"Unlisted")</f>
        <v>Unlisted</v>
      </c>
      <c r="F1019" s="174" t="str">
        <f>IFERROR(__xludf.DUMMYFUNCTION("""COMPUTED_VALUE"""),"Proficient")</f>
        <v>Proficient</v>
      </c>
      <c r="G1019" s="174" t="str">
        <f>IFERROR(__xludf.DUMMYFUNCTION("""COMPUTED_VALUE"""),"Unlisted")</f>
        <v>Unlisted</v>
      </c>
      <c r="H1019" s="174" t="str">
        <f>IFERROR(__xludf.DUMMYFUNCTION("""COMPUTED_VALUE"""),"Unlisted")</f>
        <v>Unlisted</v>
      </c>
      <c r="I1019" s="174" t="str">
        <f>IFERROR(__xludf.DUMMYFUNCTION("""COMPUTED_VALUE"""),"Unlisted")</f>
        <v>Unlisted</v>
      </c>
      <c r="J1019" s="174" t="str">
        <f>IFERROR(__xludf.DUMMYFUNCTION("""COMPUTED_VALUE"""),"Proficient")</f>
        <v>Proficient</v>
      </c>
      <c r="K1019" s="174" t="str">
        <f>IFERROR(__xludf.DUMMYFUNCTION("""COMPUTED_VALUE"""),"Unlisted")</f>
        <v>Unlisted</v>
      </c>
      <c r="L1019" s="174" t="str">
        <f>IFERROR(__xludf.DUMMYFUNCTION("""COMPUTED_VALUE"""),"Proficient")</f>
        <v>Proficient</v>
      </c>
      <c r="M1019" s="174" t="str">
        <f>IFERROR(__xludf.DUMMYFUNCTION("""COMPUTED_VALUE"""),"Unlisted")</f>
        <v>Unlisted</v>
      </c>
      <c r="N1019" s="174" t="str">
        <f>IFERROR(__xludf.DUMMYFUNCTION("""COMPUTED_VALUE"""),"Unlisted")</f>
        <v>Unlisted</v>
      </c>
      <c r="O1019" s="174" t="str">
        <f>IFERROR(__xludf.DUMMYFUNCTION("""COMPUTED_VALUE"""),"Inept")</f>
        <v>Inept</v>
      </c>
      <c r="P1019" s="174" t="str">
        <f>IFERROR(__xludf.DUMMYFUNCTION("""COMPUTED_VALUE"""),"Unlisted")</f>
        <v>Unlisted</v>
      </c>
      <c r="Q1019" s="174" t="str">
        <f>IFERROR(__xludf.DUMMYFUNCTION("""COMPUTED_VALUE"""),"Unlisted")</f>
        <v>Unlisted</v>
      </c>
      <c r="R1019" s="174" t="str">
        <f>IFERROR(__xludf.DUMMYFUNCTION("""COMPUTED_VALUE"""),"Unlisted")</f>
        <v>Unlisted</v>
      </c>
    </row>
    <row r="1020">
      <c r="A1020" s="255" t="str">
        <f>IFERROR(__xludf.DUMMYFUNCTION("""COMPUTED_VALUE"""),"Cyclizar")</f>
        <v>Cyclizar</v>
      </c>
      <c r="B1020" s="174" t="str">
        <f>IFERROR(__xludf.DUMMYFUNCTION("""COMPUTED_VALUE"""),"Mastered")</f>
        <v>Mastered</v>
      </c>
      <c r="C1020" s="174" t="str">
        <f>IFERROR(__xludf.DUMMYFUNCTION("""COMPUTED_VALUE"""),"Unlisted")</f>
        <v>Unlisted</v>
      </c>
      <c r="D1020" s="174" t="str">
        <f>IFERROR(__xludf.DUMMYFUNCTION("""COMPUTED_VALUE"""),"Unlisted")</f>
        <v>Unlisted</v>
      </c>
      <c r="E1020" s="174" t="str">
        <f>IFERROR(__xludf.DUMMYFUNCTION("""COMPUTED_VALUE"""),"Proficient")</f>
        <v>Proficient</v>
      </c>
      <c r="F1020" s="174" t="str">
        <f>IFERROR(__xludf.DUMMYFUNCTION("""COMPUTED_VALUE"""),"Unlisted")</f>
        <v>Unlisted</v>
      </c>
      <c r="G1020" s="174" t="str">
        <f>IFERROR(__xludf.DUMMYFUNCTION("""COMPUTED_VALUE"""),"Unlisted")</f>
        <v>Unlisted</v>
      </c>
      <c r="H1020" s="174" t="str">
        <f>IFERROR(__xludf.DUMMYFUNCTION("""COMPUTED_VALUE"""),"Unlisted")</f>
        <v>Unlisted</v>
      </c>
      <c r="I1020" s="174" t="str">
        <f>IFERROR(__xludf.DUMMYFUNCTION("""COMPUTED_VALUE"""),"Unlisted")</f>
        <v>Unlisted</v>
      </c>
      <c r="J1020" s="174" t="str">
        <f>IFERROR(__xludf.DUMMYFUNCTION("""COMPUTED_VALUE"""),"Unlisted")</f>
        <v>Unlisted</v>
      </c>
      <c r="K1020" s="174" t="str">
        <f>IFERROR(__xludf.DUMMYFUNCTION("""COMPUTED_VALUE"""),"Proficient")</f>
        <v>Proficient</v>
      </c>
      <c r="L1020" s="174" t="str">
        <f>IFERROR(__xludf.DUMMYFUNCTION("""COMPUTED_VALUE"""),"Unlisted")</f>
        <v>Unlisted</v>
      </c>
      <c r="M1020" s="174" t="str">
        <f>IFERROR(__xludf.DUMMYFUNCTION("""COMPUTED_VALUE"""),"Unlisted")</f>
        <v>Unlisted</v>
      </c>
      <c r="N1020" s="174" t="str">
        <f>IFERROR(__xludf.DUMMYFUNCTION("""COMPUTED_VALUE"""),"Unlisted")</f>
        <v>Unlisted</v>
      </c>
      <c r="O1020" s="174" t="str">
        <f>IFERROR(__xludf.DUMMYFUNCTION("""COMPUTED_VALUE"""),"Unlisted")</f>
        <v>Unlisted</v>
      </c>
      <c r="P1020" s="174" t="str">
        <f>IFERROR(__xludf.DUMMYFUNCTION("""COMPUTED_VALUE"""),"Unlisted")</f>
        <v>Unlisted</v>
      </c>
      <c r="Q1020" s="174" t="str">
        <f>IFERROR(__xludf.DUMMYFUNCTION("""COMPUTED_VALUE"""),"Unlisted")</f>
        <v>Unlisted</v>
      </c>
      <c r="R1020" s="174" t="str">
        <f>IFERROR(__xludf.DUMMYFUNCTION("""COMPUTED_VALUE"""),"Unlisted")</f>
        <v>Unlisted</v>
      </c>
    </row>
    <row r="1021">
      <c r="A1021" s="255" t="str">
        <f>IFERROR(__xludf.DUMMYFUNCTION("""COMPUTED_VALUE"""),"Plusle")</f>
        <v>Plusle</v>
      </c>
      <c r="B1021" s="174" t="str">
        <f>IFERROR(__xludf.DUMMYFUNCTION("""COMPUTED_VALUE"""),"Proficient")</f>
        <v>Proficient</v>
      </c>
      <c r="C1021" s="174" t="str">
        <f>IFERROR(__xludf.DUMMYFUNCTION("""COMPUTED_VALUE"""),"Unlisted")</f>
        <v>Unlisted</v>
      </c>
      <c r="D1021" s="174" t="str">
        <f>IFERROR(__xludf.DUMMYFUNCTION("""COMPUTED_VALUE"""),"Proficient")</f>
        <v>Proficient</v>
      </c>
      <c r="E1021" s="174" t="str">
        <f>IFERROR(__xludf.DUMMYFUNCTION("""COMPUTED_VALUE"""),"Unlisted")</f>
        <v>Unlisted</v>
      </c>
      <c r="F1021" s="174" t="str">
        <f>IFERROR(__xludf.DUMMYFUNCTION("""COMPUTED_VALUE"""),"Unlisted")</f>
        <v>Unlisted</v>
      </c>
      <c r="G1021" s="174" t="str">
        <f>IFERROR(__xludf.DUMMYFUNCTION("""COMPUTED_VALUE"""),"Unlisted")</f>
        <v>Unlisted</v>
      </c>
      <c r="H1021" s="174" t="str">
        <f>IFERROR(__xludf.DUMMYFUNCTION("""COMPUTED_VALUE"""),"Unlisted")</f>
        <v>Unlisted</v>
      </c>
      <c r="I1021" s="174" t="str">
        <f>IFERROR(__xludf.DUMMYFUNCTION("""COMPUTED_VALUE"""),"Unlisted")</f>
        <v>Unlisted</v>
      </c>
      <c r="J1021" s="174" t="str">
        <f>IFERROR(__xludf.DUMMYFUNCTION("""COMPUTED_VALUE"""),"Unlisted")</f>
        <v>Unlisted</v>
      </c>
      <c r="K1021" s="174" t="str">
        <f>IFERROR(__xludf.DUMMYFUNCTION("""COMPUTED_VALUE"""),"Unlisted")</f>
        <v>Unlisted</v>
      </c>
      <c r="L1021" s="174" t="str">
        <f>IFERROR(__xludf.DUMMYFUNCTION("""COMPUTED_VALUE"""),"Unlisted")</f>
        <v>Unlisted</v>
      </c>
      <c r="M1021" s="174" t="str">
        <f>IFERROR(__xludf.DUMMYFUNCTION("""COMPUTED_VALUE"""),"Unlisted")</f>
        <v>Unlisted</v>
      </c>
      <c r="N1021" s="174" t="str">
        <f>IFERROR(__xludf.DUMMYFUNCTION("""COMPUTED_VALUE"""),"Unlisted")</f>
        <v>Unlisted</v>
      </c>
      <c r="O1021" s="174" t="str">
        <f>IFERROR(__xludf.DUMMYFUNCTION("""COMPUTED_VALUE"""),"Unlisted")</f>
        <v>Unlisted</v>
      </c>
      <c r="P1021" s="174" t="str">
        <f>IFERROR(__xludf.DUMMYFUNCTION("""COMPUTED_VALUE"""),"Unlisted")</f>
        <v>Unlisted</v>
      </c>
      <c r="Q1021" s="174" t="str">
        <f>IFERROR(__xludf.DUMMYFUNCTION("""COMPUTED_VALUE"""),"Unlisted")</f>
        <v>Unlisted</v>
      </c>
      <c r="R1021" s="174" t="str">
        <f>IFERROR(__xludf.DUMMYFUNCTION("""COMPUTED_VALUE"""),"Unlisted")</f>
        <v>Unlisted</v>
      </c>
    </row>
    <row r="1022">
      <c r="A1022" s="255" t="str">
        <f>IFERROR(__xludf.DUMMYFUNCTION("""COMPUTED_VALUE"""),"Minun")</f>
        <v>Minun</v>
      </c>
      <c r="B1022" s="174" t="str">
        <f>IFERROR(__xludf.DUMMYFUNCTION("""COMPUTED_VALUE"""),"Proficient")</f>
        <v>Proficient</v>
      </c>
      <c r="C1022" s="174" t="str">
        <f>IFERROR(__xludf.DUMMYFUNCTION("""COMPUTED_VALUE"""),"Unlisted")</f>
        <v>Unlisted</v>
      </c>
      <c r="D1022" s="174" t="str">
        <f>IFERROR(__xludf.DUMMYFUNCTION("""COMPUTED_VALUE"""),"Proficient")</f>
        <v>Proficient</v>
      </c>
      <c r="E1022" s="174" t="str">
        <f>IFERROR(__xludf.DUMMYFUNCTION("""COMPUTED_VALUE"""),"Unlisted")</f>
        <v>Unlisted</v>
      </c>
      <c r="F1022" s="174" t="str">
        <f>IFERROR(__xludf.DUMMYFUNCTION("""COMPUTED_VALUE"""),"Unlisted")</f>
        <v>Unlisted</v>
      </c>
      <c r="G1022" s="174" t="str">
        <f>IFERROR(__xludf.DUMMYFUNCTION("""COMPUTED_VALUE"""),"Unlisted")</f>
        <v>Unlisted</v>
      </c>
      <c r="H1022" s="174" t="str">
        <f>IFERROR(__xludf.DUMMYFUNCTION("""COMPUTED_VALUE"""),"Unlisted")</f>
        <v>Unlisted</v>
      </c>
      <c r="I1022" s="174" t="str">
        <f>IFERROR(__xludf.DUMMYFUNCTION("""COMPUTED_VALUE"""),"Unlisted")</f>
        <v>Unlisted</v>
      </c>
      <c r="J1022" s="174" t="str">
        <f>IFERROR(__xludf.DUMMYFUNCTION("""COMPUTED_VALUE"""),"Unlisted")</f>
        <v>Unlisted</v>
      </c>
      <c r="K1022" s="174" t="str">
        <f>IFERROR(__xludf.DUMMYFUNCTION("""COMPUTED_VALUE"""),"Unlisted")</f>
        <v>Unlisted</v>
      </c>
      <c r="L1022" s="174" t="str">
        <f>IFERROR(__xludf.DUMMYFUNCTION("""COMPUTED_VALUE"""),"Unlisted")</f>
        <v>Unlisted</v>
      </c>
      <c r="M1022" s="174" t="str">
        <f>IFERROR(__xludf.DUMMYFUNCTION("""COMPUTED_VALUE"""),"Unlisted")</f>
        <v>Unlisted</v>
      </c>
      <c r="N1022" s="174" t="str">
        <f>IFERROR(__xludf.DUMMYFUNCTION("""COMPUTED_VALUE"""),"Unlisted")</f>
        <v>Unlisted</v>
      </c>
      <c r="O1022" s="174" t="str">
        <f>IFERROR(__xludf.DUMMYFUNCTION("""COMPUTED_VALUE"""),"Unlisted")</f>
        <v>Unlisted</v>
      </c>
      <c r="P1022" s="174" t="str">
        <f>IFERROR(__xludf.DUMMYFUNCTION("""COMPUTED_VALUE"""),"Unlisted")</f>
        <v>Unlisted</v>
      </c>
      <c r="Q1022" s="174" t="str">
        <f>IFERROR(__xludf.DUMMYFUNCTION("""COMPUTED_VALUE"""),"Unlisted")</f>
        <v>Unlisted</v>
      </c>
      <c r="R1022" s="174" t="str">
        <f>IFERROR(__xludf.DUMMYFUNCTION("""COMPUTED_VALUE"""),"Unlisted")</f>
        <v>Unlisted</v>
      </c>
    </row>
    <row r="1023">
      <c r="A1023" s="255" t="str">
        <f>IFERROR(__xludf.DUMMYFUNCTION("""COMPUTED_VALUE"""),"Pachirisu")</f>
        <v>Pachirisu</v>
      </c>
      <c r="B1023" s="174" t="str">
        <f>IFERROR(__xludf.DUMMYFUNCTION("""COMPUTED_VALUE"""),"Proficient")</f>
        <v>Proficient</v>
      </c>
      <c r="C1023" s="174" t="str">
        <f>IFERROR(__xludf.DUMMYFUNCTION("""COMPUTED_VALUE"""),"Unlisted")</f>
        <v>Unlisted</v>
      </c>
      <c r="D1023" s="174" t="str">
        <f>IFERROR(__xludf.DUMMYFUNCTION("""COMPUTED_VALUE"""),"Unlisted")</f>
        <v>Unlisted</v>
      </c>
      <c r="E1023" s="174" t="str">
        <f>IFERROR(__xludf.DUMMYFUNCTION("""COMPUTED_VALUE"""),"Inept")</f>
        <v>Inept</v>
      </c>
      <c r="F1023" s="174" t="str">
        <f>IFERROR(__xludf.DUMMYFUNCTION("""COMPUTED_VALUE"""),"Unlisted")</f>
        <v>Unlisted</v>
      </c>
      <c r="G1023" s="174" t="str">
        <f>IFERROR(__xludf.DUMMYFUNCTION("""COMPUTED_VALUE"""),"Unlisted")</f>
        <v>Unlisted</v>
      </c>
      <c r="H1023" s="174" t="str">
        <f>IFERROR(__xludf.DUMMYFUNCTION("""COMPUTED_VALUE"""),"Unlisted")</f>
        <v>Unlisted</v>
      </c>
      <c r="I1023" s="174" t="str">
        <f>IFERROR(__xludf.DUMMYFUNCTION("""COMPUTED_VALUE"""),"Unlisted")</f>
        <v>Unlisted</v>
      </c>
      <c r="J1023" s="174" t="str">
        <f>IFERROR(__xludf.DUMMYFUNCTION("""COMPUTED_VALUE"""),"Unlisted")</f>
        <v>Unlisted</v>
      </c>
      <c r="K1023" s="174" t="str">
        <f>IFERROR(__xludf.DUMMYFUNCTION("""COMPUTED_VALUE"""),"Unlisted")</f>
        <v>Unlisted</v>
      </c>
      <c r="L1023" s="174" t="str">
        <f>IFERROR(__xludf.DUMMYFUNCTION("""COMPUTED_VALUE"""),"Proficient")</f>
        <v>Proficient</v>
      </c>
      <c r="M1023" s="174" t="str">
        <f>IFERROR(__xludf.DUMMYFUNCTION("""COMPUTED_VALUE"""),"Unlisted")</f>
        <v>Unlisted</v>
      </c>
      <c r="N1023" s="174" t="str">
        <f>IFERROR(__xludf.DUMMYFUNCTION("""COMPUTED_VALUE"""),"Unlisted")</f>
        <v>Unlisted</v>
      </c>
      <c r="O1023" s="174" t="str">
        <f>IFERROR(__xludf.DUMMYFUNCTION("""COMPUTED_VALUE"""),"Proficient")</f>
        <v>Proficient</v>
      </c>
      <c r="P1023" s="174" t="str">
        <f>IFERROR(__xludf.DUMMYFUNCTION("""COMPUTED_VALUE"""),"Unlisted")</f>
        <v>Unlisted</v>
      </c>
      <c r="Q1023" s="174" t="str">
        <f>IFERROR(__xludf.DUMMYFUNCTION("""COMPUTED_VALUE"""),"Unlisted")</f>
        <v>Unlisted</v>
      </c>
      <c r="R1023" s="174" t="str">
        <f>IFERROR(__xludf.DUMMYFUNCTION("""COMPUTED_VALUE"""),"Unlisted")</f>
        <v>Unlisted</v>
      </c>
    </row>
    <row r="1024">
      <c r="A1024" s="255" t="str">
        <f>IFERROR(__xludf.DUMMYFUNCTION("""COMPUTED_VALUE"""),"Rotom")</f>
        <v>Rotom</v>
      </c>
      <c r="B1024" s="174" t="str">
        <f>IFERROR(__xludf.DUMMYFUNCTION("""COMPUTED_VALUE"""),"Proficient")</f>
        <v>Proficient</v>
      </c>
      <c r="C1024" s="174" t="str">
        <f>IFERROR(__xludf.DUMMYFUNCTION("""COMPUTED_VALUE"""),"Inept")</f>
        <v>Inept</v>
      </c>
      <c r="D1024" s="174" t="str">
        <f>IFERROR(__xludf.DUMMYFUNCTION("""COMPUTED_VALUE"""),"Unlisted")</f>
        <v>Unlisted</v>
      </c>
      <c r="E1024" s="174" t="str">
        <f>IFERROR(__xludf.DUMMYFUNCTION("""COMPUTED_VALUE"""),"Unlisted")</f>
        <v>Unlisted</v>
      </c>
      <c r="F1024" s="174" t="str">
        <f>IFERROR(__xludf.DUMMYFUNCTION("""COMPUTED_VALUE"""),"Unlisted")</f>
        <v>Unlisted</v>
      </c>
      <c r="G1024" s="174" t="str">
        <f>IFERROR(__xludf.DUMMYFUNCTION("""COMPUTED_VALUE"""),"Proficient")</f>
        <v>Proficient</v>
      </c>
      <c r="H1024" s="174" t="str">
        <f>IFERROR(__xludf.DUMMYFUNCTION("""COMPUTED_VALUE"""),"Proficient")</f>
        <v>Proficient</v>
      </c>
      <c r="I1024" s="174" t="str">
        <f>IFERROR(__xludf.DUMMYFUNCTION("""COMPUTED_VALUE"""),"Unlisted")</f>
        <v>Unlisted</v>
      </c>
      <c r="J1024" s="174" t="str">
        <f>IFERROR(__xludf.DUMMYFUNCTION("""COMPUTED_VALUE"""),"Unlisted")</f>
        <v>Unlisted</v>
      </c>
      <c r="K1024" s="174" t="str">
        <f>IFERROR(__xludf.DUMMYFUNCTION("""COMPUTED_VALUE"""),"Unlisted")</f>
        <v>Unlisted</v>
      </c>
      <c r="L1024" s="174" t="str">
        <f>IFERROR(__xludf.DUMMYFUNCTION("""COMPUTED_VALUE"""),"Mastered")</f>
        <v>Mastered</v>
      </c>
      <c r="M1024" s="174" t="str">
        <f>IFERROR(__xludf.DUMMYFUNCTION("""COMPUTED_VALUE"""),"Unlisted")</f>
        <v>Unlisted</v>
      </c>
      <c r="N1024" s="174" t="str">
        <f>IFERROR(__xludf.DUMMYFUNCTION("""COMPUTED_VALUE"""),"Unlisted")</f>
        <v>Unlisted</v>
      </c>
      <c r="O1024" s="174" t="str">
        <f>IFERROR(__xludf.DUMMYFUNCTION("""COMPUTED_VALUE"""),"Unlisted")</f>
        <v>Unlisted</v>
      </c>
      <c r="P1024" s="174" t="str">
        <f>IFERROR(__xludf.DUMMYFUNCTION("""COMPUTED_VALUE"""),"Unlisted")</f>
        <v>Unlisted</v>
      </c>
      <c r="Q1024" s="174" t="str">
        <f>IFERROR(__xludf.DUMMYFUNCTION("""COMPUTED_VALUE"""),"Unlisted")</f>
        <v>Unlisted</v>
      </c>
      <c r="R1024" s="174" t="str">
        <f>IFERROR(__xludf.DUMMYFUNCTION("""COMPUTED_VALUE"""),"Unlisted")</f>
        <v>Unlisted</v>
      </c>
    </row>
    <row r="1025">
      <c r="A1025" s="255" t="str">
        <f>IFERROR(__xludf.DUMMYFUNCTION("""COMPUTED_VALUE"""),"Rotom Heat")</f>
        <v>Rotom Heat</v>
      </c>
      <c r="B1025" s="174" t="str">
        <f>IFERROR(__xludf.DUMMYFUNCTION("""COMPUTED_VALUE"""),"Proficient")</f>
        <v>Proficient</v>
      </c>
      <c r="C1025" s="174" t="str">
        <f>IFERROR(__xludf.DUMMYFUNCTION("""COMPUTED_VALUE"""),"Inept")</f>
        <v>Inept</v>
      </c>
      <c r="D1025" s="174" t="str">
        <f>IFERROR(__xludf.DUMMYFUNCTION("""COMPUTED_VALUE"""),"Unlisted")</f>
        <v>Unlisted</v>
      </c>
      <c r="E1025" s="174" t="str">
        <f>IFERROR(__xludf.DUMMYFUNCTION("""COMPUTED_VALUE"""),"Unlisted")</f>
        <v>Unlisted</v>
      </c>
      <c r="F1025" s="174" t="str">
        <f>IFERROR(__xludf.DUMMYFUNCTION("""COMPUTED_VALUE"""),"Unlisted")</f>
        <v>Unlisted</v>
      </c>
      <c r="G1025" s="174" t="str">
        <f>IFERROR(__xludf.DUMMYFUNCTION("""COMPUTED_VALUE"""),"Proficient")</f>
        <v>Proficient</v>
      </c>
      <c r="H1025" s="174" t="str">
        <f>IFERROR(__xludf.DUMMYFUNCTION("""COMPUTED_VALUE"""),"Proficient")</f>
        <v>Proficient</v>
      </c>
      <c r="I1025" s="174" t="str">
        <f>IFERROR(__xludf.DUMMYFUNCTION("""COMPUTED_VALUE"""),"Unlisted")</f>
        <v>Unlisted</v>
      </c>
      <c r="J1025" s="174" t="str">
        <f>IFERROR(__xludf.DUMMYFUNCTION("""COMPUTED_VALUE"""),"Unlisted")</f>
        <v>Unlisted</v>
      </c>
      <c r="K1025" s="174" t="str">
        <f>IFERROR(__xludf.DUMMYFUNCTION("""COMPUTED_VALUE"""),"Unlisted")</f>
        <v>Unlisted</v>
      </c>
      <c r="L1025" s="174" t="str">
        <f>IFERROR(__xludf.DUMMYFUNCTION("""COMPUTED_VALUE"""),"Mastered")</f>
        <v>Mastered</v>
      </c>
      <c r="M1025" s="174" t="str">
        <f>IFERROR(__xludf.DUMMYFUNCTION("""COMPUTED_VALUE"""),"Unlisted")</f>
        <v>Unlisted</v>
      </c>
      <c r="N1025" s="174" t="str">
        <f>IFERROR(__xludf.DUMMYFUNCTION("""COMPUTED_VALUE"""),"Unlisted")</f>
        <v>Unlisted</v>
      </c>
      <c r="O1025" s="174" t="str">
        <f>IFERROR(__xludf.DUMMYFUNCTION("""COMPUTED_VALUE"""),"Unlisted")</f>
        <v>Unlisted</v>
      </c>
      <c r="P1025" s="174" t="str">
        <f>IFERROR(__xludf.DUMMYFUNCTION("""COMPUTED_VALUE"""),"Unlisted")</f>
        <v>Unlisted</v>
      </c>
      <c r="Q1025" s="174" t="str">
        <f>IFERROR(__xludf.DUMMYFUNCTION("""COMPUTED_VALUE"""),"Unlisted")</f>
        <v>Unlisted</v>
      </c>
      <c r="R1025" s="174" t="str">
        <f>IFERROR(__xludf.DUMMYFUNCTION("""COMPUTED_VALUE"""),"Unlisted")</f>
        <v>Unlisted</v>
      </c>
    </row>
    <row r="1026">
      <c r="A1026" s="255" t="str">
        <f>IFERROR(__xludf.DUMMYFUNCTION("""COMPUTED_VALUE"""),"Rotom Wash")</f>
        <v>Rotom Wash</v>
      </c>
      <c r="B1026" s="174" t="str">
        <f>IFERROR(__xludf.DUMMYFUNCTION("""COMPUTED_VALUE"""),"Proficient")</f>
        <v>Proficient</v>
      </c>
      <c r="C1026" s="174" t="str">
        <f>IFERROR(__xludf.DUMMYFUNCTION("""COMPUTED_VALUE"""),"Inept")</f>
        <v>Inept</v>
      </c>
      <c r="D1026" s="174" t="str">
        <f>IFERROR(__xludf.DUMMYFUNCTION("""COMPUTED_VALUE"""),"Unlisted")</f>
        <v>Unlisted</v>
      </c>
      <c r="E1026" s="174" t="str">
        <f>IFERROR(__xludf.DUMMYFUNCTION("""COMPUTED_VALUE"""),"Unlisted")</f>
        <v>Unlisted</v>
      </c>
      <c r="F1026" s="174" t="str">
        <f>IFERROR(__xludf.DUMMYFUNCTION("""COMPUTED_VALUE"""),"Unlisted")</f>
        <v>Unlisted</v>
      </c>
      <c r="G1026" s="174" t="str">
        <f>IFERROR(__xludf.DUMMYFUNCTION("""COMPUTED_VALUE"""),"Proficient")</f>
        <v>Proficient</v>
      </c>
      <c r="H1026" s="174" t="str">
        <f>IFERROR(__xludf.DUMMYFUNCTION("""COMPUTED_VALUE"""),"Proficient")</f>
        <v>Proficient</v>
      </c>
      <c r="I1026" s="174" t="str">
        <f>IFERROR(__xludf.DUMMYFUNCTION("""COMPUTED_VALUE"""),"Unlisted")</f>
        <v>Unlisted</v>
      </c>
      <c r="J1026" s="174" t="str">
        <f>IFERROR(__xludf.DUMMYFUNCTION("""COMPUTED_VALUE"""),"Unlisted")</f>
        <v>Unlisted</v>
      </c>
      <c r="K1026" s="174" t="str">
        <f>IFERROR(__xludf.DUMMYFUNCTION("""COMPUTED_VALUE"""),"Unlisted")</f>
        <v>Unlisted</v>
      </c>
      <c r="L1026" s="174" t="str">
        <f>IFERROR(__xludf.DUMMYFUNCTION("""COMPUTED_VALUE"""),"Mastered")</f>
        <v>Mastered</v>
      </c>
      <c r="M1026" s="174" t="str">
        <f>IFERROR(__xludf.DUMMYFUNCTION("""COMPUTED_VALUE"""),"Unlisted")</f>
        <v>Unlisted</v>
      </c>
      <c r="N1026" s="174" t="str">
        <f>IFERROR(__xludf.DUMMYFUNCTION("""COMPUTED_VALUE"""),"Unlisted")</f>
        <v>Unlisted</v>
      </c>
      <c r="O1026" s="174" t="str">
        <f>IFERROR(__xludf.DUMMYFUNCTION("""COMPUTED_VALUE"""),"Unlisted")</f>
        <v>Unlisted</v>
      </c>
      <c r="P1026" s="174" t="str">
        <f>IFERROR(__xludf.DUMMYFUNCTION("""COMPUTED_VALUE"""),"Unlisted")</f>
        <v>Unlisted</v>
      </c>
      <c r="Q1026" s="174" t="str">
        <f>IFERROR(__xludf.DUMMYFUNCTION("""COMPUTED_VALUE"""),"Unlisted")</f>
        <v>Unlisted</v>
      </c>
      <c r="R1026" s="174" t="str">
        <f>IFERROR(__xludf.DUMMYFUNCTION("""COMPUTED_VALUE"""),"Unlisted")</f>
        <v>Unlisted</v>
      </c>
    </row>
    <row r="1027">
      <c r="A1027" s="255" t="str">
        <f>IFERROR(__xludf.DUMMYFUNCTION("""COMPUTED_VALUE"""),"Rotom Frost")</f>
        <v>Rotom Frost</v>
      </c>
      <c r="B1027" s="174" t="str">
        <f>IFERROR(__xludf.DUMMYFUNCTION("""COMPUTED_VALUE"""),"Proficient")</f>
        <v>Proficient</v>
      </c>
      <c r="C1027" s="174" t="str">
        <f>IFERROR(__xludf.DUMMYFUNCTION("""COMPUTED_VALUE"""),"Inept")</f>
        <v>Inept</v>
      </c>
      <c r="D1027" s="174" t="str">
        <f>IFERROR(__xludf.DUMMYFUNCTION("""COMPUTED_VALUE"""),"Unlisted")</f>
        <v>Unlisted</v>
      </c>
      <c r="E1027" s="174" t="str">
        <f>IFERROR(__xludf.DUMMYFUNCTION("""COMPUTED_VALUE"""),"Unlisted")</f>
        <v>Unlisted</v>
      </c>
      <c r="F1027" s="174" t="str">
        <f>IFERROR(__xludf.DUMMYFUNCTION("""COMPUTED_VALUE"""),"Unlisted")</f>
        <v>Unlisted</v>
      </c>
      <c r="G1027" s="174" t="str">
        <f>IFERROR(__xludf.DUMMYFUNCTION("""COMPUTED_VALUE"""),"Proficient")</f>
        <v>Proficient</v>
      </c>
      <c r="H1027" s="174" t="str">
        <f>IFERROR(__xludf.DUMMYFUNCTION("""COMPUTED_VALUE"""),"Proficient")</f>
        <v>Proficient</v>
      </c>
      <c r="I1027" s="174" t="str">
        <f>IFERROR(__xludf.DUMMYFUNCTION("""COMPUTED_VALUE"""),"Unlisted")</f>
        <v>Unlisted</v>
      </c>
      <c r="J1027" s="174" t="str">
        <f>IFERROR(__xludf.DUMMYFUNCTION("""COMPUTED_VALUE"""),"Unlisted")</f>
        <v>Unlisted</v>
      </c>
      <c r="K1027" s="174" t="str">
        <f>IFERROR(__xludf.DUMMYFUNCTION("""COMPUTED_VALUE"""),"Unlisted")</f>
        <v>Unlisted</v>
      </c>
      <c r="L1027" s="174" t="str">
        <f>IFERROR(__xludf.DUMMYFUNCTION("""COMPUTED_VALUE"""),"Mastered")</f>
        <v>Mastered</v>
      </c>
      <c r="M1027" s="174" t="str">
        <f>IFERROR(__xludf.DUMMYFUNCTION("""COMPUTED_VALUE"""),"Unlisted")</f>
        <v>Unlisted</v>
      </c>
      <c r="N1027" s="174" t="str">
        <f>IFERROR(__xludf.DUMMYFUNCTION("""COMPUTED_VALUE"""),"Unlisted")</f>
        <v>Unlisted</v>
      </c>
      <c r="O1027" s="174" t="str">
        <f>IFERROR(__xludf.DUMMYFUNCTION("""COMPUTED_VALUE"""),"Unlisted")</f>
        <v>Unlisted</v>
      </c>
      <c r="P1027" s="174" t="str">
        <f>IFERROR(__xludf.DUMMYFUNCTION("""COMPUTED_VALUE"""),"Unlisted")</f>
        <v>Unlisted</v>
      </c>
      <c r="Q1027" s="174" t="str">
        <f>IFERROR(__xludf.DUMMYFUNCTION("""COMPUTED_VALUE"""),"Unlisted")</f>
        <v>Unlisted</v>
      </c>
      <c r="R1027" s="174" t="str">
        <f>IFERROR(__xludf.DUMMYFUNCTION("""COMPUTED_VALUE"""),"Unlisted")</f>
        <v>Unlisted</v>
      </c>
    </row>
    <row r="1028">
      <c r="A1028" s="255" t="str">
        <f>IFERROR(__xludf.DUMMYFUNCTION("""COMPUTED_VALUE"""),"Rotom Fan")</f>
        <v>Rotom Fan</v>
      </c>
      <c r="B1028" s="174" t="str">
        <f>IFERROR(__xludf.DUMMYFUNCTION("""COMPUTED_VALUE"""),"Proficient")</f>
        <v>Proficient</v>
      </c>
      <c r="C1028" s="174" t="str">
        <f>IFERROR(__xludf.DUMMYFUNCTION("""COMPUTED_VALUE"""),"Inept")</f>
        <v>Inept</v>
      </c>
      <c r="D1028" s="174" t="str">
        <f>IFERROR(__xludf.DUMMYFUNCTION("""COMPUTED_VALUE"""),"Unlisted")</f>
        <v>Unlisted</v>
      </c>
      <c r="E1028" s="174" t="str">
        <f>IFERROR(__xludf.DUMMYFUNCTION("""COMPUTED_VALUE"""),"Unlisted")</f>
        <v>Unlisted</v>
      </c>
      <c r="F1028" s="174" t="str">
        <f>IFERROR(__xludf.DUMMYFUNCTION("""COMPUTED_VALUE"""),"Unlisted")</f>
        <v>Unlisted</v>
      </c>
      <c r="G1028" s="174" t="str">
        <f>IFERROR(__xludf.DUMMYFUNCTION("""COMPUTED_VALUE"""),"Proficient")</f>
        <v>Proficient</v>
      </c>
      <c r="H1028" s="174" t="str">
        <f>IFERROR(__xludf.DUMMYFUNCTION("""COMPUTED_VALUE"""),"Proficient")</f>
        <v>Proficient</v>
      </c>
      <c r="I1028" s="174" t="str">
        <f>IFERROR(__xludf.DUMMYFUNCTION("""COMPUTED_VALUE"""),"Unlisted")</f>
        <v>Unlisted</v>
      </c>
      <c r="J1028" s="174" t="str">
        <f>IFERROR(__xludf.DUMMYFUNCTION("""COMPUTED_VALUE"""),"Unlisted")</f>
        <v>Unlisted</v>
      </c>
      <c r="K1028" s="174" t="str">
        <f>IFERROR(__xludf.DUMMYFUNCTION("""COMPUTED_VALUE"""),"Unlisted")</f>
        <v>Unlisted</v>
      </c>
      <c r="L1028" s="174" t="str">
        <f>IFERROR(__xludf.DUMMYFUNCTION("""COMPUTED_VALUE"""),"Mastered")</f>
        <v>Mastered</v>
      </c>
      <c r="M1028" s="174" t="str">
        <f>IFERROR(__xludf.DUMMYFUNCTION("""COMPUTED_VALUE"""),"Unlisted")</f>
        <v>Unlisted</v>
      </c>
      <c r="N1028" s="174" t="str">
        <f>IFERROR(__xludf.DUMMYFUNCTION("""COMPUTED_VALUE"""),"Unlisted")</f>
        <v>Unlisted</v>
      </c>
      <c r="O1028" s="174" t="str">
        <f>IFERROR(__xludf.DUMMYFUNCTION("""COMPUTED_VALUE"""),"Unlisted")</f>
        <v>Unlisted</v>
      </c>
      <c r="P1028" s="174" t="str">
        <f>IFERROR(__xludf.DUMMYFUNCTION("""COMPUTED_VALUE"""),"Unlisted")</f>
        <v>Unlisted</v>
      </c>
      <c r="Q1028" s="174" t="str">
        <f>IFERROR(__xludf.DUMMYFUNCTION("""COMPUTED_VALUE"""),"Unlisted")</f>
        <v>Unlisted</v>
      </c>
      <c r="R1028" s="174" t="str">
        <f>IFERROR(__xludf.DUMMYFUNCTION("""COMPUTED_VALUE"""),"Unlisted")</f>
        <v>Unlisted</v>
      </c>
    </row>
    <row r="1029">
      <c r="A1029" s="255" t="str">
        <f>IFERROR(__xludf.DUMMYFUNCTION("""COMPUTED_VALUE"""),"Rotom Mow")</f>
        <v>Rotom Mow</v>
      </c>
      <c r="B1029" s="174" t="str">
        <f>IFERROR(__xludf.DUMMYFUNCTION("""COMPUTED_VALUE"""),"Proficient")</f>
        <v>Proficient</v>
      </c>
      <c r="C1029" s="174" t="str">
        <f>IFERROR(__xludf.DUMMYFUNCTION("""COMPUTED_VALUE"""),"Inept")</f>
        <v>Inept</v>
      </c>
      <c r="D1029" s="174" t="str">
        <f>IFERROR(__xludf.DUMMYFUNCTION("""COMPUTED_VALUE"""),"Unlisted")</f>
        <v>Unlisted</v>
      </c>
      <c r="E1029" s="174" t="str">
        <f>IFERROR(__xludf.DUMMYFUNCTION("""COMPUTED_VALUE"""),"Unlisted")</f>
        <v>Unlisted</v>
      </c>
      <c r="F1029" s="174" t="str">
        <f>IFERROR(__xludf.DUMMYFUNCTION("""COMPUTED_VALUE"""),"Unlisted")</f>
        <v>Unlisted</v>
      </c>
      <c r="G1029" s="174" t="str">
        <f>IFERROR(__xludf.DUMMYFUNCTION("""COMPUTED_VALUE"""),"Proficient")</f>
        <v>Proficient</v>
      </c>
      <c r="H1029" s="174" t="str">
        <f>IFERROR(__xludf.DUMMYFUNCTION("""COMPUTED_VALUE"""),"Proficient")</f>
        <v>Proficient</v>
      </c>
      <c r="I1029" s="174" t="str">
        <f>IFERROR(__xludf.DUMMYFUNCTION("""COMPUTED_VALUE"""),"Unlisted")</f>
        <v>Unlisted</v>
      </c>
      <c r="J1029" s="174" t="str">
        <f>IFERROR(__xludf.DUMMYFUNCTION("""COMPUTED_VALUE"""),"Unlisted")</f>
        <v>Unlisted</v>
      </c>
      <c r="K1029" s="174" t="str">
        <f>IFERROR(__xludf.DUMMYFUNCTION("""COMPUTED_VALUE"""),"Unlisted")</f>
        <v>Unlisted</v>
      </c>
      <c r="L1029" s="174" t="str">
        <f>IFERROR(__xludf.DUMMYFUNCTION("""COMPUTED_VALUE"""),"Mastered")</f>
        <v>Mastered</v>
      </c>
      <c r="M1029" s="174" t="str">
        <f>IFERROR(__xludf.DUMMYFUNCTION("""COMPUTED_VALUE"""),"Unlisted")</f>
        <v>Unlisted</v>
      </c>
      <c r="N1029" s="174" t="str">
        <f>IFERROR(__xludf.DUMMYFUNCTION("""COMPUTED_VALUE"""),"Unlisted")</f>
        <v>Unlisted</v>
      </c>
      <c r="O1029" s="174" t="str">
        <f>IFERROR(__xludf.DUMMYFUNCTION("""COMPUTED_VALUE"""),"Unlisted")</f>
        <v>Unlisted</v>
      </c>
      <c r="P1029" s="174" t="str">
        <f>IFERROR(__xludf.DUMMYFUNCTION("""COMPUTED_VALUE"""),"Unlisted")</f>
        <v>Unlisted</v>
      </c>
      <c r="Q1029" s="174" t="str">
        <f>IFERROR(__xludf.DUMMYFUNCTION("""COMPUTED_VALUE"""),"Unlisted")</f>
        <v>Unlisted</v>
      </c>
      <c r="R1029" s="174" t="str">
        <f>IFERROR(__xludf.DUMMYFUNCTION("""COMPUTED_VALUE"""),"Unlisted")</f>
        <v>Unlisted</v>
      </c>
    </row>
    <row r="1030">
      <c r="A1030" s="255" t="str">
        <f>IFERROR(__xludf.DUMMYFUNCTION("""COMPUTED_VALUE"""),"Emolga")</f>
        <v>Emolga</v>
      </c>
      <c r="B1030" s="174" t="str">
        <f>IFERROR(__xludf.DUMMYFUNCTION("""COMPUTED_VALUE"""),"Mastered")</f>
        <v>Mastered</v>
      </c>
      <c r="C1030" s="174" t="str">
        <f>IFERROR(__xludf.DUMMYFUNCTION("""COMPUTED_VALUE"""),"Unlisted")</f>
        <v>Unlisted</v>
      </c>
      <c r="D1030" s="174" t="str">
        <f>IFERROR(__xludf.DUMMYFUNCTION("""COMPUTED_VALUE"""),"Proficient")</f>
        <v>Proficient</v>
      </c>
      <c r="E1030" s="174" t="str">
        <f>IFERROR(__xludf.DUMMYFUNCTION("""COMPUTED_VALUE"""),"Unlisted")</f>
        <v>Unlisted</v>
      </c>
      <c r="F1030" s="174" t="str">
        <f>IFERROR(__xludf.DUMMYFUNCTION("""COMPUTED_VALUE"""),"Unlisted")</f>
        <v>Unlisted</v>
      </c>
      <c r="G1030" s="174" t="str">
        <f>IFERROR(__xludf.DUMMYFUNCTION("""COMPUTED_VALUE"""),"Proficient")</f>
        <v>Proficient</v>
      </c>
      <c r="H1030" s="174" t="str">
        <f>IFERROR(__xludf.DUMMYFUNCTION("""COMPUTED_VALUE"""),"Unlisted")</f>
        <v>Unlisted</v>
      </c>
      <c r="I1030" s="174" t="str">
        <f>IFERROR(__xludf.DUMMYFUNCTION("""COMPUTED_VALUE"""),"Unlisted")</f>
        <v>Unlisted</v>
      </c>
      <c r="J1030" s="174" t="str">
        <f>IFERROR(__xludf.DUMMYFUNCTION("""COMPUTED_VALUE"""),"Unlisted")</f>
        <v>Unlisted</v>
      </c>
      <c r="K1030" s="174" t="str">
        <f>IFERROR(__xludf.DUMMYFUNCTION("""COMPUTED_VALUE"""),"Unlisted")</f>
        <v>Unlisted</v>
      </c>
      <c r="L1030" s="174" t="str">
        <f>IFERROR(__xludf.DUMMYFUNCTION("""COMPUTED_VALUE"""),"Unlisted")</f>
        <v>Unlisted</v>
      </c>
      <c r="M1030" s="174" t="str">
        <f>IFERROR(__xludf.DUMMYFUNCTION("""COMPUTED_VALUE"""),"Unlisted")</f>
        <v>Unlisted</v>
      </c>
      <c r="N1030" s="174" t="str">
        <f>IFERROR(__xludf.DUMMYFUNCTION("""COMPUTED_VALUE"""),"Unlisted")</f>
        <v>Unlisted</v>
      </c>
      <c r="O1030" s="174" t="str">
        <f>IFERROR(__xludf.DUMMYFUNCTION("""COMPUTED_VALUE"""),"Unlisted")</f>
        <v>Unlisted</v>
      </c>
      <c r="P1030" s="174" t="str">
        <f>IFERROR(__xludf.DUMMYFUNCTION("""COMPUTED_VALUE"""),"Unlisted")</f>
        <v>Unlisted</v>
      </c>
      <c r="Q1030" s="174" t="str">
        <f>IFERROR(__xludf.DUMMYFUNCTION("""COMPUTED_VALUE"""),"Unlisted")</f>
        <v>Unlisted</v>
      </c>
      <c r="R1030" s="174" t="str">
        <f>IFERROR(__xludf.DUMMYFUNCTION("""COMPUTED_VALUE"""),"Unlisted")</f>
        <v>Unlisted</v>
      </c>
    </row>
    <row r="1031">
      <c r="A1031" s="255" t="str">
        <f>IFERROR(__xludf.DUMMYFUNCTION("""COMPUTED_VALUE"""),"Dedenne")</f>
        <v>Dedenne</v>
      </c>
      <c r="B1031" s="174" t="str">
        <f>IFERROR(__xludf.DUMMYFUNCTION("""COMPUTED_VALUE"""),"Unlisted")</f>
        <v>Unlisted</v>
      </c>
      <c r="C1031" s="174" t="str">
        <f>IFERROR(__xludf.DUMMYFUNCTION("""COMPUTED_VALUE"""),"Unlisted")</f>
        <v>Unlisted</v>
      </c>
      <c r="D1031" s="174" t="str">
        <f>IFERROR(__xludf.DUMMYFUNCTION("""COMPUTED_VALUE"""),"Proficient")</f>
        <v>Proficient</v>
      </c>
      <c r="E1031" s="174" t="str">
        <f>IFERROR(__xludf.DUMMYFUNCTION("""COMPUTED_VALUE"""),"Unlisted")</f>
        <v>Unlisted</v>
      </c>
      <c r="F1031" s="174" t="str">
        <f>IFERROR(__xludf.DUMMYFUNCTION("""COMPUTED_VALUE"""),"Unlisted")</f>
        <v>Unlisted</v>
      </c>
      <c r="G1031" s="174" t="str">
        <f>IFERROR(__xludf.DUMMYFUNCTION("""COMPUTED_VALUE"""),"Unlisted")</f>
        <v>Unlisted</v>
      </c>
      <c r="H1031" s="174" t="str">
        <f>IFERROR(__xludf.DUMMYFUNCTION("""COMPUTED_VALUE"""),"Unlisted")</f>
        <v>Unlisted</v>
      </c>
      <c r="I1031" s="174" t="str">
        <f>IFERROR(__xludf.DUMMYFUNCTION("""COMPUTED_VALUE"""),"Unlisted")</f>
        <v>Unlisted</v>
      </c>
      <c r="J1031" s="174" t="str">
        <f>IFERROR(__xludf.DUMMYFUNCTION("""COMPUTED_VALUE"""),"Unlisted")</f>
        <v>Unlisted</v>
      </c>
      <c r="K1031" s="174" t="str">
        <f>IFERROR(__xludf.DUMMYFUNCTION("""COMPUTED_VALUE"""),"Proficient")</f>
        <v>Proficient</v>
      </c>
      <c r="L1031" s="174" t="str">
        <f>IFERROR(__xludf.DUMMYFUNCTION("""COMPUTED_VALUE"""),"Proficient")</f>
        <v>Proficient</v>
      </c>
      <c r="M1031" s="174" t="str">
        <f>IFERROR(__xludf.DUMMYFUNCTION("""COMPUTED_VALUE"""),"Unlisted")</f>
        <v>Unlisted</v>
      </c>
      <c r="N1031" s="174" t="str">
        <f>IFERROR(__xludf.DUMMYFUNCTION("""COMPUTED_VALUE"""),"Unlisted")</f>
        <v>Unlisted</v>
      </c>
      <c r="O1031" s="174" t="str">
        <f>IFERROR(__xludf.DUMMYFUNCTION("""COMPUTED_VALUE"""),"Unlisted")</f>
        <v>Unlisted</v>
      </c>
      <c r="P1031" s="174" t="str">
        <f>IFERROR(__xludf.DUMMYFUNCTION("""COMPUTED_VALUE"""),"Unlisted")</f>
        <v>Unlisted</v>
      </c>
      <c r="Q1031" s="174" t="str">
        <f>IFERROR(__xludf.DUMMYFUNCTION("""COMPUTED_VALUE"""),"Unlisted")</f>
        <v>Unlisted</v>
      </c>
      <c r="R1031" s="174" t="str">
        <f>IFERROR(__xludf.DUMMYFUNCTION("""COMPUTED_VALUE"""),"Unlisted")</f>
        <v>Unlisted</v>
      </c>
    </row>
    <row r="1032">
      <c r="A1032" s="255" t="str">
        <f>IFERROR(__xludf.DUMMYFUNCTION("""COMPUTED_VALUE"""),"Togedemaru")</f>
        <v>Togedemaru</v>
      </c>
      <c r="B1032" s="174" t="str">
        <f>IFERROR(__xludf.DUMMYFUNCTION("""COMPUTED_VALUE"""),"Proficient")</f>
        <v>Proficient</v>
      </c>
      <c r="C1032" s="174" t="str">
        <f>IFERROR(__xludf.DUMMYFUNCTION("""COMPUTED_VALUE"""),"Unlisted")</f>
        <v>Unlisted</v>
      </c>
      <c r="D1032" s="174" t="str">
        <f>IFERROR(__xludf.DUMMYFUNCTION("""COMPUTED_VALUE"""),"Proficient")</f>
        <v>Proficient</v>
      </c>
      <c r="E1032" s="174" t="str">
        <f>IFERROR(__xludf.DUMMYFUNCTION("""COMPUTED_VALUE"""),"Unlisted")</f>
        <v>Unlisted</v>
      </c>
      <c r="F1032" s="174" t="str">
        <f>IFERROR(__xludf.DUMMYFUNCTION("""COMPUTED_VALUE"""),"Unlisted")</f>
        <v>Unlisted</v>
      </c>
      <c r="G1032" s="174" t="str">
        <f>IFERROR(__xludf.DUMMYFUNCTION("""COMPUTED_VALUE"""),"Unlisted")</f>
        <v>Unlisted</v>
      </c>
      <c r="H1032" s="174" t="str">
        <f>IFERROR(__xludf.DUMMYFUNCTION("""COMPUTED_VALUE"""),"Unlisted")</f>
        <v>Unlisted</v>
      </c>
      <c r="I1032" s="174" t="str">
        <f>IFERROR(__xludf.DUMMYFUNCTION("""COMPUTED_VALUE"""),"Inept")</f>
        <v>Inept</v>
      </c>
      <c r="J1032" s="174" t="str">
        <f>IFERROR(__xludf.DUMMYFUNCTION("""COMPUTED_VALUE"""),"Unlisted")</f>
        <v>Unlisted</v>
      </c>
      <c r="K1032" s="174" t="str">
        <f>IFERROR(__xludf.DUMMYFUNCTION("""COMPUTED_VALUE"""),"Unlisted")</f>
        <v>Unlisted</v>
      </c>
      <c r="L1032" s="174" t="str">
        <f>IFERROR(__xludf.DUMMYFUNCTION("""COMPUTED_VALUE"""),"Unlisted")</f>
        <v>Unlisted</v>
      </c>
      <c r="M1032" s="174" t="str">
        <f>IFERROR(__xludf.DUMMYFUNCTION("""COMPUTED_VALUE"""),"Unlisted")</f>
        <v>Unlisted</v>
      </c>
      <c r="N1032" s="174" t="str">
        <f>IFERROR(__xludf.DUMMYFUNCTION("""COMPUTED_VALUE"""),"Unlisted")</f>
        <v>Unlisted</v>
      </c>
      <c r="O1032" s="174" t="str">
        <f>IFERROR(__xludf.DUMMYFUNCTION("""COMPUTED_VALUE"""),"Unlisted")</f>
        <v>Unlisted</v>
      </c>
      <c r="P1032" s="174" t="str">
        <f>IFERROR(__xludf.DUMMYFUNCTION("""COMPUTED_VALUE"""),"Unlisted")</f>
        <v>Unlisted</v>
      </c>
      <c r="Q1032" s="174" t="str">
        <f>IFERROR(__xludf.DUMMYFUNCTION("""COMPUTED_VALUE"""),"Unlisted")</f>
        <v>Unlisted</v>
      </c>
      <c r="R1032" s="174" t="str">
        <f>IFERROR(__xludf.DUMMYFUNCTION("""COMPUTED_VALUE"""),"Unlisted")</f>
        <v>Unlisted</v>
      </c>
    </row>
    <row r="1033">
      <c r="A1033" s="255" t="str">
        <f>IFERROR(__xludf.DUMMYFUNCTION("""COMPUTED_VALUE"""),"Pincurchin")</f>
        <v>Pincurchin</v>
      </c>
      <c r="B1033" s="174" t="str">
        <f>IFERROR(__xludf.DUMMYFUNCTION("""COMPUTED_VALUE"""),"Inept")</f>
        <v>Inept</v>
      </c>
      <c r="C1033" s="174" t="str">
        <f>IFERROR(__xludf.DUMMYFUNCTION("""COMPUTED_VALUE"""),"Unlisted")</f>
        <v>Unlisted</v>
      </c>
      <c r="D1033" s="174" t="str">
        <f>IFERROR(__xludf.DUMMYFUNCTION("""COMPUTED_VALUE"""),"Unlisted")</f>
        <v>Unlisted</v>
      </c>
      <c r="E1033" s="174" t="str">
        <f>IFERROR(__xludf.DUMMYFUNCTION("""COMPUTED_VALUE"""),"Unlisted")</f>
        <v>Unlisted</v>
      </c>
      <c r="F1033" s="174" t="str">
        <f>IFERROR(__xludf.DUMMYFUNCTION("""COMPUTED_VALUE"""),"Unlisted")</f>
        <v>Unlisted</v>
      </c>
      <c r="G1033" s="174" t="str">
        <f>IFERROR(__xludf.DUMMYFUNCTION("""COMPUTED_VALUE"""),"Proficient")</f>
        <v>Proficient</v>
      </c>
      <c r="H1033" s="174" t="str">
        <f>IFERROR(__xludf.DUMMYFUNCTION("""COMPUTED_VALUE"""),"Unlisted")</f>
        <v>Unlisted</v>
      </c>
      <c r="I1033" s="174" t="str">
        <f>IFERROR(__xludf.DUMMYFUNCTION("""COMPUTED_VALUE"""),"Unlisted")</f>
        <v>Unlisted</v>
      </c>
      <c r="J1033" s="174" t="str">
        <f>IFERROR(__xludf.DUMMYFUNCTION("""COMPUTED_VALUE"""),"Unlisted")</f>
        <v>Unlisted</v>
      </c>
      <c r="K1033" s="174" t="str">
        <f>IFERROR(__xludf.DUMMYFUNCTION("""COMPUTED_VALUE"""),"Unlisted")</f>
        <v>Unlisted</v>
      </c>
      <c r="L1033" s="174" t="str">
        <f>IFERROR(__xludf.DUMMYFUNCTION("""COMPUTED_VALUE"""),"Proficient")</f>
        <v>Proficient</v>
      </c>
      <c r="M1033" s="174" t="str">
        <f>IFERROR(__xludf.DUMMYFUNCTION("""COMPUTED_VALUE"""),"Unlisted")</f>
        <v>Unlisted</v>
      </c>
      <c r="N1033" s="174" t="str">
        <f>IFERROR(__xludf.DUMMYFUNCTION("""COMPUTED_VALUE"""),"Unlisted")</f>
        <v>Unlisted</v>
      </c>
      <c r="O1033" s="174" t="str">
        <f>IFERROR(__xludf.DUMMYFUNCTION("""COMPUTED_VALUE"""),"Proficient")</f>
        <v>Proficient</v>
      </c>
      <c r="P1033" s="174" t="str">
        <f>IFERROR(__xludf.DUMMYFUNCTION("""COMPUTED_VALUE"""),"Unlisted")</f>
        <v>Unlisted</v>
      </c>
      <c r="Q1033" s="174" t="str">
        <f>IFERROR(__xludf.DUMMYFUNCTION("""COMPUTED_VALUE"""),"Unlisted")</f>
        <v>Unlisted</v>
      </c>
      <c r="R1033" s="174" t="str">
        <f>IFERROR(__xludf.DUMMYFUNCTION("""COMPUTED_VALUE"""),"Unlisted")</f>
        <v>Unlisted</v>
      </c>
    </row>
    <row r="1034">
      <c r="A1034" s="255" t="str">
        <f>IFERROR(__xludf.DUMMYFUNCTION("""COMPUTED_VALUE"""),"Morpeko")</f>
        <v>Morpeko</v>
      </c>
      <c r="B1034" s="174" t="str">
        <f>IFERROR(__xludf.DUMMYFUNCTION("""COMPUTED_VALUE"""),"Unlisted")</f>
        <v>Unlisted</v>
      </c>
      <c r="C1034" s="174" t="str">
        <f>IFERROR(__xludf.DUMMYFUNCTION("""COMPUTED_VALUE"""),"Unlisted")</f>
        <v>Unlisted</v>
      </c>
      <c r="D1034" s="174" t="str">
        <f>IFERROR(__xludf.DUMMYFUNCTION("""COMPUTED_VALUE"""),"Unlisted")</f>
        <v>Unlisted</v>
      </c>
      <c r="E1034" s="174" t="str">
        <f>IFERROR(__xludf.DUMMYFUNCTION("""COMPUTED_VALUE"""),"Unlisted")</f>
        <v>Unlisted</v>
      </c>
      <c r="F1034" s="174" t="str">
        <f>IFERROR(__xludf.DUMMYFUNCTION("""COMPUTED_VALUE"""),"Unlisted")</f>
        <v>Unlisted</v>
      </c>
      <c r="G1034" s="174" t="str">
        <f>IFERROR(__xludf.DUMMYFUNCTION("""COMPUTED_VALUE"""),"Proficient")</f>
        <v>Proficient</v>
      </c>
      <c r="H1034" s="174" t="str">
        <f>IFERROR(__xludf.DUMMYFUNCTION("""COMPUTED_VALUE"""),"Proficient")</f>
        <v>Proficient</v>
      </c>
      <c r="I1034" s="174" t="str">
        <f>IFERROR(__xludf.DUMMYFUNCTION("""COMPUTED_VALUE"""),"Unlisted")</f>
        <v>Unlisted</v>
      </c>
      <c r="J1034" s="174" t="str">
        <f>IFERROR(__xludf.DUMMYFUNCTION("""COMPUTED_VALUE"""),"Unlisted")</f>
        <v>Unlisted</v>
      </c>
      <c r="K1034" s="174" t="str">
        <f>IFERROR(__xludf.DUMMYFUNCTION("""COMPUTED_VALUE"""),"Unlisted")</f>
        <v>Unlisted</v>
      </c>
      <c r="L1034" s="174" t="str">
        <f>IFERROR(__xludf.DUMMYFUNCTION("""COMPUTED_VALUE"""),"Unlisted")</f>
        <v>Unlisted</v>
      </c>
      <c r="M1034" s="174" t="str">
        <f>IFERROR(__xludf.DUMMYFUNCTION("""COMPUTED_VALUE"""),"Unlisted")</f>
        <v>Unlisted</v>
      </c>
      <c r="N1034" s="174" t="str">
        <f>IFERROR(__xludf.DUMMYFUNCTION("""COMPUTED_VALUE"""),"Unlisted")</f>
        <v>Unlisted</v>
      </c>
      <c r="O1034" s="174" t="str">
        <f>IFERROR(__xludf.DUMMYFUNCTION("""COMPUTED_VALUE"""),"Proficient")</f>
        <v>Proficient</v>
      </c>
      <c r="P1034" s="174" t="str">
        <f>IFERROR(__xludf.DUMMYFUNCTION("""COMPUTED_VALUE"""),"Unlisted")</f>
        <v>Unlisted</v>
      </c>
      <c r="Q1034" s="174" t="str">
        <f>IFERROR(__xludf.DUMMYFUNCTION("""COMPUTED_VALUE"""),"Unlisted")</f>
        <v>Unlisted</v>
      </c>
      <c r="R1034" s="174" t="str">
        <f>IFERROR(__xludf.DUMMYFUNCTION("""COMPUTED_VALUE"""),"Unlisted")</f>
        <v>Unlisted</v>
      </c>
    </row>
    <row r="1035">
      <c r="A1035" s="255" t="str">
        <f>IFERROR(__xludf.DUMMYFUNCTION("""COMPUTED_VALUE"""),"Dracozolt")</f>
        <v>Dracozolt</v>
      </c>
      <c r="B1035" s="174" t="str">
        <f>IFERROR(__xludf.DUMMYFUNCTION("""COMPUTED_VALUE"""),"Unlisted")</f>
        <v>Unlisted</v>
      </c>
      <c r="C1035" s="174" t="str">
        <f>IFERROR(__xludf.DUMMYFUNCTION("""COMPUTED_VALUE"""),"Proficient")</f>
        <v>Proficient</v>
      </c>
      <c r="D1035" s="174" t="str">
        <f>IFERROR(__xludf.DUMMYFUNCTION("""COMPUTED_VALUE"""),"Inept")</f>
        <v>Inept</v>
      </c>
      <c r="E1035" s="174" t="str">
        <f>IFERROR(__xludf.DUMMYFUNCTION("""COMPUTED_VALUE"""),"Proficient")</f>
        <v>Proficient</v>
      </c>
      <c r="F1035" s="174" t="str">
        <f>IFERROR(__xludf.DUMMYFUNCTION("""COMPUTED_VALUE"""),"Unlisted")</f>
        <v>Unlisted</v>
      </c>
      <c r="G1035" s="174" t="str">
        <f>IFERROR(__xludf.DUMMYFUNCTION("""COMPUTED_VALUE"""),"Unlisted")</f>
        <v>Unlisted</v>
      </c>
      <c r="H1035" s="174" t="str">
        <f>IFERROR(__xludf.DUMMYFUNCTION("""COMPUTED_VALUE"""),"Unlisted")</f>
        <v>Unlisted</v>
      </c>
      <c r="I1035" s="174" t="str">
        <f>IFERROR(__xludf.DUMMYFUNCTION("""COMPUTED_VALUE"""),"Unlisted")</f>
        <v>Unlisted</v>
      </c>
      <c r="J1035" s="174" t="str">
        <f>IFERROR(__xludf.DUMMYFUNCTION("""COMPUTED_VALUE"""),"Unlisted")</f>
        <v>Unlisted</v>
      </c>
      <c r="K1035" s="174" t="str">
        <f>IFERROR(__xludf.DUMMYFUNCTION("""COMPUTED_VALUE"""),"Proficient")</f>
        <v>Proficient</v>
      </c>
      <c r="L1035" s="174" t="str">
        <f>IFERROR(__xludf.DUMMYFUNCTION("""COMPUTED_VALUE"""),"Unlisted")</f>
        <v>Unlisted</v>
      </c>
      <c r="M1035" s="174" t="str">
        <f>IFERROR(__xludf.DUMMYFUNCTION("""COMPUTED_VALUE"""),"Unlisted")</f>
        <v>Unlisted</v>
      </c>
      <c r="N1035" s="174" t="str">
        <f>IFERROR(__xludf.DUMMYFUNCTION("""COMPUTED_VALUE"""),"Unlisted")</f>
        <v>Unlisted</v>
      </c>
      <c r="O1035" s="174" t="str">
        <f>IFERROR(__xludf.DUMMYFUNCTION("""COMPUTED_VALUE"""),"Proficient")</f>
        <v>Proficient</v>
      </c>
      <c r="P1035" s="174" t="str">
        <f>IFERROR(__xludf.DUMMYFUNCTION("""COMPUTED_VALUE"""),"Unlisted")</f>
        <v>Unlisted</v>
      </c>
      <c r="Q1035" s="174" t="str">
        <f>IFERROR(__xludf.DUMMYFUNCTION("""COMPUTED_VALUE"""),"Unlisted")</f>
        <v>Unlisted</v>
      </c>
      <c r="R1035" s="174" t="str">
        <f>IFERROR(__xludf.DUMMYFUNCTION("""COMPUTED_VALUE"""),"Unlisted")</f>
        <v>Unlisted</v>
      </c>
    </row>
    <row r="1036">
      <c r="A1036" s="255" t="str">
        <f>IFERROR(__xludf.DUMMYFUNCTION("""COMPUTED_VALUE"""),"Arctozolt")</f>
        <v>Arctozolt</v>
      </c>
      <c r="B1036" s="174" t="str">
        <f>IFERROR(__xludf.DUMMYFUNCTION("""COMPUTED_VALUE"""),"Unlisted")</f>
        <v>Unlisted</v>
      </c>
      <c r="C1036" s="174" t="str">
        <f>IFERROR(__xludf.DUMMYFUNCTION("""COMPUTED_VALUE"""),"Proficient")</f>
        <v>Proficient</v>
      </c>
      <c r="D1036" s="174" t="str">
        <f>IFERROR(__xludf.DUMMYFUNCTION("""COMPUTED_VALUE"""),"Unlisted")</f>
        <v>Unlisted</v>
      </c>
      <c r="E1036" s="174" t="str">
        <f>IFERROR(__xludf.DUMMYFUNCTION("""COMPUTED_VALUE"""),"Proficient")</f>
        <v>Proficient</v>
      </c>
      <c r="F1036" s="174" t="str">
        <f>IFERROR(__xludf.DUMMYFUNCTION("""COMPUTED_VALUE"""),"Unlisted")</f>
        <v>Unlisted</v>
      </c>
      <c r="G1036" s="174" t="str">
        <f>IFERROR(__xludf.DUMMYFUNCTION("""COMPUTED_VALUE"""),"Unlisted")</f>
        <v>Unlisted</v>
      </c>
      <c r="H1036" s="174" t="str">
        <f>IFERROR(__xludf.DUMMYFUNCTION("""COMPUTED_VALUE"""),"Unlisted")</f>
        <v>Unlisted</v>
      </c>
      <c r="I1036" s="174" t="str">
        <f>IFERROR(__xludf.DUMMYFUNCTION("""COMPUTED_VALUE"""),"Unlisted")</f>
        <v>Unlisted</v>
      </c>
      <c r="J1036" s="174" t="str">
        <f>IFERROR(__xludf.DUMMYFUNCTION("""COMPUTED_VALUE"""),"Unlisted")</f>
        <v>Unlisted</v>
      </c>
      <c r="K1036" s="174" t="str">
        <f>IFERROR(__xludf.DUMMYFUNCTION("""COMPUTED_VALUE"""),"Proficient")</f>
        <v>Proficient</v>
      </c>
      <c r="L1036" s="174" t="str">
        <f>IFERROR(__xludf.DUMMYFUNCTION("""COMPUTED_VALUE"""),"Unlisted")</f>
        <v>Unlisted</v>
      </c>
      <c r="M1036" s="174" t="str">
        <f>IFERROR(__xludf.DUMMYFUNCTION("""COMPUTED_VALUE"""),"Unlisted")</f>
        <v>Unlisted</v>
      </c>
      <c r="N1036" s="174" t="str">
        <f>IFERROR(__xludf.DUMMYFUNCTION("""COMPUTED_VALUE"""),"Unlisted")</f>
        <v>Unlisted</v>
      </c>
      <c r="O1036" s="174" t="str">
        <f>IFERROR(__xludf.DUMMYFUNCTION("""COMPUTED_VALUE"""),"Proficient")</f>
        <v>Proficient</v>
      </c>
      <c r="P1036" s="174" t="str">
        <f>IFERROR(__xludf.DUMMYFUNCTION("""COMPUTED_VALUE"""),"Unlisted")</f>
        <v>Unlisted</v>
      </c>
      <c r="Q1036" s="174" t="str">
        <f>IFERROR(__xludf.DUMMYFUNCTION("""COMPUTED_VALUE"""),"Unlisted")</f>
        <v>Unlisted</v>
      </c>
      <c r="R1036" s="174" t="str">
        <f>IFERROR(__xludf.DUMMYFUNCTION("""COMPUTED_VALUE"""),"Unlisted")</f>
        <v>Unlisted</v>
      </c>
    </row>
    <row r="1037">
      <c r="A1037" s="255" t="str">
        <f>IFERROR(__xludf.DUMMYFUNCTION("""COMPUTED_VALUE"""),"Comfey")</f>
        <v>Comfey</v>
      </c>
      <c r="B1037" s="174" t="str">
        <f>IFERROR(__xludf.DUMMYFUNCTION("""COMPUTED_VALUE"""),"Proficient")</f>
        <v>Proficient</v>
      </c>
      <c r="C1037" s="174" t="str">
        <f>IFERROR(__xludf.DUMMYFUNCTION("""COMPUTED_VALUE"""),"Unlisted")</f>
        <v>Unlisted</v>
      </c>
      <c r="D1037" s="174" t="str">
        <f>IFERROR(__xludf.DUMMYFUNCTION("""COMPUTED_VALUE"""),"Proficient")</f>
        <v>Proficient</v>
      </c>
      <c r="E1037" s="174" t="str">
        <f>IFERROR(__xludf.DUMMYFUNCTION("""COMPUTED_VALUE"""),"Inept")</f>
        <v>Inept</v>
      </c>
      <c r="F1037" s="174" t="str">
        <f>IFERROR(__xludf.DUMMYFUNCTION("""COMPUTED_VALUE"""),"Unlisted")</f>
        <v>Unlisted</v>
      </c>
      <c r="G1037" s="174" t="str">
        <f>IFERROR(__xludf.DUMMYFUNCTION("""COMPUTED_VALUE"""),"Unlisted")</f>
        <v>Unlisted</v>
      </c>
      <c r="H1037" s="174" t="str">
        <f>IFERROR(__xludf.DUMMYFUNCTION("""COMPUTED_VALUE"""),"Unlisted")</f>
        <v>Unlisted</v>
      </c>
      <c r="I1037" s="174" t="str">
        <f>IFERROR(__xludf.DUMMYFUNCTION("""COMPUTED_VALUE"""),"Unlisted")</f>
        <v>Unlisted</v>
      </c>
      <c r="J1037" s="174" t="str">
        <f>IFERROR(__xludf.DUMMYFUNCTION("""COMPUTED_VALUE"""),"Proficient")</f>
        <v>Proficient</v>
      </c>
      <c r="K1037" s="174" t="str">
        <f>IFERROR(__xludf.DUMMYFUNCTION("""COMPUTED_VALUE"""),"Unlisted")</f>
        <v>Unlisted</v>
      </c>
      <c r="L1037" s="174" t="str">
        <f>IFERROR(__xludf.DUMMYFUNCTION("""COMPUTED_VALUE"""),"Unlisted")</f>
        <v>Unlisted</v>
      </c>
      <c r="M1037" s="174" t="str">
        <f>IFERROR(__xludf.DUMMYFUNCTION("""COMPUTED_VALUE"""),"Unlisted")</f>
        <v>Unlisted</v>
      </c>
      <c r="N1037" s="174" t="str">
        <f>IFERROR(__xludf.DUMMYFUNCTION("""COMPUTED_VALUE"""),"Unlisted")</f>
        <v>Unlisted</v>
      </c>
      <c r="O1037" s="174" t="str">
        <f>IFERROR(__xludf.DUMMYFUNCTION("""COMPUTED_VALUE"""),"Unlisted")</f>
        <v>Unlisted</v>
      </c>
      <c r="P1037" s="174" t="str">
        <f>IFERROR(__xludf.DUMMYFUNCTION("""COMPUTED_VALUE"""),"Unlisted")</f>
        <v>Unlisted</v>
      </c>
      <c r="Q1037" s="174" t="str">
        <f>IFERROR(__xludf.DUMMYFUNCTION("""COMPUTED_VALUE"""),"Unlisted")</f>
        <v>Unlisted</v>
      </c>
      <c r="R1037" s="174" t="str">
        <f>IFERROR(__xludf.DUMMYFUNCTION("""COMPUTED_VALUE"""),"Unlisted")</f>
        <v>Unlisted</v>
      </c>
    </row>
    <row r="1038">
      <c r="A1038" s="255" t="str">
        <f>IFERROR(__xludf.DUMMYFUNCTION("""COMPUTED_VALUE"""),"Throh")</f>
        <v>Throh</v>
      </c>
      <c r="B1038" s="174" t="str">
        <f>IFERROR(__xludf.DUMMYFUNCTION("""COMPUTED_VALUE"""),"Unlisted")</f>
        <v>Unlisted</v>
      </c>
      <c r="C1038" s="174" t="str">
        <f>IFERROR(__xludf.DUMMYFUNCTION("""COMPUTED_VALUE"""),"Proficient")</f>
        <v>Proficient</v>
      </c>
      <c r="D1038" s="174" t="str">
        <f>IFERROR(__xludf.DUMMYFUNCTION("""COMPUTED_VALUE"""),"Unlisted")</f>
        <v>Unlisted</v>
      </c>
      <c r="E1038" s="174" t="str">
        <f>IFERROR(__xludf.DUMMYFUNCTION("""COMPUTED_VALUE"""),"Mastered")</f>
        <v>Mastered</v>
      </c>
      <c r="F1038" s="174" t="str">
        <f>IFERROR(__xludf.DUMMYFUNCTION("""COMPUTED_VALUE"""),"Unlisted")</f>
        <v>Unlisted</v>
      </c>
      <c r="G1038" s="174" t="str">
        <f>IFERROR(__xludf.DUMMYFUNCTION("""COMPUTED_VALUE"""),"Proficient")</f>
        <v>Proficient</v>
      </c>
      <c r="H1038" s="174" t="str">
        <f>IFERROR(__xludf.DUMMYFUNCTION("""COMPUTED_VALUE"""),"Unlisted")</f>
        <v>Unlisted</v>
      </c>
      <c r="I1038" s="174" t="str">
        <f>IFERROR(__xludf.DUMMYFUNCTION("""COMPUTED_VALUE"""),"Unlisted")</f>
        <v>Unlisted</v>
      </c>
      <c r="J1038" s="174" t="str">
        <f>IFERROR(__xludf.DUMMYFUNCTION("""COMPUTED_VALUE"""),"Unlisted")</f>
        <v>Unlisted</v>
      </c>
      <c r="K1038" s="174" t="str">
        <f>IFERROR(__xludf.DUMMYFUNCTION("""COMPUTED_VALUE"""),"Unlisted")</f>
        <v>Unlisted</v>
      </c>
      <c r="L1038" s="174" t="str">
        <f>IFERROR(__xludf.DUMMYFUNCTION("""COMPUTED_VALUE"""),"Unlisted")</f>
        <v>Unlisted</v>
      </c>
      <c r="M1038" s="174" t="str">
        <f>IFERROR(__xludf.DUMMYFUNCTION("""COMPUTED_VALUE"""),"Unlisted")</f>
        <v>Unlisted</v>
      </c>
      <c r="N1038" s="174" t="str">
        <f>IFERROR(__xludf.DUMMYFUNCTION("""COMPUTED_VALUE"""),"Unlisted")</f>
        <v>Unlisted</v>
      </c>
      <c r="O1038" s="174" t="str">
        <f>IFERROR(__xludf.DUMMYFUNCTION("""COMPUTED_VALUE"""),"Unlisted")</f>
        <v>Unlisted</v>
      </c>
      <c r="P1038" s="174" t="str">
        <f>IFERROR(__xludf.DUMMYFUNCTION("""COMPUTED_VALUE"""),"Unlisted")</f>
        <v>Unlisted</v>
      </c>
      <c r="Q1038" s="174" t="str">
        <f>IFERROR(__xludf.DUMMYFUNCTION("""COMPUTED_VALUE"""),"Unlisted")</f>
        <v>Unlisted</v>
      </c>
      <c r="R1038" s="174" t="str">
        <f>IFERROR(__xludf.DUMMYFUNCTION("""COMPUTED_VALUE"""),"Unlisted")</f>
        <v>Unlisted</v>
      </c>
    </row>
    <row r="1039">
      <c r="A1039" s="255" t="str">
        <f>IFERROR(__xludf.DUMMYFUNCTION("""COMPUTED_VALUE"""),"Sawk")</f>
        <v>Sawk</v>
      </c>
      <c r="B1039" s="174" t="str">
        <f>IFERROR(__xludf.DUMMYFUNCTION("""COMPUTED_VALUE"""),"Unlisted")</f>
        <v>Unlisted</v>
      </c>
      <c r="C1039" s="174" t="str">
        <f>IFERROR(__xludf.DUMMYFUNCTION("""COMPUTED_VALUE"""),"Proficient")</f>
        <v>Proficient</v>
      </c>
      <c r="D1039" s="174" t="str">
        <f>IFERROR(__xludf.DUMMYFUNCTION("""COMPUTED_VALUE"""),"Unlisted")</f>
        <v>Unlisted</v>
      </c>
      <c r="E1039" s="174" t="str">
        <f>IFERROR(__xludf.DUMMYFUNCTION("""COMPUTED_VALUE"""),"Mastered")</f>
        <v>Mastered</v>
      </c>
      <c r="F1039" s="174" t="str">
        <f>IFERROR(__xludf.DUMMYFUNCTION("""COMPUTED_VALUE"""),"Unlisted")</f>
        <v>Unlisted</v>
      </c>
      <c r="G1039" s="174" t="str">
        <f>IFERROR(__xludf.DUMMYFUNCTION("""COMPUTED_VALUE"""),"Proficient")</f>
        <v>Proficient</v>
      </c>
      <c r="H1039" s="174" t="str">
        <f>IFERROR(__xludf.DUMMYFUNCTION("""COMPUTED_VALUE"""),"Unlisted")</f>
        <v>Unlisted</v>
      </c>
      <c r="I1039" s="174" t="str">
        <f>IFERROR(__xludf.DUMMYFUNCTION("""COMPUTED_VALUE"""),"Unlisted")</f>
        <v>Unlisted</v>
      </c>
      <c r="J1039" s="174" t="str">
        <f>IFERROR(__xludf.DUMMYFUNCTION("""COMPUTED_VALUE"""),"Unlisted")</f>
        <v>Unlisted</v>
      </c>
      <c r="K1039" s="174" t="str">
        <f>IFERROR(__xludf.DUMMYFUNCTION("""COMPUTED_VALUE"""),"Unlisted")</f>
        <v>Unlisted</v>
      </c>
      <c r="L1039" s="174" t="str">
        <f>IFERROR(__xludf.DUMMYFUNCTION("""COMPUTED_VALUE"""),"Unlisted")</f>
        <v>Unlisted</v>
      </c>
      <c r="M1039" s="174" t="str">
        <f>IFERROR(__xludf.DUMMYFUNCTION("""COMPUTED_VALUE"""),"Unlisted")</f>
        <v>Unlisted</v>
      </c>
      <c r="N1039" s="174" t="str">
        <f>IFERROR(__xludf.DUMMYFUNCTION("""COMPUTED_VALUE"""),"Unlisted")</f>
        <v>Unlisted</v>
      </c>
      <c r="O1039" s="174" t="str">
        <f>IFERROR(__xludf.DUMMYFUNCTION("""COMPUTED_VALUE"""),"Unlisted")</f>
        <v>Unlisted</v>
      </c>
      <c r="P1039" s="174" t="str">
        <f>IFERROR(__xludf.DUMMYFUNCTION("""COMPUTED_VALUE"""),"Unlisted")</f>
        <v>Unlisted</v>
      </c>
      <c r="Q1039" s="174" t="str">
        <f>IFERROR(__xludf.DUMMYFUNCTION("""COMPUTED_VALUE"""),"Unlisted")</f>
        <v>Unlisted</v>
      </c>
      <c r="R1039" s="174" t="str">
        <f>IFERROR(__xludf.DUMMYFUNCTION("""COMPUTED_VALUE"""),"Unlisted")</f>
        <v>Unlisted</v>
      </c>
    </row>
    <row r="1040">
      <c r="A1040" s="255" t="str">
        <f>IFERROR(__xludf.DUMMYFUNCTION("""COMPUTED_VALUE"""),"Hawlucha")</f>
        <v>Hawlucha</v>
      </c>
      <c r="B1040" s="174" t="str">
        <f>IFERROR(__xludf.DUMMYFUNCTION("""COMPUTED_VALUE"""),"Proficient")</f>
        <v>Proficient</v>
      </c>
      <c r="C1040" s="174" t="str">
        <f>IFERROR(__xludf.DUMMYFUNCTION("""COMPUTED_VALUE"""),"Unlisted")</f>
        <v>Unlisted</v>
      </c>
      <c r="D1040" s="174" t="str">
        <f>IFERROR(__xludf.DUMMYFUNCTION("""COMPUTED_VALUE"""),"Unlisted")</f>
        <v>Unlisted</v>
      </c>
      <c r="E1040" s="174" t="str">
        <f>IFERROR(__xludf.DUMMYFUNCTION("""COMPUTED_VALUE"""),"Mastered")</f>
        <v>Mastered</v>
      </c>
      <c r="F1040" s="174" t="str">
        <f>IFERROR(__xludf.DUMMYFUNCTION("""COMPUTED_VALUE"""),"Unlisted")</f>
        <v>Unlisted</v>
      </c>
      <c r="G1040" s="174" t="str">
        <f>IFERROR(__xludf.DUMMYFUNCTION("""COMPUTED_VALUE"""),"Unlisted")</f>
        <v>Unlisted</v>
      </c>
      <c r="H1040" s="174" t="str">
        <f>IFERROR(__xludf.DUMMYFUNCTION("""COMPUTED_VALUE"""),"Unlisted")</f>
        <v>Unlisted</v>
      </c>
      <c r="I1040" s="174" t="str">
        <f>IFERROR(__xludf.DUMMYFUNCTION("""COMPUTED_VALUE"""),"Unlisted")</f>
        <v>Unlisted</v>
      </c>
      <c r="J1040" s="174" t="str">
        <f>IFERROR(__xludf.DUMMYFUNCTION("""COMPUTED_VALUE"""),"Proficient")</f>
        <v>Proficient</v>
      </c>
      <c r="K1040" s="174" t="str">
        <f>IFERROR(__xludf.DUMMYFUNCTION("""COMPUTED_VALUE"""),"Unlisted")</f>
        <v>Unlisted</v>
      </c>
      <c r="L1040" s="174" t="str">
        <f>IFERROR(__xludf.DUMMYFUNCTION("""COMPUTED_VALUE"""),"Unlisted")</f>
        <v>Unlisted</v>
      </c>
      <c r="M1040" s="174" t="str">
        <f>IFERROR(__xludf.DUMMYFUNCTION("""COMPUTED_VALUE"""),"Unlisted")</f>
        <v>Unlisted</v>
      </c>
      <c r="N1040" s="174" t="str">
        <f>IFERROR(__xludf.DUMMYFUNCTION("""COMPUTED_VALUE"""),"Unlisted")</f>
        <v>Unlisted</v>
      </c>
      <c r="O1040" s="174" t="str">
        <f>IFERROR(__xludf.DUMMYFUNCTION("""COMPUTED_VALUE"""),"Unlisted")</f>
        <v>Unlisted</v>
      </c>
      <c r="P1040" s="174" t="str">
        <f>IFERROR(__xludf.DUMMYFUNCTION("""COMPUTED_VALUE"""),"Unlisted")</f>
        <v>Unlisted</v>
      </c>
      <c r="Q1040" s="174" t="str">
        <f>IFERROR(__xludf.DUMMYFUNCTION("""COMPUTED_VALUE"""),"Unlisted")</f>
        <v>Unlisted</v>
      </c>
      <c r="R1040" s="174" t="str">
        <f>IFERROR(__xludf.DUMMYFUNCTION("""COMPUTED_VALUE"""),"Unlisted")</f>
        <v>Unlisted</v>
      </c>
    </row>
    <row r="1041">
      <c r="A1041" s="255" t="str">
        <f>IFERROR(__xludf.DUMMYFUNCTION("""COMPUTED_VALUE"""),"Passimian")</f>
        <v>Passimian</v>
      </c>
      <c r="B1041" s="174" t="str">
        <f>IFERROR(__xludf.DUMMYFUNCTION("""COMPUTED_VALUE"""),"Proficient")</f>
        <v>Proficient</v>
      </c>
      <c r="C1041" s="174" t="str">
        <f>IFERROR(__xludf.DUMMYFUNCTION("""COMPUTED_VALUE"""),"Proficient")</f>
        <v>Proficient</v>
      </c>
      <c r="D1041" s="174" t="str">
        <f>IFERROR(__xludf.DUMMYFUNCTION("""COMPUTED_VALUE"""),"Unlisted")</f>
        <v>Unlisted</v>
      </c>
      <c r="E1041" s="174" t="str">
        <f>IFERROR(__xludf.DUMMYFUNCTION("""COMPUTED_VALUE"""),"Mastered")</f>
        <v>Mastered</v>
      </c>
      <c r="F1041" s="174" t="str">
        <f>IFERROR(__xludf.DUMMYFUNCTION("""COMPUTED_VALUE"""),"Unlisted")</f>
        <v>Unlisted</v>
      </c>
      <c r="G1041" s="174" t="str">
        <f>IFERROR(__xludf.DUMMYFUNCTION("""COMPUTED_VALUE"""),"Unlisted")</f>
        <v>Unlisted</v>
      </c>
      <c r="H1041" s="174" t="str">
        <f>IFERROR(__xludf.DUMMYFUNCTION("""COMPUTED_VALUE"""),"Unlisted")</f>
        <v>Unlisted</v>
      </c>
      <c r="I1041" s="174" t="str">
        <f>IFERROR(__xludf.DUMMYFUNCTION("""COMPUTED_VALUE"""),"Unlisted")</f>
        <v>Unlisted</v>
      </c>
      <c r="J1041" s="174" t="str">
        <f>IFERROR(__xludf.DUMMYFUNCTION("""COMPUTED_VALUE"""),"Unlisted")</f>
        <v>Unlisted</v>
      </c>
      <c r="K1041" s="174" t="str">
        <f>IFERROR(__xludf.DUMMYFUNCTION("""COMPUTED_VALUE"""),"Unlisted")</f>
        <v>Unlisted</v>
      </c>
      <c r="L1041" s="174" t="str">
        <f>IFERROR(__xludf.DUMMYFUNCTION("""COMPUTED_VALUE"""),"Unlisted")</f>
        <v>Unlisted</v>
      </c>
      <c r="M1041" s="174" t="str">
        <f>IFERROR(__xludf.DUMMYFUNCTION("""COMPUTED_VALUE"""),"Unlisted")</f>
        <v>Unlisted</v>
      </c>
      <c r="N1041" s="174" t="str">
        <f>IFERROR(__xludf.DUMMYFUNCTION("""COMPUTED_VALUE"""),"Unlisted")</f>
        <v>Unlisted</v>
      </c>
      <c r="O1041" s="174" t="str">
        <f>IFERROR(__xludf.DUMMYFUNCTION("""COMPUTED_VALUE"""),"Unlisted")</f>
        <v>Unlisted</v>
      </c>
      <c r="P1041" s="174" t="str">
        <f>IFERROR(__xludf.DUMMYFUNCTION("""COMPUTED_VALUE"""),"Unlisted")</f>
        <v>Unlisted</v>
      </c>
      <c r="Q1041" s="174" t="str">
        <f>IFERROR(__xludf.DUMMYFUNCTION("""COMPUTED_VALUE"""),"Unlisted")</f>
        <v>Unlisted</v>
      </c>
      <c r="R1041" s="174" t="str">
        <f>IFERROR(__xludf.DUMMYFUNCTION("""COMPUTED_VALUE"""),"Unlisted")</f>
        <v>Unlisted</v>
      </c>
    </row>
    <row r="1042">
      <c r="A1042" s="255" t="str">
        <f>IFERROR(__xludf.DUMMYFUNCTION("""COMPUTED_VALUE"""),"Falinks")</f>
        <v>Falinks</v>
      </c>
      <c r="B1042" s="174" t="str">
        <f>IFERROR(__xludf.DUMMYFUNCTION("""COMPUTED_VALUE"""),"Unlisted")</f>
        <v>Unlisted</v>
      </c>
      <c r="C1042" s="174" t="str">
        <f>IFERROR(__xludf.DUMMYFUNCTION("""COMPUTED_VALUE"""),"Proficient")</f>
        <v>Proficient</v>
      </c>
      <c r="D1042" s="174" t="str">
        <f>IFERROR(__xludf.DUMMYFUNCTION("""COMPUTED_VALUE"""),"Unlisted")</f>
        <v>Unlisted</v>
      </c>
      <c r="E1042" s="174" t="str">
        <f>IFERROR(__xludf.DUMMYFUNCTION("""COMPUTED_VALUE"""),"Mastered")</f>
        <v>Mastered</v>
      </c>
      <c r="F1042" s="174" t="str">
        <f>IFERROR(__xludf.DUMMYFUNCTION("""COMPUTED_VALUE"""),"Unlisted")</f>
        <v>Unlisted</v>
      </c>
      <c r="G1042" s="174" t="str">
        <f>IFERROR(__xludf.DUMMYFUNCTION("""COMPUTED_VALUE"""),"Proficient")</f>
        <v>Proficient</v>
      </c>
      <c r="H1042" s="174" t="str">
        <f>IFERROR(__xludf.DUMMYFUNCTION("""COMPUTED_VALUE"""),"Unlisted")</f>
        <v>Unlisted</v>
      </c>
      <c r="I1042" s="174" t="str">
        <f>IFERROR(__xludf.DUMMYFUNCTION("""COMPUTED_VALUE"""),"Unlisted")</f>
        <v>Unlisted</v>
      </c>
      <c r="J1042" s="174" t="str">
        <f>IFERROR(__xludf.DUMMYFUNCTION("""COMPUTED_VALUE"""),"Unlisted")</f>
        <v>Unlisted</v>
      </c>
      <c r="K1042" s="174" t="str">
        <f>IFERROR(__xludf.DUMMYFUNCTION("""COMPUTED_VALUE"""),"Proficient")</f>
        <v>Proficient</v>
      </c>
      <c r="L1042" s="174" t="str">
        <f>IFERROR(__xludf.DUMMYFUNCTION("""COMPUTED_VALUE"""),"Inept")</f>
        <v>Inept</v>
      </c>
      <c r="M1042" s="174" t="str">
        <f>IFERROR(__xludf.DUMMYFUNCTION("""COMPUTED_VALUE"""),"Unlisted")</f>
        <v>Unlisted</v>
      </c>
      <c r="N1042" s="174" t="str">
        <f>IFERROR(__xludf.DUMMYFUNCTION("""COMPUTED_VALUE"""),"Unlisted")</f>
        <v>Unlisted</v>
      </c>
      <c r="O1042" s="174" t="str">
        <f>IFERROR(__xludf.DUMMYFUNCTION("""COMPUTED_VALUE"""),"Unlisted")</f>
        <v>Unlisted</v>
      </c>
      <c r="P1042" s="174" t="str">
        <f>IFERROR(__xludf.DUMMYFUNCTION("""COMPUTED_VALUE"""),"Unlisted")</f>
        <v>Unlisted</v>
      </c>
      <c r="Q1042" s="174" t="str">
        <f>IFERROR(__xludf.DUMMYFUNCTION("""COMPUTED_VALUE"""),"Unlisted")</f>
        <v>Unlisted</v>
      </c>
      <c r="R1042" s="174" t="str">
        <f>IFERROR(__xludf.DUMMYFUNCTION("""COMPUTED_VALUE"""),"Unlisted")</f>
        <v>Unlisted</v>
      </c>
    </row>
    <row r="1043">
      <c r="A1043" s="255" t="str">
        <f>IFERROR(__xludf.DUMMYFUNCTION("""COMPUTED_VALUE"""),"Torkoal")</f>
        <v>Torkoal</v>
      </c>
      <c r="B1043" s="174" t="str">
        <f>IFERROR(__xludf.DUMMYFUNCTION("""COMPUTED_VALUE"""),"Inept")</f>
        <v>Inept</v>
      </c>
      <c r="C1043" s="174" t="str">
        <f>IFERROR(__xludf.DUMMYFUNCTION("""COMPUTED_VALUE"""),"Proficient")</f>
        <v>Proficient</v>
      </c>
      <c r="D1043" s="174" t="str">
        <f>IFERROR(__xludf.DUMMYFUNCTION("""COMPUTED_VALUE"""),"Unlisted")</f>
        <v>Unlisted</v>
      </c>
      <c r="E1043" s="174" t="str">
        <f>IFERROR(__xludf.DUMMYFUNCTION("""COMPUTED_VALUE"""),"Unlisted")</f>
        <v>Unlisted</v>
      </c>
      <c r="F1043" s="174" t="str">
        <f>IFERROR(__xludf.DUMMYFUNCTION("""COMPUTED_VALUE"""),"Unlisted")</f>
        <v>Unlisted</v>
      </c>
      <c r="G1043" s="174" t="str">
        <f>IFERROR(__xludf.DUMMYFUNCTION("""COMPUTED_VALUE"""),"Proficient")</f>
        <v>Proficient</v>
      </c>
      <c r="H1043" s="174" t="str">
        <f>IFERROR(__xludf.DUMMYFUNCTION("""COMPUTED_VALUE"""),"Unlisted")</f>
        <v>Unlisted</v>
      </c>
      <c r="I1043" s="174" t="str">
        <f>IFERROR(__xludf.DUMMYFUNCTION("""COMPUTED_VALUE"""),"Unlisted")</f>
        <v>Unlisted</v>
      </c>
      <c r="J1043" s="174" t="str">
        <f>IFERROR(__xludf.DUMMYFUNCTION("""COMPUTED_VALUE"""),"Unlisted")</f>
        <v>Unlisted</v>
      </c>
      <c r="K1043" s="174" t="str">
        <f>IFERROR(__xludf.DUMMYFUNCTION("""COMPUTED_VALUE"""),"Unlisted")</f>
        <v>Unlisted</v>
      </c>
      <c r="L1043" s="174" t="str">
        <f>IFERROR(__xludf.DUMMYFUNCTION("""COMPUTED_VALUE"""),"Unlisted")</f>
        <v>Unlisted</v>
      </c>
      <c r="M1043" s="174" t="str">
        <f>IFERROR(__xludf.DUMMYFUNCTION("""COMPUTED_VALUE"""),"Unlisted")</f>
        <v>Unlisted</v>
      </c>
      <c r="N1043" s="174" t="str">
        <f>IFERROR(__xludf.DUMMYFUNCTION("""COMPUTED_VALUE"""),"Unlisted")</f>
        <v>Unlisted</v>
      </c>
      <c r="O1043" s="174" t="str">
        <f>IFERROR(__xludf.DUMMYFUNCTION("""COMPUTED_VALUE"""),"Proficient")</f>
        <v>Proficient</v>
      </c>
      <c r="P1043" s="174" t="str">
        <f>IFERROR(__xludf.DUMMYFUNCTION("""COMPUTED_VALUE"""),"Unlisted")</f>
        <v>Unlisted</v>
      </c>
      <c r="Q1043" s="174" t="str">
        <f>IFERROR(__xludf.DUMMYFUNCTION("""COMPUTED_VALUE"""),"Unlisted")</f>
        <v>Unlisted</v>
      </c>
      <c r="R1043" s="174" t="str">
        <f>IFERROR(__xludf.DUMMYFUNCTION("""COMPUTED_VALUE"""),"Unlisted")</f>
        <v>Unlisted</v>
      </c>
    </row>
    <row r="1044">
      <c r="A1044" s="255" t="str">
        <f>IFERROR(__xludf.DUMMYFUNCTION("""COMPUTED_VALUE"""),"Heatmor")</f>
        <v>Heatmor</v>
      </c>
      <c r="B1044" s="174" t="str">
        <f>IFERROR(__xludf.DUMMYFUNCTION("""COMPUTED_VALUE"""),"Unlisted")</f>
        <v>Unlisted</v>
      </c>
      <c r="C1044" s="174" t="str">
        <f>IFERROR(__xludf.DUMMYFUNCTION("""COMPUTED_VALUE"""),"Unlisted")</f>
        <v>Unlisted</v>
      </c>
      <c r="D1044" s="174" t="str">
        <f>IFERROR(__xludf.DUMMYFUNCTION("""COMPUTED_VALUE"""),"Unlisted")</f>
        <v>Unlisted</v>
      </c>
      <c r="E1044" s="174" t="str">
        <f>IFERROR(__xludf.DUMMYFUNCTION("""COMPUTED_VALUE"""),"Unlisted")</f>
        <v>Unlisted</v>
      </c>
      <c r="F1044" s="174" t="str">
        <f>IFERROR(__xludf.DUMMYFUNCTION("""COMPUTED_VALUE"""),"Unlisted")</f>
        <v>Unlisted</v>
      </c>
      <c r="G1044" s="174" t="str">
        <f>IFERROR(__xludf.DUMMYFUNCTION("""COMPUTED_VALUE"""),"Proficient")</f>
        <v>Proficient</v>
      </c>
      <c r="H1044" s="174" t="str">
        <f>IFERROR(__xludf.DUMMYFUNCTION("""COMPUTED_VALUE"""),"Unlisted")</f>
        <v>Unlisted</v>
      </c>
      <c r="I1044" s="174" t="str">
        <f>IFERROR(__xludf.DUMMYFUNCTION("""COMPUTED_VALUE"""),"Unlisted")</f>
        <v>Unlisted</v>
      </c>
      <c r="J1044" s="174" t="str">
        <f>IFERROR(__xludf.DUMMYFUNCTION("""COMPUTED_VALUE"""),"Unlisted")</f>
        <v>Unlisted</v>
      </c>
      <c r="K1044" s="174" t="str">
        <f>IFERROR(__xludf.DUMMYFUNCTION("""COMPUTED_VALUE"""),"Proficient")</f>
        <v>Proficient</v>
      </c>
      <c r="L1044" s="174" t="str">
        <f>IFERROR(__xludf.DUMMYFUNCTION("""COMPUTED_VALUE"""),"Unlisted")</f>
        <v>Unlisted</v>
      </c>
      <c r="M1044" s="174" t="str">
        <f>IFERROR(__xludf.DUMMYFUNCTION("""COMPUTED_VALUE"""),"Unlisted")</f>
        <v>Unlisted</v>
      </c>
      <c r="N1044" s="174" t="str">
        <f>IFERROR(__xludf.DUMMYFUNCTION("""COMPUTED_VALUE"""),"Unlisted")</f>
        <v>Unlisted</v>
      </c>
      <c r="O1044" s="174" t="str">
        <f>IFERROR(__xludf.DUMMYFUNCTION("""COMPUTED_VALUE"""),"Unlisted")</f>
        <v>Unlisted</v>
      </c>
      <c r="P1044" s="174" t="str">
        <f>IFERROR(__xludf.DUMMYFUNCTION("""COMPUTED_VALUE"""),"Unlisted")</f>
        <v>Unlisted</v>
      </c>
      <c r="Q1044" s="174" t="str">
        <f>IFERROR(__xludf.DUMMYFUNCTION("""COMPUTED_VALUE"""),"Unlisted")</f>
        <v>Unlisted</v>
      </c>
      <c r="R1044" s="174" t="str">
        <f>IFERROR(__xludf.DUMMYFUNCTION("""COMPUTED_VALUE"""),"Unlisted")</f>
        <v>Unlisted</v>
      </c>
    </row>
    <row r="1045">
      <c r="A1045" s="255" t="str">
        <f>IFERROR(__xludf.DUMMYFUNCTION("""COMPUTED_VALUE"""),"Turtonator")</f>
        <v>Turtonator</v>
      </c>
      <c r="B1045" s="174" t="str">
        <f>IFERROR(__xludf.DUMMYFUNCTION("""COMPUTED_VALUE"""),"Inept")</f>
        <v>Inept</v>
      </c>
      <c r="C1045" s="174" t="str">
        <f>IFERROR(__xludf.DUMMYFUNCTION("""COMPUTED_VALUE"""),"Mastered")</f>
        <v>Mastered</v>
      </c>
      <c r="D1045" s="174" t="str">
        <f>IFERROR(__xludf.DUMMYFUNCTION("""COMPUTED_VALUE"""),"Unlisted")</f>
        <v>Unlisted</v>
      </c>
      <c r="E1045" s="174" t="str">
        <f>IFERROR(__xludf.DUMMYFUNCTION("""COMPUTED_VALUE"""),"Proficient")</f>
        <v>Proficient</v>
      </c>
      <c r="F1045" s="174" t="str">
        <f>IFERROR(__xludf.DUMMYFUNCTION("""COMPUTED_VALUE"""),"Unlisted")</f>
        <v>Unlisted</v>
      </c>
      <c r="G1045" s="174" t="str">
        <f>IFERROR(__xludf.DUMMYFUNCTION("""COMPUTED_VALUE"""),"Unlisted")</f>
        <v>Unlisted</v>
      </c>
      <c r="H1045" s="174" t="str">
        <f>IFERROR(__xludf.DUMMYFUNCTION("""COMPUTED_VALUE"""),"Unlisted")</f>
        <v>Unlisted</v>
      </c>
      <c r="I1045" s="174" t="str">
        <f>IFERROR(__xludf.DUMMYFUNCTION("""COMPUTED_VALUE"""),"Unlisted")</f>
        <v>Unlisted</v>
      </c>
      <c r="J1045" s="174" t="str">
        <f>IFERROR(__xludf.DUMMYFUNCTION("""COMPUTED_VALUE"""),"Unlisted")</f>
        <v>Unlisted</v>
      </c>
      <c r="K1045" s="174" t="str">
        <f>IFERROR(__xludf.DUMMYFUNCTION("""COMPUTED_VALUE"""),"Proficient")</f>
        <v>Proficient</v>
      </c>
      <c r="L1045" s="174" t="str">
        <f>IFERROR(__xludf.DUMMYFUNCTION("""COMPUTED_VALUE"""),"Proficient")</f>
        <v>Proficient</v>
      </c>
      <c r="M1045" s="174" t="str">
        <f>IFERROR(__xludf.DUMMYFUNCTION("""COMPUTED_VALUE"""),"Unlisted")</f>
        <v>Unlisted</v>
      </c>
      <c r="N1045" s="174" t="str">
        <f>IFERROR(__xludf.DUMMYFUNCTION("""COMPUTED_VALUE"""),"Unlisted")</f>
        <v>Unlisted</v>
      </c>
      <c r="O1045" s="174" t="str">
        <f>IFERROR(__xludf.DUMMYFUNCTION("""COMPUTED_VALUE"""),"Unlisted")</f>
        <v>Unlisted</v>
      </c>
      <c r="P1045" s="174" t="str">
        <f>IFERROR(__xludf.DUMMYFUNCTION("""COMPUTED_VALUE"""),"Unlisted")</f>
        <v>Unlisted</v>
      </c>
      <c r="Q1045" s="174" t="str">
        <f>IFERROR(__xludf.DUMMYFUNCTION("""COMPUTED_VALUE"""),"Unlisted")</f>
        <v>Unlisted</v>
      </c>
      <c r="R1045" s="174" t="str">
        <f>IFERROR(__xludf.DUMMYFUNCTION("""COMPUTED_VALUE"""),"Unlisted")</f>
        <v>Unlisted</v>
      </c>
    </row>
    <row r="1046">
      <c r="A1046" s="255" t="str">
        <f>IFERROR(__xludf.DUMMYFUNCTION("""COMPUTED_VALUE"""),"Cramorant")</f>
        <v>Cramorant</v>
      </c>
      <c r="B1046" s="174" t="str">
        <f>IFERROR(__xludf.DUMMYFUNCTION("""COMPUTED_VALUE"""),"Proficient")</f>
        <v>Proficient</v>
      </c>
      <c r="C1046" s="174" t="str">
        <f>IFERROR(__xludf.DUMMYFUNCTION("""COMPUTED_VALUE"""),"Unlisted")</f>
        <v>Unlisted</v>
      </c>
      <c r="D1046" s="174" t="str">
        <f>IFERROR(__xludf.DUMMYFUNCTION("""COMPUTED_VALUE"""),"Unlisted")</f>
        <v>Unlisted</v>
      </c>
      <c r="E1046" s="174" t="str">
        <f>IFERROR(__xludf.DUMMYFUNCTION("""COMPUTED_VALUE"""),"Unlisted")</f>
        <v>Unlisted</v>
      </c>
      <c r="F1046" s="174" t="str">
        <f>IFERROR(__xludf.DUMMYFUNCTION("""COMPUTED_VALUE"""),"Unlisted")</f>
        <v>Unlisted</v>
      </c>
      <c r="G1046" s="174" t="str">
        <f>IFERROR(__xludf.DUMMYFUNCTION("""COMPUTED_VALUE"""),"Inept")</f>
        <v>Inept</v>
      </c>
      <c r="H1046" s="174" t="str">
        <f>IFERROR(__xludf.DUMMYFUNCTION("""COMPUTED_VALUE"""),"Unlisted")</f>
        <v>Unlisted</v>
      </c>
      <c r="I1046" s="174" t="str">
        <f>IFERROR(__xludf.DUMMYFUNCTION("""COMPUTED_VALUE"""),"Unlisted")</f>
        <v>Unlisted</v>
      </c>
      <c r="J1046" s="174" t="str">
        <f>IFERROR(__xludf.DUMMYFUNCTION("""COMPUTED_VALUE"""),"Proficient")</f>
        <v>Proficient</v>
      </c>
      <c r="K1046" s="174" t="str">
        <f>IFERROR(__xludf.DUMMYFUNCTION("""COMPUTED_VALUE"""),"Mastered")</f>
        <v>Mastered</v>
      </c>
      <c r="L1046" s="174" t="str">
        <f>IFERROR(__xludf.DUMMYFUNCTION("""COMPUTED_VALUE"""),"Proficient")</f>
        <v>Proficient</v>
      </c>
      <c r="M1046" s="174" t="str">
        <f>IFERROR(__xludf.DUMMYFUNCTION("""COMPUTED_VALUE"""),"Unlisted")</f>
        <v>Unlisted</v>
      </c>
      <c r="N1046" s="174" t="str">
        <f>IFERROR(__xludf.DUMMYFUNCTION("""COMPUTED_VALUE"""),"Unlisted")</f>
        <v>Unlisted</v>
      </c>
      <c r="O1046" s="174" t="str">
        <f>IFERROR(__xludf.DUMMYFUNCTION("""COMPUTED_VALUE"""),"Unlisted")</f>
        <v>Unlisted</v>
      </c>
      <c r="P1046" s="174" t="str">
        <f>IFERROR(__xludf.DUMMYFUNCTION("""COMPUTED_VALUE"""),"Unlisted")</f>
        <v>Unlisted</v>
      </c>
      <c r="Q1046" s="174" t="str">
        <f>IFERROR(__xludf.DUMMYFUNCTION("""COMPUTED_VALUE"""),"Unlisted")</f>
        <v>Unlisted</v>
      </c>
      <c r="R1046" s="174" t="str">
        <f>IFERROR(__xludf.DUMMYFUNCTION("""COMPUTED_VALUE"""),"Unlisted")</f>
        <v>Unlisted</v>
      </c>
    </row>
    <row r="1047">
      <c r="A1047" s="255" t="str">
        <f>IFERROR(__xludf.DUMMYFUNCTION("""COMPUTED_VALUE"""),"Bombirdier")</f>
        <v>Bombirdier</v>
      </c>
      <c r="B1047" s="174" t="str">
        <f>IFERROR(__xludf.DUMMYFUNCTION("""COMPUTED_VALUE"""),"Proficient")</f>
        <v>Proficient</v>
      </c>
      <c r="C1047" s="174" t="str">
        <f>IFERROR(__xludf.DUMMYFUNCTION("""COMPUTED_VALUE"""),"Unlisted")</f>
        <v>Unlisted</v>
      </c>
      <c r="D1047" s="174" t="str">
        <f>IFERROR(__xludf.DUMMYFUNCTION("""COMPUTED_VALUE"""),"Unlisted")</f>
        <v>Unlisted</v>
      </c>
      <c r="E1047" s="174" t="str">
        <f>IFERROR(__xludf.DUMMYFUNCTION("""COMPUTED_VALUE"""),"Proficient")</f>
        <v>Proficient</v>
      </c>
      <c r="F1047" s="174" t="str">
        <f>IFERROR(__xludf.DUMMYFUNCTION("""COMPUTED_VALUE"""),"Unlisted")</f>
        <v>Unlisted</v>
      </c>
      <c r="G1047" s="174" t="str">
        <f>IFERROR(__xludf.DUMMYFUNCTION("""COMPUTED_VALUE"""),"Unlisted")</f>
        <v>Unlisted</v>
      </c>
      <c r="H1047" s="174" t="str">
        <f>IFERROR(__xludf.DUMMYFUNCTION("""COMPUTED_VALUE"""),"Unlisted")</f>
        <v>Unlisted</v>
      </c>
      <c r="I1047" s="174" t="str">
        <f>IFERROR(__xludf.DUMMYFUNCTION("""COMPUTED_VALUE"""),"Proficient")</f>
        <v>Proficient</v>
      </c>
      <c r="J1047" s="174" t="str">
        <f>IFERROR(__xludf.DUMMYFUNCTION("""COMPUTED_VALUE"""),"Unlisted")</f>
        <v>Unlisted</v>
      </c>
      <c r="K1047" s="174" t="str">
        <f>IFERROR(__xludf.DUMMYFUNCTION("""COMPUTED_VALUE"""),"Unlisted")</f>
        <v>Unlisted</v>
      </c>
      <c r="L1047" s="174" t="str">
        <f>IFERROR(__xludf.DUMMYFUNCTION("""COMPUTED_VALUE"""),"Unlisted")</f>
        <v>Unlisted</v>
      </c>
      <c r="M1047" s="174" t="str">
        <f>IFERROR(__xludf.DUMMYFUNCTION("""COMPUTED_VALUE"""),"Unlisted")</f>
        <v>Unlisted</v>
      </c>
      <c r="N1047" s="174" t="str">
        <f>IFERROR(__xludf.DUMMYFUNCTION("""COMPUTED_VALUE"""),"Unlisted")</f>
        <v>Unlisted</v>
      </c>
      <c r="O1047" s="174" t="str">
        <f>IFERROR(__xludf.DUMMYFUNCTION("""COMPUTED_VALUE"""),"Unlisted")</f>
        <v>Unlisted</v>
      </c>
      <c r="P1047" s="174" t="str">
        <f>IFERROR(__xludf.DUMMYFUNCTION("""COMPUTED_VALUE"""),"Unlisted")</f>
        <v>Unlisted</v>
      </c>
      <c r="Q1047" s="174" t="str">
        <f>IFERROR(__xludf.DUMMYFUNCTION("""COMPUTED_VALUE"""),"Unlisted")</f>
        <v>Unlisted</v>
      </c>
      <c r="R1047" s="174" t="str">
        <f>IFERROR(__xludf.DUMMYFUNCTION("""COMPUTED_VALUE"""),"Unlisted")</f>
        <v>Unlisted</v>
      </c>
    </row>
    <row r="1048">
      <c r="A1048" s="255" t="str">
        <f>IFERROR(__xludf.DUMMYFUNCTION("""COMPUTED_VALUE"""),"Flamigo")</f>
        <v>Flamigo</v>
      </c>
      <c r="B1048" s="174" t="str">
        <f>IFERROR(__xludf.DUMMYFUNCTION("""COMPUTED_VALUE"""),"Unlisted")</f>
        <v>Unlisted</v>
      </c>
      <c r="C1048" s="174" t="str">
        <f>IFERROR(__xludf.DUMMYFUNCTION("""COMPUTED_VALUE"""),"Proficient")</f>
        <v>Proficient</v>
      </c>
      <c r="D1048" s="174" t="str">
        <f>IFERROR(__xludf.DUMMYFUNCTION("""COMPUTED_VALUE"""),"Unlisted")</f>
        <v>Unlisted</v>
      </c>
      <c r="E1048" s="174" t="str">
        <f>IFERROR(__xludf.DUMMYFUNCTION("""COMPUTED_VALUE"""),"Proficient")</f>
        <v>Proficient</v>
      </c>
      <c r="F1048" s="174" t="str">
        <f>IFERROR(__xludf.DUMMYFUNCTION("""COMPUTED_VALUE"""),"Unlisted")</f>
        <v>Unlisted</v>
      </c>
      <c r="G1048" s="174" t="str">
        <f>IFERROR(__xludf.DUMMYFUNCTION("""COMPUTED_VALUE"""),"Unlisted")</f>
        <v>Unlisted</v>
      </c>
      <c r="H1048" s="174" t="str">
        <f>IFERROR(__xludf.DUMMYFUNCTION("""COMPUTED_VALUE"""),"Unlisted")</f>
        <v>Unlisted</v>
      </c>
      <c r="I1048" s="174" t="str">
        <f>IFERROR(__xludf.DUMMYFUNCTION("""COMPUTED_VALUE"""),"Unlisted")</f>
        <v>Unlisted</v>
      </c>
      <c r="J1048" s="174" t="str">
        <f>IFERROR(__xludf.DUMMYFUNCTION("""COMPUTED_VALUE"""),"Proficient")</f>
        <v>Proficient</v>
      </c>
      <c r="K1048" s="174" t="str">
        <f>IFERROR(__xludf.DUMMYFUNCTION("""COMPUTED_VALUE"""),"Unlisted")</f>
        <v>Unlisted</v>
      </c>
      <c r="L1048" s="174" t="str">
        <f>IFERROR(__xludf.DUMMYFUNCTION("""COMPUTED_VALUE"""),"Unlisted")</f>
        <v>Unlisted</v>
      </c>
      <c r="M1048" s="174" t="str">
        <f>IFERROR(__xludf.DUMMYFUNCTION("""COMPUTED_VALUE"""),"Unlisted")</f>
        <v>Unlisted</v>
      </c>
      <c r="N1048" s="174" t="str">
        <f>IFERROR(__xludf.DUMMYFUNCTION("""COMPUTED_VALUE"""),"Unlisted")</f>
        <v>Unlisted</v>
      </c>
      <c r="O1048" s="174" t="str">
        <f>IFERROR(__xludf.DUMMYFUNCTION("""COMPUTED_VALUE"""),"Unlisted")</f>
        <v>Unlisted</v>
      </c>
      <c r="P1048" s="174" t="str">
        <f>IFERROR(__xludf.DUMMYFUNCTION("""COMPUTED_VALUE"""),"Unlisted")</f>
        <v>Unlisted</v>
      </c>
      <c r="Q1048" s="174" t="str">
        <f>IFERROR(__xludf.DUMMYFUNCTION("""COMPUTED_VALUE"""),"Unlisted")</f>
        <v>Unlisted</v>
      </c>
      <c r="R1048" s="174" t="str">
        <f>IFERROR(__xludf.DUMMYFUNCTION("""COMPUTED_VALUE"""),"Unlisted")</f>
        <v>Unlisted</v>
      </c>
    </row>
    <row r="1049">
      <c r="A1049" s="255" t="str">
        <f>IFERROR(__xludf.DUMMYFUNCTION("""COMPUTED_VALUE"""),"Spiritomb")</f>
        <v>Spiritomb</v>
      </c>
      <c r="B1049" s="174" t="str">
        <f>IFERROR(__xludf.DUMMYFUNCTION("""COMPUTED_VALUE"""),"Inept")</f>
        <v>Inept</v>
      </c>
      <c r="C1049" s="174" t="str">
        <f>IFERROR(__xludf.DUMMYFUNCTION("""COMPUTED_VALUE"""),"Inept")</f>
        <v>Inept</v>
      </c>
      <c r="D1049" s="174" t="str">
        <f>IFERROR(__xludf.DUMMYFUNCTION("""COMPUTED_VALUE"""),"Unlisted")</f>
        <v>Unlisted</v>
      </c>
      <c r="E1049" s="174" t="str">
        <f>IFERROR(__xludf.DUMMYFUNCTION("""COMPUTED_VALUE"""),"Unlisted")</f>
        <v>Unlisted</v>
      </c>
      <c r="F1049" s="174" t="str">
        <f>IFERROR(__xludf.DUMMYFUNCTION("""COMPUTED_VALUE"""),"Unlisted")</f>
        <v>Unlisted</v>
      </c>
      <c r="G1049" s="174" t="str">
        <f>IFERROR(__xludf.DUMMYFUNCTION("""COMPUTED_VALUE"""),"Mastered")</f>
        <v>Mastered</v>
      </c>
      <c r="H1049" s="174" t="str">
        <f>IFERROR(__xludf.DUMMYFUNCTION("""COMPUTED_VALUE"""),"Unlisted")</f>
        <v>Unlisted</v>
      </c>
      <c r="I1049" s="174" t="str">
        <f>IFERROR(__xludf.DUMMYFUNCTION("""COMPUTED_VALUE"""),"Proficient")</f>
        <v>Proficient</v>
      </c>
      <c r="J1049" s="174" t="str">
        <f>IFERROR(__xludf.DUMMYFUNCTION("""COMPUTED_VALUE"""),"Proficient")</f>
        <v>Proficient</v>
      </c>
      <c r="K1049" s="174" t="str">
        <f>IFERROR(__xludf.DUMMYFUNCTION("""COMPUTED_VALUE"""),"Proficient")</f>
        <v>Proficient</v>
      </c>
      <c r="L1049" s="174" t="str">
        <f>IFERROR(__xludf.DUMMYFUNCTION("""COMPUTED_VALUE"""),"Unlisted")</f>
        <v>Unlisted</v>
      </c>
      <c r="M1049" s="174" t="str">
        <f>IFERROR(__xludf.DUMMYFUNCTION("""COMPUTED_VALUE"""),"Unlisted")</f>
        <v>Unlisted</v>
      </c>
      <c r="N1049" s="174" t="str">
        <f>IFERROR(__xludf.DUMMYFUNCTION("""COMPUTED_VALUE"""),"Unlisted")</f>
        <v>Unlisted</v>
      </c>
      <c r="O1049" s="174" t="str">
        <f>IFERROR(__xludf.DUMMYFUNCTION("""COMPUTED_VALUE"""),"Unlisted")</f>
        <v>Unlisted</v>
      </c>
      <c r="P1049" s="174" t="str">
        <f>IFERROR(__xludf.DUMMYFUNCTION("""COMPUTED_VALUE"""),"Unlisted")</f>
        <v>Unlisted</v>
      </c>
      <c r="Q1049" s="174" t="str">
        <f>IFERROR(__xludf.DUMMYFUNCTION("""COMPUTED_VALUE"""),"Unlisted")</f>
        <v>Unlisted</v>
      </c>
      <c r="R1049" s="174" t="str">
        <f>IFERROR(__xludf.DUMMYFUNCTION("""COMPUTED_VALUE"""),"Unlisted")</f>
        <v>Unlisted</v>
      </c>
    </row>
    <row r="1050">
      <c r="A1050" s="255" t="str">
        <f>IFERROR(__xludf.DUMMYFUNCTION("""COMPUTED_VALUE"""),"Mimikyu")</f>
        <v>Mimikyu</v>
      </c>
      <c r="B1050" s="174" t="str">
        <f>IFERROR(__xludf.DUMMYFUNCTION("""COMPUTED_VALUE"""),"Unlisted")</f>
        <v>Unlisted</v>
      </c>
      <c r="C1050" s="174" t="str">
        <f>IFERROR(__xludf.DUMMYFUNCTION("""COMPUTED_VALUE"""),"Unlisted")</f>
        <v>Unlisted</v>
      </c>
      <c r="D1050" s="174" t="str">
        <f>IFERROR(__xludf.DUMMYFUNCTION("""COMPUTED_VALUE"""),"Unlisted")</f>
        <v>Unlisted</v>
      </c>
      <c r="E1050" s="174" t="str">
        <f>IFERROR(__xludf.DUMMYFUNCTION("""COMPUTED_VALUE"""),"Unlisted")</f>
        <v>Unlisted</v>
      </c>
      <c r="F1050" s="174" t="str">
        <f>IFERROR(__xludf.DUMMYFUNCTION("""COMPUTED_VALUE"""),"Unlisted")</f>
        <v>Unlisted</v>
      </c>
      <c r="G1050" s="174" t="str">
        <f>IFERROR(__xludf.DUMMYFUNCTION("""COMPUTED_VALUE"""),"Unlisted")</f>
        <v>Unlisted</v>
      </c>
      <c r="H1050" s="174" t="str">
        <f>IFERROR(__xludf.DUMMYFUNCTION("""COMPUTED_VALUE"""),"Unlisted")</f>
        <v>Unlisted</v>
      </c>
      <c r="I1050" s="174" t="str">
        <f>IFERROR(__xludf.DUMMYFUNCTION("""COMPUTED_VALUE"""),"Proficient")</f>
        <v>Proficient</v>
      </c>
      <c r="J1050" s="174" t="str">
        <f>IFERROR(__xludf.DUMMYFUNCTION("""COMPUTED_VALUE"""),"Unlisted")</f>
        <v>Unlisted</v>
      </c>
      <c r="K1050" s="174" t="str">
        <f>IFERROR(__xludf.DUMMYFUNCTION("""COMPUTED_VALUE"""),"Unlisted")</f>
        <v>Unlisted</v>
      </c>
      <c r="L1050" s="174" t="str">
        <f>IFERROR(__xludf.DUMMYFUNCTION("""COMPUTED_VALUE"""),"Proficient")</f>
        <v>Proficient</v>
      </c>
      <c r="M1050" s="174" t="str">
        <f>IFERROR(__xludf.DUMMYFUNCTION("""COMPUTED_VALUE"""),"Unlisted")</f>
        <v>Unlisted</v>
      </c>
      <c r="N1050" s="174" t="str">
        <f>IFERROR(__xludf.DUMMYFUNCTION("""COMPUTED_VALUE"""),"Unlisted")</f>
        <v>Unlisted</v>
      </c>
      <c r="O1050" s="174" t="str">
        <f>IFERROR(__xludf.DUMMYFUNCTION("""COMPUTED_VALUE"""),"Unlisted")</f>
        <v>Unlisted</v>
      </c>
      <c r="P1050" s="174" t="str">
        <f>IFERROR(__xludf.DUMMYFUNCTION("""COMPUTED_VALUE"""),"Unlisted")</f>
        <v>Unlisted</v>
      </c>
      <c r="Q1050" s="174" t="str">
        <f>IFERROR(__xludf.DUMMYFUNCTION("""COMPUTED_VALUE"""),"Unlisted")</f>
        <v>Unlisted</v>
      </c>
      <c r="R1050" s="174" t="str">
        <f>IFERROR(__xludf.DUMMYFUNCTION("""COMPUTED_VALUE"""),"Unlisted")</f>
        <v>Unlisted</v>
      </c>
    </row>
    <row r="1051">
      <c r="A1051" s="255" t="str">
        <f>IFERROR(__xludf.DUMMYFUNCTION("""COMPUTED_VALUE"""),"Dhelmise")</f>
        <v>Dhelmise</v>
      </c>
      <c r="B1051" s="174" t="str">
        <f>IFERROR(__xludf.DUMMYFUNCTION("""COMPUTED_VALUE"""),"Unlisted")</f>
        <v>Unlisted</v>
      </c>
      <c r="C1051" s="174" t="str">
        <f>IFERROR(__xludf.DUMMYFUNCTION("""COMPUTED_VALUE"""),"Proficient")</f>
        <v>Proficient</v>
      </c>
      <c r="D1051" s="174" t="str">
        <f>IFERROR(__xludf.DUMMYFUNCTION("""COMPUTED_VALUE"""),"Unlisted")</f>
        <v>Unlisted</v>
      </c>
      <c r="E1051" s="174" t="str">
        <f>IFERROR(__xludf.DUMMYFUNCTION("""COMPUTED_VALUE"""),"Unlisted")</f>
        <v>Unlisted</v>
      </c>
      <c r="F1051" s="174" t="str">
        <f>IFERROR(__xludf.DUMMYFUNCTION("""COMPUTED_VALUE"""),"Unlisted")</f>
        <v>Unlisted</v>
      </c>
      <c r="G1051" s="174" t="str">
        <f>IFERROR(__xludf.DUMMYFUNCTION("""COMPUTED_VALUE"""),"Unlisted")</f>
        <v>Unlisted</v>
      </c>
      <c r="H1051" s="174" t="str">
        <f>IFERROR(__xludf.DUMMYFUNCTION("""COMPUTED_VALUE"""),"Unlisted")</f>
        <v>Unlisted</v>
      </c>
      <c r="I1051" s="174" t="str">
        <f>IFERROR(__xludf.DUMMYFUNCTION("""COMPUTED_VALUE"""),"Unlisted")</f>
        <v>Unlisted</v>
      </c>
      <c r="J1051" s="174" t="str">
        <f>IFERROR(__xludf.DUMMYFUNCTION("""COMPUTED_VALUE"""),"Unlisted")</f>
        <v>Unlisted</v>
      </c>
      <c r="K1051" s="174" t="str">
        <f>IFERROR(__xludf.DUMMYFUNCTION("""COMPUTED_VALUE"""),"Proficient")</f>
        <v>Proficient</v>
      </c>
      <c r="L1051" s="174" t="str">
        <f>IFERROR(__xludf.DUMMYFUNCTION("""COMPUTED_VALUE"""),"Unlisted")</f>
        <v>Unlisted</v>
      </c>
      <c r="M1051" s="174" t="str">
        <f>IFERROR(__xludf.DUMMYFUNCTION("""COMPUTED_VALUE"""),"Unlisted")</f>
        <v>Unlisted</v>
      </c>
      <c r="N1051" s="174" t="str">
        <f>IFERROR(__xludf.DUMMYFUNCTION("""COMPUTED_VALUE"""),"Unlisted")</f>
        <v>Unlisted</v>
      </c>
      <c r="O1051" s="174" t="str">
        <f>IFERROR(__xludf.DUMMYFUNCTION("""COMPUTED_VALUE"""),"Unlisted")</f>
        <v>Unlisted</v>
      </c>
      <c r="P1051" s="174" t="str">
        <f>IFERROR(__xludf.DUMMYFUNCTION("""COMPUTED_VALUE"""),"Unlisted")</f>
        <v>Unlisted</v>
      </c>
      <c r="Q1051" s="174" t="str">
        <f>IFERROR(__xludf.DUMMYFUNCTION("""COMPUTED_VALUE"""),"Unlisted")</f>
        <v>Unlisted</v>
      </c>
      <c r="R1051" s="174" t="str">
        <f>IFERROR(__xludf.DUMMYFUNCTION("""COMPUTED_VALUE"""),"Unlisted")</f>
        <v>Unlisted</v>
      </c>
    </row>
    <row r="1052">
      <c r="A1052" s="255" t="str">
        <f>IFERROR(__xludf.DUMMYFUNCTION("""COMPUTED_VALUE"""),"Tropius")</f>
        <v>Tropius</v>
      </c>
      <c r="B1052" s="174" t="str">
        <f>IFERROR(__xludf.DUMMYFUNCTION("""COMPUTED_VALUE"""),"Unlisted")</f>
        <v>Unlisted</v>
      </c>
      <c r="C1052" s="174" t="str">
        <f>IFERROR(__xludf.DUMMYFUNCTION("""COMPUTED_VALUE"""),"Proficient")</f>
        <v>Proficient</v>
      </c>
      <c r="D1052" s="174" t="str">
        <f>IFERROR(__xludf.DUMMYFUNCTION("""COMPUTED_VALUE"""),"Unlisted")</f>
        <v>Unlisted</v>
      </c>
      <c r="E1052" s="174" t="str">
        <f>IFERROR(__xludf.DUMMYFUNCTION("""COMPUTED_VALUE"""),"Unlisted")</f>
        <v>Unlisted</v>
      </c>
      <c r="F1052" s="174" t="str">
        <f>IFERROR(__xludf.DUMMYFUNCTION("""COMPUTED_VALUE"""),"Unlisted")</f>
        <v>Unlisted</v>
      </c>
      <c r="G1052" s="174" t="str">
        <f>IFERROR(__xludf.DUMMYFUNCTION("""COMPUTED_VALUE"""),"Proficient")</f>
        <v>Proficient</v>
      </c>
      <c r="H1052" s="174" t="str">
        <f>IFERROR(__xludf.DUMMYFUNCTION("""COMPUTED_VALUE"""),"Unlisted")</f>
        <v>Unlisted</v>
      </c>
      <c r="I1052" s="174" t="str">
        <f>IFERROR(__xludf.DUMMYFUNCTION("""COMPUTED_VALUE"""),"Unlisted")</f>
        <v>Unlisted</v>
      </c>
      <c r="J1052" s="174" t="str">
        <f>IFERROR(__xludf.DUMMYFUNCTION("""COMPUTED_VALUE"""),"Unlisted")</f>
        <v>Unlisted</v>
      </c>
      <c r="K1052" s="174" t="str">
        <f>IFERROR(__xludf.DUMMYFUNCTION("""COMPUTED_VALUE"""),"Unlisted")</f>
        <v>Unlisted</v>
      </c>
      <c r="L1052" s="174" t="str">
        <f>IFERROR(__xludf.DUMMYFUNCTION("""COMPUTED_VALUE"""),"Unlisted")</f>
        <v>Unlisted</v>
      </c>
      <c r="M1052" s="174" t="str">
        <f>IFERROR(__xludf.DUMMYFUNCTION("""COMPUTED_VALUE"""),"Unlisted")</f>
        <v>Unlisted</v>
      </c>
      <c r="N1052" s="174" t="str">
        <f>IFERROR(__xludf.DUMMYFUNCTION("""COMPUTED_VALUE"""),"Unlisted")</f>
        <v>Unlisted</v>
      </c>
      <c r="O1052" s="174" t="str">
        <f>IFERROR(__xludf.DUMMYFUNCTION("""COMPUTED_VALUE"""),"Proficient")</f>
        <v>Proficient</v>
      </c>
      <c r="P1052" s="174" t="str">
        <f>IFERROR(__xludf.DUMMYFUNCTION("""COMPUTED_VALUE"""),"Unlisted")</f>
        <v>Unlisted</v>
      </c>
      <c r="Q1052" s="174" t="str">
        <f>IFERROR(__xludf.DUMMYFUNCTION("""COMPUTED_VALUE"""),"Unlisted")</f>
        <v>Unlisted</v>
      </c>
      <c r="R1052" s="174" t="str">
        <f>IFERROR(__xludf.DUMMYFUNCTION("""COMPUTED_VALUE"""),"Unlisted")</f>
        <v>Unlisted</v>
      </c>
    </row>
    <row r="1053">
      <c r="A1053" s="255" t="str">
        <f>IFERROR(__xludf.DUMMYFUNCTION("""COMPUTED_VALUE"""),"Carnivine")</f>
        <v>Carnivine</v>
      </c>
      <c r="B1053" s="174" t="str">
        <f>IFERROR(__xludf.DUMMYFUNCTION("""COMPUTED_VALUE"""),"Proficient")</f>
        <v>Proficient</v>
      </c>
      <c r="C1053" s="174" t="str">
        <f>IFERROR(__xludf.DUMMYFUNCTION("""COMPUTED_VALUE"""),"Unlisted")</f>
        <v>Unlisted</v>
      </c>
      <c r="D1053" s="174" t="str">
        <f>IFERROR(__xludf.DUMMYFUNCTION("""COMPUTED_VALUE"""),"Unlisted")</f>
        <v>Unlisted</v>
      </c>
      <c r="E1053" s="174" t="str">
        <f>IFERROR(__xludf.DUMMYFUNCTION("""COMPUTED_VALUE"""),"Unlisted")</f>
        <v>Unlisted</v>
      </c>
      <c r="F1053" s="174" t="str">
        <f>IFERROR(__xludf.DUMMYFUNCTION("""COMPUTED_VALUE"""),"Unlisted")</f>
        <v>Unlisted</v>
      </c>
      <c r="G1053" s="174" t="str">
        <f>IFERROR(__xludf.DUMMYFUNCTION("""COMPUTED_VALUE"""),"Unlisted")</f>
        <v>Unlisted</v>
      </c>
      <c r="H1053" s="174" t="str">
        <f>IFERROR(__xludf.DUMMYFUNCTION("""COMPUTED_VALUE"""),"Unlisted")</f>
        <v>Unlisted</v>
      </c>
      <c r="I1053" s="174" t="str">
        <f>IFERROR(__xludf.DUMMYFUNCTION("""COMPUTED_VALUE"""),"Unlisted")</f>
        <v>Unlisted</v>
      </c>
      <c r="J1053" s="174" t="str">
        <f>IFERROR(__xludf.DUMMYFUNCTION("""COMPUTED_VALUE"""),"Unlisted")</f>
        <v>Unlisted</v>
      </c>
      <c r="K1053" s="174" t="str">
        <f>IFERROR(__xludf.DUMMYFUNCTION("""COMPUTED_VALUE"""),"Proficient")</f>
        <v>Proficient</v>
      </c>
      <c r="L1053" s="174" t="str">
        <f>IFERROR(__xludf.DUMMYFUNCTION("""COMPUTED_VALUE"""),"Mastered")</f>
        <v>Mastered</v>
      </c>
      <c r="M1053" s="174" t="str">
        <f>IFERROR(__xludf.DUMMYFUNCTION("""COMPUTED_VALUE"""),"Unlisted")</f>
        <v>Unlisted</v>
      </c>
      <c r="N1053" s="174" t="str">
        <f>IFERROR(__xludf.DUMMYFUNCTION("""COMPUTED_VALUE"""),"Unlisted")</f>
        <v>Unlisted</v>
      </c>
      <c r="O1053" s="174" t="str">
        <f>IFERROR(__xludf.DUMMYFUNCTION("""COMPUTED_VALUE"""),"Unlisted")</f>
        <v>Unlisted</v>
      </c>
      <c r="P1053" s="174" t="str">
        <f>IFERROR(__xludf.DUMMYFUNCTION("""COMPUTED_VALUE"""),"Unlisted")</f>
        <v>Unlisted</v>
      </c>
      <c r="Q1053" s="174" t="str">
        <f>IFERROR(__xludf.DUMMYFUNCTION("""COMPUTED_VALUE"""),"Unlisted")</f>
        <v>Unlisted</v>
      </c>
      <c r="R1053" s="174" t="str">
        <f>IFERROR(__xludf.DUMMYFUNCTION("""COMPUTED_VALUE"""),"Unlisted")</f>
        <v>Unlisted</v>
      </c>
    </row>
    <row r="1054">
      <c r="A1054" s="255" t="str">
        <f>IFERROR(__xludf.DUMMYFUNCTION("""COMPUTED_VALUE"""),"Maractus")</f>
        <v>Maractus</v>
      </c>
      <c r="B1054" s="174" t="str">
        <f>IFERROR(__xludf.DUMMYFUNCTION("""COMPUTED_VALUE"""),"Unlisted")</f>
        <v>Unlisted</v>
      </c>
      <c r="C1054" s="174" t="str">
        <f>IFERROR(__xludf.DUMMYFUNCTION("""COMPUTED_VALUE"""),"Unlisted")</f>
        <v>Unlisted</v>
      </c>
      <c r="D1054" s="174" t="str">
        <f>IFERROR(__xludf.DUMMYFUNCTION("""COMPUTED_VALUE"""),"Unlisted")</f>
        <v>Unlisted</v>
      </c>
      <c r="E1054" s="174" t="str">
        <f>IFERROR(__xludf.DUMMYFUNCTION("""COMPUTED_VALUE"""),"Unlisted")</f>
        <v>Unlisted</v>
      </c>
      <c r="F1054" s="174" t="str">
        <f>IFERROR(__xludf.DUMMYFUNCTION("""COMPUTED_VALUE"""),"Unlisted")</f>
        <v>Unlisted</v>
      </c>
      <c r="G1054" s="174" t="str">
        <f>IFERROR(__xludf.DUMMYFUNCTION("""COMPUTED_VALUE"""),"Proficient")</f>
        <v>Proficient</v>
      </c>
      <c r="H1054" s="174" t="str">
        <f>IFERROR(__xludf.DUMMYFUNCTION("""COMPUTED_VALUE"""),"Unlisted")</f>
        <v>Unlisted</v>
      </c>
      <c r="I1054" s="174" t="str">
        <f>IFERROR(__xludf.DUMMYFUNCTION("""COMPUTED_VALUE"""),"Unlisted")</f>
        <v>Unlisted</v>
      </c>
      <c r="J1054" s="174" t="str">
        <f>IFERROR(__xludf.DUMMYFUNCTION("""COMPUTED_VALUE"""),"Unlisted")</f>
        <v>Unlisted</v>
      </c>
      <c r="K1054" s="174" t="str">
        <f>IFERROR(__xludf.DUMMYFUNCTION("""COMPUTED_VALUE"""),"Unlisted")</f>
        <v>Unlisted</v>
      </c>
      <c r="L1054" s="174" t="str">
        <f>IFERROR(__xludf.DUMMYFUNCTION("""COMPUTED_VALUE"""),"Unlisted")</f>
        <v>Unlisted</v>
      </c>
      <c r="M1054" s="174" t="str">
        <f>IFERROR(__xludf.DUMMYFUNCTION("""COMPUTED_VALUE"""),"Unlisted")</f>
        <v>Unlisted</v>
      </c>
      <c r="N1054" s="174" t="str">
        <f>IFERROR(__xludf.DUMMYFUNCTION("""COMPUTED_VALUE"""),"Unlisted")</f>
        <v>Unlisted</v>
      </c>
      <c r="O1054" s="174" t="str">
        <f>IFERROR(__xludf.DUMMYFUNCTION("""COMPUTED_VALUE"""),"Proficient")</f>
        <v>Proficient</v>
      </c>
      <c r="P1054" s="174" t="str">
        <f>IFERROR(__xludf.DUMMYFUNCTION("""COMPUTED_VALUE"""),"Unlisted")</f>
        <v>Unlisted</v>
      </c>
      <c r="Q1054" s="174" t="str">
        <f>IFERROR(__xludf.DUMMYFUNCTION("""COMPUTED_VALUE"""),"Unlisted")</f>
        <v>Unlisted</v>
      </c>
      <c r="R1054" s="174" t="str">
        <f>IFERROR(__xludf.DUMMYFUNCTION("""COMPUTED_VALUE"""),"Unlisted")</f>
        <v>Unlisted</v>
      </c>
    </row>
    <row r="1055">
      <c r="A1055" s="255" t="str">
        <f>IFERROR(__xludf.DUMMYFUNCTION("""COMPUTED_VALUE"""),"Stunfisk")</f>
        <v>Stunfisk</v>
      </c>
      <c r="B1055" s="174" t="str">
        <f>IFERROR(__xludf.DUMMYFUNCTION("""COMPUTED_VALUE"""),"Unlisted")</f>
        <v>Unlisted</v>
      </c>
      <c r="C1055" s="174" t="str">
        <f>IFERROR(__xludf.DUMMYFUNCTION("""COMPUTED_VALUE"""),"Unlisted")</f>
        <v>Unlisted</v>
      </c>
      <c r="D1055" s="174" t="str">
        <f>IFERROR(__xludf.DUMMYFUNCTION("""COMPUTED_VALUE"""),"Unlisted")</f>
        <v>Unlisted</v>
      </c>
      <c r="E1055" s="174" t="str">
        <f>IFERROR(__xludf.DUMMYFUNCTION("""COMPUTED_VALUE"""),"Unlisted")</f>
        <v>Unlisted</v>
      </c>
      <c r="F1055" s="174" t="str">
        <f>IFERROR(__xludf.DUMMYFUNCTION("""COMPUTED_VALUE"""),"Unlisted")</f>
        <v>Unlisted</v>
      </c>
      <c r="G1055" s="174" t="str">
        <f>IFERROR(__xludf.DUMMYFUNCTION("""COMPUTED_VALUE"""),"Proficient")</f>
        <v>Proficient</v>
      </c>
      <c r="H1055" s="174" t="str">
        <f>IFERROR(__xludf.DUMMYFUNCTION("""COMPUTED_VALUE"""),"Unlisted")</f>
        <v>Unlisted</v>
      </c>
      <c r="I1055" s="174" t="str">
        <f>IFERROR(__xludf.DUMMYFUNCTION("""COMPUTED_VALUE"""),"Unlisted")</f>
        <v>Unlisted</v>
      </c>
      <c r="J1055" s="174" t="str">
        <f>IFERROR(__xludf.DUMMYFUNCTION("""COMPUTED_VALUE"""),"Inept")</f>
        <v>Inept</v>
      </c>
      <c r="K1055" s="174" t="str">
        <f>IFERROR(__xludf.DUMMYFUNCTION("""COMPUTED_VALUE"""),"Unlisted")</f>
        <v>Unlisted</v>
      </c>
      <c r="L1055" s="174" t="str">
        <f>IFERROR(__xludf.DUMMYFUNCTION("""COMPUTED_VALUE"""),"Mastered")</f>
        <v>Mastered</v>
      </c>
      <c r="M1055" s="174" t="str">
        <f>IFERROR(__xludf.DUMMYFUNCTION("""COMPUTED_VALUE"""),"Unlisted")</f>
        <v>Unlisted</v>
      </c>
      <c r="N1055" s="174" t="str">
        <f>IFERROR(__xludf.DUMMYFUNCTION("""COMPUTED_VALUE"""),"Unlisted")</f>
        <v>Unlisted</v>
      </c>
      <c r="O1055" s="174" t="str">
        <f>IFERROR(__xludf.DUMMYFUNCTION("""COMPUTED_VALUE"""),"Unlisted")</f>
        <v>Unlisted</v>
      </c>
      <c r="P1055" s="174" t="str">
        <f>IFERROR(__xludf.DUMMYFUNCTION("""COMPUTED_VALUE"""),"Unlisted")</f>
        <v>Unlisted</v>
      </c>
      <c r="Q1055" s="174" t="str">
        <f>IFERROR(__xludf.DUMMYFUNCTION("""COMPUTED_VALUE"""),"Unlisted")</f>
        <v>Unlisted</v>
      </c>
      <c r="R1055" s="174" t="str">
        <f>IFERROR(__xludf.DUMMYFUNCTION("""COMPUTED_VALUE"""),"Unlisted")</f>
        <v>Unlisted</v>
      </c>
    </row>
    <row r="1056">
      <c r="A1056" s="255" t="str">
        <f>IFERROR(__xludf.DUMMYFUNCTION("""COMPUTED_VALUE"""),"Delibird")</f>
        <v>Delibird</v>
      </c>
      <c r="B1056" s="174" t="str">
        <f>IFERROR(__xludf.DUMMYFUNCTION("""COMPUTED_VALUE"""),"Unlisted")</f>
        <v>Unlisted</v>
      </c>
      <c r="C1056" s="174" t="str">
        <f>IFERROR(__xludf.DUMMYFUNCTION("""COMPUTED_VALUE"""),"Unlisted")</f>
        <v>Unlisted</v>
      </c>
      <c r="D1056" s="174" t="str">
        <f>IFERROR(__xludf.DUMMYFUNCTION("""COMPUTED_VALUE"""),"Proficient")</f>
        <v>Proficient</v>
      </c>
      <c r="E1056" s="174" t="str">
        <f>IFERROR(__xludf.DUMMYFUNCTION("""COMPUTED_VALUE"""),"Unlisted")</f>
        <v>Unlisted</v>
      </c>
      <c r="F1056" s="174" t="str">
        <f>IFERROR(__xludf.DUMMYFUNCTION("""COMPUTED_VALUE"""),"Unlisted")</f>
        <v>Unlisted</v>
      </c>
      <c r="G1056" s="174" t="str">
        <f>IFERROR(__xludf.DUMMYFUNCTION("""COMPUTED_VALUE"""),"Proficient")</f>
        <v>Proficient</v>
      </c>
      <c r="H1056" s="174" t="str">
        <f>IFERROR(__xludf.DUMMYFUNCTION("""COMPUTED_VALUE"""),"Unlisted")</f>
        <v>Unlisted</v>
      </c>
      <c r="I1056" s="174" t="str">
        <f>IFERROR(__xludf.DUMMYFUNCTION("""COMPUTED_VALUE"""),"Unlisted")</f>
        <v>Unlisted</v>
      </c>
      <c r="J1056" s="174" t="str">
        <f>IFERROR(__xludf.DUMMYFUNCTION("""COMPUTED_VALUE"""),"Unlisted")</f>
        <v>Unlisted</v>
      </c>
      <c r="K1056" s="174" t="str">
        <f>IFERROR(__xludf.DUMMYFUNCTION("""COMPUTED_VALUE"""),"Unlisted")</f>
        <v>Unlisted</v>
      </c>
      <c r="L1056" s="174" t="str">
        <f>IFERROR(__xludf.DUMMYFUNCTION("""COMPUTED_VALUE"""),"Unlisted")</f>
        <v>Unlisted</v>
      </c>
      <c r="M1056" s="174" t="str">
        <f>IFERROR(__xludf.DUMMYFUNCTION("""COMPUTED_VALUE"""),"Unlisted")</f>
        <v>Unlisted</v>
      </c>
      <c r="N1056" s="174" t="str">
        <f>IFERROR(__xludf.DUMMYFUNCTION("""COMPUTED_VALUE"""),"Unlisted")</f>
        <v>Unlisted</v>
      </c>
      <c r="O1056" s="174" t="str">
        <f>IFERROR(__xludf.DUMMYFUNCTION("""COMPUTED_VALUE"""),"Proficient")</f>
        <v>Proficient</v>
      </c>
      <c r="P1056" s="174" t="str">
        <f>IFERROR(__xludf.DUMMYFUNCTION("""COMPUTED_VALUE"""),"Unlisted")</f>
        <v>Unlisted</v>
      </c>
      <c r="Q1056" s="174" t="str">
        <f>IFERROR(__xludf.DUMMYFUNCTION("""COMPUTED_VALUE"""),"Unlisted")</f>
        <v>Unlisted</v>
      </c>
      <c r="R1056" s="174" t="str">
        <f>IFERROR(__xludf.DUMMYFUNCTION("""COMPUTED_VALUE"""),"Unlisted")</f>
        <v>Unlisted</v>
      </c>
    </row>
    <row r="1057">
      <c r="A1057" s="255" t="str">
        <f>IFERROR(__xludf.DUMMYFUNCTION("""COMPUTED_VALUE"""),"Cryogonal")</f>
        <v>Cryogonal</v>
      </c>
      <c r="B1057" s="174" t="str">
        <f>IFERROR(__xludf.DUMMYFUNCTION("""COMPUTED_VALUE"""),"Unlisted")</f>
        <v>Unlisted</v>
      </c>
      <c r="C1057" s="174" t="str">
        <f>IFERROR(__xludf.DUMMYFUNCTION("""COMPUTED_VALUE"""),"Unlisted")</f>
        <v>Unlisted</v>
      </c>
      <c r="D1057" s="174" t="str">
        <f>IFERROR(__xludf.DUMMYFUNCTION("""COMPUTED_VALUE"""),"Unlisted")</f>
        <v>Unlisted</v>
      </c>
      <c r="E1057" s="174" t="str">
        <f>IFERROR(__xludf.DUMMYFUNCTION("""COMPUTED_VALUE"""),"Proficient")</f>
        <v>Proficient</v>
      </c>
      <c r="F1057" s="174" t="str">
        <f>IFERROR(__xludf.DUMMYFUNCTION("""COMPUTED_VALUE"""),"Unlisted")</f>
        <v>Unlisted</v>
      </c>
      <c r="G1057" s="174" t="str">
        <f>IFERROR(__xludf.DUMMYFUNCTION("""COMPUTED_VALUE"""),"Unlisted")</f>
        <v>Unlisted</v>
      </c>
      <c r="H1057" s="174" t="str">
        <f>IFERROR(__xludf.DUMMYFUNCTION("""COMPUTED_VALUE"""),"Unlisted")</f>
        <v>Unlisted</v>
      </c>
      <c r="I1057" s="174" t="str">
        <f>IFERROR(__xludf.DUMMYFUNCTION("""COMPUTED_VALUE"""),"Proficient")</f>
        <v>Proficient</v>
      </c>
      <c r="J1057" s="174" t="str">
        <f>IFERROR(__xludf.DUMMYFUNCTION("""COMPUTED_VALUE"""),"Unlisted")</f>
        <v>Unlisted</v>
      </c>
      <c r="K1057" s="174" t="str">
        <f>IFERROR(__xludf.DUMMYFUNCTION("""COMPUTED_VALUE"""),"Proficient")</f>
        <v>Proficient</v>
      </c>
      <c r="L1057" s="174" t="str">
        <f>IFERROR(__xludf.DUMMYFUNCTION("""COMPUTED_VALUE"""),"Unlisted")</f>
        <v>Unlisted</v>
      </c>
      <c r="M1057" s="174" t="str">
        <f>IFERROR(__xludf.DUMMYFUNCTION("""COMPUTED_VALUE"""),"Unlisted")</f>
        <v>Unlisted</v>
      </c>
      <c r="N1057" s="174" t="str">
        <f>IFERROR(__xludf.DUMMYFUNCTION("""COMPUTED_VALUE"""),"Unlisted")</f>
        <v>Unlisted</v>
      </c>
      <c r="O1057" s="174" t="str">
        <f>IFERROR(__xludf.DUMMYFUNCTION("""COMPUTED_VALUE"""),"Unlisted")</f>
        <v>Unlisted</v>
      </c>
      <c r="P1057" s="174" t="str">
        <f>IFERROR(__xludf.DUMMYFUNCTION("""COMPUTED_VALUE"""),"Unlisted")</f>
        <v>Unlisted</v>
      </c>
      <c r="Q1057" s="174" t="str">
        <f>IFERROR(__xludf.DUMMYFUNCTION("""COMPUTED_VALUE"""),"Unlisted")</f>
        <v>Unlisted</v>
      </c>
      <c r="R1057" s="174" t="str">
        <f>IFERROR(__xludf.DUMMYFUNCTION("""COMPUTED_VALUE"""),"Unlisted")</f>
        <v>Unlisted</v>
      </c>
    </row>
    <row r="1058">
      <c r="A1058" s="255" t="str">
        <f>IFERROR(__xludf.DUMMYFUNCTION("""COMPUTED_VALUE"""),"Eiscue Ice Face")</f>
        <v>Eiscue Ice Face</v>
      </c>
      <c r="B1058" s="174" t="str">
        <f>IFERROR(__xludf.DUMMYFUNCTION("""COMPUTED_VALUE"""),"Proficient")</f>
        <v>Proficient</v>
      </c>
      <c r="C1058" s="174" t="str">
        <f>IFERROR(__xludf.DUMMYFUNCTION("""COMPUTED_VALUE"""),"Proficient")</f>
        <v>Proficient</v>
      </c>
      <c r="D1058" s="174" t="str">
        <f>IFERROR(__xludf.DUMMYFUNCTION("""COMPUTED_VALUE"""),"Unlisted")</f>
        <v>Unlisted</v>
      </c>
      <c r="E1058" s="174" t="str">
        <f>IFERROR(__xludf.DUMMYFUNCTION("""COMPUTED_VALUE"""),"Unlisted")</f>
        <v>Unlisted</v>
      </c>
      <c r="F1058" s="174" t="str">
        <f>IFERROR(__xludf.DUMMYFUNCTION("""COMPUTED_VALUE"""),"Unlisted")</f>
        <v>Unlisted</v>
      </c>
      <c r="G1058" s="174" t="str">
        <f>IFERROR(__xludf.DUMMYFUNCTION("""COMPUTED_VALUE"""),"Unlisted")</f>
        <v>Unlisted</v>
      </c>
      <c r="H1058" s="174" t="str">
        <f>IFERROR(__xludf.DUMMYFUNCTION("""COMPUTED_VALUE"""),"Unlisted")</f>
        <v>Unlisted</v>
      </c>
      <c r="I1058" s="174" t="str">
        <f>IFERROR(__xludf.DUMMYFUNCTION("""COMPUTED_VALUE"""),"Unlisted")</f>
        <v>Unlisted</v>
      </c>
      <c r="J1058" s="174" t="str">
        <f>IFERROR(__xludf.DUMMYFUNCTION("""COMPUTED_VALUE"""),"Unlisted")</f>
        <v>Unlisted</v>
      </c>
      <c r="K1058" s="174" t="str">
        <f>IFERROR(__xludf.DUMMYFUNCTION("""COMPUTED_VALUE"""),"Unlisted")</f>
        <v>Unlisted</v>
      </c>
      <c r="L1058" s="174" t="str">
        <f>IFERROR(__xludf.DUMMYFUNCTION("""COMPUTED_VALUE"""),"Unlisted")</f>
        <v>Unlisted</v>
      </c>
      <c r="M1058" s="174" t="str">
        <f>IFERROR(__xludf.DUMMYFUNCTION("""COMPUTED_VALUE"""),"Unlisted")</f>
        <v>Unlisted</v>
      </c>
      <c r="N1058" s="174" t="str">
        <f>IFERROR(__xludf.DUMMYFUNCTION("""COMPUTED_VALUE"""),"Unlisted")</f>
        <v>Unlisted</v>
      </c>
      <c r="O1058" s="174" t="str">
        <f>IFERROR(__xludf.DUMMYFUNCTION("""COMPUTED_VALUE"""),"Unlisted")</f>
        <v>Unlisted</v>
      </c>
      <c r="P1058" s="174" t="str">
        <f>IFERROR(__xludf.DUMMYFUNCTION("""COMPUTED_VALUE"""),"Unlisted")</f>
        <v>Unlisted</v>
      </c>
      <c r="Q1058" s="174" t="str">
        <f>IFERROR(__xludf.DUMMYFUNCTION("""COMPUTED_VALUE"""),"Unlisted")</f>
        <v>Unlisted</v>
      </c>
      <c r="R1058" s="174" t="str">
        <f>IFERROR(__xludf.DUMMYFUNCTION("""COMPUTED_VALUE"""),"Unlisted")</f>
        <v>Unlisted</v>
      </c>
    </row>
    <row r="1059">
      <c r="A1059" s="255" t="str">
        <f>IFERROR(__xludf.DUMMYFUNCTION("""COMPUTED_VALUE"""),"Eiscue Noice")</f>
        <v>Eiscue Noice</v>
      </c>
      <c r="B1059" s="174" t="str">
        <f>IFERROR(__xludf.DUMMYFUNCTION("""COMPUTED_VALUE"""),"Proficient")</f>
        <v>Proficient</v>
      </c>
      <c r="C1059" s="174" t="str">
        <f>IFERROR(__xludf.DUMMYFUNCTION("""COMPUTED_VALUE"""),"Proficient")</f>
        <v>Proficient</v>
      </c>
      <c r="D1059" s="174" t="str">
        <f>IFERROR(__xludf.DUMMYFUNCTION("""COMPUTED_VALUE"""),"Unlisted")</f>
        <v>Unlisted</v>
      </c>
      <c r="E1059" s="174" t="str">
        <f>IFERROR(__xludf.DUMMYFUNCTION("""COMPUTED_VALUE"""),"Unlisted")</f>
        <v>Unlisted</v>
      </c>
      <c r="F1059" s="174" t="str">
        <f>IFERROR(__xludf.DUMMYFUNCTION("""COMPUTED_VALUE"""),"Unlisted")</f>
        <v>Unlisted</v>
      </c>
      <c r="G1059" s="174" t="str">
        <f>IFERROR(__xludf.DUMMYFUNCTION("""COMPUTED_VALUE"""),"Unlisted")</f>
        <v>Unlisted</v>
      </c>
      <c r="H1059" s="174" t="str">
        <f>IFERROR(__xludf.DUMMYFUNCTION("""COMPUTED_VALUE"""),"Unlisted")</f>
        <v>Unlisted</v>
      </c>
      <c r="I1059" s="174" t="str">
        <f>IFERROR(__xludf.DUMMYFUNCTION("""COMPUTED_VALUE"""),"Unlisted")</f>
        <v>Unlisted</v>
      </c>
      <c r="J1059" s="174" t="str">
        <f>IFERROR(__xludf.DUMMYFUNCTION("""COMPUTED_VALUE"""),"Unlisted")</f>
        <v>Unlisted</v>
      </c>
      <c r="K1059" s="174" t="str">
        <f>IFERROR(__xludf.DUMMYFUNCTION("""COMPUTED_VALUE"""),"Unlisted")</f>
        <v>Unlisted</v>
      </c>
      <c r="L1059" s="174" t="str">
        <f>IFERROR(__xludf.DUMMYFUNCTION("""COMPUTED_VALUE"""),"Unlisted")</f>
        <v>Unlisted</v>
      </c>
      <c r="M1059" s="174" t="str">
        <f>IFERROR(__xludf.DUMMYFUNCTION("""COMPUTED_VALUE"""),"Unlisted")</f>
        <v>Unlisted</v>
      </c>
      <c r="N1059" s="174" t="str">
        <f>IFERROR(__xludf.DUMMYFUNCTION("""COMPUTED_VALUE"""),"Unlisted")</f>
        <v>Unlisted</v>
      </c>
      <c r="O1059" s="174" t="str">
        <f>IFERROR(__xludf.DUMMYFUNCTION("""COMPUTED_VALUE"""),"Unlisted")</f>
        <v>Unlisted</v>
      </c>
      <c r="P1059" s="174" t="str">
        <f>IFERROR(__xludf.DUMMYFUNCTION("""COMPUTED_VALUE"""),"Unlisted")</f>
        <v>Unlisted</v>
      </c>
      <c r="Q1059" s="174" t="str">
        <f>IFERROR(__xludf.DUMMYFUNCTION("""COMPUTED_VALUE"""),"Unlisted")</f>
        <v>Unlisted</v>
      </c>
      <c r="R1059" s="174" t="str">
        <f>IFERROR(__xludf.DUMMYFUNCTION("""COMPUTED_VALUE"""),"Unlisted")</f>
        <v>Unlisted</v>
      </c>
    </row>
    <row r="1060">
      <c r="A1060" s="255" t="str">
        <f>IFERROR(__xludf.DUMMYFUNCTION("""COMPUTED_VALUE"""),"Farfetch'd")</f>
        <v>Farfetch'd</v>
      </c>
      <c r="B1060" s="174" t="str">
        <f>IFERROR(__xludf.DUMMYFUNCTION("""COMPUTED_VALUE"""),"Proficient")</f>
        <v>Proficient</v>
      </c>
      <c r="C1060" s="174" t="str">
        <f>IFERROR(__xludf.DUMMYFUNCTION("""COMPUTED_VALUE"""),"Unlisted")</f>
        <v>Unlisted</v>
      </c>
      <c r="D1060" s="174" t="str">
        <f>IFERROR(__xludf.DUMMYFUNCTION("""COMPUTED_VALUE"""),"Unlisted")</f>
        <v>Unlisted</v>
      </c>
      <c r="E1060" s="174" t="str">
        <f>IFERROR(__xludf.DUMMYFUNCTION("""COMPUTED_VALUE"""),"Proficient")</f>
        <v>Proficient</v>
      </c>
      <c r="F1060" s="174" t="str">
        <f>IFERROR(__xludf.DUMMYFUNCTION("""COMPUTED_VALUE"""),"Unlisted")</f>
        <v>Unlisted</v>
      </c>
      <c r="G1060" s="174" t="str">
        <f>IFERROR(__xludf.DUMMYFUNCTION("""COMPUTED_VALUE"""),"Unlisted")</f>
        <v>Unlisted</v>
      </c>
      <c r="H1060" s="174" t="str">
        <f>IFERROR(__xludf.DUMMYFUNCTION("""COMPUTED_VALUE"""),"Unlisted")</f>
        <v>Unlisted</v>
      </c>
      <c r="I1060" s="174" t="str">
        <f>IFERROR(__xludf.DUMMYFUNCTION("""COMPUTED_VALUE"""),"Unlisted")</f>
        <v>Unlisted</v>
      </c>
      <c r="J1060" s="174" t="str">
        <f>IFERROR(__xludf.DUMMYFUNCTION("""COMPUTED_VALUE"""),"Unlisted")</f>
        <v>Unlisted</v>
      </c>
      <c r="K1060" s="174" t="str">
        <f>IFERROR(__xludf.DUMMYFUNCTION("""COMPUTED_VALUE"""),"Proficient")</f>
        <v>Proficient</v>
      </c>
      <c r="L1060" s="174" t="str">
        <f>IFERROR(__xludf.DUMMYFUNCTION("""COMPUTED_VALUE"""),"Unlisted")</f>
        <v>Unlisted</v>
      </c>
      <c r="M1060" s="174" t="str">
        <f>IFERROR(__xludf.DUMMYFUNCTION("""COMPUTED_VALUE"""),"Unlisted")</f>
        <v>Unlisted</v>
      </c>
      <c r="N1060" s="174" t="str">
        <f>IFERROR(__xludf.DUMMYFUNCTION("""COMPUTED_VALUE"""),"Unlisted")</f>
        <v>Unlisted</v>
      </c>
      <c r="O1060" s="174" t="str">
        <f>IFERROR(__xludf.DUMMYFUNCTION("""COMPUTED_VALUE"""),"Unlisted")</f>
        <v>Unlisted</v>
      </c>
      <c r="P1060" s="174" t="str">
        <f>IFERROR(__xludf.DUMMYFUNCTION("""COMPUTED_VALUE"""),"Unlisted")</f>
        <v>Unlisted</v>
      </c>
      <c r="Q1060" s="174" t="str">
        <f>IFERROR(__xludf.DUMMYFUNCTION("""COMPUTED_VALUE"""),"Unlisted")</f>
        <v>Unlisted</v>
      </c>
      <c r="R1060" s="174" t="str">
        <f>IFERROR(__xludf.DUMMYFUNCTION("""COMPUTED_VALUE"""),"Unlisted")</f>
        <v>Unlisted</v>
      </c>
    </row>
    <row r="1061">
      <c r="A1061" s="255" t="str">
        <f>IFERROR(__xludf.DUMMYFUNCTION("""COMPUTED_VALUE"""),"Kangaskhan")</f>
        <v>Kangaskhan</v>
      </c>
      <c r="B1061" s="174" t="str">
        <f>IFERROR(__xludf.DUMMYFUNCTION("""COMPUTED_VALUE"""),"Unlisted")</f>
        <v>Unlisted</v>
      </c>
      <c r="C1061" s="174" t="str">
        <f>IFERROR(__xludf.DUMMYFUNCTION("""COMPUTED_VALUE"""),"Proficient")</f>
        <v>Proficient</v>
      </c>
      <c r="D1061" s="174" t="str">
        <f>IFERROR(__xludf.DUMMYFUNCTION("""COMPUTED_VALUE"""),"Unlisted")</f>
        <v>Unlisted</v>
      </c>
      <c r="E1061" s="174" t="str">
        <f>IFERROR(__xludf.DUMMYFUNCTION("""COMPUTED_VALUE"""),"Proficient")</f>
        <v>Proficient</v>
      </c>
      <c r="F1061" s="174" t="str">
        <f>IFERROR(__xludf.DUMMYFUNCTION("""COMPUTED_VALUE"""),"Unlisted")</f>
        <v>Unlisted</v>
      </c>
      <c r="G1061" s="174" t="str">
        <f>IFERROR(__xludf.DUMMYFUNCTION("""COMPUTED_VALUE"""),"Unlisted")</f>
        <v>Unlisted</v>
      </c>
      <c r="H1061" s="174" t="str">
        <f>IFERROR(__xludf.DUMMYFUNCTION("""COMPUTED_VALUE"""),"Unlisted")</f>
        <v>Unlisted</v>
      </c>
      <c r="I1061" s="174" t="str">
        <f>IFERROR(__xludf.DUMMYFUNCTION("""COMPUTED_VALUE"""),"Unlisted")</f>
        <v>Unlisted</v>
      </c>
      <c r="J1061" s="174" t="str">
        <f>IFERROR(__xludf.DUMMYFUNCTION("""COMPUTED_VALUE"""),"Proficient")</f>
        <v>Proficient</v>
      </c>
      <c r="K1061" s="174" t="str">
        <f>IFERROR(__xludf.DUMMYFUNCTION("""COMPUTED_VALUE"""),"Unlisted")</f>
        <v>Unlisted</v>
      </c>
      <c r="L1061" s="174" t="str">
        <f>IFERROR(__xludf.DUMMYFUNCTION("""COMPUTED_VALUE"""),"Unlisted")</f>
        <v>Unlisted</v>
      </c>
      <c r="M1061" s="174" t="str">
        <f>IFERROR(__xludf.DUMMYFUNCTION("""COMPUTED_VALUE"""),"Unlisted")</f>
        <v>Unlisted</v>
      </c>
      <c r="N1061" s="174" t="str">
        <f>IFERROR(__xludf.DUMMYFUNCTION("""COMPUTED_VALUE"""),"Unlisted")</f>
        <v>Unlisted</v>
      </c>
      <c r="O1061" s="174" t="str">
        <f>IFERROR(__xludf.DUMMYFUNCTION("""COMPUTED_VALUE"""),"Unlisted")</f>
        <v>Unlisted</v>
      </c>
      <c r="P1061" s="174" t="str">
        <f>IFERROR(__xludf.DUMMYFUNCTION("""COMPUTED_VALUE"""),"Unlisted")</f>
        <v>Unlisted</v>
      </c>
      <c r="Q1061" s="174" t="str">
        <f>IFERROR(__xludf.DUMMYFUNCTION("""COMPUTED_VALUE"""),"Unlisted")</f>
        <v>Unlisted</v>
      </c>
      <c r="R1061" s="174" t="str">
        <f>IFERROR(__xludf.DUMMYFUNCTION("""COMPUTED_VALUE"""),"Unlisted")</f>
        <v>Unlisted</v>
      </c>
    </row>
    <row r="1062">
      <c r="A1062" s="255" t="str">
        <f>IFERROR(__xludf.DUMMYFUNCTION("""COMPUTED_VALUE"""),"Tauros")</f>
        <v>Tauros</v>
      </c>
      <c r="B1062" s="174" t="str">
        <f>IFERROR(__xludf.DUMMYFUNCTION("""COMPUTED_VALUE"""),"Unlisted")</f>
        <v>Unlisted</v>
      </c>
      <c r="C1062" s="174" t="str">
        <f>IFERROR(__xludf.DUMMYFUNCTION("""COMPUTED_VALUE"""),"Proficient")</f>
        <v>Proficient</v>
      </c>
      <c r="D1062" s="174" t="str">
        <f>IFERROR(__xludf.DUMMYFUNCTION("""COMPUTED_VALUE"""),"Unlisted")</f>
        <v>Unlisted</v>
      </c>
      <c r="E1062" s="174" t="str">
        <f>IFERROR(__xludf.DUMMYFUNCTION("""COMPUTED_VALUE"""),"Proficient")</f>
        <v>Proficient</v>
      </c>
      <c r="F1062" s="174" t="str">
        <f>IFERROR(__xludf.DUMMYFUNCTION("""COMPUTED_VALUE"""),"Unlisted")</f>
        <v>Unlisted</v>
      </c>
      <c r="G1062" s="174" t="str">
        <f>IFERROR(__xludf.DUMMYFUNCTION("""COMPUTED_VALUE"""),"Unlisted")</f>
        <v>Unlisted</v>
      </c>
      <c r="H1062" s="174" t="str">
        <f>IFERROR(__xludf.DUMMYFUNCTION("""COMPUTED_VALUE"""),"Unlisted")</f>
        <v>Unlisted</v>
      </c>
      <c r="I1062" s="174" t="str">
        <f>IFERROR(__xludf.DUMMYFUNCTION("""COMPUTED_VALUE"""),"Unlisted")</f>
        <v>Unlisted</v>
      </c>
      <c r="J1062" s="174" t="str">
        <f>IFERROR(__xludf.DUMMYFUNCTION("""COMPUTED_VALUE"""),"Inept")</f>
        <v>Inept</v>
      </c>
      <c r="K1062" s="174" t="str">
        <f>IFERROR(__xludf.DUMMYFUNCTION("""COMPUTED_VALUE"""),"Unlisted")</f>
        <v>Unlisted</v>
      </c>
      <c r="L1062" s="174" t="str">
        <f>IFERROR(__xludf.DUMMYFUNCTION("""COMPUTED_VALUE"""),"Unlisted")</f>
        <v>Unlisted</v>
      </c>
      <c r="M1062" s="174" t="str">
        <f>IFERROR(__xludf.DUMMYFUNCTION("""COMPUTED_VALUE"""),"Unlisted")</f>
        <v>Unlisted</v>
      </c>
      <c r="N1062" s="174" t="str">
        <f>IFERROR(__xludf.DUMMYFUNCTION("""COMPUTED_VALUE"""),"Unlisted")</f>
        <v>Unlisted</v>
      </c>
      <c r="O1062" s="174" t="str">
        <f>IFERROR(__xludf.DUMMYFUNCTION("""COMPUTED_VALUE"""),"Unlisted")</f>
        <v>Unlisted</v>
      </c>
      <c r="P1062" s="174" t="str">
        <f>IFERROR(__xludf.DUMMYFUNCTION("""COMPUTED_VALUE"""),"Unlisted")</f>
        <v>Unlisted</v>
      </c>
      <c r="Q1062" s="174" t="str">
        <f>IFERROR(__xludf.DUMMYFUNCTION("""COMPUTED_VALUE"""),"Unlisted")</f>
        <v>Unlisted</v>
      </c>
      <c r="R1062" s="174" t="str">
        <f>IFERROR(__xludf.DUMMYFUNCTION("""COMPUTED_VALUE"""),"Unlisted")</f>
        <v>Unlisted</v>
      </c>
    </row>
    <row r="1063">
      <c r="A1063" s="255" t="str">
        <f>IFERROR(__xludf.DUMMYFUNCTION("""COMPUTED_VALUE"""),"Smeargle")</f>
        <v>Smeargle</v>
      </c>
      <c r="B1063" s="174" t="str">
        <f>IFERROR(__xludf.DUMMYFUNCTION("""COMPUTED_VALUE"""),"Unlisted")</f>
        <v>Unlisted</v>
      </c>
      <c r="C1063" s="174" t="str">
        <f>IFERROR(__xludf.DUMMYFUNCTION("""COMPUTED_VALUE"""),"Unlisted")</f>
        <v>Unlisted</v>
      </c>
      <c r="D1063" s="174" t="str">
        <f>IFERROR(__xludf.DUMMYFUNCTION("""COMPUTED_VALUE"""),"Unlisted")</f>
        <v>Unlisted</v>
      </c>
      <c r="E1063" s="174" t="str">
        <f>IFERROR(__xludf.DUMMYFUNCTION("""COMPUTED_VALUE"""),"Unlisted")</f>
        <v>Unlisted</v>
      </c>
      <c r="F1063" s="174" t="str">
        <f>IFERROR(__xludf.DUMMYFUNCTION("""COMPUTED_VALUE"""),"Unlisted")</f>
        <v>Unlisted</v>
      </c>
      <c r="G1063" s="174" t="str">
        <f>IFERROR(__xludf.DUMMYFUNCTION("""COMPUTED_VALUE"""),"Unlisted")</f>
        <v>Unlisted</v>
      </c>
      <c r="H1063" s="174" t="str">
        <f>IFERROR(__xludf.DUMMYFUNCTION("""COMPUTED_VALUE"""),"Unlisted")</f>
        <v>Unlisted</v>
      </c>
      <c r="I1063" s="174" t="str">
        <f>IFERROR(__xludf.DUMMYFUNCTION("""COMPUTED_VALUE"""),"Unlisted")</f>
        <v>Unlisted</v>
      </c>
      <c r="J1063" s="174" t="str">
        <f>IFERROR(__xludf.DUMMYFUNCTION("""COMPUTED_VALUE"""),"Proficient")</f>
        <v>Proficient</v>
      </c>
      <c r="K1063" s="174" t="str">
        <f>IFERROR(__xludf.DUMMYFUNCTION("""COMPUTED_VALUE"""),"Mastered")</f>
        <v>Mastered</v>
      </c>
      <c r="L1063" s="174" t="str">
        <f>IFERROR(__xludf.DUMMYFUNCTION("""COMPUTED_VALUE"""),"Unlisted")</f>
        <v>Unlisted</v>
      </c>
      <c r="M1063" s="174" t="str">
        <f>IFERROR(__xludf.DUMMYFUNCTION("""COMPUTED_VALUE"""),"Unlisted")</f>
        <v>Unlisted</v>
      </c>
      <c r="N1063" s="174" t="str">
        <f>IFERROR(__xludf.DUMMYFUNCTION("""COMPUTED_VALUE"""),"Unlisted")</f>
        <v>Unlisted</v>
      </c>
      <c r="O1063" s="174" t="str">
        <f>IFERROR(__xludf.DUMMYFUNCTION("""COMPUTED_VALUE"""),"Unlisted")</f>
        <v>Unlisted</v>
      </c>
      <c r="P1063" s="174" t="str">
        <f>IFERROR(__xludf.DUMMYFUNCTION("""COMPUTED_VALUE"""),"Unlisted")</f>
        <v>Unlisted</v>
      </c>
      <c r="Q1063" s="174" t="str">
        <f>IFERROR(__xludf.DUMMYFUNCTION("""COMPUTED_VALUE"""),"Unlisted")</f>
        <v>Unlisted</v>
      </c>
      <c r="R1063" s="174" t="str">
        <f>IFERROR(__xludf.DUMMYFUNCTION("""COMPUTED_VALUE"""),"Unlisted")</f>
        <v>Unlisted</v>
      </c>
    </row>
    <row r="1064">
      <c r="A1064" s="255" t="str">
        <f>IFERROR(__xludf.DUMMYFUNCTION("""COMPUTED_VALUE"""),"Miltank")</f>
        <v>Miltank</v>
      </c>
      <c r="B1064" s="174" t="str">
        <f>IFERROR(__xludf.DUMMYFUNCTION("""COMPUTED_VALUE"""),"Unlisted")</f>
        <v>Unlisted</v>
      </c>
      <c r="C1064" s="174" t="str">
        <f>IFERROR(__xludf.DUMMYFUNCTION("""COMPUTED_VALUE"""),"Proficient")</f>
        <v>Proficient</v>
      </c>
      <c r="D1064" s="174" t="str">
        <f>IFERROR(__xludf.DUMMYFUNCTION("""COMPUTED_VALUE"""),"Unlisted")</f>
        <v>Unlisted</v>
      </c>
      <c r="E1064" s="174" t="str">
        <f>IFERROR(__xludf.DUMMYFUNCTION("""COMPUTED_VALUE"""),"Unlisted")</f>
        <v>Unlisted</v>
      </c>
      <c r="F1064" s="174" t="str">
        <f>IFERROR(__xludf.DUMMYFUNCTION("""COMPUTED_VALUE"""),"Unlisted")</f>
        <v>Unlisted</v>
      </c>
      <c r="G1064" s="174" t="str">
        <f>IFERROR(__xludf.DUMMYFUNCTION("""COMPUTED_VALUE"""),"Proficient")</f>
        <v>Proficient</v>
      </c>
      <c r="H1064" s="174" t="str">
        <f>IFERROR(__xludf.DUMMYFUNCTION("""COMPUTED_VALUE"""),"Unlisted")</f>
        <v>Unlisted</v>
      </c>
      <c r="I1064" s="174" t="str">
        <f>IFERROR(__xludf.DUMMYFUNCTION("""COMPUTED_VALUE"""),"Unlisted")</f>
        <v>Unlisted</v>
      </c>
      <c r="J1064" s="174" t="str">
        <f>IFERROR(__xludf.DUMMYFUNCTION("""COMPUTED_VALUE"""),"Unlisted")</f>
        <v>Unlisted</v>
      </c>
      <c r="K1064" s="174" t="str">
        <f>IFERROR(__xludf.DUMMYFUNCTION("""COMPUTED_VALUE"""),"Unlisted")</f>
        <v>Unlisted</v>
      </c>
      <c r="L1064" s="174" t="str">
        <f>IFERROR(__xludf.DUMMYFUNCTION("""COMPUTED_VALUE"""),"Unlisted")</f>
        <v>Unlisted</v>
      </c>
      <c r="M1064" s="174" t="str">
        <f>IFERROR(__xludf.DUMMYFUNCTION("""COMPUTED_VALUE"""),"Unlisted")</f>
        <v>Unlisted</v>
      </c>
      <c r="N1064" s="174" t="str">
        <f>IFERROR(__xludf.DUMMYFUNCTION("""COMPUTED_VALUE"""),"Unlisted")</f>
        <v>Unlisted</v>
      </c>
      <c r="O1064" s="174" t="str">
        <f>IFERROR(__xludf.DUMMYFUNCTION("""COMPUTED_VALUE"""),"Unlisted")</f>
        <v>Unlisted</v>
      </c>
      <c r="P1064" s="174" t="str">
        <f>IFERROR(__xludf.DUMMYFUNCTION("""COMPUTED_VALUE"""),"Unlisted")</f>
        <v>Unlisted</v>
      </c>
      <c r="Q1064" s="174" t="str">
        <f>IFERROR(__xludf.DUMMYFUNCTION("""COMPUTED_VALUE"""),"Unlisted")</f>
        <v>Unlisted</v>
      </c>
      <c r="R1064" s="174" t="str">
        <f>IFERROR(__xludf.DUMMYFUNCTION("""COMPUTED_VALUE"""),"Unlisted")</f>
        <v>Unlisted</v>
      </c>
    </row>
    <row r="1065">
      <c r="A1065" s="255" t="str">
        <f>IFERROR(__xludf.DUMMYFUNCTION("""COMPUTED_VALUE"""),"Spinda")</f>
        <v>Spinda</v>
      </c>
      <c r="B1065" s="174" t="str">
        <f>IFERROR(__xludf.DUMMYFUNCTION("""COMPUTED_VALUE"""),"Proficient")</f>
        <v>Proficient</v>
      </c>
      <c r="C1065" s="174" t="str">
        <f>IFERROR(__xludf.DUMMYFUNCTION("""COMPUTED_VALUE"""),"Unlisted")</f>
        <v>Unlisted</v>
      </c>
      <c r="D1065" s="174" t="str">
        <f>IFERROR(__xludf.DUMMYFUNCTION("""COMPUTED_VALUE"""),"Unlisted")</f>
        <v>Unlisted</v>
      </c>
      <c r="E1065" s="174" t="str">
        <f>IFERROR(__xludf.DUMMYFUNCTION("""COMPUTED_VALUE"""),"Unlisted")</f>
        <v>Unlisted</v>
      </c>
      <c r="F1065" s="174" t="str">
        <f>IFERROR(__xludf.DUMMYFUNCTION("""COMPUTED_VALUE"""),"Unlisted")</f>
        <v>Unlisted</v>
      </c>
      <c r="G1065" s="174" t="str">
        <f>IFERROR(__xludf.DUMMYFUNCTION("""COMPUTED_VALUE"""),"Inept")</f>
        <v>Inept</v>
      </c>
      <c r="H1065" s="174" t="str">
        <f>IFERROR(__xludf.DUMMYFUNCTION("""COMPUTED_VALUE"""),"Unlisted")</f>
        <v>Unlisted</v>
      </c>
      <c r="I1065" s="174" t="str">
        <f>IFERROR(__xludf.DUMMYFUNCTION("""COMPUTED_VALUE"""),"Unlisted")</f>
        <v>Unlisted</v>
      </c>
      <c r="J1065" s="174" t="str">
        <f>IFERROR(__xludf.DUMMYFUNCTION("""COMPUTED_VALUE"""),"Inept")</f>
        <v>Inept</v>
      </c>
      <c r="K1065" s="174" t="str">
        <f>IFERROR(__xludf.DUMMYFUNCTION("""COMPUTED_VALUE"""),"Unlisted")</f>
        <v>Unlisted</v>
      </c>
      <c r="L1065" s="174" t="str">
        <f>IFERROR(__xludf.DUMMYFUNCTION("""COMPUTED_VALUE"""),"Unlisted")</f>
        <v>Unlisted</v>
      </c>
      <c r="M1065" s="174" t="str">
        <f>IFERROR(__xludf.DUMMYFUNCTION("""COMPUTED_VALUE"""),"Unlisted")</f>
        <v>Unlisted</v>
      </c>
      <c r="N1065" s="174" t="str">
        <f>IFERROR(__xludf.DUMMYFUNCTION("""COMPUTED_VALUE"""),"Unlisted")</f>
        <v>Unlisted</v>
      </c>
      <c r="O1065" s="174" t="str">
        <f>IFERROR(__xludf.DUMMYFUNCTION("""COMPUTED_VALUE"""),"Unlisted")</f>
        <v>Unlisted</v>
      </c>
      <c r="P1065" s="174" t="str">
        <f>IFERROR(__xludf.DUMMYFUNCTION("""COMPUTED_VALUE"""),"Unlisted")</f>
        <v>Unlisted</v>
      </c>
      <c r="Q1065" s="174" t="str">
        <f>IFERROR(__xludf.DUMMYFUNCTION("""COMPUTED_VALUE"""),"Unlisted")</f>
        <v>Unlisted</v>
      </c>
      <c r="R1065" s="174" t="str">
        <f>IFERROR(__xludf.DUMMYFUNCTION("""COMPUTED_VALUE"""),"Unlisted")</f>
        <v>Unlisted</v>
      </c>
    </row>
    <row r="1066">
      <c r="A1066" s="255" t="str">
        <f>IFERROR(__xludf.DUMMYFUNCTION("""COMPUTED_VALUE"""),"Zangoose")</f>
        <v>Zangoose</v>
      </c>
      <c r="B1066" s="174" t="str">
        <f>IFERROR(__xludf.DUMMYFUNCTION("""COMPUTED_VALUE"""),"Unlisted")</f>
        <v>Unlisted</v>
      </c>
      <c r="C1066" s="174" t="str">
        <f>IFERROR(__xludf.DUMMYFUNCTION("""COMPUTED_VALUE"""),"Unlisted")</f>
        <v>Unlisted</v>
      </c>
      <c r="D1066" s="174" t="str">
        <f>IFERROR(__xludf.DUMMYFUNCTION("""COMPUTED_VALUE"""),"Unlisted")</f>
        <v>Unlisted</v>
      </c>
      <c r="E1066" s="174" t="str">
        <f>IFERROR(__xludf.DUMMYFUNCTION("""COMPUTED_VALUE"""),"Proficient")</f>
        <v>Proficient</v>
      </c>
      <c r="F1066" s="174" t="str">
        <f>IFERROR(__xludf.DUMMYFUNCTION("""COMPUTED_VALUE"""),"Unlisted")</f>
        <v>Unlisted</v>
      </c>
      <c r="G1066" s="174" t="str">
        <f>IFERROR(__xludf.DUMMYFUNCTION("""COMPUTED_VALUE"""),"Unlisted")</f>
        <v>Unlisted</v>
      </c>
      <c r="H1066" s="174" t="str">
        <f>IFERROR(__xludf.DUMMYFUNCTION("""COMPUTED_VALUE"""),"Unlisted")</f>
        <v>Unlisted</v>
      </c>
      <c r="I1066" s="174" t="str">
        <f>IFERROR(__xludf.DUMMYFUNCTION("""COMPUTED_VALUE"""),"Proficient")</f>
        <v>Proficient</v>
      </c>
      <c r="J1066" s="174" t="str">
        <f>IFERROR(__xludf.DUMMYFUNCTION("""COMPUTED_VALUE"""),"Unlisted")</f>
        <v>Unlisted</v>
      </c>
      <c r="K1066" s="174" t="str">
        <f>IFERROR(__xludf.DUMMYFUNCTION("""COMPUTED_VALUE"""),"Unlisted")</f>
        <v>Unlisted</v>
      </c>
      <c r="L1066" s="174" t="str">
        <f>IFERROR(__xludf.DUMMYFUNCTION("""COMPUTED_VALUE"""),"Proficient")</f>
        <v>Proficient</v>
      </c>
      <c r="M1066" s="174" t="str">
        <f>IFERROR(__xludf.DUMMYFUNCTION("""COMPUTED_VALUE"""),"Unlisted")</f>
        <v>Unlisted</v>
      </c>
      <c r="N1066" s="174" t="str">
        <f>IFERROR(__xludf.DUMMYFUNCTION("""COMPUTED_VALUE"""),"Unlisted")</f>
        <v>Unlisted</v>
      </c>
      <c r="O1066" s="174" t="str">
        <f>IFERROR(__xludf.DUMMYFUNCTION("""COMPUTED_VALUE"""),"Unlisted")</f>
        <v>Unlisted</v>
      </c>
      <c r="P1066" s="174" t="str">
        <f>IFERROR(__xludf.DUMMYFUNCTION("""COMPUTED_VALUE"""),"Unlisted")</f>
        <v>Unlisted</v>
      </c>
      <c r="Q1066" s="174" t="str">
        <f>IFERROR(__xludf.DUMMYFUNCTION("""COMPUTED_VALUE"""),"Unlisted")</f>
        <v>Unlisted</v>
      </c>
      <c r="R1066" s="174" t="str">
        <f>IFERROR(__xludf.DUMMYFUNCTION("""COMPUTED_VALUE"""),"Unlisted")</f>
        <v>Unlisted</v>
      </c>
    </row>
    <row r="1067">
      <c r="A1067" s="255" t="str">
        <f>IFERROR(__xludf.DUMMYFUNCTION("""COMPUTED_VALUE"""),"Castform")</f>
        <v>Castform</v>
      </c>
      <c r="B1067" s="174" t="str">
        <f>IFERROR(__xludf.DUMMYFUNCTION("""COMPUTED_VALUE"""),"Proficient")</f>
        <v>Proficient</v>
      </c>
      <c r="C1067" s="174" t="str">
        <f>IFERROR(__xludf.DUMMYFUNCTION("""COMPUTED_VALUE"""),"Unlisted")</f>
        <v>Unlisted</v>
      </c>
      <c r="D1067" s="174" t="str">
        <f>IFERROR(__xludf.DUMMYFUNCTION("""COMPUTED_VALUE"""),"Unlisted")</f>
        <v>Unlisted</v>
      </c>
      <c r="E1067" s="174" t="str">
        <f>IFERROR(__xludf.DUMMYFUNCTION("""COMPUTED_VALUE"""),"Unlisted")</f>
        <v>Unlisted</v>
      </c>
      <c r="F1067" s="174" t="str">
        <f>IFERROR(__xludf.DUMMYFUNCTION("""COMPUTED_VALUE"""),"Unlisted")</f>
        <v>Unlisted</v>
      </c>
      <c r="G1067" s="174" t="str">
        <f>IFERROR(__xludf.DUMMYFUNCTION("""COMPUTED_VALUE"""),"Unlisted")</f>
        <v>Unlisted</v>
      </c>
      <c r="H1067" s="174" t="str">
        <f>IFERROR(__xludf.DUMMYFUNCTION("""COMPUTED_VALUE"""),"Unlisted")</f>
        <v>Unlisted</v>
      </c>
      <c r="I1067" s="174" t="str">
        <f>IFERROR(__xludf.DUMMYFUNCTION("""COMPUTED_VALUE"""),"Unlisted")</f>
        <v>Unlisted</v>
      </c>
      <c r="J1067" s="174" t="str">
        <f>IFERROR(__xludf.DUMMYFUNCTION("""COMPUTED_VALUE"""),"Proficient")</f>
        <v>Proficient</v>
      </c>
      <c r="K1067" s="174" t="str">
        <f>IFERROR(__xludf.DUMMYFUNCTION("""COMPUTED_VALUE"""),"Unlisted")</f>
        <v>Unlisted</v>
      </c>
      <c r="L1067" s="174" t="str">
        <f>IFERROR(__xludf.DUMMYFUNCTION("""COMPUTED_VALUE"""),"Unlisted")</f>
        <v>Unlisted</v>
      </c>
      <c r="M1067" s="174" t="str">
        <f>IFERROR(__xludf.DUMMYFUNCTION("""COMPUTED_VALUE"""),"Unlisted")</f>
        <v>Unlisted</v>
      </c>
      <c r="N1067" s="174" t="str">
        <f>IFERROR(__xludf.DUMMYFUNCTION("""COMPUTED_VALUE"""),"Unlisted")</f>
        <v>Unlisted</v>
      </c>
      <c r="O1067" s="174" t="str">
        <f>IFERROR(__xludf.DUMMYFUNCTION("""COMPUTED_VALUE"""),"Mastered")</f>
        <v>Mastered</v>
      </c>
      <c r="P1067" s="174" t="str">
        <f>IFERROR(__xludf.DUMMYFUNCTION("""COMPUTED_VALUE"""),"Unlisted")</f>
        <v>Unlisted</v>
      </c>
      <c r="Q1067" s="174" t="str">
        <f>IFERROR(__xludf.DUMMYFUNCTION("""COMPUTED_VALUE"""),"Unlisted")</f>
        <v>Unlisted</v>
      </c>
      <c r="R1067" s="174" t="str">
        <f>IFERROR(__xludf.DUMMYFUNCTION("""COMPUTED_VALUE"""),"Unlisted")</f>
        <v>Unlisted</v>
      </c>
    </row>
    <row r="1068">
      <c r="A1068" s="255" t="str">
        <f>IFERROR(__xludf.DUMMYFUNCTION("""COMPUTED_VALUE"""),"Kecleon")</f>
        <v>Kecleon</v>
      </c>
      <c r="B1068" s="174" t="str">
        <f>IFERROR(__xludf.DUMMYFUNCTION("""COMPUTED_VALUE"""),"Proficient")</f>
        <v>Proficient</v>
      </c>
      <c r="C1068" s="174" t="str">
        <f>IFERROR(__xludf.DUMMYFUNCTION("""COMPUTED_VALUE"""),"Unlisted")</f>
        <v>Unlisted</v>
      </c>
      <c r="D1068" s="174" t="str">
        <f>IFERROR(__xludf.DUMMYFUNCTION("""COMPUTED_VALUE"""),"Unlisted")</f>
        <v>Unlisted</v>
      </c>
      <c r="E1068" s="174" t="str">
        <f>IFERROR(__xludf.DUMMYFUNCTION("""COMPUTED_VALUE"""),"Unlisted")</f>
        <v>Unlisted</v>
      </c>
      <c r="F1068" s="174" t="str">
        <f>IFERROR(__xludf.DUMMYFUNCTION("""COMPUTED_VALUE"""),"Unlisted")</f>
        <v>Unlisted</v>
      </c>
      <c r="G1068" s="174" t="str">
        <f>IFERROR(__xludf.DUMMYFUNCTION("""COMPUTED_VALUE"""),"Proficient")</f>
        <v>Proficient</v>
      </c>
      <c r="H1068" s="174" t="str">
        <f>IFERROR(__xludf.DUMMYFUNCTION("""COMPUTED_VALUE"""),"Unlisted")</f>
        <v>Unlisted</v>
      </c>
      <c r="I1068" s="174" t="str">
        <f>IFERROR(__xludf.DUMMYFUNCTION("""COMPUTED_VALUE"""),"Unlisted")</f>
        <v>Unlisted</v>
      </c>
      <c r="J1068" s="174" t="str">
        <f>IFERROR(__xludf.DUMMYFUNCTION("""COMPUTED_VALUE"""),"Unlisted")</f>
        <v>Unlisted</v>
      </c>
      <c r="K1068" s="174" t="str">
        <f>IFERROR(__xludf.DUMMYFUNCTION("""COMPUTED_VALUE"""),"Unlisted")</f>
        <v>Unlisted</v>
      </c>
      <c r="L1068" s="174" t="str">
        <f>IFERROR(__xludf.DUMMYFUNCTION("""COMPUTED_VALUE"""),"Mastered")</f>
        <v>Mastered</v>
      </c>
      <c r="M1068" s="174" t="str">
        <f>IFERROR(__xludf.DUMMYFUNCTION("""COMPUTED_VALUE"""),"Unlisted")</f>
        <v>Unlisted</v>
      </c>
      <c r="N1068" s="174" t="str">
        <f>IFERROR(__xludf.DUMMYFUNCTION("""COMPUTED_VALUE"""),"Unlisted")</f>
        <v>Unlisted</v>
      </c>
      <c r="O1068" s="174" t="str">
        <f>IFERROR(__xludf.DUMMYFUNCTION("""COMPUTED_VALUE"""),"Unlisted")</f>
        <v>Unlisted</v>
      </c>
      <c r="P1068" s="174" t="str">
        <f>IFERROR(__xludf.DUMMYFUNCTION("""COMPUTED_VALUE"""),"Unlisted")</f>
        <v>Unlisted</v>
      </c>
      <c r="Q1068" s="174" t="str">
        <f>IFERROR(__xludf.DUMMYFUNCTION("""COMPUTED_VALUE"""),"Unlisted")</f>
        <v>Unlisted</v>
      </c>
      <c r="R1068" s="174" t="str">
        <f>IFERROR(__xludf.DUMMYFUNCTION("""COMPUTED_VALUE"""),"Unlisted")</f>
        <v>Unlisted</v>
      </c>
    </row>
    <row r="1069">
      <c r="A1069" s="255" t="str">
        <f>IFERROR(__xludf.DUMMYFUNCTION("""COMPUTED_VALUE"""),"Chatot")</f>
        <v>Chatot</v>
      </c>
      <c r="B1069" s="174" t="str">
        <f>IFERROR(__xludf.DUMMYFUNCTION("""COMPUTED_VALUE"""),"Proficient")</f>
        <v>Proficient</v>
      </c>
      <c r="C1069" s="174" t="str">
        <f>IFERROR(__xludf.DUMMYFUNCTION("""COMPUTED_VALUE"""),"Unlisted")</f>
        <v>Unlisted</v>
      </c>
      <c r="D1069" s="174" t="str">
        <f>IFERROR(__xludf.DUMMYFUNCTION("""COMPUTED_VALUE"""),"Unlisted")</f>
        <v>Unlisted</v>
      </c>
      <c r="E1069" s="174" t="str">
        <f>IFERROR(__xludf.DUMMYFUNCTION("""COMPUTED_VALUE"""),"Inept")</f>
        <v>Inept</v>
      </c>
      <c r="F1069" s="174" t="str">
        <f>IFERROR(__xludf.DUMMYFUNCTION("""COMPUTED_VALUE"""),"Unlisted")</f>
        <v>Unlisted</v>
      </c>
      <c r="G1069" s="174" t="str">
        <f>IFERROR(__xludf.DUMMYFUNCTION("""COMPUTED_VALUE"""),"Unlisted")</f>
        <v>Unlisted</v>
      </c>
      <c r="H1069" s="174" t="str">
        <f>IFERROR(__xludf.DUMMYFUNCTION("""COMPUTED_VALUE"""),"Unlisted")</f>
        <v>Unlisted</v>
      </c>
      <c r="I1069" s="174" t="str">
        <f>IFERROR(__xludf.DUMMYFUNCTION("""COMPUTED_VALUE"""),"Unlisted")</f>
        <v>Unlisted</v>
      </c>
      <c r="J1069" s="174" t="str">
        <f>IFERROR(__xludf.DUMMYFUNCTION("""COMPUTED_VALUE"""),"Proficient")</f>
        <v>Proficient</v>
      </c>
      <c r="K1069" s="174" t="str">
        <f>IFERROR(__xludf.DUMMYFUNCTION("""COMPUTED_VALUE"""),"Mastered")</f>
        <v>Mastered</v>
      </c>
      <c r="L1069" s="174" t="str">
        <f>IFERROR(__xludf.DUMMYFUNCTION("""COMPUTED_VALUE"""),"Unlisted")</f>
        <v>Unlisted</v>
      </c>
      <c r="M1069" s="174" t="str">
        <f>IFERROR(__xludf.DUMMYFUNCTION("""COMPUTED_VALUE"""),"Proficient")</f>
        <v>Proficient</v>
      </c>
      <c r="N1069" s="174" t="str">
        <f>IFERROR(__xludf.DUMMYFUNCTION("""COMPUTED_VALUE"""),"Unlisted")</f>
        <v>Unlisted</v>
      </c>
      <c r="O1069" s="174" t="str">
        <f>IFERROR(__xludf.DUMMYFUNCTION("""COMPUTED_VALUE"""),"Unlisted")</f>
        <v>Unlisted</v>
      </c>
      <c r="P1069" s="174" t="str">
        <f>IFERROR(__xludf.DUMMYFUNCTION("""COMPUTED_VALUE"""),"Unlisted")</f>
        <v>Unlisted</v>
      </c>
      <c r="Q1069" s="174" t="str">
        <f>IFERROR(__xludf.DUMMYFUNCTION("""COMPUTED_VALUE"""),"Unlisted")</f>
        <v>Unlisted</v>
      </c>
      <c r="R1069" s="174" t="str">
        <f>IFERROR(__xludf.DUMMYFUNCTION("""COMPUTED_VALUE"""),"Unlisted")</f>
        <v>Unlisted</v>
      </c>
    </row>
    <row r="1070">
      <c r="A1070" s="255" t="str">
        <f>IFERROR(__xludf.DUMMYFUNCTION("""COMPUTED_VALUE"""),"Audino")</f>
        <v>Audino</v>
      </c>
      <c r="B1070" s="174" t="str">
        <f>IFERROR(__xludf.DUMMYFUNCTION("""COMPUTED_VALUE"""),"Unlisted")</f>
        <v>Unlisted</v>
      </c>
      <c r="C1070" s="174" t="str">
        <f>IFERROR(__xludf.DUMMYFUNCTION("""COMPUTED_VALUE"""),"Unlisted")</f>
        <v>Unlisted</v>
      </c>
      <c r="D1070" s="174" t="str">
        <f>IFERROR(__xludf.DUMMYFUNCTION("""COMPUTED_VALUE"""),"Proficient")</f>
        <v>Proficient</v>
      </c>
      <c r="E1070" s="174" t="str">
        <f>IFERROR(__xludf.DUMMYFUNCTION("""COMPUTED_VALUE"""),"Inept")</f>
        <v>Inept</v>
      </c>
      <c r="F1070" s="174" t="str">
        <f>IFERROR(__xludf.DUMMYFUNCTION("""COMPUTED_VALUE"""),"Unlisted")</f>
        <v>Unlisted</v>
      </c>
      <c r="G1070" s="174" t="str">
        <f>IFERROR(__xludf.DUMMYFUNCTION("""COMPUTED_VALUE"""),"Unlisted")</f>
        <v>Unlisted</v>
      </c>
      <c r="H1070" s="174" t="str">
        <f>IFERROR(__xludf.DUMMYFUNCTION("""COMPUTED_VALUE"""),"Unlisted")</f>
        <v>Unlisted</v>
      </c>
      <c r="I1070" s="174" t="str">
        <f>IFERROR(__xludf.DUMMYFUNCTION("""COMPUTED_VALUE"""),"Unlisted")</f>
        <v>Unlisted</v>
      </c>
      <c r="J1070" s="174" t="str">
        <f>IFERROR(__xludf.DUMMYFUNCTION("""COMPUTED_VALUE"""),"Proficient")</f>
        <v>Proficient</v>
      </c>
      <c r="K1070" s="174" t="str">
        <f>IFERROR(__xludf.DUMMYFUNCTION("""COMPUTED_VALUE"""),"Unlisted")</f>
        <v>Unlisted</v>
      </c>
      <c r="L1070" s="174" t="str">
        <f>IFERROR(__xludf.DUMMYFUNCTION("""COMPUTED_VALUE"""),"Unlisted")</f>
        <v>Unlisted</v>
      </c>
      <c r="M1070" s="174" t="str">
        <f>IFERROR(__xludf.DUMMYFUNCTION("""COMPUTED_VALUE"""),"Unlisted")</f>
        <v>Unlisted</v>
      </c>
      <c r="N1070" s="174" t="str">
        <f>IFERROR(__xludf.DUMMYFUNCTION("""COMPUTED_VALUE"""),"Proficient")</f>
        <v>Proficient</v>
      </c>
      <c r="O1070" s="174" t="str">
        <f>IFERROR(__xludf.DUMMYFUNCTION("""COMPUTED_VALUE"""),"Unlisted")</f>
        <v>Unlisted</v>
      </c>
      <c r="P1070" s="174" t="str">
        <f>IFERROR(__xludf.DUMMYFUNCTION("""COMPUTED_VALUE"""),"Unlisted")</f>
        <v>Unlisted</v>
      </c>
      <c r="Q1070" s="174" t="str">
        <f>IFERROR(__xludf.DUMMYFUNCTION("""COMPUTED_VALUE"""),"Unlisted")</f>
        <v>Unlisted</v>
      </c>
      <c r="R1070" s="174" t="str">
        <f>IFERROR(__xludf.DUMMYFUNCTION("""COMPUTED_VALUE"""),"Unlisted")</f>
        <v>Unlisted</v>
      </c>
    </row>
    <row r="1071">
      <c r="A1071" s="255" t="str">
        <f>IFERROR(__xludf.DUMMYFUNCTION("""COMPUTED_VALUE"""),"Bouffalant")</f>
        <v>Bouffalant</v>
      </c>
      <c r="B1071" s="174" t="str">
        <f>IFERROR(__xludf.DUMMYFUNCTION("""COMPUTED_VALUE"""),"Unlisted")</f>
        <v>Unlisted</v>
      </c>
      <c r="C1071" s="174" t="str">
        <f>IFERROR(__xludf.DUMMYFUNCTION("""COMPUTED_VALUE"""),"Proficient")</f>
        <v>Proficient</v>
      </c>
      <c r="D1071" s="174" t="str">
        <f>IFERROR(__xludf.DUMMYFUNCTION("""COMPUTED_VALUE"""),"Unlisted")</f>
        <v>Unlisted</v>
      </c>
      <c r="E1071" s="174" t="str">
        <f>IFERROR(__xludf.DUMMYFUNCTION("""COMPUTED_VALUE"""),"Proficient")</f>
        <v>Proficient</v>
      </c>
      <c r="F1071" s="174" t="str">
        <f>IFERROR(__xludf.DUMMYFUNCTION("""COMPUTED_VALUE"""),"Unlisted")</f>
        <v>Unlisted</v>
      </c>
      <c r="G1071" s="174" t="str">
        <f>IFERROR(__xludf.DUMMYFUNCTION("""COMPUTED_VALUE"""),"Unlisted")</f>
        <v>Unlisted</v>
      </c>
      <c r="H1071" s="174" t="str">
        <f>IFERROR(__xludf.DUMMYFUNCTION("""COMPUTED_VALUE"""),"Unlisted")</f>
        <v>Unlisted</v>
      </c>
      <c r="I1071" s="174" t="str">
        <f>IFERROR(__xludf.DUMMYFUNCTION("""COMPUTED_VALUE"""),"Unlisted")</f>
        <v>Unlisted</v>
      </c>
      <c r="J1071" s="174" t="str">
        <f>IFERROR(__xludf.DUMMYFUNCTION("""COMPUTED_VALUE"""),"Proficient")</f>
        <v>Proficient</v>
      </c>
      <c r="K1071" s="174" t="str">
        <f>IFERROR(__xludf.DUMMYFUNCTION("""COMPUTED_VALUE"""),"Unlisted")</f>
        <v>Unlisted</v>
      </c>
      <c r="L1071" s="174" t="str">
        <f>IFERROR(__xludf.DUMMYFUNCTION("""COMPUTED_VALUE"""),"Unlisted")</f>
        <v>Unlisted</v>
      </c>
      <c r="M1071" s="174" t="str">
        <f>IFERROR(__xludf.DUMMYFUNCTION("""COMPUTED_VALUE"""),"Unlisted")</f>
        <v>Unlisted</v>
      </c>
      <c r="N1071" s="174" t="str">
        <f>IFERROR(__xludf.DUMMYFUNCTION("""COMPUTED_VALUE"""),"Unlisted")</f>
        <v>Unlisted</v>
      </c>
      <c r="O1071" s="174" t="str">
        <f>IFERROR(__xludf.DUMMYFUNCTION("""COMPUTED_VALUE"""),"Unlisted")</f>
        <v>Unlisted</v>
      </c>
      <c r="P1071" s="174" t="str">
        <f>IFERROR(__xludf.DUMMYFUNCTION("""COMPUTED_VALUE"""),"Unlisted")</f>
        <v>Unlisted</v>
      </c>
      <c r="Q1071" s="174" t="str">
        <f>IFERROR(__xludf.DUMMYFUNCTION("""COMPUTED_VALUE"""),"Unlisted")</f>
        <v>Unlisted</v>
      </c>
      <c r="R1071" s="174" t="str">
        <f>IFERROR(__xludf.DUMMYFUNCTION("""COMPUTED_VALUE"""),"Unlisted")</f>
        <v>Unlisted</v>
      </c>
    </row>
    <row r="1072">
      <c r="A1072" s="255" t="str">
        <f>IFERROR(__xludf.DUMMYFUNCTION("""COMPUTED_VALUE"""),"Furfrou")</f>
        <v>Furfrou</v>
      </c>
      <c r="B1072" s="174" t="str">
        <f>IFERROR(__xludf.DUMMYFUNCTION("""COMPUTED_VALUE"""),"Unlisted")</f>
        <v>Unlisted</v>
      </c>
      <c r="C1072" s="174" t="str">
        <f>IFERROR(__xludf.DUMMYFUNCTION("""COMPUTED_VALUE"""),"Proficient")</f>
        <v>Proficient</v>
      </c>
      <c r="D1072" s="174" t="str">
        <f>IFERROR(__xludf.DUMMYFUNCTION("""COMPUTED_VALUE"""),"Unlisted")</f>
        <v>Unlisted</v>
      </c>
      <c r="E1072" s="174" t="str">
        <f>IFERROR(__xludf.DUMMYFUNCTION("""COMPUTED_VALUE"""),"Unlisted")</f>
        <v>Unlisted</v>
      </c>
      <c r="F1072" s="174" t="str">
        <f>IFERROR(__xludf.DUMMYFUNCTION("""COMPUTED_VALUE"""),"Proficient")</f>
        <v>Proficient</v>
      </c>
      <c r="G1072" s="174" t="str">
        <f>IFERROR(__xludf.DUMMYFUNCTION("""COMPUTED_VALUE"""),"Proficient")</f>
        <v>Proficient</v>
      </c>
      <c r="H1072" s="174" t="str">
        <f>IFERROR(__xludf.DUMMYFUNCTION("""COMPUTED_VALUE"""),"Unlisted")</f>
        <v>Unlisted</v>
      </c>
      <c r="I1072" s="174" t="str">
        <f>IFERROR(__xludf.DUMMYFUNCTION("""COMPUTED_VALUE"""),"Unlisted")</f>
        <v>Unlisted</v>
      </c>
      <c r="J1072" s="174" t="str">
        <f>IFERROR(__xludf.DUMMYFUNCTION("""COMPUTED_VALUE"""),"Unlisted")</f>
        <v>Unlisted</v>
      </c>
      <c r="K1072" s="174" t="str">
        <f>IFERROR(__xludf.DUMMYFUNCTION("""COMPUTED_VALUE"""),"Unlisted")</f>
        <v>Unlisted</v>
      </c>
      <c r="L1072" s="174" t="str">
        <f>IFERROR(__xludf.DUMMYFUNCTION("""COMPUTED_VALUE"""),"Unlisted")</f>
        <v>Unlisted</v>
      </c>
      <c r="M1072" s="174" t="str">
        <f>IFERROR(__xludf.DUMMYFUNCTION("""COMPUTED_VALUE"""),"Unlisted")</f>
        <v>Unlisted</v>
      </c>
      <c r="N1072" s="174" t="str">
        <f>IFERROR(__xludf.DUMMYFUNCTION("""COMPUTED_VALUE"""),"Unlisted")</f>
        <v>Unlisted</v>
      </c>
      <c r="O1072" s="174" t="str">
        <f>IFERROR(__xludf.DUMMYFUNCTION("""COMPUTED_VALUE"""),"Unlisted")</f>
        <v>Unlisted</v>
      </c>
      <c r="P1072" s="174" t="str">
        <f>IFERROR(__xludf.DUMMYFUNCTION("""COMPUTED_VALUE"""),"Unlisted")</f>
        <v>Unlisted</v>
      </c>
      <c r="Q1072" s="174" t="str">
        <f>IFERROR(__xludf.DUMMYFUNCTION("""COMPUTED_VALUE"""),"Unlisted")</f>
        <v>Unlisted</v>
      </c>
      <c r="R1072" s="174" t="str">
        <f>IFERROR(__xludf.DUMMYFUNCTION("""COMPUTED_VALUE"""),"Unlisted")</f>
        <v>Unlisted</v>
      </c>
    </row>
    <row r="1073">
      <c r="A1073" s="255" t="str">
        <f>IFERROR(__xludf.DUMMYFUNCTION("""COMPUTED_VALUE"""),"Oranguru")</f>
        <v>Oranguru</v>
      </c>
      <c r="B1073" s="174" t="str">
        <f>IFERROR(__xludf.DUMMYFUNCTION("""COMPUTED_VALUE"""),"Unlisted")</f>
        <v>Unlisted</v>
      </c>
      <c r="C1073" s="174" t="str">
        <f>IFERROR(__xludf.DUMMYFUNCTION("""COMPUTED_VALUE"""),"Unlisted")</f>
        <v>Unlisted</v>
      </c>
      <c r="D1073" s="174" t="str">
        <f>IFERROR(__xludf.DUMMYFUNCTION("""COMPUTED_VALUE"""),"Unlisted")</f>
        <v>Unlisted</v>
      </c>
      <c r="E1073" s="174" t="str">
        <f>IFERROR(__xludf.DUMMYFUNCTION("""COMPUTED_VALUE"""),"Unlisted")</f>
        <v>Unlisted</v>
      </c>
      <c r="F1073" s="174" t="str">
        <f>IFERROR(__xludf.DUMMYFUNCTION("""COMPUTED_VALUE"""),"Proficient")</f>
        <v>Proficient</v>
      </c>
      <c r="G1073" s="174" t="str">
        <f>IFERROR(__xludf.DUMMYFUNCTION("""COMPUTED_VALUE"""),"Mastered")</f>
        <v>Mastered</v>
      </c>
      <c r="H1073" s="174" t="str">
        <f>IFERROR(__xludf.DUMMYFUNCTION("""COMPUTED_VALUE"""),"Unlisted")</f>
        <v>Unlisted</v>
      </c>
      <c r="I1073" s="174" t="str">
        <f>IFERROR(__xludf.DUMMYFUNCTION("""COMPUTED_VALUE"""),"Unlisted")</f>
        <v>Unlisted</v>
      </c>
      <c r="J1073" s="174" t="str">
        <f>IFERROR(__xludf.DUMMYFUNCTION("""COMPUTED_VALUE"""),"Proficient")</f>
        <v>Proficient</v>
      </c>
      <c r="K1073" s="174" t="str">
        <f>IFERROR(__xludf.DUMMYFUNCTION("""COMPUTED_VALUE"""),"Unlisted")</f>
        <v>Unlisted</v>
      </c>
      <c r="L1073" s="174" t="str">
        <f>IFERROR(__xludf.DUMMYFUNCTION("""COMPUTED_VALUE"""),"Unlisted")</f>
        <v>Unlisted</v>
      </c>
      <c r="M1073" s="174" t="str">
        <f>IFERROR(__xludf.DUMMYFUNCTION("""COMPUTED_VALUE"""),"Unlisted")</f>
        <v>Unlisted</v>
      </c>
      <c r="N1073" s="174" t="str">
        <f>IFERROR(__xludf.DUMMYFUNCTION("""COMPUTED_VALUE"""),"Unlisted")</f>
        <v>Unlisted</v>
      </c>
      <c r="O1073" s="174" t="str">
        <f>IFERROR(__xludf.DUMMYFUNCTION("""COMPUTED_VALUE"""),"Unlisted")</f>
        <v>Unlisted</v>
      </c>
      <c r="P1073" s="174" t="str">
        <f>IFERROR(__xludf.DUMMYFUNCTION("""COMPUTED_VALUE"""),"Unlisted")</f>
        <v>Unlisted</v>
      </c>
      <c r="Q1073" s="174" t="str">
        <f>IFERROR(__xludf.DUMMYFUNCTION("""COMPUTED_VALUE"""),"Unlisted")</f>
        <v>Unlisted</v>
      </c>
      <c r="R1073" s="174" t="str">
        <f>IFERROR(__xludf.DUMMYFUNCTION("""COMPUTED_VALUE"""),"Unlisted")</f>
        <v>Unlisted</v>
      </c>
    </row>
    <row r="1074">
      <c r="A1074" s="255" t="str">
        <f>IFERROR(__xludf.DUMMYFUNCTION("""COMPUTED_VALUE"""),"Komala")</f>
        <v>Komala</v>
      </c>
      <c r="B1074" s="174" t="str">
        <f>IFERROR(__xludf.DUMMYFUNCTION("""COMPUTED_VALUE"""),"Unlisted")</f>
        <v>Unlisted</v>
      </c>
      <c r="C1074" s="174" t="str">
        <f>IFERROR(__xludf.DUMMYFUNCTION("""COMPUTED_VALUE"""),"Proficient")</f>
        <v>Proficient</v>
      </c>
      <c r="D1074" s="174" t="str">
        <f>IFERROR(__xludf.DUMMYFUNCTION("""COMPUTED_VALUE"""),"Unlisted")</f>
        <v>Unlisted</v>
      </c>
      <c r="E1074" s="174" t="str">
        <f>IFERROR(__xludf.DUMMYFUNCTION("""COMPUTED_VALUE"""),"Unlisted")</f>
        <v>Unlisted</v>
      </c>
      <c r="F1074" s="174" t="str">
        <f>IFERROR(__xludf.DUMMYFUNCTION("""COMPUTED_VALUE"""),"Unlisted")</f>
        <v>Unlisted</v>
      </c>
      <c r="G1074" s="174" t="str">
        <f>IFERROR(__xludf.DUMMYFUNCTION("""COMPUTED_VALUE"""),"Proficient")</f>
        <v>Proficient</v>
      </c>
      <c r="H1074" s="174" t="str">
        <f>IFERROR(__xludf.DUMMYFUNCTION("""COMPUTED_VALUE"""),"Unlisted")</f>
        <v>Unlisted</v>
      </c>
      <c r="I1074" s="174" t="str">
        <f>IFERROR(__xludf.DUMMYFUNCTION("""COMPUTED_VALUE"""),"Unlisted")</f>
        <v>Unlisted</v>
      </c>
      <c r="J1074" s="174" t="str">
        <f>IFERROR(__xludf.DUMMYFUNCTION("""COMPUTED_VALUE"""),"Unlisted")</f>
        <v>Unlisted</v>
      </c>
      <c r="K1074" s="174" t="str">
        <f>IFERROR(__xludf.DUMMYFUNCTION("""COMPUTED_VALUE"""),"Inept")</f>
        <v>Inept</v>
      </c>
      <c r="L1074" s="174" t="str">
        <f>IFERROR(__xludf.DUMMYFUNCTION("""COMPUTED_VALUE"""),"Unlisted")</f>
        <v>Unlisted</v>
      </c>
      <c r="M1074" s="174" t="str">
        <f>IFERROR(__xludf.DUMMYFUNCTION("""COMPUTED_VALUE"""),"Unlisted")</f>
        <v>Unlisted</v>
      </c>
      <c r="N1074" s="174" t="str">
        <f>IFERROR(__xludf.DUMMYFUNCTION("""COMPUTED_VALUE"""),"Unlisted")</f>
        <v>Unlisted</v>
      </c>
      <c r="O1074" s="174" t="str">
        <f>IFERROR(__xludf.DUMMYFUNCTION("""COMPUTED_VALUE"""),"Unlisted")</f>
        <v>Unlisted</v>
      </c>
      <c r="P1074" s="174" t="str">
        <f>IFERROR(__xludf.DUMMYFUNCTION("""COMPUTED_VALUE"""),"Unlisted")</f>
        <v>Unlisted</v>
      </c>
      <c r="Q1074" s="174" t="str">
        <f>IFERROR(__xludf.DUMMYFUNCTION("""COMPUTED_VALUE"""),"Unlisted")</f>
        <v>Unlisted</v>
      </c>
      <c r="R1074" s="174" t="str">
        <f>IFERROR(__xludf.DUMMYFUNCTION("""COMPUTED_VALUE"""),"Unlisted")</f>
        <v>Unlisted</v>
      </c>
    </row>
    <row r="1075">
      <c r="A1075" s="255" t="str">
        <f>IFERROR(__xludf.DUMMYFUNCTION("""COMPUTED_VALUE"""),"Drampa")</f>
        <v>Drampa</v>
      </c>
      <c r="B1075" s="174" t="str">
        <f>IFERROR(__xludf.DUMMYFUNCTION("""COMPUTED_VALUE"""),"Unlisted")</f>
        <v>Unlisted</v>
      </c>
      <c r="C1075" s="174" t="str">
        <f>IFERROR(__xludf.DUMMYFUNCTION("""COMPUTED_VALUE"""),"Proficient")</f>
        <v>Proficient</v>
      </c>
      <c r="D1075" s="174" t="str">
        <f>IFERROR(__xludf.DUMMYFUNCTION("""COMPUTED_VALUE"""),"Unlisted")</f>
        <v>Unlisted</v>
      </c>
      <c r="E1075" s="174" t="str">
        <f>IFERROR(__xludf.DUMMYFUNCTION("""COMPUTED_VALUE"""),"Unlisted")</f>
        <v>Unlisted</v>
      </c>
      <c r="F1075" s="174" t="str">
        <f>IFERROR(__xludf.DUMMYFUNCTION("""COMPUTED_VALUE"""),"Unlisted")</f>
        <v>Unlisted</v>
      </c>
      <c r="G1075" s="174" t="str">
        <f>IFERROR(__xludf.DUMMYFUNCTION("""COMPUTED_VALUE"""),"Proficient")</f>
        <v>Proficient</v>
      </c>
      <c r="H1075" s="174" t="str">
        <f>IFERROR(__xludf.DUMMYFUNCTION("""COMPUTED_VALUE"""),"Unlisted")</f>
        <v>Unlisted</v>
      </c>
      <c r="I1075" s="174" t="str">
        <f>IFERROR(__xludf.DUMMYFUNCTION("""COMPUTED_VALUE"""),"Proficient")</f>
        <v>Proficient</v>
      </c>
      <c r="J1075" s="174" t="str">
        <f>IFERROR(__xludf.DUMMYFUNCTION("""COMPUTED_VALUE"""),"Unlisted")</f>
        <v>Unlisted</v>
      </c>
      <c r="K1075" s="174" t="str">
        <f>IFERROR(__xludf.DUMMYFUNCTION("""COMPUTED_VALUE"""),"Unlisted")</f>
        <v>Unlisted</v>
      </c>
      <c r="L1075" s="174" t="str">
        <f>IFERROR(__xludf.DUMMYFUNCTION("""COMPUTED_VALUE"""),"Unlisted")</f>
        <v>Unlisted</v>
      </c>
      <c r="M1075" s="174" t="str">
        <f>IFERROR(__xludf.DUMMYFUNCTION("""COMPUTED_VALUE"""),"Unlisted")</f>
        <v>Unlisted</v>
      </c>
      <c r="N1075" s="174" t="str">
        <f>IFERROR(__xludf.DUMMYFUNCTION("""COMPUTED_VALUE"""),"Unlisted")</f>
        <v>Unlisted</v>
      </c>
      <c r="O1075" s="174" t="str">
        <f>IFERROR(__xludf.DUMMYFUNCTION("""COMPUTED_VALUE"""),"Unlisted")</f>
        <v>Unlisted</v>
      </c>
      <c r="P1075" s="174" t="str">
        <f>IFERROR(__xludf.DUMMYFUNCTION("""COMPUTED_VALUE"""),"Unlisted")</f>
        <v>Unlisted</v>
      </c>
      <c r="Q1075" s="174" t="str">
        <f>IFERROR(__xludf.DUMMYFUNCTION("""COMPUTED_VALUE"""),"Unlisted")</f>
        <v>Unlisted</v>
      </c>
      <c r="R1075" s="174" t="str">
        <f>IFERROR(__xludf.DUMMYFUNCTION("""COMPUTED_VALUE"""),"Unlisted")</f>
        <v>Unlisted</v>
      </c>
    </row>
    <row r="1076">
      <c r="A1076" s="255" t="str">
        <f>IFERROR(__xludf.DUMMYFUNCTION("""COMPUTED_VALUE"""),"Squawkabilly")</f>
        <v>Squawkabilly</v>
      </c>
      <c r="B1076" s="174" t="str">
        <f>IFERROR(__xludf.DUMMYFUNCTION("""COMPUTED_VALUE"""),"Proficient")</f>
        <v>Proficient</v>
      </c>
      <c r="C1076" s="174" t="str">
        <f>IFERROR(__xludf.DUMMYFUNCTION("""COMPUTED_VALUE"""),"Unlisted")</f>
        <v>Unlisted</v>
      </c>
      <c r="D1076" s="174" t="str">
        <f>IFERROR(__xludf.DUMMYFUNCTION("""COMPUTED_VALUE"""),"Unlisted")</f>
        <v>Unlisted</v>
      </c>
      <c r="E1076" s="174" t="str">
        <f>IFERROR(__xludf.DUMMYFUNCTION("""COMPUTED_VALUE"""),"Unlisted")</f>
        <v>Unlisted</v>
      </c>
      <c r="F1076" s="174" t="str">
        <f>IFERROR(__xludf.DUMMYFUNCTION("""COMPUTED_VALUE"""),"Unlisted")</f>
        <v>Unlisted</v>
      </c>
      <c r="G1076" s="174" t="str">
        <f>IFERROR(__xludf.DUMMYFUNCTION("""COMPUTED_VALUE"""),"Unlisted")</f>
        <v>Unlisted</v>
      </c>
      <c r="H1076" s="174" t="str">
        <f>IFERROR(__xludf.DUMMYFUNCTION("""COMPUTED_VALUE"""),"Proficient")</f>
        <v>Proficient</v>
      </c>
      <c r="I1076" s="174" t="str">
        <f>IFERROR(__xludf.DUMMYFUNCTION("""COMPUTED_VALUE"""),"Unlisted")</f>
        <v>Unlisted</v>
      </c>
      <c r="J1076" s="174" t="str">
        <f>IFERROR(__xludf.DUMMYFUNCTION("""COMPUTED_VALUE"""),"Proficient")</f>
        <v>Proficient</v>
      </c>
      <c r="K1076" s="174" t="str">
        <f>IFERROR(__xludf.DUMMYFUNCTION("""COMPUTED_VALUE"""),"Unlisted")</f>
        <v>Unlisted</v>
      </c>
      <c r="L1076" s="174" t="str">
        <f>IFERROR(__xludf.DUMMYFUNCTION("""COMPUTED_VALUE"""),"Unlisted")</f>
        <v>Unlisted</v>
      </c>
      <c r="M1076" s="174" t="str">
        <f>IFERROR(__xludf.DUMMYFUNCTION("""COMPUTED_VALUE"""),"Unlisted")</f>
        <v>Unlisted</v>
      </c>
      <c r="N1076" s="174" t="str">
        <f>IFERROR(__xludf.DUMMYFUNCTION("""COMPUTED_VALUE"""),"Unlisted")</f>
        <v>Unlisted</v>
      </c>
      <c r="O1076" s="174" t="str">
        <f>IFERROR(__xludf.DUMMYFUNCTION("""COMPUTED_VALUE"""),"Unlisted")</f>
        <v>Unlisted</v>
      </c>
      <c r="P1076" s="174" t="str">
        <f>IFERROR(__xludf.DUMMYFUNCTION("""COMPUTED_VALUE"""),"Unlisted")</f>
        <v>Unlisted</v>
      </c>
      <c r="Q1076" s="174" t="str">
        <f>IFERROR(__xludf.DUMMYFUNCTION("""COMPUTED_VALUE"""),"Unlisted")</f>
        <v>Unlisted</v>
      </c>
      <c r="R1076" s="174" t="str">
        <f>IFERROR(__xludf.DUMMYFUNCTION("""COMPUTED_VALUE"""),"Unlisted")</f>
        <v>Unlisted</v>
      </c>
    </row>
    <row r="1077">
      <c r="A1077" s="255" t="str">
        <f>IFERROR(__xludf.DUMMYFUNCTION("""COMPUTED_VALUE"""),"Seviper")</f>
        <v>Seviper</v>
      </c>
      <c r="B1077" s="174" t="str">
        <f>IFERROR(__xludf.DUMMYFUNCTION("""COMPUTED_VALUE"""),"Unlisted")</f>
        <v>Unlisted</v>
      </c>
      <c r="C1077" s="174" t="str">
        <f>IFERROR(__xludf.DUMMYFUNCTION("""COMPUTED_VALUE"""),"Unlisted")</f>
        <v>Unlisted</v>
      </c>
      <c r="D1077" s="174" t="str">
        <f>IFERROR(__xludf.DUMMYFUNCTION("""COMPUTED_VALUE"""),"Unlisted")</f>
        <v>Unlisted</v>
      </c>
      <c r="E1077" s="174" t="str">
        <f>IFERROR(__xludf.DUMMYFUNCTION("""COMPUTED_VALUE"""),"Proficient")</f>
        <v>Proficient</v>
      </c>
      <c r="F1077" s="174" t="str">
        <f>IFERROR(__xludf.DUMMYFUNCTION("""COMPUTED_VALUE"""),"Unlisted")</f>
        <v>Unlisted</v>
      </c>
      <c r="G1077" s="174" t="str">
        <f>IFERROR(__xludf.DUMMYFUNCTION("""COMPUTED_VALUE"""),"Unlisted")</f>
        <v>Unlisted</v>
      </c>
      <c r="H1077" s="174" t="str">
        <f>IFERROR(__xludf.DUMMYFUNCTION("""COMPUTED_VALUE"""),"Unlisted")</f>
        <v>Unlisted</v>
      </c>
      <c r="I1077" s="174" t="str">
        <f>IFERROR(__xludf.DUMMYFUNCTION("""COMPUTED_VALUE"""),"Proficient")</f>
        <v>Proficient</v>
      </c>
      <c r="J1077" s="174" t="str">
        <f>IFERROR(__xludf.DUMMYFUNCTION("""COMPUTED_VALUE"""),"Unlisted")</f>
        <v>Unlisted</v>
      </c>
      <c r="K1077" s="174" t="str">
        <f>IFERROR(__xludf.DUMMYFUNCTION("""COMPUTED_VALUE"""),"Unlisted")</f>
        <v>Unlisted</v>
      </c>
      <c r="L1077" s="174" t="str">
        <f>IFERROR(__xludf.DUMMYFUNCTION("""COMPUTED_VALUE"""),"Proficient")</f>
        <v>Proficient</v>
      </c>
      <c r="M1077" s="174" t="str">
        <f>IFERROR(__xludf.DUMMYFUNCTION("""COMPUTED_VALUE"""),"Unlisted")</f>
        <v>Unlisted</v>
      </c>
      <c r="N1077" s="174" t="str">
        <f>IFERROR(__xludf.DUMMYFUNCTION("""COMPUTED_VALUE"""),"Unlisted")</f>
        <v>Unlisted</v>
      </c>
      <c r="O1077" s="174" t="str">
        <f>IFERROR(__xludf.DUMMYFUNCTION("""COMPUTED_VALUE"""),"Unlisted")</f>
        <v>Unlisted</v>
      </c>
      <c r="P1077" s="174" t="str">
        <f>IFERROR(__xludf.DUMMYFUNCTION("""COMPUTED_VALUE"""),"Unlisted")</f>
        <v>Unlisted</v>
      </c>
      <c r="Q1077" s="174" t="str">
        <f>IFERROR(__xludf.DUMMYFUNCTION("""COMPUTED_VALUE"""),"Unlisted")</f>
        <v>Unlisted</v>
      </c>
      <c r="R1077" s="174" t="str">
        <f>IFERROR(__xludf.DUMMYFUNCTION("""COMPUTED_VALUE"""),"Unlisted")</f>
        <v>Unlisted</v>
      </c>
    </row>
    <row r="1078">
      <c r="A1078" s="255" t="str">
        <f>IFERROR(__xludf.DUMMYFUNCTION("""COMPUTED_VALUE"""),"Unown")</f>
        <v>Unown</v>
      </c>
      <c r="B1078" s="174" t="str">
        <f>IFERROR(__xludf.DUMMYFUNCTION("""COMPUTED_VALUE"""),"Unlisted")</f>
        <v>Unlisted</v>
      </c>
      <c r="C1078" s="174" t="str">
        <f>IFERROR(__xludf.DUMMYFUNCTION("""COMPUTED_VALUE"""),"Inept")</f>
        <v>Inept</v>
      </c>
      <c r="D1078" s="174" t="str">
        <f>IFERROR(__xludf.DUMMYFUNCTION("""COMPUTED_VALUE"""),"Unlisted")</f>
        <v>Unlisted</v>
      </c>
      <c r="E1078" s="174" t="str">
        <f>IFERROR(__xludf.DUMMYFUNCTION("""COMPUTED_VALUE"""),"Inept")</f>
        <v>Inept</v>
      </c>
      <c r="F1078" s="174" t="str">
        <f>IFERROR(__xludf.DUMMYFUNCTION("""COMPUTED_VALUE"""),"Unlisted")</f>
        <v>Unlisted</v>
      </c>
      <c r="G1078" s="174" t="str">
        <f>IFERROR(__xludf.DUMMYFUNCTION("""COMPUTED_VALUE"""),"Unlisted")</f>
        <v>Unlisted</v>
      </c>
      <c r="H1078" s="174" t="str">
        <f>IFERROR(__xludf.DUMMYFUNCTION("""COMPUTED_VALUE"""),"Unlisted")</f>
        <v>Unlisted</v>
      </c>
      <c r="I1078" s="174" t="str">
        <f>IFERROR(__xludf.DUMMYFUNCTION("""COMPUTED_VALUE"""),"Unlisted")</f>
        <v>Unlisted</v>
      </c>
      <c r="J1078" s="174" t="str">
        <f>IFERROR(__xludf.DUMMYFUNCTION("""COMPUTED_VALUE"""),"Unlisted")</f>
        <v>Unlisted</v>
      </c>
      <c r="K1078" s="174" t="str">
        <f>IFERROR(__xludf.DUMMYFUNCTION("""COMPUTED_VALUE"""),"Mastered")</f>
        <v>Mastered</v>
      </c>
      <c r="L1078" s="174" t="str">
        <f>IFERROR(__xludf.DUMMYFUNCTION("""COMPUTED_VALUE"""),"Unlisted")</f>
        <v>Unlisted</v>
      </c>
      <c r="M1078" s="174" t="str">
        <f>IFERROR(__xludf.DUMMYFUNCTION("""COMPUTED_VALUE"""),"Unlisted")</f>
        <v>Unlisted</v>
      </c>
      <c r="N1078" s="174" t="str">
        <f>IFERROR(__xludf.DUMMYFUNCTION("""COMPUTED_VALUE"""),"Unlisted")</f>
        <v>Unlisted</v>
      </c>
      <c r="O1078" s="174" t="str">
        <f>IFERROR(__xludf.DUMMYFUNCTION("""COMPUTED_VALUE"""),"Unlisted")</f>
        <v>Unlisted</v>
      </c>
      <c r="P1078" s="174" t="str">
        <f>IFERROR(__xludf.DUMMYFUNCTION("""COMPUTED_VALUE"""),"Unlisted")</f>
        <v>Unlisted</v>
      </c>
      <c r="Q1078" s="174" t="str">
        <f>IFERROR(__xludf.DUMMYFUNCTION("""COMPUTED_VALUE"""),"Unlisted")</f>
        <v>Unlisted</v>
      </c>
      <c r="R1078" s="174" t="str">
        <f>IFERROR(__xludf.DUMMYFUNCTION("""COMPUTED_VALUE"""),"Unlisted")</f>
        <v>Unlisted</v>
      </c>
    </row>
    <row r="1079">
      <c r="A1079" s="255" t="str">
        <f>IFERROR(__xludf.DUMMYFUNCTION("""COMPUTED_VALUE"""),"Sigilyph")</f>
        <v>Sigilyph</v>
      </c>
      <c r="B1079" s="174" t="str">
        <f>IFERROR(__xludf.DUMMYFUNCTION("""COMPUTED_VALUE"""),"Proficient")</f>
        <v>Proficient</v>
      </c>
      <c r="C1079" s="174" t="str">
        <f>IFERROR(__xludf.DUMMYFUNCTION("""COMPUTED_VALUE"""),"Unlisted")</f>
        <v>Unlisted</v>
      </c>
      <c r="D1079" s="174" t="str">
        <f>IFERROR(__xludf.DUMMYFUNCTION("""COMPUTED_VALUE"""),"Unlisted")</f>
        <v>Unlisted</v>
      </c>
      <c r="E1079" s="174" t="str">
        <f>IFERROR(__xludf.DUMMYFUNCTION("""COMPUTED_VALUE"""),"Unlisted")</f>
        <v>Unlisted</v>
      </c>
      <c r="F1079" s="174" t="str">
        <f>IFERROR(__xludf.DUMMYFUNCTION("""COMPUTED_VALUE"""),"Unlisted")</f>
        <v>Unlisted</v>
      </c>
      <c r="G1079" s="174" t="str">
        <f>IFERROR(__xludf.DUMMYFUNCTION("""COMPUTED_VALUE"""),"Mastered")</f>
        <v>Mastered</v>
      </c>
      <c r="H1079" s="174" t="str">
        <f>IFERROR(__xludf.DUMMYFUNCTION("""COMPUTED_VALUE"""),"Unlisted")</f>
        <v>Unlisted</v>
      </c>
      <c r="I1079" s="174" t="str">
        <f>IFERROR(__xludf.DUMMYFUNCTION("""COMPUTED_VALUE"""),"Unlisted")</f>
        <v>Unlisted</v>
      </c>
      <c r="J1079" s="174" t="str">
        <f>IFERROR(__xludf.DUMMYFUNCTION("""COMPUTED_VALUE"""),"Proficient")</f>
        <v>Proficient</v>
      </c>
      <c r="K1079" s="174" t="str">
        <f>IFERROR(__xludf.DUMMYFUNCTION("""COMPUTED_VALUE"""),"Unlisted")</f>
        <v>Unlisted</v>
      </c>
      <c r="L1079" s="174" t="str">
        <f>IFERROR(__xludf.DUMMYFUNCTION("""COMPUTED_VALUE"""),"Unlisted")</f>
        <v>Unlisted</v>
      </c>
      <c r="M1079" s="174" t="str">
        <f>IFERROR(__xludf.DUMMYFUNCTION("""COMPUTED_VALUE"""),"Unlisted")</f>
        <v>Unlisted</v>
      </c>
      <c r="N1079" s="174" t="str">
        <f>IFERROR(__xludf.DUMMYFUNCTION("""COMPUTED_VALUE"""),"Unlisted")</f>
        <v>Unlisted</v>
      </c>
      <c r="O1079" s="174" t="str">
        <f>IFERROR(__xludf.DUMMYFUNCTION("""COMPUTED_VALUE"""),"Unlisted")</f>
        <v>Unlisted</v>
      </c>
      <c r="P1079" s="174" t="str">
        <f>IFERROR(__xludf.DUMMYFUNCTION("""COMPUTED_VALUE"""),"Unlisted")</f>
        <v>Unlisted</v>
      </c>
      <c r="Q1079" s="174" t="str">
        <f>IFERROR(__xludf.DUMMYFUNCTION("""COMPUTED_VALUE"""),"Unlisted")</f>
        <v>Unlisted</v>
      </c>
      <c r="R1079" s="174" t="str">
        <f>IFERROR(__xludf.DUMMYFUNCTION("""COMPUTED_VALUE"""),"Unlisted")</f>
        <v>Unlisted</v>
      </c>
    </row>
    <row r="1080">
      <c r="A1080" s="255" t="str">
        <f>IFERROR(__xludf.DUMMYFUNCTION("""COMPUTED_VALUE"""),"Indeedee M")</f>
        <v>Indeedee M</v>
      </c>
      <c r="B1080" s="174" t="str">
        <f>IFERROR(__xludf.DUMMYFUNCTION("""COMPUTED_VALUE"""),"Unlisted")</f>
        <v>Unlisted</v>
      </c>
      <c r="C1080" s="174" t="str">
        <f>IFERROR(__xludf.DUMMYFUNCTION("""COMPUTED_VALUE"""),"Unlisted")</f>
        <v>Unlisted</v>
      </c>
      <c r="D1080" s="174" t="str">
        <f>IFERROR(__xludf.DUMMYFUNCTION("""COMPUTED_VALUE"""),"Unlisted")</f>
        <v>Unlisted</v>
      </c>
      <c r="E1080" s="174" t="str">
        <f>IFERROR(__xludf.DUMMYFUNCTION("""COMPUTED_VALUE"""),"Unlisted")</f>
        <v>Unlisted</v>
      </c>
      <c r="F1080" s="174" t="str">
        <f>IFERROR(__xludf.DUMMYFUNCTION("""COMPUTED_VALUE"""),"Unlisted")</f>
        <v>Unlisted</v>
      </c>
      <c r="G1080" s="174" t="str">
        <f>IFERROR(__xludf.DUMMYFUNCTION("""COMPUTED_VALUE"""),"Proficient")</f>
        <v>Proficient</v>
      </c>
      <c r="H1080" s="174" t="str">
        <f>IFERROR(__xludf.DUMMYFUNCTION("""COMPUTED_VALUE"""),"Unlisted")</f>
        <v>Unlisted</v>
      </c>
      <c r="I1080" s="174" t="str">
        <f>IFERROR(__xludf.DUMMYFUNCTION("""COMPUTED_VALUE"""),"Unlisted")</f>
        <v>Unlisted</v>
      </c>
      <c r="J1080" s="174" t="str">
        <f>IFERROR(__xludf.DUMMYFUNCTION("""COMPUTED_VALUE"""),"Proficient")</f>
        <v>Proficient</v>
      </c>
      <c r="K1080" s="174" t="str">
        <f>IFERROR(__xludf.DUMMYFUNCTION("""COMPUTED_VALUE"""),"Unlisted")</f>
        <v>Unlisted</v>
      </c>
      <c r="L1080" s="174" t="str">
        <f>IFERROR(__xludf.DUMMYFUNCTION("""COMPUTED_VALUE"""),"Unlisted")</f>
        <v>Unlisted</v>
      </c>
      <c r="M1080" s="174" t="str">
        <f>IFERROR(__xludf.DUMMYFUNCTION("""COMPUTED_VALUE"""),"Proficient")</f>
        <v>Proficient</v>
      </c>
      <c r="N1080" s="174" t="str">
        <f>IFERROR(__xludf.DUMMYFUNCTION("""COMPUTED_VALUE"""),"Unlisted")</f>
        <v>Unlisted</v>
      </c>
      <c r="O1080" s="174" t="str">
        <f>IFERROR(__xludf.DUMMYFUNCTION("""COMPUTED_VALUE"""),"Unlisted")</f>
        <v>Unlisted</v>
      </c>
      <c r="P1080" s="174" t="str">
        <f>IFERROR(__xludf.DUMMYFUNCTION("""COMPUTED_VALUE"""),"Unlisted")</f>
        <v>Unlisted</v>
      </c>
      <c r="Q1080" s="174" t="str">
        <f>IFERROR(__xludf.DUMMYFUNCTION("""COMPUTED_VALUE"""),"Unlisted")</f>
        <v>Unlisted</v>
      </c>
      <c r="R1080" s="174" t="str">
        <f>IFERROR(__xludf.DUMMYFUNCTION("""COMPUTED_VALUE"""),"Unlisted")</f>
        <v>Unlisted</v>
      </c>
    </row>
    <row r="1081">
      <c r="A1081" s="255" t="str">
        <f>IFERROR(__xludf.DUMMYFUNCTION("""COMPUTED_VALUE"""),"Indeedee F")</f>
        <v>Indeedee F</v>
      </c>
      <c r="B1081" s="174" t="str">
        <f>IFERROR(__xludf.DUMMYFUNCTION("""COMPUTED_VALUE"""),"Unlisted")</f>
        <v>Unlisted</v>
      </c>
      <c r="C1081" s="174" t="str">
        <f>IFERROR(__xludf.DUMMYFUNCTION("""COMPUTED_VALUE"""),"Unlisted")</f>
        <v>Unlisted</v>
      </c>
      <c r="D1081" s="174" t="str">
        <f>IFERROR(__xludf.DUMMYFUNCTION("""COMPUTED_VALUE"""),"Unlisted")</f>
        <v>Unlisted</v>
      </c>
      <c r="E1081" s="174" t="str">
        <f>IFERROR(__xludf.DUMMYFUNCTION("""COMPUTED_VALUE"""),"Unlisted")</f>
        <v>Unlisted</v>
      </c>
      <c r="F1081" s="174" t="str">
        <f>IFERROR(__xludf.DUMMYFUNCTION("""COMPUTED_VALUE"""),"Unlisted")</f>
        <v>Unlisted</v>
      </c>
      <c r="G1081" s="174" t="str">
        <f>IFERROR(__xludf.DUMMYFUNCTION("""COMPUTED_VALUE"""),"Proficient")</f>
        <v>Proficient</v>
      </c>
      <c r="H1081" s="174" t="str">
        <f>IFERROR(__xludf.DUMMYFUNCTION("""COMPUTED_VALUE"""),"Unlisted")</f>
        <v>Unlisted</v>
      </c>
      <c r="I1081" s="174" t="str">
        <f>IFERROR(__xludf.DUMMYFUNCTION("""COMPUTED_VALUE"""),"Unlisted")</f>
        <v>Unlisted</v>
      </c>
      <c r="J1081" s="174" t="str">
        <f>IFERROR(__xludf.DUMMYFUNCTION("""COMPUTED_VALUE"""),"Proficient")</f>
        <v>Proficient</v>
      </c>
      <c r="K1081" s="174" t="str">
        <f>IFERROR(__xludf.DUMMYFUNCTION("""COMPUTED_VALUE"""),"Unlisted")</f>
        <v>Unlisted</v>
      </c>
      <c r="L1081" s="174" t="str">
        <f>IFERROR(__xludf.DUMMYFUNCTION("""COMPUTED_VALUE"""),"Unlisted")</f>
        <v>Unlisted</v>
      </c>
      <c r="M1081" s="174" t="str">
        <f>IFERROR(__xludf.DUMMYFUNCTION("""COMPUTED_VALUE"""),"Proficient")</f>
        <v>Proficient</v>
      </c>
      <c r="N1081" s="174" t="str">
        <f>IFERROR(__xludf.DUMMYFUNCTION("""COMPUTED_VALUE"""),"Unlisted")</f>
        <v>Unlisted</v>
      </c>
      <c r="O1081" s="174" t="str">
        <f>IFERROR(__xludf.DUMMYFUNCTION("""COMPUTED_VALUE"""),"Unlisted")</f>
        <v>Unlisted</v>
      </c>
      <c r="P1081" s="174" t="str">
        <f>IFERROR(__xludf.DUMMYFUNCTION("""COMPUTED_VALUE"""),"Unlisted")</f>
        <v>Unlisted</v>
      </c>
      <c r="Q1081" s="174" t="str">
        <f>IFERROR(__xludf.DUMMYFUNCTION("""COMPUTED_VALUE"""),"Unlisted")</f>
        <v>Unlisted</v>
      </c>
      <c r="R1081" s="174" t="str">
        <f>IFERROR(__xludf.DUMMYFUNCTION("""COMPUTED_VALUE"""),"Unlisted")</f>
        <v>Unlisted</v>
      </c>
    </row>
    <row r="1082">
      <c r="A1082" s="255" t="str">
        <f>IFERROR(__xludf.DUMMYFUNCTION("""COMPUTED_VALUE"""),"Aerodactyl")</f>
        <v>Aerodactyl</v>
      </c>
      <c r="B1082" s="174" t="str">
        <f>IFERROR(__xludf.DUMMYFUNCTION("""COMPUTED_VALUE"""),"Mastered")</f>
        <v>Mastered</v>
      </c>
      <c r="C1082" s="174" t="str">
        <f>IFERROR(__xludf.DUMMYFUNCTION("""COMPUTED_VALUE"""),"Proficient")</f>
        <v>Proficient</v>
      </c>
      <c r="D1082" s="174" t="str">
        <f>IFERROR(__xludf.DUMMYFUNCTION("""COMPUTED_VALUE"""),"Unlisted")</f>
        <v>Unlisted</v>
      </c>
      <c r="E1082" s="174" t="str">
        <f>IFERROR(__xludf.DUMMYFUNCTION("""COMPUTED_VALUE"""),"Proficient")</f>
        <v>Proficient</v>
      </c>
      <c r="F1082" s="174" t="str">
        <f>IFERROR(__xludf.DUMMYFUNCTION("""COMPUTED_VALUE"""),"Unlisted")</f>
        <v>Unlisted</v>
      </c>
      <c r="G1082" s="174" t="str">
        <f>IFERROR(__xludf.DUMMYFUNCTION("""COMPUTED_VALUE"""),"Unlisted")</f>
        <v>Unlisted</v>
      </c>
      <c r="H1082" s="174" t="str">
        <f>IFERROR(__xludf.DUMMYFUNCTION("""COMPUTED_VALUE"""),"Unlisted")</f>
        <v>Unlisted</v>
      </c>
      <c r="I1082" s="174" t="str">
        <f>IFERROR(__xludf.DUMMYFUNCTION("""COMPUTED_VALUE"""),"Proficient")</f>
        <v>Proficient</v>
      </c>
      <c r="J1082" s="174" t="str">
        <f>IFERROR(__xludf.DUMMYFUNCTION("""COMPUTED_VALUE"""),"Unlisted")</f>
        <v>Unlisted</v>
      </c>
      <c r="K1082" s="174" t="str">
        <f>IFERROR(__xludf.DUMMYFUNCTION("""COMPUTED_VALUE"""),"Unlisted")</f>
        <v>Unlisted</v>
      </c>
      <c r="L1082" s="174" t="str">
        <f>IFERROR(__xludf.DUMMYFUNCTION("""COMPUTED_VALUE"""),"Inept")</f>
        <v>Inept</v>
      </c>
      <c r="M1082" s="174" t="str">
        <f>IFERROR(__xludf.DUMMYFUNCTION("""COMPUTED_VALUE"""),"Unlisted")</f>
        <v>Unlisted</v>
      </c>
      <c r="N1082" s="174" t="str">
        <f>IFERROR(__xludf.DUMMYFUNCTION("""COMPUTED_VALUE"""),"Unlisted")</f>
        <v>Unlisted</v>
      </c>
      <c r="O1082" s="174" t="str">
        <f>IFERROR(__xludf.DUMMYFUNCTION("""COMPUTED_VALUE"""),"Unlisted")</f>
        <v>Unlisted</v>
      </c>
      <c r="P1082" s="174" t="str">
        <f>IFERROR(__xludf.DUMMYFUNCTION("""COMPUTED_VALUE"""),"Unlisted")</f>
        <v>Unlisted</v>
      </c>
      <c r="Q1082" s="174" t="str">
        <f>IFERROR(__xludf.DUMMYFUNCTION("""COMPUTED_VALUE"""),"Unlisted")</f>
        <v>Unlisted</v>
      </c>
      <c r="R1082" s="174" t="str">
        <f>IFERROR(__xludf.DUMMYFUNCTION("""COMPUTED_VALUE"""),"Unlisted")</f>
        <v>Unlisted</v>
      </c>
    </row>
    <row r="1083">
      <c r="A1083" s="255" t="str">
        <f>IFERROR(__xludf.DUMMYFUNCTION("""COMPUTED_VALUE"""),"Lunatone")</f>
        <v>Lunatone</v>
      </c>
      <c r="B1083" s="174" t="str">
        <f>IFERROR(__xludf.DUMMYFUNCTION("""COMPUTED_VALUE"""),"Unlisted")</f>
        <v>Unlisted</v>
      </c>
      <c r="C1083" s="174" t="str">
        <f>IFERROR(__xludf.DUMMYFUNCTION("""COMPUTED_VALUE"""),"Unlisted")</f>
        <v>Unlisted</v>
      </c>
      <c r="D1083" s="174" t="str">
        <f>IFERROR(__xludf.DUMMYFUNCTION("""COMPUTED_VALUE"""),"Unlisted")</f>
        <v>Unlisted</v>
      </c>
      <c r="E1083" s="174" t="str">
        <f>IFERROR(__xludf.DUMMYFUNCTION("""COMPUTED_VALUE"""),"Unlisted")</f>
        <v>Unlisted</v>
      </c>
      <c r="F1083" s="174" t="str">
        <f>IFERROR(__xludf.DUMMYFUNCTION("""COMPUTED_VALUE"""),"Unlisted")</f>
        <v>Unlisted</v>
      </c>
      <c r="G1083" s="174" t="str">
        <f>IFERROR(__xludf.DUMMYFUNCTION("""COMPUTED_VALUE"""),"Proficient")</f>
        <v>Proficient</v>
      </c>
      <c r="H1083" s="174" t="str">
        <f>IFERROR(__xludf.DUMMYFUNCTION("""COMPUTED_VALUE"""),"Unlisted")</f>
        <v>Unlisted</v>
      </c>
      <c r="I1083" s="174" t="str">
        <f>IFERROR(__xludf.DUMMYFUNCTION("""COMPUTED_VALUE"""),"Unlisted")</f>
        <v>Unlisted</v>
      </c>
      <c r="J1083" s="174" t="str">
        <f>IFERROR(__xludf.DUMMYFUNCTION("""COMPUTED_VALUE"""),"Unlisted")</f>
        <v>Unlisted</v>
      </c>
      <c r="K1083" s="174" t="str">
        <f>IFERROR(__xludf.DUMMYFUNCTION("""COMPUTED_VALUE"""),"Proficient")</f>
        <v>Proficient</v>
      </c>
      <c r="L1083" s="174" t="str">
        <f>IFERROR(__xludf.DUMMYFUNCTION("""COMPUTED_VALUE"""),"Unlisted")</f>
        <v>Unlisted</v>
      </c>
      <c r="M1083" s="174" t="str">
        <f>IFERROR(__xludf.DUMMYFUNCTION("""COMPUTED_VALUE"""),"Unlisted")</f>
        <v>Unlisted</v>
      </c>
      <c r="N1083" s="174" t="str">
        <f>IFERROR(__xludf.DUMMYFUNCTION("""COMPUTED_VALUE"""),"Unlisted")</f>
        <v>Unlisted</v>
      </c>
      <c r="O1083" s="174" t="str">
        <f>IFERROR(__xludf.DUMMYFUNCTION("""COMPUTED_VALUE"""),"Unlisted")</f>
        <v>Unlisted</v>
      </c>
      <c r="P1083" s="174" t="str">
        <f>IFERROR(__xludf.DUMMYFUNCTION("""COMPUTED_VALUE"""),"Unlisted")</f>
        <v>Unlisted</v>
      </c>
      <c r="Q1083" s="174" t="str">
        <f>IFERROR(__xludf.DUMMYFUNCTION("""COMPUTED_VALUE"""),"Unlisted")</f>
        <v>Unlisted</v>
      </c>
      <c r="R1083" s="174" t="str">
        <f>IFERROR(__xludf.DUMMYFUNCTION("""COMPUTED_VALUE"""),"Unlisted")</f>
        <v>Unlisted</v>
      </c>
    </row>
    <row r="1084">
      <c r="A1084" s="255" t="str">
        <f>IFERROR(__xludf.DUMMYFUNCTION("""COMPUTED_VALUE"""),"Solrock")</f>
        <v>Solrock</v>
      </c>
      <c r="B1084" s="174" t="str">
        <f>IFERROR(__xludf.DUMMYFUNCTION("""COMPUTED_VALUE"""),"Unlisted")</f>
        <v>Unlisted</v>
      </c>
      <c r="C1084" s="174" t="str">
        <f>IFERROR(__xludf.DUMMYFUNCTION("""COMPUTED_VALUE"""),"Unlisted")</f>
        <v>Unlisted</v>
      </c>
      <c r="D1084" s="174" t="str">
        <f>IFERROR(__xludf.DUMMYFUNCTION("""COMPUTED_VALUE"""),"Unlisted")</f>
        <v>Unlisted</v>
      </c>
      <c r="E1084" s="174" t="str">
        <f>IFERROR(__xludf.DUMMYFUNCTION("""COMPUTED_VALUE"""),"Unlisted")</f>
        <v>Unlisted</v>
      </c>
      <c r="F1084" s="174" t="str">
        <f>IFERROR(__xludf.DUMMYFUNCTION("""COMPUTED_VALUE"""),"Unlisted")</f>
        <v>Unlisted</v>
      </c>
      <c r="G1084" s="174" t="str">
        <f>IFERROR(__xludf.DUMMYFUNCTION("""COMPUTED_VALUE"""),"Proficient")</f>
        <v>Proficient</v>
      </c>
      <c r="H1084" s="174" t="str">
        <f>IFERROR(__xludf.DUMMYFUNCTION("""COMPUTED_VALUE"""),"Unlisted")</f>
        <v>Unlisted</v>
      </c>
      <c r="I1084" s="174" t="str">
        <f>IFERROR(__xludf.DUMMYFUNCTION("""COMPUTED_VALUE"""),"Unlisted")</f>
        <v>Unlisted</v>
      </c>
      <c r="J1084" s="174" t="str">
        <f>IFERROR(__xludf.DUMMYFUNCTION("""COMPUTED_VALUE"""),"Unlisted")</f>
        <v>Unlisted</v>
      </c>
      <c r="K1084" s="174" t="str">
        <f>IFERROR(__xludf.DUMMYFUNCTION("""COMPUTED_VALUE"""),"Proficient")</f>
        <v>Proficient</v>
      </c>
      <c r="L1084" s="174" t="str">
        <f>IFERROR(__xludf.DUMMYFUNCTION("""COMPUTED_VALUE"""),"Unlisted")</f>
        <v>Unlisted</v>
      </c>
      <c r="M1084" s="174" t="str">
        <f>IFERROR(__xludf.DUMMYFUNCTION("""COMPUTED_VALUE"""),"Unlisted")</f>
        <v>Unlisted</v>
      </c>
      <c r="N1084" s="174" t="str">
        <f>IFERROR(__xludf.DUMMYFUNCTION("""COMPUTED_VALUE"""),"Unlisted")</f>
        <v>Unlisted</v>
      </c>
      <c r="O1084" s="174" t="str">
        <f>IFERROR(__xludf.DUMMYFUNCTION("""COMPUTED_VALUE"""),"Unlisted")</f>
        <v>Unlisted</v>
      </c>
      <c r="P1084" s="174" t="str">
        <f>IFERROR(__xludf.DUMMYFUNCTION("""COMPUTED_VALUE"""),"Unlisted")</f>
        <v>Unlisted</v>
      </c>
      <c r="Q1084" s="174" t="str">
        <f>IFERROR(__xludf.DUMMYFUNCTION("""COMPUTED_VALUE"""),"Unlisted")</f>
        <v>Unlisted</v>
      </c>
      <c r="R1084" s="174" t="str">
        <f>IFERROR(__xludf.DUMMYFUNCTION("""COMPUTED_VALUE"""),"Unlisted")</f>
        <v>Unlisted</v>
      </c>
    </row>
    <row r="1085">
      <c r="A1085" s="255" t="str">
        <f>IFERROR(__xludf.DUMMYFUNCTION("""COMPUTED_VALUE"""),"Carbink")</f>
        <v>Carbink</v>
      </c>
      <c r="B1085" s="174" t="str">
        <f>IFERROR(__xludf.DUMMYFUNCTION("""COMPUTED_VALUE"""),"Unlisted")</f>
        <v>Unlisted</v>
      </c>
      <c r="C1085" s="174" t="str">
        <f>IFERROR(__xludf.DUMMYFUNCTION("""COMPUTED_VALUE"""),"Unlisted")</f>
        <v>Unlisted</v>
      </c>
      <c r="D1085" s="174" t="str">
        <f>IFERROR(__xludf.DUMMYFUNCTION("""COMPUTED_VALUE"""),"Proficient")</f>
        <v>Proficient</v>
      </c>
      <c r="E1085" s="174" t="str">
        <f>IFERROR(__xludf.DUMMYFUNCTION("""COMPUTED_VALUE"""),"Unlisted")</f>
        <v>Unlisted</v>
      </c>
      <c r="F1085" s="174" t="str">
        <f>IFERROR(__xludf.DUMMYFUNCTION("""COMPUTED_VALUE"""),"Unlisted")</f>
        <v>Unlisted</v>
      </c>
      <c r="G1085" s="174" t="str">
        <f>IFERROR(__xludf.DUMMYFUNCTION("""COMPUTED_VALUE"""),"Proficient")</f>
        <v>Proficient</v>
      </c>
      <c r="H1085" s="174" t="str">
        <f>IFERROR(__xludf.DUMMYFUNCTION("""COMPUTED_VALUE"""),"Unlisted")</f>
        <v>Unlisted</v>
      </c>
      <c r="I1085" s="174" t="str">
        <f>IFERROR(__xludf.DUMMYFUNCTION("""COMPUTED_VALUE"""),"Unlisted")</f>
        <v>Unlisted</v>
      </c>
      <c r="J1085" s="174" t="str">
        <f>IFERROR(__xludf.DUMMYFUNCTION("""COMPUTED_VALUE"""),"Unlisted")</f>
        <v>Unlisted</v>
      </c>
      <c r="K1085" s="174" t="str">
        <f>IFERROR(__xludf.DUMMYFUNCTION("""COMPUTED_VALUE"""),"Proficient")</f>
        <v>Proficient</v>
      </c>
      <c r="L1085" s="174" t="str">
        <f>IFERROR(__xludf.DUMMYFUNCTION("""COMPUTED_VALUE"""),"Unlisted")</f>
        <v>Unlisted</v>
      </c>
      <c r="M1085" s="174" t="str">
        <f>IFERROR(__xludf.DUMMYFUNCTION("""COMPUTED_VALUE"""),"Unlisted")</f>
        <v>Unlisted</v>
      </c>
      <c r="N1085" s="174" t="str">
        <f>IFERROR(__xludf.DUMMYFUNCTION("""COMPUTED_VALUE"""),"Unlisted")</f>
        <v>Unlisted</v>
      </c>
      <c r="O1085" s="174" t="str">
        <f>IFERROR(__xludf.DUMMYFUNCTION("""COMPUTED_VALUE"""),"Unlisted")</f>
        <v>Unlisted</v>
      </c>
      <c r="P1085" s="174" t="str">
        <f>IFERROR(__xludf.DUMMYFUNCTION("""COMPUTED_VALUE"""),"Unlisted")</f>
        <v>Unlisted</v>
      </c>
      <c r="Q1085" s="174" t="str">
        <f>IFERROR(__xludf.DUMMYFUNCTION("""COMPUTED_VALUE"""),"Unlisted")</f>
        <v>Unlisted</v>
      </c>
      <c r="R1085" s="174" t="str">
        <f>IFERROR(__xludf.DUMMYFUNCTION("""COMPUTED_VALUE"""),"Unlisted")</f>
        <v>Unlisted</v>
      </c>
    </row>
    <row r="1086">
      <c r="A1086" s="255" t="str">
        <f>IFERROR(__xludf.DUMMYFUNCTION("""COMPUTED_VALUE"""),"Minior Meteor")</f>
        <v>Minior Meteor</v>
      </c>
      <c r="B1086" s="174" t="str">
        <f>IFERROR(__xludf.DUMMYFUNCTION("""COMPUTED_VALUE"""),"Proficient")</f>
        <v>Proficient</v>
      </c>
      <c r="C1086" s="174" t="str">
        <f>IFERROR(__xludf.DUMMYFUNCTION("""COMPUTED_VALUE"""),"Unlisted")</f>
        <v>Unlisted</v>
      </c>
      <c r="D1086" s="174" t="str">
        <f>IFERROR(__xludf.DUMMYFUNCTION("""COMPUTED_VALUE"""),"Unlisted")</f>
        <v>Unlisted</v>
      </c>
      <c r="E1086" s="174" t="str">
        <f>IFERROR(__xludf.DUMMYFUNCTION("""COMPUTED_VALUE"""),"Unlisted")</f>
        <v>Unlisted</v>
      </c>
      <c r="F1086" s="174" t="str">
        <f>IFERROR(__xludf.DUMMYFUNCTION("""COMPUTED_VALUE"""),"Unlisted")</f>
        <v>Unlisted</v>
      </c>
      <c r="G1086" s="174" t="str">
        <f>IFERROR(__xludf.DUMMYFUNCTION("""COMPUTED_VALUE"""),"Proficient")</f>
        <v>Proficient</v>
      </c>
      <c r="H1086" s="174" t="str">
        <f>IFERROR(__xludf.DUMMYFUNCTION("""COMPUTED_VALUE"""),"Unlisted")</f>
        <v>Unlisted</v>
      </c>
      <c r="I1086" s="174" t="str">
        <f>IFERROR(__xludf.DUMMYFUNCTION("""COMPUTED_VALUE"""),"Unlisted")</f>
        <v>Unlisted</v>
      </c>
      <c r="J1086" s="174" t="str">
        <f>IFERROR(__xludf.DUMMYFUNCTION("""COMPUTED_VALUE"""),"Unlisted")</f>
        <v>Unlisted</v>
      </c>
      <c r="K1086" s="174" t="str">
        <f>IFERROR(__xludf.DUMMYFUNCTION("""COMPUTED_VALUE"""),"Unlisted")</f>
        <v>Unlisted</v>
      </c>
      <c r="L1086" s="174" t="str">
        <f>IFERROR(__xludf.DUMMYFUNCTION("""COMPUTED_VALUE"""),"Inept")</f>
        <v>Inept</v>
      </c>
      <c r="M1086" s="174" t="str">
        <f>IFERROR(__xludf.DUMMYFUNCTION("""COMPUTED_VALUE"""),"Unlisted")</f>
        <v>Unlisted</v>
      </c>
      <c r="N1086" s="174" t="str">
        <f>IFERROR(__xludf.DUMMYFUNCTION("""COMPUTED_VALUE"""),"Unlisted")</f>
        <v>Unlisted</v>
      </c>
      <c r="O1086" s="174" t="str">
        <f>IFERROR(__xludf.DUMMYFUNCTION("""COMPUTED_VALUE"""),"Unlisted")</f>
        <v>Unlisted</v>
      </c>
      <c r="P1086" s="174" t="str">
        <f>IFERROR(__xludf.DUMMYFUNCTION("""COMPUTED_VALUE"""),"Unlisted")</f>
        <v>Unlisted</v>
      </c>
      <c r="Q1086" s="174" t="str">
        <f>IFERROR(__xludf.DUMMYFUNCTION("""COMPUTED_VALUE"""),"Unlisted")</f>
        <v>Unlisted</v>
      </c>
      <c r="R1086" s="174" t="str">
        <f>IFERROR(__xludf.DUMMYFUNCTION("""COMPUTED_VALUE"""),"Unlisted")</f>
        <v>Unlisted</v>
      </c>
    </row>
    <row r="1087">
      <c r="A1087" s="255" t="str">
        <f>IFERROR(__xludf.DUMMYFUNCTION("""COMPUTED_VALUE"""),"Minior Core")</f>
        <v>Minior Core</v>
      </c>
      <c r="B1087" s="174" t="str">
        <f>IFERROR(__xludf.DUMMYFUNCTION("""COMPUTED_VALUE"""),"Proficient")</f>
        <v>Proficient</v>
      </c>
      <c r="C1087" s="174" t="str">
        <f>IFERROR(__xludf.DUMMYFUNCTION("""COMPUTED_VALUE"""),"Unlisted")</f>
        <v>Unlisted</v>
      </c>
      <c r="D1087" s="174" t="str">
        <f>IFERROR(__xludf.DUMMYFUNCTION("""COMPUTED_VALUE"""),"Unlisted")</f>
        <v>Unlisted</v>
      </c>
      <c r="E1087" s="174" t="str">
        <f>IFERROR(__xludf.DUMMYFUNCTION("""COMPUTED_VALUE"""),"Unlisted")</f>
        <v>Unlisted</v>
      </c>
      <c r="F1087" s="174" t="str">
        <f>IFERROR(__xludf.DUMMYFUNCTION("""COMPUTED_VALUE"""),"Unlisted")</f>
        <v>Unlisted</v>
      </c>
      <c r="G1087" s="174" t="str">
        <f>IFERROR(__xludf.DUMMYFUNCTION("""COMPUTED_VALUE"""),"Proficient")</f>
        <v>Proficient</v>
      </c>
      <c r="H1087" s="174" t="str">
        <f>IFERROR(__xludf.DUMMYFUNCTION("""COMPUTED_VALUE"""),"Unlisted")</f>
        <v>Unlisted</v>
      </c>
      <c r="I1087" s="174" t="str">
        <f>IFERROR(__xludf.DUMMYFUNCTION("""COMPUTED_VALUE"""),"Unlisted")</f>
        <v>Unlisted</v>
      </c>
      <c r="J1087" s="174" t="str">
        <f>IFERROR(__xludf.DUMMYFUNCTION("""COMPUTED_VALUE"""),"Unlisted")</f>
        <v>Unlisted</v>
      </c>
      <c r="K1087" s="174" t="str">
        <f>IFERROR(__xludf.DUMMYFUNCTION("""COMPUTED_VALUE"""),"Unlisted")</f>
        <v>Unlisted</v>
      </c>
      <c r="L1087" s="174" t="str">
        <f>IFERROR(__xludf.DUMMYFUNCTION("""COMPUTED_VALUE"""),"Inept")</f>
        <v>Inept</v>
      </c>
      <c r="M1087" s="174" t="str">
        <f>IFERROR(__xludf.DUMMYFUNCTION("""COMPUTED_VALUE"""),"Unlisted")</f>
        <v>Unlisted</v>
      </c>
      <c r="N1087" s="174" t="str">
        <f>IFERROR(__xludf.DUMMYFUNCTION("""COMPUTED_VALUE"""),"Unlisted")</f>
        <v>Unlisted</v>
      </c>
      <c r="O1087" s="174" t="str">
        <f>IFERROR(__xludf.DUMMYFUNCTION("""COMPUTED_VALUE"""),"Unlisted")</f>
        <v>Unlisted</v>
      </c>
      <c r="P1087" s="174" t="str">
        <f>IFERROR(__xludf.DUMMYFUNCTION("""COMPUTED_VALUE"""),"Unlisted")</f>
        <v>Unlisted</v>
      </c>
      <c r="Q1087" s="174" t="str">
        <f>IFERROR(__xludf.DUMMYFUNCTION("""COMPUTED_VALUE"""),"Unlisted")</f>
        <v>Unlisted</v>
      </c>
      <c r="R1087" s="174" t="str">
        <f>IFERROR(__xludf.DUMMYFUNCTION("""COMPUTED_VALUE"""),"Unlisted")</f>
        <v>Unlisted</v>
      </c>
    </row>
    <row r="1088">
      <c r="A1088" s="255" t="str">
        <f>IFERROR(__xludf.DUMMYFUNCTION("""COMPUTED_VALUE"""),"Stonjourner")</f>
        <v>Stonjourner</v>
      </c>
      <c r="B1088" s="174" t="str">
        <f>IFERROR(__xludf.DUMMYFUNCTION("""COMPUTED_VALUE"""),"Unlisted")</f>
        <v>Unlisted</v>
      </c>
      <c r="C1088" s="174" t="str">
        <f>IFERROR(__xludf.DUMMYFUNCTION("""COMPUTED_VALUE"""),"Proficient")</f>
        <v>Proficient</v>
      </c>
      <c r="D1088" s="174" t="str">
        <f>IFERROR(__xludf.DUMMYFUNCTION("""COMPUTED_VALUE"""),"Unlisted")</f>
        <v>Unlisted</v>
      </c>
      <c r="E1088" s="174" t="str">
        <f>IFERROR(__xludf.DUMMYFUNCTION("""COMPUTED_VALUE"""),"Unlisted")</f>
        <v>Unlisted</v>
      </c>
      <c r="F1088" s="174" t="str">
        <f>IFERROR(__xludf.DUMMYFUNCTION("""COMPUTED_VALUE"""),"Unlisted")</f>
        <v>Unlisted</v>
      </c>
      <c r="G1088" s="174" t="str">
        <f>IFERROR(__xludf.DUMMYFUNCTION("""COMPUTED_VALUE"""),"Proficient")</f>
        <v>Proficient</v>
      </c>
      <c r="H1088" s="174" t="str">
        <f>IFERROR(__xludf.DUMMYFUNCTION("""COMPUTED_VALUE"""),"Unlisted")</f>
        <v>Unlisted</v>
      </c>
      <c r="I1088" s="174" t="str">
        <f>IFERROR(__xludf.DUMMYFUNCTION("""COMPUTED_VALUE"""),"Unlisted")</f>
        <v>Unlisted</v>
      </c>
      <c r="J1088" s="174" t="str">
        <f>IFERROR(__xludf.DUMMYFUNCTION("""COMPUTED_VALUE"""),"Unlisted")</f>
        <v>Unlisted</v>
      </c>
      <c r="K1088" s="174" t="str">
        <f>IFERROR(__xludf.DUMMYFUNCTION("""COMPUTED_VALUE"""),"Unlisted")</f>
        <v>Unlisted</v>
      </c>
      <c r="L1088" s="174" t="str">
        <f>IFERROR(__xludf.DUMMYFUNCTION("""COMPUTED_VALUE"""),"Unlisted")</f>
        <v>Unlisted</v>
      </c>
      <c r="M1088" s="174" t="str">
        <f>IFERROR(__xludf.DUMMYFUNCTION("""COMPUTED_VALUE"""),"Unlisted")</f>
        <v>Unlisted</v>
      </c>
      <c r="N1088" s="174" t="str">
        <f>IFERROR(__xludf.DUMMYFUNCTION("""COMPUTED_VALUE"""),"Unlisted")</f>
        <v>Unlisted</v>
      </c>
      <c r="O1088" s="174" t="str">
        <f>IFERROR(__xludf.DUMMYFUNCTION("""COMPUTED_VALUE"""),"Unlisted")</f>
        <v>Unlisted</v>
      </c>
      <c r="P1088" s="174" t="str">
        <f>IFERROR(__xludf.DUMMYFUNCTION("""COMPUTED_VALUE"""),"Unlisted")</f>
        <v>Unlisted</v>
      </c>
      <c r="Q1088" s="174" t="str">
        <f>IFERROR(__xludf.DUMMYFUNCTION("""COMPUTED_VALUE"""),"Unlisted")</f>
        <v>Unlisted</v>
      </c>
      <c r="R1088" s="174" t="str">
        <f>IFERROR(__xludf.DUMMYFUNCTION("""COMPUTED_VALUE"""),"Unlisted")</f>
        <v>Unlisted</v>
      </c>
    </row>
    <row r="1089">
      <c r="A1089" s="255" t="str">
        <f>IFERROR(__xludf.DUMMYFUNCTION("""COMPUTED_VALUE"""),"Klawf")</f>
        <v>Klawf</v>
      </c>
      <c r="B1089" s="174" t="str">
        <f>IFERROR(__xludf.DUMMYFUNCTION("""COMPUTED_VALUE"""),"Unlisted")</f>
        <v>Unlisted</v>
      </c>
      <c r="C1089" s="174" t="str">
        <f>IFERROR(__xludf.DUMMYFUNCTION("""COMPUTED_VALUE"""),"Proficient")</f>
        <v>Proficient</v>
      </c>
      <c r="D1089" s="174" t="str">
        <f>IFERROR(__xludf.DUMMYFUNCTION("""COMPUTED_VALUE"""),"Unlisted")</f>
        <v>Unlisted</v>
      </c>
      <c r="E1089" s="174" t="str">
        <f>IFERROR(__xludf.DUMMYFUNCTION("""COMPUTED_VALUE"""),"Unlisted")</f>
        <v>Unlisted</v>
      </c>
      <c r="F1089" s="174" t="str">
        <f>IFERROR(__xludf.DUMMYFUNCTION("""COMPUTED_VALUE"""),"Unlisted")</f>
        <v>Unlisted</v>
      </c>
      <c r="G1089" s="174" t="str">
        <f>IFERROR(__xludf.DUMMYFUNCTION("""COMPUTED_VALUE"""),"Mastered")</f>
        <v>Mastered</v>
      </c>
      <c r="H1089" s="174" t="str">
        <f>IFERROR(__xludf.DUMMYFUNCTION("""COMPUTED_VALUE"""),"Unlisted")</f>
        <v>Unlisted</v>
      </c>
      <c r="I1089" s="174" t="str">
        <f>IFERROR(__xludf.DUMMYFUNCTION("""COMPUTED_VALUE"""),"Unlisted")</f>
        <v>Unlisted</v>
      </c>
      <c r="J1089" s="174" t="str">
        <f>IFERROR(__xludf.DUMMYFUNCTION("""COMPUTED_VALUE"""),"Inept")</f>
        <v>Inept</v>
      </c>
      <c r="K1089" s="174" t="str">
        <f>IFERROR(__xludf.DUMMYFUNCTION("""COMPUTED_VALUE"""),"Proficient")</f>
        <v>Proficient</v>
      </c>
      <c r="L1089" s="174" t="str">
        <f>IFERROR(__xludf.DUMMYFUNCTION("""COMPUTED_VALUE"""),"Unlisted")</f>
        <v>Unlisted</v>
      </c>
      <c r="M1089" s="174" t="str">
        <f>IFERROR(__xludf.DUMMYFUNCTION("""COMPUTED_VALUE"""),"Unlisted")</f>
        <v>Unlisted</v>
      </c>
      <c r="N1089" s="174" t="str">
        <f>IFERROR(__xludf.DUMMYFUNCTION("""COMPUTED_VALUE"""),"Unlisted")</f>
        <v>Unlisted</v>
      </c>
      <c r="O1089" s="174" t="str">
        <f>IFERROR(__xludf.DUMMYFUNCTION("""COMPUTED_VALUE"""),"Unlisted")</f>
        <v>Unlisted</v>
      </c>
      <c r="P1089" s="174" t="str">
        <f>IFERROR(__xludf.DUMMYFUNCTION("""COMPUTED_VALUE"""),"Unlisted")</f>
        <v>Unlisted</v>
      </c>
      <c r="Q1089" s="174" t="str">
        <f>IFERROR(__xludf.DUMMYFUNCTION("""COMPUTED_VALUE"""),"Unlisted")</f>
        <v>Unlisted</v>
      </c>
      <c r="R1089" s="174" t="str">
        <f>IFERROR(__xludf.DUMMYFUNCTION("""COMPUTED_VALUE"""),"Unlisted")</f>
        <v>Unlisted</v>
      </c>
    </row>
    <row r="1090">
      <c r="A1090" s="255" t="str">
        <f>IFERROR(__xludf.DUMMYFUNCTION("""COMPUTED_VALUE"""),"Skarmory")</f>
        <v>Skarmory</v>
      </c>
      <c r="B1090" s="174" t="str">
        <f>IFERROR(__xludf.DUMMYFUNCTION("""COMPUTED_VALUE"""),"Proficient")</f>
        <v>Proficient</v>
      </c>
      <c r="C1090" s="174" t="str">
        <f>IFERROR(__xludf.DUMMYFUNCTION("""COMPUTED_VALUE"""),"Unlisted")</f>
        <v>Unlisted</v>
      </c>
      <c r="D1090" s="174" t="str">
        <f>IFERROR(__xludf.DUMMYFUNCTION("""COMPUTED_VALUE"""),"Unlisted")</f>
        <v>Unlisted</v>
      </c>
      <c r="E1090" s="174" t="str">
        <f>IFERROR(__xludf.DUMMYFUNCTION("""COMPUTED_VALUE"""),"Unlisted")</f>
        <v>Unlisted</v>
      </c>
      <c r="F1090" s="174" t="str">
        <f>IFERROR(__xludf.DUMMYFUNCTION("""COMPUTED_VALUE"""),"Unlisted")</f>
        <v>Unlisted</v>
      </c>
      <c r="G1090" s="174" t="str">
        <f>IFERROR(__xludf.DUMMYFUNCTION("""COMPUTED_VALUE"""),"Proficient")</f>
        <v>Proficient</v>
      </c>
      <c r="H1090" s="174" t="str">
        <f>IFERROR(__xludf.DUMMYFUNCTION("""COMPUTED_VALUE"""),"Unlisted")</f>
        <v>Unlisted</v>
      </c>
      <c r="I1090" s="174" t="str">
        <f>IFERROR(__xludf.DUMMYFUNCTION("""COMPUTED_VALUE"""),"Unlisted")</f>
        <v>Unlisted</v>
      </c>
      <c r="J1090" s="174" t="str">
        <f>IFERROR(__xludf.DUMMYFUNCTION("""COMPUTED_VALUE"""),"Proficient")</f>
        <v>Proficient</v>
      </c>
      <c r="K1090" s="174" t="str">
        <f>IFERROR(__xludf.DUMMYFUNCTION("""COMPUTED_VALUE"""),"Unlisted")</f>
        <v>Unlisted</v>
      </c>
      <c r="L1090" s="174" t="str">
        <f>IFERROR(__xludf.DUMMYFUNCTION("""COMPUTED_VALUE"""),"Unlisted")</f>
        <v>Unlisted</v>
      </c>
      <c r="M1090" s="174" t="str">
        <f>IFERROR(__xludf.DUMMYFUNCTION("""COMPUTED_VALUE"""),"Unlisted")</f>
        <v>Unlisted</v>
      </c>
      <c r="N1090" s="174" t="str">
        <f>IFERROR(__xludf.DUMMYFUNCTION("""COMPUTED_VALUE"""),"Unlisted")</f>
        <v>Unlisted</v>
      </c>
      <c r="O1090" s="174" t="str">
        <f>IFERROR(__xludf.DUMMYFUNCTION("""COMPUTED_VALUE"""),"Unlisted")</f>
        <v>Unlisted</v>
      </c>
      <c r="P1090" s="174" t="str">
        <f>IFERROR(__xludf.DUMMYFUNCTION("""COMPUTED_VALUE"""),"Unlisted")</f>
        <v>Unlisted</v>
      </c>
      <c r="Q1090" s="174" t="str">
        <f>IFERROR(__xludf.DUMMYFUNCTION("""COMPUTED_VALUE"""),"Unlisted")</f>
        <v>Unlisted</v>
      </c>
      <c r="R1090" s="174" t="str">
        <f>IFERROR(__xludf.DUMMYFUNCTION("""COMPUTED_VALUE"""),"Unlisted")</f>
        <v>Unlisted</v>
      </c>
    </row>
    <row r="1091">
      <c r="A1091" s="255" t="str">
        <f>IFERROR(__xludf.DUMMYFUNCTION("""COMPUTED_VALUE"""),"Mawile")</f>
        <v>Mawile</v>
      </c>
      <c r="B1091" s="174" t="str">
        <f>IFERROR(__xludf.DUMMYFUNCTION("""COMPUTED_VALUE"""),"Unlisted")</f>
        <v>Unlisted</v>
      </c>
      <c r="C1091" s="174" t="str">
        <f>IFERROR(__xludf.DUMMYFUNCTION("""COMPUTED_VALUE"""),"Unlisted")</f>
        <v>Unlisted</v>
      </c>
      <c r="D1091" s="174" t="str">
        <f>IFERROR(__xludf.DUMMYFUNCTION("""COMPUTED_VALUE"""),"Proficient")</f>
        <v>Proficient</v>
      </c>
      <c r="E1091" s="174" t="str">
        <f>IFERROR(__xludf.DUMMYFUNCTION("""COMPUTED_VALUE"""),"Unlisted")</f>
        <v>Unlisted</v>
      </c>
      <c r="F1091" s="174" t="str">
        <f>IFERROR(__xludf.DUMMYFUNCTION("""COMPUTED_VALUE"""),"Unlisted")</f>
        <v>Unlisted</v>
      </c>
      <c r="G1091" s="174" t="str">
        <f>IFERROR(__xludf.DUMMYFUNCTION("""COMPUTED_VALUE"""),"Proficient")</f>
        <v>Proficient</v>
      </c>
      <c r="H1091" s="174" t="str">
        <f>IFERROR(__xludf.DUMMYFUNCTION("""COMPUTED_VALUE"""),"Unlisted")</f>
        <v>Unlisted</v>
      </c>
      <c r="I1091" s="174" t="str">
        <f>IFERROR(__xludf.DUMMYFUNCTION("""COMPUTED_VALUE"""),"Proficient")</f>
        <v>Proficient</v>
      </c>
      <c r="J1091" s="174" t="str">
        <f>IFERROR(__xludf.DUMMYFUNCTION("""COMPUTED_VALUE"""),"Unlisted")</f>
        <v>Unlisted</v>
      </c>
      <c r="K1091" s="174" t="str">
        <f>IFERROR(__xludf.DUMMYFUNCTION("""COMPUTED_VALUE"""),"Unlisted")</f>
        <v>Unlisted</v>
      </c>
      <c r="L1091" s="174" t="str">
        <f>IFERROR(__xludf.DUMMYFUNCTION("""COMPUTED_VALUE"""),"Unlisted")</f>
        <v>Unlisted</v>
      </c>
      <c r="M1091" s="174" t="str">
        <f>IFERROR(__xludf.DUMMYFUNCTION("""COMPUTED_VALUE"""),"Unlisted")</f>
        <v>Unlisted</v>
      </c>
      <c r="N1091" s="174" t="str">
        <f>IFERROR(__xludf.DUMMYFUNCTION("""COMPUTED_VALUE"""),"Unlisted")</f>
        <v>Unlisted</v>
      </c>
      <c r="O1091" s="174" t="str">
        <f>IFERROR(__xludf.DUMMYFUNCTION("""COMPUTED_VALUE"""),"Unlisted")</f>
        <v>Unlisted</v>
      </c>
      <c r="P1091" s="174" t="str">
        <f>IFERROR(__xludf.DUMMYFUNCTION("""COMPUTED_VALUE"""),"Unlisted")</f>
        <v>Unlisted</v>
      </c>
      <c r="Q1091" s="174" t="str">
        <f>IFERROR(__xludf.DUMMYFUNCTION("""COMPUTED_VALUE"""),"Unlisted")</f>
        <v>Unlisted</v>
      </c>
      <c r="R1091" s="174" t="str">
        <f>IFERROR(__xludf.DUMMYFUNCTION("""COMPUTED_VALUE"""),"Unlisted")</f>
        <v>Unlisted</v>
      </c>
    </row>
    <row r="1092">
      <c r="A1092" s="255" t="str">
        <f>IFERROR(__xludf.DUMMYFUNCTION("""COMPUTED_VALUE"""),"Klefki")</f>
        <v>Klefki</v>
      </c>
      <c r="B1092" s="174" t="str">
        <f>IFERROR(__xludf.DUMMYFUNCTION("""COMPUTED_VALUE"""),"Unlisted")</f>
        <v>Unlisted</v>
      </c>
      <c r="C1092" s="174" t="str">
        <f>IFERROR(__xludf.DUMMYFUNCTION("""COMPUTED_VALUE"""),"Unlisted")</f>
        <v>Unlisted</v>
      </c>
      <c r="D1092" s="174" t="str">
        <f>IFERROR(__xludf.DUMMYFUNCTION("""COMPUTED_VALUE"""),"Unlisted")</f>
        <v>Unlisted</v>
      </c>
      <c r="E1092" s="174" t="str">
        <f>IFERROR(__xludf.DUMMYFUNCTION("""COMPUTED_VALUE"""),"Inept")</f>
        <v>Inept</v>
      </c>
      <c r="F1092" s="174" t="str">
        <f>IFERROR(__xludf.DUMMYFUNCTION("""COMPUTED_VALUE"""),"Unlisted")</f>
        <v>Unlisted</v>
      </c>
      <c r="G1092" s="174" t="str">
        <f>IFERROR(__xludf.DUMMYFUNCTION("""COMPUTED_VALUE"""),"Unlisted")</f>
        <v>Unlisted</v>
      </c>
      <c r="H1092" s="174" t="str">
        <f>IFERROR(__xludf.DUMMYFUNCTION("""COMPUTED_VALUE"""),"Proficient")</f>
        <v>Proficient</v>
      </c>
      <c r="I1092" s="174" t="str">
        <f>IFERROR(__xludf.DUMMYFUNCTION("""COMPUTED_VALUE"""),"Unlisted")</f>
        <v>Unlisted</v>
      </c>
      <c r="J1092" s="174" t="str">
        <f>IFERROR(__xludf.DUMMYFUNCTION("""COMPUTED_VALUE"""),"Unlisted")</f>
        <v>Unlisted</v>
      </c>
      <c r="K1092" s="174" t="str">
        <f>IFERROR(__xludf.DUMMYFUNCTION("""COMPUTED_VALUE"""),"Unlisted")</f>
        <v>Unlisted</v>
      </c>
      <c r="L1092" s="174" t="str">
        <f>IFERROR(__xludf.DUMMYFUNCTION("""COMPUTED_VALUE"""),"Proficient")</f>
        <v>Proficient</v>
      </c>
      <c r="M1092" s="174" t="str">
        <f>IFERROR(__xludf.DUMMYFUNCTION("""COMPUTED_VALUE"""),"Unlisted")</f>
        <v>Unlisted</v>
      </c>
      <c r="N1092" s="174" t="str">
        <f>IFERROR(__xludf.DUMMYFUNCTION("""COMPUTED_VALUE"""),"Unlisted")</f>
        <v>Unlisted</v>
      </c>
      <c r="O1092" s="174" t="str">
        <f>IFERROR(__xludf.DUMMYFUNCTION("""COMPUTED_VALUE"""),"Unlisted")</f>
        <v>Unlisted</v>
      </c>
      <c r="P1092" s="174" t="str">
        <f>IFERROR(__xludf.DUMMYFUNCTION("""COMPUTED_VALUE"""),"Unlisted")</f>
        <v>Unlisted</v>
      </c>
      <c r="Q1092" s="174" t="str">
        <f>IFERROR(__xludf.DUMMYFUNCTION("""COMPUTED_VALUE"""),"Unlisted")</f>
        <v>Unlisted</v>
      </c>
      <c r="R1092" s="174" t="str">
        <f>IFERROR(__xludf.DUMMYFUNCTION("""COMPUTED_VALUE"""),"Unlisted")</f>
        <v>Unlisted</v>
      </c>
    </row>
    <row r="1093">
      <c r="A1093" s="255" t="str">
        <f>IFERROR(__xludf.DUMMYFUNCTION("""COMPUTED_VALUE"""),"Orthworm")</f>
        <v>Orthworm</v>
      </c>
      <c r="B1093" s="174" t="str">
        <f>IFERROR(__xludf.DUMMYFUNCTION("""COMPUTED_VALUE"""),"Unlisted")</f>
        <v>Unlisted</v>
      </c>
      <c r="C1093" s="174" t="str">
        <f>IFERROR(__xludf.DUMMYFUNCTION("""COMPUTED_VALUE"""),"Proficient")</f>
        <v>Proficient</v>
      </c>
      <c r="D1093" s="174" t="str">
        <f>IFERROR(__xludf.DUMMYFUNCTION("""COMPUTED_VALUE"""),"Unlisted")</f>
        <v>Unlisted</v>
      </c>
      <c r="E1093" s="174" t="str">
        <f>IFERROR(__xludf.DUMMYFUNCTION("""COMPUTED_VALUE"""),"Proficient")</f>
        <v>Proficient</v>
      </c>
      <c r="F1093" s="174" t="str">
        <f>IFERROR(__xludf.DUMMYFUNCTION("""COMPUTED_VALUE"""),"Unlisted")</f>
        <v>Unlisted</v>
      </c>
      <c r="G1093" s="174" t="str">
        <f>IFERROR(__xludf.DUMMYFUNCTION("""COMPUTED_VALUE"""),"Unlisted")</f>
        <v>Unlisted</v>
      </c>
      <c r="H1093" s="174" t="str">
        <f>IFERROR(__xludf.DUMMYFUNCTION("""COMPUTED_VALUE"""),"Unlisted")</f>
        <v>Unlisted</v>
      </c>
      <c r="I1093" s="174" t="str">
        <f>IFERROR(__xludf.DUMMYFUNCTION("""COMPUTED_VALUE"""),"Unlisted")</f>
        <v>Unlisted</v>
      </c>
      <c r="J1093" s="174" t="str">
        <f>IFERROR(__xludf.DUMMYFUNCTION("""COMPUTED_VALUE"""),"Unlisted")</f>
        <v>Unlisted</v>
      </c>
      <c r="K1093" s="174" t="str">
        <f>IFERROR(__xludf.DUMMYFUNCTION("""COMPUTED_VALUE"""),"Unlisted")</f>
        <v>Unlisted</v>
      </c>
      <c r="L1093" s="174" t="str">
        <f>IFERROR(__xludf.DUMMYFUNCTION("""COMPUTED_VALUE"""),"Unlisted")</f>
        <v>Unlisted</v>
      </c>
      <c r="M1093" s="174" t="str">
        <f>IFERROR(__xludf.DUMMYFUNCTION("""COMPUTED_VALUE"""),"Unlisted")</f>
        <v>Unlisted</v>
      </c>
      <c r="N1093" s="174" t="str">
        <f>IFERROR(__xludf.DUMMYFUNCTION("""COMPUTED_VALUE"""),"Unlisted")</f>
        <v>Unlisted</v>
      </c>
      <c r="O1093" s="174" t="str">
        <f>IFERROR(__xludf.DUMMYFUNCTION("""COMPUTED_VALUE"""),"Unlisted")</f>
        <v>Unlisted</v>
      </c>
      <c r="P1093" s="174" t="str">
        <f>IFERROR(__xludf.DUMMYFUNCTION("""COMPUTED_VALUE"""),"Unlisted")</f>
        <v>Unlisted</v>
      </c>
      <c r="Q1093" s="174" t="str">
        <f>IFERROR(__xludf.DUMMYFUNCTION("""COMPUTED_VALUE"""),"Unlisted")</f>
        <v>Unlisted</v>
      </c>
      <c r="R1093" s="174" t="str">
        <f>IFERROR(__xludf.DUMMYFUNCTION("""COMPUTED_VALUE"""),"Unlisted")</f>
        <v>Unlisted</v>
      </c>
    </row>
    <row r="1094">
      <c r="A1094" s="255" t="str">
        <f>IFERROR(__xludf.DUMMYFUNCTION("""COMPUTED_VALUE"""),"Lapras")</f>
        <v>Lapras</v>
      </c>
      <c r="B1094" s="174" t="str">
        <f>IFERROR(__xludf.DUMMYFUNCTION("""COMPUTED_VALUE"""),"Inept")</f>
        <v>Inept</v>
      </c>
      <c r="C1094" s="174" t="str">
        <f>IFERROR(__xludf.DUMMYFUNCTION("""COMPUTED_VALUE"""),"Proficient")</f>
        <v>Proficient</v>
      </c>
      <c r="D1094" s="174" t="str">
        <f>IFERROR(__xludf.DUMMYFUNCTION("""COMPUTED_VALUE"""),"Unlisted")</f>
        <v>Unlisted</v>
      </c>
      <c r="E1094" s="174" t="str">
        <f>IFERROR(__xludf.DUMMYFUNCTION("""COMPUTED_VALUE"""),"Unlisted")</f>
        <v>Unlisted</v>
      </c>
      <c r="F1094" s="174" t="str">
        <f>IFERROR(__xludf.DUMMYFUNCTION("""COMPUTED_VALUE"""),"Unlisted")</f>
        <v>Unlisted</v>
      </c>
      <c r="G1094" s="174" t="str">
        <f>IFERROR(__xludf.DUMMYFUNCTION("""COMPUTED_VALUE"""),"Unlisted")</f>
        <v>Unlisted</v>
      </c>
      <c r="H1094" s="174" t="str">
        <f>IFERROR(__xludf.DUMMYFUNCTION("""COMPUTED_VALUE"""),"Unlisted")</f>
        <v>Unlisted</v>
      </c>
      <c r="I1094" s="174" t="str">
        <f>IFERROR(__xludf.DUMMYFUNCTION("""COMPUTED_VALUE"""),"Unlisted")</f>
        <v>Unlisted</v>
      </c>
      <c r="J1094" s="174" t="str">
        <f>IFERROR(__xludf.DUMMYFUNCTION("""COMPUTED_VALUE"""),"Proficient")</f>
        <v>Proficient</v>
      </c>
      <c r="K1094" s="174" t="str">
        <f>IFERROR(__xludf.DUMMYFUNCTION("""COMPUTED_VALUE"""),"Proficient")</f>
        <v>Proficient</v>
      </c>
      <c r="L1094" s="174" t="str">
        <f>IFERROR(__xludf.DUMMYFUNCTION("""COMPUTED_VALUE"""),"Unlisted")</f>
        <v>Unlisted</v>
      </c>
      <c r="M1094" s="174" t="str">
        <f>IFERROR(__xludf.DUMMYFUNCTION("""COMPUTED_VALUE"""),"Unlisted")</f>
        <v>Unlisted</v>
      </c>
      <c r="N1094" s="174" t="str">
        <f>IFERROR(__xludf.DUMMYFUNCTION("""COMPUTED_VALUE"""),"Unlisted")</f>
        <v>Unlisted</v>
      </c>
      <c r="O1094" s="174" t="str">
        <f>IFERROR(__xludf.DUMMYFUNCTION("""COMPUTED_VALUE"""),"Unlisted")</f>
        <v>Unlisted</v>
      </c>
      <c r="P1094" s="174" t="str">
        <f>IFERROR(__xludf.DUMMYFUNCTION("""COMPUTED_VALUE"""),"Unlisted")</f>
        <v>Unlisted</v>
      </c>
      <c r="Q1094" s="174" t="str">
        <f>IFERROR(__xludf.DUMMYFUNCTION("""COMPUTED_VALUE"""),"Unlisted")</f>
        <v>Unlisted</v>
      </c>
      <c r="R1094" s="174" t="str">
        <f>IFERROR(__xludf.DUMMYFUNCTION("""COMPUTED_VALUE"""),"Unlisted")</f>
        <v>Unlisted</v>
      </c>
    </row>
    <row r="1095">
      <c r="A1095" s="255" t="str">
        <f>IFERROR(__xludf.DUMMYFUNCTION("""COMPUTED_VALUE"""),"Qwilfish")</f>
        <v>Qwilfish</v>
      </c>
      <c r="B1095" s="174" t="str">
        <f>IFERROR(__xludf.DUMMYFUNCTION("""COMPUTED_VALUE"""),"Proficient")</f>
        <v>Proficient</v>
      </c>
      <c r="C1095" s="174" t="str">
        <f>IFERROR(__xludf.DUMMYFUNCTION("""COMPUTED_VALUE"""),"Unlisted")</f>
        <v>Unlisted</v>
      </c>
      <c r="D1095" s="174" t="str">
        <f>IFERROR(__xludf.DUMMYFUNCTION("""COMPUTED_VALUE"""),"Unlisted")</f>
        <v>Unlisted</v>
      </c>
      <c r="E1095" s="174" t="str">
        <f>IFERROR(__xludf.DUMMYFUNCTION("""COMPUTED_VALUE"""),"Unlisted")</f>
        <v>Unlisted</v>
      </c>
      <c r="F1095" s="174" t="str">
        <f>IFERROR(__xludf.DUMMYFUNCTION("""COMPUTED_VALUE"""),"Unlisted")</f>
        <v>Unlisted</v>
      </c>
      <c r="G1095" s="174" t="str">
        <f>IFERROR(__xludf.DUMMYFUNCTION("""COMPUTED_VALUE"""),"Unlisted")</f>
        <v>Unlisted</v>
      </c>
      <c r="H1095" s="174" t="str">
        <f>IFERROR(__xludf.DUMMYFUNCTION("""COMPUTED_VALUE"""),"Unlisted")</f>
        <v>Unlisted</v>
      </c>
      <c r="I1095" s="174" t="str">
        <f>IFERROR(__xludf.DUMMYFUNCTION("""COMPUTED_VALUE"""),"Unlisted")</f>
        <v>Unlisted</v>
      </c>
      <c r="J1095" s="174" t="str">
        <f>IFERROR(__xludf.DUMMYFUNCTION("""COMPUTED_VALUE"""),"Unlisted")</f>
        <v>Unlisted</v>
      </c>
      <c r="K1095" s="174" t="str">
        <f>IFERROR(__xludf.DUMMYFUNCTION("""COMPUTED_VALUE"""),"Proficient")</f>
        <v>Proficient</v>
      </c>
      <c r="L1095" s="174" t="str">
        <f>IFERROR(__xludf.DUMMYFUNCTION("""COMPUTED_VALUE"""),"Unlisted")</f>
        <v>Unlisted</v>
      </c>
      <c r="M1095" s="174" t="str">
        <f>IFERROR(__xludf.DUMMYFUNCTION("""COMPUTED_VALUE"""),"Unlisted")</f>
        <v>Unlisted</v>
      </c>
      <c r="N1095" s="174" t="str">
        <f>IFERROR(__xludf.DUMMYFUNCTION("""COMPUTED_VALUE"""),"Unlisted")</f>
        <v>Unlisted</v>
      </c>
      <c r="O1095" s="174" t="str">
        <f>IFERROR(__xludf.DUMMYFUNCTION("""COMPUTED_VALUE"""),"Unlisted")</f>
        <v>Unlisted</v>
      </c>
      <c r="P1095" s="174" t="str">
        <f>IFERROR(__xludf.DUMMYFUNCTION("""COMPUTED_VALUE"""),"Unlisted")</f>
        <v>Unlisted</v>
      </c>
      <c r="Q1095" s="174" t="str">
        <f>IFERROR(__xludf.DUMMYFUNCTION("""COMPUTED_VALUE"""),"Unlisted")</f>
        <v>Unlisted</v>
      </c>
      <c r="R1095" s="174" t="str">
        <f>IFERROR(__xludf.DUMMYFUNCTION("""COMPUTED_VALUE"""),"Unlisted")</f>
        <v>Unlisted</v>
      </c>
    </row>
    <row r="1096">
      <c r="A1096" s="255" t="str">
        <f>IFERROR(__xludf.DUMMYFUNCTION("""COMPUTED_VALUE"""),"Corsola")</f>
        <v>Corsola</v>
      </c>
      <c r="B1096" s="174" t="str">
        <f>IFERROR(__xludf.DUMMYFUNCTION("""COMPUTED_VALUE"""),"Unlisted")</f>
        <v>Unlisted</v>
      </c>
      <c r="C1096" s="174" t="str">
        <f>IFERROR(__xludf.DUMMYFUNCTION("""COMPUTED_VALUE"""),"Unlisted")</f>
        <v>Unlisted</v>
      </c>
      <c r="D1096" s="174" t="str">
        <f>IFERROR(__xludf.DUMMYFUNCTION("""COMPUTED_VALUE"""),"Unlisted")</f>
        <v>Unlisted</v>
      </c>
      <c r="E1096" s="174" t="str">
        <f>IFERROR(__xludf.DUMMYFUNCTION("""COMPUTED_VALUE"""),"Unlisted")</f>
        <v>Unlisted</v>
      </c>
      <c r="F1096" s="174" t="str">
        <f>IFERROR(__xludf.DUMMYFUNCTION("""COMPUTED_VALUE"""),"Unlisted")</f>
        <v>Unlisted</v>
      </c>
      <c r="G1096" s="174" t="str">
        <f>IFERROR(__xludf.DUMMYFUNCTION("""COMPUTED_VALUE"""),"Proficient")</f>
        <v>Proficient</v>
      </c>
      <c r="H1096" s="174" t="str">
        <f>IFERROR(__xludf.DUMMYFUNCTION("""COMPUTED_VALUE"""),"Unlisted")</f>
        <v>Unlisted</v>
      </c>
      <c r="I1096" s="174" t="str">
        <f>IFERROR(__xludf.DUMMYFUNCTION("""COMPUTED_VALUE"""),"Unlisted")</f>
        <v>Unlisted</v>
      </c>
      <c r="J1096" s="174" t="str">
        <f>IFERROR(__xludf.DUMMYFUNCTION("""COMPUTED_VALUE"""),"Unlisted")</f>
        <v>Unlisted</v>
      </c>
      <c r="K1096" s="174" t="str">
        <f>IFERROR(__xludf.DUMMYFUNCTION("""COMPUTED_VALUE"""),"Unlisted")</f>
        <v>Unlisted</v>
      </c>
      <c r="L1096" s="174" t="str">
        <f>IFERROR(__xludf.DUMMYFUNCTION("""COMPUTED_VALUE"""),"Unlisted")</f>
        <v>Unlisted</v>
      </c>
      <c r="M1096" s="174" t="str">
        <f>IFERROR(__xludf.DUMMYFUNCTION("""COMPUTED_VALUE"""),"Unlisted")</f>
        <v>Unlisted</v>
      </c>
      <c r="N1096" s="174" t="str">
        <f>IFERROR(__xludf.DUMMYFUNCTION("""COMPUTED_VALUE"""),"Unlisted")</f>
        <v>Unlisted</v>
      </c>
      <c r="O1096" s="174" t="str">
        <f>IFERROR(__xludf.DUMMYFUNCTION("""COMPUTED_VALUE"""),"Proficient")</f>
        <v>Proficient</v>
      </c>
      <c r="P1096" s="174" t="str">
        <f>IFERROR(__xludf.DUMMYFUNCTION("""COMPUTED_VALUE"""),"Unlisted")</f>
        <v>Unlisted</v>
      </c>
      <c r="Q1096" s="174" t="str">
        <f>IFERROR(__xludf.DUMMYFUNCTION("""COMPUTED_VALUE"""),"Unlisted")</f>
        <v>Unlisted</v>
      </c>
      <c r="R1096" s="174" t="str">
        <f>IFERROR(__xludf.DUMMYFUNCTION("""COMPUTED_VALUE"""),"Unlisted")</f>
        <v>Unlisted</v>
      </c>
    </row>
    <row r="1097">
      <c r="A1097" s="255" t="str">
        <f>IFERROR(__xludf.DUMMYFUNCTION("""COMPUTED_VALUE"""),"Relicanth")</f>
        <v>Relicanth</v>
      </c>
      <c r="B1097" s="174" t="str">
        <f>IFERROR(__xludf.DUMMYFUNCTION("""COMPUTED_VALUE"""),"Unlisted")</f>
        <v>Unlisted</v>
      </c>
      <c r="C1097" s="174" t="str">
        <f>IFERROR(__xludf.DUMMYFUNCTION("""COMPUTED_VALUE"""),"Unlisted")</f>
        <v>Unlisted</v>
      </c>
      <c r="D1097" s="174" t="str">
        <f>IFERROR(__xludf.DUMMYFUNCTION("""COMPUTED_VALUE"""),"Unlisted")</f>
        <v>Unlisted</v>
      </c>
      <c r="E1097" s="174" t="str">
        <f>IFERROR(__xludf.DUMMYFUNCTION("""COMPUTED_VALUE"""),"Unlisted")</f>
        <v>Unlisted</v>
      </c>
      <c r="F1097" s="174" t="str">
        <f>IFERROR(__xludf.DUMMYFUNCTION("""COMPUTED_VALUE"""),"Unlisted")</f>
        <v>Unlisted</v>
      </c>
      <c r="G1097" s="174" t="str">
        <f>IFERROR(__xludf.DUMMYFUNCTION("""COMPUTED_VALUE"""),"Proficient")</f>
        <v>Proficient</v>
      </c>
      <c r="H1097" s="174" t="str">
        <f>IFERROR(__xludf.DUMMYFUNCTION("""COMPUTED_VALUE"""),"Unlisted")</f>
        <v>Unlisted</v>
      </c>
      <c r="I1097" s="174" t="str">
        <f>IFERROR(__xludf.DUMMYFUNCTION("""COMPUTED_VALUE"""),"Unlisted")</f>
        <v>Unlisted</v>
      </c>
      <c r="J1097" s="174" t="str">
        <f>IFERROR(__xludf.DUMMYFUNCTION("""COMPUTED_VALUE"""),"Unlisted")</f>
        <v>Unlisted</v>
      </c>
      <c r="K1097" s="174" t="str">
        <f>IFERROR(__xludf.DUMMYFUNCTION("""COMPUTED_VALUE"""),"Unlisted")</f>
        <v>Unlisted</v>
      </c>
      <c r="L1097" s="174" t="str">
        <f>IFERROR(__xludf.DUMMYFUNCTION("""COMPUTED_VALUE"""),"Proficient")</f>
        <v>Proficient</v>
      </c>
      <c r="M1097" s="174" t="str">
        <f>IFERROR(__xludf.DUMMYFUNCTION("""COMPUTED_VALUE"""),"Unlisted")</f>
        <v>Unlisted</v>
      </c>
      <c r="N1097" s="174" t="str">
        <f>IFERROR(__xludf.DUMMYFUNCTION("""COMPUTED_VALUE"""),"Unlisted")</f>
        <v>Unlisted</v>
      </c>
      <c r="O1097" s="174" t="str">
        <f>IFERROR(__xludf.DUMMYFUNCTION("""COMPUTED_VALUE"""),"Unlisted")</f>
        <v>Unlisted</v>
      </c>
      <c r="P1097" s="174" t="str">
        <f>IFERROR(__xludf.DUMMYFUNCTION("""COMPUTED_VALUE"""),"Unlisted")</f>
        <v>Unlisted</v>
      </c>
      <c r="Q1097" s="174" t="str">
        <f>IFERROR(__xludf.DUMMYFUNCTION("""COMPUTED_VALUE"""),"Unlisted")</f>
        <v>Unlisted</v>
      </c>
      <c r="R1097" s="174" t="str">
        <f>IFERROR(__xludf.DUMMYFUNCTION("""COMPUTED_VALUE"""),"Unlisted")</f>
        <v>Unlisted</v>
      </c>
    </row>
    <row r="1098">
      <c r="A1098" s="255" t="str">
        <f>IFERROR(__xludf.DUMMYFUNCTION("""COMPUTED_VALUE"""),"Luvdisc")</f>
        <v>Luvdisc</v>
      </c>
      <c r="B1098" s="174" t="str">
        <f>IFERROR(__xludf.DUMMYFUNCTION("""COMPUTED_VALUE"""),"Proficient")</f>
        <v>Proficient</v>
      </c>
      <c r="C1098" s="174" t="str">
        <f>IFERROR(__xludf.DUMMYFUNCTION("""COMPUTED_VALUE"""),"Inept")</f>
        <v>Inept</v>
      </c>
      <c r="D1098" s="174" t="str">
        <f>IFERROR(__xludf.DUMMYFUNCTION("""COMPUTED_VALUE"""),"Proficient")</f>
        <v>Proficient</v>
      </c>
      <c r="E1098" s="174" t="str">
        <f>IFERROR(__xludf.DUMMYFUNCTION("""COMPUTED_VALUE"""),"Inept")</f>
        <v>Inept</v>
      </c>
      <c r="F1098" s="174" t="str">
        <f>IFERROR(__xludf.DUMMYFUNCTION("""COMPUTED_VALUE"""),"Unlisted")</f>
        <v>Unlisted</v>
      </c>
      <c r="G1098" s="174" t="str">
        <f>IFERROR(__xludf.DUMMYFUNCTION("""COMPUTED_VALUE"""),"Proficient")</f>
        <v>Proficient</v>
      </c>
      <c r="H1098" s="174" t="str">
        <f>IFERROR(__xludf.DUMMYFUNCTION("""COMPUTED_VALUE"""),"Unlisted")</f>
        <v>Unlisted</v>
      </c>
      <c r="I1098" s="174" t="str">
        <f>IFERROR(__xludf.DUMMYFUNCTION("""COMPUTED_VALUE"""),"Unlisted")</f>
        <v>Unlisted</v>
      </c>
      <c r="J1098" s="174" t="str">
        <f>IFERROR(__xludf.DUMMYFUNCTION("""COMPUTED_VALUE"""),"Unlisted")</f>
        <v>Unlisted</v>
      </c>
      <c r="K1098" s="174" t="str">
        <f>IFERROR(__xludf.DUMMYFUNCTION("""COMPUTED_VALUE"""),"Unlisted")</f>
        <v>Unlisted</v>
      </c>
      <c r="L1098" s="174" t="str">
        <f>IFERROR(__xludf.DUMMYFUNCTION("""COMPUTED_VALUE"""),"Unlisted")</f>
        <v>Unlisted</v>
      </c>
      <c r="M1098" s="174" t="str">
        <f>IFERROR(__xludf.DUMMYFUNCTION("""COMPUTED_VALUE"""),"Unlisted")</f>
        <v>Unlisted</v>
      </c>
      <c r="N1098" s="174" t="str">
        <f>IFERROR(__xludf.DUMMYFUNCTION("""COMPUTED_VALUE"""),"Unlisted")</f>
        <v>Unlisted</v>
      </c>
      <c r="O1098" s="174" t="str">
        <f>IFERROR(__xludf.DUMMYFUNCTION("""COMPUTED_VALUE"""),"Unlisted")</f>
        <v>Unlisted</v>
      </c>
      <c r="P1098" s="174" t="str">
        <f>IFERROR(__xludf.DUMMYFUNCTION("""COMPUTED_VALUE"""),"Unlisted")</f>
        <v>Unlisted</v>
      </c>
      <c r="Q1098" s="174" t="str">
        <f>IFERROR(__xludf.DUMMYFUNCTION("""COMPUTED_VALUE"""),"Unlisted")</f>
        <v>Unlisted</v>
      </c>
      <c r="R1098" s="174" t="str">
        <f>IFERROR(__xludf.DUMMYFUNCTION("""COMPUTED_VALUE"""),"Unlisted")</f>
        <v>Unlisted</v>
      </c>
    </row>
    <row r="1099">
      <c r="A1099" s="255" t="str">
        <f>IFERROR(__xludf.DUMMYFUNCTION("""COMPUTED_VALUE"""),"Alomomola")</f>
        <v>Alomomola</v>
      </c>
      <c r="B1099" s="174" t="str">
        <f>IFERROR(__xludf.DUMMYFUNCTION("""COMPUTED_VALUE"""),"Unlisted")</f>
        <v>Unlisted</v>
      </c>
      <c r="C1099" s="174" t="str">
        <f>IFERROR(__xludf.DUMMYFUNCTION("""COMPUTED_VALUE"""),"Proficient")</f>
        <v>Proficient</v>
      </c>
      <c r="D1099" s="174" t="str">
        <f>IFERROR(__xludf.DUMMYFUNCTION("""COMPUTED_VALUE"""),"Proficient")</f>
        <v>Proficient</v>
      </c>
      <c r="E1099" s="174" t="str">
        <f>IFERROR(__xludf.DUMMYFUNCTION("""COMPUTED_VALUE"""),"Unlisted")</f>
        <v>Unlisted</v>
      </c>
      <c r="F1099" s="174" t="str">
        <f>IFERROR(__xludf.DUMMYFUNCTION("""COMPUTED_VALUE"""),"Unlisted")</f>
        <v>Unlisted</v>
      </c>
      <c r="G1099" s="174" t="str">
        <f>IFERROR(__xludf.DUMMYFUNCTION("""COMPUTED_VALUE"""),"Unlisted")</f>
        <v>Unlisted</v>
      </c>
      <c r="H1099" s="174" t="str">
        <f>IFERROR(__xludf.DUMMYFUNCTION("""COMPUTED_VALUE"""),"Unlisted")</f>
        <v>Unlisted</v>
      </c>
      <c r="I1099" s="174" t="str">
        <f>IFERROR(__xludf.DUMMYFUNCTION("""COMPUTED_VALUE"""),"Unlisted")</f>
        <v>Unlisted</v>
      </c>
      <c r="J1099" s="174" t="str">
        <f>IFERROR(__xludf.DUMMYFUNCTION("""COMPUTED_VALUE"""),"Unlisted")</f>
        <v>Unlisted</v>
      </c>
      <c r="K1099" s="174" t="str">
        <f>IFERROR(__xludf.DUMMYFUNCTION("""COMPUTED_VALUE"""),"Proficient")</f>
        <v>Proficient</v>
      </c>
      <c r="L1099" s="174" t="str">
        <f>IFERROR(__xludf.DUMMYFUNCTION("""COMPUTED_VALUE"""),"Unlisted")</f>
        <v>Unlisted</v>
      </c>
      <c r="M1099" s="174" t="str">
        <f>IFERROR(__xludf.DUMMYFUNCTION("""COMPUTED_VALUE"""),"Unlisted")</f>
        <v>Unlisted</v>
      </c>
      <c r="N1099" s="174" t="str">
        <f>IFERROR(__xludf.DUMMYFUNCTION("""COMPUTED_VALUE"""),"Unlisted")</f>
        <v>Unlisted</v>
      </c>
      <c r="O1099" s="174" t="str">
        <f>IFERROR(__xludf.DUMMYFUNCTION("""COMPUTED_VALUE"""),"Unlisted")</f>
        <v>Unlisted</v>
      </c>
      <c r="P1099" s="174" t="str">
        <f>IFERROR(__xludf.DUMMYFUNCTION("""COMPUTED_VALUE"""),"Unlisted")</f>
        <v>Unlisted</v>
      </c>
      <c r="Q1099" s="174" t="str">
        <f>IFERROR(__xludf.DUMMYFUNCTION("""COMPUTED_VALUE"""),"Unlisted")</f>
        <v>Unlisted</v>
      </c>
      <c r="R1099" s="174" t="str">
        <f>IFERROR(__xludf.DUMMYFUNCTION("""COMPUTED_VALUE"""),"Unlisted")</f>
        <v>Unlisted</v>
      </c>
    </row>
    <row r="1100">
      <c r="A1100" s="255" t="str">
        <f>IFERROR(__xludf.DUMMYFUNCTION("""COMPUTED_VALUE"""),"Wishiwashi")</f>
        <v>Wishiwashi</v>
      </c>
      <c r="B1100" s="174" t="str">
        <f>IFERROR(__xludf.DUMMYFUNCTION("""COMPUTED_VALUE"""),"Unlisted")</f>
        <v>Unlisted</v>
      </c>
      <c r="C1100" s="174" t="str">
        <f>IFERROR(__xludf.DUMMYFUNCTION("""COMPUTED_VALUE"""),"Inept")</f>
        <v>Inept</v>
      </c>
      <c r="D1100" s="174" t="str">
        <f>IFERROR(__xludf.DUMMYFUNCTION("""COMPUTED_VALUE"""),"Unlisted")</f>
        <v>Unlisted</v>
      </c>
      <c r="E1100" s="174" t="str">
        <f>IFERROR(__xludf.DUMMYFUNCTION("""COMPUTED_VALUE"""),"Inept")</f>
        <v>Inept</v>
      </c>
      <c r="F1100" s="174" t="str">
        <f>IFERROR(__xludf.DUMMYFUNCTION("""COMPUTED_VALUE"""),"Unlisted")</f>
        <v>Unlisted</v>
      </c>
      <c r="G1100" s="174" t="str">
        <f>IFERROR(__xludf.DUMMYFUNCTION("""COMPUTED_VALUE"""),"Unlisted")</f>
        <v>Unlisted</v>
      </c>
      <c r="H1100" s="174" t="str">
        <f>IFERROR(__xludf.DUMMYFUNCTION("""COMPUTED_VALUE"""),"Unlisted")</f>
        <v>Unlisted</v>
      </c>
      <c r="I1100" s="174" t="str">
        <f>IFERROR(__xludf.DUMMYFUNCTION("""COMPUTED_VALUE"""),"Unlisted")</f>
        <v>Unlisted</v>
      </c>
      <c r="J1100" s="174" t="str">
        <f>IFERROR(__xludf.DUMMYFUNCTION("""COMPUTED_VALUE"""),"Unlisted")</f>
        <v>Unlisted</v>
      </c>
      <c r="K1100" s="174" t="str">
        <f>IFERROR(__xludf.DUMMYFUNCTION("""COMPUTED_VALUE"""),"Unlisted")</f>
        <v>Unlisted</v>
      </c>
      <c r="L1100" s="174" t="str">
        <f>IFERROR(__xludf.DUMMYFUNCTION("""COMPUTED_VALUE"""),"Proficient")</f>
        <v>Proficient</v>
      </c>
      <c r="M1100" s="174" t="str">
        <f>IFERROR(__xludf.DUMMYFUNCTION("""COMPUTED_VALUE"""),"Unlisted")</f>
        <v>Unlisted</v>
      </c>
      <c r="N1100" s="174" t="str">
        <f>IFERROR(__xludf.DUMMYFUNCTION("""COMPUTED_VALUE"""),"Unlisted")</f>
        <v>Unlisted</v>
      </c>
      <c r="O1100" s="174" t="str">
        <f>IFERROR(__xludf.DUMMYFUNCTION("""COMPUTED_VALUE"""),"Unlisted")</f>
        <v>Unlisted</v>
      </c>
      <c r="P1100" s="174" t="str">
        <f>IFERROR(__xludf.DUMMYFUNCTION("""COMPUTED_VALUE"""),"Unlisted")</f>
        <v>Unlisted</v>
      </c>
      <c r="Q1100" s="174" t="str">
        <f>IFERROR(__xludf.DUMMYFUNCTION("""COMPUTED_VALUE"""),"Unlisted")</f>
        <v>Unlisted</v>
      </c>
      <c r="R1100" s="174" t="str">
        <f>IFERROR(__xludf.DUMMYFUNCTION("""COMPUTED_VALUE"""),"Unlisted")</f>
        <v>Unlisted</v>
      </c>
    </row>
    <row r="1101">
      <c r="A1101" s="255" t="str">
        <f>IFERROR(__xludf.DUMMYFUNCTION("""COMPUTED_VALUE"""),"Wishiwashi Schooling")</f>
        <v>Wishiwashi Schooling</v>
      </c>
      <c r="B1101" s="174" t="str">
        <f>IFERROR(__xludf.DUMMYFUNCTION("""COMPUTED_VALUE"""),"Unlisted")</f>
        <v>Unlisted</v>
      </c>
      <c r="C1101" s="174" t="str">
        <f>IFERROR(__xludf.DUMMYFUNCTION("""COMPUTED_VALUE"""),"Mastered")</f>
        <v>Mastered</v>
      </c>
      <c r="D1101" s="174" t="str">
        <f>IFERROR(__xludf.DUMMYFUNCTION("""COMPUTED_VALUE"""),"Unlisted")</f>
        <v>Unlisted</v>
      </c>
      <c r="E1101" s="174" t="str">
        <f>IFERROR(__xludf.DUMMYFUNCTION("""COMPUTED_VALUE"""),"Proficient")</f>
        <v>Proficient</v>
      </c>
      <c r="F1101" s="174" t="str">
        <f>IFERROR(__xludf.DUMMYFUNCTION("""COMPUTED_VALUE"""),"Unlisted")</f>
        <v>Unlisted</v>
      </c>
      <c r="G1101" s="174" t="str">
        <f>IFERROR(__xludf.DUMMYFUNCTION("""COMPUTED_VALUE"""),"Unlisted")</f>
        <v>Unlisted</v>
      </c>
      <c r="H1101" s="174" t="str">
        <f>IFERROR(__xludf.DUMMYFUNCTION("""COMPUTED_VALUE"""),"Unlisted")</f>
        <v>Unlisted</v>
      </c>
      <c r="I1101" s="174" t="str">
        <f>IFERROR(__xludf.DUMMYFUNCTION("""COMPUTED_VALUE"""),"Proficient")</f>
        <v>Proficient</v>
      </c>
      <c r="J1101" s="174" t="str">
        <f>IFERROR(__xludf.DUMMYFUNCTION("""COMPUTED_VALUE"""),"Unlisted")</f>
        <v>Unlisted</v>
      </c>
      <c r="K1101" s="174" t="str">
        <f>IFERROR(__xludf.DUMMYFUNCTION("""COMPUTED_VALUE"""),"Unlisted")</f>
        <v>Unlisted</v>
      </c>
      <c r="L1101" s="174" t="str">
        <f>IFERROR(__xludf.DUMMYFUNCTION("""COMPUTED_VALUE"""),"Inept")</f>
        <v>Inept</v>
      </c>
      <c r="M1101" s="174" t="str">
        <f>IFERROR(__xludf.DUMMYFUNCTION("""COMPUTED_VALUE"""),"Unlisted")</f>
        <v>Unlisted</v>
      </c>
      <c r="N1101" s="174" t="str">
        <f>IFERROR(__xludf.DUMMYFUNCTION("""COMPUTED_VALUE"""),"Unlisted")</f>
        <v>Unlisted</v>
      </c>
      <c r="O1101" s="174" t="str">
        <f>IFERROR(__xludf.DUMMYFUNCTION("""COMPUTED_VALUE"""),"Unlisted")</f>
        <v>Unlisted</v>
      </c>
      <c r="P1101" s="174" t="str">
        <f>IFERROR(__xludf.DUMMYFUNCTION("""COMPUTED_VALUE"""),"Unlisted")</f>
        <v>Unlisted</v>
      </c>
      <c r="Q1101" s="174" t="str">
        <f>IFERROR(__xludf.DUMMYFUNCTION("""COMPUTED_VALUE"""),"Unlisted")</f>
        <v>Unlisted</v>
      </c>
      <c r="R1101" s="174" t="str">
        <f>IFERROR(__xludf.DUMMYFUNCTION("""COMPUTED_VALUE"""),"Unlisted")</f>
        <v>Unlisted</v>
      </c>
    </row>
    <row r="1102">
      <c r="A1102" s="255" t="str">
        <f>IFERROR(__xludf.DUMMYFUNCTION("""COMPUTED_VALUE"""),"Pyukumuku")</f>
        <v>Pyukumuku</v>
      </c>
      <c r="B1102" s="174" t="str">
        <f>IFERROR(__xludf.DUMMYFUNCTION("""COMPUTED_VALUE"""),"Inept")</f>
        <v>Inept</v>
      </c>
      <c r="C1102" s="174" t="str">
        <f>IFERROR(__xludf.DUMMYFUNCTION("""COMPUTED_VALUE"""),"Unlisted")</f>
        <v>Unlisted</v>
      </c>
      <c r="D1102" s="174" t="str">
        <f>IFERROR(__xludf.DUMMYFUNCTION("""COMPUTED_VALUE"""),"Unlisted")</f>
        <v>Unlisted</v>
      </c>
      <c r="E1102" s="174" t="str">
        <f>IFERROR(__xludf.DUMMYFUNCTION("""COMPUTED_VALUE"""),"Unlisted")</f>
        <v>Unlisted</v>
      </c>
      <c r="F1102" s="174" t="str">
        <f>IFERROR(__xludf.DUMMYFUNCTION("""COMPUTED_VALUE"""),"Unlisted")</f>
        <v>Unlisted</v>
      </c>
      <c r="G1102" s="174" t="str">
        <f>IFERROR(__xludf.DUMMYFUNCTION("""COMPUTED_VALUE"""),"Proficient")</f>
        <v>Proficient</v>
      </c>
      <c r="H1102" s="174" t="str">
        <f>IFERROR(__xludf.DUMMYFUNCTION("""COMPUTED_VALUE"""),"Unlisted")</f>
        <v>Unlisted</v>
      </c>
      <c r="I1102" s="174" t="str">
        <f>IFERROR(__xludf.DUMMYFUNCTION("""COMPUTED_VALUE"""),"Unlisted")</f>
        <v>Unlisted</v>
      </c>
      <c r="J1102" s="174" t="str">
        <f>IFERROR(__xludf.DUMMYFUNCTION("""COMPUTED_VALUE"""),"Unlisted")</f>
        <v>Unlisted</v>
      </c>
      <c r="K1102" s="174" t="str">
        <f>IFERROR(__xludf.DUMMYFUNCTION("""COMPUTED_VALUE"""),"Unlisted")</f>
        <v>Unlisted</v>
      </c>
      <c r="L1102" s="174" t="str">
        <f>IFERROR(__xludf.DUMMYFUNCTION("""COMPUTED_VALUE"""),"Proficient")</f>
        <v>Proficient</v>
      </c>
      <c r="M1102" s="174" t="str">
        <f>IFERROR(__xludf.DUMMYFUNCTION("""COMPUTED_VALUE"""),"Unlisted")</f>
        <v>Unlisted</v>
      </c>
      <c r="N1102" s="174" t="str">
        <f>IFERROR(__xludf.DUMMYFUNCTION("""COMPUTED_VALUE"""),"Unlisted")</f>
        <v>Unlisted</v>
      </c>
      <c r="O1102" s="174" t="str">
        <f>IFERROR(__xludf.DUMMYFUNCTION("""COMPUTED_VALUE"""),"Unlisted")</f>
        <v>Unlisted</v>
      </c>
      <c r="P1102" s="174" t="str">
        <f>IFERROR(__xludf.DUMMYFUNCTION("""COMPUTED_VALUE"""),"Unlisted")</f>
        <v>Unlisted</v>
      </c>
      <c r="Q1102" s="174" t="str">
        <f>IFERROR(__xludf.DUMMYFUNCTION("""COMPUTED_VALUE"""),"Unlisted")</f>
        <v>Unlisted</v>
      </c>
      <c r="R1102" s="174" t="str">
        <f>IFERROR(__xludf.DUMMYFUNCTION("""COMPUTED_VALUE"""),"Unlisted")</f>
        <v>Unlisted</v>
      </c>
    </row>
    <row r="1103">
      <c r="A1103" s="255" t="str">
        <f>IFERROR(__xludf.DUMMYFUNCTION("""COMPUTED_VALUE"""),"Bruxish")</f>
        <v>Bruxish</v>
      </c>
      <c r="B1103" s="174" t="str">
        <f>IFERROR(__xludf.DUMMYFUNCTION("""COMPUTED_VALUE"""),"Unlisted")</f>
        <v>Unlisted</v>
      </c>
      <c r="C1103" s="174" t="str">
        <f>IFERROR(__xludf.DUMMYFUNCTION("""COMPUTED_VALUE"""),"Proficient")</f>
        <v>Proficient</v>
      </c>
      <c r="D1103" s="174" t="str">
        <f>IFERROR(__xludf.DUMMYFUNCTION("""COMPUTED_VALUE"""),"Inept")</f>
        <v>Inept</v>
      </c>
      <c r="E1103" s="174" t="str">
        <f>IFERROR(__xludf.DUMMYFUNCTION("""COMPUTED_VALUE"""),"Unlisted")</f>
        <v>Unlisted</v>
      </c>
      <c r="F1103" s="174" t="str">
        <f>IFERROR(__xludf.DUMMYFUNCTION("""COMPUTED_VALUE"""),"Unlisted")</f>
        <v>Unlisted</v>
      </c>
      <c r="G1103" s="174" t="str">
        <f>IFERROR(__xludf.DUMMYFUNCTION("""COMPUTED_VALUE"""),"Proficient")</f>
        <v>Proficient</v>
      </c>
      <c r="H1103" s="174" t="str">
        <f>IFERROR(__xludf.DUMMYFUNCTION("""COMPUTED_VALUE"""),"Unlisted")</f>
        <v>Unlisted</v>
      </c>
      <c r="I1103" s="174" t="str">
        <f>IFERROR(__xludf.DUMMYFUNCTION("""COMPUTED_VALUE"""),"Unlisted")</f>
        <v>Unlisted</v>
      </c>
      <c r="J1103" s="174" t="str">
        <f>IFERROR(__xludf.DUMMYFUNCTION("""COMPUTED_VALUE"""),"Unlisted")</f>
        <v>Unlisted</v>
      </c>
      <c r="K1103" s="174" t="str">
        <f>IFERROR(__xludf.DUMMYFUNCTION("""COMPUTED_VALUE"""),"Proficient")</f>
        <v>Proficient</v>
      </c>
      <c r="L1103" s="174" t="str">
        <f>IFERROR(__xludf.DUMMYFUNCTION("""COMPUTED_VALUE"""),"Proficient")</f>
        <v>Proficient</v>
      </c>
      <c r="M1103" s="174" t="str">
        <f>IFERROR(__xludf.DUMMYFUNCTION("""COMPUTED_VALUE"""),"Unlisted")</f>
        <v>Unlisted</v>
      </c>
      <c r="N1103" s="174" t="str">
        <f>IFERROR(__xludf.DUMMYFUNCTION("""COMPUTED_VALUE"""),"Unlisted")</f>
        <v>Unlisted</v>
      </c>
      <c r="O1103" s="174" t="str">
        <f>IFERROR(__xludf.DUMMYFUNCTION("""COMPUTED_VALUE"""),"Unlisted")</f>
        <v>Unlisted</v>
      </c>
      <c r="P1103" s="174" t="str">
        <f>IFERROR(__xludf.DUMMYFUNCTION("""COMPUTED_VALUE"""),"Unlisted")</f>
        <v>Unlisted</v>
      </c>
      <c r="Q1103" s="174" t="str">
        <f>IFERROR(__xludf.DUMMYFUNCTION("""COMPUTED_VALUE"""),"Unlisted")</f>
        <v>Unlisted</v>
      </c>
      <c r="R1103" s="174" t="str">
        <f>IFERROR(__xludf.DUMMYFUNCTION("""COMPUTED_VALUE"""),"Unlisted")</f>
        <v>Unlisted</v>
      </c>
    </row>
    <row r="1104">
      <c r="A1104" s="255" t="str">
        <f>IFERROR(__xludf.DUMMYFUNCTION("""COMPUTED_VALUE"""),"Dracovish")</f>
        <v>Dracovish</v>
      </c>
      <c r="B1104" s="174" t="str">
        <f>IFERROR(__xludf.DUMMYFUNCTION("""COMPUTED_VALUE"""),"Unlisted")</f>
        <v>Unlisted</v>
      </c>
      <c r="C1104" s="174" t="str">
        <f>IFERROR(__xludf.DUMMYFUNCTION("""COMPUTED_VALUE"""),"Proficient")</f>
        <v>Proficient</v>
      </c>
      <c r="D1104" s="174" t="str">
        <f>IFERROR(__xludf.DUMMYFUNCTION("""COMPUTED_VALUE"""),"Inept")</f>
        <v>Inept</v>
      </c>
      <c r="E1104" s="174" t="str">
        <f>IFERROR(__xludf.DUMMYFUNCTION("""COMPUTED_VALUE"""),"Proficient")</f>
        <v>Proficient</v>
      </c>
      <c r="F1104" s="174" t="str">
        <f>IFERROR(__xludf.DUMMYFUNCTION("""COMPUTED_VALUE"""),"Unlisted")</f>
        <v>Unlisted</v>
      </c>
      <c r="G1104" s="174" t="str">
        <f>IFERROR(__xludf.DUMMYFUNCTION("""COMPUTED_VALUE"""),"Unlisted")</f>
        <v>Unlisted</v>
      </c>
      <c r="H1104" s="174" t="str">
        <f>IFERROR(__xludf.DUMMYFUNCTION("""COMPUTED_VALUE"""),"Unlisted")</f>
        <v>Unlisted</v>
      </c>
      <c r="I1104" s="174" t="str">
        <f>IFERROR(__xludf.DUMMYFUNCTION("""COMPUTED_VALUE"""),"Unlisted")</f>
        <v>Unlisted</v>
      </c>
      <c r="J1104" s="174" t="str">
        <f>IFERROR(__xludf.DUMMYFUNCTION("""COMPUTED_VALUE"""),"Unlisted")</f>
        <v>Unlisted</v>
      </c>
      <c r="K1104" s="174" t="str">
        <f>IFERROR(__xludf.DUMMYFUNCTION("""COMPUTED_VALUE"""),"Unlisted")</f>
        <v>Unlisted</v>
      </c>
      <c r="L1104" s="174" t="str">
        <f>IFERROR(__xludf.DUMMYFUNCTION("""COMPUTED_VALUE"""),"Unlisted")</f>
        <v>Unlisted</v>
      </c>
      <c r="M1104" s="174" t="str">
        <f>IFERROR(__xludf.DUMMYFUNCTION("""COMPUTED_VALUE"""),"Unlisted")</f>
        <v>Unlisted</v>
      </c>
      <c r="N1104" s="174" t="str">
        <f>IFERROR(__xludf.DUMMYFUNCTION("""COMPUTED_VALUE"""),"Unlisted")</f>
        <v>Unlisted</v>
      </c>
      <c r="O1104" s="174" t="str">
        <f>IFERROR(__xludf.DUMMYFUNCTION("""COMPUTED_VALUE"""),"Proficient")</f>
        <v>Proficient</v>
      </c>
      <c r="P1104" s="174" t="str">
        <f>IFERROR(__xludf.DUMMYFUNCTION("""COMPUTED_VALUE"""),"Unlisted")</f>
        <v>Unlisted</v>
      </c>
      <c r="Q1104" s="174" t="str">
        <f>IFERROR(__xludf.DUMMYFUNCTION("""COMPUTED_VALUE"""),"Unlisted")</f>
        <v>Unlisted</v>
      </c>
      <c r="R1104" s="174" t="str">
        <f>IFERROR(__xludf.DUMMYFUNCTION("""COMPUTED_VALUE"""),"Unlisted")</f>
        <v>Unlisted</v>
      </c>
    </row>
    <row r="1105">
      <c r="A1105" s="255" t="str">
        <f>IFERROR(__xludf.DUMMYFUNCTION("""COMPUTED_VALUE"""),"Arctovish")</f>
        <v>Arctovish</v>
      </c>
      <c r="B1105" s="174" t="str">
        <f>IFERROR(__xludf.DUMMYFUNCTION("""COMPUTED_VALUE"""),"Proficient")</f>
        <v>Proficient</v>
      </c>
      <c r="C1105" s="174" t="str">
        <f>IFERROR(__xludf.DUMMYFUNCTION("""COMPUTED_VALUE"""),"Proficient")</f>
        <v>Proficient</v>
      </c>
      <c r="D1105" s="174" t="str">
        <f>IFERROR(__xludf.DUMMYFUNCTION("""COMPUTED_VALUE"""),"Inept")</f>
        <v>Inept</v>
      </c>
      <c r="E1105" s="174" t="str">
        <f>IFERROR(__xludf.DUMMYFUNCTION("""COMPUTED_VALUE"""),"Unlisted")</f>
        <v>Unlisted</v>
      </c>
      <c r="F1105" s="174" t="str">
        <f>IFERROR(__xludf.DUMMYFUNCTION("""COMPUTED_VALUE"""),"Unlisted")</f>
        <v>Unlisted</v>
      </c>
      <c r="G1105" s="174" t="str">
        <f>IFERROR(__xludf.DUMMYFUNCTION("""COMPUTED_VALUE"""),"Unlisted")</f>
        <v>Unlisted</v>
      </c>
      <c r="H1105" s="174" t="str">
        <f>IFERROR(__xludf.DUMMYFUNCTION("""COMPUTED_VALUE"""),"Unlisted")</f>
        <v>Unlisted</v>
      </c>
      <c r="I1105" s="174" t="str">
        <f>IFERROR(__xludf.DUMMYFUNCTION("""COMPUTED_VALUE"""),"Unlisted")</f>
        <v>Unlisted</v>
      </c>
      <c r="J1105" s="174" t="str">
        <f>IFERROR(__xludf.DUMMYFUNCTION("""COMPUTED_VALUE"""),"Unlisted")</f>
        <v>Unlisted</v>
      </c>
      <c r="K1105" s="174" t="str">
        <f>IFERROR(__xludf.DUMMYFUNCTION("""COMPUTED_VALUE"""),"Unlisted")</f>
        <v>Unlisted</v>
      </c>
      <c r="L1105" s="174" t="str">
        <f>IFERROR(__xludf.DUMMYFUNCTION("""COMPUTED_VALUE"""),"Proficient")</f>
        <v>Proficient</v>
      </c>
      <c r="M1105" s="174" t="str">
        <f>IFERROR(__xludf.DUMMYFUNCTION("""COMPUTED_VALUE"""),"Unlisted")</f>
        <v>Unlisted</v>
      </c>
      <c r="N1105" s="174" t="str">
        <f>IFERROR(__xludf.DUMMYFUNCTION("""COMPUTED_VALUE"""),"Unlisted")</f>
        <v>Unlisted</v>
      </c>
      <c r="O1105" s="174" t="str">
        <f>IFERROR(__xludf.DUMMYFUNCTION("""COMPUTED_VALUE"""),"Proficient")</f>
        <v>Proficient</v>
      </c>
      <c r="P1105" s="174" t="str">
        <f>IFERROR(__xludf.DUMMYFUNCTION("""COMPUTED_VALUE"""),"Unlisted")</f>
        <v>Unlisted</v>
      </c>
      <c r="Q1105" s="174" t="str">
        <f>IFERROR(__xludf.DUMMYFUNCTION("""COMPUTED_VALUE"""),"Unlisted")</f>
        <v>Unlisted</v>
      </c>
      <c r="R1105" s="174" t="str">
        <f>IFERROR(__xludf.DUMMYFUNCTION("""COMPUTED_VALUE"""),"Unlisted")</f>
        <v>Unlisted</v>
      </c>
    </row>
    <row r="1106">
      <c r="A1106" s="255" t="str">
        <f>IFERROR(__xludf.DUMMYFUNCTION("""COMPUTED_VALUE"""),"Dondozo")</f>
        <v>Dondozo</v>
      </c>
      <c r="B1106" s="174" t="str">
        <f>IFERROR(__xludf.DUMMYFUNCTION("""COMPUTED_VALUE"""),"Inept")</f>
        <v>Inept</v>
      </c>
      <c r="C1106" s="174" t="str">
        <f>IFERROR(__xludf.DUMMYFUNCTION("""COMPUTED_VALUE"""),"Proficient")</f>
        <v>Proficient</v>
      </c>
      <c r="D1106" s="174" t="str">
        <f>IFERROR(__xludf.DUMMYFUNCTION("""COMPUTED_VALUE"""),"Unlisted")</f>
        <v>Unlisted</v>
      </c>
      <c r="E1106" s="174" t="str">
        <f>IFERROR(__xludf.DUMMYFUNCTION("""COMPUTED_VALUE"""),"Unlisted")</f>
        <v>Unlisted</v>
      </c>
      <c r="F1106" s="174" t="str">
        <f>IFERROR(__xludf.DUMMYFUNCTION("""COMPUTED_VALUE"""),"Unlisted")</f>
        <v>Unlisted</v>
      </c>
      <c r="G1106" s="174" t="str">
        <f>IFERROR(__xludf.DUMMYFUNCTION("""COMPUTED_VALUE"""),"Inept")</f>
        <v>Inept</v>
      </c>
      <c r="H1106" s="174" t="str">
        <f>IFERROR(__xludf.DUMMYFUNCTION("""COMPUTED_VALUE"""),"Unlisted")</f>
        <v>Unlisted</v>
      </c>
      <c r="I1106" s="174" t="str">
        <f>IFERROR(__xludf.DUMMYFUNCTION("""COMPUTED_VALUE"""),"Unlisted")</f>
        <v>Unlisted</v>
      </c>
      <c r="J1106" s="174" t="str">
        <f>IFERROR(__xludf.DUMMYFUNCTION("""COMPUTED_VALUE"""),"Inept")</f>
        <v>Inept</v>
      </c>
      <c r="K1106" s="174" t="str">
        <f>IFERROR(__xludf.DUMMYFUNCTION("""COMPUTED_VALUE"""),"Unlisted")</f>
        <v>Unlisted</v>
      </c>
      <c r="L1106" s="174" t="str">
        <f>IFERROR(__xludf.DUMMYFUNCTION("""COMPUTED_VALUE"""),"Unlisted")</f>
        <v>Unlisted</v>
      </c>
      <c r="M1106" s="174" t="str">
        <f>IFERROR(__xludf.DUMMYFUNCTION("""COMPUTED_VALUE"""),"Unlisted")</f>
        <v>Unlisted</v>
      </c>
      <c r="N1106" s="174" t="str">
        <f>IFERROR(__xludf.DUMMYFUNCTION("""COMPUTED_VALUE"""),"Unlisted")</f>
        <v>Unlisted</v>
      </c>
      <c r="O1106" s="174" t="str">
        <f>IFERROR(__xludf.DUMMYFUNCTION("""COMPUTED_VALUE"""),"Unlisted")</f>
        <v>Unlisted</v>
      </c>
      <c r="P1106" s="174" t="str">
        <f>IFERROR(__xludf.DUMMYFUNCTION("""COMPUTED_VALUE"""),"Unlisted")</f>
        <v>Unlisted</v>
      </c>
      <c r="Q1106" s="174" t="str">
        <f>IFERROR(__xludf.DUMMYFUNCTION("""COMPUTED_VALUE"""),"Unlisted")</f>
        <v>Unlisted</v>
      </c>
      <c r="R1106" s="174" t="str">
        <f>IFERROR(__xludf.DUMMYFUNCTION("""COMPUTED_VALUE"""),"Unlisted")</f>
        <v>Unlisted</v>
      </c>
    </row>
    <row r="1107">
      <c r="A1107" s="255" t="str">
        <f>IFERROR(__xludf.DUMMYFUNCTION("""COMPUTED_VALUE"""),"Veluza")</f>
        <v>Veluza</v>
      </c>
      <c r="B1107" s="174" t="str">
        <f>IFERROR(__xludf.DUMMYFUNCTION("""COMPUTED_VALUE"""),"Mastered")</f>
        <v>Mastered</v>
      </c>
      <c r="C1107" s="174" t="str">
        <f>IFERROR(__xludf.DUMMYFUNCTION("""COMPUTED_VALUE"""),"Unlisted")</f>
        <v>Unlisted</v>
      </c>
      <c r="D1107" s="174" t="str">
        <f>IFERROR(__xludf.DUMMYFUNCTION("""COMPUTED_VALUE"""),"Unlisted")</f>
        <v>Unlisted</v>
      </c>
      <c r="E1107" s="174" t="str">
        <f>IFERROR(__xludf.DUMMYFUNCTION("""COMPUTED_VALUE"""),"Proficient")</f>
        <v>Proficient</v>
      </c>
      <c r="F1107" s="174" t="str">
        <f>IFERROR(__xludf.DUMMYFUNCTION("""COMPUTED_VALUE"""),"Unlisted")</f>
        <v>Unlisted</v>
      </c>
      <c r="G1107" s="174" t="str">
        <f>IFERROR(__xludf.DUMMYFUNCTION("""COMPUTED_VALUE"""),"Unlisted")</f>
        <v>Unlisted</v>
      </c>
      <c r="H1107" s="174" t="str">
        <f>IFERROR(__xludf.DUMMYFUNCTION("""COMPUTED_VALUE"""),"Unlisted")</f>
        <v>Unlisted</v>
      </c>
      <c r="I1107" s="174" t="str">
        <f>IFERROR(__xludf.DUMMYFUNCTION("""COMPUTED_VALUE"""),"Unlisted")</f>
        <v>Unlisted</v>
      </c>
      <c r="J1107" s="174" t="str">
        <f>IFERROR(__xludf.DUMMYFUNCTION("""COMPUTED_VALUE"""),"Proficient")</f>
        <v>Proficient</v>
      </c>
      <c r="K1107" s="174" t="str">
        <f>IFERROR(__xludf.DUMMYFUNCTION("""COMPUTED_VALUE"""),"Unlisted")</f>
        <v>Unlisted</v>
      </c>
      <c r="L1107" s="174" t="str">
        <f>IFERROR(__xludf.DUMMYFUNCTION("""COMPUTED_VALUE"""),"Unlisted")</f>
        <v>Unlisted</v>
      </c>
      <c r="M1107" s="174" t="str">
        <f>IFERROR(__xludf.DUMMYFUNCTION("""COMPUTED_VALUE"""),"Unlisted")</f>
        <v>Unlisted</v>
      </c>
      <c r="N1107" s="174" t="str">
        <f>IFERROR(__xludf.DUMMYFUNCTION("""COMPUTED_VALUE"""),"Unlisted")</f>
        <v>Unlisted</v>
      </c>
      <c r="O1107" s="174" t="str">
        <f>IFERROR(__xludf.DUMMYFUNCTION("""COMPUTED_VALUE"""),"Unlisted")</f>
        <v>Unlisted</v>
      </c>
      <c r="P1107" s="174" t="str">
        <f>IFERROR(__xludf.DUMMYFUNCTION("""COMPUTED_VALUE"""),"Unlisted")</f>
        <v>Unlisted</v>
      </c>
      <c r="Q1107" s="174" t="str">
        <f>IFERROR(__xludf.DUMMYFUNCTION("""COMPUTED_VALUE"""),"Unlisted")</f>
        <v>Unlisted</v>
      </c>
      <c r="R1107" s="174" t="str">
        <f>IFERROR(__xludf.DUMMYFUNCTION("""COMPUTED_VALUE"""),"Unlisted")</f>
        <v>Unlisted</v>
      </c>
    </row>
    <row r="1108">
      <c r="A1108" s="255" t="str">
        <f>IFERROR(__xludf.DUMMYFUNCTION("""COMPUTED_VALUE"""),"Finizen")</f>
        <v>Finizen</v>
      </c>
      <c r="B1108" s="174" t="str">
        <f>IFERROR(__xludf.DUMMYFUNCTION("""COMPUTED_VALUE"""),"Unlisted")</f>
        <v>Unlisted</v>
      </c>
      <c r="C1108" s="174" t="str">
        <f>IFERROR(__xludf.DUMMYFUNCTION("""COMPUTED_VALUE"""),"Inept")</f>
        <v>Inept</v>
      </c>
      <c r="D1108" s="174" t="str">
        <f>IFERROR(__xludf.DUMMYFUNCTION("""COMPUTED_VALUE"""),"Unlisted")</f>
        <v>Unlisted</v>
      </c>
      <c r="E1108" s="174" t="str">
        <f>IFERROR(__xludf.DUMMYFUNCTION("""COMPUTED_VALUE"""),"Inept")</f>
        <v>Inept</v>
      </c>
      <c r="F1108" s="174" t="str">
        <f>IFERROR(__xludf.DUMMYFUNCTION("""COMPUTED_VALUE"""),"Unlisted")</f>
        <v>Unlisted</v>
      </c>
      <c r="G1108" s="174" t="str">
        <f>IFERROR(__xludf.DUMMYFUNCTION("""COMPUTED_VALUE"""),"Unlisted")</f>
        <v>Unlisted</v>
      </c>
      <c r="H1108" s="174" t="str">
        <f>IFERROR(__xludf.DUMMYFUNCTION("""COMPUTED_VALUE"""),"Unlisted")</f>
        <v>Unlisted</v>
      </c>
      <c r="I1108" s="174" t="str">
        <f>IFERROR(__xludf.DUMMYFUNCTION("""COMPUTED_VALUE"""),"Unlisted")</f>
        <v>Unlisted</v>
      </c>
      <c r="J1108" s="174" t="str">
        <f>IFERROR(__xludf.DUMMYFUNCTION("""COMPUTED_VALUE"""),"Proficient")</f>
        <v>Proficient</v>
      </c>
      <c r="K1108" s="174" t="str">
        <f>IFERROR(__xludf.DUMMYFUNCTION("""COMPUTED_VALUE"""),"Unlisted")</f>
        <v>Unlisted</v>
      </c>
      <c r="L1108" s="174" t="str">
        <f>IFERROR(__xludf.DUMMYFUNCTION("""COMPUTED_VALUE"""),"Unlisted")</f>
        <v>Unlisted</v>
      </c>
      <c r="M1108" s="174" t="str">
        <f>IFERROR(__xludf.DUMMYFUNCTION("""COMPUTED_VALUE"""),"Unlisted")</f>
        <v>Unlisted</v>
      </c>
      <c r="N1108" s="174" t="str">
        <f>IFERROR(__xludf.DUMMYFUNCTION("""COMPUTED_VALUE"""),"Unlisted")</f>
        <v>Unlisted</v>
      </c>
      <c r="O1108" s="174" t="str">
        <f>IFERROR(__xludf.DUMMYFUNCTION("""COMPUTED_VALUE"""),"Unlisted")</f>
        <v>Unlisted</v>
      </c>
      <c r="P1108" s="174" t="str">
        <f>IFERROR(__xludf.DUMMYFUNCTION("""COMPUTED_VALUE"""),"Unlisted")</f>
        <v>Unlisted</v>
      </c>
      <c r="Q1108" s="174" t="str">
        <f>IFERROR(__xludf.DUMMYFUNCTION("""COMPUTED_VALUE"""),"Unlisted")</f>
        <v>Unlisted</v>
      </c>
      <c r="R1108" s="174" t="str">
        <f>IFERROR(__xludf.DUMMYFUNCTION("""COMPUTED_VALUE"""),"Unlisted")</f>
        <v>Unlisted</v>
      </c>
    </row>
    <row r="1109">
      <c r="A1109" s="255" t="str">
        <f>IFERROR(__xludf.DUMMYFUNCTION("""COMPUTED_VALUE"""),"Palafin")</f>
        <v>Palafin</v>
      </c>
      <c r="B1109" s="174" t="str">
        <f>IFERROR(__xludf.DUMMYFUNCTION("""COMPUTED_VALUE"""),"Unlisted")</f>
        <v>Unlisted</v>
      </c>
      <c r="C1109" s="174" t="str">
        <f>IFERROR(__xludf.DUMMYFUNCTION("""COMPUTED_VALUE"""),"Mastered")</f>
        <v>Mastered</v>
      </c>
      <c r="D1109" s="174" t="str">
        <f>IFERROR(__xludf.DUMMYFUNCTION("""COMPUTED_VALUE"""),"Unlisted")</f>
        <v>Unlisted</v>
      </c>
      <c r="E1109" s="174" t="str">
        <f>IFERROR(__xludf.DUMMYFUNCTION("""COMPUTED_VALUE"""),"Mastered")</f>
        <v>Mastered</v>
      </c>
      <c r="F1109" s="174" t="str">
        <f>IFERROR(__xludf.DUMMYFUNCTION("""COMPUTED_VALUE"""),"Unlisted")</f>
        <v>Unlisted</v>
      </c>
      <c r="G1109" s="174" t="str">
        <f>IFERROR(__xludf.DUMMYFUNCTION("""COMPUTED_VALUE"""),"Unlisted")</f>
        <v>Unlisted</v>
      </c>
      <c r="H1109" s="174" t="str">
        <f>IFERROR(__xludf.DUMMYFUNCTION("""COMPUTED_VALUE"""),"Unlisted")</f>
        <v>Unlisted</v>
      </c>
      <c r="I1109" s="174" t="str">
        <f>IFERROR(__xludf.DUMMYFUNCTION("""COMPUTED_VALUE"""),"Unlisted")</f>
        <v>Unlisted</v>
      </c>
      <c r="J1109" s="174" t="str">
        <f>IFERROR(__xludf.DUMMYFUNCTION("""COMPUTED_VALUE"""),"Proficient")</f>
        <v>Proficient</v>
      </c>
      <c r="K1109" s="174" t="str">
        <f>IFERROR(__xludf.DUMMYFUNCTION("""COMPUTED_VALUE"""),"Unlisted")</f>
        <v>Unlisted</v>
      </c>
      <c r="L1109" s="174" t="str">
        <f>IFERROR(__xludf.DUMMYFUNCTION("""COMPUTED_VALUE"""),"Unlisted")</f>
        <v>Unlisted</v>
      </c>
      <c r="M1109" s="174" t="str">
        <f>IFERROR(__xludf.DUMMYFUNCTION("""COMPUTED_VALUE"""),"Unlisted")</f>
        <v>Unlisted</v>
      </c>
      <c r="N1109" s="174" t="str">
        <f>IFERROR(__xludf.DUMMYFUNCTION("""COMPUTED_VALUE"""),"Unlisted")</f>
        <v>Unlisted</v>
      </c>
      <c r="O1109" s="174" t="str">
        <f>IFERROR(__xludf.DUMMYFUNCTION("""COMPUTED_VALUE"""),"Unlisted")</f>
        <v>Unlisted</v>
      </c>
      <c r="P1109" s="174" t="str">
        <f>IFERROR(__xludf.DUMMYFUNCTION("""COMPUTED_VALUE"""),"Unlisted")</f>
        <v>Unlisted</v>
      </c>
      <c r="Q1109" s="174" t="str">
        <f>IFERROR(__xludf.DUMMYFUNCTION("""COMPUTED_VALUE"""),"Unlisted")</f>
        <v>Unlisted</v>
      </c>
      <c r="R1109" s="174" t="str">
        <f>IFERROR(__xludf.DUMMYFUNCTION("""COMPUTED_VALUE"""),"Unlisted")</f>
        <v>Unlisted</v>
      </c>
    </row>
    <row r="1110">
      <c r="A1110" s="255" t="str">
        <f>IFERROR(__xludf.DUMMYFUNCTION("""COMPUTED_VALUE"""),"Ditto")</f>
        <v>Ditto</v>
      </c>
      <c r="B1110" s="174" t="str">
        <f>IFERROR(__xludf.DUMMYFUNCTION("""COMPUTED_VALUE"""),"Unlisted")</f>
        <v>Unlisted</v>
      </c>
      <c r="C1110" s="174" t="str">
        <f>IFERROR(__xludf.DUMMYFUNCTION("""COMPUTED_VALUE"""),"Inept")</f>
        <v>Inept</v>
      </c>
      <c r="D1110" s="174" t="str">
        <f>IFERROR(__xludf.DUMMYFUNCTION("""COMPUTED_VALUE"""),"Unlisted")</f>
        <v>Unlisted</v>
      </c>
      <c r="E1110" s="174" t="str">
        <f>IFERROR(__xludf.DUMMYFUNCTION("""COMPUTED_VALUE"""),"Unlisted")</f>
        <v>Unlisted</v>
      </c>
      <c r="F1110" s="174" t="str">
        <f>IFERROR(__xludf.DUMMYFUNCTION("""COMPUTED_VALUE"""),"Unlisted")</f>
        <v>Unlisted</v>
      </c>
      <c r="G1110" s="174" t="str">
        <f>IFERROR(__xludf.DUMMYFUNCTION("""COMPUTED_VALUE"""),"Unlisted")</f>
        <v>Unlisted</v>
      </c>
      <c r="H1110" s="174" t="str">
        <f>IFERROR(__xludf.DUMMYFUNCTION("""COMPUTED_VALUE"""),"Proficient")</f>
        <v>Proficient</v>
      </c>
      <c r="I1110" s="174" t="str">
        <f>IFERROR(__xludf.DUMMYFUNCTION("""COMPUTED_VALUE"""),"Unlisted")</f>
        <v>Unlisted</v>
      </c>
      <c r="J1110" s="174" t="str">
        <f>IFERROR(__xludf.DUMMYFUNCTION("""COMPUTED_VALUE"""),"Proficient")</f>
        <v>Proficient</v>
      </c>
      <c r="K1110" s="174" t="str">
        <f>IFERROR(__xludf.DUMMYFUNCTION("""COMPUTED_VALUE"""),"Unlisted")</f>
        <v>Unlisted</v>
      </c>
      <c r="L1110" s="174" t="str">
        <f>IFERROR(__xludf.DUMMYFUNCTION("""COMPUTED_VALUE"""),"Proficient")</f>
        <v>Proficient</v>
      </c>
      <c r="M1110" s="174" t="str">
        <f>IFERROR(__xludf.DUMMYFUNCTION("""COMPUTED_VALUE"""),"Unlisted")</f>
        <v>Unlisted</v>
      </c>
      <c r="N1110" s="174" t="str">
        <f>IFERROR(__xludf.DUMMYFUNCTION("""COMPUTED_VALUE"""),"Unlisted")</f>
        <v>Unlisted</v>
      </c>
      <c r="O1110" s="174" t="str">
        <f>IFERROR(__xludf.DUMMYFUNCTION("""COMPUTED_VALUE"""),"Unlisted")</f>
        <v>Unlisted</v>
      </c>
      <c r="P1110" s="174" t="str">
        <f>IFERROR(__xludf.DUMMYFUNCTION("""COMPUTED_VALUE"""),"Unlisted")</f>
        <v>Unlisted</v>
      </c>
      <c r="Q1110" s="174" t="str">
        <f>IFERROR(__xludf.DUMMYFUNCTION("""COMPUTED_VALUE"""),"Unlisted")</f>
        <v>Unlisted</v>
      </c>
      <c r="R1110" s="174" t="str">
        <f>IFERROR(__xludf.DUMMYFUNCTION("""COMPUTED_VALUE"""),"Unlisted")</f>
        <v>Unlisted</v>
      </c>
    </row>
    <row r="1111">
      <c r="A1111" s="255" t="str">
        <f>IFERROR(__xludf.DUMMYFUNCTION("""COMPUTED_VALUE"""),"Oricorio Baile")</f>
        <v>Oricorio Baile</v>
      </c>
      <c r="B1111" s="174" t="str">
        <f>IFERROR(__xludf.DUMMYFUNCTION("""COMPUTED_VALUE"""),"Proficient")</f>
        <v>Proficient</v>
      </c>
      <c r="C1111" s="174" t="str">
        <f>IFERROR(__xludf.DUMMYFUNCTION("""COMPUTED_VALUE"""),"Unlisted")</f>
        <v>Unlisted</v>
      </c>
      <c r="D1111" s="174" t="str">
        <f>IFERROR(__xludf.DUMMYFUNCTION("""COMPUTED_VALUE"""),"Unlisted")</f>
        <v>Unlisted</v>
      </c>
      <c r="E1111" s="174" t="str">
        <f>IFERROR(__xludf.DUMMYFUNCTION("""COMPUTED_VALUE"""),"Unlisted")</f>
        <v>Unlisted</v>
      </c>
      <c r="F1111" s="174" t="str">
        <f>IFERROR(__xludf.DUMMYFUNCTION("""COMPUTED_VALUE"""),"Unlisted")</f>
        <v>Unlisted</v>
      </c>
      <c r="G1111" s="174" t="str">
        <f>IFERROR(__xludf.DUMMYFUNCTION("""COMPUTED_VALUE"""),"Proficient")</f>
        <v>Proficient</v>
      </c>
      <c r="H1111" s="174" t="str">
        <f>IFERROR(__xludf.DUMMYFUNCTION("""COMPUTED_VALUE"""),"Unlisted")</f>
        <v>Unlisted</v>
      </c>
      <c r="I1111" s="174" t="str">
        <f>IFERROR(__xludf.DUMMYFUNCTION("""COMPUTED_VALUE"""),"Unlisted")</f>
        <v>Unlisted</v>
      </c>
      <c r="J1111" s="174" t="str">
        <f>IFERROR(__xludf.DUMMYFUNCTION("""COMPUTED_VALUE"""),"Unlisted")</f>
        <v>Unlisted</v>
      </c>
      <c r="K1111" s="174" t="str">
        <f>IFERROR(__xludf.DUMMYFUNCTION("""COMPUTED_VALUE"""),"Unlisted")</f>
        <v>Unlisted</v>
      </c>
      <c r="L1111" s="174" t="str">
        <f>IFERROR(__xludf.DUMMYFUNCTION("""COMPUTED_VALUE"""),"Unlisted")</f>
        <v>Unlisted</v>
      </c>
      <c r="M1111" s="174" t="str">
        <f>IFERROR(__xludf.DUMMYFUNCTION("""COMPUTED_VALUE"""),"Unlisted")</f>
        <v>Unlisted</v>
      </c>
      <c r="N1111" s="174" t="str">
        <f>IFERROR(__xludf.DUMMYFUNCTION("""COMPUTED_VALUE"""),"Unlisted")</f>
        <v>Unlisted</v>
      </c>
      <c r="O1111" s="174" t="str">
        <f>IFERROR(__xludf.DUMMYFUNCTION("""COMPUTED_VALUE"""),"Unlisted")</f>
        <v>Unlisted</v>
      </c>
      <c r="P1111" s="174" t="str">
        <f>IFERROR(__xludf.DUMMYFUNCTION("""COMPUTED_VALUE"""),"Unlisted")</f>
        <v>Unlisted</v>
      </c>
      <c r="Q1111" s="174" t="str">
        <f>IFERROR(__xludf.DUMMYFUNCTION("""COMPUTED_VALUE"""),"Unlisted")</f>
        <v>Unlisted</v>
      </c>
      <c r="R1111" s="174" t="str">
        <f>IFERROR(__xludf.DUMMYFUNCTION("""COMPUTED_VALUE"""),"Unlisted")</f>
        <v>Unlisted</v>
      </c>
    </row>
    <row r="1112">
      <c r="A1112" s="255" t="str">
        <f>IFERROR(__xludf.DUMMYFUNCTION("""COMPUTED_VALUE"""),"Oricorio Pom-Pom")</f>
        <v>Oricorio Pom-Pom</v>
      </c>
      <c r="B1112" s="174" t="str">
        <f>IFERROR(__xludf.DUMMYFUNCTION("""COMPUTED_VALUE"""),"Proficient")</f>
        <v>Proficient</v>
      </c>
      <c r="C1112" s="174" t="str">
        <f>IFERROR(__xludf.DUMMYFUNCTION("""COMPUTED_VALUE"""),"Unlisted")</f>
        <v>Unlisted</v>
      </c>
      <c r="D1112" s="174" t="str">
        <f>IFERROR(__xludf.DUMMYFUNCTION("""COMPUTED_VALUE"""),"Unlisted")</f>
        <v>Unlisted</v>
      </c>
      <c r="E1112" s="174" t="str">
        <f>IFERROR(__xludf.DUMMYFUNCTION("""COMPUTED_VALUE"""),"Unlisted")</f>
        <v>Unlisted</v>
      </c>
      <c r="F1112" s="174" t="str">
        <f>IFERROR(__xludf.DUMMYFUNCTION("""COMPUTED_VALUE"""),"Unlisted")</f>
        <v>Unlisted</v>
      </c>
      <c r="G1112" s="174" t="str">
        <f>IFERROR(__xludf.DUMMYFUNCTION("""COMPUTED_VALUE"""),"Proficient")</f>
        <v>Proficient</v>
      </c>
      <c r="H1112" s="174" t="str">
        <f>IFERROR(__xludf.DUMMYFUNCTION("""COMPUTED_VALUE"""),"Unlisted")</f>
        <v>Unlisted</v>
      </c>
      <c r="I1112" s="174" t="str">
        <f>IFERROR(__xludf.DUMMYFUNCTION("""COMPUTED_VALUE"""),"Unlisted")</f>
        <v>Unlisted</v>
      </c>
      <c r="J1112" s="174" t="str">
        <f>IFERROR(__xludf.DUMMYFUNCTION("""COMPUTED_VALUE"""),"Unlisted")</f>
        <v>Unlisted</v>
      </c>
      <c r="K1112" s="174" t="str">
        <f>IFERROR(__xludf.DUMMYFUNCTION("""COMPUTED_VALUE"""),"Unlisted")</f>
        <v>Unlisted</v>
      </c>
      <c r="L1112" s="174" t="str">
        <f>IFERROR(__xludf.DUMMYFUNCTION("""COMPUTED_VALUE"""),"Unlisted")</f>
        <v>Unlisted</v>
      </c>
      <c r="M1112" s="174" t="str">
        <f>IFERROR(__xludf.DUMMYFUNCTION("""COMPUTED_VALUE"""),"Unlisted")</f>
        <v>Unlisted</v>
      </c>
      <c r="N1112" s="174" t="str">
        <f>IFERROR(__xludf.DUMMYFUNCTION("""COMPUTED_VALUE"""),"Unlisted")</f>
        <v>Unlisted</v>
      </c>
      <c r="O1112" s="174" t="str">
        <f>IFERROR(__xludf.DUMMYFUNCTION("""COMPUTED_VALUE"""),"Unlisted")</f>
        <v>Unlisted</v>
      </c>
      <c r="P1112" s="174" t="str">
        <f>IFERROR(__xludf.DUMMYFUNCTION("""COMPUTED_VALUE"""),"Unlisted")</f>
        <v>Unlisted</v>
      </c>
      <c r="Q1112" s="174" t="str">
        <f>IFERROR(__xludf.DUMMYFUNCTION("""COMPUTED_VALUE"""),"Unlisted")</f>
        <v>Unlisted</v>
      </c>
      <c r="R1112" s="174" t="str">
        <f>IFERROR(__xludf.DUMMYFUNCTION("""COMPUTED_VALUE"""),"Unlisted")</f>
        <v>Unlisted</v>
      </c>
    </row>
    <row r="1113">
      <c r="A1113" s="255" t="str">
        <f>IFERROR(__xludf.DUMMYFUNCTION("""COMPUTED_VALUE"""),"Oricorio Pa'u")</f>
        <v>Oricorio Pa'u</v>
      </c>
      <c r="B1113" s="174" t="str">
        <f>IFERROR(__xludf.DUMMYFUNCTION("""COMPUTED_VALUE"""),"Proficient")</f>
        <v>Proficient</v>
      </c>
      <c r="C1113" s="174" t="str">
        <f>IFERROR(__xludf.DUMMYFUNCTION("""COMPUTED_VALUE"""),"Unlisted")</f>
        <v>Unlisted</v>
      </c>
      <c r="D1113" s="174" t="str">
        <f>IFERROR(__xludf.DUMMYFUNCTION("""COMPUTED_VALUE"""),"Unlisted")</f>
        <v>Unlisted</v>
      </c>
      <c r="E1113" s="174" t="str">
        <f>IFERROR(__xludf.DUMMYFUNCTION("""COMPUTED_VALUE"""),"Unlisted")</f>
        <v>Unlisted</v>
      </c>
      <c r="F1113" s="174" t="str">
        <f>IFERROR(__xludf.DUMMYFUNCTION("""COMPUTED_VALUE"""),"Unlisted")</f>
        <v>Unlisted</v>
      </c>
      <c r="G1113" s="174" t="str">
        <f>IFERROR(__xludf.DUMMYFUNCTION("""COMPUTED_VALUE"""),"Proficient")</f>
        <v>Proficient</v>
      </c>
      <c r="H1113" s="174" t="str">
        <f>IFERROR(__xludf.DUMMYFUNCTION("""COMPUTED_VALUE"""),"Unlisted")</f>
        <v>Unlisted</v>
      </c>
      <c r="I1113" s="174" t="str">
        <f>IFERROR(__xludf.DUMMYFUNCTION("""COMPUTED_VALUE"""),"Unlisted")</f>
        <v>Unlisted</v>
      </c>
      <c r="J1113" s="174" t="str">
        <f>IFERROR(__xludf.DUMMYFUNCTION("""COMPUTED_VALUE"""),"Unlisted")</f>
        <v>Unlisted</v>
      </c>
      <c r="K1113" s="174" t="str">
        <f>IFERROR(__xludf.DUMMYFUNCTION("""COMPUTED_VALUE"""),"Unlisted")</f>
        <v>Unlisted</v>
      </c>
      <c r="L1113" s="174" t="str">
        <f>IFERROR(__xludf.DUMMYFUNCTION("""COMPUTED_VALUE"""),"Unlisted")</f>
        <v>Unlisted</v>
      </c>
      <c r="M1113" s="174" t="str">
        <f>IFERROR(__xludf.DUMMYFUNCTION("""COMPUTED_VALUE"""),"Unlisted")</f>
        <v>Unlisted</v>
      </c>
      <c r="N1113" s="174" t="str">
        <f>IFERROR(__xludf.DUMMYFUNCTION("""COMPUTED_VALUE"""),"Unlisted")</f>
        <v>Unlisted</v>
      </c>
      <c r="O1113" s="174" t="str">
        <f>IFERROR(__xludf.DUMMYFUNCTION("""COMPUTED_VALUE"""),"Unlisted")</f>
        <v>Unlisted</v>
      </c>
      <c r="P1113" s="174" t="str">
        <f>IFERROR(__xludf.DUMMYFUNCTION("""COMPUTED_VALUE"""),"Unlisted")</f>
        <v>Unlisted</v>
      </c>
      <c r="Q1113" s="174" t="str">
        <f>IFERROR(__xludf.DUMMYFUNCTION("""COMPUTED_VALUE"""),"Unlisted")</f>
        <v>Unlisted</v>
      </c>
      <c r="R1113" s="174" t="str">
        <f>IFERROR(__xludf.DUMMYFUNCTION("""COMPUTED_VALUE"""),"Unlisted")</f>
        <v>Unlisted</v>
      </c>
    </row>
    <row r="1114">
      <c r="A1114" s="255" t="str">
        <f>IFERROR(__xludf.DUMMYFUNCTION("""COMPUTED_VALUE"""),"Oricorio Sensu")</f>
        <v>Oricorio Sensu</v>
      </c>
      <c r="B1114" s="174" t="str">
        <f>IFERROR(__xludf.DUMMYFUNCTION("""COMPUTED_VALUE"""),"Proficient")</f>
        <v>Proficient</v>
      </c>
      <c r="C1114" s="174" t="str">
        <f>IFERROR(__xludf.DUMMYFUNCTION("""COMPUTED_VALUE"""),"Unlisted")</f>
        <v>Unlisted</v>
      </c>
      <c r="D1114" s="174" t="str">
        <f>IFERROR(__xludf.DUMMYFUNCTION("""COMPUTED_VALUE"""),"Unlisted")</f>
        <v>Unlisted</v>
      </c>
      <c r="E1114" s="174" t="str">
        <f>IFERROR(__xludf.DUMMYFUNCTION("""COMPUTED_VALUE"""),"Unlisted")</f>
        <v>Unlisted</v>
      </c>
      <c r="F1114" s="174" t="str">
        <f>IFERROR(__xludf.DUMMYFUNCTION("""COMPUTED_VALUE"""),"Unlisted")</f>
        <v>Unlisted</v>
      </c>
      <c r="G1114" s="174" t="str">
        <f>IFERROR(__xludf.DUMMYFUNCTION("""COMPUTED_VALUE"""),"Proficient")</f>
        <v>Proficient</v>
      </c>
      <c r="H1114" s="174" t="str">
        <f>IFERROR(__xludf.DUMMYFUNCTION("""COMPUTED_VALUE"""),"Unlisted")</f>
        <v>Unlisted</v>
      </c>
      <c r="I1114" s="174" t="str">
        <f>IFERROR(__xludf.DUMMYFUNCTION("""COMPUTED_VALUE"""),"Unlisted")</f>
        <v>Unlisted</v>
      </c>
      <c r="J1114" s="174" t="str">
        <f>IFERROR(__xludf.DUMMYFUNCTION("""COMPUTED_VALUE"""),"Unlisted")</f>
        <v>Unlisted</v>
      </c>
      <c r="K1114" s="174" t="str">
        <f>IFERROR(__xludf.DUMMYFUNCTION("""COMPUTED_VALUE"""),"Unlisted")</f>
        <v>Unlisted</v>
      </c>
      <c r="L1114" s="174" t="str">
        <f>IFERROR(__xludf.DUMMYFUNCTION("""COMPUTED_VALUE"""),"Unlisted")</f>
        <v>Unlisted</v>
      </c>
      <c r="M1114" s="174" t="str">
        <f>IFERROR(__xludf.DUMMYFUNCTION("""COMPUTED_VALUE"""),"Unlisted")</f>
        <v>Unlisted</v>
      </c>
      <c r="N1114" s="174" t="str">
        <f>IFERROR(__xludf.DUMMYFUNCTION("""COMPUTED_VALUE"""),"Unlisted")</f>
        <v>Unlisted</v>
      </c>
      <c r="O1114" s="174" t="str">
        <f>IFERROR(__xludf.DUMMYFUNCTION("""COMPUTED_VALUE"""),"Unlisted")</f>
        <v>Unlisted</v>
      </c>
      <c r="P1114" s="174" t="str">
        <f>IFERROR(__xludf.DUMMYFUNCTION("""COMPUTED_VALUE"""),"Unlisted")</f>
        <v>Unlisted</v>
      </c>
      <c r="Q1114" s="174" t="str">
        <f>IFERROR(__xludf.DUMMYFUNCTION("""COMPUTED_VALUE"""),"Unlisted")</f>
        <v>Unlisted</v>
      </c>
      <c r="R1114" s="174" t="str">
        <f>IFERROR(__xludf.DUMMYFUNCTION("""COMPUTED_VALUE"""),"Unlisted")</f>
        <v>Unlisted</v>
      </c>
    </row>
    <row r="1115">
      <c r="A1115" s="255" t="str">
        <f>IFERROR(__xludf.DUMMYFUNCTION("""COMPUTED_VALUE"""),"Eevee")</f>
        <v>Eevee</v>
      </c>
      <c r="B1115" s="174" t="str">
        <f>IFERROR(__xludf.DUMMYFUNCTION("""COMPUTED_VALUE"""),"Proficient")</f>
        <v>Proficient</v>
      </c>
      <c r="C1115" s="174" t="str">
        <f>IFERROR(__xludf.DUMMYFUNCTION("""COMPUTED_VALUE"""),"Unlisted")</f>
        <v>Unlisted</v>
      </c>
      <c r="D1115" s="174" t="str">
        <f>IFERROR(__xludf.DUMMYFUNCTION("""COMPUTED_VALUE"""),"Proficient")</f>
        <v>Proficient</v>
      </c>
      <c r="E1115" s="174" t="str">
        <f>IFERROR(__xludf.DUMMYFUNCTION("""COMPUTED_VALUE"""),"Unlisted")</f>
        <v>Unlisted</v>
      </c>
      <c r="F1115" s="174" t="str">
        <f>IFERROR(__xludf.DUMMYFUNCTION("""COMPUTED_VALUE"""),"Unlisted")</f>
        <v>Unlisted</v>
      </c>
      <c r="G1115" s="174" t="str">
        <f>IFERROR(__xludf.DUMMYFUNCTION("""COMPUTED_VALUE"""),"Unlisted")</f>
        <v>Unlisted</v>
      </c>
      <c r="H1115" s="174" t="str">
        <f>IFERROR(__xludf.DUMMYFUNCTION("""COMPUTED_VALUE"""),"Unlisted")</f>
        <v>Unlisted</v>
      </c>
      <c r="I1115" s="174" t="str">
        <f>IFERROR(__xludf.DUMMYFUNCTION("""COMPUTED_VALUE"""),"Unlisted")</f>
        <v>Unlisted</v>
      </c>
      <c r="J1115" s="174" t="str">
        <f>IFERROR(__xludf.DUMMYFUNCTION("""COMPUTED_VALUE"""),"Unlisted")</f>
        <v>Unlisted</v>
      </c>
      <c r="K1115" s="174" t="str">
        <f>IFERROR(__xludf.DUMMYFUNCTION("""COMPUTED_VALUE"""),"Proficient")</f>
        <v>Proficient</v>
      </c>
      <c r="L1115" s="174" t="str">
        <f>IFERROR(__xludf.DUMMYFUNCTION("""COMPUTED_VALUE"""),"Unlisted")</f>
        <v>Unlisted</v>
      </c>
      <c r="M1115" s="174" t="str">
        <f>IFERROR(__xludf.DUMMYFUNCTION("""COMPUTED_VALUE"""),"Unlisted")</f>
        <v>Unlisted</v>
      </c>
      <c r="N1115" s="174" t="str">
        <f>IFERROR(__xludf.DUMMYFUNCTION("""COMPUTED_VALUE"""),"Unlisted")</f>
        <v>Unlisted</v>
      </c>
      <c r="O1115" s="174" t="str">
        <f>IFERROR(__xludf.DUMMYFUNCTION("""COMPUTED_VALUE"""),"Unlisted")</f>
        <v>Unlisted</v>
      </c>
      <c r="P1115" s="174" t="str">
        <f>IFERROR(__xludf.DUMMYFUNCTION("""COMPUTED_VALUE"""),"Unlisted")</f>
        <v>Unlisted</v>
      </c>
      <c r="Q1115" s="174" t="str">
        <f>IFERROR(__xludf.DUMMYFUNCTION("""COMPUTED_VALUE"""),"Unlisted")</f>
        <v>Unlisted</v>
      </c>
      <c r="R1115" s="174" t="str">
        <f>IFERROR(__xludf.DUMMYFUNCTION("""COMPUTED_VALUE"""),"Unlisted")</f>
        <v>Unlisted</v>
      </c>
    </row>
    <row r="1116">
      <c r="A1116" s="255" t="str">
        <f>IFERROR(__xludf.DUMMYFUNCTION("""COMPUTED_VALUE"""),"Umbreon")</f>
        <v>Umbreon</v>
      </c>
      <c r="B1116" s="174" t="str">
        <f>IFERROR(__xludf.DUMMYFUNCTION("""COMPUTED_VALUE"""),"Unlisted")</f>
        <v>Unlisted</v>
      </c>
      <c r="C1116" s="174" t="str">
        <f>IFERROR(__xludf.DUMMYFUNCTION("""COMPUTED_VALUE"""),"Unlisted")</f>
        <v>Unlisted</v>
      </c>
      <c r="D1116" s="174" t="str">
        <f>IFERROR(__xludf.DUMMYFUNCTION("""COMPUTED_VALUE"""),"Unlisted")</f>
        <v>Unlisted</v>
      </c>
      <c r="E1116" s="174" t="str">
        <f>IFERROR(__xludf.DUMMYFUNCTION("""COMPUTED_VALUE"""),"Unlisted")</f>
        <v>Unlisted</v>
      </c>
      <c r="F1116" s="174" t="str">
        <f>IFERROR(__xludf.DUMMYFUNCTION("""COMPUTED_VALUE"""),"Unlisted")</f>
        <v>Unlisted</v>
      </c>
      <c r="G1116" s="174" t="str">
        <f>IFERROR(__xludf.DUMMYFUNCTION("""COMPUTED_VALUE"""),"Proficient")</f>
        <v>Proficient</v>
      </c>
      <c r="H1116" s="174" t="str">
        <f>IFERROR(__xludf.DUMMYFUNCTION("""COMPUTED_VALUE"""),"Unlisted")</f>
        <v>Unlisted</v>
      </c>
      <c r="I1116" s="174" t="str">
        <f>IFERROR(__xludf.DUMMYFUNCTION("""COMPUTED_VALUE"""),"Unlisted")</f>
        <v>Unlisted</v>
      </c>
      <c r="J1116" s="174" t="str">
        <f>IFERROR(__xludf.DUMMYFUNCTION("""COMPUTED_VALUE"""),"Proficient")</f>
        <v>Proficient</v>
      </c>
      <c r="K1116" s="174" t="str">
        <f>IFERROR(__xludf.DUMMYFUNCTION("""COMPUTED_VALUE"""),"Unlisted")</f>
        <v>Unlisted</v>
      </c>
      <c r="L1116" s="174" t="str">
        <f>IFERROR(__xludf.DUMMYFUNCTION("""COMPUTED_VALUE"""),"Mastered")</f>
        <v>Mastered</v>
      </c>
      <c r="M1116" s="174" t="str">
        <f>IFERROR(__xludf.DUMMYFUNCTION("""COMPUTED_VALUE"""),"Unlisted")</f>
        <v>Unlisted</v>
      </c>
      <c r="N1116" s="174" t="str">
        <f>IFERROR(__xludf.DUMMYFUNCTION("""COMPUTED_VALUE"""),"Unlisted")</f>
        <v>Unlisted</v>
      </c>
      <c r="O1116" s="174" t="str">
        <f>IFERROR(__xludf.DUMMYFUNCTION("""COMPUTED_VALUE"""),"Unlisted")</f>
        <v>Unlisted</v>
      </c>
      <c r="P1116" s="174" t="str">
        <f>IFERROR(__xludf.DUMMYFUNCTION("""COMPUTED_VALUE"""),"Unlisted")</f>
        <v>Unlisted</v>
      </c>
      <c r="Q1116" s="174" t="str">
        <f>IFERROR(__xludf.DUMMYFUNCTION("""COMPUTED_VALUE"""),"Unlisted")</f>
        <v>Unlisted</v>
      </c>
      <c r="R1116" s="174" t="str">
        <f>IFERROR(__xludf.DUMMYFUNCTION("""COMPUTED_VALUE"""),"Unlisted")</f>
        <v>Unlisted</v>
      </c>
    </row>
    <row r="1117">
      <c r="A1117" s="255" t="str">
        <f>IFERROR(__xludf.DUMMYFUNCTION("""COMPUTED_VALUE"""),"Jolteon")</f>
        <v>Jolteon</v>
      </c>
      <c r="B1117" s="174" t="str">
        <f>IFERROR(__xludf.DUMMYFUNCTION("""COMPUTED_VALUE"""),"Mastered")</f>
        <v>Mastered</v>
      </c>
      <c r="C1117" s="174" t="str">
        <f>IFERROR(__xludf.DUMMYFUNCTION("""COMPUTED_VALUE"""),"Proficient")</f>
        <v>Proficient</v>
      </c>
      <c r="D1117" s="174" t="str">
        <f>IFERROR(__xludf.DUMMYFUNCTION("""COMPUTED_VALUE"""),"Unlisted")</f>
        <v>Unlisted</v>
      </c>
      <c r="E1117" s="174" t="str">
        <f>IFERROR(__xludf.DUMMYFUNCTION("""COMPUTED_VALUE"""),"Unlisted")</f>
        <v>Unlisted</v>
      </c>
      <c r="F1117" s="174" t="str">
        <f>IFERROR(__xludf.DUMMYFUNCTION("""COMPUTED_VALUE"""),"Unlisted")</f>
        <v>Unlisted</v>
      </c>
      <c r="G1117" s="174" t="str">
        <f>IFERROR(__xludf.DUMMYFUNCTION("""COMPUTED_VALUE"""),"Unlisted")</f>
        <v>Unlisted</v>
      </c>
      <c r="H1117" s="174" t="str">
        <f>IFERROR(__xludf.DUMMYFUNCTION("""COMPUTED_VALUE"""),"Unlisted")</f>
        <v>Unlisted</v>
      </c>
      <c r="I1117" s="174" t="str">
        <f>IFERROR(__xludf.DUMMYFUNCTION("""COMPUTED_VALUE"""),"Unlisted")</f>
        <v>Unlisted</v>
      </c>
      <c r="J1117" s="174" t="str">
        <f>IFERROR(__xludf.DUMMYFUNCTION("""COMPUTED_VALUE"""),"Unlisted")</f>
        <v>Unlisted</v>
      </c>
      <c r="K1117" s="174" t="str">
        <f>IFERROR(__xludf.DUMMYFUNCTION("""COMPUTED_VALUE"""),"Unlisted")</f>
        <v>Unlisted</v>
      </c>
      <c r="L1117" s="174" t="str">
        <f>IFERROR(__xludf.DUMMYFUNCTION("""COMPUTED_VALUE"""),"Proficient")</f>
        <v>Proficient</v>
      </c>
      <c r="M1117" s="174" t="str">
        <f>IFERROR(__xludf.DUMMYFUNCTION("""COMPUTED_VALUE"""),"Unlisted")</f>
        <v>Unlisted</v>
      </c>
      <c r="N1117" s="174" t="str">
        <f>IFERROR(__xludf.DUMMYFUNCTION("""COMPUTED_VALUE"""),"Unlisted")</f>
        <v>Unlisted</v>
      </c>
      <c r="O1117" s="174" t="str">
        <f>IFERROR(__xludf.DUMMYFUNCTION("""COMPUTED_VALUE"""),"Unlisted")</f>
        <v>Unlisted</v>
      </c>
      <c r="P1117" s="174" t="str">
        <f>IFERROR(__xludf.DUMMYFUNCTION("""COMPUTED_VALUE"""),"Unlisted")</f>
        <v>Unlisted</v>
      </c>
      <c r="Q1117" s="174" t="str">
        <f>IFERROR(__xludf.DUMMYFUNCTION("""COMPUTED_VALUE"""),"Unlisted")</f>
        <v>Unlisted</v>
      </c>
      <c r="R1117" s="174" t="str">
        <f>IFERROR(__xludf.DUMMYFUNCTION("""COMPUTED_VALUE"""),"Unlisted")</f>
        <v>Unlisted</v>
      </c>
    </row>
    <row r="1118">
      <c r="A1118" s="255" t="str">
        <f>IFERROR(__xludf.DUMMYFUNCTION("""COMPUTED_VALUE"""),"Sylveon")</f>
        <v>Sylveon</v>
      </c>
      <c r="B1118" s="174" t="str">
        <f>IFERROR(__xludf.DUMMYFUNCTION("""COMPUTED_VALUE"""),"Unlisted")</f>
        <v>Unlisted</v>
      </c>
      <c r="C1118" s="174" t="str">
        <f>IFERROR(__xludf.DUMMYFUNCTION("""COMPUTED_VALUE"""),"Unlisted")</f>
        <v>Unlisted</v>
      </c>
      <c r="D1118" s="174" t="str">
        <f>IFERROR(__xludf.DUMMYFUNCTION("""COMPUTED_VALUE"""),"Proficient")</f>
        <v>Proficient</v>
      </c>
      <c r="E1118" s="174" t="str">
        <f>IFERROR(__xludf.DUMMYFUNCTION("""COMPUTED_VALUE"""),"Unlisted")</f>
        <v>Unlisted</v>
      </c>
      <c r="F1118" s="174" t="str">
        <f>IFERROR(__xludf.DUMMYFUNCTION("""COMPUTED_VALUE"""),"Unlisted")</f>
        <v>Unlisted</v>
      </c>
      <c r="G1118" s="174" t="str">
        <f>IFERROR(__xludf.DUMMYFUNCTION("""COMPUTED_VALUE"""),"Proficient")</f>
        <v>Proficient</v>
      </c>
      <c r="H1118" s="174" t="str">
        <f>IFERROR(__xludf.DUMMYFUNCTION("""COMPUTED_VALUE"""),"Unlisted")</f>
        <v>Unlisted</v>
      </c>
      <c r="I1118" s="174" t="str">
        <f>IFERROR(__xludf.DUMMYFUNCTION("""COMPUTED_VALUE"""),"Unlisted")</f>
        <v>Unlisted</v>
      </c>
      <c r="J1118" s="174" t="str">
        <f>IFERROR(__xludf.DUMMYFUNCTION("""COMPUTED_VALUE"""),"Unlisted")</f>
        <v>Unlisted</v>
      </c>
      <c r="K1118" s="174" t="str">
        <f>IFERROR(__xludf.DUMMYFUNCTION("""COMPUTED_VALUE"""),"Proficient")</f>
        <v>Proficient</v>
      </c>
      <c r="L1118" s="174" t="str">
        <f>IFERROR(__xludf.DUMMYFUNCTION("""COMPUTED_VALUE"""),"Unlisted")</f>
        <v>Unlisted</v>
      </c>
      <c r="M1118" s="174" t="str">
        <f>IFERROR(__xludf.DUMMYFUNCTION("""COMPUTED_VALUE"""),"Unlisted")</f>
        <v>Unlisted</v>
      </c>
      <c r="N1118" s="174" t="str">
        <f>IFERROR(__xludf.DUMMYFUNCTION("""COMPUTED_VALUE"""),"Unlisted")</f>
        <v>Unlisted</v>
      </c>
      <c r="O1118" s="174" t="str">
        <f>IFERROR(__xludf.DUMMYFUNCTION("""COMPUTED_VALUE"""),"Unlisted")</f>
        <v>Unlisted</v>
      </c>
      <c r="P1118" s="174" t="str">
        <f>IFERROR(__xludf.DUMMYFUNCTION("""COMPUTED_VALUE"""),"Unlisted")</f>
        <v>Unlisted</v>
      </c>
      <c r="Q1118" s="174" t="str">
        <f>IFERROR(__xludf.DUMMYFUNCTION("""COMPUTED_VALUE"""),"Unlisted")</f>
        <v>Unlisted</v>
      </c>
      <c r="R1118" s="174" t="str">
        <f>IFERROR(__xludf.DUMMYFUNCTION("""COMPUTED_VALUE"""),"Unlisted")</f>
        <v>Unlisted</v>
      </c>
    </row>
    <row r="1119">
      <c r="A1119" s="255" t="str">
        <f>IFERROR(__xludf.DUMMYFUNCTION("""COMPUTED_VALUE"""),"Flareon")</f>
        <v>Flareon</v>
      </c>
      <c r="B1119" s="174" t="str">
        <f>IFERROR(__xludf.DUMMYFUNCTION("""COMPUTED_VALUE"""),"Proficient")</f>
        <v>Proficient</v>
      </c>
      <c r="C1119" s="174" t="str">
        <f>IFERROR(__xludf.DUMMYFUNCTION("""COMPUTED_VALUE"""),"Proficient")</f>
        <v>Proficient</v>
      </c>
      <c r="D1119" s="174" t="str">
        <f>IFERROR(__xludf.DUMMYFUNCTION("""COMPUTED_VALUE"""),"Unlisted")</f>
        <v>Unlisted</v>
      </c>
      <c r="E1119" s="174" t="str">
        <f>IFERROR(__xludf.DUMMYFUNCTION("""COMPUTED_VALUE"""),"Proficient")</f>
        <v>Proficient</v>
      </c>
      <c r="F1119" s="174" t="str">
        <f>IFERROR(__xludf.DUMMYFUNCTION("""COMPUTED_VALUE"""),"Unlisted")</f>
        <v>Unlisted</v>
      </c>
      <c r="G1119" s="174" t="str">
        <f>IFERROR(__xludf.DUMMYFUNCTION("""COMPUTED_VALUE"""),"Unlisted")</f>
        <v>Unlisted</v>
      </c>
      <c r="H1119" s="174" t="str">
        <f>IFERROR(__xludf.DUMMYFUNCTION("""COMPUTED_VALUE"""),"Unlisted")</f>
        <v>Unlisted</v>
      </c>
      <c r="I1119" s="174" t="str">
        <f>IFERROR(__xludf.DUMMYFUNCTION("""COMPUTED_VALUE"""),"Unlisted")</f>
        <v>Unlisted</v>
      </c>
      <c r="J1119" s="174" t="str">
        <f>IFERROR(__xludf.DUMMYFUNCTION("""COMPUTED_VALUE"""),"Unlisted")</f>
        <v>Unlisted</v>
      </c>
      <c r="K1119" s="174" t="str">
        <f>IFERROR(__xludf.DUMMYFUNCTION("""COMPUTED_VALUE"""),"Unlisted")</f>
        <v>Unlisted</v>
      </c>
      <c r="L1119" s="174" t="str">
        <f>IFERROR(__xludf.DUMMYFUNCTION("""COMPUTED_VALUE"""),"Unlisted")</f>
        <v>Unlisted</v>
      </c>
      <c r="M1119" s="174" t="str">
        <f>IFERROR(__xludf.DUMMYFUNCTION("""COMPUTED_VALUE"""),"Unlisted")</f>
        <v>Unlisted</v>
      </c>
      <c r="N1119" s="174" t="str">
        <f>IFERROR(__xludf.DUMMYFUNCTION("""COMPUTED_VALUE"""),"Unlisted")</f>
        <v>Unlisted</v>
      </c>
      <c r="O1119" s="174" t="str">
        <f>IFERROR(__xludf.DUMMYFUNCTION("""COMPUTED_VALUE"""),"Unlisted")</f>
        <v>Unlisted</v>
      </c>
      <c r="P1119" s="174" t="str">
        <f>IFERROR(__xludf.DUMMYFUNCTION("""COMPUTED_VALUE"""),"Unlisted")</f>
        <v>Unlisted</v>
      </c>
      <c r="Q1119" s="174" t="str">
        <f>IFERROR(__xludf.DUMMYFUNCTION("""COMPUTED_VALUE"""),"Unlisted")</f>
        <v>Unlisted</v>
      </c>
      <c r="R1119" s="174" t="str">
        <f>IFERROR(__xludf.DUMMYFUNCTION("""COMPUTED_VALUE"""),"Unlisted")</f>
        <v>Unlisted</v>
      </c>
    </row>
    <row r="1120">
      <c r="A1120" s="255" t="str">
        <f>IFERROR(__xludf.DUMMYFUNCTION("""COMPUTED_VALUE"""),"Leafeon")</f>
        <v>Leafeon</v>
      </c>
      <c r="B1120" s="174" t="str">
        <f>IFERROR(__xludf.DUMMYFUNCTION("""COMPUTED_VALUE"""),"Unlisted")</f>
        <v>Unlisted</v>
      </c>
      <c r="C1120" s="174" t="str">
        <f>IFERROR(__xludf.DUMMYFUNCTION("""COMPUTED_VALUE"""),"Proficient")</f>
        <v>Proficient</v>
      </c>
      <c r="D1120" s="174" t="str">
        <f>IFERROR(__xludf.DUMMYFUNCTION("""COMPUTED_VALUE"""),"Unlisted")</f>
        <v>Unlisted</v>
      </c>
      <c r="E1120" s="174" t="str">
        <f>IFERROR(__xludf.DUMMYFUNCTION("""COMPUTED_VALUE"""),"Unlisted")</f>
        <v>Unlisted</v>
      </c>
      <c r="F1120" s="174" t="str">
        <f>IFERROR(__xludf.DUMMYFUNCTION("""COMPUTED_VALUE"""),"Unlisted")</f>
        <v>Unlisted</v>
      </c>
      <c r="G1120" s="174" t="str">
        <f>IFERROR(__xludf.DUMMYFUNCTION("""COMPUTED_VALUE"""),"Proficient")</f>
        <v>Proficient</v>
      </c>
      <c r="H1120" s="174" t="str">
        <f>IFERROR(__xludf.DUMMYFUNCTION("""COMPUTED_VALUE"""),"Unlisted")</f>
        <v>Unlisted</v>
      </c>
      <c r="I1120" s="174" t="str">
        <f>IFERROR(__xludf.DUMMYFUNCTION("""COMPUTED_VALUE"""),"Unlisted")</f>
        <v>Unlisted</v>
      </c>
      <c r="J1120" s="174" t="str">
        <f>IFERROR(__xludf.DUMMYFUNCTION("""COMPUTED_VALUE"""),"Unlisted")</f>
        <v>Unlisted</v>
      </c>
      <c r="K1120" s="174" t="str">
        <f>IFERROR(__xludf.DUMMYFUNCTION("""COMPUTED_VALUE"""),"Unlisted")</f>
        <v>Unlisted</v>
      </c>
      <c r="L1120" s="174" t="str">
        <f>IFERROR(__xludf.DUMMYFUNCTION("""COMPUTED_VALUE"""),"Proficient")</f>
        <v>Proficient</v>
      </c>
      <c r="M1120" s="174" t="str">
        <f>IFERROR(__xludf.DUMMYFUNCTION("""COMPUTED_VALUE"""),"Unlisted")</f>
        <v>Unlisted</v>
      </c>
      <c r="N1120" s="174" t="str">
        <f>IFERROR(__xludf.DUMMYFUNCTION("""COMPUTED_VALUE"""),"Unlisted")</f>
        <v>Unlisted</v>
      </c>
      <c r="O1120" s="174" t="str">
        <f>IFERROR(__xludf.DUMMYFUNCTION("""COMPUTED_VALUE"""),"Unlisted")</f>
        <v>Unlisted</v>
      </c>
      <c r="P1120" s="174" t="str">
        <f>IFERROR(__xludf.DUMMYFUNCTION("""COMPUTED_VALUE"""),"Unlisted")</f>
        <v>Unlisted</v>
      </c>
      <c r="Q1120" s="174" t="str">
        <f>IFERROR(__xludf.DUMMYFUNCTION("""COMPUTED_VALUE"""),"Unlisted")</f>
        <v>Unlisted</v>
      </c>
      <c r="R1120" s="174" t="str">
        <f>IFERROR(__xludf.DUMMYFUNCTION("""COMPUTED_VALUE"""),"Unlisted")</f>
        <v>Unlisted</v>
      </c>
    </row>
    <row r="1121">
      <c r="A1121" s="255" t="str">
        <f>IFERROR(__xludf.DUMMYFUNCTION("""COMPUTED_VALUE"""),"Glaceon")</f>
        <v>Glaceon</v>
      </c>
      <c r="B1121" s="174" t="str">
        <f>IFERROR(__xludf.DUMMYFUNCTION("""COMPUTED_VALUE"""),"Proficient")</f>
        <v>Proficient</v>
      </c>
      <c r="C1121" s="174" t="str">
        <f>IFERROR(__xludf.DUMMYFUNCTION("""COMPUTED_VALUE"""),"Unlisted")</f>
        <v>Unlisted</v>
      </c>
      <c r="D1121" s="174" t="str">
        <f>IFERROR(__xludf.DUMMYFUNCTION("""COMPUTED_VALUE"""),"Unlisted")</f>
        <v>Unlisted</v>
      </c>
      <c r="E1121" s="174" t="str">
        <f>IFERROR(__xludf.DUMMYFUNCTION("""COMPUTED_VALUE"""),"Unlisted")</f>
        <v>Unlisted</v>
      </c>
      <c r="F1121" s="174" t="str">
        <f>IFERROR(__xludf.DUMMYFUNCTION("""COMPUTED_VALUE"""),"Unlisted")</f>
        <v>Unlisted</v>
      </c>
      <c r="G1121" s="174" t="str">
        <f>IFERROR(__xludf.DUMMYFUNCTION("""COMPUTED_VALUE"""),"Proficient")</f>
        <v>Proficient</v>
      </c>
      <c r="H1121" s="174" t="str">
        <f>IFERROR(__xludf.DUMMYFUNCTION("""COMPUTED_VALUE"""),"Unlisted")</f>
        <v>Unlisted</v>
      </c>
      <c r="I1121" s="174" t="str">
        <f>IFERROR(__xludf.DUMMYFUNCTION("""COMPUTED_VALUE"""),"Unlisted")</f>
        <v>Unlisted</v>
      </c>
      <c r="J1121" s="174" t="str">
        <f>IFERROR(__xludf.DUMMYFUNCTION("""COMPUTED_VALUE"""),"Unlisted")</f>
        <v>Unlisted</v>
      </c>
      <c r="K1121" s="174" t="str">
        <f>IFERROR(__xludf.DUMMYFUNCTION("""COMPUTED_VALUE"""),"Proficient")</f>
        <v>Proficient</v>
      </c>
      <c r="L1121" s="174" t="str">
        <f>IFERROR(__xludf.DUMMYFUNCTION("""COMPUTED_VALUE"""),"Unlisted")</f>
        <v>Unlisted</v>
      </c>
      <c r="M1121" s="174" t="str">
        <f>IFERROR(__xludf.DUMMYFUNCTION("""COMPUTED_VALUE"""),"Unlisted")</f>
        <v>Unlisted</v>
      </c>
      <c r="N1121" s="174" t="str">
        <f>IFERROR(__xludf.DUMMYFUNCTION("""COMPUTED_VALUE"""),"Unlisted")</f>
        <v>Unlisted</v>
      </c>
      <c r="O1121" s="174" t="str">
        <f>IFERROR(__xludf.DUMMYFUNCTION("""COMPUTED_VALUE"""),"Unlisted")</f>
        <v>Unlisted</v>
      </c>
      <c r="P1121" s="174" t="str">
        <f>IFERROR(__xludf.DUMMYFUNCTION("""COMPUTED_VALUE"""),"Unlisted")</f>
        <v>Unlisted</v>
      </c>
      <c r="Q1121" s="174" t="str">
        <f>IFERROR(__xludf.DUMMYFUNCTION("""COMPUTED_VALUE"""),"Unlisted")</f>
        <v>Unlisted</v>
      </c>
      <c r="R1121" s="174" t="str">
        <f>IFERROR(__xludf.DUMMYFUNCTION("""COMPUTED_VALUE"""),"Unlisted")</f>
        <v>Unlisted</v>
      </c>
    </row>
    <row r="1122">
      <c r="A1122" s="255" t="str">
        <f>IFERROR(__xludf.DUMMYFUNCTION("""COMPUTED_VALUE"""),"Espeon")</f>
        <v>Espeon</v>
      </c>
      <c r="B1122" s="174" t="str">
        <f>IFERROR(__xludf.DUMMYFUNCTION("""COMPUTED_VALUE"""),"Proficient")</f>
        <v>Proficient</v>
      </c>
      <c r="C1122" s="174" t="str">
        <f>IFERROR(__xludf.DUMMYFUNCTION("""COMPUTED_VALUE"""),"Unlisted")</f>
        <v>Unlisted</v>
      </c>
      <c r="D1122" s="174" t="str">
        <f>IFERROR(__xludf.DUMMYFUNCTION("""COMPUTED_VALUE"""),"Unlisted")</f>
        <v>Unlisted</v>
      </c>
      <c r="E1122" s="174" t="str">
        <f>IFERROR(__xludf.DUMMYFUNCTION("""COMPUTED_VALUE"""),"Unlisted")</f>
        <v>Unlisted</v>
      </c>
      <c r="F1122" s="174" t="str">
        <f>IFERROR(__xludf.DUMMYFUNCTION("""COMPUTED_VALUE"""),"Unlisted")</f>
        <v>Unlisted</v>
      </c>
      <c r="G1122" s="174" t="str">
        <f>IFERROR(__xludf.DUMMYFUNCTION("""COMPUTED_VALUE"""),"Mastered")</f>
        <v>Mastered</v>
      </c>
      <c r="H1122" s="174" t="str">
        <f>IFERROR(__xludf.DUMMYFUNCTION("""COMPUTED_VALUE"""),"Unlisted")</f>
        <v>Unlisted</v>
      </c>
      <c r="I1122" s="174" t="str">
        <f>IFERROR(__xludf.DUMMYFUNCTION("""COMPUTED_VALUE"""),"Unlisted")</f>
        <v>Unlisted</v>
      </c>
      <c r="J1122" s="174" t="str">
        <f>IFERROR(__xludf.DUMMYFUNCTION("""COMPUTED_VALUE"""),"Proficient")</f>
        <v>Proficient</v>
      </c>
      <c r="K1122" s="174" t="str">
        <f>IFERROR(__xludf.DUMMYFUNCTION("""COMPUTED_VALUE"""),"Proficient")</f>
        <v>Proficient</v>
      </c>
      <c r="L1122" s="174" t="str">
        <f>IFERROR(__xludf.DUMMYFUNCTION("""COMPUTED_VALUE"""),"Unlisted")</f>
        <v>Unlisted</v>
      </c>
      <c r="M1122" s="174" t="str">
        <f>IFERROR(__xludf.DUMMYFUNCTION("""COMPUTED_VALUE"""),"Unlisted")</f>
        <v>Unlisted</v>
      </c>
      <c r="N1122" s="174" t="str">
        <f>IFERROR(__xludf.DUMMYFUNCTION("""COMPUTED_VALUE"""),"Unlisted")</f>
        <v>Unlisted</v>
      </c>
      <c r="O1122" s="174" t="str">
        <f>IFERROR(__xludf.DUMMYFUNCTION("""COMPUTED_VALUE"""),"Unlisted")</f>
        <v>Unlisted</v>
      </c>
      <c r="P1122" s="174" t="str">
        <f>IFERROR(__xludf.DUMMYFUNCTION("""COMPUTED_VALUE"""),"Unlisted")</f>
        <v>Unlisted</v>
      </c>
      <c r="Q1122" s="174" t="str">
        <f>IFERROR(__xludf.DUMMYFUNCTION("""COMPUTED_VALUE"""),"Unlisted")</f>
        <v>Unlisted</v>
      </c>
      <c r="R1122" s="174" t="str">
        <f>IFERROR(__xludf.DUMMYFUNCTION("""COMPUTED_VALUE"""),"Unlisted")</f>
        <v>Unlisted</v>
      </c>
    </row>
    <row r="1123">
      <c r="A1123" s="255" t="str">
        <f>IFERROR(__xludf.DUMMYFUNCTION("""COMPUTED_VALUE"""),"Vaporeon")</f>
        <v>Vaporeon</v>
      </c>
      <c r="B1123" s="174" t="str">
        <f>IFERROR(__xludf.DUMMYFUNCTION("""COMPUTED_VALUE"""),"Proficient")</f>
        <v>Proficient</v>
      </c>
      <c r="C1123" s="174" t="str">
        <f>IFERROR(__xludf.DUMMYFUNCTION("""COMPUTED_VALUE"""),"Unlisted")</f>
        <v>Unlisted</v>
      </c>
      <c r="D1123" s="174" t="str">
        <f>IFERROR(__xludf.DUMMYFUNCTION("""COMPUTED_VALUE"""),"Unlisted")</f>
        <v>Unlisted</v>
      </c>
      <c r="E1123" s="174" t="str">
        <f>IFERROR(__xludf.DUMMYFUNCTION("""COMPUTED_VALUE"""),"Unlisted")</f>
        <v>Unlisted</v>
      </c>
      <c r="F1123" s="174" t="str">
        <f>IFERROR(__xludf.DUMMYFUNCTION("""COMPUTED_VALUE"""),"Unlisted")</f>
        <v>Unlisted</v>
      </c>
      <c r="G1123" s="174" t="str">
        <f>IFERROR(__xludf.DUMMYFUNCTION("""COMPUTED_VALUE"""),"Unlisted")</f>
        <v>Unlisted</v>
      </c>
      <c r="H1123" s="174" t="str">
        <f>IFERROR(__xludf.DUMMYFUNCTION("""COMPUTED_VALUE"""),"Unlisted")</f>
        <v>Unlisted</v>
      </c>
      <c r="I1123" s="174" t="str">
        <f>IFERROR(__xludf.DUMMYFUNCTION("""COMPUTED_VALUE"""),"Unlisted")</f>
        <v>Unlisted</v>
      </c>
      <c r="J1123" s="174" t="str">
        <f>IFERROR(__xludf.DUMMYFUNCTION("""COMPUTED_VALUE"""),"Proficient")</f>
        <v>Proficient</v>
      </c>
      <c r="K1123" s="174" t="str">
        <f>IFERROR(__xludf.DUMMYFUNCTION("""COMPUTED_VALUE"""),"Unlisted")</f>
        <v>Unlisted</v>
      </c>
      <c r="L1123" s="174" t="str">
        <f>IFERROR(__xludf.DUMMYFUNCTION("""COMPUTED_VALUE"""),"Proficient")</f>
        <v>Proficient</v>
      </c>
      <c r="M1123" s="174" t="str">
        <f>IFERROR(__xludf.DUMMYFUNCTION("""COMPUTED_VALUE"""),"Unlisted")</f>
        <v>Unlisted</v>
      </c>
      <c r="N1123" s="174" t="str">
        <f>IFERROR(__xludf.DUMMYFUNCTION("""COMPUTED_VALUE"""),"Unlisted")</f>
        <v>Unlisted</v>
      </c>
      <c r="O1123" s="174" t="str">
        <f>IFERROR(__xludf.DUMMYFUNCTION("""COMPUTED_VALUE"""),"Unlisted")</f>
        <v>Unlisted</v>
      </c>
      <c r="P1123" s="174" t="str">
        <f>IFERROR(__xludf.DUMMYFUNCTION("""COMPUTED_VALUE"""),"Unlisted")</f>
        <v>Unlisted</v>
      </c>
      <c r="Q1123" s="174" t="str">
        <f>IFERROR(__xludf.DUMMYFUNCTION("""COMPUTED_VALUE"""),"Unlisted")</f>
        <v>Unlisted</v>
      </c>
      <c r="R1123" s="174" t="str">
        <f>IFERROR(__xludf.DUMMYFUNCTION("""COMPUTED_VALUE"""),"Unlisted")</f>
        <v>Unlisted</v>
      </c>
    </row>
    <row r="1124">
      <c r="A1124" s="255" t="str">
        <f>IFERROR(__xludf.DUMMYFUNCTION("""COMPUTED_VALUE"""),"Alolan Rattata")</f>
        <v>Alolan Rattata</v>
      </c>
      <c r="B1124" s="174" t="str">
        <f>IFERROR(__xludf.DUMMYFUNCTION("""COMPUTED_VALUE"""),"Unlisted")</f>
        <v>Unlisted</v>
      </c>
      <c r="C1124" s="174" t="str">
        <f>IFERROR(__xludf.DUMMYFUNCTION("""COMPUTED_VALUE"""),"Inept")</f>
        <v>Inept</v>
      </c>
      <c r="D1124" s="174" t="str">
        <f>IFERROR(__xludf.DUMMYFUNCTION("""COMPUTED_VALUE"""),"Unlisted")</f>
        <v>Unlisted</v>
      </c>
      <c r="E1124" s="174" t="str">
        <f>IFERROR(__xludf.DUMMYFUNCTION("""COMPUTED_VALUE"""),"Unlisted")</f>
        <v>Unlisted</v>
      </c>
      <c r="F1124" s="174" t="str">
        <f>IFERROR(__xludf.DUMMYFUNCTION("""COMPUTED_VALUE"""),"Unlisted")</f>
        <v>Unlisted</v>
      </c>
      <c r="G1124" s="174" t="str">
        <f>IFERROR(__xludf.DUMMYFUNCTION("""COMPUTED_VALUE"""),"Proficient")</f>
        <v>Proficient</v>
      </c>
      <c r="H1124" s="174" t="str">
        <f>IFERROR(__xludf.DUMMYFUNCTION("""COMPUTED_VALUE"""),"Unlisted")</f>
        <v>Unlisted</v>
      </c>
      <c r="I1124" s="174" t="str">
        <f>IFERROR(__xludf.DUMMYFUNCTION("""COMPUTED_VALUE"""),"Unlisted")</f>
        <v>Unlisted</v>
      </c>
      <c r="J1124" s="174" t="str">
        <f>IFERROR(__xludf.DUMMYFUNCTION("""COMPUTED_VALUE"""),"Unlisted")</f>
        <v>Unlisted</v>
      </c>
      <c r="K1124" s="174" t="str">
        <f>IFERROR(__xludf.DUMMYFUNCTION("""COMPUTED_VALUE"""),"Proficient")</f>
        <v>Proficient</v>
      </c>
      <c r="L1124" s="174" t="str">
        <f>IFERROR(__xludf.DUMMYFUNCTION("""COMPUTED_VALUE"""),"Proficient")</f>
        <v>Proficient</v>
      </c>
      <c r="M1124" s="174" t="str">
        <f>IFERROR(__xludf.DUMMYFUNCTION("""COMPUTED_VALUE"""),"Unlisted")</f>
        <v>Unlisted</v>
      </c>
      <c r="N1124" s="174" t="str">
        <f>IFERROR(__xludf.DUMMYFUNCTION("""COMPUTED_VALUE"""),"Unlisted")</f>
        <v>Unlisted</v>
      </c>
      <c r="O1124" s="174" t="str">
        <f>IFERROR(__xludf.DUMMYFUNCTION("""COMPUTED_VALUE"""),"Unlisted")</f>
        <v>Unlisted</v>
      </c>
      <c r="P1124" s="174" t="str">
        <f>IFERROR(__xludf.DUMMYFUNCTION("""COMPUTED_VALUE"""),"Unlisted")</f>
        <v>Unlisted</v>
      </c>
      <c r="Q1124" s="174" t="str">
        <f>IFERROR(__xludf.DUMMYFUNCTION("""COMPUTED_VALUE"""),"Unlisted")</f>
        <v>Unlisted</v>
      </c>
      <c r="R1124" s="174" t="str">
        <f>IFERROR(__xludf.DUMMYFUNCTION("""COMPUTED_VALUE"""),"Unlisted")</f>
        <v>Unlisted</v>
      </c>
    </row>
    <row r="1125">
      <c r="A1125" s="255" t="str">
        <f>IFERROR(__xludf.DUMMYFUNCTION("""COMPUTED_VALUE"""),"Alolan Raticate")</f>
        <v>Alolan Raticate</v>
      </c>
      <c r="B1125" s="174" t="str">
        <f>IFERROR(__xludf.DUMMYFUNCTION("""COMPUTED_VALUE"""),"Unlisted")</f>
        <v>Unlisted</v>
      </c>
      <c r="C1125" s="174" t="str">
        <f>IFERROR(__xludf.DUMMYFUNCTION("""COMPUTED_VALUE"""),"Unlisted")</f>
        <v>Unlisted</v>
      </c>
      <c r="D1125" s="174" t="str">
        <f>IFERROR(__xludf.DUMMYFUNCTION("""COMPUTED_VALUE"""),"Unlisted")</f>
        <v>Unlisted</v>
      </c>
      <c r="E1125" s="174" t="str">
        <f>IFERROR(__xludf.DUMMYFUNCTION("""COMPUTED_VALUE"""),"Unlisted")</f>
        <v>Unlisted</v>
      </c>
      <c r="F1125" s="174" t="str">
        <f>IFERROR(__xludf.DUMMYFUNCTION("""COMPUTED_VALUE"""),"Unlisted")</f>
        <v>Unlisted</v>
      </c>
      <c r="G1125" s="174" t="str">
        <f>IFERROR(__xludf.DUMMYFUNCTION("""COMPUTED_VALUE"""),"Proficient")</f>
        <v>Proficient</v>
      </c>
      <c r="H1125" s="174" t="str">
        <f>IFERROR(__xludf.DUMMYFUNCTION("""COMPUTED_VALUE"""),"Unlisted")</f>
        <v>Unlisted</v>
      </c>
      <c r="I1125" s="174" t="str">
        <f>IFERROR(__xludf.DUMMYFUNCTION("""COMPUTED_VALUE"""),"Unlisted")</f>
        <v>Unlisted</v>
      </c>
      <c r="J1125" s="174" t="str">
        <f>IFERROR(__xludf.DUMMYFUNCTION("""COMPUTED_VALUE"""),"Unlisted")</f>
        <v>Unlisted</v>
      </c>
      <c r="K1125" s="174" t="str">
        <f>IFERROR(__xludf.DUMMYFUNCTION("""COMPUTED_VALUE"""),"Proficient")</f>
        <v>Proficient</v>
      </c>
      <c r="L1125" s="174" t="str">
        <f>IFERROR(__xludf.DUMMYFUNCTION("""COMPUTED_VALUE"""),"Mastered")</f>
        <v>Mastered</v>
      </c>
      <c r="M1125" s="174" t="str">
        <f>IFERROR(__xludf.DUMMYFUNCTION("""COMPUTED_VALUE"""),"Unlisted")</f>
        <v>Unlisted</v>
      </c>
      <c r="N1125" s="174" t="str">
        <f>IFERROR(__xludf.DUMMYFUNCTION("""COMPUTED_VALUE"""),"Unlisted")</f>
        <v>Unlisted</v>
      </c>
      <c r="O1125" s="174" t="str">
        <f>IFERROR(__xludf.DUMMYFUNCTION("""COMPUTED_VALUE"""),"Unlisted")</f>
        <v>Unlisted</v>
      </c>
      <c r="P1125" s="174" t="str">
        <f>IFERROR(__xludf.DUMMYFUNCTION("""COMPUTED_VALUE"""),"Unlisted")</f>
        <v>Unlisted</v>
      </c>
      <c r="Q1125" s="174" t="str">
        <f>IFERROR(__xludf.DUMMYFUNCTION("""COMPUTED_VALUE"""),"Unlisted")</f>
        <v>Unlisted</v>
      </c>
      <c r="R1125" s="174" t="str">
        <f>IFERROR(__xludf.DUMMYFUNCTION("""COMPUTED_VALUE"""),"Unlisted")</f>
        <v>Unlisted</v>
      </c>
    </row>
    <row r="1126">
      <c r="A1126" s="255" t="str">
        <f>IFERROR(__xludf.DUMMYFUNCTION("""COMPUTED_VALUE"""),"Alolan Meowth")</f>
        <v>Alolan Meowth</v>
      </c>
      <c r="B1126" s="174" t="str">
        <f>IFERROR(__xludf.DUMMYFUNCTION("""COMPUTED_VALUE"""),"Proficient")</f>
        <v>Proficient</v>
      </c>
      <c r="C1126" s="174" t="str">
        <f>IFERROR(__xludf.DUMMYFUNCTION("""COMPUTED_VALUE"""),"Inept")</f>
        <v>Inept</v>
      </c>
      <c r="D1126" s="174" t="str">
        <f>IFERROR(__xludf.DUMMYFUNCTION("""COMPUTED_VALUE"""),"Unlisted")</f>
        <v>Unlisted</v>
      </c>
      <c r="E1126" s="174" t="str">
        <f>IFERROR(__xludf.DUMMYFUNCTION("""COMPUTED_VALUE"""),"Unlisted")</f>
        <v>Unlisted</v>
      </c>
      <c r="F1126" s="174" t="str">
        <f>IFERROR(__xludf.DUMMYFUNCTION("""COMPUTED_VALUE"""),"Unlisted")</f>
        <v>Unlisted</v>
      </c>
      <c r="G1126" s="174" t="str">
        <f>IFERROR(__xludf.DUMMYFUNCTION("""COMPUTED_VALUE"""),"Unlisted")</f>
        <v>Unlisted</v>
      </c>
      <c r="H1126" s="174" t="str">
        <f>IFERROR(__xludf.DUMMYFUNCTION("""COMPUTED_VALUE"""),"Proficient")</f>
        <v>Proficient</v>
      </c>
      <c r="I1126" s="174" t="str">
        <f>IFERROR(__xludf.DUMMYFUNCTION("""COMPUTED_VALUE"""),"Unlisted")</f>
        <v>Unlisted</v>
      </c>
      <c r="J1126" s="174" t="str">
        <f>IFERROR(__xludf.DUMMYFUNCTION("""COMPUTED_VALUE"""),"Unlisted")</f>
        <v>Unlisted</v>
      </c>
      <c r="K1126" s="174" t="str">
        <f>IFERROR(__xludf.DUMMYFUNCTION("""COMPUTED_VALUE"""),"Unlisted")</f>
        <v>Unlisted</v>
      </c>
      <c r="L1126" s="174" t="str">
        <f>IFERROR(__xludf.DUMMYFUNCTION("""COMPUTED_VALUE"""),"Proficient")</f>
        <v>Proficient</v>
      </c>
      <c r="M1126" s="174" t="str">
        <f>IFERROR(__xludf.DUMMYFUNCTION("""COMPUTED_VALUE"""),"Unlisted")</f>
        <v>Unlisted</v>
      </c>
      <c r="N1126" s="174" t="str">
        <f>IFERROR(__xludf.DUMMYFUNCTION("""COMPUTED_VALUE"""),"Unlisted")</f>
        <v>Unlisted</v>
      </c>
      <c r="O1126" s="174" t="str">
        <f>IFERROR(__xludf.DUMMYFUNCTION("""COMPUTED_VALUE"""),"Unlisted")</f>
        <v>Unlisted</v>
      </c>
      <c r="P1126" s="174" t="str">
        <f>IFERROR(__xludf.DUMMYFUNCTION("""COMPUTED_VALUE"""),"Unlisted")</f>
        <v>Unlisted</v>
      </c>
      <c r="Q1126" s="174" t="str">
        <f>IFERROR(__xludf.DUMMYFUNCTION("""COMPUTED_VALUE"""),"Unlisted")</f>
        <v>Unlisted</v>
      </c>
      <c r="R1126" s="174" t="str">
        <f>IFERROR(__xludf.DUMMYFUNCTION("""COMPUTED_VALUE"""),"Unlisted")</f>
        <v>Unlisted</v>
      </c>
    </row>
    <row r="1127">
      <c r="A1127" s="255" t="str">
        <f>IFERROR(__xludf.DUMMYFUNCTION("""COMPUTED_VALUE"""),"Alolan Persian")</f>
        <v>Alolan Persian</v>
      </c>
      <c r="B1127" s="174" t="str">
        <f>IFERROR(__xludf.DUMMYFUNCTION("""COMPUTED_VALUE"""),"Proficient")</f>
        <v>Proficient</v>
      </c>
      <c r="C1127" s="174" t="str">
        <f>IFERROR(__xludf.DUMMYFUNCTION("""COMPUTED_VALUE"""),"Inept")</f>
        <v>Inept</v>
      </c>
      <c r="D1127" s="174" t="str">
        <f>IFERROR(__xludf.DUMMYFUNCTION("""COMPUTED_VALUE"""),"Unlisted")</f>
        <v>Unlisted</v>
      </c>
      <c r="E1127" s="174" t="str">
        <f>IFERROR(__xludf.DUMMYFUNCTION("""COMPUTED_VALUE"""),"Unlisted")</f>
        <v>Unlisted</v>
      </c>
      <c r="F1127" s="174" t="str">
        <f>IFERROR(__xludf.DUMMYFUNCTION("""COMPUTED_VALUE"""),"Unlisted")</f>
        <v>Unlisted</v>
      </c>
      <c r="G1127" s="174" t="str">
        <f>IFERROR(__xludf.DUMMYFUNCTION("""COMPUTED_VALUE"""),"Unlisted")</f>
        <v>Unlisted</v>
      </c>
      <c r="H1127" s="174" t="str">
        <f>IFERROR(__xludf.DUMMYFUNCTION("""COMPUTED_VALUE"""),"Proficient")</f>
        <v>Proficient</v>
      </c>
      <c r="I1127" s="174" t="str">
        <f>IFERROR(__xludf.DUMMYFUNCTION("""COMPUTED_VALUE"""),"Unlisted")</f>
        <v>Unlisted</v>
      </c>
      <c r="J1127" s="174" t="str">
        <f>IFERROR(__xludf.DUMMYFUNCTION("""COMPUTED_VALUE"""),"Unlisted")</f>
        <v>Unlisted</v>
      </c>
      <c r="K1127" s="174" t="str">
        <f>IFERROR(__xludf.DUMMYFUNCTION("""COMPUTED_VALUE"""),"Unlisted")</f>
        <v>Unlisted</v>
      </c>
      <c r="L1127" s="174" t="str">
        <f>IFERROR(__xludf.DUMMYFUNCTION("""COMPUTED_VALUE"""),"Proficient")</f>
        <v>Proficient</v>
      </c>
      <c r="M1127" s="174" t="str">
        <f>IFERROR(__xludf.DUMMYFUNCTION("""COMPUTED_VALUE"""),"Unlisted")</f>
        <v>Unlisted</v>
      </c>
      <c r="N1127" s="174" t="str">
        <f>IFERROR(__xludf.DUMMYFUNCTION("""COMPUTED_VALUE"""),"Unlisted")</f>
        <v>Unlisted</v>
      </c>
      <c r="O1127" s="174" t="str">
        <f>IFERROR(__xludf.DUMMYFUNCTION("""COMPUTED_VALUE"""),"Unlisted")</f>
        <v>Unlisted</v>
      </c>
      <c r="P1127" s="174" t="str">
        <f>IFERROR(__xludf.DUMMYFUNCTION("""COMPUTED_VALUE"""),"Unlisted")</f>
        <v>Unlisted</v>
      </c>
      <c r="Q1127" s="174" t="str">
        <f>IFERROR(__xludf.DUMMYFUNCTION("""COMPUTED_VALUE"""),"Unlisted")</f>
        <v>Unlisted</v>
      </c>
      <c r="R1127" s="174" t="str">
        <f>IFERROR(__xludf.DUMMYFUNCTION("""COMPUTED_VALUE"""),"Unlisted")</f>
        <v>Unlisted</v>
      </c>
    </row>
    <row r="1128">
      <c r="A1128" s="255" t="str">
        <f>IFERROR(__xludf.DUMMYFUNCTION("""COMPUTED_VALUE"""),"Alolan Diglett")</f>
        <v>Alolan Diglett</v>
      </c>
      <c r="B1128" s="174" t="str">
        <f>IFERROR(__xludf.DUMMYFUNCTION("""COMPUTED_VALUE"""),"Unlisted")</f>
        <v>Unlisted</v>
      </c>
      <c r="C1128" s="174" t="str">
        <f>IFERROR(__xludf.DUMMYFUNCTION("""COMPUTED_VALUE"""),"Unlisted")</f>
        <v>Unlisted</v>
      </c>
      <c r="D1128" s="174" t="str">
        <f>IFERROR(__xludf.DUMMYFUNCTION("""COMPUTED_VALUE"""),"Unlisted")</f>
        <v>Unlisted</v>
      </c>
      <c r="E1128" s="174" t="str">
        <f>IFERROR(__xludf.DUMMYFUNCTION("""COMPUTED_VALUE"""),"Unlisted")</f>
        <v>Unlisted</v>
      </c>
      <c r="F1128" s="174" t="str">
        <f>IFERROR(__xludf.DUMMYFUNCTION("""COMPUTED_VALUE"""),"Unlisted")</f>
        <v>Unlisted</v>
      </c>
      <c r="G1128" s="174" t="str">
        <f>IFERROR(__xludf.DUMMYFUNCTION("""COMPUTED_VALUE"""),"Unlisted")</f>
        <v>Unlisted</v>
      </c>
      <c r="H1128" s="174" t="str">
        <f>IFERROR(__xludf.DUMMYFUNCTION("""COMPUTED_VALUE"""),"Unlisted")</f>
        <v>Unlisted</v>
      </c>
      <c r="I1128" s="174" t="str">
        <f>IFERROR(__xludf.DUMMYFUNCTION("""COMPUTED_VALUE"""),"Unlisted")</f>
        <v>Unlisted</v>
      </c>
      <c r="J1128" s="174" t="str">
        <f>IFERROR(__xludf.DUMMYFUNCTION("""COMPUTED_VALUE"""),"Unlisted")</f>
        <v>Unlisted</v>
      </c>
      <c r="K1128" s="174" t="str">
        <f>IFERROR(__xludf.DUMMYFUNCTION("""COMPUTED_VALUE"""),"Proficient")</f>
        <v>Proficient</v>
      </c>
      <c r="L1128" s="174" t="str">
        <f>IFERROR(__xludf.DUMMYFUNCTION("""COMPUTED_VALUE"""),"Proficient")</f>
        <v>Proficient</v>
      </c>
      <c r="M1128" s="174" t="str">
        <f>IFERROR(__xludf.DUMMYFUNCTION("""COMPUTED_VALUE"""),"Unlisted")</f>
        <v>Unlisted</v>
      </c>
      <c r="N1128" s="174" t="str">
        <f>IFERROR(__xludf.DUMMYFUNCTION("""COMPUTED_VALUE"""),"Unlisted")</f>
        <v>Unlisted</v>
      </c>
      <c r="O1128" s="174" t="str">
        <f>IFERROR(__xludf.DUMMYFUNCTION("""COMPUTED_VALUE"""),"Unlisted")</f>
        <v>Unlisted</v>
      </c>
      <c r="P1128" s="174" t="str">
        <f>IFERROR(__xludf.DUMMYFUNCTION("""COMPUTED_VALUE"""),"Unlisted")</f>
        <v>Unlisted</v>
      </c>
      <c r="Q1128" s="174" t="str">
        <f>IFERROR(__xludf.DUMMYFUNCTION("""COMPUTED_VALUE"""),"Unlisted")</f>
        <v>Unlisted</v>
      </c>
      <c r="R1128" s="174" t="str">
        <f>IFERROR(__xludf.DUMMYFUNCTION("""COMPUTED_VALUE"""),"Unlisted")</f>
        <v>Unlisted</v>
      </c>
    </row>
    <row r="1129">
      <c r="A1129" s="255" t="str">
        <f>IFERROR(__xludf.DUMMYFUNCTION("""COMPUTED_VALUE"""),"Alolan Dugtrio")</f>
        <v>Alolan Dugtrio</v>
      </c>
      <c r="B1129" s="174" t="str">
        <f>IFERROR(__xludf.DUMMYFUNCTION("""COMPUTED_VALUE"""),"Unlisted")</f>
        <v>Unlisted</v>
      </c>
      <c r="C1129" s="174" t="str">
        <f>IFERROR(__xludf.DUMMYFUNCTION("""COMPUTED_VALUE"""),"Unlisted")</f>
        <v>Unlisted</v>
      </c>
      <c r="D1129" s="174" t="str">
        <f>IFERROR(__xludf.DUMMYFUNCTION("""COMPUTED_VALUE"""),"Unlisted")</f>
        <v>Unlisted</v>
      </c>
      <c r="E1129" s="174" t="str">
        <f>IFERROR(__xludf.DUMMYFUNCTION("""COMPUTED_VALUE"""),"Unlisted")</f>
        <v>Unlisted</v>
      </c>
      <c r="F1129" s="174" t="str">
        <f>IFERROR(__xludf.DUMMYFUNCTION("""COMPUTED_VALUE"""),"Unlisted")</f>
        <v>Unlisted</v>
      </c>
      <c r="G1129" s="174" t="str">
        <f>IFERROR(__xludf.DUMMYFUNCTION("""COMPUTED_VALUE"""),"Unlisted")</f>
        <v>Unlisted</v>
      </c>
      <c r="H1129" s="174" t="str">
        <f>IFERROR(__xludf.DUMMYFUNCTION("""COMPUTED_VALUE"""),"Unlisted")</f>
        <v>Unlisted</v>
      </c>
      <c r="I1129" s="174" t="str">
        <f>IFERROR(__xludf.DUMMYFUNCTION("""COMPUTED_VALUE"""),"Unlisted")</f>
        <v>Unlisted</v>
      </c>
      <c r="J1129" s="174" t="str">
        <f>IFERROR(__xludf.DUMMYFUNCTION("""COMPUTED_VALUE"""),"Unlisted")</f>
        <v>Unlisted</v>
      </c>
      <c r="K1129" s="174" t="str">
        <f>IFERROR(__xludf.DUMMYFUNCTION("""COMPUTED_VALUE"""),"Proficient")</f>
        <v>Proficient</v>
      </c>
      <c r="L1129" s="174" t="str">
        <f>IFERROR(__xludf.DUMMYFUNCTION("""COMPUTED_VALUE"""),"Proficient")</f>
        <v>Proficient</v>
      </c>
      <c r="M1129" s="174" t="str">
        <f>IFERROR(__xludf.DUMMYFUNCTION("""COMPUTED_VALUE"""),"Unlisted")</f>
        <v>Unlisted</v>
      </c>
      <c r="N1129" s="174" t="str">
        <f>IFERROR(__xludf.DUMMYFUNCTION("""COMPUTED_VALUE"""),"Unlisted")</f>
        <v>Unlisted</v>
      </c>
      <c r="O1129" s="174" t="str">
        <f>IFERROR(__xludf.DUMMYFUNCTION("""COMPUTED_VALUE"""),"Unlisted")</f>
        <v>Unlisted</v>
      </c>
      <c r="P1129" s="174" t="str">
        <f>IFERROR(__xludf.DUMMYFUNCTION("""COMPUTED_VALUE"""),"Unlisted")</f>
        <v>Unlisted</v>
      </c>
      <c r="Q1129" s="174" t="str">
        <f>IFERROR(__xludf.DUMMYFUNCTION("""COMPUTED_VALUE"""),"Unlisted")</f>
        <v>Unlisted</v>
      </c>
      <c r="R1129" s="174" t="str">
        <f>IFERROR(__xludf.DUMMYFUNCTION("""COMPUTED_VALUE"""),"Unlisted")</f>
        <v>Unlisted</v>
      </c>
    </row>
    <row r="1130">
      <c r="A1130" s="255" t="str">
        <f>IFERROR(__xludf.DUMMYFUNCTION("""COMPUTED_VALUE"""),"Alolan Vulpix")</f>
        <v>Alolan Vulpix</v>
      </c>
      <c r="B1130" s="174" t="str">
        <f>IFERROR(__xludf.DUMMYFUNCTION("""COMPUTED_VALUE"""),"Proficient")</f>
        <v>Proficient</v>
      </c>
      <c r="C1130" s="174" t="str">
        <f>IFERROR(__xludf.DUMMYFUNCTION("""COMPUTED_VALUE"""),"Inept")</f>
        <v>Inept</v>
      </c>
      <c r="D1130" s="174" t="str">
        <f>IFERROR(__xludf.DUMMYFUNCTION("""COMPUTED_VALUE"""),"Proficient")</f>
        <v>Proficient</v>
      </c>
      <c r="E1130" s="174" t="str">
        <f>IFERROR(__xludf.DUMMYFUNCTION("""COMPUTED_VALUE"""),"Unlisted")</f>
        <v>Unlisted</v>
      </c>
      <c r="F1130" s="174" t="str">
        <f>IFERROR(__xludf.DUMMYFUNCTION("""COMPUTED_VALUE"""),"Unlisted")</f>
        <v>Unlisted</v>
      </c>
      <c r="G1130" s="174" t="str">
        <f>IFERROR(__xludf.DUMMYFUNCTION("""COMPUTED_VALUE"""),"Unlisted")</f>
        <v>Unlisted</v>
      </c>
      <c r="H1130" s="174" t="str">
        <f>IFERROR(__xludf.DUMMYFUNCTION("""COMPUTED_VALUE"""),"Unlisted")</f>
        <v>Unlisted</v>
      </c>
      <c r="I1130" s="174" t="str">
        <f>IFERROR(__xludf.DUMMYFUNCTION("""COMPUTED_VALUE"""),"Unlisted")</f>
        <v>Unlisted</v>
      </c>
      <c r="J1130" s="174" t="str">
        <f>IFERROR(__xludf.DUMMYFUNCTION("""COMPUTED_VALUE"""),"Proficient")</f>
        <v>Proficient</v>
      </c>
      <c r="K1130" s="174" t="str">
        <f>IFERROR(__xludf.DUMMYFUNCTION("""COMPUTED_VALUE"""),"Unlisted")</f>
        <v>Unlisted</v>
      </c>
      <c r="L1130" s="174" t="str">
        <f>IFERROR(__xludf.DUMMYFUNCTION("""COMPUTED_VALUE"""),"Unlisted")</f>
        <v>Unlisted</v>
      </c>
      <c r="M1130" s="174" t="str">
        <f>IFERROR(__xludf.DUMMYFUNCTION("""COMPUTED_VALUE"""),"Unlisted")</f>
        <v>Unlisted</v>
      </c>
      <c r="N1130" s="174" t="str">
        <f>IFERROR(__xludf.DUMMYFUNCTION("""COMPUTED_VALUE"""),"Unlisted")</f>
        <v>Unlisted</v>
      </c>
      <c r="O1130" s="174" t="str">
        <f>IFERROR(__xludf.DUMMYFUNCTION("""COMPUTED_VALUE"""),"Unlisted")</f>
        <v>Unlisted</v>
      </c>
      <c r="P1130" s="174" t="str">
        <f>IFERROR(__xludf.DUMMYFUNCTION("""COMPUTED_VALUE"""),"Unlisted")</f>
        <v>Unlisted</v>
      </c>
      <c r="Q1130" s="174" t="str">
        <f>IFERROR(__xludf.DUMMYFUNCTION("""COMPUTED_VALUE"""),"Unlisted")</f>
        <v>Unlisted</v>
      </c>
      <c r="R1130" s="174" t="str">
        <f>IFERROR(__xludf.DUMMYFUNCTION("""COMPUTED_VALUE"""),"Unlisted")</f>
        <v>Unlisted</v>
      </c>
    </row>
    <row r="1131">
      <c r="A1131" s="255" t="str">
        <f>IFERROR(__xludf.DUMMYFUNCTION("""COMPUTED_VALUE"""),"Alolan Ninetales")</f>
        <v>Alolan Ninetales</v>
      </c>
      <c r="B1131" s="174" t="str">
        <f>IFERROR(__xludf.DUMMYFUNCTION("""COMPUTED_VALUE"""),"Proficient")</f>
        <v>Proficient</v>
      </c>
      <c r="C1131" s="174" t="str">
        <f>IFERROR(__xludf.DUMMYFUNCTION("""COMPUTED_VALUE"""),"Inept")</f>
        <v>Inept</v>
      </c>
      <c r="D1131" s="174" t="str">
        <f>IFERROR(__xludf.DUMMYFUNCTION("""COMPUTED_VALUE"""),"Proficient")</f>
        <v>Proficient</v>
      </c>
      <c r="E1131" s="174" t="str">
        <f>IFERROR(__xludf.DUMMYFUNCTION("""COMPUTED_VALUE"""),"Unlisted")</f>
        <v>Unlisted</v>
      </c>
      <c r="F1131" s="174" t="str">
        <f>IFERROR(__xludf.DUMMYFUNCTION("""COMPUTED_VALUE"""),"Unlisted")</f>
        <v>Unlisted</v>
      </c>
      <c r="G1131" s="174" t="str">
        <f>IFERROR(__xludf.DUMMYFUNCTION("""COMPUTED_VALUE"""),"Unlisted")</f>
        <v>Unlisted</v>
      </c>
      <c r="H1131" s="174" t="str">
        <f>IFERROR(__xludf.DUMMYFUNCTION("""COMPUTED_VALUE"""),"Unlisted")</f>
        <v>Unlisted</v>
      </c>
      <c r="I1131" s="174" t="str">
        <f>IFERROR(__xludf.DUMMYFUNCTION("""COMPUTED_VALUE"""),"Unlisted")</f>
        <v>Unlisted</v>
      </c>
      <c r="J1131" s="174" t="str">
        <f>IFERROR(__xludf.DUMMYFUNCTION("""COMPUTED_VALUE"""),"Proficient")</f>
        <v>Proficient</v>
      </c>
      <c r="K1131" s="174" t="str">
        <f>IFERROR(__xludf.DUMMYFUNCTION("""COMPUTED_VALUE"""),"Unlisted")</f>
        <v>Unlisted</v>
      </c>
      <c r="L1131" s="174" t="str">
        <f>IFERROR(__xludf.DUMMYFUNCTION("""COMPUTED_VALUE"""),"Unlisted")</f>
        <v>Unlisted</v>
      </c>
      <c r="M1131" s="174" t="str">
        <f>IFERROR(__xludf.DUMMYFUNCTION("""COMPUTED_VALUE"""),"Unlisted")</f>
        <v>Unlisted</v>
      </c>
      <c r="N1131" s="174" t="str">
        <f>IFERROR(__xludf.DUMMYFUNCTION("""COMPUTED_VALUE"""),"Unlisted")</f>
        <v>Unlisted</v>
      </c>
      <c r="O1131" s="174" t="str">
        <f>IFERROR(__xludf.DUMMYFUNCTION("""COMPUTED_VALUE"""),"Unlisted")</f>
        <v>Unlisted</v>
      </c>
      <c r="P1131" s="174" t="str">
        <f>IFERROR(__xludf.DUMMYFUNCTION("""COMPUTED_VALUE"""),"Unlisted")</f>
        <v>Unlisted</v>
      </c>
      <c r="Q1131" s="174" t="str">
        <f>IFERROR(__xludf.DUMMYFUNCTION("""COMPUTED_VALUE"""),"Unlisted")</f>
        <v>Unlisted</v>
      </c>
      <c r="R1131" s="174" t="str">
        <f>IFERROR(__xludf.DUMMYFUNCTION("""COMPUTED_VALUE"""),"Unlisted")</f>
        <v>Unlisted</v>
      </c>
    </row>
    <row r="1132">
      <c r="A1132" s="255" t="str">
        <f>IFERROR(__xludf.DUMMYFUNCTION("""COMPUTED_VALUE"""),"Alolan Sandshrew")</f>
        <v>Alolan Sandshrew</v>
      </c>
      <c r="B1132" s="174" t="str">
        <f>IFERROR(__xludf.DUMMYFUNCTION("""COMPUTED_VALUE"""),"Unlisted")</f>
        <v>Unlisted</v>
      </c>
      <c r="C1132" s="174" t="str">
        <f>IFERROR(__xludf.DUMMYFUNCTION("""COMPUTED_VALUE"""),"Proficient")</f>
        <v>Proficient</v>
      </c>
      <c r="D1132" s="174" t="str">
        <f>IFERROR(__xludf.DUMMYFUNCTION("""COMPUTED_VALUE"""),"Unlisted")</f>
        <v>Unlisted</v>
      </c>
      <c r="E1132" s="174" t="str">
        <f>IFERROR(__xludf.DUMMYFUNCTION("""COMPUTED_VALUE"""),"Proficient")</f>
        <v>Proficient</v>
      </c>
      <c r="F1132" s="174" t="str">
        <f>IFERROR(__xludf.DUMMYFUNCTION("""COMPUTED_VALUE"""),"Unlisted")</f>
        <v>Unlisted</v>
      </c>
      <c r="G1132" s="174" t="str">
        <f>IFERROR(__xludf.DUMMYFUNCTION("""COMPUTED_VALUE"""),"Unlisted")</f>
        <v>Unlisted</v>
      </c>
      <c r="H1132" s="174" t="str">
        <f>IFERROR(__xludf.DUMMYFUNCTION("""COMPUTED_VALUE"""),"Unlisted")</f>
        <v>Unlisted</v>
      </c>
      <c r="I1132" s="174" t="str">
        <f>IFERROR(__xludf.DUMMYFUNCTION("""COMPUTED_VALUE"""),"Unlisted")</f>
        <v>Unlisted</v>
      </c>
      <c r="J1132" s="174" t="str">
        <f>IFERROR(__xludf.DUMMYFUNCTION("""COMPUTED_VALUE"""),"Unlisted")</f>
        <v>Unlisted</v>
      </c>
      <c r="K1132" s="174" t="str">
        <f>IFERROR(__xludf.DUMMYFUNCTION("""COMPUTED_VALUE"""),"Proficient")</f>
        <v>Proficient</v>
      </c>
      <c r="L1132" s="174" t="str">
        <f>IFERROR(__xludf.DUMMYFUNCTION("""COMPUTED_VALUE"""),"Unlisted")</f>
        <v>Unlisted</v>
      </c>
      <c r="M1132" s="174" t="str">
        <f>IFERROR(__xludf.DUMMYFUNCTION("""COMPUTED_VALUE"""),"Unlisted")</f>
        <v>Unlisted</v>
      </c>
      <c r="N1132" s="174" t="str">
        <f>IFERROR(__xludf.DUMMYFUNCTION("""COMPUTED_VALUE"""),"Unlisted")</f>
        <v>Unlisted</v>
      </c>
      <c r="O1132" s="174" t="str">
        <f>IFERROR(__xludf.DUMMYFUNCTION("""COMPUTED_VALUE"""),"Unlisted")</f>
        <v>Unlisted</v>
      </c>
      <c r="P1132" s="174" t="str">
        <f>IFERROR(__xludf.DUMMYFUNCTION("""COMPUTED_VALUE"""),"Unlisted")</f>
        <v>Unlisted</v>
      </c>
      <c r="Q1132" s="174" t="str">
        <f>IFERROR(__xludf.DUMMYFUNCTION("""COMPUTED_VALUE"""),"Unlisted")</f>
        <v>Unlisted</v>
      </c>
      <c r="R1132" s="174" t="str">
        <f>IFERROR(__xludf.DUMMYFUNCTION("""COMPUTED_VALUE"""),"Unlisted")</f>
        <v>Unlisted</v>
      </c>
    </row>
    <row r="1133">
      <c r="A1133" s="255" t="str">
        <f>IFERROR(__xludf.DUMMYFUNCTION("""COMPUTED_VALUE"""),"Alolan Sandslash")</f>
        <v>Alolan Sandslash</v>
      </c>
      <c r="B1133" s="174" t="str">
        <f>IFERROR(__xludf.DUMMYFUNCTION("""COMPUTED_VALUE"""),"Unlisted")</f>
        <v>Unlisted</v>
      </c>
      <c r="C1133" s="174" t="str">
        <f>IFERROR(__xludf.DUMMYFUNCTION("""COMPUTED_VALUE"""),"Proficient")</f>
        <v>Proficient</v>
      </c>
      <c r="D1133" s="174" t="str">
        <f>IFERROR(__xludf.DUMMYFUNCTION("""COMPUTED_VALUE"""),"Unlisted")</f>
        <v>Unlisted</v>
      </c>
      <c r="E1133" s="174" t="str">
        <f>IFERROR(__xludf.DUMMYFUNCTION("""COMPUTED_VALUE"""),"Proficient")</f>
        <v>Proficient</v>
      </c>
      <c r="F1133" s="174" t="str">
        <f>IFERROR(__xludf.DUMMYFUNCTION("""COMPUTED_VALUE"""),"Unlisted")</f>
        <v>Unlisted</v>
      </c>
      <c r="G1133" s="174" t="str">
        <f>IFERROR(__xludf.DUMMYFUNCTION("""COMPUTED_VALUE"""),"Unlisted")</f>
        <v>Unlisted</v>
      </c>
      <c r="H1133" s="174" t="str">
        <f>IFERROR(__xludf.DUMMYFUNCTION("""COMPUTED_VALUE"""),"Unlisted")</f>
        <v>Unlisted</v>
      </c>
      <c r="I1133" s="174" t="str">
        <f>IFERROR(__xludf.DUMMYFUNCTION("""COMPUTED_VALUE"""),"Unlisted")</f>
        <v>Unlisted</v>
      </c>
      <c r="J1133" s="174" t="str">
        <f>IFERROR(__xludf.DUMMYFUNCTION("""COMPUTED_VALUE"""),"Unlisted")</f>
        <v>Unlisted</v>
      </c>
      <c r="K1133" s="174" t="str">
        <f>IFERROR(__xludf.DUMMYFUNCTION("""COMPUTED_VALUE"""),"Proficient")</f>
        <v>Proficient</v>
      </c>
      <c r="L1133" s="174" t="str">
        <f>IFERROR(__xludf.DUMMYFUNCTION("""COMPUTED_VALUE"""),"Unlisted")</f>
        <v>Unlisted</v>
      </c>
      <c r="M1133" s="174" t="str">
        <f>IFERROR(__xludf.DUMMYFUNCTION("""COMPUTED_VALUE"""),"Unlisted")</f>
        <v>Unlisted</v>
      </c>
      <c r="N1133" s="174" t="str">
        <f>IFERROR(__xludf.DUMMYFUNCTION("""COMPUTED_VALUE"""),"Unlisted")</f>
        <v>Unlisted</v>
      </c>
      <c r="O1133" s="174" t="str">
        <f>IFERROR(__xludf.DUMMYFUNCTION("""COMPUTED_VALUE"""),"Unlisted")</f>
        <v>Unlisted</v>
      </c>
      <c r="P1133" s="174" t="str">
        <f>IFERROR(__xludf.DUMMYFUNCTION("""COMPUTED_VALUE"""),"Unlisted")</f>
        <v>Unlisted</v>
      </c>
      <c r="Q1133" s="174" t="str">
        <f>IFERROR(__xludf.DUMMYFUNCTION("""COMPUTED_VALUE"""),"Unlisted")</f>
        <v>Unlisted</v>
      </c>
      <c r="R1133" s="174" t="str">
        <f>IFERROR(__xludf.DUMMYFUNCTION("""COMPUTED_VALUE"""),"Unlisted")</f>
        <v>Unlisted</v>
      </c>
    </row>
    <row r="1134">
      <c r="A1134" s="255" t="str">
        <f>IFERROR(__xludf.DUMMYFUNCTION("""COMPUTED_VALUE"""),"Alolan Grimer")</f>
        <v>Alolan Grimer</v>
      </c>
      <c r="B1134" s="174" t="str">
        <f>IFERROR(__xludf.DUMMYFUNCTION("""COMPUTED_VALUE"""),"Inept")</f>
        <v>Inept</v>
      </c>
      <c r="C1134" s="174" t="str">
        <f>IFERROR(__xludf.DUMMYFUNCTION("""COMPUTED_VALUE"""),"Unlisted")</f>
        <v>Unlisted</v>
      </c>
      <c r="D1134" s="174" t="str">
        <f>IFERROR(__xludf.DUMMYFUNCTION("""COMPUTED_VALUE"""),"Unlisted")</f>
        <v>Unlisted</v>
      </c>
      <c r="E1134" s="174" t="str">
        <f>IFERROR(__xludf.DUMMYFUNCTION("""COMPUTED_VALUE"""),"Unlisted")</f>
        <v>Unlisted</v>
      </c>
      <c r="F1134" s="174" t="str">
        <f>IFERROR(__xludf.DUMMYFUNCTION("""COMPUTED_VALUE"""),"Unlisted")</f>
        <v>Unlisted</v>
      </c>
      <c r="G1134" s="174" t="str">
        <f>IFERROR(__xludf.DUMMYFUNCTION("""COMPUTED_VALUE"""),"Proficient")</f>
        <v>Proficient</v>
      </c>
      <c r="H1134" s="174" t="str">
        <f>IFERROR(__xludf.DUMMYFUNCTION("""COMPUTED_VALUE"""),"Unlisted")</f>
        <v>Unlisted</v>
      </c>
      <c r="I1134" s="174" t="str">
        <f>IFERROR(__xludf.DUMMYFUNCTION("""COMPUTED_VALUE"""),"Unlisted")</f>
        <v>Unlisted</v>
      </c>
      <c r="J1134" s="174" t="str">
        <f>IFERROR(__xludf.DUMMYFUNCTION("""COMPUTED_VALUE"""),"Unlisted")</f>
        <v>Unlisted</v>
      </c>
      <c r="K1134" s="174" t="str">
        <f>IFERROR(__xludf.DUMMYFUNCTION("""COMPUTED_VALUE"""),"Proficient")</f>
        <v>Proficient</v>
      </c>
      <c r="L1134" s="174" t="str">
        <f>IFERROR(__xludf.DUMMYFUNCTION("""COMPUTED_VALUE"""),"Proficient")</f>
        <v>Proficient</v>
      </c>
      <c r="M1134" s="174" t="str">
        <f>IFERROR(__xludf.DUMMYFUNCTION("""COMPUTED_VALUE"""),"Unlisted")</f>
        <v>Unlisted</v>
      </c>
      <c r="N1134" s="174" t="str">
        <f>IFERROR(__xludf.DUMMYFUNCTION("""COMPUTED_VALUE"""),"Unlisted")</f>
        <v>Unlisted</v>
      </c>
      <c r="O1134" s="174" t="str">
        <f>IFERROR(__xludf.DUMMYFUNCTION("""COMPUTED_VALUE"""),"Unlisted")</f>
        <v>Unlisted</v>
      </c>
      <c r="P1134" s="174" t="str">
        <f>IFERROR(__xludf.DUMMYFUNCTION("""COMPUTED_VALUE"""),"Unlisted")</f>
        <v>Unlisted</v>
      </c>
      <c r="Q1134" s="174" t="str">
        <f>IFERROR(__xludf.DUMMYFUNCTION("""COMPUTED_VALUE"""),"Unlisted")</f>
        <v>Unlisted</v>
      </c>
      <c r="R1134" s="174" t="str">
        <f>IFERROR(__xludf.DUMMYFUNCTION("""COMPUTED_VALUE"""),"Unlisted")</f>
        <v>Unlisted</v>
      </c>
    </row>
    <row r="1135">
      <c r="A1135" s="255" t="str">
        <f>IFERROR(__xludf.DUMMYFUNCTION("""COMPUTED_VALUE"""),"Alolan Muk")</f>
        <v>Alolan Muk</v>
      </c>
      <c r="B1135" s="174" t="str">
        <f>IFERROR(__xludf.DUMMYFUNCTION("""COMPUTED_VALUE"""),"Inept")</f>
        <v>Inept</v>
      </c>
      <c r="C1135" s="174" t="str">
        <f>IFERROR(__xludf.DUMMYFUNCTION("""COMPUTED_VALUE"""),"Proficient")</f>
        <v>Proficient</v>
      </c>
      <c r="D1135" s="174" t="str">
        <f>IFERROR(__xludf.DUMMYFUNCTION("""COMPUTED_VALUE"""),"Unlisted")</f>
        <v>Unlisted</v>
      </c>
      <c r="E1135" s="174" t="str">
        <f>IFERROR(__xludf.DUMMYFUNCTION("""COMPUTED_VALUE"""),"Unlisted")</f>
        <v>Unlisted</v>
      </c>
      <c r="F1135" s="174" t="str">
        <f>IFERROR(__xludf.DUMMYFUNCTION("""COMPUTED_VALUE"""),"Unlisted")</f>
        <v>Unlisted</v>
      </c>
      <c r="G1135" s="174" t="str">
        <f>IFERROR(__xludf.DUMMYFUNCTION("""COMPUTED_VALUE"""),"Proficient")</f>
        <v>Proficient</v>
      </c>
      <c r="H1135" s="174" t="str">
        <f>IFERROR(__xludf.DUMMYFUNCTION("""COMPUTED_VALUE"""),"Unlisted")</f>
        <v>Unlisted</v>
      </c>
      <c r="I1135" s="174" t="str">
        <f>IFERROR(__xludf.DUMMYFUNCTION("""COMPUTED_VALUE"""),"Unlisted")</f>
        <v>Unlisted</v>
      </c>
      <c r="J1135" s="174" t="str">
        <f>IFERROR(__xludf.DUMMYFUNCTION("""COMPUTED_VALUE"""),"Unlisted")</f>
        <v>Unlisted</v>
      </c>
      <c r="K1135" s="174" t="str">
        <f>IFERROR(__xludf.DUMMYFUNCTION("""COMPUTED_VALUE"""),"Proficient")</f>
        <v>Proficient</v>
      </c>
      <c r="L1135" s="174" t="str">
        <f>IFERROR(__xludf.DUMMYFUNCTION("""COMPUTED_VALUE"""),"Unlisted")</f>
        <v>Unlisted</v>
      </c>
      <c r="M1135" s="174" t="str">
        <f>IFERROR(__xludf.DUMMYFUNCTION("""COMPUTED_VALUE"""),"Unlisted")</f>
        <v>Unlisted</v>
      </c>
      <c r="N1135" s="174" t="str">
        <f>IFERROR(__xludf.DUMMYFUNCTION("""COMPUTED_VALUE"""),"Unlisted")</f>
        <v>Unlisted</v>
      </c>
      <c r="O1135" s="174" t="str">
        <f>IFERROR(__xludf.DUMMYFUNCTION("""COMPUTED_VALUE"""),"Unlisted")</f>
        <v>Unlisted</v>
      </c>
      <c r="P1135" s="174" t="str">
        <f>IFERROR(__xludf.DUMMYFUNCTION("""COMPUTED_VALUE"""),"Unlisted")</f>
        <v>Unlisted</v>
      </c>
      <c r="Q1135" s="174" t="str">
        <f>IFERROR(__xludf.DUMMYFUNCTION("""COMPUTED_VALUE"""),"Unlisted")</f>
        <v>Unlisted</v>
      </c>
      <c r="R1135" s="174" t="str">
        <f>IFERROR(__xludf.DUMMYFUNCTION("""COMPUTED_VALUE"""),"Unlisted")</f>
        <v>Unlisted</v>
      </c>
    </row>
    <row r="1136">
      <c r="A1136" s="255" t="str">
        <f>IFERROR(__xludf.DUMMYFUNCTION("""COMPUTED_VALUE"""),"Alolan Geodude")</f>
        <v>Alolan Geodude</v>
      </c>
      <c r="B1136" s="174" t="str">
        <f>IFERROR(__xludf.DUMMYFUNCTION("""COMPUTED_VALUE"""),"Unlisted")</f>
        <v>Unlisted</v>
      </c>
      <c r="C1136" s="174" t="str">
        <f>IFERROR(__xludf.DUMMYFUNCTION("""COMPUTED_VALUE"""),"Proficient")</f>
        <v>Proficient</v>
      </c>
      <c r="D1136" s="174" t="str">
        <f>IFERROR(__xludf.DUMMYFUNCTION("""COMPUTED_VALUE"""),"Unlisted")</f>
        <v>Unlisted</v>
      </c>
      <c r="E1136" s="174" t="str">
        <f>IFERROR(__xludf.DUMMYFUNCTION("""COMPUTED_VALUE"""),"Unlisted")</f>
        <v>Unlisted</v>
      </c>
      <c r="F1136" s="174" t="str">
        <f>IFERROR(__xludf.DUMMYFUNCTION("""COMPUTED_VALUE"""),"Unlisted")</f>
        <v>Unlisted</v>
      </c>
      <c r="G1136" s="174" t="str">
        <f>IFERROR(__xludf.DUMMYFUNCTION("""COMPUTED_VALUE"""),"Proficient")</f>
        <v>Proficient</v>
      </c>
      <c r="H1136" s="174" t="str">
        <f>IFERROR(__xludf.DUMMYFUNCTION("""COMPUTED_VALUE"""),"Unlisted")</f>
        <v>Unlisted</v>
      </c>
      <c r="I1136" s="174" t="str">
        <f>IFERROR(__xludf.DUMMYFUNCTION("""COMPUTED_VALUE"""),"Unlisted")</f>
        <v>Unlisted</v>
      </c>
      <c r="J1136" s="174" t="str">
        <f>IFERROR(__xludf.DUMMYFUNCTION("""COMPUTED_VALUE"""),"Unlisted")</f>
        <v>Unlisted</v>
      </c>
      <c r="K1136" s="174" t="str">
        <f>IFERROR(__xludf.DUMMYFUNCTION("""COMPUTED_VALUE"""),"Unlisted")</f>
        <v>Unlisted</v>
      </c>
      <c r="L1136" s="174" t="str">
        <f>IFERROR(__xludf.DUMMYFUNCTION("""COMPUTED_VALUE"""),"Unlisted")</f>
        <v>Unlisted</v>
      </c>
      <c r="M1136" s="174" t="str">
        <f>IFERROR(__xludf.DUMMYFUNCTION("""COMPUTED_VALUE"""),"Unlisted")</f>
        <v>Unlisted</v>
      </c>
      <c r="N1136" s="174" t="str">
        <f>IFERROR(__xludf.DUMMYFUNCTION("""COMPUTED_VALUE"""),"Unlisted")</f>
        <v>Unlisted</v>
      </c>
      <c r="O1136" s="174" t="str">
        <f>IFERROR(__xludf.DUMMYFUNCTION("""COMPUTED_VALUE"""),"Unlisted")</f>
        <v>Unlisted</v>
      </c>
      <c r="P1136" s="174" t="str">
        <f>IFERROR(__xludf.DUMMYFUNCTION("""COMPUTED_VALUE"""),"Unlisted")</f>
        <v>Unlisted</v>
      </c>
      <c r="Q1136" s="174" t="str">
        <f>IFERROR(__xludf.DUMMYFUNCTION("""COMPUTED_VALUE"""),"Unlisted")</f>
        <v>Unlisted</v>
      </c>
      <c r="R1136" s="174" t="str">
        <f>IFERROR(__xludf.DUMMYFUNCTION("""COMPUTED_VALUE"""),"Unlisted")</f>
        <v>Unlisted</v>
      </c>
    </row>
    <row r="1137">
      <c r="A1137" s="255" t="str">
        <f>IFERROR(__xludf.DUMMYFUNCTION("""COMPUTED_VALUE"""),"Alolan Graveler")</f>
        <v>Alolan Graveler</v>
      </c>
      <c r="B1137" s="174" t="str">
        <f>IFERROR(__xludf.DUMMYFUNCTION("""COMPUTED_VALUE"""),"Unlisted")</f>
        <v>Unlisted</v>
      </c>
      <c r="C1137" s="174" t="str">
        <f>IFERROR(__xludf.DUMMYFUNCTION("""COMPUTED_VALUE"""),"Proficient")</f>
        <v>Proficient</v>
      </c>
      <c r="D1137" s="174" t="str">
        <f>IFERROR(__xludf.DUMMYFUNCTION("""COMPUTED_VALUE"""),"Unlisted")</f>
        <v>Unlisted</v>
      </c>
      <c r="E1137" s="174" t="str">
        <f>IFERROR(__xludf.DUMMYFUNCTION("""COMPUTED_VALUE"""),"Unlisted")</f>
        <v>Unlisted</v>
      </c>
      <c r="F1137" s="174" t="str">
        <f>IFERROR(__xludf.DUMMYFUNCTION("""COMPUTED_VALUE"""),"Unlisted")</f>
        <v>Unlisted</v>
      </c>
      <c r="G1137" s="174" t="str">
        <f>IFERROR(__xludf.DUMMYFUNCTION("""COMPUTED_VALUE"""),"Proficient")</f>
        <v>Proficient</v>
      </c>
      <c r="H1137" s="174" t="str">
        <f>IFERROR(__xludf.DUMMYFUNCTION("""COMPUTED_VALUE"""),"Unlisted")</f>
        <v>Unlisted</v>
      </c>
      <c r="I1137" s="174" t="str">
        <f>IFERROR(__xludf.DUMMYFUNCTION("""COMPUTED_VALUE"""),"Unlisted")</f>
        <v>Unlisted</v>
      </c>
      <c r="J1137" s="174" t="str">
        <f>IFERROR(__xludf.DUMMYFUNCTION("""COMPUTED_VALUE"""),"Unlisted")</f>
        <v>Unlisted</v>
      </c>
      <c r="K1137" s="174" t="str">
        <f>IFERROR(__xludf.DUMMYFUNCTION("""COMPUTED_VALUE"""),"Unlisted")</f>
        <v>Unlisted</v>
      </c>
      <c r="L1137" s="174" t="str">
        <f>IFERROR(__xludf.DUMMYFUNCTION("""COMPUTED_VALUE"""),"Unlisted")</f>
        <v>Unlisted</v>
      </c>
      <c r="M1137" s="174" t="str">
        <f>IFERROR(__xludf.DUMMYFUNCTION("""COMPUTED_VALUE"""),"Unlisted")</f>
        <v>Unlisted</v>
      </c>
      <c r="N1137" s="174" t="str">
        <f>IFERROR(__xludf.DUMMYFUNCTION("""COMPUTED_VALUE"""),"Unlisted")</f>
        <v>Unlisted</v>
      </c>
      <c r="O1137" s="174" t="str">
        <f>IFERROR(__xludf.DUMMYFUNCTION("""COMPUTED_VALUE"""),"Unlisted")</f>
        <v>Unlisted</v>
      </c>
      <c r="P1137" s="174" t="str">
        <f>IFERROR(__xludf.DUMMYFUNCTION("""COMPUTED_VALUE"""),"Unlisted")</f>
        <v>Unlisted</v>
      </c>
      <c r="Q1137" s="174" t="str">
        <f>IFERROR(__xludf.DUMMYFUNCTION("""COMPUTED_VALUE"""),"Unlisted")</f>
        <v>Unlisted</v>
      </c>
      <c r="R1137" s="174" t="str">
        <f>IFERROR(__xludf.DUMMYFUNCTION("""COMPUTED_VALUE"""),"Unlisted")</f>
        <v>Unlisted</v>
      </c>
    </row>
    <row r="1138">
      <c r="A1138" s="255" t="str">
        <f>IFERROR(__xludf.DUMMYFUNCTION("""COMPUTED_VALUE"""),"Alolan Golem")</f>
        <v>Alolan Golem</v>
      </c>
      <c r="B1138" s="174" t="str">
        <f>IFERROR(__xludf.DUMMYFUNCTION("""COMPUTED_VALUE"""),"Unlisted")</f>
        <v>Unlisted</v>
      </c>
      <c r="C1138" s="174" t="str">
        <f>IFERROR(__xludf.DUMMYFUNCTION("""COMPUTED_VALUE"""),"Proficient")</f>
        <v>Proficient</v>
      </c>
      <c r="D1138" s="174" t="str">
        <f>IFERROR(__xludf.DUMMYFUNCTION("""COMPUTED_VALUE"""),"Unlisted")</f>
        <v>Unlisted</v>
      </c>
      <c r="E1138" s="174" t="str">
        <f>IFERROR(__xludf.DUMMYFUNCTION("""COMPUTED_VALUE"""),"Unlisted")</f>
        <v>Unlisted</v>
      </c>
      <c r="F1138" s="174" t="str">
        <f>IFERROR(__xludf.DUMMYFUNCTION("""COMPUTED_VALUE"""),"Unlisted")</f>
        <v>Unlisted</v>
      </c>
      <c r="G1138" s="174" t="str">
        <f>IFERROR(__xludf.DUMMYFUNCTION("""COMPUTED_VALUE"""),"Proficient")</f>
        <v>Proficient</v>
      </c>
      <c r="H1138" s="174" t="str">
        <f>IFERROR(__xludf.DUMMYFUNCTION("""COMPUTED_VALUE"""),"Unlisted")</f>
        <v>Unlisted</v>
      </c>
      <c r="I1138" s="174" t="str">
        <f>IFERROR(__xludf.DUMMYFUNCTION("""COMPUTED_VALUE"""),"Unlisted")</f>
        <v>Unlisted</v>
      </c>
      <c r="J1138" s="174" t="str">
        <f>IFERROR(__xludf.DUMMYFUNCTION("""COMPUTED_VALUE"""),"Unlisted")</f>
        <v>Unlisted</v>
      </c>
      <c r="K1138" s="174" t="str">
        <f>IFERROR(__xludf.DUMMYFUNCTION("""COMPUTED_VALUE"""),"Unlisted")</f>
        <v>Unlisted</v>
      </c>
      <c r="L1138" s="174" t="str">
        <f>IFERROR(__xludf.DUMMYFUNCTION("""COMPUTED_VALUE"""),"Unlisted")</f>
        <v>Unlisted</v>
      </c>
      <c r="M1138" s="174" t="str">
        <f>IFERROR(__xludf.DUMMYFUNCTION("""COMPUTED_VALUE"""),"Unlisted")</f>
        <v>Unlisted</v>
      </c>
      <c r="N1138" s="174" t="str">
        <f>IFERROR(__xludf.DUMMYFUNCTION("""COMPUTED_VALUE"""),"Unlisted")</f>
        <v>Unlisted</v>
      </c>
      <c r="O1138" s="174" t="str">
        <f>IFERROR(__xludf.DUMMYFUNCTION("""COMPUTED_VALUE"""),"Unlisted")</f>
        <v>Unlisted</v>
      </c>
      <c r="P1138" s="174" t="str">
        <f>IFERROR(__xludf.DUMMYFUNCTION("""COMPUTED_VALUE"""),"Unlisted")</f>
        <v>Unlisted</v>
      </c>
      <c r="Q1138" s="174" t="str">
        <f>IFERROR(__xludf.DUMMYFUNCTION("""COMPUTED_VALUE"""),"Unlisted")</f>
        <v>Unlisted</v>
      </c>
      <c r="R1138" s="174" t="str">
        <f>IFERROR(__xludf.DUMMYFUNCTION("""COMPUTED_VALUE"""),"Unlisted")</f>
        <v>Unlisted</v>
      </c>
    </row>
    <row r="1139">
      <c r="A1139" s="255" t="str">
        <f>IFERROR(__xludf.DUMMYFUNCTION("""COMPUTED_VALUE"""),"Galarian Zigzagoon")</f>
        <v>Galarian Zigzagoon</v>
      </c>
      <c r="B1139" s="174" t="str">
        <f>IFERROR(__xludf.DUMMYFUNCTION("""COMPUTED_VALUE"""),"Proficient")</f>
        <v>Proficient</v>
      </c>
      <c r="C1139" s="174" t="str">
        <f>IFERROR(__xludf.DUMMYFUNCTION("""COMPUTED_VALUE"""),"Unlisted")</f>
        <v>Unlisted</v>
      </c>
      <c r="D1139" s="174" t="str">
        <f>IFERROR(__xludf.DUMMYFUNCTION("""COMPUTED_VALUE"""),"Unlisted")</f>
        <v>Unlisted</v>
      </c>
      <c r="E1139" s="174" t="str">
        <f>IFERROR(__xludf.DUMMYFUNCTION("""COMPUTED_VALUE"""),"Unlisted")</f>
        <v>Unlisted</v>
      </c>
      <c r="F1139" s="174" t="str">
        <f>IFERROR(__xludf.DUMMYFUNCTION("""COMPUTED_VALUE"""),"Unlisted")</f>
        <v>Unlisted</v>
      </c>
      <c r="G1139" s="174" t="str">
        <f>IFERROR(__xludf.DUMMYFUNCTION("""COMPUTED_VALUE"""),"Unlisted")</f>
        <v>Unlisted</v>
      </c>
      <c r="H1139" s="174" t="str">
        <f>IFERROR(__xludf.DUMMYFUNCTION("""COMPUTED_VALUE"""),"Unlisted")</f>
        <v>Unlisted</v>
      </c>
      <c r="I1139" s="174" t="str">
        <f>IFERROR(__xludf.DUMMYFUNCTION("""COMPUTED_VALUE"""),"Unlisted")</f>
        <v>Unlisted</v>
      </c>
      <c r="J1139" s="174" t="str">
        <f>IFERROR(__xludf.DUMMYFUNCTION("""COMPUTED_VALUE"""),"Unlisted")</f>
        <v>Unlisted</v>
      </c>
      <c r="K1139" s="174" t="str">
        <f>IFERROR(__xludf.DUMMYFUNCTION("""COMPUTED_VALUE"""),"Proficient")</f>
        <v>Proficient</v>
      </c>
      <c r="L1139" s="174" t="str">
        <f>IFERROR(__xludf.DUMMYFUNCTION("""COMPUTED_VALUE"""),"Unlisted")</f>
        <v>Unlisted</v>
      </c>
      <c r="M1139" s="174" t="str">
        <f>IFERROR(__xludf.DUMMYFUNCTION("""COMPUTED_VALUE"""),"Unlisted")</f>
        <v>Unlisted</v>
      </c>
      <c r="N1139" s="174" t="str">
        <f>IFERROR(__xludf.DUMMYFUNCTION("""COMPUTED_VALUE"""),"Unlisted")</f>
        <v>Unlisted</v>
      </c>
      <c r="O1139" s="174" t="str">
        <f>IFERROR(__xludf.DUMMYFUNCTION("""COMPUTED_VALUE"""),"Unlisted")</f>
        <v>Unlisted</v>
      </c>
      <c r="P1139" s="174" t="str">
        <f>IFERROR(__xludf.DUMMYFUNCTION("""COMPUTED_VALUE"""),"Unlisted")</f>
        <v>Unlisted</v>
      </c>
      <c r="Q1139" s="174" t="str">
        <f>IFERROR(__xludf.DUMMYFUNCTION("""COMPUTED_VALUE"""),"Unlisted")</f>
        <v>Unlisted</v>
      </c>
      <c r="R1139" s="174" t="str">
        <f>IFERROR(__xludf.DUMMYFUNCTION("""COMPUTED_VALUE"""),"Unlisted")</f>
        <v>Unlisted</v>
      </c>
    </row>
    <row r="1140">
      <c r="A1140" s="255" t="str">
        <f>IFERROR(__xludf.DUMMYFUNCTION("""COMPUTED_VALUE"""),"Galarian Linoone")</f>
        <v>Galarian Linoone</v>
      </c>
      <c r="B1140" s="174" t="str">
        <f>IFERROR(__xludf.DUMMYFUNCTION("""COMPUTED_VALUE"""),"Proficient")</f>
        <v>Proficient</v>
      </c>
      <c r="C1140" s="174" t="str">
        <f>IFERROR(__xludf.DUMMYFUNCTION("""COMPUTED_VALUE"""),"Unlisted")</f>
        <v>Unlisted</v>
      </c>
      <c r="D1140" s="174" t="str">
        <f>IFERROR(__xludf.DUMMYFUNCTION("""COMPUTED_VALUE"""),"Unlisted")</f>
        <v>Unlisted</v>
      </c>
      <c r="E1140" s="174" t="str">
        <f>IFERROR(__xludf.DUMMYFUNCTION("""COMPUTED_VALUE"""),"Unlisted")</f>
        <v>Unlisted</v>
      </c>
      <c r="F1140" s="174" t="str">
        <f>IFERROR(__xludf.DUMMYFUNCTION("""COMPUTED_VALUE"""),"Unlisted")</f>
        <v>Unlisted</v>
      </c>
      <c r="G1140" s="174" t="str">
        <f>IFERROR(__xludf.DUMMYFUNCTION("""COMPUTED_VALUE"""),"Unlisted")</f>
        <v>Unlisted</v>
      </c>
      <c r="H1140" s="174" t="str">
        <f>IFERROR(__xludf.DUMMYFUNCTION("""COMPUTED_VALUE"""),"Unlisted")</f>
        <v>Unlisted</v>
      </c>
      <c r="I1140" s="174" t="str">
        <f>IFERROR(__xludf.DUMMYFUNCTION("""COMPUTED_VALUE"""),"Unlisted")</f>
        <v>Unlisted</v>
      </c>
      <c r="J1140" s="174" t="str">
        <f>IFERROR(__xludf.DUMMYFUNCTION("""COMPUTED_VALUE"""),"Unlisted")</f>
        <v>Unlisted</v>
      </c>
      <c r="K1140" s="174" t="str">
        <f>IFERROR(__xludf.DUMMYFUNCTION("""COMPUTED_VALUE"""),"Proficient")</f>
        <v>Proficient</v>
      </c>
      <c r="L1140" s="174" t="str">
        <f>IFERROR(__xludf.DUMMYFUNCTION("""COMPUTED_VALUE"""),"Unlisted")</f>
        <v>Unlisted</v>
      </c>
      <c r="M1140" s="174" t="str">
        <f>IFERROR(__xludf.DUMMYFUNCTION("""COMPUTED_VALUE"""),"Unlisted")</f>
        <v>Unlisted</v>
      </c>
      <c r="N1140" s="174" t="str">
        <f>IFERROR(__xludf.DUMMYFUNCTION("""COMPUTED_VALUE"""),"Unlisted")</f>
        <v>Unlisted</v>
      </c>
      <c r="O1140" s="174" t="str">
        <f>IFERROR(__xludf.DUMMYFUNCTION("""COMPUTED_VALUE"""),"Unlisted")</f>
        <v>Unlisted</v>
      </c>
      <c r="P1140" s="174" t="str">
        <f>IFERROR(__xludf.DUMMYFUNCTION("""COMPUTED_VALUE"""),"Unlisted")</f>
        <v>Unlisted</v>
      </c>
      <c r="Q1140" s="174" t="str">
        <f>IFERROR(__xludf.DUMMYFUNCTION("""COMPUTED_VALUE"""),"Unlisted")</f>
        <v>Unlisted</v>
      </c>
      <c r="R1140" s="174" t="str">
        <f>IFERROR(__xludf.DUMMYFUNCTION("""COMPUTED_VALUE"""),"Unlisted")</f>
        <v>Unlisted</v>
      </c>
    </row>
    <row r="1141">
      <c r="A1141" s="255" t="str">
        <f>IFERROR(__xludf.DUMMYFUNCTION("""COMPUTED_VALUE"""),"Obstagoon")</f>
        <v>Obstagoon</v>
      </c>
      <c r="B1141" s="174" t="str">
        <f>IFERROR(__xludf.DUMMYFUNCTION("""COMPUTED_VALUE"""),"Unlisted")</f>
        <v>Unlisted</v>
      </c>
      <c r="C1141" s="174" t="str">
        <f>IFERROR(__xludf.DUMMYFUNCTION("""COMPUTED_VALUE"""),"Proficient")</f>
        <v>Proficient</v>
      </c>
      <c r="D1141" s="174" t="str">
        <f>IFERROR(__xludf.DUMMYFUNCTION("""COMPUTED_VALUE"""),"Unlisted")</f>
        <v>Unlisted</v>
      </c>
      <c r="E1141" s="174" t="str">
        <f>IFERROR(__xludf.DUMMYFUNCTION("""COMPUTED_VALUE"""),"Proficient")</f>
        <v>Proficient</v>
      </c>
      <c r="F1141" s="174" t="str">
        <f>IFERROR(__xludf.DUMMYFUNCTION("""COMPUTED_VALUE"""),"Proficient")</f>
        <v>Proficient</v>
      </c>
      <c r="G1141" s="174" t="str">
        <f>IFERROR(__xludf.DUMMYFUNCTION("""COMPUTED_VALUE"""),"Inept")</f>
        <v>Inept</v>
      </c>
      <c r="H1141" s="174" t="str">
        <f>IFERROR(__xludf.DUMMYFUNCTION("""COMPUTED_VALUE"""),"Unlisted")</f>
        <v>Unlisted</v>
      </c>
      <c r="I1141" s="174" t="str">
        <f>IFERROR(__xludf.DUMMYFUNCTION("""COMPUTED_VALUE"""),"Unlisted")</f>
        <v>Unlisted</v>
      </c>
      <c r="J1141" s="174" t="str">
        <f>IFERROR(__xludf.DUMMYFUNCTION("""COMPUTED_VALUE"""),"Unlisted")</f>
        <v>Unlisted</v>
      </c>
      <c r="K1141" s="174" t="str">
        <f>IFERROR(__xludf.DUMMYFUNCTION("""COMPUTED_VALUE"""),"Proficient")</f>
        <v>Proficient</v>
      </c>
      <c r="L1141" s="174" t="str">
        <f>IFERROR(__xludf.DUMMYFUNCTION("""COMPUTED_VALUE"""),"Unlisted")</f>
        <v>Unlisted</v>
      </c>
      <c r="M1141" s="174" t="str">
        <f>IFERROR(__xludf.DUMMYFUNCTION("""COMPUTED_VALUE"""),"Unlisted")</f>
        <v>Unlisted</v>
      </c>
      <c r="N1141" s="174" t="str">
        <f>IFERROR(__xludf.DUMMYFUNCTION("""COMPUTED_VALUE"""),"Unlisted")</f>
        <v>Unlisted</v>
      </c>
      <c r="O1141" s="174" t="str">
        <f>IFERROR(__xludf.DUMMYFUNCTION("""COMPUTED_VALUE"""),"Unlisted")</f>
        <v>Unlisted</v>
      </c>
      <c r="P1141" s="174" t="str">
        <f>IFERROR(__xludf.DUMMYFUNCTION("""COMPUTED_VALUE"""),"Unlisted")</f>
        <v>Unlisted</v>
      </c>
      <c r="Q1141" s="174" t="str">
        <f>IFERROR(__xludf.DUMMYFUNCTION("""COMPUTED_VALUE"""),"Unlisted")</f>
        <v>Unlisted</v>
      </c>
      <c r="R1141" s="174" t="str">
        <f>IFERROR(__xludf.DUMMYFUNCTION("""COMPUTED_VALUE"""),"Unlisted")</f>
        <v>Unlisted</v>
      </c>
    </row>
    <row r="1142">
      <c r="A1142" s="255" t="str">
        <f>IFERROR(__xludf.DUMMYFUNCTION("""COMPUTED_VALUE"""),"Galarian Farfetch'd")</f>
        <v>Galarian Farfetch'd</v>
      </c>
      <c r="B1142" s="174" t="str">
        <f>IFERROR(__xludf.DUMMYFUNCTION("""COMPUTED_VALUE"""),"Unlisted")</f>
        <v>Unlisted</v>
      </c>
      <c r="C1142" s="174" t="str">
        <f>IFERROR(__xludf.DUMMYFUNCTION("""COMPUTED_VALUE"""),"Proficient")</f>
        <v>Proficient</v>
      </c>
      <c r="D1142" s="174" t="str">
        <f>IFERROR(__xludf.DUMMYFUNCTION("""COMPUTED_VALUE"""),"Unlisted")</f>
        <v>Unlisted</v>
      </c>
      <c r="E1142" s="174" t="str">
        <f>IFERROR(__xludf.DUMMYFUNCTION("""COMPUTED_VALUE"""),"Proficient")</f>
        <v>Proficient</v>
      </c>
      <c r="F1142" s="174" t="str">
        <f>IFERROR(__xludf.DUMMYFUNCTION("""COMPUTED_VALUE"""),"Unlisted")</f>
        <v>Unlisted</v>
      </c>
      <c r="G1142" s="174" t="str">
        <f>IFERROR(__xludf.DUMMYFUNCTION("""COMPUTED_VALUE"""),"Unlisted")</f>
        <v>Unlisted</v>
      </c>
      <c r="H1142" s="174" t="str">
        <f>IFERROR(__xludf.DUMMYFUNCTION("""COMPUTED_VALUE"""),"Unlisted")</f>
        <v>Unlisted</v>
      </c>
      <c r="I1142" s="174" t="str">
        <f>IFERROR(__xludf.DUMMYFUNCTION("""COMPUTED_VALUE"""),"Unlisted")</f>
        <v>Unlisted</v>
      </c>
      <c r="J1142" s="174" t="str">
        <f>IFERROR(__xludf.DUMMYFUNCTION("""COMPUTED_VALUE"""),"Unlisted")</f>
        <v>Unlisted</v>
      </c>
      <c r="K1142" s="174" t="str">
        <f>IFERROR(__xludf.DUMMYFUNCTION("""COMPUTED_VALUE"""),"Proficient")</f>
        <v>Proficient</v>
      </c>
      <c r="L1142" s="174" t="str">
        <f>IFERROR(__xludf.DUMMYFUNCTION("""COMPUTED_VALUE"""),"Unlisted")</f>
        <v>Unlisted</v>
      </c>
      <c r="M1142" s="174" t="str">
        <f>IFERROR(__xludf.DUMMYFUNCTION("""COMPUTED_VALUE"""),"Unlisted")</f>
        <v>Unlisted</v>
      </c>
      <c r="N1142" s="174" t="str">
        <f>IFERROR(__xludf.DUMMYFUNCTION("""COMPUTED_VALUE"""),"Unlisted")</f>
        <v>Unlisted</v>
      </c>
      <c r="O1142" s="174" t="str">
        <f>IFERROR(__xludf.DUMMYFUNCTION("""COMPUTED_VALUE"""),"Unlisted")</f>
        <v>Unlisted</v>
      </c>
      <c r="P1142" s="174" t="str">
        <f>IFERROR(__xludf.DUMMYFUNCTION("""COMPUTED_VALUE"""),"Unlisted")</f>
        <v>Unlisted</v>
      </c>
      <c r="Q1142" s="174" t="str">
        <f>IFERROR(__xludf.DUMMYFUNCTION("""COMPUTED_VALUE"""),"Unlisted")</f>
        <v>Unlisted</v>
      </c>
      <c r="R1142" s="174" t="str">
        <f>IFERROR(__xludf.DUMMYFUNCTION("""COMPUTED_VALUE"""),"Unlisted")</f>
        <v>Unlisted</v>
      </c>
    </row>
    <row r="1143">
      <c r="A1143" s="255" t="str">
        <f>IFERROR(__xludf.DUMMYFUNCTION("""COMPUTED_VALUE"""),"Sirfetch'd")</f>
        <v>Sirfetch'd</v>
      </c>
      <c r="B1143" s="174" t="str">
        <f>IFERROR(__xludf.DUMMYFUNCTION("""COMPUTED_VALUE"""),"Unlisted")</f>
        <v>Unlisted</v>
      </c>
      <c r="C1143" s="174" t="str">
        <f>IFERROR(__xludf.DUMMYFUNCTION("""COMPUTED_VALUE"""),"Proficient")</f>
        <v>Proficient</v>
      </c>
      <c r="D1143" s="174" t="str">
        <f>IFERROR(__xludf.DUMMYFUNCTION("""COMPUTED_VALUE"""),"Unlisted")</f>
        <v>Unlisted</v>
      </c>
      <c r="E1143" s="174" t="str">
        <f>IFERROR(__xludf.DUMMYFUNCTION("""COMPUTED_VALUE"""),"Unlisted")</f>
        <v>Unlisted</v>
      </c>
      <c r="F1143" s="174" t="str">
        <f>IFERROR(__xludf.DUMMYFUNCTION("""COMPUTED_VALUE"""),"Unlisted")</f>
        <v>Unlisted</v>
      </c>
      <c r="G1143" s="174" t="str">
        <f>IFERROR(__xludf.DUMMYFUNCTION("""COMPUTED_VALUE"""),"Proficient")</f>
        <v>Proficient</v>
      </c>
      <c r="H1143" s="174" t="str">
        <f>IFERROR(__xludf.DUMMYFUNCTION("""COMPUTED_VALUE"""),"Unlisted")</f>
        <v>Unlisted</v>
      </c>
      <c r="I1143" s="174" t="str">
        <f>IFERROR(__xludf.DUMMYFUNCTION("""COMPUTED_VALUE"""),"Unlisted")</f>
        <v>Unlisted</v>
      </c>
      <c r="J1143" s="174" t="str">
        <f>IFERROR(__xludf.DUMMYFUNCTION("""COMPUTED_VALUE"""),"Unlisted")</f>
        <v>Unlisted</v>
      </c>
      <c r="K1143" s="174" t="str">
        <f>IFERROR(__xludf.DUMMYFUNCTION("""COMPUTED_VALUE"""),"Unlisted")</f>
        <v>Unlisted</v>
      </c>
      <c r="L1143" s="174" t="str">
        <f>IFERROR(__xludf.DUMMYFUNCTION("""COMPUTED_VALUE"""),"Unlisted")</f>
        <v>Unlisted</v>
      </c>
      <c r="M1143" s="174" t="str">
        <f>IFERROR(__xludf.DUMMYFUNCTION("""COMPUTED_VALUE"""),"Unlisted")</f>
        <v>Unlisted</v>
      </c>
      <c r="N1143" s="174" t="str">
        <f>IFERROR(__xludf.DUMMYFUNCTION("""COMPUTED_VALUE"""),"Unlisted")</f>
        <v>Unlisted</v>
      </c>
      <c r="O1143" s="174" t="str">
        <f>IFERROR(__xludf.DUMMYFUNCTION("""COMPUTED_VALUE"""),"Unlisted")</f>
        <v>Unlisted</v>
      </c>
      <c r="P1143" s="174" t="str">
        <f>IFERROR(__xludf.DUMMYFUNCTION("""COMPUTED_VALUE"""),"Unlisted")</f>
        <v>Unlisted</v>
      </c>
      <c r="Q1143" s="174" t="str">
        <f>IFERROR(__xludf.DUMMYFUNCTION("""COMPUTED_VALUE"""),"Unlisted")</f>
        <v>Unlisted</v>
      </c>
      <c r="R1143" s="174" t="str">
        <f>IFERROR(__xludf.DUMMYFUNCTION("""COMPUTED_VALUE"""),"Unlisted")</f>
        <v>Unlisted</v>
      </c>
    </row>
    <row r="1144">
      <c r="A1144" s="255" t="str">
        <f>IFERROR(__xludf.DUMMYFUNCTION("""COMPUTED_VALUE"""),"Galarian Corsola")</f>
        <v>Galarian Corsola</v>
      </c>
      <c r="B1144" s="174" t="str">
        <f>IFERROR(__xludf.DUMMYFUNCTION("""COMPUTED_VALUE"""),"Unlisted")</f>
        <v>Unlisted</v>
      </c>
      <c r="C1144" s="174" t="str">
        <f>IFERROR(__xludf.DUMMYFUNCTION("""COMPUTED_VALUE"""),"Unlisted")</f>
        <v>Unlisted</v>
      </c>
      <c r="D1144" s="174" t="str">
        <f>IFERROR(__xludf.DUMMYFUNCTION("""COMPUTED_VALUE"""),"Unlisted")</f>
        <v>Unlisted</v>
      </c>
      <c r="E1144" s="174" t="str">
        <f>IFERROR(__xludf.DUMMYFUNCTION("""COMPUTED_VALUE"""),"Unlisted")</f>
        <v>Unlisted</v>
      </c>
      <c r="F1144" s="174" t="str">
        <f>IFERROR(__xludf.DUMMYFUNCTION("""COMPUTED_VALUE"""),"Unlisted")</f>
        <v>Unlisted</v>
      </c>
      <c r="G1144" s="174" t="str">
        <f>IFERROR(__xludf.DUMMYFUNCTION("""COMPUTED_VALUE"""),"Proficient")</f>
        <v>Proficient</v>
      </c>
      <c r="H1144" s="174" t="str">
        <f>IFERROR(__xludf.DUMMYFUNCTION("""COMPUTED_VALUE"""),"Unlisted")</f>
        <v>Unlisted</v>
      </c>
      <c r="I1144" s="174" t="str">
        <f>IFERROR(__xludf.DUMMYFUNCTION("""COMPUTED_VALUE"""),"Unlisted")</f>
        <v>Unlisted</v>
      </c>
      <c r="J1144" s="174" t="str">
        <f>IFERROR(__xludf.DUMMYFUNCTION("""COMPUTED_VALUE"""),"Unlisted")</f>
        <v>Unlisted</v>
      </c>
      <c r="K1144" s="174" t="str">
        <f>IFERROR(__xludf.DUMMYFUNCTION("""COMPUTED_VALUE"""),"Unlisted")</f>
        <v>Unlisted</v>
      </c>
      <c r="L1144" s="174" t="str">
        <f>IFERROR(__xludf.DUMMYFUNCTION("""COMPUTED_VALUE"""),"Proficient")</f>
        <v>Proficient</v>
      </c>
      <c r="M1144" s="174" t="str">
        <f>IFERROR(__xludf.DUMMYFUNCTION("""COMPUTED_VALUE"""),"Unlisted")</f>
        <v>Unlisted</v>
      </c>
      <c r="N1144" s="174" t="str">
        <f>IFERROR(__xludf.DUMMYFUNCTION("""COMPUTED_VALUE"""),"Unlisted")</f>
        <v>Unlisted</v>
      </c>
      <c r="O1144" s="174" t="str">
        <f>IFERROR(__xludf.DUMMYFUNCTION("""COMPUTED_VALUE"""),"Unlisted")</f>
        <v>Unlisted</v>
      </c>
      <c r="P1144" s="174" t="str">
        <f>IFERROR(__xludf.DUMMYFUNCTION("""COMPUTED_VALUE"""),"Unlisted")</f>
        <v>Unlisted</v>
      </c>
      <c r="Q1144" s="174" t="str">
        <f>IFERROR(__xludf.DUMMYFUNCTION("""COMPUTED_VALUE"""),"Unlisted")</f>
        <v>Unlisted</v>
      </c>
      <c r="R1144" s="174" t="str">
        <f>IFERROR(__xludf.DUMMYFUNCTION("""COMPUTED_VALUE"""),"Unlisted")</f>
        <v>Unlisted</v>
      </c>
    </row>
    <row r="1145">
      <c r="A1145" s="255" t="str">
        <f>IFERROR(__xludf.DUMMYFUNCTION("""COMPUTED_VALUE"""),"Cursola")</f>
        <v>Cursola</v>
      </c>
      <c r="B1145" s="174" t="str">
        <f>IFERROR(__xludf.DUMMYFUNCTION("""COMPUTED_VALUE"""),"Unlisted")</f>
        <v>Unlisted</v>
      </c>
      <c r="C1145" s="174" t="str">
        <f>IFERROR(__xludf.DUMMYFUNCTION("""COMPUTED_VALUE"""),"Unlisted")</f>
        <v>Unlisted</v>
      </c>
      <c r="D1145" s="174" t="str">
        <f>IFERROR(__xludf.DUMMYFUNCTION("""COMPUTED_VALUE"""),"Unlisted")</f>
        <v>Unlisted</v>
      </c>
      <c r="E1145" s="174" t="str">
        <f>IFERROR(__xludf.DUMMYFUNCTION("""COMPUTED_VALUE"""),"Unlisted")</f>
        <v>Unlisted</v>
      </c>
      <c r="F1145" s="174" t="str">
        <f>IFERROR(__xludf.DUMMYFUNCTION("""COMPUTED_VALUE"""),"Unlisted")</f>
        <v>Unlisted</v>
      </c>
      <c r="G1145" s="174" t="str">
        <f>IFERROR(__xludf.DUMMYFUNCTION("""COMPUTED_VALUE"""),"Proficient")</f>
        <v>Proficient</v>
      </c>
      <c r="H1145" s="174" t="str">
        <f>IFERROR(__xludf.DUMMYFUNCTION("""COMPUTED_VALUE"""),"Unlisted")</f>
        <v>Unlisted</v>
      </c>
      <c r="I1145" s="174" t="str">
        <f>IFERROR(__xludf.DUMMYFUNCTION("""COMPUTED_VALUE"""),"Unlisted")</f>
        <v>Unlisted</v>
      </c>
      <c r="J1145" s="174" t="str">
        <f>IFERROR(__xludf.DUMMYFUNCTION("""COMPUTED_VALUE"""),"Unlisted")</f>
        <v>Unlisted</v>
      </c>
      <c r="K1145" s="174" t="str">
        <f>IFERROR(__xludf.DUMMYFUNCTION("""COMPUTED_VALUE"""),"Unlisted")</f>
        <v>Unlisted</v>
      </c>
      <c r="L1145" s="174" t="str">
        <f>IFERROR(__xludf.DUMMYFUNCTION("""COMPUTED_VALUE"""),"Proficient")</f>
        <v>Proficient</v>
      </c>
      <c r="M1145" s="174" t="str">
        <f>IFERROR(__xludf.DUMMYFUNCTION("""COMPUTED_VALUE"""),"Unlisted")</f>
        <v>Unlisted</v>
      </c>
      <c r="N1145" s="174" t="str">
        <f>IFERROR(__xludf.DUMMYFUNCTION("""COMPUTED_VALUE"""),"Unlisted")</f>
        <v>Unlisted</v>
      </c>
      <c r="O1145" s="174" t="str">
        <f>IFERROR(__xludf.DUMMYFUNCTION("""COMPUTED_VALUE"""),"Unlisted")</f>
        <v>Unlisted</v>
      </c>
      <c r="P1145" s="174" t="str">
        <f>IFERROR(__xludf.DUMMYFUNCTION("""COMPUTED_VALUE"""),"Unlisted")</f>
        <v>Unlisted</v>
      </c>
      <c r="Q1145" s="174" t="str">
        <f>IFERROR(__xludf.DUMMYFUNCTION("""COMPUTED_VALUE"""),"Unlisted")</f>
        <v>Unlisted</v>
      </c>
      <c r="R1145" s="174" t="str">
        <f>IFERROR(__xludf.DUMMYFUNCTION("""COMPUTED_VALUE"""),"Unlisted")</f>
        <v>Unlisted</v>
      </c>
    </row>
    <row r="1146">
      <c r="A1146" s="255" t="str">
        <f>IFERROR(__xludf.DUMMYFUNCTION("""COMPUTED_VALUE"""),"Galarian Yamask")</f>
        <v>Galarian Yamask</v>
      </c>
      <c r="B1146" s="174" t="str">
        <f>IFERROR(__xludf.DUMMYFUNCTION("""COMPUTED_VALUE"""),"Unlisted")</f>
        <v>Unlisted</v>
      </c>
      <c r="C1146" s="174" t="str">
        <f>IFERROR(__xludf.DUMMYFUNCTION("""COMPUTED_VALUE"""),"Unlisted")</f>
        <v>Unlisted</v>
      </c>
      <c r="D1146" s="174" t="str">
        <f>IFERROR(__xludf.DUMMYFUNCTION("""COMPUTED_VALUE"""),"Unlisted")</f>
        <v>Unlisted</v>
      </c>
      <c r="E1146" s="174" t="str">
        <f>IFERROR(__xludf.DUMMYFUNCTION("""COMPUTED_VALUE"""),"Unlisted")</f>
        <v>Unlisted</v>
      </c>
      <c r="F1146" s="174" t="str">
        <f>IFERROR(__xludf.DUMMYFUNCTION("""COMPUTED_VALUE"""),"Unlisted")</f>
        <v>Unlisted</v>
      </c>
      <c r="G1146" s="174" t="str">
        <f>IFERROR(__xludf.DUMMYFUNCTION("""COMPUTED_VALUE"""),"Proficient")</f>
        <v>Proficient</v>
      </c>
      <c r="H1146" s="174" t="str">
        <f>IFERROR(__xludf.DUMMYFUNCTION("""COMPUTED_VALUE"""),"Unlisted")</f>
        <v>Unlisted</v>
      </c>
      <c r="I1146" s="174" t="str">
        <f>IFERROR(__xludf.DUMMYFUNCTION("""COMPUTED_VALUE"""),"Unlisted")</f>
        <v>Unlisted</v>
      </c>
      <c r="J1146" s="174" t="str">
        <f>IFERROR(__xludf.DUMMYFUNCTION("""COMPUTED_VALUE"""),"Unlisted")</f>
        <v>Unlisted</v>
      </c>
      <c r="K1146" s="174" t="str">
        <f>IFERROR(__xludf.DUMMYFUNCTION("""COMPUTED_VALUE"""),"Unlisted")</f>
        <v>Unlisted</v>
      </c>
      <c r="L1146" s="174" t="str">
        <f>IFERROR(__xludf.DUMMYFUNCTION("""COMPUTED_VALUE"""),"Proficient")</f>
        <v>Proficient</v>
      </c>
      <c r="M1146" s="174" t="str">
        <f>IFERROR(__xludf.DUMMYFUNCTION("""COMPUTED_VALUE"""),"Unlisted")</f>
        <v>Unlisted</v>
      </c>
      <c r="N1146" s="174" t="str">
        <f>IFERROR(__xludf.DUMMYFUNCTION("""COMPUTED_VALUE"""),"Unlisted")</f>
        <v>Unlisted</v>
      </c>
      <c r="O1146" s="174" t="str">
        <f>IFERROR(__xludf.DUMMYFUNCTION("""COMPUTED_VALUE"""),"Unlisted")</f>
        <v>Unlisted</v>
      </c>
      <c r="P1146" s="174" t="str">
        <f>IFERROR(__xludf.DUMMYFUNCTION("""COMPUTED_VALUE"""),"Unlisted")</f>
        <v>Unlisted</v>
      </c>
      <c r="Q1146" s="174" t="str">
        <f>IFERROR(__xludf.DUMMYFUNCTION("""COMPUTED_VALUE"""),"Unlisted")</f>
        <v>Unlisted</v>
      </c>
      <c r="R1146" s="174" t="str">
        <f>IFERROR(__xludf.DUMMYFUNCTION("""COMPUTED_VALUE"""),"Unlisted")</f>
        <v>Unlisted</v>
      </c>
    </row>
    <row r="1147">
      <c r="A1147" s="255" t="str">
        <f>IFERROR(__xludf.DUMMYFUNCTION("""COMPUTED_VALUE"""),"Runerigus")</f>
        <v>Runerigus</v>
      </c>
      <c r="B1147" s="174" t="str">
        <f>IFERROR(__xludf.DUMMYFUNCTION("""COMPUTED_VALUE"""),"Unlisted")</f>
        <v>Unlisted</v>
      </c>
      <c r="C1147" s="174" t="str">
        <f>IFERROR(__xludf.DUMMYFUNCTION("""COMPUTED_VALUE"""),"Unlisted")</f>
        <v>Unlisted</v>
      </c>
      <c r="D1147" s="174" t="str">
        <f>IFERROR(__xludf.DUMMYFUNCTION("""COMPUTED_VALUE"""),"Unlisted")</f>
        <v>Unlisted</v>
      </c>
      <c r="E1147" s="174" t="str">
        <f>IFERROR(__xludf.DUMMYFUNCTION("""COMPUTED_VALUE"""),"Unlisted")</f>
        <v>Unlisted</v>
      </c>
      <c r="F1147" s="174" t="str">
        <f>IFERROR(__xludf.DUMMYFUNCTION("""COMPUTED_VALUE"""),"Unlisted")</f>
        <v>Unlisted</v>
      </c>
      <c r="G1147" s="174" t="str">
        <f>IFERROR(__xludf.DUMMYFUNCTION("""COMPUTED_VALUE"""),"Proficient")</f>
        <v>Proficient</v>
      </c>
      <c r="H1147" s="174" t="str">
        <f>IFERROR(__xludf.DUMMYFUNCTION("""COMPUTED_VALUE"""),"Unlisted")</f>
        <v>Unlisted</v>
      </c>
      <c r="I1147" s="174" t="str">
        <f>IFERROR(__xludf.DUMMYFUNCTION("""COMPUTED_VALUE"""),"Proficient")</f>
        <v>Proficient</v>
      </c>
      <c r="J1147" s="174" t="str">
        <f>IFERROR(__xludf.DUMMYFUNCTION("""COMPUTED_VALUE"""),"Unlisted")</f>
        <v>Unlisted</v>
      </c>
      <c r="K1147" s="174" t="str">
        <f>IFERROR(__xludf.DUMMYFUNCTION("""COMPUTED_VALUE"""),"Unlisted")</f>
        <v>Unlisted</v>
      </c>
      <c r="L1147" s="174" t="str">
        <f>IFERROR(__xludf.DUMMYFUNCTION("""COMPUTED_VALUE"""),"Proficient")</f>
        <v>Proficient</v>
      </c>
      <c r="M1147" s="174" t="str">
        <f>IFERROR(__xludf.DUMMYFUNCTION("""COMPUTED_VALUE"""),"Unlisted")</f>
        <v>Unlisted</v>
      </c>
      <c r="N1147" s="174" t="str">
        <f>IFERROR(__xludf.DUMMYFUNCTION("""COMPUTED_VALUE"""),"Unlisted")</f>
        <v>Unlisted</v>
      </c>
      <c r="O1147" s="174" t="str">
        <f>IFERROR(__xludf.DUMMYFUNCTION("""COMPUTED_VALUE"""),"Unlisted")</f>
        <v>Unlisted</v>
      </c>
      <c r="P1147" s="174" t="str">
        <f>IFERROR(__xludf.DUMMYFUNCTION("""COMPUTED_VALUE"""),"Unlisted")</f>
        <v>Unlisted</v>
      </c>
      <c r="Q1147" s="174" t="str">
        <f>IFERROR(__xludf.DUMMYFUNCTION("""COMPUTED_VALUE"""),"Unlisted")</f>
        <v>Unlisted</v>
      </c>
      <c r="R1147" s="174" t="str">
        <f>IFERROR(__xludf.DUMMYFUNCTION("""COMPUTED_VALUE"""),"Unlisted")</f>
        <v>Unlisted</v>
      </c>
    </row>
    <row r="1148">
      <c r="A1148" s="255" t="str">
        <f>IFERROR(__xludf.DUMMYFUNCTION("""COMPUTED_VALUE"""),"Galarian Stunfisk")</f>
        <v>Galarian Stunfisk</v>
      </c>
      <c r="B1148" s="174" t="str">
        <f>IFERROR(__xludf.DUMMYFUNCTION("""COMPUTED_VALUE"""),"Inept")</f>
        <v>Inept</v>
      </c>
      <c r="C1148" s="174" t="str">
        <f>IFERROR(__xludf.DUMMYFUNCTION("""COMPUTED_VALUE"""),"Proficient")</f>
        <v>Proficient</v>
      </c>
      <c r="D1148" s="174" t="str">
        <f>IFERROR(__xludf.DUMMYFUNCTION("""COMPUTED_VALUE"""),"Unlisted")</f>
        <v>Unlisted</v>
      </c>
      <c r="E1148" s="174" t="str">
        <f>IFERROR(__xludf.DUMMYFUNCTION("""COMPUTED_VALUE"""),"Unlisted")</f>
        <v>Unlisted</v>
      </c>
      <c r="F1148" s="174" t="str">
        <f>IFERROR(__xludf.DUMMYFUNCTION("""COMPUTED_VALUE"""),"Unlisted")</f>
        <v>Unlisted</v>
      </c>
      <c r="G1148" s="174" t="str">
        <f>IFERROR(__xludf.DUMMYFUNCTION("""COMPUTED_VALUE"""),"Proficient")</f>
        <v>Proficient</v>
      </c>
      <c r="H1148" s="174" t="str">
        <f>IFERROR(__xludf.DUMMYFUNCTION("""COMPUTED_VALUE"""),"Unlisted")</f>
        <v>Unlisted</v>
      </c>
      <c r="I1148" s="174" t="str">
        <f>IFERROR(__xludf.DUMMYFUNCTION("""COMPUTED_VALUE"""),"Unlisted")</f>
        <v>Unlisted</v>
      </c>
      <c r="J1148" s="174" t="str">
        <f>IFERROR(__xludf.DUMMYFUNCTION("""COMPUTED_VALUE"""),"Unlisted")</f>
        <v>Unlisted</v>
      </c>
      <c r="K1148" s="174" t="str">
        <f>IFERROR(__xludf.DUMMYFUNCTION("""COMPUTED_VALUE"""),"Unlisted")</f>
        <v>Unlisted</v>
      </c>
      <c r="L1148" s="174" t="str">
        <f>IFERROR(__xludf.DUMMYFUNCTION("""COMPUTED_VALUE"""),"Mastered")</f>
        <v>Mastered</v>
      </c>
      <c r="M1148" s="174" t="str">
        <f>IFERROR(__xludf.DUMMYFUNCTION("""COMPUTED_VALUE"""),"Unlisted")</f>
        <v>Unlisted</v>
      </c>
      <c r="N1148" s="174" t="str">
        <f>IFERROR(__xludf.DUMMYFUNCTION("""COMPUTED_VALUE"""),"Unlisted")</f>
        <v>Unlisted</v>
      </c>
      <c r="O1148" s="174" t="str">
        <f>IFERROR(__xludf.DUMMYFUNCTION("""COMPUTED_VALUE"""),"Unlisted")</f>
        <v>Unlisted</v>
      </c>
      <c r="P1148" s="174" t="str">
        <f>IFERROR(__xludf.DUMMYFUNCTION("""COMPUTED_VALUE"""),"Unlisted")</f>
        <v>Unlisted</v>
      </c>
      <c r="Q1148" s="174" t="str">
        <f>IFERROR(__xludf.DUMMYFUNCTION("""COMPUTED_VALUE"""),"Unlisted")</f>
        <v>Unlisted</v>
      </c>
      <c r="R1148" s="174" t="str">
        <f>IFERROR(__xludf.DUMMYFUNCTION("""COMPUTED_VALUE"""),"Unlisted")</f>
        <v>Unlisted</v>
      </c>
    </row>
    <row r="1149">
      <c r="A1149" s="255" t="str">
        <f>IFERROR(__xludf.DUMMYFUNCTION("""COMPUTED_VALUE"""),"Galarian Darumaka")</f>
        <v>Galarian Darumaka</v>
      </c>
      <c r="B1149" s="174" t="str">
        <f>IFERROR(__xludf.DUMMYFUNCTION("""COMPUTED_VALUE"""),"Unlisted")</f>
        <v>Unlisted</v>
      </c>
      <c r="C1149" s="174" t="str">
        <f>IFERROR(__xludf.DUMMYFUNCTION("""COMPUTED_VALUE"""),"Mastered")</f>
        <v>Mastered</v>
      </c>
      <c r="D1149" s="174" t="str">
        <f>IFERROR(__xludf.DUMMYFUNCTION("""COMPUTED_VALUE"""),"Unlisted")</f>
        <v>Unlisted</v>
      </c>
      <c r="E1149" s="174" t="str">
        <f>IFERROR(__xludf.DUMMYFUNCTION("""COMPUTED_VALUE"""),"Proficient")</f>
        <v>Proficient</v>
      </c>
      <c r="F1149" s="174" t="str">
        <f>IFERROR(__xludf.DUMMYFUNCTION("""COMPUTED_VALUE"""),"Unlisted")</f>
        <v>Unlisted</v>
      </c>
      <c r="G1149" s="174" t="str">
        <f>IFERROR(__xludf.DUMMYFUNCTION("""COMPUTED_VALUE"""),"Proficient")</f>
        <v>Proficient</v>
      </c>
      <c r="H1149" s="174" t="str">
        <f>IFERROR(__xludf.DUMMYFUNCTION("""COMPUTED_VALUE"""),"Unlisted")</f>
        <v>Unlisted</v>
      </c>
      <c r="I1149" s="174" t="str">
        <f>IFERROR(__xludf.DUMMYFUNCTION("""COMPUTED_VALUE"""),"Unlisted")</f>
        <v>Unlisted</v>
      </c>
      <c r="J1149" s="174" t="str">
        <f>IFERROR(__xludf.DUMMYFUNCTION("""COMPUTED_VALUE"""),"Unlisted")</f>
        <v>Unlisted</v>
      </c>
      <c r="K1149" s="174" t="str">
        <f>IFERROR(__xludf.DUMMYFUNCTION("""COMPUTED_VALUE"""),"Unlisted")</f>
        <v>Unlisted</v>
      </c>
      <c r="L1149" s="174" t="str">
        <f>IFERROR(__xludf.DUMMYFUNCTION("""COMPUTED_VALUE"""),"Unlisted")</f>
        <v>Unlisted</v>
      </c>
      <c r="M1149" s="174" t="str">
        <f>IFERROR(__xludf.DUMMYFUNCTION("""COMPUTED_VALUE"""),"Unlisted")</f>
        <v>Unlisted</v>
      </c>
      <c r="N1149" s="174" t="str">
        <f>IFERROR(__xludf.DUMMYFUNCTION("""COMPUTED_VALUE"""),"Unlisted")</f>
        <v>Unlisted</v>
      </c>
      <c r="O1149" s="174" t="str">
        <f>IFERROR(__xludf.DUMMYFUNCTION("""COMPUTED_VALUE"""),"Unlisted")</f>
        <v>Unlisted</v>
      </c>
      <c r="P1149" s="174" t="str">
        <f>IFERROR(__xludf.DUMMYFUNCTION("""COMPUTED_VALUE"""),"Unlisted")</f>
        <v>Unlisted</v>
      </c>
      <c r="Q1149" s="174" t="str">
        <f>IFERROR(__xludf.DUMMYFUNCTION("""COMPUTED_VALUE"""),"Unlisted")</f>
        <v>Unlisted</v>
      </c>
      <c r="R1149" s="174" t="str">
        <f>IFERROR(__xludf.DUMMYFUNCTION("""COMPUTED_VALUE"""),"Unlisted")</f>
        <v>Unlisted</v>
      </c>
    </row>
    <row r="1150">
      <c r="A1150" s="255" t="str">
        <f>IFERROR(__xludf.DUMMYFUNCTION("""COMPUTED_VALUE"""),"Galarian Darmanitan")</f>
        <v>Galarian Darmanitan</v>
      </c>
      <c r="B1150" s="174" t="str">
        <f>IFERROR(__xludf.DUMMYFUNCTION("""COMPUTED_VALUE"""),"Unlisted")</f>
        <v>Unlisted</v>
      </c>
      <c r="C1150" s="174" t="str">
        <f>IFERROR(__xludf.DUMMYFUNCTION("""COMPUTED_VALUE"""),"Mastered")</f>
        <v>Mastered</v>
      </c>
      <c r="D1150" s="174" t="str">
        <f>IFERROR(__xludf.DUMMYFUNCTION("""COMPUTED_VALUE"""),"Unlisted")</f>
        <v>Unlisted</v>
      </c>
      <c r="E1150" s="174" t="str">
        <f>IFERROR(__xludf.DUMMYFUNCTION("""COMPUTED_VALUE"""),"Proficient")</f>
        <v>Proficient</v>
      </c>
      <c r="F1150" s="174" t="str">
        <f>IFERROR(__xludf.DUMMYFUNCTION("""COMPUTED_VALUE"""),"Unlisted")</f>
        <v>Unlisted</v>
      </c>
      <c r="G1150" s="174" t="str">
        <f>IFERROR(__xludf.DUMMYFUNCTION("""COMPUTED_VALUE"""),"Proficient")</f>
        <v>Proficient</v>
      </c>
      <c r="H1150" s="174" t="str">
        <f>IFERROR(__xludf.DUMMYFUNCTION("""COMPUTED_VALUE"""),"Unlisted")</f>
        <v>Unlisted</v>
      </c>
      <c r="I1150" s="174" t="str">
        <f>IFERROR(__xludf.DUMMYFUNCTION("""COMPUTED_VALUE"""),"Unlisted")</f>
        <v>Unlisted</v>
      </c>
      <c r="J1150" s="174" t="str">
        <f>IFERROR(__xludf.DUMMYFUNCTION("""COMPUTED_VALUE"""),"Unlisted")</f>
        <v>Unlisted</v>
      </c>
      <c r="K1150" s="174" t="str">
        <f>IFERROR(__xludf.DUMMYFUNCTION("""COMPUTED_VALUE"""),"Unlisted")</f>
        <v>Unlisted</v>
      </c>
      <c r="L1150" s="174" t="str">
        <f>IFERROR(__xludf.DUMMYFUNCTION("""COMPUTED_VALUE"""),"Unlisted")</f>
        <v>Unlisted</v>
      </c>
      <c r="M1150" s="174" t="str">
        <f>IFERROR(__xludf.DUMMYFUNCTION("""COMPUTED_VALUE"""),"Unlisted")</f>
        <v>Unlisted</v>
      </c>
      <c r="N1150" s="174" t="str">
        <f>IFERROR(__xludf.DUMMYFUNCTION("""COMPUTED_VALUE"""),"Unlisted")</f>
        <v>Unlisted</v>
      </c>
      <c r="O1150" s="174" t="str">
        <f>IFERROR(__xludf.DUMMYFUNCTION("""COMPUTED_VALUE"""),"Unlisted")</f>
        <v>Unlisted</v>
      </c>
      <c r="P1150" s="174" t="str">
        <f>IFERROR(__xludf.DUMMYFUNCTION("""COMPUTED_VALUE"""),"Unlisted")</f>
        <v>Unlisted</v>
      </c>
      <c r="Q1150" s="174" t="str">
        <f>IFERROR(__xludf.DUMMYFUNCTION("""COMPUTED_VALUE"""),"Unlisted")</f>
        <v>Unlisted</v>
      </c>
      <c r="R1150" s="174" t="str">
        <f>IFERROR(__xludf.DUMMYFUNCTION("""COMPUTED_VALUE"""),"Unlisted")</f>
        <v>Unlisted</v>
      </c>
    </row>
    <row r="1151">
      <c r="A1151" s="255" t="str">
        <f>IFERROR(__xludf.DUMMYFUNCTION("""COMPUTED_VALUE"""),"Galarian Darmanitan (Zen)")</f>
        <v>Galarian Darmanitan (Zen)</v>
      </c>
      <c r="B1151" s="174" t="str">
        <f>IFERROR(__xludf.DUMMYFUNCTION("""COMPUTED_VALUE"""),"Unlisted")</f>
        <v>Unlisted</v>
      </c>
      <c r="C1151" s="174" t="str">
        <f>IFERROR(__xludf.DUMMYFUNCTION("""COMPUTED_VALUE"""),"Mastered")</f>
        <v>Mastered</v>
      </c>
      <c r="D1151" s="174" t="str">
        <f>IFERROR(__xludf.DUMMYFUNCTION("""COMPUTED_VALUE"""),"Unlisted")</f>
        <v>Unlisted</v>
      </c>
      <c r="E1151" s="174" t="str">
        <f>IFERROR(__xludf.DUMMYFUNCTION("""COMPUTED_VALUE"""),"Proficient")</f>
        <v>Proficient</v>
      </c>
      <c r="F1151" s="174" t="str">
        <f>IFERROR(__xludf.DUMMYFUNCTION("""COMPUTED_VALUE"""),"Unlisted")</f>
        <v>Unlisted</v>
      </c>
      <c r="G1151" s="174" t="str">
        <f>IFERROR(__xludf.DUMMYFUNCTION("""COMPUTED_VALUE"""),"Proficient")</f>
        <v>Proficient</v>
      </c>
      <c r="H1151" s="174" t="str">
        <f>IFERROR(__xludf.DUMMYFUNCTION("""COMPUTED_VALUE"""),"Unlisted")</f>
        <v>Unlisted</v>
      </c>
      <c r="I1151" s="174" t="str">
        <f>IFERROR(__xludf.DUMMYFUNCTION("""COMPUTED_VALUE"""),"Unlisted")</f>
        <v>Unlisted</v>
      </c>
      <c r="J1151" s="174" t="str">
        <f>IFERROR(__xludf.DUMMYFUNCTION("""COMPUTED_VALUE"""),"Unlisted")</f>
        <v>Unlisted</v>
      </c>
      <c r="K1151" s="174" t="str">
        <f>IFERROR(__xludf.DUMMYFUNCTION("""COMPUTED_VALUE"""),"Unlisted")</f>
        <v>Unlisted</v>
      </c>
      <c r="L1151" s="174" t="str">
        <f>IFERROR(__xludf.DUMMYFUNCTION("""COMPUTED_VALUE"""),"Unlisted")</f>
        <v>Unlisted</v>
      </c>
      <c r="M1151" s="174" t="str">
        <f>IFERROR(__xludf.DUMMYFUNCTION("""COMPUTED_VALUE"""),"Unlisted")</f>
        <v>Unlisted</v>
      </c>
      <c r="N1151" s="174" t="str">
        <f>IFERROR(__xludf.DUMMYFUNCTION("""COMPUTED_VALUE"""),"Unlisted")</f>
        <v>Unlisted</v>
      </c>
      <c r="O1151" s="174" t="str">
        <f>IFERROR(__xludf.DUMMYFUNCTION("""COMPUTED_VALUE"""),"Unlisted")</f>
        <v>Unlisted</v>
      </c>
      <c r="P1151" s="174" t="str">
        <f>IFERROR(__xludf.DUMMYFUNCTION("""COMPUTED_VALUE"""),"Unlisted")</f>
        <v>Unlisted</v>
      </c>
      <c r="Q1151" s="174" t="str">
        <f>IFERROR(__xludf.DUMMYFUNCTION("""COMPUTED_VALUE"""),"Unlisted")</f>
        <v>Unlisted</v>
      </c>
      <c r="R1151" s="174" t="str">
        <f>IFERROR(__xludf.DUMMYFUNCTION("""COMPUTED_VALUE"""),"Unlisted")</f>
        <v>Unlisted</v>
      </c>
    </row>
    <row r="1152">
      <c r="A1152" s="255" t="str">
        <f>IFERROR(__xludf.DUMMYFUNCTION("""COMPUTED_VALUE"""),"Galarian Slowpoke")</f>
        <v>Galarian Slowpoke</v>
      </c>
      <c r="B1152" s="174" t="str">
        <f>IFERROR(__xludf.DUMMYFUNCTION("""COMPUTED_VALUE"""),"Inept")</f>
        <v>Inept</v>
      </c>
      <c r="C1152" s="174" t="str">
        <f>IFERROR(__xludf.DUMMYFUNCTION("""COMPUTED_VALUE"""),"Unlisted")</f>
        <v>Unlisted</v>
      </c>
      <c r="D1152" s="174" t="str">
        <f>IFERROR(__xludf.DUMMYFUNCTION("""COMPUTED_VALUE"""),"Unlisted")</f>
        <v>Unlisted</v>
      </c>
      <c r="E1152" s="174" t="str">
        <f>IFERROR(__xludf.DUMMYFUNCTION("""COMPUTED_VALUE"""),"Inept")</f>
        <v>Inept</v>
      </c>
      <c r="F1152" s="174" t="str">
        <f>IFERROR(__xludf.DUMMYFUNCTION("""COMPUTED_VALUE"""),"Unlisted")</f>
        <v>Unlisted</v>
      </c>
      <c r="G1152" s="174" t="str">
        <f>IFERROR(__xludf.DUMMYFUNCTION("""COMPUTED_VALUE"""),"Mastered")</f>
        <v>Mastered</v>
      </c>
      <c r="H1152" s="174" t="str">
        <f>IFERROR(__xludf.DUMMYFUNCTION("""COMPUTED_VALUE"""),"Unlisted")</f>
        <v>Unlisted</v>
      </c>
      <c r="I1152" s="174" t="str">
        <f>IFERROR(__xludf.DUMMYFUNCTION("""COMPUTED_VALUE"""),"Unlisted")</f>
        <v>Unlisted</v>
      </c>
      <c r="J1152" s="174" t="str">
        <f>IFERROR(__xludf.DUMMYFUNCTION("""COMPUTED_VALUE"""),"Unlisted")</f>
        <v>Unlisted</v>
      </c>
      <c r="K1152" s="174" t="str">
        <f>IFERROR(__xludf.DUMMYFUNCTION("""COMPUTED_VALUE"""),"Proficient")</f>
        <v>Proficient</v>
      </c>
      <c r="L1152" s="174" t="str">
        <f>IFERROR(__xludf.DUMMYFUNCTION("""COMPUTED_VALUE"""),"Unlisted")</f>
        <v>Unlisted</v>
      </c>
      <c r="M1152" s="174" t="str">
        <f>IFERROR(__xludf.DUMMYFUNCTION("""COMPUTED_VALUE"""),"Unlisted")</f>
        <v>Unlisted</v>
      </c>
      <c r="N1152" s="174" t="str">
        <f>IFERROR(__xludf.DUMMYFUNCTION("""COMPUTED_VALUE"""),"Unlisted")</f>
        <v>Unlisted</v>
      </c>
      <c r="O1152" s="174" t="str">
        <f>IFERROR(__xludf.DUMMYFUNCTION("""COMPUTED_VALUE"""),"Unlisted")</f>
        <v>Unlisted</v>
      </c>
      <c r="P1152" s="174" t="str">
        <f>IFERROR(__xludf.DUMMYFUNCTION("""COMPUTED_VALUE"""),"Unlisted")</f>
        <v>Unlisted</v>
      </c>
      <c r="Q1152" s="174" t="str">
        <f>IFERROR(__xludf.DUMMYFUNCTION("""COMPUTED_VALUE"""),"Unlisted")</f>
        <v>Unlisted</v>
      </c>
      <c r="R1152" s="174" t="str">
        <f>IFERROR(__xludf.DUMMYFUNCTION("""COMPUTED_VALUE"""),"Unlisted")</f>
        <v>Unlisted</v>
      </c>
    </row>
    <row r="1153">
      <c r="A1153" s="255" t="str">
        <f>IFERROR(__xludf.DUMMYFUNCTION("""COMPUTED_VALUE"""),"Galarian Slowbro")</f>
        <v>Galarian Slowbro</v>
      </c>
      <c r="B1153" s="174" t="str">
        <f>IFERROR(__xludf.DUMMYFUNCTION("""COMPUTED_VALUE"""),"Unlisted")</f>
        <v>Unlisted</v>
      </c>
      <c r="C1153" s="174" t="str">
        <f>IFERROR(__xludf.DUMMYFUNCTION("""COMPUTED_VALUE"""),"Unlisted")</f>
        <v>Unlisted</v>
      </c>
      <c r="D1153" s="174" t="str">
        <f>IFERROR(__xludf.DUMMYFUNCTION("""COMPUTED_VALUE"""),"Unlisted")</f>
        <v>Unlisted</v>
      </c>
      <c r="E1153" s="174" t="str">
        <f>IFERROR(__xludf.DUMMYFUNCTION("""COMPUTED_VALUE"""),"Unlisted")</f>
        <v>Unlisted</v>
      </c>
      <c r="F1153" s="174" t="str">
        <f>IFERROR(__xludf.DUMMYFUNCTION("""COMPUTED_VALUE"""),"Unlisted")</f>
        <v>Unlisted</v>
      </c>
      <c r="G1153" s="174" t="str">
        <f>IFERROR(__xludf.DUMMYFUNCTION("""COMPUTED_VALUE"""),"Mastered")</f>
        <v>Mastered</v>
      </c>
      <c r="H1153" s="174" t="str">
        <f>IFERROR(__xludf.DUMMYFUNCTION("""COMPUTED_VALUE"""),"Unlisted")</f>
        <v>Unlisted</v>
      </c>
      <c r="I1153" s="174" t="str">
        <f>IFERROR(__xludf.DUMMYFUNCTION("""COMPUTED_VALUE"""),"Unlisted")</f>
        <v>Unlisted</v>
      </c>
      <c r="J1153" s="174" t="str">
        <f>IFERROR(__xludf.DUMMYFUNCTION("""COMPUTED_VALUE"""),"Unlisted")</f>
        <v>Unlisted</v>
      </c>
      <c r="K1153" s="174" t="str">
        <f>IFERROR(__xludf.DUMMYFUNCTION("""COMPUTED_VALUE"""),"Proficient")</f>
        <v>Proficient</v>
      </c>
      <c r="L1153" s="174" t="str">
        <f>IFERROR(__xludf.DUMMYFUNCTION("""COMPUTED_VALUE"""),"Unlisted")</f>
        <v>Unlisted</v>
      </c>
      <c r="M1153" s="174" t="str">
        <f>IFERROR(__xludf.DUMMYFUNCTION("""COMPUTED_VALUE"""),"Unlisted")</f>
        <v>Unlisted</v>
      </c>
      <c r="N1153" s="174" t="str">
        <f>IFERROR(__xludf.DUMMYFUNCTION("""COMPUTED_VALUE"""),"Unlisted")</f>
        <v>Unlisted</v>
      </c>
      <c r="O1153" s="174" t="str">
        <f>IFERROR(__xludf.DUMMYFUNCTION("""COMPUTED_VALUE"""),"Unlisted")</f>
        <v>Unlisted</v>
      </c>
      <c r="P1153" s="174" t="str">
        <f>IFERROR(__xludf.DUMMYFUNCTION("""COMPUTED_VALUE"""),"Unlisted")</f>
        <v>Unlisted</v>
      </c>
      <c r="Q1153" s="174" t="str">
        <f>IFERROR(__xludf.DUMMYFUNCTION("""COMPUTED_VALUE"""),"Unlisted")</f>
        <v>Unlisted</v>
      </c>
      <c r="R1153" s="174" t="str">
        <f>IFERROR(__xludf.DUMMYFUNCTION("""COMPUTED_VALUE"""),"Unlisted")</f>
        <v>Unlisted</v>
      </c>
    </row>
    <row r="1154">
      <c r="A1154" s="255" t="str">
        <f>IFERROR(__xludf.DUMMYFUNCTION("""COMPUTED_VALUE"""),"Galarian Slowking")</f>
        <v>Galarian Slowking</v>
      </c>
      <c r="B1154" s="174" t="str">
        <f>IFERROR(__xludf.DUMMYFUNCTION("""COMPUTED_VALUE"""),"Unlisted")</f>
        <v>Unlisted</v>
      </c>
      <c r="C1154" s="174" t="str">
        <f>IFERROR(__xludf.DUMMYFUNCTION("""COMPUTED_VALUE"""),"Unlisted")</f>
        <v>Unlisted</v>
      </c>
      <c r="D1154" s="174" t="str">
        <f>IFERROR(__xludf.DUMMYFUNCTION("""COMPUTED_VALUE"""),"Unlisted")</f>
        <v>Unlisted</v>
      </c>
      <c r="E1154" s="174" t="str">
        <f>IFERROR(__xludf.DUMMYFUNCTION("""COMPUTED_VALUE"""),"Unlisted")</f>
        <v>Unlisted</v>
      </c>
      <c r="F1154" s="174" t="str">
        <f>IFERROR(__xludf.DUMMYFUNCTION("""COMPUTED_VALUE"""),"Unlisted")</f>
        <v>Unlisted</v>
      </c>
      <c r="G1154" s="174" t="str">
        <f>IFERROR(__xludf.DUMMYFUNCTION("""COMPUTED_VALUE"""),"Mastered")</f>
        <v>Mastered</v>
      </c>
      <c r="H1154" s="174" t="str">
        <f>IFERROR(__xludf.DUMMYFUNCTION("""COMPUTED_VALUE"""),"Proficient")</f>
        <v>Proficient</v>
      </c>
      <c r="I1154" s="174" t="str">
        <f>IFERROR(__xludf.DUMMYFUNCTION("""COMPUTED_VALUE"""),"Unlisted")</f>
        <v>Unlisted</v>
      </c>
      <c r="J1154" s="174" t="str">
        <f>IFERROR(__xludf.DUMMYFUNCTION("""COMPUTED_VALUE"""),"Unlisted")</f>
        <v>Unlisted</v>
      </c>
      <c r="K1154" s="174" t="str">
        <f>IFERROR(__xludf.DUMMYFUNCTION("""COMPUTED_VALUE"""),"Proficient")</f>
        <v>Proficient</v>
      </c>
      <c r="L1154" s="174" t="str">
        <f>IFERROR(__xludf.DUMMYFUNCTION("""COMPUTED_VALUE"""),"Unlisted")</f>
        <v>Unlisted</v>
      </c>
      <c r="M1154" s="174" t="str">
        <f>IFERROR(__xludf.DUMMYFUNCTION("""COMPUTED_VALUE"""),"Unlisted")</f>
        <v>Unlisted</v>
      </c>
      <c r="N1154" s="174" t="str">
        <f>IFERROR(__xludf.DUMMYFUNCTION("""COMPUTED_VALUE"""),"Unlisted")</f>
        <v>Unlisted</v>
      </c>
      <c r="O1154" s="174" t="str">
        <f>IFERROR(__xludf.DUMMYFUNCTION("""COMPUTED_VALUE"""),"Unlisted")</f>
        <v>Unlisted</v>
      </c>
      <c r="P1154" s="174" t="str">
        <f>IFERROR(__xludf.DUMMYFUNCTION("""COMPUTED_VALUE"""),"Unlisted")</f>
        <v>Unlisted</v>
      </c>
      <c r="Q1154" s="174" t="str">
        <f>IFERROR(__xludf.DUMMYFUNCTION("""COMPUTED_VALUE"""),"Unlisted")</f>
        <v>Unlisted</v>
      </c>
      <c r="R1154" s="174" t="str">
        <f>IFERROR(__xludf.DUMMYFUNCTION("""COMPUTED_VALUE"""),"Unlisted")</f>
        <v>Unlisted</v>
      </c>
    </row>
    <row r="1155">
      <c r="A1155" s="255" t="str">
        <f>IFERROR(__xludf.DUMMYFUNCTION("""COMPUTED_VALUE"""),"Galarian Ponyta")</f>
        <v>Galarian Ponyta</v>
      </c>
      <c r="B1155" s="174" t="str">
        <f>IFERROR(__xludf.DUMMYFUNCTION("""COMPUTED_VALUE"""),"Proficient")</f>
        <v>Proficient</v>
      </c>
      <c r="C1155" s="174" t="str">
        <f>IFERROR(__xludf.DUMMYFUNCTION("""COMPUTED_VALUE"""),"Unlisted")</f>
        <v>Unlisted</v>
      </c>
      <c r="D1155" s="174" t="str">
        <f>IFERROR(__xludf.DUMMYFUNCTION("""COMPUTED_VALUE"""),"Unlisted")</f>
        <v>Unlisted</v>
      </c>
      <c r="E1155" s="174" t="str">
        <f>IFERROR(__xludf.DUMMYFUNCTION("""COMPUTED_VALUE"""),"Unlisted")</f>
        <v>Unlisted</v>
      </c>
      <c r="F1155" s="174" t="str">
        <f>IFERROR(__xludf.DUMMYFUNCTION("""COMPUTED_VALUE"""),"Unlisted")</f>
        <v>Unlisted</v>
      </c>
      <c r="G1155" s="174" t="str">
        <f>IFERROR(__xludf.DUMMYFUNCTION("""COMPUTED_VALUE"""),"Mastered")</f>
        <v>Mastered</v>
      </c>
      <c r="H1155" s="174" t="str">
        <f>IFERROR(__xludf.DUMMYFUNCTION("""COMPUTED_VALUE"""),"Unlisted")</f>
        <v>Unlisted</v>
      </c>
      <c r="I1155" s="174" t="str">
        <f>IFERROR(__xludf.DUMMYFUNCTION("""COMPUTED_VALUE"""),"Unlisted")</f>
        <v>Unlisted</v>
      </c>
      <c r="J1155" s="174" t="str">
        <f>IFERROR(__xludf.DUMMYFUNCTION("""COMPUTED_VALUE"""),"Unlisted")</f>
        <v>Unlisted</v>
      </c>
      <c r="K1155" s="174" t="str">
        <f>IFERROR(__xludf.DUMMYFUNCTION("""COMPUTED_VALUE"""),"Unlisted")</f>
        <v>Unlisted</v>
      </c>
      <c r="L1155" s="174" t="str">
        <f>IFERROR(__xludf.DUMMYFUNCTION("""COMPUTED_VALUE"""),"Unlisted")</f>
        <v>Unlisted</v>
      </c>
      <c r="M1155" s="174" t="str">
        <f>IFERROR(__xludf.DUMMYFUNCTION("""COMPUTED_VALUE"""),"Unlisted")</f>
        <v>Unlisted</v>
      </c>
      <c r="N1155" s="174" t="str">
        <f>IFERROR(__xludf.DUMMYFUNCTION("""COMPUTED_VALUE"""),"Unlisted")</f>
        <v>Unlisted</v>
      </c>
      <c r="O1155" s="174" t="str">
        <f>IFERROR(__xludf.DUMMYFUNCTION("""COMPUTED_VALUE"""),"Unlisted")</f>
        <v>Unlisted</v>
      </c>
      <c r="P1155" s="174" t="str">
        <f>IFERROR(__xludf.DUMMYFUNCTION("""COMPUTED_VALUE"""),"Unlisted")</f>
        <v>Unlisted</v>
      </c>
      <c r="Q1155" s="174" t="str">
        <f>IFERROR(__xludf.DUMMYFUNCTION("""COMPUTED_VALUE"""),"Unlisted")</f>
        <v>Unlisted</v>
      </c>
      <c r="R1155" s="174" t="str">
        <f>IFERROR(__xludf.DUMMYFUNCTION("""COMPUTED_VALUE"""),"Unlisted")</f>
        <v>Unlisted</v>
      </c>
    </row>
    <row r="1156">
      <c r="A1156" s="255" t="str">
        <f>IFERROR(__xludf.DUMMYFUNCTION("""COMPUTED_VALUE"""),"Galarian Rapidash")</f>
        <v>Galarian Rapidash</v>
      </c>
      <c r="B1156" s="174" t="str">
        <f>IFERROR(__xludf.DUMMYFUNCTION("""COMPUTED_VALUE"""),"Proficient")</f>
        <v>Proficient</v>
      </c>
      <c r="C1156" s="174" t="str">
        <f>IFERROR(__xludf.DUMMYFUNCTION("""COMPUTED_VALUE"""),"Unlisted")</f>
        <v>Unlisted</v>
      </c>
      <c r="D1156" s="174" t="str">
        <f>IFERROR(__xludf.DUMMYFUNCTION("""COMPUTED_VALUE"""),"Unlisted")</f>
        <v>Unlisted</v>
      </c>
      <c r="E1156" s="174" t="str">
        <f>IFERROR(__xludf.DUMMYFUNCTION("""COMPUTED_VALUE"""),"Unlisted")</f>
        <v>Unlisted</v>
      </c>
      <c r="F1156" s="174" t="str">
        <f>IFERROR(__xludf.DUMMYFUNCTION("""COMPUTED_VALUE"""),"Unlisted")</f>
        <v>Unlisted</v>
      </c>
      <c r="G1156" s="174" t="str">
        <f>IFERROR(__xludf.DUMMYFUNCTION("""COMPUTED_VALUE"""),"Mastered")</f>
        <v>Mastered</v>
      </c>
      <c r="H1156" s="174" t="str">
        <f>IFERROR(__xludf.DUMMYFUNCTION("""COMPUTED_VALUE"""),"Unlisted")</f>
        <v>Unlisted</v>
      </c>
      <c r="I1156" s="174" t="str">
        <f>IFERROR(__xludf.DUMMYFUNCTION("""COMPUTED_VALUE"""),"Unlisted")</f>
        <v>Unlisted</v>
      </c>
      <c r="J1156" s="174" t="str">
        <f>IFERROR(__xludf.DUMMYFUNCTION("""COMPUTED_VALUE"""),"Unlisted")</f>
        <v>Unlisted</v>
      </c>
      <c r="K1156" s="174" t="str">
        <f>IFERROR(__xludf.DUMMYFUNCTION("""COMPUTED_VALUE"""),"Unlisted")</f>
        <v>Unlisted</v>
      </c>
      <c r="L1156" s="174" t="str">
        <f>IFERROR(__xludf.DUMMYFUNCTION("""COMPUTED_VALUE"""),"Unlisted")</f>
        <v>Unlisted</v>
      </c>
      <c r="M1156" s="174" t="str">
        <f>IFERROR(__xludf.DUMMYFUNCTION("""COMPUTED_VALUE"""),"Unlisted")</f>
        <v>Unlisted</v>
      </c>
      <c r="N1156" s="174" t="str">
        <f>IFERROR(__xludf.DUMMYFUNCTION("""COMPUTED_VALUE"""),"Unlisted")</f>
        <v>Unlisted</v>
      </c>
      <c r="O1156" s="174" t="str">
        <f>IFERROR(__xludf.DUMMYFUNCTION("""COMPUTED_VALUE"""),"Unlisted")</f>
        <v>Unlisted</v>
      </c>
      <c r="P1156" s="174" t="str">
        <f>IFERROR(__xludf.DUMMYFUNCTION("""COMPUTED_VALUE"""),"Unlisted")</f>
        <v>Unlisted</v>
      </c>
      <c r="Q1156" s="174" t="str">
        <f>IFERROR(__xludf.DUMMYFUNCTION("""COMPUTED_VALUE"""),"Unlisted")</f>
        <v>Unlisted</v>
      </c>
      <c r="R1156" s="174" t="str">
        <f>IFERROR(__xludf.DUMMYFUNCTION("""COMPUTED_VALUE"""),"Unlisted")</f>
        <v>Unlisted</v>
      </c>
    </row>
    <row r="1157">
      <c r="A1157" s="255" t="str">
        <f>IFERROR(__xludf.DUMMYFUNCTION("""COMPUTED_VALUE"""),"Galarian Meowth")</f>
        <v>Galarian Meowth</v>
      </c>
      <c r="B1157" s="174" t="str">
        <f>IFERROR(__xludf.DUMMYFUNCTION("""COMPUTED_VALUE"""),"Unlisted")</f>
        <v>Unlisted</v>
      </c>
      <c r="C1157" s="174" t="str">
        <f>IFERROR(__xludf.DUMMYFUNCTION("""COMPUTED_VALUE"""),"Proficient")</f>
        <v>Proficient</v>
      </c>
      <c r="D1157" s="174" t="str">
        <f>IFERROR(__xludf.DUMMYFUNCTION("""COMPUTED_VALUE"""),"Unlisted")</f>
        <v>Unlisted</v>
      </c>
      <c r="E1157" s="174" t="str">
        <f>IFERROR(__xludf.DUMMYFUNCTION("""COMPUTED_VALUE"""),"Mastered")</f>
        <v>Mastered</v>
      </c>
      <c r="F1157" s="174" t="str">
        <f>IFERROR(__xludf.DUMMYFUNCTION("""COMPUTED_VALUE"""),"Unlisted")</f>
        <v>Unlisted</v>
      </c>
      <c r="G1157" s="174" t="str">
        <f>IFERROR(__xludf.DUMMYFUNCTION("""COMPUTED_VALUE"""),"Unlisted")</f>
        <v>Unlisted</v>
      </c>
      <c r="H1157" s="174" t="str">
        <f>IFERROR(__xludf.DUMMYFUNCTION("""COMPUTED_VALUE"""),"Unlisted")</f>
        <v>Unlisted</v>
      </c>
      <c r="I1157" s="174" t="str">
        <f>IFERROR(__xludf.DUMMYFUNCTION("""COMPUTED_VALUE"""),"Unlisted")</f>
        <v>Unlisted</v>
      </c>
      <c r="J1157" s="174" t="str">
        <f>IFERROR(__xludf.DUMMYFUNCTION("""COMPUTED_VALUE"""),"Unlisted")</f>
        <v>Unlisted</v>
      </c>
      <c r="K1157" s="174" t="str">
        <f>IFERROR(__xludf.DUMMYFUNCTION("""COMPUTED_VALUE"""),"Unlisted")</f>
        <v>Unlisted</v>
      </c>
      <c r="L1157" s="174" t="str">
        <f>IFERROR(__xludf.DUMMYFUNCTION("""COMPUTED_VALUE"""),"Proficient")</f>
        <v>Proficient</v>
      </c>
      <c r="M1157" s="174" t="str">
        <f>IFERROR(__xludf.DUMMYFUNCTION("""COMPUTED_VALUE"""),"Unlisted")</f>
        <v>Unlisted</v>
      </c>
      <c r="N1157" s="174" t="str">
        <f>IFERROR(__xludf.DUMMYFUNCTION("""COMPUTED_VALUE"""),"Unlisted")</f>
        <v>Unlisted</v>
      </c>
      <c r="O1157" s="174" t="str">
        <f>IFERROR(__xludf.DUMMYFUNCTION("""COMPUTED_VALUE"""),"Unlisted")</f>
        <v>Unlisted</v>
      </c>
      <c r="P1157" s="174" t="str">
        <f>IFERROR(__xludf.DUMMYFUNCTION("""COMPUTED_VALUE"""),"Unlisted")</f>
        <v>Unlisted</v>
      </c>
      <c r="Q1157" s="174" t="str">
        <f>IFERROR(__xludf.DUMMYFUNCTION("""COMPUTED_VALUE"""),"Unlisted")</f>
        <v>Unlisted</v>
      </c>
      <c r="R1157" s="174" t="str">
        <f>IFERROR(__xludf.DUMMYFUNCTION("""COMPUTED_VALUE"""),"Unlisted")</f>
        <v>Unlisted</v>
      </c>
    </row>
    <row r="1158">
      <c r="A1158" s="255" t="str">
        <f>IFERROR(__xludf.DUMMYFUNCTION("""COMPUTED_VALUE"""),"Perrserker")</f>
        <v>Perrserker</v>
      </c>
      <c r="B1158" s="174" t="str">
        <f>IFERROR(__xludf.DUMMYFUNCTION("""COMPUTED_VALUE"""),"Unlisted")</f>
        <v>Unlisted</v>
      </c>
      <c r="C1158" s="174" t="str">
        <f>IFERROR(__xludf.DUMMYFUNCTION("""COMPUTED_VALUE"""),"Proficient")</f>
        <v>Proficient</v>
      </c>
      <c r="D1158" s="174" t="str">
        <f>IFERROR(__xludf.DUMMYFUNCTION("""COMPUTED_VALUE"""),"Unlisted")</f>
        <v>Unlisted</v>
      </c>
      <c r="E1158" s="174" t="str">
        <f>IFERROR(__xludf.DUMMYFUNCTION("""COMPUTED_VALUE"""),"Mastered")</f>
        <v>Mastered</v>
      </c>
      <c r="F1158" s="174" t="str">
        <f>IFERROR(__xludf.DUMMYFUNCTION("""COMPUTED_VALUE"""),"Unlisted")</f>
        <v>Unlisted</v>
      </c>
      <c r="G1158" s="174" t="str">
        <f>IFERROR(__xludf.DUMMYFUNCTION("""COMPUTED_VALUE"""),"Unlisted")</f>
        <v>Unlisted</v>
      </c>
      <c r="H1158" s="174" t="str">
        <f>IFERROR(__xludf.DUMMYFUNCTION("""COMPUTED_VALUE"""),"Unlisted")</f>
        <v>Unlisted</v>
      </c>
      <c r="I1158" s="174" t="str">
        <f>IFERROR(__xludf.DUMMYFUNCTION("""COMPUTED_VALUE"""),"Unlisted")</f>
        <v>Unlisted</v>
      </c>
      <c r="J1158" s="174" t="str">
        <f>IFERROR(__xludf.DUMMYFUNCTION("""COMPUTED_VALUE"""),"Unlisted")</f>
        <v>Unlisted</v>
      </c>
      <c r="K1158" s="174" t="str">
        <f>IFERROR(__xludf.DUMMYFUNCTION("""COMPUTED_VALUE"""),"Unlisted")</f>
        <v>Unlisted</v>
      </c>
      <c r="L1158" s="174" t="str">
        <f>IFERROR(__xludf.DUMMYFUNCTION("""COMPUTED_VALUE"""),"Proficient")</f>
        <v>Proficient</v>
      </c>
      <c r="M1158" s="174" t="str">
        <f>IFERROR(__xludf.DUMMYFUNCTION("""COMPUTED_VALUE"""),"Unlisted")</f>
        <v>Unlisted</v>
      </c>
      <c r="N1158" s="174" t="str">
        <f>IFERROR(__xludf.DUMMYFUNCTION("""COMPUTED_VALUE"""),"Unlisted")</f>
        <v>Unlisted</v>
      </c>
      <c r="O1158" s="174" t="str">
        <f>IFERROR(__xludf.DUMMYFUNCTION("""COMPUTED_VALUE"""),"Unlisted")</f>
        <v>Unlisted</v>
      </c>
      <c r="P1158" s="174" t="str">
        <f>IFERROR(__xludf.DUMMYFUNCTION("""COMPUTED_VALUE"""),"Unlisted")</f>
        <v>Unlisted</v>
      </c>
      <c r="Q1158" s="174" t="str">
        <f>IFERROR(__xludf.DUMMYFUNCTION("""COMPUTED_VALUE"""),"Unlisted")</f>
        <v>Unlisted</v>
      </c>
      <c r="R1158" s="174" t="str">
        <f>IFERROR(__xludf.DUMMYFUNCTION("""COMPUTED_VALUE"""),"Unlisted")</f>
        <v>Unlisted</v>
      </c>
    </row>
    <row r="1159">
      <c r="A1159" s="255" t="str">
        <f>IFERROR(__xludf.DUMMYFUNCTION("""COMPUTED_VALUE"""),"Hisuian Qwilfish")</f>
        <v>Hisuian Qwilfish</v>
      </c>
      <c r="B1159" s="174" t="str">
        <f>IFERROR(__xludf.DUMMYFUNCTION("""COMPUTED_VALUE"""),"Unlisted")</f>
        <v>Unlisted</v>
      </c>
      <c r="C1159" s="174" t="str">
        <f>IFERROR(__xludf.DUMMYFUNCTION("""COMPUTED_VALUE"""),"Unlisted")</f>
        <v>Unlisted</v>
      </c>
      <c r="D1159" s="174" t="str">
        <f>IFERROR(__xludf.DUMMYFUNCTION("""COMPUTED_VALUE"""),"Unlisted")</f>
        <v>Unlisted</v>
      </c>
      <c r="E1159" s="174" t="str">
        <f>IFERROR(__xludf.DUMMYFUNCTION("""COMPUTED_VALUE"""),"Proficient")</f>
        <v>Proficient</v>
      </c>
      <c r="F1159" s="174" t="str">
        <f>IFERROR(__xludf.DUMMYFUNCTION("""COMPUTED_VALUE"""),"Unlisted")</f>
        <v>Unlisted</v>
      </c>
      <c r="G1159" s="174" t="str">
        <f>IFERROR(__xludf.DUMMYFUNCTION("""COMPUTED_VALUE"""),"Unlisted")</f>
        <v>Unlisted</v>
      </c>
      <c r="H1159" s="174" t="str">
        <f>IFERROR(__xludf.DUMMYFUNCTION("""COMPUTED_VALUE"""),"Unlisted")</f>
        <v>Unlisted</v>
      </c>
      <c r="I1159" s="174" t="str">
        <f>IFERROR(__xludf.DUMMYFUNCTION("""COMPUTED_VALUE"""),"Unlisted")</f>
        <v>Unlisted</v>
      </c>
      <c r="J1159" s="174" t="str">
        <f>IFERROR(__xludf.DUMMYFUNCTION("""COMPUTED_VALUE"""),"Unlisted")</f>
        <v>Unlisted</v>
      </c>
      <c r="K1159" s="174" t="str">
        <f>IFERROR(__xludf.DUMMYFUNCTION("""COMPUTED_VALUE"""),"Proficient")</f>
        <v>Proficient</v>
      </c>
      <c r="L1159" s="174" t="str">
        <f>IFERROR(__xludf.DUMMYFUNCTION("""COMPUTED_VALUE"""),"Unlisted")</f>
        <v>Unlisted</v>
      </c>
      <c r="M1159" s="174" t="str">
        <f>IFERROR(__xludf.DUMMYFUNCTION("""COMPUTED_VALUE"""),"Unlisted")</f>
        <v>Unlisted</v>
      </c>
      <c r="N1159" s="174" t="str">
        <f>IFERROR(__xludf.DUMMYFUNCTION("""COMPUTED_VALUE"""),"Unlisted")</f>
        <v>Unlisted</v>
      </c>
      <c r="O1159" s="174" t="str">
        <f>IFERROR(__xludf.DUMMYFUNCTION("""COMPUTED_VALUE"""),"Unlisted")</f>
        <v>Unlisted</v>
      </c>
      <c r="P1159" s="174" t="str">
        <f>IFERROR(__xludf.DUMMYFUNCTION("""COMPUTED_VALUE"""),"Unlisted")</f>
        <v>Unlisted</v>
      </c>
      <c r="Q1159" s="174" t="str">
        <f>IFERROR(__xludf.DUMMYFUNCTION("""COMPUTED_VALUE"""),"Unlisted")</f>
        <v>Unlisted</v>
      </c>
      <c r="R1159" s="174" t="str">
        <f>IFERROR(__xludf.DUMMYFUNCTION("""COMPUTED_VALUE"""),"Unlisted")</f>
        <v>Unlisted</v>
      </c>
    </row>
    <row r="1160">
      <c r="A1160" s="255" t="str">
        <f>IFERROR(__xludf.DUMMYFUNCTION("""COMPUTED_VALUE"""),"Overqwil")</f>
        <v>Overqwil</v>
      </c>
      <c r="B1160" s="174" t="str">
        <f>IFERROR(__xludf.DUMMYFUNCTION("""COMPUTED_VALUE"""),"Unlisted")</f>
        <v>Unlisted</v>
      </c>
      <c r="C1160" s="174" t="str">
        <f>IFERROR(__xludf.DUMMYFUNCTION("""COMPUTED_VALUE"""),"Unlisted")</f>
        <v>Unlisted</v>
      </c>
      <c r="D1160" s="174" t="str">
        <f>IFERROR(__xludf.DUMMYFUNCTION("""COMPUTED_VALUE"""),"Unlisted")</f>
        <v>Unlisted</v>
      </c>
      <c r="E1160" s="174" t="str">
        <f>IFERROR(__xludf.DUMMYFUNCTION("""COMPUTED_VALUE"""),"Proficient")</f>
        <v>Proficient</v>
      </c>
      <c r="F1160" s="174" t="str">
        <f>IFERROR(__xludf.DUMMYFUNCTION("""COMPUTED_VALUE"""),"Unlisted")</f>
        <v>Unlisted</v>
      </c>
      <c r="G1160" s="174" t="str">
        <f>IFERROR(__xludf.DUMMYFUNCTION("""COMPUTED_VALUE"""),"Unlisted")</f>
        <v>Unlisted</v>
      </c>
      <c r="H1160" s="174" t="str">
        <f>IFERROR(__xludf.DUMMYFUNCTION("""COMPUTED_VALUE"""),"Unlisted")</f>
        <v>Unlisted</v>
      </c>
      <c r="I1160" s="174" t="str">
        <f>IFERROR(__xludf.DUMMYFUNCTION("""COMPUTED_VALUE"""),"Unlisted")</f>
        <v>Unlisted</v>
      </c>
      <c r="J1160" s="174" t="str">
        <f>IFERROR(__xludf.DUMMYFUNCTION("""COMPUTED_VALUE"""),"Unlisted")</f>
        <v>Unlisted</v>
      </c>
      <c r="K1160" s="174" t="str">
        <f>IFERROR(__xludf.DUMMYFUNCTION("""COMPUTED_VALUE"""),"Proficient")</f>
        <v>Proficient</v>
      </c>
      <c r="L1160" s="174" t="str">
        <f>IFERROR(__xludf.DUMMYFUNCTION("""COMPUTED_VALUE"""),"Unlisted")</f>
        <v>Unlisted</v>
      </c>
      <c r="M1160" s="174" t="str">
        <f>IFERROR(__xludf.DUMMYFUNCTION("""COMPUTED_VALUE"""),"Unlisted")</f>
        <v>Unlisted</v>
      </c>
      <c r="N1160" s="174" t="str">
        <f>IFERROR(__xludf.DUMMYFUNCTION("""COMPUTED_VALUE"""),"Unlisted")</f>
        <v>Unlisted</v>
      </c>
      <c r="O1160" s="174" t="str">
        <f>IFERROR(__xludf.DUMMYFUNCTION("""COMPUTED_VALUE"""),"Unlisted")</f>
        <v>Unlisted</v>
      </c>
      <c r="P1160" s="174" t="str">
        <f>IFERROR(__xludf.DUMMYFUNCTION("""COMPUTED_VALUE"""),"Unlisted")</f>
        <v>Unlisted</v>
      </c>
      <c r="Q1160" s="174" t="str">
        <f>IFERROR(__xludf.DUMMYFUNCTION("""COMPUTED_VALUE"""),"Unlisted")</f>
        <v>Unlisted</v>
      </c>
      <c r="R1160" s="174" t="str">
        <f>IFERROR(__xludf.DUMMYFUNCTION("""COMPUTED_VALUE"""),"Unlisted")</f>
        <v>Unlisted</v>
      </c>
    </row>
    <row r="1161">
      <c r="A1161" s="255" t="str">
        <f>IFERROR(__xludf.DUMMYFUNCTION("""COMPUTED_VALUE"""),"Hisuian Voltorb")</f>
        <v>Hisuian Voltorb</v>
      </c>
      <c r="B1161" s="174" t="str">
        <f>IFERROR(__xludf.DUMMYFUNCTION("""COMPUTED_VALUE"""),"Proficient")</f>
        <v>Proficient</v>
      </c>
      <c r="C1161" s="174" t="str">
        <f>IFERROR(__xludf.DUMMYFUNCTION("""COMPUTED_VALUE"""),"Unlisted")</f>
        <v>Unlisted</v>
      </c>
      <c r="D1161" s="174" t="str">
        <f>IFERROR(__xludf.DUMMYFUNCTION("""COMPUTED_VALUE"""),"Unlisted")</f>
        <v>Unlisted</v>
      </c>
      <c r="E1161" s="174" t="str">
        <f>IFERROR(__xludf.DUMMYFUNCTION("""COMPUTED_VALUE"""),"Unlisted")</f>
        <v>Unlisted</v>
      </c>
      <c r="F1161" s="174" t="str">
        <f>IFERROR(__xludf.DUMMYFUNCTION("""COMPUTED_VALUE"""),"Unlisted")</f>
        <v>Unlisted</v>
      </c>
      <c r="G1161" s="174" t="str">
        <f>IFERROR(__xludf.DUMMYFUNCTION("""COMPUTED_VALUE"""),"Proficient")</f>
        <v>Proficient</v>
      </c>
      <c r="H1161" s="174" t="str">
        <f>IFERROR(__xludf.DUMMYFUNCTION("""COMPUTED_VALUE"""),"Unlisted")</f>
        <v>Unlisted</v>
      </c>
      <c r="I1161" s="174" t="str">
        <f>IFERROR(__xludf.DUMMYFUNCTION("""COMPUTED_VALUE"""),"Unlisted")</f>
        <v>Unlisted</v>
      </c>
      <c r="J1161" s="174" t="str">
        <f>IFERROR(__xludf.DUMMYFUNCTION("""COMPUTED_VALUE"""),"Unlisted")</f>
        <v>Unlisted</v>
      </c>
      <c r="K1161" s="174" t="str">
        <f>IFERROR(__xludf.DUMMYFUNCTION("""COMPUTED_VALUE"""),"Unlisted")</f>
        <v>Unlisted</v>
      </c>
      <c r="L1161" s="174" t="str">
        <f>IFERROR(__xludf.DUMMYFUNCTION("""COMPUTED_VALUE"""),"Proficient")</f>
        <v>Proficient</v>
      </c>
      <c r="M1161" s="174" t="str">
        <f>IFERROR(__xludf.DUMMYFUNCTION("""COMPUTED_VALUE"""),"Unlisted")</f>
        <v>Unlisted</v>
      </c>
      <c r="N1161" s="174" t="str">
        <f>IFERROR(__xludf.DUMMYFUNCTION("""COMPUTED_VALUE"""),"Unlisted")</f>
        <v>Unlisted</v>
      </c>
      <c r="O1161" s="174" t="str">
        <f>IFERROR(__xludf.DUMMYFUNCTION("""COMPUTED_VALUE"""),"Unlisted")</f>
        <v>Unlisted</v>
      </c>
      <c r="P1161" s="174" t="str">
        <f>IFERROR(__xludf.DUMMYFUNCTION("""COMPUTED_VALUE"""),"Unlisted")</f>
        <v>Unlisted</v>
      </c>
      <c r="Q1161" s="174" t="str">
        <f>IFERROR(__xludf.DUMMYFUNCTION("""COMPUTED_VALUE"""),"Unlisted")</f>
        <v>Unlisted</v>
      </c>
      <c r="R1161" s="174" t="str">
        <f>IFERROR(__xludf.DUMMYFUNCTION("""COMPUTED_VALUE"""),"Unlisted")</f>
        <v>Unlisted</v>
      </c>
    </row>
    <row r="1162">
      <c r="A1162" s="255" t="str">
        <f>IFERROR(__xludf.DUMMYFUNCTION("""COMPUTED_VALUE"""),"Hisuian Electrode")</f>
        <v>Hisuian Electrode</v>
      </c>
      <c r="B1162" s="174" t="str">
        <f>IFERROR(__xludf.DUMMYFUNCTION("""COMPUTED_VALUE"""),"Proficient")</f>
        <v>Proficient</v>
      </c>
      <c r="C1162" s="174" t="str">
        <f>IFERROR(__xludf.DUMMYFUNCTION("""COMPUTED_VALUE"""),"Unlisted")</f>
        <v>Unlisted</v>
      </c>
      <c r="D1162" s="174" t="str">
        <f>IFERROR(__xludf.DUMMYFUNCTION("""COMPUTED_VALUE"""),"Unlisted")</f>
        <v>Unlisted</v>
      </c>
      <c r="E1162" s="174" t="str">
        <f>IFERROR(__xludf.DUMMYFUNCTION("""COMPUTED_VALUE"""),"Unlisted")</f>
        <v>Unlisted</v>
      </c>
      <c r="F1162" s="174" t="str">
        <f>IFERROR(__xludf.DUMMYFUNCTION("""COMPUTED_VALUE"""),"Unlisted")</f>
        <v>Unlisted</v>
      </c>
      <c r="G1162" s="174" t="str">
        <f>IFERROR(__xludf.DUMMYFUNCTION("""COMPUTED_VALUE"""),"Proficient")</f>
        <v>Proficient</v>
      </c>
      <c r="H1162" s="174" t="str">
        <f>IFERROR(__xludf.DUMMYFUNCTION("""COMPUTED_VALUE"""),"Unlisted")</f>
        <v>Unlisted</v>
      </c>
      <c r="I1162" s="174" t="str">
        <f>IFERROR(__xludf.DUMMYFUNCTION("""COMPUTED_VALUE"""),"Unlisted")</f>
        <v>Unlisted</v>
      </c>
      <c r="J1162" s="174" t="str">
        <f>IFERROR(__xludf.DUMMYFUNCTION("""COMPUTED_VALUE"""),"Unlisted")</f>
        <v>Unlisted</v>
      </c>
      <c r="K1162" s="174" t="str">
        <f>IFERROR(__xludf.DUMMYFUNCTION("""COMPUTED_VALUE"""),"Unlisted")</f>
        <v>Unlisted</v>
      </c>
      <c r="L1162" s="174" t="str">
        <f>IFERROR(__xludf.DUMMYFUNCTION("""COMPUTED_VALUE"""),"Proficient")</f>
        <v>Proficient</v>
      </c>
      <c r="M1162" s="174" t="str">
        <f>IFERROR(__xludf.DUMMYFUNCTION("""COMPUTED_VALUE"""),"Unlisted")</f>
        <v>Unlisted</v>
      </c>
      <c r="N1162" s="174" t="str">
        <f>IFERROR(__xludf.DUMMYFUNCTION("""COMPUTED_VALUE"""),"Unlisted")</f>
        <v>Unlisted</v>
      </c>
      <c r="O1162" s="174" t="str">
        <f>IFERROR(__xludf.DUMMYFUNCTION("""COMPUTED_VALUE"""),"Unlisted")</f>
        <v>Unlisted</v>
      </c>
      <c r="P1162" s="174" t="str">
        <f>IFERROR(__xludf.DUMMYFUNCTION("""COMPUTED_VALUE"""),"Unlisted")</f>
        <v>Unlisted</v>
      </c>
      <c r="Q1162" s="174" t="str">
        <f>IFERROR(__xludf.DUMMYFUNCTION("""COMPUTED_VALUE"""),"Unlisted")</f>
        <v>Unlisted</v>
      </c>
      <c r="R1162" s="174" t="str">
        <f>IFERROR(__xludf.DUMMYFUNCTION("""COMPUTED_VALUE"""),"Unlisted")</f>
        <v>Unlisted</v>
      </c>
    </row>
    <row r="1163">
      <c r="A1163" s="255" t="str">
        <f>IFERROR(__xludf.DUMMYFUNCTION("""COMPUTED_VALUE"""),"Hisuian Growlithe")</f>
        <v>Hisuian Growlithe</v>
      </c>
      <c r="B1163" s="174" t="str">
        <f>IFERROR(__xludf.DUMMYFUNCTION("""COMPUTED_VALUE"""),"Unlisted")</f>
        <v>Unlisted</v>
      </c>
      <c r="C1163" s="174" t="str">
        <f>IFERROR(__xludf.DUMMYFUNCTION("""COMPUTED_VALUE"""),"Mastered")</f>
        <v>Mastered</v>
      </c>
      <c r="D1163" s="174" t="str">
        <f>IFERROR(__xludf.DUMMYFUNCTION("""COMPUTED_VALUE"""),"Unlisted")</f>
        <v>Unlisted</v>
      </c>
      <c r="E1163" s="174" t="str">
        <f>IFERROR(__xludf.DUMMYFUNCTION("""COMPUTED_VALUE"""),"Proficient")</f>
        <v>Proficient</v>
      </c>
      <c r="F1163" s="174" t="str">
        <f>IFERROR(__xludf.DUMMYFUNCTION("""COMPUTED_VALUE"""),"Unlisted")</f>
        <v>Unlisted</v>
      </c>
      <c r="G1163" s="174" t="str">
        <f>IFERROR(__xludf.DUMMYFUNCTION("""COMPUTED_VALUE"""),"Inept")</f>
        <v>Inept</v>
      </c>
      <c r="H1163" s="174" t="str">
        <f>IFERROR(__xludf.DUMMYFUNCTION("""COMPUTED_VALUE"""),"Unlisted")</f>
        <v>Unlisted</v>
      </c>
      <c r="I1163" s="174" t="str">
        <f>IFERROR(__xludf.DUMMYFUNCTION("""COMPUTED_VALUE"""),"Unlisted")</f>
        <v>Unlisted</v>
      </c>
      <c r="J1163" s="174" t="str">
        <f>IFERROR(__xludf.DUMMYFUNCTION("""COMPUTED_VALUE"""),"Unlisted")</f>
        <v>Unlisted</v>
      </c>
      <c r="K1163" s="174" t="str">
        <f>IFERROR(__xludf.DUMMYFUNCTION("""COMPUTED_VALUE"""),"Unlisted")</f>
        <v>Unlisted</v>
      </c>
      <c r="L1163" s="174" t="str">
        <f>IFERROR(__xludf.DUMMYFUNCTION("""COMPUTED_VALUE"""),"Unlisted")</f>
        <v>Unlisted</v>
      </c>
      <c r="M1163" s="174" t="str">
        <f>IFERROR(__xludf.DUMMYFUNCTION("""COMPUTED_VALUE"""),"Unlisted")</f>
        <v>Unlisted</v>
      </c>
      <c r="N1163" s="174" t="str">
        <f>IFERROR(__xludf.DUMMYFUNCTION("""COMPUTED_VALUE"""),"Unlisted")</f>
        <v>Unlisted</v>
      </c>
      <c r="O1163" s="174" t="str">
        <f>IFERROR(__xludf.DUMMYFUNCTION("""COMPUTED_VALUE"""),"Unlisted")</f>
        <v>Unlisted</v>
      </c>
      <c r="P1163" s="174" t="str">
        <f>IFERROR(__xludf.DUMMYFUNCTION("""COMPUTED_VALUE"""),"Unlisted")</f>
        <v>Unlisted</v>
      </c>
      <c r="Q1163" s="174" t="str">
        <f>IFERROR(__xludf.DUMMYFUNCTION("""COMPUTED_VALUE"""),"Unlisted")</f>
        <v>Unlisted</v>
      </c>
      <c r="R1163" s="174" t="str">
        <f>IFERROR(__xludf.DUMMYFUNCTION("""COMPUTED_VALUE"""),"Unlisted")</f>
        <v>Unlisted</v>
      </c>
    </row>
    <row r="1164">
      <c r="A1164" s="255" t="str">
        <f>IFERROR(__xludf.DUMMYFUNCTION("""COMPUTED_VALUE"""),"Hisuian Arcanine")</f>
        <v>Hisuian Arcanine</v>
      </c>
      <c r="B1164" s="174" t="str">
        <f>IFERROR(__xludf.DUMMYFUNCTION("""COMPUTED_VALUE"""),"Unlisted")</f>
        <v>Unlisted</v>
      </c>
      <c r="C1164" s="174" t="str">
        <f>IFERROR(__xludf.DUMMYFUNCTION("""COMPUTED_VALUE"""),"Mastered")</f>
        <v>Mastered</v>
      </c>
      <c r="D1164" s="174" t="str">
        <f>IFERROR(__xludf.DUMMYFUNCTION("""COMPUTED_VALUE"""),"Unlisted")</f>
        <v>Unlisted</v>
      </c>
      <c r="E1164" s="174" t="str">
        <f>IFERROR(__xludf.DUMMYFUNCTION("""COMPUTED_VALUE"""),"Proficient")</f>
        <v>Proficient</v>
      </c>
      <c r="F1164" s="174" t="str">
        <f>IFERROR(__xludf.DUMMYFUNCTION("""COMPUTED_VALUE"""),"Unlisted")</f>
        <v>Unlisted</v>
      </c>
      <c r="G1164" s="174" t="str">
        <f>IFERROR(__xludf.DUMMYFUNCTION("""COMPUTED_VALUE"""),"Inept")</f>
        <v>Inept</v>
      </c>
      <c r="H1164" s="174" t="str">
        <f>IFERROR(__xludf.DUMMYFUNCTION("""COMPUTED_VALUE"""),"Unlisted")</f>
        <v>Unlisted</v>
      </c>
      <c r="I1164" s="174" t="str">
        <f>IFERROR(__xludf.DUMMYFUNCTION("""COMPUTED_VALUE"""),"Unlisted")</f>
        <v>Unlisted</v>
      </c>
      <c r="J1164" s="174" t="str">
        <f>IFERROR(__xludf.DUMMYFUNCTION("""COMPUTED_VALUE"""),"Unlisted")</f>
        <v>Unlisted</v>
      </c>
      <c r="K1164" s="174" t="str">
        <f>IFERROR(__xludf.DUMMYFUNCTION("""COMPUTED_VALUE"""),"Proficient")</f>
        <v>Proficient</v>
      </c>
      <c r="L1164" s="174" t="str">
        <f>IFERROR(__xludf.DUMMYFUNCTION("""COMPUTED_VALUE"""),"Unlisted")</f>
        <v>Unlisted</v>
      </c>
      <c r="M1164" s="174" t="str">
        <f>IFERROR(__xludf.DUMMYFUNCTION("""COMPUTED_VALUE"""),"Unlisted")</f>
        <v>Unlisted</v>
      </c>
      <c r="N1164" s="174" t="str">
        <f>IFERROR(__xludf.DUMMYFUNCTION("""COMPUTED_VALUE"""),"Unlisted")</f>
        <v>Unlisted</v>
      </c>
      <c r="O1164" s="174" t="str">
        <f>IFERROR(__xludf.DUMMYFUNCTION("""COMPUTED_VALUE"""),"Unlisted")</f>
        <v>Unlisted</v>
      </c>
      <c r="P1164" s="174" t="str">
        <f>IFERROR(__xludf.DUMMYFUNCTION("""COMPUTED_VALUE"""),"Unlisted")</f>
        <v>Unlisted</v>
      </c>
      <c r="Q1164" s="174" t="str">
        <f>IFERROR(__xludf.DUMMYFUNCTION("""COMPUTED_VALUE"""),"Unlisted")</f>
        <v>Unlisted</v>
      </c>
      <c r="R1164" s="174" t="str">
        <f>IFERROR(__xludf.DUMMYFUNCTION("""COMPUTED_VALUE"""),"Unlisted")</f>
        <v>Unlisted</v>
      </c>
    </row>
    <row r="1165">
      <c r="A1165" s="255" t="str">
        <f>IFERROR(__xludf.DUMMYFUNCTION("""COMPUTED_VALUE"""),"Hisuian Zorua")</f>
        <v>Hisuian Zorua</v>
      </c>
      <c r="B1165" s="174" t="str">
        <f>IFERROR(__xludf.DUMMYFUNCTION("""COMPUTED_VALUE"""),"Unlisted")</f>
        <v>Unlisted</v>
      </c>
      <c r="C1165" s="174" t="str">
        <f>IFERROR(__xludf.DUMMYFUNCTION("""COMPUTED_VALUE"""),"Proficient")</f>
        <v>Proficient</v>
      </c>
      <c r="D1165" s="174" t="str">
        <f>IFERROR(__xludf.DUMMYFUNCTION("""COMPUTED_VALUE"""),"Unlisted")</f>
        <v>Unlisted</v>
      </c>
      <c r="E1165" s="174" t="str">
        <f>IFERROR(__xludf.DUMMYFUNCTION("""COMPUTED_VALUE"""),"Unlisted")</f>
        <v>Unlisted</v>
      </c>
      <c r="F1165" s="174" t="str">
        <f>IFERROR(__xludf.DUMMYFUNCTION("""COMPUTED_VALUE"""),"Unlisted")</f>
        <v>Unlisted</v>
      </c>
      <c r="G1165" s="174" t="str">
        <f>IFERROR(__xludf.DUMMYFUNCTION("""COMPUTED_VALUE"""),"Unlisted")</f>
        <v>Unlisted</v>
      </c>
      <c r="H1165" s="174" t="str">
        <f>IFERROR(__xludf.DUMMYFUNCTION("""COMPUTED_VALUE"""),"Mastered")</f>
        <v>Mastered</v>
      </c>
      <c r="I1165" s="174" t="str">
        <f>IFERROR(__xludf.DUMMYFUNCTION("""COMPUTED_VALUE"""),"Unlisted")</f>
        <v>Unlisted</v>
      </c>
      <c r="J1165" s="174" t="str">
        <f>IFERROR(__xludf.DUMMYFUNCTION("""COMPUTED_VALUE"""),"Unlisted")</f>
        <v>Unlisted</v>
      </c>
      <c r="K1165" s="174" t="str">
        <f>IFERROR(__xludf.DUMMYFUNCTION("""COMPUTED_VALUE"""),"Unlisted")</f>
        <v>Unlisted</v>
      </c>
      <c r="L1165" s="174" t="str">
        <f>IFERROR(__xludf.DUMMYFUNCTION("""COMPUTED_VALUE"""),"Proficient")</f>
        <v>Proficient</v>
      </c>
      <c r="M1165" s="174" t="str">
        <f>IFERROR(__xludf.DUMMYFUNCTION("""COMPUTED_VALUE"""),"Unlisted")</f>
        <v>Unlisted</v>
      </c>
      <c r="N1165" s="174" t="str">
        <f>IFERROR(__xludf.DUMMYFUNCTION("""COMPUTED_VALUE"""),"Unlisted")</f>
        <v>Unlisted</v>
      </c>
      <c r="O1165" s="174" t="str">
        <f>IFERROR(__xludf.DUMMYFUNCTION("""COMPUTED_VALUE"""),"Unlisted")</f>
        <v>Unlisted</v>
      </c>
      <c r="P1165" s="174" t="str">
        <f>IFERROR(__xludf.DUMMYFUNCTION("""COMPUTED_VALUE"""),"Unlisted")</f>
        <v>Unlisted</v>
      </c>
      <c r="Q1165" s="174" t="str">
        <f>IFERROR(__xludf.DUMMYFUNCTION("""COMPUTED_VALUE"""),"Unlisted")</f>
        <v>Unlisted</v>
      </c>
      <c r="R1165" s="174" t="str">
        <f>IFERROR(__xludf.DUMMYFUNCTION("""COMPUTED_VALUE"""),"Unlisted")</f>
        <v>Unlisted</v>
      </c>
    </row>
    <row r="1166">
      <c r="A1166" s="255" t="str">
        <f>IFERROR(__xludf.DUMMYFUNCTION("""COMPUTED_VALUE"""),"Hisuian Zoroark")</f>
        <v>Hisuian Zoroark</v>
      </c>
      <c r="B1166" s="174" t="str">
        <f>IFERROR(__xludf.DUMMYFUNCTION("""COMPUTED_VALUE"""),"Unlisted")</f>
        <v>Unlisted</v>
      </c>
      <c r="C1166" s="174" t="str">
        <f>IFERROR(__xludf.DUMMYFUNCTION("""COMPUTED_VALUE"""),"Proficient")</f>
        <v>Proficient</v>
      </c>
      <c r="D1166" s="174" t="str">
        <f>IFERROR(__xludf.DUMMYFUNCTION("""COMPUTED_VALUE"""),"Unlisted")</f>
        <v>Unlisted</v>
      </c>
      <c r="E1166" s="174" t="str">
        <f>IFERROR(__xludf.DUMMYFUNCTION("""COMPUTED_VALUE"""),"Unlisted")</f>
        <v>Unlisted</v>
      </c>
      <c r="F1166" s="174" t="str">
        <f>IFERROR(__xludf.DUMMYFUNCTION("""COMPUTED_VALUE"""),"Unlisted")</f>
        <v>Unlisted</v>
      </c>
      <c r="G1166" s="174" t="str">
        <f>IFERROR(__xludf.DUMMYFUNCTION("""COMPUTED_VALUE"""),"Unlisted")</f>
        <v>Unlisted</v>
      </c>
      <c r="H1166" s="174" t="str">
        <f>IFERROR(__xludf.DUMMYFUNCTION("""COMPUTED_VALUE"""),"Mastered")</f>
        <v>Mastered</v>
      </c>
      <c r="I1166" s="174" t="str">
        <f>IFERROR(__xludf.DUMMYFUNCTION("""COMPUTED_VALUE"""),"Unlisted")</f>
        <v>Unlisted</v>
      </c>
      <c r="J1166" s="174" t="str">
        <f>IFERROR(__xludf.DUMMYFUNCTION("""COMPUTED_VALUE"""),"Unlisted")</f>
        <v>Unlisted</v>
      </c>
      <c r="K1166" s="174" t="str">
        <f>IFERROR(__xludf.DUMMYFUNCTION("""COMPUTED_VALUE"""),"Unlisted")</f>
        <v>Unlisted</v>
      </c>
      <c r="L1166" s="174" t="str">
        <f>IFERROR(__xludf.DUMMYFUNCTION("""COMPUTED_VALUE"""),"Proficient")</f>
        <v>Proficient</v>
      </c>
      <c r="M1166" s="174" t="str">
        <f>IFERROR(__xludf.DUMMYFUNCTION("""COMPUTED_VALUE"""),"Unlisted")</f>
        <v>Unlisted</v>
      </c>
      <c r="N1166" s="174" t="str">
        <f>IFERROR(__xludf.DUMMYFUNCTION("""COMPUTED_VALUE"""),"Unlisted")</f>
        <v>Unlisted</v>
      </c>
      <c r="O1166" s="174" t="str">
        <f>IFERROR(__xludf.DUMMYFUNCTION("""COMPUTED_VALUE"""),"Unlisted")</f>
        <v>Unlisted</v>
      </c>
      <c r="P1166" s="174" t="str">
        <f>IFERROR(__xludf.DUMMYFUNCTION("""COMPUTED_VALUE"""),"Unlisted")</f>
        <v>Unlisted</v>
      </c>
      <c r="Q1166" s="174" t="str">
        <f>IFERROR(__xludf.DUMMYFUNCTION("""COMPUTED_VALUE"""),"Unlisted")</f>
        <v>Unlisted</v>
      </c>
      <c r="R1166" s="174" t="str">
        <f>IFERROR(__xludf.DUMMYFUNCTION("""COMPUTED_VALUE"""),"Unlisted")</f>
        <v>Unlisted</v>
      </c>
    </row>
    <row r="1167">
      <c r="A1167" s="255" t="str">
        <f>IFERROR(__xludf.DUMMYFUNCTION("""COMPUTED_VALUE"""),"Hisuian Sneasel")</f>
        <v>Hisuian Sneasel</v>
      </c>
      <c r="B1167" s="174" t="str">
        <f>IFERROR(__xludf.DUMMYFUNCTION("""COMPUTED_VALUE"""),"Mastered")</f>
        <v>Mastered</v>
      </c>
      <c r="C1167" s="174" t="str">
        <f>IFERROR(__xludf.DUMMYFUNCTION("""COMPUTED_VALUE"""),"Unlisted")</f>
        <v>Unlisted</v>
      </c>
      <c r="D1167" s="174" t="str">
        <f>IFERROR(__xludf.DUMMYFUNCTION("""COMPUTED_VALUE"""),"Unlisted")</f>
        <v>Unlisted</v>
      </c>
      <c r="E1167" s="174" t="str">
        <f>IFERROR(__xludf.DUMMYFUNCTION("""COMPUTED_VALUE"""),"Proficient")</f>
        <v>Proficient</v>
      </c>
      <c r="F1167" s="174" t="str">
        <f>IFERROR(__xludf.DUMMYFUNCTION("""COMPUTED_VALUE"""),"Unlisted")</f>
        <v>Unlisted</v>
      </c>
      <c r="G1167" s="174" t="str">
        <f>IFERROR(__xludf.DUMMYFUNCTION("""COMPUTED_VALUE"""),"Unlisted")</f>
        <v>Unlisted</v>
      </c>
      <c r="H1167" s="174" t="str">
        <f>IFERROR(__xludf.DUMMYFUNCTION("""COMPUTED_VALUE"""),"Unlisted")</f>
        <v>Unlisted</v>
      </c>
      <c r="I1167" s="174" t="str">
        <f>IFERROR(__xludf.DUMMYFUNCTION("""COMPUTED_VALUE"""),"Unlisted")</f>
        <v>Unlisted</v>
      </c>
      <c r="J1167" s="174" t="str">
        <f>IFERROR(__xludf.DUMMYFUNCTION("""COMPUTED_VALUE"""),"Unlisted")</f>
        <v>Unlisted</v>
      </c>
      <c r="K1167" s="174" t="str">
        <f>IFERROR(__xludf.DUMMYFUNCTION("""COMPUTED_VALUE"""),"Unlisted")</f>
        <v>Unlisted</v>
      </c>
      <c r="L1167" s="174" t="str">
        <f>IFERROR(__xludf.DUMMYFUNCTION("""COMPUTED_VALUE"""),"Proficient")</f>
        <v>Proficient</v>
      </c>
      <c r="M1167" s="174" t="str">
        <f>IFERROR(__xludf.DUMMYFUNCTION("""COMPUTED_VALUE"""),"Unlisted")</f>
        <v>Unlisted</v>
      </c>
      <c r="N1167" s="174" t="str">
        <f>IFERROR(__xludf.DUMMYFUNCTION("""COMPUTED_VALUE"""),"Unlisted")</f>
        <v>Unlisted</v>
      </c>
      <c r="O1167" s="174" t="str">
        <f>IFERROR(__xludf.DUMMYFUNCTION("""COMPUTED_VALUE"""),"Unlisted")</f>
        <v>Unlisted</v>
      </c>
      <c r="P1167" s="174" t="str">
        <f>IFERROR(__xludf.DUMMYFUNCTION("""COMPUTED_VALUE"""),"Unlisted")</f>
        <v>Unlisted</v>
      </c>
      <c r="Q1167" s="174" t="str">
        <f>IFERROR(__xludf.DUMMYFUNCTION("""COMPUTED_VALUE"""),"Unlisted")</f>
        <v>Unlisted</v>
      </c>
      <c r="R1167" s="174" t="str">
        <f>IFERROR(__xludf.DUMMYFUNCTION("""COMPUTED_VALUE"""),"Unlisted")</f>
        <v>Unlisted</v>
      </c>
    </row>
    <row r="1168">
      <c r="A1168" s="255" t="str">
        <f>IFERROR(__xludf.DUMMYFUNCTION("""COMPUTED_VALUE"""),"Sneasler")</f>
        <v>Sneasler</v>
      </c>
      <c r="B1168" s="174" t="str">
        <f>IFERROR(__xludf.DUMMYFUNCTION("""COMPUTED_VALUE"""),"Mastered")</f>
        <v>Mastered</v>
      </c>
      <c r="C1168" s="174" t="str">
        <f>IFERROR(__xludf.DUMMYFUNCTION("""COMPUTED_VALUE"""),"Unlisted")</f>
        <v>Unlisted</v>
      </c>
      <c r="D1168" s="174" t="str">
        <f>IFERROR(__xludf.DUMMYFUNCTION("""COMPUTED_VALUE"""),"Unlisted")</f>
        <v>Unlisted</v>
      </c>
      <c r="E1168" s="174" t="str">
        <f>IFERROR(__xludf.DUMMYFUNCTION("""COMPUTED_VALUE"""),"Proficient")</f>
        <v>Proficient</v>
      </c>
      <c r="F1168" s="174" t="str">
        <f>IFERROR(__xludf.DUMMYFUNCTION("""COMPUTED_VALUE"""),"Unlisted")</f>
        <v>Unlisted</v>
      </c>
      <c r="G1168" s="174" t="str">
        <f>IFERROR(__xludf.DUMMYFUNCTION("""COMPUTED_VALUE"""),"Unlisted")</f>
        <v>Unlisted</v>
      </c>
      <c r="H1168" s="174" t="str">
        <f>IFERROR(__xludf.DUMMYFUNCTION("""COMPUTED_VALUE"""),"Proficient")</f>
        <v>Proficient</v>
      </c>
      <c r="I1168" s="174" t="str">
        <f>IFERROR(__xludf.DUMMYFUNCTION("""COMPUTED_VALUE"""),"Unlisted")</f>
        <v>Unlisted</v>
      </c>
      <c r="J1168" s="174" t="str">
        <f>IFERROR(__xludf.DUMMYFUNCTION("""COMPUTED_VALUE"""),"Unlisted")</f>
        <v>Unlisted</v>
      </c>
      <c r="K1168" s="174" t="str">
        <f>IFERROR(__xludf.DUMMYFUNCTION("""COMPUTED_VALUE"""),"Unlisted")</f>
        <v>Unlisted</v>
      </c>
      <c r="L1168" s="174" t="str">
        <f>IFERROR(__xludf.DUMMYFUNCTION("""COMPUTED_VALUE"""),"Unlisted")</f>
        <v>Unlisted</v>
      </c>
      <c r="M1168" s="174" t="str">
        <f>IFERROR(__xludf.DUMMYFUNCTION("""COMPUTED_VALUE"""),"Unlisted")</f>
        <v>Unlisted</v>
      </c>
      <c r="N1168" s="174" t="str">
        <f>IFERROR(__xludf.DUMMYFUNCTION("""COMPUTED_VALUE"""),"Unlisted")</f>
        <v>Unlisted</v>
      </c>
      <c r="O1168" s="174" t="str">
        <f>IFERROR(__xludf.DUMMYFUNCTION("""COMPUTED_VALUE"""),"Unlisted")</f>
        <v>Unlisted</v>
      </c>
      <c r="P1168" s="174" t="str">
        <f>IFERROR(__xludf.DUMMYFUNCTION("""COMPUTED_VALUE"""),"Unlisted")</f>
        <v>Unlisted</v>
      </c>
      <c r="Q1168" s="174" t="str">
        <f>IFERROR(__xludf.DUMMYFUNCTION("""COMPUTED_VALUE"""),"Unlisted")</f>
        <v>Unlisted</v>
      </c>
      <c r="R1168" s="174" t="str">
        <f>IFERROR(__xludf.DUMMYFUNCTION("""COMPUTED_VALUE"""),"Unlisted")</f>
        <v>Unlisted</v>
      </c>
    </row>
    <row r="1169">
      <c r="A1169" s="255" t="str">
        <f>IFERROR(__xludf.DUMMYFUNCTION("""COMPUTED_VALUE"""),"Paldean Wooper")</f>
        <v>Paldean Wooper</v>
      </c>
      <c r="B1169" s="174" t="str">
        <f>IFERROR(__xludf.DUMMYFUNCTION("""COMPUTED_VALUE"""),"Inept")</f>
        <v>Inept</v>
      </c>
      <c r="C1169" s="174" t="str">
        <f>IFERROR(__xludf.DUMMYFUNCTION("""COMPUTED_VALUE"""),"Inept")</f>
        <v>Inept</v>
      </c>
      <c r="D1169" s="174" t="str">
        <f>IFERROR(__xludf.DUMMYFUNCTION("""COMPUTED_VALUE"""),"Unlisted")</f>
        <v>Unlisted</v>
      </c>
      <c r="E1169" s="174" t="str">
        <f>IFERROR(__xludf.DUMMYFUNCTION("""COMPUTED_VALUE"""),"Unlisted")</f>
        <v>Unlisted</v>
      </c>
      <c r="F1169" s="174" t="str">
        <f>IFERROR(__xludf.DUMMYFUNCTION("""COMPUTED_VALUE"""),"Unlisted")</f>
        <v>Unlisted</v>
      </c>
      <c r="G1169" s="174" t="str">
        <f>IFERROR(__xludf.DUMMYFUNCTION("""COMPUTED_VALUE"""),"Proficient")</f>
        <v>Proficient</v>
      </c>
      <c r="H1169" s="174" t="str">
        <f>IFERROR(__xludf.DUMMYFUNCTION("""COMPUTED_VALUE"""),"Unlisted")</f>
        <v>Unlisted</v>
      </c>
      <c r="I1169" s="174" t="str">
        <f>IFERROR(__xludf.DUMMYFUNCTION("""COMPUTED_VALUE"""),"Unlisted")</f>
        <v>Unlisted</v>
      </c>
      <c r="J1169" s="174" t="str">
        <f>IFERROR(__xludf.DUMMYFUNCTION("""COMPUTED_VALUE"""),"Inept")</f>
        <v>Inept</v>
      </c>
      <c r="K1169" s="174" t="str">
        <f>IFERROR(__xludf.DUMMYFUNCTION("""COMPUTED_VALUE"""),"Unlisted")</f>
        <v>Unlisted</v>
      </c>
      <c r="L1169" s="174" t="str">
        <f>IFERROR(__xludf.DUMMYFUNCTION("""COMPUTED_VALUE"""),"Unlisted")</f>
        <v>Unlisted</v>
      </c>
      <c r="M1169" s="174" t="str">
        <f>IFERROR(__xludf.DUMMYFUNCTION("""COMPUTED_VALUE"""),"Unlisted")</f>
        <v>Unlisted</v>
      </c>
      <c r="N1169" s="174" t="str">
        <f>IFERROR(__xludf.DUMMYFUNCTION("""COMPUTED_VALUE"""),"Unlisted")</f>
        <v>Unlisted</v>
      </c>
      <c r="O1169" s="174" t="str">
        <f>IFERROR(__xludf.DUMMYFUNCTION("""COMPUTED_VALUE"""),"Unlisted")</f>
        <v>Unlisted</v>
      </c>
      <c r="P1169" s="174" t="str">
        <f>IFERROR(__xludf.DUMMYFUNCTION("""COMPUTED_VALUE"""),"Unlisted")</f>
        <v>Unlisted</v>
      </c>
      <c r="Q1169" s="174" t="str">
        <f>IFERROR(__xludf.DUMMYFUNCTION("""COMPUTED_VALUE"""),"Unlisted")</f>
        <v>Unlisted</v>
      </c>
      <c r="R1169" s="174" t="str">
        <f>IFERROR(__xludf.DUMMYFUNCTION("""COMPUTED_VALUE"""),"Unlisted")</f>
        <v>Unlisted</v>
      </c>
    </row>
    <row r="1170">
      <c r="A1170" s="255" t="str">
        <f>IFERROR(__xludf.DUMMYFUNCTION("""COMPUTED_VALUE"""),"Clodsire")</f>
        <v>Clodsire</v>
      </c>
      <c r="B1170" s="174" t="str">
        <f>IFERROR(__xludf.DUMMYFUNCTION("""COMPUTED_VALUE"""),"Unlisted")</f>
        <v>Unlisted</v>
      </c>
      <c r="C1170" s="174" t="str">
        <f>IFERROR(__xludf.DUMMYFUNCTION("""COMPUTED_VALUE"""),"Proficient")</f>
        <v>Proficient</v>
      </c>
      <c r="D1170" s="174" t="str">
        <f>IFERROR(__xludf.DUMMYFUNCTION("""COMPUTED_VALUE"""),"Unlisted")</f>
        <v>Unlisted</v>
      </c>
      <c r="E1170" s="174" t="str">
        <f>IFERROR(__xludf.DUMMYFUNCTION("""COMPUTED_VALUE"""),"Unlisted")</f>
        <v>Unlisted</v>
      </c>
      <c r="F1170" s="174" t="str">
        <f>IFERROR(__xludf.DUMMYFUNCTION("""COMPUTED_VALUE"""),"Unlisted")</f>
        <v>Unlisted</v>
      </c>
      <c r="G1170" s="174" t="str">
        <f>IFERROR(__xludf.DUMMYFUNCTION("""COMPUTED_VALUE"""),"Proficient")</f>
        <v>Proficient</v>
      </c>
      <c r="H1170" s="174" t="str">
        <f>IFERROR(__xludf.DUMMYFUNCTION("""COMPUTED_VALUE"""),"Unlisted")</f>
        <v>Unlisted</v>
      </c>
      <c r="I1170" s="174" t="str">
        <f>IFERROR(__xludf.DUMMYFUNCTION("""COMPUTED_VALUE"""),"Unlisted")</f>
        <v>Unlisted</v>
      </c>
      <c r="J1170" s="174" t="str">
        <f>IFERROR(__xludf.DUMMYFUNCTION("""COMPUTED_VALUE"""),"Inept")</f>
        <v>Inept</v>
      </c>
      <c r="K1170" s="174" t="str">
        <f>IFERROR(__xludf.DUMMYFUNCTION("""COMPUTED_VALUE"""),"Unlisted")</f>
        <v>Unlisted</v>
      </c>
      <c r="L1170" s="174" t="str">
        <f>IFERROR(__xludf.DUMMYFUNCTION("""COMPUTED_VALUE"""),"Unlisted")</f>
        <v>Unlisted</v>
      </c>
      <c r="M1170" s="174" t="str">
        <f>IFERROR(__xludf.DUMMYFUNCTION("""COMPUTED_VALUE"""),"Unlisted")</f>
        <v>Unlisted</v>
      </c>
      <c r="N1170" s="174" t="str">
        <f>IFERROR(__xludf.DUMMYFUNCTION("""COMPUTED_VALUE"""),"Unlisted")</f>
        <v>Unlisted</v>
      </c>
      <c r="O1170" s="174" t="str">
        <f>IFERROR(__xludf.DUMMYFUNCTION("""COMPUTED_VALUE"""),"Unlisted")</f>
        <v>Unlisted</v>
      </c>
      <c r="P1170" s="174" t="str">
        <f>IFERROR(__xludf.DUMMYFUNCTION("""COMPUTED_VALUE"""),"Unlisted")</f>
        <v>Unlisted</v>
      </c>
      <c r="Q1170" s="174" t="str">
        <f>IFERROR(__xludf.DUMMYFUNCTION("""COMPUTED_VALUE"""),"Unlisted")</f>
        <v>Unlisted</v>
      </c>
      <c r="R1170" s="174" t="str">
        <f>IFERROR(__xludf.DUMMYFUNCTION("""COMPUTED_VALUE"""),"Unlisted")</f>
        <v>Unlisted</v>
      </c>
    </row>
    <row r="1171">
      <c r="A1171" s="255" t="str">
        <f>IFERROR(__xludf.DUMMYFUNCTION("""COMPUTED_VALUE"""),"Toedscool")</f>
        <v>Toedscool</v>
      </c>
      <c r="B1171" s="174" t="str">
        <f>IFERROR(__xludf.DUMMYFUNCTION("""COMPUTED_VALUE"""),"Unlisted")</f>
        <v>Unlisted</v>
      </c>
      <c r="C1171" s="174" t="str">
        <f>IFERROR(__xludf.DUMMYFUNCTION("""COMPUTED_VALUE"""),"Unlisted")</f>
        <v>Unlisted</v>
      </c>
      <c r="D1171" s="174" t="str">
        <f>IFERROR(__xludf.DUMMYFUNCTION("""COMPUTED_VALUE"""),"Unlisted")</f>
        <v>Unlisted</v>
      </c>
      <c r="E1171" s="174" t="str">
        <f>IFERROR(__xludf.DUMMYFUNCTION("""COMPUTED_VALUE"""),"Unlisted")</f>
        <v>Unlisted</v>
      </c>
      <c r="F1171" s="174" t="str">
        <f>IFERROR(__xludf.DUMMYFUNCTION("""COMPUTED_VALUE"""),"Unlisted")</f>
        <v>Unlisted</v>
      </c>
      <c r="G1171" s="174" t="str">
        <f>IFERROR(__xludf.DUMMYFUNCTION("""COMPUTED_VALUE"""),"Proficient")</f>
        <v>Proficient</v>
      </c>
      <c r="H1171" s="174" t="str">
        <f>IFERROR(__xludf.DUMMYFUNCTION("""COMPUTED_VALUE"""),"Unlisted")</f>
        <v>Unlisted</v>
      </c>
      <c r="I1171" s="174" t="str">
        <f>IFERROR(__xludf.DUMMYFUNCTION("""COMPUTED_VALUE"""),"Unlisted")</f>
        <v>Unlisted</v>
      </c>
      <c r="J1171" s="174" t="str">
        <f>IFERROR(__xludf.DUMMYFUNCTION("""COMPUTED_VALUE"""),"Unlisted")</f>
        <v>Unlisted</v>
      </c>
      <c r="K1171" s="174" t="str">
        <f>IFERROR(__xludf.DUMMYFUNCTION("""COMPUTED_VALUE"""),"Unlisted")</f>
        <v>Unlisted</v>
      </c>
      <c r="L1171" s="174" t="str">
        <f>IFERROR(__xludf.DUMMYFUNCTION("""COMPUTED_VALUE"""),"Unlisted")</f>
        <v>Unlisted</v>
      </c>
      <c r="M1171" s="174" t="str">
        <f>IFERROR(__xludf.DUMMYFUNCTION("""COMPUTED_VALUE"""),"Unlisted")</f>
        <v>Unlisted</v>
      </c>
      <c r="N1171" s="174" t="str">
        <f>IFERROR(__xludf.DUMMYFUNCTION("""COMPUTED_VALUE"""),"Unlisted")</f>
        <v>Unlisted</v>
      </c>
      <c r="O1171" s="174" t="str">
        <f>IFERROR(__xludf.DUMMYFUNCTION("""COMPUTED_VALUE"""),"Unlisted")</f>
        <v>Unlisted</v>
      </c>
      <c r="P1171" s="174" t="str">
        <f>IFERROR(__xludf.DUMMYFUNCTION("""COMPUTED_VALUE"""),"Unlisted")</f>
        <v>Unlisted</v>
      </c>
      <c r="Q1171" s="174" t="str">
        <f>IFERROR(__xludf.DUMMYFUNCTION("""COMPUTED_VALUE"""),"Unlisted")</f>
        <v>Unlisted</v>
      </c>
      <c r="R1171" s="174" t="str">
        <f>IFERROR(__xludf.DUMMYFUNCTION("""COMPUTED_VALUE"""),"Unlisted")</f>
        <v>Unlisted</v>
      </c>
    </row>
    <row r="1172">
      <c r="A1172" s="255" t="str">
        <f>IFERROR(__xludf.DUMMYFUNCTION("""COMPUTED_VALUE"""),"Toedscruel")</f>
        <v>Toedscruel</v>
      </c>
      <c r="B1172" s="174" t="str">
        <f>IFERROR(__xludf.DUMMYFUNCTION("""COMPUTED_VALUE"""),"Unlisted")</f>
        <v>Unlisted</v>
      </c>
      <c r="C1172" s="174" t="str">
        <f>IFERROR(__xludf.DUMMYFUNCTION("""COMPUTED_VALUE"""),"Unlisted")</f>
        <v>Unlisted</v>
      </c>
      <c r="D1172" s="174" t="str">
        <f>IFERROR(__xludf.DUMMYFUNCTION("""COMPUTED_VALUE"""),"Unlisted")</f>
        <v>Unlisted</v>
      </c>
      <c r="E1172" s="174" t="str">
        <f>IFERROR(__xludf.DUMMYFUNCTION("""COMPUTED_VALUE"""),"Unlisted")</f>
        <v>Unlisted</v>
      </c>
      <c r="F1172" s="174" t="str">
        <f>IFERROR(__xludf.DUMMYFUNCTION("""COMPUTED_VALUE"""),"Unlisted")</f>
        <v>Unlisted</v>
      </c>
      <c r="G1172" s="174" t="str">
        <f>IFERROR(__xludf.DUMMYFUNCTION("""COMPUTED_VALUE"""),"Proficient")</f>
        <v>Proficient</v>
      </c>
      <c r="H1172" s="174" t="str">
        <f>IFERROR(__xludf.DUMMYFUNCTION("""COMPUTED_VALUE"""),"Unlisted")</f>
        <v>Unlisted</v>
      </c>
      <c r="I1172" s="174" t="str">
        <f>IFERROR(__xludf.DUMMYFUNCTION("""COMPUTED_VALUE"""),"Unlisted")</f>
        <v>Unlisted</v>
      </c>
      <c r="J1172" s="174" t="str">
        <f>IFERROR(__xludf.DUMMYFUNCTION("""COMPUTED_VALUE"""),"Unlisted")</f>
        <v>Unlisted</v>
      </c>
      <c r="K1172" s="174" t="str">
        <f>IFERROR(__xludf.DUMMYFUNCTION("""COMPUTED_VALUE"""),"Unlisted")</f>
        <v>Unlisted</v>
      </c>
      <c r="L1172" s="174" t="str">
        <f>IFERROR(__xludf.DUMMYFUNCTION("""COMPUTED_VALUE"""),"Unlisted")</f>
        <v>Unlisted</v>
      </c>
      <c r="M1172" s="174" t="str">
        <f>IFERROR(__xludf.DUMMYFUNCTION("""COMPUTED_VALUE"""),"Unlisted")</f>
        <v>Unlisted</v>
      </c>
      <c r="N1172" s="174" t="str">
        <f>IFERROR(__xludf.DUMMYFUNCTION("""COMPUTED_VALUE"""),"Unlisted")</f>
        <v>Unlisted</v>
      </c>
      <c r="O1172" s="174" t="str">
        <f>IFERROR(__xludf.DUMMYFUNCTION("""COMPUTED_VALUE"""),"Unlisted")</f>
        <v>Unlisted</v>
      </c>
      <c r="P1172" s="174" t="str">
        <f>IFERROR(__xludf.DUMMYFUNCTION("""COMPUTED_VALUE"""),"Unlisted")</f>
        <v>Unlisted</v>
      </c>
      <c r="Q1172" s="174" t="str">
        <f>IFERROR(__xludf.DUMMYFUNCTION("""COMPUTED_VALUE"""),"Unlisted")</f>
        <v>Unlisted</v>
      </c>
      <c r="R1172" s="174" t="str">
        <f>IFERROR(__xludf.DUMMYFUNCTION("""COMPUTED_VALUE"""),"Unlisted")</f>
        <v>Unlisted</v>
      </c>
    </row>
    <row r="1173">
      <c r="A1173" s="255" t="str">
        <f>IFERROR(__xludf.DUMMYFUNCTION("""COMPUTED_VALUE"""),"Tauros (Combat Breed)")</f>
        <v>Tauros (Combat Breed)</v>
      </c>
      <c r="B1173" s="174" t="str">
        <f>IFERROR(__xludf.DUMMYFUNCTION("""COMPUTED_VALUE"""),"Unlisted")</f>
        <v>Unlisted</v>
      </c>
      <c r="C1173" s="174" t="str">
        <f>IFERROR(__xludf.DUMMYFUNCTION("""COMPUTED_VALUE"""),"Proficient")</f>
        <v>Proficient</v>
      </c>
      <c r="D1173" s="174" t="str">
        <f>IFERROR(__xludf.DUMMYFUNCTION("""COMPUTED_VALUE"""),"Unlisted")</f>
        <v>Unlisted</v>
      </c>
      <c r="E1173" s="174" t="str">
        <f>IFERROR(__xludf.DUMMYFUNCTION("""COMPUTED_VALUE"""),"Mastered")</f>
        <v>Mastered</v>
      </c>
      <c r="F1173" s="174" t="str">
        <f>IFERROR(__xludf.DUMMYFUNCTION("""COMPUTED_VALUE"""),"Unlisted")</f>
        <v>Unlisted</v>
      </c>
      <c r="G1173" s="174" t="str">
        <f>IFERROR(__xludf.DUMMYFUNCTION("""COMPUTED_VALUE"""),"Inept")</f>
        <v>Inept</v>
      </c>
      <c r="H1173" s="174" t="str">
        <f>IFERROR(__xludf.DUMMYFUNCTION("""COMPUTED_VALUE"""),"Unlisted")</f>
        <v>Unlisted</v>
      </c>
      <c r="I1173" s="174" t="str">
        <f>IFERROR(__xludf.DUMMYFUNCTION("""COMPUTED_VALUE"""),"Unlisted")</f>
        <v>Unlisted</v>
      </c>
      <c r="J1173" s="174" t="str">
        <f>IFERROR(__xludf.DUMMYFUNCTION("""COMPUTED_VALUE"""),"Unlisted")</f>
        <v>Unlisted</v>
      </c>
      <c r="K1173" s="174" t="str">
        <f>IFERROR(__xludf.DUMMYFUNCTION("""COMPUTED_VALUE"""),"Unlisted")</f>
        <v>Unlisted</v>
      </c>
      <c r="L1173" s="174" t="str">
        <f>IFERROR(__xludf.DUMMYFUNCTION("""COMPUTED_VALUE"""),"Unlisted")</f>
        <v>Unlisted</v>
      </c>
      <c r="M1173" s="174" t="str">
        <f>IFERROR(__xludf.DUMMYFUNCTION("""COMPUTED_VALUE"""),"Unlisted")</f>
        <v>Unlisted</v>
      </c>
      <c r="N1173" s="174" t="str">
        <f>IFERROR(__xludf.DUMMYFUNCTION("""COMPUTED_VALUE"""),"Unlisted")</f>
        <v>Unlisted</v>
      </c>
      <c r="O1173" s="174" t="str">
        <f>IFERROR(__xludf.DUMMYFUNCTION("""COMPUTED_VALUE"""),"Unlisted")</f>
        <v>Unlisted</v>
      </c>
      <c r="P1173" s="174" t="str">
        <f>IFERROR(__xludf.DUMMYFUNCTION("""COMPUTED_VALUE"""),"Unlisted")</f>
        <v>Unlisted</v>
      </c>
      <c r="Q1173" s="174" t="str">
        <f>IFERROR(__xludf.DUMMYFUNCTION("""COMPUTED_VALUE"""),"Unlisted")</f>
        <v>Unlisted</v>
      </c>
      <c r="R1173" s="174" t="str">
        <f>IFERROR(__xludf.DUMMYFUNCTION("""COMPUTED_VALUE"""),"Unlisted")</f>
        <v>Unlisted</v>
      </c>
    </row>
    <row r="1174">
      <c r="A1174" s="255" t="str">
        <f>IFERROR(__xludf.DUMMYFUNCTION("""COMPUTED_VALUE"""),"Tauros (Blaze Breed)")</f>
        <v>Tauros (Blaze Breed)</v>
      </c>
      <c r="B1174" s="174" t="str">
        <f>IFERROR(__xludf.DUMMYFUNCTION("""COMPUTED_VALUE"""),"Unlisted")</f>
        <v>Unlisted</v>
      </c>
      <c r="C1174" s="174" t="str">
        <f>IFERROR(__xludf.DUMMYFUNCTION("""COMPUTED_VALUE"""),"Proficient")</f>
        <v>Proficient</v>
      </c>
      <c r="D1174" s="174" t="str">
        <f>IFERROR(__xludf.DUMMYFUNCTION("""COMPUTED_VALUE"""),"Unlisted")</f>
        <v>Unlisted</v>
      </c>
      <c r="E1174" s="174" t="str">
        <f>IFERROR(__xludf.DUMMYFUNCTION("""COMPUTED_VALUE"""),"Mastered")</f>
        <v>Mastered</v>
      </c>
      <c r="F1174" s="174" t="str">
        <f>IFERROR(__xludf.DUMMYFUNCTION("""COMPUTED_VALUE"""),"Unlisted")</f>
        <v>Unlisted</v>
      </c>
      <c r="G1174" s="174" t="str">
        <f>IFERROR(__xludf.DUMMYFUNCTION("""COMPUTED_VALUE"""),"Inept")</f>
        <v>Inept</v>
      </c>
      <c r="H1174" s="174" t="str">
        <f>IFERROR(__xludf.DUMMYFUNCTION("""COMPUTED_VALUE"""),"Unlisted")</f>
        <v>Unlisted</v>
      </c>
      <c r="I1174" s="174" t="str">
        <f>IFERROR(__xludf.DUMMYFUNCTION("""COMPUTED_VALUE"""),"Unlisted")</f>
        <v>Unlisted</v>
      </c>
      <c r="J1174" s="174" t="str">
        <f>IFERROR(__xludf.DUMMYFUNCTION("""COMPUTED_VALUE"""),"Unlisted")</f>
        <v>Unlisted</v>
      </c>
      <c r="K1174" s="174" t="str">
        <f>IFERROR(__xludf.DUMMYFUNCTION("""COMPUTED_VALUE"""),"Unlisted")</f>
        <v>Unlisted</v>
      </c>
      <c r="L1174" s="174" t="str">
        <f>IFERROR(__xludf.DUMMYFUNCTION("""COMPUTED_VALUE"""),"Unlisted")</f>
        <v>Unlisted</v>
      </c>
      <c r="M1174" s="174" t="str">
        <f>IFERROR(__xludf.DUMMYFUNCTION("""COMPUTED_VALUE"""),"Unlisted")</f>
        <v>Unlisted</v>
      </c>
      <c r="N1174" s="174" t="str">
        <f>IFERROR(__xludf.DUMMYFUNCTION("""COMPUTED_VALUE"""),"Unlisted")</f>
        <v>Unlisted</v>
      </c>
      <c r="O1174" s="174" t="str">
        <f>IFERROR(__xludf.DUMMYFUNCTION("""COMPUTED_VALUE"""),"Unlisted")</f>
        <v>Unlisted</v>
      </c>
      <c r="P1174" s="174" t="str">
        <f>IFERROR(__xludf.DUMMYFUNCTION("""COMPUTED_VALUE"""),"Unlisted")</f>
        <v>Unlisted</v>
      </c>
      <c r="Q1174" s="174" t="str">
        <f>IFERROR(__xludf.DUMMYFUNCTION("""COMPUTED_VALUE"""),"Unlisted")</f>
        <v>Unlisted</v>
      </c>
      <c r="R1174" s="174" t="str">
        <f>IFERROR(__xludf.DUMMYFUNCTION("""COMPUTED_VALUE"""),"Unlisted")</f>
        <v>Unlisted</v>
      </c>
    </row>
    <row r="1175">
      <c r="A1175" s="255" t="str">
        <f>IFERROR(__xludf.DUMMYFUNCTION("""COMPUTED_VALUE"""),"Tauros (Aqua Breed)")</f>
        <v>Tauros (Aqua Breed)</v>
      </c>
      <c r="B1175" s="174" t="str">
        <f>IFERROR(__xludf.DUMMYFUNCTION("""COMPUTED_VALUE"""),"Unlisted")</f>
        <v>Unlisted</v>
      </c>
      <c r="C1175" s="174" t="str">
        <f>IFERROR(__xludf.DUMMYFUNCTION("""COMPUTED_VALUE"""),"Proficient")</f>
        <v>Proficient</v>
      </c>
      <c r="D1175" s="174" t="str">
        <f>IFERROR(__xludf.DUMMYFUNCTION("""COMPUTED_VALUE"""),"Unlisted")</f>
        <v>Unlisted</v>
      </c>
      <c r="E1175" s="174" t="str">
        <f>IFERROR(__xludf.DUMMYFUNCTION("""COMPUTED_VALUE"""),"Mastered")</f>
        <v>Mastered</v>
      </c>
      <c r="F1175" s="174" t="str">
        <f>IFERROR(__xludf.DUMMYFUNCTION("""COMPUTED_VALUE"""),"Unlisted")</f>
        <v>Unlisted</v>
      </c>
      <c r="G1175" s="174" t="str">
        <f>IFERROR(__xludf.DUMMYFUNCTION("""COMPUTED_VALUE"""),"Inept")</f>
        <v>Inept</v>
      </c>
      <c r="H1175" s="174" t="str">
        <f>IFERROR(__xludf.DUMMYFUNCTION("""COMPUTED_VALUE"""),"Unlisted")</f>
        <v>Unlisted</v>
      </c>
      <c r="I1175" s="174" t="str">
        <f>IFERROR(__xludf.DUMMYFUNCTION("""COMPUTED_VALUE"""),"Unlisted")</f>
        <v>Unlisted</v>
      </c>
      <c r="J1175" s="174" t="str">
        <f>IFERROR(__xludf.DUMMYFUNCTION("""COMPUTED_VALUE"""),"Unlisted")</f>
        <v>Unlisted</v>
      </c>
      <c r="K1175" s="174" t="str">
        <f>IFERROR(__xludf.DUMMYFUNCTION("""COMPUTED_VALUE"""),"Unlisted")</f>
        <v>Unlisted</v>
      </c>
      <c r="L1175" s="174" t="str">
        <f>IFERROR(__xludf.DUMMYFUNCTION("""COMPUTED_VALUE"""),"Unlisted")</f>
        <v>Unlisted</v>
      </c>
      <c r="M1175" s="174" t="str">
        <f>IFERROR(__xludf.DUMMYFUNCTION("""COMPUTED_VALUE"""),"Unlisted")</f>
        <v>Unlisted</v>
      </c>
      <c r="N1175" s="174" t="str">
        <f>IFERROR(__xludf.DUMMYFUNCTION("""COMPUTED_VALUE"""),"Unlisted")</f>
        <v>Unlisted</v>
      </c>
      <c r="O1175" s="174" t="str">
        <f>IFERROR(__xludf.DUMMYFUNCTION("""COMPUTED_VALUE"""),"Unlisted")</f>
        <v>Unlisted</v>
      </c>
      <c r="P1175" s="174" t="str">
        <f>IFERROR(__xludf.DUMMYFUNCTION("""COMPUTED_VALUE"""),"Unlisted")</f>
        <v>Unlisted</v>
      </c>
      <c r="Q1175" s="174" t="str">
        <f>IFERROR(__xludf.DUMMYFUNCTION("""COMPUTED_VALUE"""),"Unlisted")</f>
        <v>Unlisted</v>
      </c>
      <c r="R1175" s="174" t="str">
        <f>IFERROR(__xludf.DUMMYFUNCTION("""COMPUTED_VALUE"""),"Unlisted")</f>
        <v>Unlisted</v>
      </c>
    </row>
    <row r="1176">
      <c r="A1176" s="255" t="str">
        <f>IFERROR(__xludf.DUMMYFUNCTION("""COMPUTED_VALUE"""),"Poltchageist")</f>
        <v>Poltchageist</v>
      </c>
      <c r="B1176" s="174" t="str">
        <f>IFERROR(__xludf.DUMMYFUNCTION("""COMPUTED_VALUE"""),"Proficient")</f>
        <v>Proficient</v>
      </c>
      <c r="C1176" s="174" t="str">
        <f>IFERROR(__xludf.DUMMYFUNCTION("""COMPUTED_VALUE"""),"Unlisted")</f>
        <v>Unlisted</v>
      </c>
      <c r="D1176" s="174" t="str">
        <f>IFERROR(__xludf.DUMMYFUNCTION("""COMPUTED_VALUE"""),"Unlisted")</f>
        <v>Unlisted</v>
      </c>
      <c r="E1176" s="174" t="str">
        <f>IFERROR(__xludf.DUMMYFUNCTION("""COMPUTED_VALUE"""),"Inept")</f>
        <v>Inept</v>
      </c>
      <c r="F1176" s="174" t="str">
        <f>IFERROR(__xludf.DUMMYFUNCTION("""COMPUTED_VALUE"""),"Unlisted")</f>
        <v>Unlisted</v>
      </c>
      <c r="G1176" s="174" t="str">
        <f>IFERROR(__xludf.DUMMYFUNCTION("""COMPUTED_VALUE"""),"Unlisted")</f>
        <v>Unlisted</v>
      </c>
      <c r="H1176" s="174" t="str">
        <f>IFERROR(__xludf.DUMMYFUNCTION("""COMPUTED_VALUE"""),"Proficient")</f>
        <v>Proficient</v>
      </c>
      <c r="I1176" s="174" t="str">
        <f>IFERROR(__xludf.DUMMYFUNCTION("""COMPUTED_VALUE"""),"Unlisted")</f>
        <v>Unlisted</v>
      </c>
      <c r="J1176" s="174" t="str">
        <f>IFERROR(__xludf.DUMMYFUNCTION("""COMPUTED_VALUE"""),"Unlisted")</f>
        <v>Unlisted</v>
      </c>
      <c r="K1176" s="174" t="str">
        <f>IFERROR(__xludf.DUMMYFUNCTION("""COMPUTED_VALUE"""),"Unlisted")</f>
        <v>Unlisted</v>
      </c>
      <c r="L1176" s="174" t="str">
        <f>IFERROR(__xludf.DUMMYFUNCTION("""COMPUTED_VALUE"""),"Mastered")</f>
        <v>Mastered</v>
      </c>
      <c r="M1176" s="174" t="str">
        <f>IFERROR(__xludf.DUMMYFUNCTION("""COMPUTED_VALUE"""),"Unlisted")</f>
        <v>Unlisted</v>
      </c>
      <c r="N1176" s="174" t="str">
        <f>IFERROR(__xludf.DUMMYFUNCTION("""COMPUTED_VALUE"""),"Unlisted")</f>
        <v>Unlisted</v>
      </c>
      <c r="O1176" s="174" t="str">
        <f>IFERROR(__xludf.DUMMYFUNCTION("""COMPUTED_VALUE"""),"Unlisted")</f>
        <v>Unlisted</v>
      </c>
      <c r="P1176" s="174" t="str">
        <f>IFERROR(__xludf.DUMMYFUNCTION("""COMPUTED_VALUE"""),"Unlisted")</f>
        <v>Unlisted</v>
      </c>
      <c r="Q1176" s="174" t="str">
        <f>IFERROR(__xludf.DUMMYFUNCTION("""COMPUTED_VALUE"""),"Unlisted")</f>
        <v>Unlisted</v>
      </c>
      <c r="R1176" s="174" t="str">
        <f>IFERROR(__xludf.DUMMYFUNCTION("""COMPUTED_VALUE"""),"Unlisted")</f>
        <v>Unlisted</v>
      </c>
    </row>
    <row r="1177">
      <c r="A1177" s="255" t="str">
        <f>IFERROR(__xludf.DUMMYFUNCTION("""COMPUTED_VALUE"""),"Sinistcha")</f>
        <v>Sinistcha</v>
      </c>
      <c r="B1177" s="174" t="str">
        <f>IFERROR(__xludf.DUMMYFUNCTION("""COMPUTED_VALUE"""),"Proficient")</f>
        <v>Proficient</v>
      </c>
      <c r="C1177" s="174" t="str">
        <f>IFERROR(__xludf.DUMMYFUNCTION("""COMPUTED_VALUE"""),"Unlisted")</f>
        <v>Unlisted</v>
      </c>
      <c r="D1177" s="174" t="str">
        <f>IFERROR(__xludf.DUMMYFUNCTION("""COMPUTED_VALUE"""),"Unlisted")</f>
        <v>Unlisted</v>
      </c>
      <c r="E1177" s="174" t="str">
        <f>IFERROR(__xludf.DUMMYFUNCTION("""COMPUTED_VALUE"""),"Inept")</f>
        <v>Inept</v>
      </c>
      <c r="F1177" s="174" t="str">
        <f>IFERROR(__xludf.DUMMYFUNCTION("""COMPUTED_VALUE"""),"Unlisted")</f>
        <v>Unlisted</v>
      </c>
      <c r="G1177" s="174" t="str">
        <f>IFERROR(__xludf.DUMMYFUNCTION("""COMPUTED_VALUE"""),"Unlisted")</f>
        <v>Unlisted</v>
      </c>
      <c r="H1177" s="174" t="str">
        <f>IFERROR(__xludf.DUMMYFUNCTION("""COMPUTED_VALUE"""),"Proficient")</f>
        <v>Proficient</v>
      </c>
      <c r="I1177" s="174" t="str">
        <f>IFERROR(__xludf.DUMMYFUNCTION("""COMPUTED_VALUE"""),"Unlisted")</f>
        <v>Unlisted</v>
      </c>
      <c r="J1177" s="174" t="str">
        <f>IFERROR(__xludf.DUMMYFUNCTION("""COMPUTED_VALUE"""),"Unlisted")</f>
        <v>Unlisted</v>
      </c>
      <c r="K1177" s="174" t="str">
        <f>IFERROR(__xludf.DUMMYFUNCTION("""COMPUTED_VALUE"""),"Unlisted")</f>
        <v>Unlisted</v>
      </c>
      <c r="L1177" s="174" t="str">
        <f>IFERROR(__xludf.DUMMYFUNCTION("""COMPUTED_VALUE"""),"Mastered")</f>
        <v>Mastered</v>
      </c>
      <c r="M1177" s="174" t="str">
        <f>IFERROR(__xludf.DUMMYFUNCTION("""COMPUTED_VALUE"""),"Unlisted")</f>
        <v>Unlisted</v>
      </c>
      <c r="N1177" s="174" t="str">
        <f>IFERROR(__xludf.DUMMYFUNCTION("""COMPUTED_VALUE"""),"Unlisted")</f>
        <v>Unlisted</v>
      </c>
      <c r="O1177" s="174" t="str">
        <f>IFERROR(__xludf.DUMMYFUNCTION("""COMPUTED_VALUE"""),"Unlisted")</f>
        <v>Unlisted</v>
      </c>
      <c r="P1177" s="174" t="str">
        <f>IFERROR(__xludf.DUMMYFUNCTION("""COMPUTED_VALUE"""),"Unlisted")</f>
        <v>Unlisted</v>
      </c>
      <c r="Q1177" s="174" t="str">
        <f>IFERROR(__xludf.DUMMYFUNCTION("""COMPUTED_VALUE"""),"Unlisted")</f>
        <v>Unlisted</v>
      </c>
      <c r="R1177" s="174" t="str">
        <f>IFERROR(__xludf.DUMMYFUNCTION("""COMPUTED_VALUE"""),"Unlisted")</f>
        <v>Unlisted</v>
      </c>
    </row>
    <row r="1178">
      <c r="A1178" s="255" t="str">
        <f>IFERROR(__xludf.DUMMYFUNCTION("""COMPUTED_VALUE"""),"Wiglett")</f>
        <v>Wiglett</v>
      </c>
      <c r="B1178" s="174" t="str">
        <f>IFERROR(__xludf.DUMMYFUNCTION("""COMPUTED_VALUE"""),"Unlisted")</f>
        <v>Unlisted</v>
      </c>
      <c r="C1178" s="174" t="str">
        <f>IFERROR(__xludf.DUMMYFUNCTION("""COMPUTED_VALUE"""),"Unlisted")</f>
        <v>Unlisted</v>
      </c>
      <c r="D1178" s="174" t="str">
        <f>IFERROR(__xludf.DUMMYFUNCTION("""COMPUTED_VALUE"""),"Unlisted")</f>
        <v>Unlisted</v>
      </c>
      <c r="E1178" s="174" t="str">
        <f>IFERROR(__xludf.DUMMYFUNCTION("""COMPUTED_VALUE"""),"Unlisted")</f>
        <v>Unlisted</v>
      </c>
      <c r="F1178" s="174" t="str">
        <f>IFERROR(__xludf.DUMMYFUNCTION("""COMPUTED_VALUE"""),"Unlisted")</f>
        <v>Unlisted</v>
      </c>
      <c r="G1178" s="174" t="str">
        <f>IFERROR(__xludf.DUMMYFUNCTION("""COMPUTED_VALUE"""),"Unlisted")</f>
        <v>Unlisted</v>
      </c>
      <c r="H1178" s="174" t="str">
        <f>IFERROR(__xludf.DUMMYFUNCTION("""COMPUTED_VALUE"""),"Unlisted")</f>
        <v>Unlisted</v>
      </c>
      <c r="I1178" s="174" t="str">
        <f>IFERROR(__xludf.DUMMYFUNCTION("""COMPUTED_VALUE"""),"Unlisted")</f>
        <v>Unlisted</v>
      </c>
      <c r="J1178" s="174" t="str">
        <f>IFERROR(__xludf.DUMMYFUNCTION("""COMPUTED_VALUE"""),"Unlisted")</f>
        <v>Unlisted</v>
      </c>
      <c r="K1178" s="174" t="str">
        <f>IFERROR(__xludf.DUMMYFUNCTION("""COMPUTED_VALUE"""),"Proficient")</f>
        <v>Proficient</v>
      </c>
      <c r="L1178" s="174" t="str">
        <f>IFERROR(__xludf.DUMMYFUNCTION("""COMPUTED_VALUE"""),"Proficient")</f>
        <v>Proficient</v>
      </c>
      <c r="M1178" s="174" t="str">
        <f>IFERROR(__xludf.DUMMYFUNCTION("""COMPUTED_VALUE"""),"Unlisted")</f>
        <v>Unlisted</v>
      </c>
      <c r="N1178" s="174" t="str">
        <f>IFERROR(__xludf.DUMMYFUNCTION("""COMPUTED_VALUE"""),"Unlisted")</f>
        <v>Unlisted</v>
      </c>
      <c r="O1178" s="174" t="str">
        <f>IFERROR(__xludf.DUMMYFUNCTION("""COMPUTED_VALUE"""),"Proficient")</f>
        <v>Proficient</v>
      </c>
      <c r="P1178" s="174" t="str">
        <f>IFERROR(__xludf.DUMMYFUNCTION("""COMPUTED_VALUE"""),"Unlisted")</f>
        <v>Unlisted</v>
      </c>
      <c r="Q1178" s="174" t="str">
        <f>IFERROR(__xludf.DUMMYFUNCTION("""COMPUTED_VALUE"""),"Unlisted")</f>
        <v>Unlisted</v>
      </c>
      <c r="R1178" s="174" t="str">
        <f>IFERROR(__xludf.DUMMYFUNCTION("""COMPUTED_VALUE"""),"Unlisted")</f>
        <v>Unlisted</v>
      </c>
    </row>
    <row r="1179">
      <c r="A1179" s="255" t="str">
        <f>IFERROR(__xludf.DUMMYFUNCTION("""COMPUTED_VALUE"""),"Wugtrio")</f>
        <v>Wugtrio</v>
      </c>
      <c r="B1179" s="174" t="str">
        <f>IFERROR(__xludf.DUMMYFUNCTION("""COMPUTED_VALUE"""),"Unlisted")</f>
        <v>Unlisted</v>
      </c>
      <c r="C1179" s="174" t="str">
        <f>IFERROR(__xludf.DUMMYFUNCTION("""COMPUTED_VALUE"""),"Unlisted")</f>
        <v>Unlisted</v>
      </c>
      <c r="D1179" s="174" t="str">
        <f>IFERROR(__xludf.DUMMYFUNCTION("""COMPUTED_VALUE"""),"Unlisted")</f>
        <v>Unlisted</v>
      </c>
      <c r="E1179" s="174" t="str">
        <f>IFERROR(__xludf.DUMMYFUNCTION("""COMPUTED_VALUE"""),"Unlisted")</f>
        <v>Unlisted</v>
      </c>
      <c r="F1179" s="174" t="str">
        <f>IFERROR(__xludf.DUMMYFUNCTION("""COMPUTED_VALUE"""),"Unlisted")</f>
        <v>Unlisted</v>
      </c>
      <c r="G1179" s="174" t="str">
        <f>IFERROR(__xludf.DUMMYFUNCTION("""COMPUTED_VALUE"""),"Unlisted")</f>
        <v>Unlisted</v>
      </c>
      <c r="H1179" s="174" t="str">
        <f>IFERROR(__xludf.DUMMYFUNCTION("""COMPUTED_VALUE"""),"Unlisted")</f>
        <v>Unlisted</v>
      </c>
      <c r="I1179" s="174" t="str">
        <f>IFERROR(__xludf.DUMMYFUNCTION("""COMPUTED_VALUE"""),"Unlisted")</f>
        <v>Unlisted</v>
      </c>
      <c r="J1179" s="174" t="str">
        <f>IFERROR(__xludf.DUMMYFUNCTION("""COMPUTED_VALUE"""),"Unlisted")</f>
        <v>Unlisted</v>
      </c>
      <c r="K1179" s="174" t="str">
        <f>IFERROR(__xludf.DUMMYFUNCTION("""COMPUTED_VALUE"""),"Proficient")</f>
        <v>Proficient</v>
      </c>
      <c r="L1179" s="174" t="str">
        <f>IFERROR(__xludf.DUMMYFUNCTION("""COMPUTED_VALUE"""),"Proficient")</f>
        <v>Proficient</v>
      </c>
      <c r="M1179" s="174" t="str">
        <f>IFERROR(__xludf.DUMMYFUNCTION("""COMPUTED_VALUE"""),"Unlisted")</f>
        <v>Unlisted</v>
      </c>
      <c r="N1179" s="174" t="str">
        <f>IFERROR(__xludf.DUMMYFUNCTION("""COMPUTED_VALUE"""),"Unlisted")</f>
        <v>Unlisted</v>
      </c>
      <c r="O1179" s="174" t="str">
        <f>IFERROR(__xludf.DUMMYFUNCTION("""COMPUTED_VALUE"""),"Proficient")</f>
        <v>Proficient</v>
      </c>
      <c r="P1179" s="174" t="str">
        <f>IFERROR(__xludf.DUMMYFUNCTION("""COMPUTED_VALUE"""),"Unlisted")</f>
        <v>Unlisted</v>
      </c>
      <c r="Q1179" s="174" t="str">
        <f>IFERROR(__xludf.DUMMYFUNCTION("""COMPUTED_VALUE"""),"Unlisted")</f>
        <v>Unlisted</v>
      </c>
      <c r="R1179" s="174" t="str">
        <f>IFERROR(__xludf.DUMMYFUNCTION("""COMPUTED_VALUE"""),"Unlisted")</f>
        <v>Unlisted</v>
      </c>
    </row>
    <row r="1180">
      <c r="A1180" s="255" t="str">
        <f>IFERROR(__xludf.DUMMYFUNCTION("""COMPUTED_VALUE"""),"Slither Wing")</f>
        <v>Slither Wing</v>
      </c>
      <c r="B1180" s="174" t="str">
        <f>IFERROR(__xludf.DUMMYFUNCTION("""COMPUTED_VALUE"""),"Unlisted")</f>
        <v>Unlisted</v>
      </c>
      <c r="C1180" s="174" t="str">
        <f>IFERROR(__xludf.DUMMYFUNCTION("""COMPUTED_VALUE"""),"Unlisted")</f>
        <v>Unlisted</v>
      </c>
      <c r="D1180" s="174" t="str">
        <f>IFERROR(__xludf.DUMMYFUNCTION("""COMPUTED_VALUE"""),"Unlisted")</f>
        <v>Unlisted</v>
      </c>
      <c r="E1180" s="174" t="str">
        <f>IFERROR(__xludf.DUMMYFUNCTION("""COMPUTED_VALUE"""),"Proficient")</f>
        <v>Proficient</v>
      </c>
      <c r="F1180" s="174" t="str">
        <f>IFERROR(__xludf.DUMMYFUNCTION("""COMPUTED_VALUE"""),"Unlisted")</f>
        <v>Unlisted</v>
      </c>
      <c r="G1180" s="174" t="str">
        <f>IFERROR(__xludf.DUMMYFUNCTION("""COMPUTED_VALUE"""),"Proficient")</f>
        <v>Proficient</v>
      </c>
      <c r="H1180" s="174" t="str">
        <f>IFERROR(__xludf.DUMMYFUNCTION("""COMPUTED_VALUE"""),"Unlisted")</f>
        <v>Unlisted</v>
      </c>
      <c r="I1180" s="174" t="str">
        <f>IFERROR(__xludf.DUMMYFUNCTION("""COMPUTED_VALUE"""),"Unlisted")</f>
        <v>Unlisted</v>
      </c>
      <c r="J1180" s="174" t="str">
        <f>IFERROR(__xludf.DUMMYFUNCTION("""COMPUTED_VALUE"""),"Unlisted")</f>
        <v>Unlisted</v>
      </c>
      <c r="K1180" s="174" t="str">
        <f>IFERROR(__xludf.DUMMYFUNCTION("""COMPUTED_VALUE"""),"Unlisted")</f>
        <v>Unlisted</v>
      </c>
      <c r="L1180" s="174" t="str">
        <f>IFERROR(__xludf.DUMMYFUNCTION("""COMPUTED_VALUE"""),"Unlisted")</f>
        <v>Unlisted</v>
      </c>
      <c r="M1180" s="174" t="str">
        <f>IFERROR(__xludf.DUMMYFUNCTION("""COMPUTED_VALUE"""),"Unlisted")</f>
        <v>Unlisted</v>
      </c>
      <c r="N1180" s="174" t="str">
        <f>IFERROR(__xludf.DUMMYFUNCTION("""COMPUTED_VALUE"""),"Unlisted")</f>
        <v>Unlisted</v>
      </c>
      <c r="O1180" s="174" t="str">
        <f>IFERROR(__xludf.DUMMYFUNCTION("""COMPUTED_VALUE"""),"Unlisted")</f>
        <v>Unlisted</v>
      </c>
      <c r="P1180" s="174" t="str">
        <f>IFERROR(__xludf.DUMMYFUNCTION("""COMPUTED_VALUE"""),"Unlisted")</f>
        <v>Unlisted</v>
      </c>
      <c r="Q1180" s="174" t="str">
        <f>IFERROR(__xludf.DUMMYFUNCTION("""COMPUTED_VALUE"""),"Unlisted")</f>
        <v>Unlisted</v>
      </c>
      <c r="R1180" s="174" t="str">
        <f>IFERROR(__xludf.DUMMYFUNCTION("""COMPUTED_VALUE"""),"Unlisted")</f>
        <v>Unlisted</v>
      </c>
    </row>
    <row r="1181">
      <c r="A1181" s="255" t="str">
        <f>IFERROR(__xludf.DUMMYFUNCTION("""COMPUTED_VALUE"""),"Iron Jugulis")</f>
        <v>Iron Jugulis</v>
      </c>
      <c r="B1181" s="174" t="str">
        <f>IFERROR(__xludf.DUMMYFUNCTION("""COMPUTED_VALUE"""),"Mastered")</f>
        <v>Mastered</v>
      </c>
      <c r="C1181" s="174" t="str">
        <f>IFERROR(__xludf.DUMMYFUNCTION("""COMPUTED_VALUE"""),"Proficient")</f>
        <v>Proficient</v>
      </c>
      <c r="D1181" s="174" t="str">
        <f>IFERROR(__xludf.DUMMYFUNCTION("""COMPUTED_VALUE"""),"Unlisted")</f>
        <v>Unlisted</v>
      </c>
      <c r="E1181" s="174" t="str">
        <f>IFERROR(__xludf.DUMMYFUNCTION("""COMPUTED_VALUE"""),"Unlisted")</f>
        <v>Unlisted</v>
      </c>
      <c r="F1181" s="174" t="str">
        <f>IFERROR(__xludf.DUMMYFUNCTION("""COMPUTED_VALUE"""),"Unlisted")</f>
        <v>Unlisted</v>
      </c>
      <c r="G1181" s="174" t="str">
        <f>IFERROR(__xludf.DUMMYFUNCTION("""COMPUTED_VALUE"""),"Unlisted")</f>
        <v>Unlisted</v>
      </c>
      <c r="H1181" s="174" t="str">
        <f>IFERROR(__xludf.DUMMYFUNCTION("""COMPUTED_VALUE"""),"Unlisted")</f>
        <v>Unlisted</v>
      </c>
      <c r="I1181" s="174" t="str">
        <f>IFERROR(__xludf.DUMMYFUNCTION("""COMPUTED_VALUE"""),"Proficient")</f>
        <v>Proficient</v>
      </c>
      <c r="J1181" s="174" t="str">
        <f>IFERROR(__xludf.DUMMYFUNCTION("""COMPUTED_VALUE"""),"Unlisted")</f>
        <v>Unlisted</v>
      </c>
      <c r="K1181" s="174" t="str">
        <f>IFERROR(__xludf.DUMMYFUNCTION("""COMPUTED_VALUE"""),"Unlisted")</f>
        <v>Unlisted</v>
      </c>
      <c r="L1181" s="174" t="str">
        <f>IFERROR(__xludf.DUMMYFUNCTION("""COMPUTED_VALUE"""),"Unlisted")</f>
        <v>Unlisted</v>
      </c>
      <c r="M1181" s="174" t="str">
        <f>IFERROR(__xludf.DUMMYFUNCTION("""COMPUTED_VALUE"""),"Unlisted")</f>
        <v>Unlisted</v>
      </c>
      <c r="N1181" s="174" t="str">
        <f>IFERROR(__xludf.DUMMYFUNCTION("""COMPUTED_VALUE"""),"Unlisted")</f>
        <v>Unlisted</v>
      </c>
      <c r="O1181" s="174" t="str">
        <f>IFERROR(__xludf.DUMMYFUNCTION("""COMPUTED_VALUE"""),"Unlisted")</f>
        <v>Unlisted</v>
      </c>
      <c r="P1181" s="174" t="str">
        <f>IFERROR(__xludf.DUMMYFUNCTION("""COMPUTED_VALUE"""),"Unlisted")</f>
        <v>Unlisted</v>
      </c>
      <c r="Q1181" s="174" t="str">
        <f>IFERROR(__xludf.DUMMYFUNCTION("""COMPUTED_VALUE"""),"Unlisted")</f>
        <v>Unlisted</v>
      </c>
      <c r="R1181" s="174" t="str">
        <f>IFERROR(__xludf.DUMMYFUNCTION("""COMPUTED_VALUE"""),"Unlisted")</f>
        <v>Unlisted</v>
      </c>
    </row>
    <row r="1182">
      <c r="A1182" s="255" t="str">
        <f>IFERROR(__xludf.DUMMYFUNCTION("""COMPUTED_VALUE"""),"Roaring Moon")</f>
        <v>Roaring Moon</v>
      </c>
      <c r="B1182" s="174" t="str">
        <f>IFERROR(__xludf.DUMMYFUNCTION("""COMPUTED_VALUE"""),"Unlisted")</f>
        <v>Unlisted</v>
      </c>
      <c r="C1182" s="174" t="str">
        <f>IFERROR(__xludf.DUMMYFUNCTION("""COMPUTED_VALUE"""),"Mastered")</f>
        <v>Mastered</v>
      </c>
      <c r="D1182" s="174" t="str">
        <f>IFERROR(__xludf.DUMMYFUNCTION("""COMPUTED_VALUE"""),"Unlisted")</f>
        <v>Unlisted</v>
      </c>
      <c r="E1182" s="174" t="str">
        <f>IFERROR(__xludf.DUMMYFUNCTION("""COMPUTED_VALUE"""),"Unlisted")</f>
        <v>Unlisted</v>
      </c>
      <c r="F1182" s="174" t="str">
        <f>IFERROR(__xludf.DUMMYFUNCTION("""COMPUTED_VALUE"""),"Unlisted")</f>
        <v>Unlisted</v>
      </c>
      <c r="G1182" s="174" t="str">
        <f>IFERROR(__xludf.DUMMYFUNCTION("""COMPUTED_VALUE"""),"Proficient")</f>
        <v>Proficient</v>
      </c>
      <c r="H1182" s="174" t="str">
        <f>IFERROR(__xludf.DUMMYFUNCTION("""COMPUTED_VALUE"""),"Unlisted")</f>
        <v>Unlisted</v>
      </c>
      <c r="I1182" s="174" t="str">
        <f>IFERROR(__xludf.DUMMYFUNCTION("""COMPUTED_VALUE"""),"Proficient")</f>
        <v>Proficient</v>
      </c>
      <c r="J1182" s="174" t="str">
        <f>IFERROR(__xludf.DUMMYFUNCTION("""COMPUTED_VALUE"""),"Unlisted")</f>
        <v>Unlisted</v>
      </c>
      <c r="K1182" s="174" t="str">
        <f>IFERROR(__xludf.DUMMYFUNCTION("""COMPUTED_VALUE"""),"Unlisted")</f>
        <v>Unlisted</v>
      </c>
      <c r="L1182" s="174" t="str">
        <f>IFERROR(__xludf.DUMMYFUNCTION("""COMPUTED_VALUE"""),"Unlisted")</f>
        <v>Unlisted</v>
      </c>
      <c r="M1182" s="174" t="str">
        <f>IFERROR(__xludf.DUMMYFUNCTION("""COMPUTED_VALUE"""),"Unlisted")</f>
        <v>Unlisted</v>
      </c>
      <c r="N1182" s="174" t="str">
        <f>IFERROR(__xludf.DUMMYFUNCTION("""COMPUTED_VALUE"""),"Unlisted")</f>
        <v>Unlisted</v>
      </c>
      <c r="O1182" s="174" t="str">
        <f>IFERROR(__xludf.DUMMYFUNCTION("""COMPUTED_VALUE"""),"Unlisted")</f>
        <v>Unlisted</v>
      </c>
      <c r="P1182" s="174" t="str">
        <f>IFERROR(__xludf.DUMMYFUNCTION("""COMPUTED_VALUE"""),"Unlisted")</f>
        <v>Unlisted</v>
      </c>
      <c r="Q1182" s="174" t="str">
        <f>IFERROR(__xludf.DUMMYFUNCTION("""COMPUTED_VALUE"""),"Unlisted")</f>
        <v>Unlisted</v>
      </c>
      <c r="R1182" s="174" t="str">
        <f>IFERROR(__xludf.DUMMYFUNCTION("""COMPUTED_VALUE"""),"Unlisted")</f>
        <v>Unlisted</v>
      </c>
    </row>
    <row r="1183">
      <c r="A1183" s="255" t="str">
        <f>IFERROR(__xludf.DUMMYFUNCTION("""COMPUTED_VALUE"""),"Sandy Shocks")</f>
        <v>Sandy Shocks</v>
      </c>
      <c r="B1183" s="174" t="str">
        <f>IFERROR(__xludf.DUMMYFUNCTION("""COMPUTED_VALUE"""),"Unlisted")</f>
        <v>Unlisted</v>
      </c>
      <c r="C1183" s="174" t="str">
        <f>IFERROR(__xludf.DUMMYFUNCTION("""COMPUTED_VALUE"""),"Unlisted")</f>
        <v>Unlisted</v>
      </c>
      <c r="D1183" s="174" t="str">
        <f>IFERROR(__xludf.DUMMYFUNCTION("""COMPUTED_VALUE"""),"Unlisted")</f>
        <v>Unlisted</v>
      </c>
      <c r="E1183" s="174" t="str">
        <f>IFERROR(__xludf.DUMMYFUNCTION("""COMPUTED_VALUE"""),"Unlisted")</f>
        <v>Unlisted</v>
      </c>
      <c r="F1183" s="174" t="str">
        <f>IFERROR(__xludf.DUMMYFUNCTION("""COMPUTED_VALUE"""),"Unlisted")</f>
        <v>Unlisted</v>
      </c>
      <c r="G1183" s="174" t="str">
        <f>IFERROR(__xludf.DUMMYFUNCTION("""COMPUTED_VALUE"""),"Proficient")</f>
        <v>Proficient</v>
      </c>
      <c r="H1183" s="174" t="str">
        <f>IFERROR(__xludf.DUMMYFUNCTION("""COMPUTED_VALUE"""),"Unlisted")</f>
        <v>Unlisted</v>
      </c>
      <c r="I1183" s="174" t="str">
        <f>IFERROR(__xludf.DUMMYFUNCTION("""COMPUTED_VALUE"""),"Unlisted")</f>
        <v>Unlisted</v>
      </c>
      <c r="J1183" s="174" t="str">
        <f>IFERROR(__xludf.DUMMYFUNCTION("""COMPUTED_VALUE"""),"Unlisted")</f>
        <v>Unlisted</v>
      </c>
      <c r="K1183" s="174" t="str">
        <f>IFERROR(__xludf.DUMMYFUNCTION("""COMPUTED_VALUE"""),"Proficient")</f>
        <v>Proficient</v>
      </c>
      <c r="L1183" s="174" t="str">
        <f>IFERROR(__xludf.DUMMYFUNCTION("""COMPUTED_VALUE"""),"Unlisted")</f>
        <v>Unlisted</v>
      </c>
      <c r="M1183" s="174" t="str">
        <f>IFERROR(__xludf.DUMMYFUNCTION("""COMPUTED_VALUE"""),"Unlisted")</f>
        <v>Unlisted</v>
      </c>
      <c r="N1183" s="174" t="str">
        <f>IFERROR(__xludf.DUMMYFUNCTION("""COMPUTED_VALUE"""),"Unlisted")</f>
        <v>Unlisted</v>
      </c>
      <c r="O1183" s="174" t="str">
        <f>IFERROR(__xludf.DUMMYFUNCTION("""COMPUTED_VALUE"""),"Unlisted")</f>
        <v>Unlisted</v>
      </c>
      <c r="P1183" s="174" t="str">
        <f>IFERROR(__xludf.DUMMYFUNCTION("""COMPUTED_VALUE"""),"Unlisted")</f>
        <v>Unlisted</v>
      </c>
      <c r="Q1183" s="174" t="str">
        <f>IFERROR(__xludf.DUMMYFUNCTION("""COMPUTED_VALUE"""),"Unlisted")</f>
        <v>Unlisted</v>
      </c>
      <c r="R1183" s="174" t="str">
        <f>IFERROR(__xludf.DUMMYFUNCTION("""COMPUTED_VALUE"""),"Unlisted")</f>
        <v>Unlisted</v>
      </c>
    </row>
    <row r="1184">
      <c r="A1184" s="255" t="str">
        <f>IFERROR(__xludf.DUMMYFUNCTION("""COMPUTED_VALUE"""),"Iron Valiant")</f>
        <v>Iron Valiant</v>
      </c>
      <c r="B1184" s="174" t="str">
        <f>IFERROR(__xludf.DUMMYFUNCTION("""COMPUTED_VALUE"""),"Unlisted")</f>
        <v>Unlisted</v>
      </c>
      <c r="C1184" s="174" t="str">
        <f>IFERROR(__xludf.DUMMYFUNCTION("""COMPUTED_VALUE"""),"Unlisted")</f>
        <v>Unlisted</v>
      </c>
      <c r="D1184" s="174" t="str">
        <f>IFERROR(__xludf.DUMMYFUNCTION("""COMPUTED_VALUE"""),"Unlisted")</f>
        <v>Unlisted</v>
      </c>
      <c r="E1184" s="174" t="str">
        <f>IFERROR(__xludf.DUMMYFUNCTION("""COMPUTED_VALUE"""),"Mastered")</f>
        <v>Mastered</v>
      </c>
      <c r="F1184" s="174" t="str">
        <f>IFERROR(__xludf.DUMMYFUNCTION("""COMPUTED_VALUE"""),"Unlisted")</f>
        <v>Unlisted</v>
      </c>
      <c r="G1184" s="174" t="str">
        <f>IFERROR(__xludf.DUMMYFUNCTION("""COMPUTED_VALUE"""),"Proficient")</f>
        <v>Proficient</v>
      </c>
      <c r="H1184" s="174" t="str">
        <f>IFERROR(__xludf.DUMMYFUNCTION("""COMPUTED_VALUE"""),"Unlisted")</f>
        <v>Unlisted</v>
      </c>
      <c r="I1184" s="174" t="str">
        <f>IFERROR(__xludf.DUMMYFUNCTION("""COMPUTED_VALUE"""),"Unlisted")</f>
        <v>Unlisted</v>
      </c>
      <c r="J1184" s="174" t="str">
        <f>IFERROR(__xludf.DUMMYFUNCTION("""COMPUTED_VALUE"""),"Unlisted")</f>
        <v>Unlisted</v>
      </c>
      <c r="K1184" s="174" t="str">
        <f>IFERROR(__xludf.DUMMYFUNCTION("""COMPUTED_VALUE"""),"Proficient")</f>
        <v>Proficient</v>
      </c>
      <c r="L1184" s="174" t="str">
        <f>IFERROR(__xludf.DUMMYFUNCTION("""COMPUTED_VALUE"""),"Unlisted")</f>
        <v>Unlisted</v>
      </c>
      <c r="M1184" s="174" t="str">
        <f>IFERROR(__xludf.DUMMYFUNCTION("""COMPUTED_VALUE"""),"Unlisted")</f>
        <v>Unlisted</v>
      </c>
      <c r="N1184" s="174" t="str">
        <f>IFERROR(__xludf.DUMMYFUNCTION("""COMPUTED_VALUE"""),"Unlisted")</f>
        <v>Unlisted</v>
      </c>
      <c r="O1184" s="174" t="str">
        <f>IFERROR(__xludf.DUMMYFUNCTION("""COMPUTED_VALUE"""),"Unlisted")</f>
        <v>Unlisted</v>
      </c>
      <c r="P1184" s="174" t="str">
        <f>IFERROR(__xludf.DUMMYFUNCTION("""COMPUTED_VALUE"""),"Unlisted")</f>
        <v>Unlisted</v>
      </c>
      <c r="Q1184" s="174" t="str">
        <f>IFERROR(__xludf.DUMMYFUNCTION("""COMPUTED_VALUE"""),"Unlisted")</f>
        <v>Unlisted</v>
      </c>
      <c r="R1184" s="174" t="str">
        <f>IFERROR(__xludf.DUMMYFUNCTION("""COMPUTED_VALUE"""),"Unlisted")</f>
        <v>Unlisted</v>
      </c>
    </row>
    <row r="1185">
      <c r="A1185" s="255" t="str">
        <f>IFERROR(__xludf.DUMMYFUNCTION("""COMPUTED_VALUE"""),"Scream Tail")</f>
        <v>Scream Tail</v>
      </c>
      <c r="B1185" s="174" t="str">
        <f>IFERROR(__xludf.DUMMYFUNCTION("""COMPUTED_VALUE"""),"Proficient")</f>
        <v>Proficient</v>
      </c>
      <c r="C1185" s="174" t="str">
        <f>IFERROR(__xludf.DUMMYFUNCTION("""COMPUTED_VALUE"""),"Unlisted")</f>
        <v>Unlisted</v>
      </c>
      <c r="D1185" s="174" t="str">
        <f>IFERROR(__xludf.DUMMYFUNCTION("""COMPUTED_VALUE"""),"Unlisted")</f>
        <v>Unlisted</v>
      </c>
      <c r="E1185" s="174" t="str">
        <f>IFERROR(__xludf.DUMMYFUNCTION("""COMPUTED_VALUE"""),"Unlisted")</f>
        <v>Unlisted</v>
      </c>
      <c r="F1185" s="174" t="str">
        <f>IFERROR(__xludf.DUMMYFUNCTION("""COMPUTED_VALUE"""),"Unlisted")</f>
        <v>Unlisted</v>
      </c>
      <c r="G1185" s="174" t="str">
        <f>IFERROR(__xludf.DUMMYFUNCTION("""COMPUTED_VALUE"""),"Unlisted")</f>
        <v>Unlisted</v>
      </c>
      <c r="H1185" s="174" t="str">
        <f>IFERROR(__xludf.DUMMYFUNCTION("""COMPUTED_VALUE"""),"Unlisted")</f>
        <v>Unlisted</v>
      </c>
      <c r="I1185" s="174" t="str">
        <f>IFERROR(__xludf.DUMMYFUNCTION("""COMPUTED_VALUE"""),"Proficient")</f>
        <v>Proficient</v>
      </c>
      <c r="J1185" s="174" t="str">
        <f>IFERROR(__xludf.DUMMYFUNCTION("""COMPUTED_VALUE"""),"Unlisted")</f>
        <v>Unlisted</v>
      </c>
      <c r="K1185" s="174" t="str">
        <f>IFERROR(__xludf.DUMMYFUNCTION("""COMPUTED_VALUE"""),"Unlisted")</f>
        <v>Unlisted</v>
      </c>
      <c r="L1185" s="174" t="str">
        <f>IFERROR(__xludf.DUMMYFUNCTION("""COMPUTED_VALUE"""),"Unlisted")</f>
        <v>Unlisted</v>
      </c>
      <c r="M1185" s="174" t="str">
        <f>IFERROR(__xludf.DUMMYFUNCTION("""COMPUTED_VALUE"""),"Unlisted")</f>
        <v>Unlisted</v>
      </c>
      <c r="N1185" s="174" t="str">
        <f>IFERROR(__xludf.DUMMYFUNCTION("""COMPUTED_VALUE"""),"Unlisted")</f>
        <v>Unlisted</v>
      </c>
      <c r="O1185" s="174" t="str">
        <f>IFERROR(__xludf.DUMMYFUNCTION("""COMPUTED_VALUE"""),"Unlisted")</f>
        <v>Unlisted</v>
      </c>
      <c r="P1185" s="174" t="str">
        <f>IFERROR(__xludf.DUMMYFUNCTION("""COMPUTED_VALUE"""),"Unlisted")</f>
        <v>Unlisted</v>
      </c>
      <c r="Q1185" s="174" t="str">
        <f>IFERROR(__xludf.DUMMYFUNCTION("""COMPUTED_VALUE"""),"Unlisted")</f>
        <v>Unlisted</v>
      </c>
      <c r="R1185" s="174" t="str">
        <f>IFERROR(__xludf.DUMMYFUNCTION("""COMPUTED_VALUE"""),"Unlisted")</f>
        <v>Unlisted</v>
      </c>
    </row>
    <row r="1186">
      <c r="A1186" s="255" t="str">
        <f>IFERROR(__xludf.DUMMYFUNCTION("""COMPUTED_VALUE"""),"Iron Hands")</f>
        <v>Iron Hands</v>
      </c>
      <c r="B1186" s="174" t="str">
        <f>IFERROR(__xludf.DUMMYFUNCTION("""COMPUTED_VALUE"""),"Unlisted")</f>
        <v>Unlisted</v>
      </c>
      <c r="C1186" s="174" t="str">
        <f>IFERROR(__xludf.DUMMYFUNCTION("""COMPUTED_VALUE"""),"Proficient")</f>
        <v>Proficient</v>
      </c>
      <c r="D1186" s="174" t="str">
        <f>IFERROR(__xludf.DUMMYFUNCTION("""COMPUTED_VALUE"""),"Unlisted")</f>
        <v>Unlisted</v>
      </c>
      <c r="E1186" s="174" t="str">
        <f>IFERROR(__xludf.DUMMYFUNCTION("""COMPUTED_VALUE"""),"Mastered")</f>
        <v>Mastered</v>
      </c>
      <c r="F1186" s="174" t="str">
        <f>IFERROR(__xludf.DUMMYFUNCTION("""COMPUTED_VALUE"""),"Unlisted")</f>
        <v>Unlisted</v>
      </c>
      <c r="G1186" s="174" t="str">
        <f>IFERROR(__xludf.DUMMYFUNCTION("""COMPUTED_VALUE"""),"Proficient")</f>
        <v>Proficient</v>
      </c>
      <c r="H1186" s="174" t="str">
        <f>IFERROR(__xludf.DUMMYFUNCTION("""COMPUTED_VALUE"""),"Unlisted")</f>
        <v>Unlisted</v>
      </c>
      <c r="I1186" s="174" t="str">
        <f>IFERROR(__xludf.DUMMYFUNCTION("""COMPUTED_VALUE"""),"Unlisted")</f>
        <v>Unlisted</v>
      </c>
      <c r="J1186" s="174" t="str">
        <f>IFERROR(__xludf.DUMMYFUNCTION("""COMPUTED_VALUE"""),"Unlisted")</f>
        <v>Unlisted</v>
      </c>
      <c r="K1186" s="174" t="str">
        <f>IFERROR(__xludf.DUMMYFUNCTION("""COMPUTED_VALUE"""),"Unlisted")</f>
        <v>Unlisted</v>
      </c>
      <c r="L1186" s="174" t="str">
        <f>IFERROR(__xludf.DUMMYFUNCTION("""COMPUTED_VALUE"""),"Unlisted")</f>
        <v>Unlisted</v>
      </c>
      <c r="M1186" s="174" t="str">
        <f>IFERROR(__xludf.DUMMYFUNCTION("""COMPUTED_VALUE"""),"Unlisted")</f>
        <v>Unlisted</v>
      </c>
      <c r="N1186" s="174" t="str">
        <f>IFERROR(__xludf.DUMMYFUNCTION("""COMPUTED_VALUE"""),"Unlisted")</f>
        <v>Unlisted</v>
      </c>
      <c r="O1186" s="174" t="str">
        <f>IFERROR(__xludf.DUMMYFUNCTION("""COMPUTED_VALUE"""),"Unlisted")</f>
        <v>Unlisted</v>
      </c>
      <c r="P1186" s="174" t="str">
        <f>IFERROR(__xludf.DUMMYFUNCTION("""COMPUTED_VALUE"""),"Unlisted")</f>
        <v>Unlisted</v>
      </c>
      <c r="Q1186" s="174" t="str">
        <f>IFERROR(__xludf.DUMMYFUNCTION("""COMPUTED_VALUE"""),"Unlisted")</f>
        <v>Unlisted</v>
      </c>
      <c r="R1186" s="174" t="str">
        <f>IFERROR(__xludf.DUMMYFUNCTION("""COMPUTED_VALUE"""),"Unlisted")</f>
        <v>Unlisted</v>
      </c>
    </row>
    <row r="1187">
      <c r="A1187" s="255" t="str">
        <f>IFERROR(__xludf.DUMMYFUNCTION("""COMPUTED_VALUE"""),"Iron Moth")</f>
        <v>Iron Moth</v>
      </c>
      <c r="B1187" s="174" t="str">
        <f>IFERROR(__xludf.DUMMYFUNCTION("""COMPUTED_VALUE"""),"Unlisted")</f>
        <v>Unlisted</v>
      </c>
      <c r="C1187" s="174" t="str">
        <f>IFERROR(__xludf.DUMMYFUNCTION("""COMPUTED_VALUE"""),"Unlisted")</f>
        <v>Unlisted</v>
      </c>
      <c r="D1187" s="174" t="str">
        <f>IFERROR(__xludf.DUMMYFUNCTION("""COMPUTED_VALUE"""),"Unlisted")</f>
        <v>Unlisted</v>
      </c>
      <c r="E1187" s="174" t="str">
        <f>IFERROR(__xludf.DUMMYFUNCTION("""COMPUTED_VALUE"""),"Unlisted")</f>
        <v>Unlisted</v>
      </c>
      <c r="F1187" s="174" t="str">
        <f>IFERROR(__xludf.DUMMYFUNCTION("""COMPUTED_VALUE"""),"Unlisted")</f>
        <v>Unlisted</v>
      </c>
      <c r="G1187" s="174" t="str">
        <f>IFERROR(__xludf.DUMMYFUNCTION("""COMPUTED_VALUE"""),"Mastered")</f>
        <v>Mastered</v>
      </c>
      <c r="H1187" s="174" t="str">
        <f>IFERROR(__xludf.DUMMYFUNCTION("""COMPUTED_VALUE"""),"Unlisted")</f>
        <v>Unlisted</v>
      </c>
      <c r="I1187" s="174" t="str">
        <f>IFERROR(__xludf.DUMMYFUNCTION("""COMPUTED_VALUE"""),"Unlisted")</f>
        <v>Unlisted</v>
      </c>
      <c r="J1187" s="174" t="str">
        <f>IFERROR(__xludf.DUMMYFUNCTION("""COMPUTED_VALUE"""),"Unlisted")</f>
        <v>Unlisted</v>
      </c>
      <c r="K1187" s="174" t="str">
        <f>IFERROR(__xludf.DUMMYFUNCTION("""COMPUTED_VALUE"""),"Proficient")</f>
        <v>Proficient</v>
      </c>
      <c r="L1187" s="174" t="str">
        <f>IFERROR(__xludf.DUMMYFUNCTION("""COMPUTED_VALUE"""),"Unlisted")</f>
        <v>Unlisted</v>
      </c>
      <c r="M1187" s="174" t="str">
        <f>IFERROR(__xludf.DUMMYFUNCTION("""COMPUTED_VALUE"""),"Unlisted")</f>
        <v>Unlisted</v>
      </c>
      <c r="N1187" s="174" t="str">
        <f>IFERROR(__xludf.DUMMYFUNCTION("""COMPUTED_VALUE"""),"Unlisted")</f>
        <v>Unlisted</v>
      </c>
      <c r="O1187" s="174" t="str">
        <f>IFERROR(__xludf.DUMMYFUNCTION("""COMPUTED_VALUE"""),"Unlisted")</f>
        <v>Unlisted</v>
      </c>
      <c r="P1187" s="174" t="str">
        <f>IFERROR(__xludf.DUMMYFUNCTION("""COMPUTED_VALUE"""),"Unlisted")</f>
        <v>Unlisted</v>
      </c>
      <c r="Q1187" s="174" t="str">
        <f>IFERROR(__xludf.DUMMYFUNCTION("""COMPUTED_VALUE"""),"Unlisted")</f>
        <v>Unlisted</v>
      </c>
      <c r="R1187" s="174" t="str">
        <f>IFERROR(__xludf.DUMMYFUNCTION("""COMPUTED_VALUE"""),"Unlisted")</f>
        <v>Unlisted</v>
      </c>
    </row>
    <row r="1188">
      <c r="A1188" s="255" t="str">
        <f>IFERROR(__xludf.DUMMYFUNCTION("""COMPUTED_VALUE"""),"Flutter Mane")</f>
        <v>Flutter Mane</v>
      </c>
      <c r="B1188" s="174" t="str">
        <f>IFERROR(__xludf.DUMMYFUNCTION("""COMPUTED_VALUE"""),"Unlisted")</f>
        <v>Unlisted</v>
      </c>
      <c r="C1188" s="174" t="str">
        <f>IFERROR(__xludf.DUMMYFUNCTION("""COMPUTED_VALUE"""),"Inept")</f>
        <v>Inept</v>
      </c>
      <c r="D1188" s="174" t="str">
        <f>IFERROR(__xludf.DUMMYFUNCTION("""COMPUTED_VALUE"""),"Unlisted")</f>
        <v>Unlisted</v>
      </c>
      <c r="E1188" s="174" t="str">
        <f>IFERROR(__xludf.DUMMYFUNCTION("""COMPUTED_VALUE"""),"Unlisted")</f>
        <v>Unlisted</v>
      </c>
      <c r="F1188" s="174" t="str">
        <f>IFERROR(__xludf.DUMMYFUNCTION("""COMPUTED_VALUE"""),"Unlisted")</f>
        <v>Unlisted</v>
      </c>
      <c r="G1188" s="174" t="str">
        <f>IFERROR(__xludf.DUMMYFUNCTION("""COMPUTED_VALUE"""),"Proficient")</f>
        <v>Proficient</v>
      </c>
      <c r="H1188" s="174" t="str">
        <f>IFERROR(__xludf.DUMMYFUNCTION("""COMPUTED_VALUE"""),"Proficient")</f>
        <v>Proficient</v>
      </c>
      <c r="I1188" s="174" t="str">
        <f>IFERROR(__xludf.DUMMYFUNCTION("""COMPUTED_VALUE"""),"Unlisted")</f>
        <v>Unlisted</v>
      </c>
      <c r="J1188" s="174" t="str">
        <f>IFERROR(__xludf.DUMMYFUNCTION("""COMPUTED_VALUE"""),"Unlisted")</f>
        <v>Unlisted</v>
      </c>
      <c r="K1188" s="174" t="str">
        <f>IFERROR(__xludf.DUMMYFUNCTION("""COMPUTED_VALUE"""),"Unlisted")</f>
        <v>Unlisted</v>
      </c>
      <c r="L1188" s="174" t="str">
        <f>IFERROR(__xludf.DUMMYFUNCTION("""COMPUTED_VALUE"""),"Proficient")</f>
        <v>Proficient</v>
      </c>
      <c r="M1188" s="174" t="str">
        <f>IFERROR(__xludf.DUMMYFUNCTION("""COMPUTED_VALUE"""),"Unlisted")</f>
        <v>Unlisted</v>
      </c>
      <c r="N1188" s="174" t="str">
        <f>IFERROR(__xludf.DUMMYFUNCTION("""COMPUTED_VALUE"""),"Unlisted")</f>
        <v>Unlisted</v>
      </c>
      <c r="O1188" s="174" t="str">
        <f>IFERROR(__xludf.DUMMYFUNCTION("""COMPUTED_VALUE"""),"Unlisted")</f>
        <v>Unlisted</v>
      </c>
      <c r="P1188" s="174" t="str">
        <f>IFERROR(__xludf.DUMMYFUNCTION("""COMPUTED_VALUE"""),"Unlisted")</f>
        <v>Unlisted</v>
      </c>
      <c r="Q1188" s="174" t="str">
        <f>IFERROR(__xludf.DUMMYFUNCTION("""COMPUTED_VALUE"""),"Unlisted")</f>
        <v>Unlisted</v>
      </c>
      <c r="R1188" s="174" t="str">
        <f>IFERROR(__xludf.DUMMYFUNCTION("""COMPUTED_VALUE"""),"Unlisted")</f>
        <v>Unlisted</v>
      </c>
    </row>
    <row r="1189">
      <c r="A1189" s="255" t="str">
        <f>IFERROR(__xludf.DUMMYFUNCTION("""COMPUTED_VALUE"""),"Brute Bonnet")</f>
        <v>Brute Bonnet</v>
      </c>
      <c r="B1189" s="174" t="str">
        <f>IFERROR(__xludf.DUMMYFUNCTION("""COMPUTED_VALUE"""),"Unlisted")</f>
        <v>Unlisted</v>
      </c>
      <c r="C1189" s="174" t="str">
        <f>IFERROR(__xludf.DUMMYFUNCTION("""COMPUTED_VALUE"""),"Unlisted")</f>
        <v>Unlisted</v>
      </c>
      <c r="D1189" s="174" t="str">
        <f>IFERROR(__xludf.DUMMYFUNCTION("""COMPUTED_VALUE"""),"Unlisted")</f>
        <v>Unlisted</v>
      </c>
      <c r="E1189" s="174" t="str">
        <f>IFERROR(__xludf.DUMMYFUNCTION("""COMPUTED_VALUE"""),"Unlisted")</f>
        <v>Unlisted</v>
      </c>
      <c r="F1189" s="174" t="str">
        <f>IFERROR(__xludf.DUMMYFUNCTION("""COMPUTED_VALUE"""),"Unlisted")</f>
        <v>Unlisted</v>
      </c>
      <c r="G1189" s="174" t="str">
        <f>IFERROR(__xludf.DUMMYFUNCTION("""COMPUTED_VALUE"""),"Unlisted")</f>
        <v>Unlisted</v>
      </c>
      <c r="H1189" s="174" t="str">
        <f>IFERROR(__xludf.DUMMYFUNCTION("""COMPUTED_VALUE"""),"Unlisted")</f>
        <v>Unlisted</v>
      </c>
      <c r="I1189" s="174" t="str">
        <f>IFERROR(__xludf.DUMMYFUNCTION("""COMPUTED_VALUE"""),"Unlisted")</f>
        <v>Unlisted</v>
      </c>
      <c r="J1189" s="174" t="str">
        <f>IFERROR(__xludf.DUMMYFUNCTION("""COMPUTED_VALUE"""),"Unlisted")</f>
        <v>Unlisted</v>
      </c>
      <c r="K1189" s="174" t="str">
        <f>IFERROR(__xludf.DUMMYFUNCTION("""COMPUTED_VALUE"""),"Unlisted")</f>
        <v>Unlisted</v>
      </c>
      <c r="L1189" s="174" t="str">
        <f>IFERROR(__xludf.DUMMYFUNCTION("""COMPUTED_VALUE"""),"Proficient")</f>
        <v>Proficient</v>
      </c>
      <c r="M1189" s="174" t="str">
        <f>IFERROR(__xludf.DUMMYFUNCTION("""COMPUTED_VALUE"""),"Unlisted")</f>
        <v>Unlisted</v>
      </c>
      <c r="N1189" s="174" t="str">
        <f>IFERROR(__xludf.DUMMYFUNCTION("""COMPUTED_VALUE"""),"Unlisted")</f>
        <v>Unlisted</v>
      </c>
      <c r="O1189" s="174" t="str">
        <f>IFERROR(__xludf.DUMMYFUNCTION("""COMPUTED_VALUE"""),"Proficient")</f>
        <v>Proficient</v>
      </c>
      <c r="P1189" s="174" t="str">
        <f>IFERROR(__xludf.DUMMYFUNCTION("""COMPUTED_VALUE"""),"Unlisted")</f>
        <v>Unlisted</v>
      </c>
      <c r="Q1189" s="174" t="str">
        <f>IFERROR(__xludf.DUMMYFUNCTION("""COMPUTED_VALUE"""),"Unlisted")</f>
        <v>Unlisted</v>
      </c>
      <c r="R1189" s="174" t="str">
        <f>IFERROR(__xludf.DUMMYFUNCTION("""COMPUTED_VALUE"""),"Unlisted")</f>
        <v>Unlisted</v>
      </c>
    </row>
    <row r="1190">
      <c r="A1190" s="255" t="str">
        <f>IFERROR(__xludf.DUMMYFUNCTION("""COMPUTED_VALUE"""),"Great Tusk")</f>
        <v>Great Tusk</v>
      </c>
      <c r="B1190" s="174" t="str">
        <f>IFERROR(__xludf.DUMMYFUNCTION("""COMPUTED_VALUE"""),"Unlisted")</f>
        <v>Unlisted</v>
      </c>
      <c r="C1190" s="174" t="str">
        <f>IFERROR(__xludf.DUMMYFUNCTION("""COMPUTED_VALUE"""),"Proficient")</f>
        <v>Proficient</v>
      </c>
      <c r="D1190" s="174" t="str">
        <f>IFERROR(__xludf.DUMMYFUNCTION("""COMPUTED_VALUE"""),"Unlisted")</f>
        <v>Unlisted</v>
      </c>
      <c r="E1190" s="174" t="str">
        <f>IFERROR(__xludf.DUMMYFUNCTION("""COMPUTED_VALUE"""),"Mastered")</f>
        <v>Mastered</v>
      </c>
      <c r="F1190" s="174" t="str">
        <f>IFERROR(__xludf.DUMMYFUNCTION("""COMPUTED_VALUE"""),"Unlisted")</f>
        <v>Unlisted</v>
      </c>
      <c r="G1190" s="174" t="str">
        <f>IFERROR(__xludf.DUMMYFUNCTION("""COMPUTED_VALUE"""),"Unlisted")</f>
        <v>Unlisted</v>
      </c>
      <c r="H1190" s="174" t="str">
        <f>IFERROR(__xludf.DUMMYFUNCTION("""COMPUTED_VALUE"""),"Unlisted")</f>
        <v>Unlisted</v>
      </c>
      <c r="I1190" s="174" t="str">
        <f>IFERROR(__xludf.DUMMYFUNCTION("""COMPUTED_VALUE"""),"Proficient")</f>
        <v>Proficient</v>
      </c>
      <c r="J1190" s="174" t="str">
        <f>IFERROR(__xludf.DUMMYFUNCTION("""COMPUTED_VALUE"""),"Unlisted")</f>
        <v>Unlisted</v>
      </c>
      <c r="K1190" s="174" t="str">
        <f>IFERROR(__xludf.DUMMYFUNCTION("""COMPUTED_VALUE"""),"Unlisted")</f>
        <v>Unlisted</v>
      </c>
      <c r="L1190" s="174" t="str">
        <f>IFERROR(__xludf.DUMMYFUNCTION("""COMPUTED_VALUE"""),"Unlisted")</f>
        <v>Unlisted</v>
      </c>
      <c r="M1190" s="174" t="str">
        <f>IFERROR(__xludf.DUMMYFUNCTION("""COMPUTED_VALUE"""),"Unlisted")</f>
        <v>Unlisted</v>
      </c>
      <c r="N1190" s="174" t="str">
        <f>IFERROR(__xludf.DUMMYFUNCTION("""COMPUTED_VALUE"""),"Unlisted")</f>
        <v>Unlisted</v>
      </c>
      <c r="O1190" s="174" t="str">
        <f>IFERROR(__xludf.DUMMYFUNCTION("""COMPUTED_VALUE"""),"Unlisted")</f>
        <v>Unlisted</v>
      </c>
      <c r="P1190" s="174" t="str">
        <f>IFERROR(__xludf.DUMMYFUNCTION("""COMPUTED_VALUE"""),"Unlisted")</f>
        <v>Unlisted</v>
      </c>
      <c r="Q1190" s="174" t="str">
        <f>IFERROR(__xludf.DUMMYFUNCTION("""COMPUTED_VALUE"""),"Unlisted")</f>
        <v>Unlisted</v>
      </c>
      <c r="R1190" s="174" t="str">
        <f>IFERROR(__xludf.DUMMYFUNCTION("""COMPUTED_VALUE"""),"Unlisted")</f>
        <v>Unlisted</v>
      </c>
    </row>
    <row r="1191">
      <c r="A1191" s="255" t="str">
        <f>IFERROR(__xludf.DUMMYFUNCTION("""COMPUTED_VALUE"""),"Iron Treads")</f>
        <v>Iron Treads</v>
      </c>
      <c r="B1191" s="174" t="str">
        <f>IFERROR(__xludf.DUMMYFUNCTION("""COMPUTED_VALUE"""),"Unlisted")</f>
        <v>Unlisted</v>
      </c>
      <c r="C1191" s="174" t="str">
        <f>IFERROR(__xludf.DUMMYFUNCTION("""COMPUTED_VALUE"""),"Proficient")</f>
        <v>Proficient</v>
      </c>
      <c r="D1191" s="174" t="str">
        <f>IFERROR(__xludf.DUMMYFUNCTION("""COMPUTED_VALUE"""),"Unlisted")</f>
        <v>Unlisted</v>
      </c>
      <c r="E1191" s="174" t="str">
        <f>IFERROR(__xludf.DUMMYFUNCTION("""COMPUTED_VALUE"""),"Mastered")</f>
        <v>Mastered</v>
      </c>
      <c r="F1191" s="174" t="str">
        <f>IFERROR(__xludf.DUMMYFUNCTION("""COMPUTED_VALUE"""),"Unlisted")</f>
        <v>Unlisted</v>
      </c>
      <c r="G1191" s="174" t="str">
        <f>IFERROR(__xludf.DUMMYFUNCTION("""COMPUTED_VALUE"""),"Unlisted")</f>
        <v>Unlisted</v>
      </c>
      <c r="H1191" s="174" t="str">
        <f>IFERROR(__xludf.DUMMYFUNCTION("""COMPUTED_VALUE"""),"Unlisted")</f>
        <v>Unlisted</v>
      </c>
      <c r="I1191" s="174" t="str">
        <f>IFERROR(__xludf.DUMMYFUNCTION("""COMPUTED_VALUE"""),"Proficient")</f>
        <v>Proficient</v>
      </c>
      <c r="J1191" s="174" t="str">
        <f>IFERROR(__xludf.DUMMYFUNCTION("""COMPUTED_VALUE"""),"Unlisted")</f>
        <v>Unlisted</v>
      </c>
      <c r="K1191" s="174" t="str">
        <f>IFERROR(__xludf.DUMMYFUNCTION("""COMPUTED_VALUE"""),"Unlisted")</f>
        <v>Unlisted</v>
      </c>
      <c r="L1191" s="174" t="str">
        <f>IFERROR(__xludf.DUMMYFUNCTION("""COMPUTED_VALUE"""),"Unlisted")</f>
        <v>Unlisted</v>
      </c>
      <c r="M1191" s="174" t="str">
        <f>IFERROR(__xludf.DUMMYFUNCTION("""COMPUTED_VALUE"""),"Unlisted")</f>
        <v>Unlisted</v>
      </c>
      <c r="N1191" s="174" t="str">
        <f>IFERROR(__xludf.DUMMYFUNCTION("""COMPUTED_VALUE"""),"Unlisted")</f>
        <v>Unlisted</v>
      </c>
      <c r="O1191" s="174" t="str">
        <f>IFERROR(__xludf.DUMMYFUNCTION("""COMPUTED_VALUE"""),"Unlisted")</f>
        <v>Unlisted</v>
      </c>
      <c r="P1191" s="174" t="str">
        <f>IFERROR(__xludf.DUMMYFUNCTION("""COMPUTED_VALUE"""),"Unlisted")</f>
        <v>Unlisted</v>
      </c>
      <c r="Q1191" s="174" t="str">
        <f>IFERROR(__xludf.DUMMYFUNCTION("""COMPUTED_VALUE"""),"Unlisted")</f>
        <v>Unlisted</v>
      </c>
      <c r="R1191" s="174" t="str">
        <f>IFERROR(__xludf.DUMMYFUNCTION("""COMPUTED_VALUE"""),"Unlisted")</f>
        <v>Unlisted</v>
      </c>
    </row>
    <row r="1192">
      <c r="A1192" s="255" t="str">
        <f>IFERROR(__xludf.DUMMYFUNCTION("""COMPUTED_VALUE"""),"Iron Bundle")</f>
        <v>Iron Bundle</v>
      </c>
      <c r="B1192" s="174" t="str">
        <f>IFERROR(__xludf.DUMMYFUNCTION("""COMPUTED_VALUE"""),"Unlisted")</f>
        <v>Unlisted</v>
      </c>
      <c r="C1192" s="174" t="str">
        <f>IFERROR(__xludf.DUMMYFUNCTION("""COMPUTED_VALUE"""),"Unlisted")</f>
        <v>Unlisted</v>
      </c>
      <c r="D1192" s="174" t="str">
        <f>IFERROR(__xludf.DUMMYFUNCTION("""COMPUTED_VALUE"""),"Proficient")</f>
        <v>Proficient</v>
      </c>
      <c r="E1192" s="174" t="str">
        <f>IFERROR(__xludf.DUMMYFUNCTION("""COMPUTED_VALUE"""),"Unlisted")</f>
        <v>Unlisted</v>
      </c>
      <c r="F1192" s="174" t="str">
        <f>IFERROR(__xludf.DUMMYFUNCTION("""COMPUTED_VALUE"""),"Unlisted")</f>
        <v>Unlisted</v>
      </c>
      <c r="G1192" s="174" t="str">
        <f>IFERROR(__xludf.DUMMYFUNCTION("""COMPUTED_VALUE"""),"Proficient")</f>
        <v>Proficient</v>
      </c>
      <c r="H1192" s="174" t="str">
        <f>IFERROR(__xludf.DUMMYFUNCTION("""COMPUTED_VALUE"""),"Unlisted")</f>
        <v>Unlisted</v>
      </c>
      <c r="I1192" s="174" t="str">
        <f>IFERROR(__xludf.DUMMYFUNCTION("""COMPUTED_VALUE"""),"Unlisted")</f>
        <v>Unlisted</v>
      </c>
      <c r="J1192" s="174" t="str">
        <f>IFERROR(__xludf.DUMMYFUNCTION("""COMPUTED_VALUE"""),"Unlisted")</f>
        <v>Unlisted</v>
      </c>
      <c r="K1192" s="174" t="str">
        <f>IFERROR(__xludf.DUMMYFUNCTION("""COMPUTED_VALUE"""),"Unlisted")</f>
        <v>Unlisted</v>
      </c>
      <c r="L1192" s="174" t="str">
        <f>IFERROR(__xludf.DUMMYFUNCTION("""COMPUTED_VALUE"""),"Unlisted")</f>
        <v>Unlisted</v>
      </c>
      <c r="M1192" s="174" t="str">
        <f>IFERROR(__xludf.DUMMYFUNCTION("""COMPUTED_VALUE"""),"Unlisted")</f>
        <v>Unlisted</v>
      </c>
      <c r="N1192" s="174" t="str">
        <f>IFERROR(__xludf.DUMMYFUNCTION("""COMPUTED_VALUE"""),"Unlisted")</f>
        <v>Unlisted</v>
      </c>
      <c r="O1192" s="174" t="str">
        <f>IFERROR(__xludf.DUMMYFUNCTION("""COMPUTED_VALUE"""),"Proficient")</f>
        <v>Proficient</v>
      </c>
      <c r="P1192" s="174" t="str">
        <f>IFERROR(__xludf.DUMMYFUNCTION("""COMPUTED_VALUE"""),"Unlisted")</f>
        <v>Unlisted</v>
      </c>
      <c r="Q1192" s="174" t="str">
        <f>IFERROR(__xludf.DUMMYFUNCTION("""COMPUTED_VALUE"""),"Unlisted")</f>
        <v>Unlisted</v>
      </c>
      <c r="R1192" s="174" t="str">
        <f>IFERROR(__xludf.DUMMYFUNCTION("""COMPUTED_VALUE"""),"Unlisted")</f>
        <v>Unlisted</v>
      </c>
    </row>
    <row r="1193">
      <c r="A1193" s="255" t="str">
        <f>IFERROR(__xludf.DUMMYFUNCTION("""COMPUTED_VALUE"""),"Iron Thorns")</f>
        <v>Iron Thorns</v>
      </c>
      <c r="B1193" s="174" t="str">
        <f>IFERROR(__xludf.DUMMYFUNCTION("""COMPUTED_VALUE"""),"Unlisted")</f>
        <v>Unlisted</v>
      </c>
      <c r="C1193" s="174" t="str">
        <f>IFERROR(__xludf.DUMMYFUNCTION("""COMPUTED_VALUE"""),"Mastered")</f>
        <v>Mastered</v>
      </c>
      <c r="D1193" s="174" t="str">
        <f>IFERROR(__xludf.DUMMYFUNCTION("""COMPUTED_VALUE"""),"Unlisted")</f>
        <v>Unlisted</v>
      </c>
      <c r="E1193" s="174" t="str">
        <f>IFERROR(__xludf.DUMMYFUNCTION("""COMPUTED_VALUE"""),"Proficient")</f>
        <v>Proficient</v>
      </c>
      <c r="F1193" s="174" t="str">
        <f>IFERROR(__xludf.DUMMYFUNCTION("""COMPUTED_VALUE"""),"Unlisted")</f>
        <v>Unlisted</v>
      </c>
      <c r="G1193" s="174" t="str">
        <f>IFERROR(__xludf.DUMMYFUNCTION("""COMPUTED_VALUE"""),"Unlisted")</f>
        <v>Unlisted</v>
      </c>
      <c r="H1193" s="174" t="str">
        <f>IFERROR(__xludf.DUMMYFUNCTION("""COMPUTED_VALUE"""),"Unlisted")</f>
        <v>Unlisted</v>
      </c>
      <c r="I1193" s="174" t="str">
        <f>IFERROR(__xludf.DUMMYFUNCTION("""COMPUTED_VALUE"""),"Proficient")</f>
        <v>Proficient</v>
      </c>
      <c r="J1193" s="174" t="str">
        <f>IFERROR(__xludf.DUMMYFUNCTION("""COMPUTED_VALUE"""),"Unlisted")</f>
        <v>Unlisted</v>
      </c>
      <c r="K1193" s="174" t="str">
        <f>IFERROR(__xludf.DUMMYFUNCTION("""COMPUTED_VALUE"""),"Unlisted")</f>
        <v>Unlisted</v>
      </c>
      <c r="L1193" s="174" t="str">
        <f>IFERROR(__xludf.DUMMYFUNCTION("""COMPUTED_VALUE"""),"Unlisted")</f>
        <v>Unlisted</v>
      </c>
      <c r="M1193" s="174" t="str">
        <f>IFERROR(__xludf.DUMMYFUNCTION("""COMPUTED_VALUE"""),"Unlisted")</f>
        <v>Unlisted</v>
      </c>
      <c r="N1193" s="174" t="str">
        <f>IFERROR(__xludf.DUMMYFUNCTION("""COMPUTED_VALUE"""),"Unlisted")</f>
        <v>Unlisted</v>
      </c>
      <c r="O1193" s="174" t="str">
        <f>IFERROR(__xludf.DUMMYFUNCTION("""COMPUTED_VALUE"""),"Unlisted")</f>
        <v>Unlisted</v>
      </c>
      <c r="P1193" s="174" t="str">
        <f>IFERROR(__xludf.DUMMYFUNCTION("""COMPUTED_VALUE"""),"Unlisted")</f>
        <v>Unlisted</v>
      </c>
      <c r="Q1193" s="174" t="str">
        <f>IFERROR(__xludf.DUMMYFUNCTION("""COMPUTED_VALUE"""),"Unlisted")</f>
        <v>Unlisted</v>
      </c>
      <c r="R1193" s="174" t="str">
        <f>IFERROR(__xludf.DUMMYFUNCTION("""COMPUTED_VALUE"""),"Unlisted")</f>
        <v>Unlisted</v>
      </c>
    </row>
    <row r="1194">
      <c r="A1194" s="255" t="str">
        <f>IFERROR(__xludf.DUMMYFUNCTION("""COMPUTED_VALUE"""),"Buzzwole")</f>
        <v>Buzzwole</v>
      </c>
      <c r="B1194" s="174" t="str">
        <f>IFERROR(__xludf.DUMMYFUNCTION("""COMPUTED_VALUE"""),"Unlisted")</f>
        <v>Unlisted</v>
      </c>
      <c r="C1194" s="174" t="str">
        <f>IFERROR(__xludf.DUMMYFUNCTION("""COMPUTED_VALUE"""),"Proficient")</f>
        <v>Proficient</v>
      </c>
      <c r="D1194" s="174" t="str">
        <f>IFERROR(__xludf.DUMMYFUNCTION("""COMPUTED_VALUE"""),"Unlisted")</f>
        <v>Unlisted</v>
      </c>
      <c r="E1194" s="174" t="str">
        <f>IFERROR(__xludf.DUMMYFUNCTION("""COMPUTED_VALUE"""),"Mastered")</f>
        <v>Mastered</v>
      </c>
      <c r="F1194" s="174" t="str">
        <f>IFERROR(__xludf.DUMMYFUNCTION("""COMPUTED_VALUE"""),"Unlisted")</f>
        <v>Unlisted</v>
      </c>
      <c r="G1194" s="174" t="str">
        <f>IFERROR(__xludf.DUMMYFUNCTION("""COMPUTED_VALUE"""),"Proficient")</f>
        <v>Proficient</v>
      </c>
      <c r="H1194" s="174" t="str">
        <f>IFERROR(__xludf.DUMMYFUNCTION("""COMPUTED_VALUE"""),"Unlisted")</f>
        <v>Unlisted</v>
      </c>
      <c r="I1194" s="174" t="str">
        <f>IFERROR(__xludf.DUMMYFUNCTION("""COMPUTED_VALUE"""),"Unlisted")</f>
        <v>Unlisted</v>
      </c>
      <c r="J1194" s="174" t="str">
        <f>IFERROR(__xludf.DUMMYFUNCTION("""COMPUTED_VALUE"""),"Unlisted")</f>
        <v>Unlisted</v>
      </c>
      <c r="K1194" s="174" t="str">
        <f>IFERROR(__xludf.DUMMYFUNCTION("""COMPUTED_VALUE"""),"Unlisted")</f>
        <v>Unlisted</v>
      </c>
      <c r="L1194" s="174" t="str">
        <f>IFERROR(__xludf.DUMMYFUNCTION("""COMPUTED_VALUE"""),"Unlisted")</f>
        <v>Unlisted</v>
      </c>
      <c r="M1194" s="174" t="str">
        <f>IFERROR(__xludf.DUMMYFUNCTION("""COMPUTED_VALUE"""),"Unlisted")</f>
        <v>Unlisted</v>
      </c>
      <c r="N1194" s="174" t="str">
        <f>IFERROR(__xludf.DUMMYFUNCTION("""COMPUTED_VALUE"""),"Unlisted")</f>
        <v>Unlisted</v>
      </c>
      <c r="O1194" s="174" t="str">
        <f>IFERROR(__xludf.DUMMYFUNCTION("""COMPUTED_VALUE"""),"Unlisted")</f>
        <v>Unlisted</v>
      </c>
      <c r="P1194" s="174" t="str">
        <f>IFERROR(__xludf.DUMMYFUNCTION("""COMPUTED_VALUE"""),"Unlisted")</f>
        <v>Unlisted</v>
      </c>
      <c r="Q1194" s="174" t="str">
        <f>IFERROR(__xludf.DUMMYFUNCTION("""COMPUTED_VALUE"""),"Unlisted")</f>
        <v>Unlisted</v>
      </c>
      <c r="R1194" s="174" t="str">
        <f>IFERROR(__xludf.DUMMYFUNCTION("""COMPUTED_VALUE"""),"Unlisted")</f>
        <v>Unlisted</v>
      </c>
    </row>
    <row r="1195">
      <c r="A1195" s="255" t="str">
        <f>IFERROR(__xludf.DUMMYFUNCTION("""COMPUTED_VALUE"""),"Pheromosa")</f>
        <v>Pheromosa</v>
      </c>
      <c r="B1195" s="174" t="str">
        <f>IFERROR(__xludf.DUMMYFUNCTION("""COMPUTED_VALUE"""),"Mastered")</f>
        <v>Mastered</v>
      </c>
      <c r="C1195" s="174" t="str">
        <f>IFERROR(__xludf.DUMMYFUNCTION("""COMPUTED_VALUE"""),"Unlisted")</f>
        <v>Unlisted</v>
      </c>
      <c r="D1195" s="174" t="str">
        <f>IFERROR(__xludf.DUMMYFUNCTION("""COMPUTED_VALUE"""),"Unlisted")</f>
        <v>Unlisted</v>
      </c>
      <c r="E1195" s="174" t="str">
        <f>IFERROR(__xludf.DUMMYFUNCTION("""COMPUTED_VALUE"""),"Proficient")</f>
        <v>Proficient</v>
      </c>
      <c r="F1195" s="174" t="str">
        <f>IFERROR(__xludf.DUMMYFUNCTION("""COMPUTED_VALUE"""),"Unlisted")</f>
        <v>Unlisted</v>
      </c>
      <c r="G1195" s="174" t="str">
        <f>IFERROR(__xludf.DUMMYFUNCTION("""COMPUTED_VALUE"""),"Unlisted")</f>
        <v>Unlisted</v>
      </c>
      <c r="H1195" s="174" t="str">
        <f>IFERROR(__xludf.DUMMYFUNCTION("""COMPUTED_VALUE"""),"Unlisted")</f>
        <v>Unlisted</v>
      </c>
      <c r="I1195" s="174" t="str">
        <f>IFERROR(__xludf.DUMMYFUNCTION("""COMPUTED_VALUE"""),"Unlisted")</f>
        <v>Unlisted</v>
      </c>
      <c r="J1195" s="174" t="str">
        <f>IFERROR(__xludf.DUMMYFUNCTION("""COMPUTED_VALUE"""),"Unlisted")</f>
        <v>Unlisted</v>
      </c>
      <c r="K1195" s="174" t="str">
        <f>IFERROR(__xludf.DUMMYFUNCTION("""COMPUTED_VALUE"""),"Proficient")</f>
        <v>Proficient</v>
      </c>
      <c r="L1195" s="174" t="str">
        <f>IFERROR(__xludf.DUMMYFUNCTION("""COMPUTED_VALUE"""),"Unlisted")</f>
        <v>Unlisted</v>
      </c>
      <c r="M1195" s="174" t="str">
        <f>IFERROR(__xludf.DUMMYFUNCTION("""COMPUTED_VALUE"""),"Unlisted")</f>
        <v>Unlisted</v>
      </c>
      <c r="N1195" s="174" t="str">
        <f>IFERROR(__xludf.DUMMYFUNCTION("""COMPUTED_VALUE"""),"Unlisted")</f>
        <v>Unlisted</v>
      </c>
      <c r="O1195" s="174" t="str">
        <f>IFERROR(__xludf.DUMMYFUNCTION("""COMPUTED_VALUE"""),"Unlisted")</f>
        <v>Unlisted</v>
      </c>
      <c r="P1195" s="174" t="str">
        <f>IFERROR(__xludf.DUMMYFUNCTION("""COMPUTED_VALUE"""),"Unlisted")</f>
        <v>Unlisted</v>
      </c>
      <c r="Q1195" s="174" t="str">
        <f>IFERROR(__xludf.DUMMYFUNCTION("""COMPUTED_VALUE"""),"Unlisted")</f>
        <v>Unlisted</v>
      </c>
      <c r="R1195" s="174" t="str">
        <f>IFERROR(__xludf.DUMMYFUNCTION("""COMPUTED_VALUE"""),"Unlisted")</f>
        <v>Unlisted</v>
      </c>
    </row>
    <row r="1196">
      <c r="A1196" s="255" t="str">
        <f>IFERROR(__xludf.DUMMYFUNCTION("""COMPUTED_VALUE"""),"Guzzlord")</f>
        <v>Guzzlord</v>
      </c>
      <c r="B1196" s="174" t="str">
        <f>IFERROR(__xludf.DUMMYFUNCTION("""COMPUTED_VALUE"""),"Unlisted")</f>
        <v>Unlisted</v>
      </c>
      <c r="C1196" s="174" t="str">
        <f>IFERROR(__xludf.DUMMYFUNCTION("""COMPUTED_VALUE"""),"Mastered")</f>
        <v>Mastered</v>
      </c>
      <c r="D1196" s="174" t="str">
        <f>IFERROR(__xludf.DUMMYFUNCTION("""COMPUTED_VALUE"""),"Unlisted")</f>
        <v>Unlisted</v>
      </c>
      <c r="E1196" s="174" t="str">
        <f>IFERROR(__xludf.DUMMYFUNCTION("""COMPUTED_VALUE"""),"Proficient")</f>
        <v>Proficient</v>
      </c>
      <c r="F1196" s="174" t="str">
        <f>IFERROR(__xludf.DUMMYFUNCTION("""COMPUTED_VALUE"""),"Unlisted")</f>
        <v>Unlisted</v>
      </c>
      <c r="G1196" s="174" t="str">
        <f>IFERROR(__xludf.DUMMYFUNCTION("""COMPUTED_VALUE"""),"Unlisted")</f>
        <v>Unlisted</v>
      </c>
      <c r="H1196" s="174" t="str">
        <f>IFERROR(__xludf.DUMMYFUNCTION("""COMPUTED_VALUE"""),"Unlisted")</f>
        <v>Unlisted</v>
      </c>
      <c r="I1196" s="174" t="str">
        <f>IFERROR(__xludf.DUMMYFUNCTION("""COMPUTED_VALUE"""),"Proficient")</f>
        <v>Proficient</v>
      </c>
      <c r="J1196" s="174" t="str">
        <f>IFERROR(__xludf.DUMMYFUNCTION("""COMPUTED_VALUE"""),"Unlisted")</f>
        <v>Unlisted</v>
      </c>
      <c r="K1196" s="174" t="str">
        <f>IFERROR(__xludf.DUMMYFUNCTION("""COMPUTED_VALUE"""),"Unlisted")</f>
        <v>Unlisted</v>
      </c>
      <c r="L1196" s="174" t="str">
        <f>IFERROR(__xludf.DUMMYFUNCTION("""COMPUTED_VALUE"""),"Unlisted")</f>
        <v>Unlisted</v>
      </c>
      <c r="M1196" s="174" t="str">
        <f>IFERROR(__xludf.DUMMYFUNCTION("""COMPUTED_VALUE"""),"Unlisted")</f>
        <v>Unlisted</v>
      </c>
      <c r="N1196" s="174" t="str">
        <f>IFERROR(__xludf.DUMMYFUNCTION("""COMPUTED_VALUE"""),"Unlisted")</f>
        <v>Unlisted</v>
      </c>
      <c r="O1196" s="174" t="str">
        <f>IFERROR(__xludf.DUMMYFUNCTION("""COMPUTED_VALUE"""),"Unlisted")</f>
        <v>Unlisted</v>
      </c>
      <c r="P1196" s="174" t="str">
        <f>IFERROR(__xludf.DUMMYFUNCTION("""COMPUTED_VALUE"""),"Unlisted")</f>
        <v>Unlisted</v>
      </c>
      <c r="Q1196" s="174" t="str">
        <f>IFERROR(__xludf.DUMMYFUNCTION("""COMPUTED_VALUE"""),"Unlisted")</f>
        <v>Unlisted</v>
      </c>
      <c r="R1196" s="174" t="str">
        <f>IFERROR(__xludf.DUMMYFUNCTION("""COMPUTED_VALUE"""),"Unlisted")</f>
        <v>Unlisted</v>
      </c>
    </row>
    <row r="1197">
      <c r="A1197" s="255" t="str">
        <f>IFERROR(__xludf.DUMMYFUNCTION("""COMPUTED_VALUE"""),"Xurkitree")</f>
        <v>Xurkitree</v>
      </c>
      <c r="B1197" s="174" t="str">
        <f>IFERROR(__xludf.DUMMYFUNCTION("""COMPUTED_VALUE"""),"Unlisted")</f>
        <v>Unlisted</v>
      </c>
      <c r="C1197" s="174" t="str">
        <f>IFERROR(__xludf.DUMMYFUNCTION("""COMPUTED_VALUE"""),"Unlisted")</f>
        <v>Unlisted</v>
      </c>
      <c r="D1197" s="174" t="str">
        <f>IFERROR(__xludf.DUMMYFUNCTION("""COMPUTED_VALUE"""),"Unlisted")</f>
        <v>Unlisted</v>
      </c>
      <c r="E1197" s="174" t="str">
        <f>IFERROR(__xludf.DUMMYFUNCTION("""COMPUTED_VALUE"""),"Proficient")</f>
        <v>Proficient</v>
      </c>
      <c r="F1197" s="174" t="str">
        <f>IFERROR(__xludf.DUMMYFUNCTION("""COMPUTED_VALUE"""),"Unlisted")</f>
        <v>Unlisted</v>
      </c>
      <c r="G1197" s="174" t="str">
        <f>IFERROR(__xludf.DUMMYFUNCTION("""COMPUTED_VALUE"""),"Mastered")</f>
        <v>Mastered</v>
      </c>
      <c r="H1197" s="174" t="str">
        <f>IFERROR(__xludf.DUMMYFUNCTION("""COMPUTED_VALUE"""),"Unlisted")</f>
        <v>Unlisted</v>
      </c>
      <c r="I1197" s="174" t="str">
        <f>IFERROR(__xludf.DUMMYFUNCTION("""COMPUTED_VALUE"""),"Unlisted")</f>
        <v>Unlisted</v>
      </c>
      <c r="J1197" s="174" t="str">
        <f>IFERROR(__xludf.DUMMYFUNCTION("""COMPUTED_VALUE"""),"Unlisted")</f>
        <v>Unlisted</v>
      </c>
      <c r="K1197" s="174" t="str">
        <f>IFERROR(__xludf.DUMMYFUNCTION("""COMPUTED_VALUE"""),"Unlisted")</f>
        <v>Unlisted</v>
      </c>
      <c r="L1197" s="174" t="str">
        <f>IFERROR(__xludf.DUMMYFUNCTION("""COMPUTED_VALUE"""),"Unlisted")</f>
        <v>Unlisted</v>
      </c>
      <c r="M1197" s="174" t="str">
        <f>IFERROR(__xludf.DUMMYFUNCTION("""COMPUTED_VALUE"""),"Unlisted")</f>
        <v>Unlisted</v>
      </c>
      <c r="N1197" s="174" t="str">
        <f>IFERROR(__xludf.DUMMYFUNCTION("""COMPUTED_VALUE"""),"Unlisted")</f>
        <v>Unlisted</v>
      </c>
      <c r="O1197" s="174" t="str">
        <f>IFERROR(__xludf.DUMMYFUNCTION("""COMPUTED_VALUE"""),"Proficient")</f>
        <v>Proficient</v>
      </c>
      <c r="P1197" s="174" t="str">
        <f>IFERROR(__xludf.DUMMYFUNCTION("""COMPUTED_VALUE"""),"Unlisted")</f>
        <v>Unlisted</v>
      </c>
      <c r="Q1197" s="174" t="str">
        <f>IFERROR(__xludf.DUMMYFUNCTION("""COMPUTED_VALUE"""),"Unlisted")</f>
        <v>Unlisted</v>
      </c>
      <c r="R1197" s="174" t="str">
        <f>IFERROR(__xludf.DUMMYFUNCTION("""COMPUTED_VALUE"""),"Unlisted")</f>
        <v>Unlisted</v>
      </c>
    </row>
    <row r="1198">
      <c r="A1198" s="255" t="str">
        <f>IFERROR(__xludf.DUMMYFUNCTION("""COMPUTED_VALUE"""),"Blacephalon")</f>
        <v>Blacephalon</v>
      </c>
      <c r="B1198" s="174" t="str">
        <f>IFERROR(__xludf.DUMMYFUNCTION("""COMPUTED_VALUE"""),"Proficient")</f>
        <v>Proficient</v>
      </c>
      <c r="C1198" s="174" t="str">
        <f>IFERROR(__xludf.DUMMYFUNCTION("""COMPUTED_VALUE"""),"Unlisted")</f>
        <v>Unlisted</v>
      </c>
      <c r="D1198" s="174" t="str">
        <f>IFERROR(__xludf.DUMMYFUNCTION("""COMPUTED_VALUE"""),"Unlisted")</f>
        <v>Unlisted</v>
      </c>
      <c r="E1198" s="174" t="str">
        <f>IFERROR(__xludf.DUMMYFUNCTION("""COMPUTED_VALUE"""),"Unlisted")</f>
        <v>Unlisted</v>
      </c>
      <c r="F1198" s="174" t="str">
        <f>IFERROR(__xludf.DUMMYFUNCTION("""COMPUTED_VALUE"""),"Unlisted")</f>
        <v>Unlisted</v>
      </c>
      <c r="G1198" s="174" t="str">
        <f>IFERROR(__xludf.DUMMYFUNCTION("""COMPUTED_VALUE"""),"Unlisted")</f>
        <v>Unlisted</v>
      </c>
      <c r="H1198" s="174" t="str">
        <f>IFERROR(__xludf.DUMMYFUNCTION("""COMPUTED_VALUE"""),"Proficient")</f>
        <v>Proficient</v>
      </c>
      <c r="I1198" s="174" t="str">
        <f>IFERROR(__xludf.DUMMYFUNCTION("""COMPUTED_VALUE"""),"Unlisted")</f>
        <v>Unlisted</v>
      </c>
      <c r="J1198" s="174" t="str">
        <f>IFERROR(__xludf.DUMMYFUNCTION("""COMPUTED_VALUE"""),"Unlisted")</f>
        <v>Unlisted</v>
      </c>
      <c r="K1198" s="174" t="str">
        <f>IFERROR(__xludf.DUMMYFUNCTION("""COMPUTED_VALUE"""),"Unlisted")</f>
        <v>Unlisted</v>
      </c>
      <c r="L1198" s="174" t="str">
        <f>IFERROR(__xludf.DUMMYFUNCTION("""COMPUTED_VALUE"""),"Unlisted")</f>
        <v>Unlisted</v>
      </c>
      <c r="M1198" s="174" t="str">
        <f>IFERROR(__xludf.DUMMYFUNCTION("""COMPUTED_VALUE"""),"Unlisted")</f>
        <v>Unlisted</v>
      </c>
      <c r="N1198" s="174" t="str">
        <f>IFERROR(__xludf.DUMMYFUNCTION("""COMPUTED_VALUE"""),"Unlisted")</f>
        <v>Unlisted</v>
      </c>
      <c r="O1198" s="174" t="str">
        <f>IFERROR(__xludf.DUMMYFUNCTION("""COMPUTED_VALUE"""),"Proficient")</f>
        <v>Proficient</v>
      </c>
      <c r="P1198" s="174" t="str">
        <f>IFERROR(__xludf.DUMMYFUNCTION("""COMPUTED_VALUE"""),"Unlisted")</f>
        <v>Unlisted</v>
      </c>
      <c r="Q1198" s="174" t="str">
        <f>IFERROR(__xludf.DUMMYFUNCTION("""COMPUTED_VALUE"""),"Unlisted")</f>
        <v>Unlisted</v>
      </c>
      <c r="R1198" s="174" t="str">
        <f>IFERROR(__xludf.DUMMYFUNCTION("""COMPUTED_VALUE"""),"Unlisted")</f>
        <v>Unlisted</v>
      </c>
    </row>
    <row r="1199">
      <c r="A1199" s="255" t="str">
        <f>IFERROR(__xludf.DUMMYFUNCTION("""COMPUTED_VALUE"""),"Kartana")</f>
        <v>Kartana</v>
      </c>
      <c r="B1199" s="174" t="str">
        <f>IFERROR(__xludf.DUMMYFUNCTION("""COMPUTED_VALUE"""),"Proficient")</f>
        <v>Proficient</v>
      </c>
      <c r="C1199" s="174" t="str">
        <f>IFERROR(__xludf.DUMMYFUNCTION("""COMPUTED_VALUE"""),"Unlisted")</f>
        <v>Unlisted</v>
      </c>
      <c r="D1199" s="174" t="str">
        <f>IFERROR(__xludf.DUMMYFUNCTION("""COMPUTED_VALUE"""),"Unlisted")</f>
        <v>Unlisted</v>
      </c>
      <c r="E1199" s="174" t="str">
        <f>IFERROR(__xludf.DUMMYFUNCTION("""COMPUTED_VALUE"""),"Proficient")</f>
        <v>Proficient</v>
      </c>
      <c r="F1199" s="174" t="str">
        <f>IFERROR(__xludf.DUMMYFUNCTION("""COMPUTED_VALUE"""),"Unlisted")</f>
        <v>Unlisted</v>
      </c>
      <c r="G1199" s="174" t="str">
        <f>IFERROR(__xludf.DUMMYFUNCTION("""COMPUTED_VALUE"""),"Unlisted")</f>
        <v>Unlisted</v>
      </c>
      <c r="H1199" s="174" t="str">
        <f>IFERROR(__xludf.DUMMYFUNCTION("""COMPUTED_VALUE"""),"Unlisted")</f>
        <v>Unlisted</v>
      </c>
      <c r="I1199" s="174" t="str">
        <f>IFERROR(__xludf.DUMMYFUNCTION("""COMPUTED_VALUE"""),"Unlisted")</f>
        <v>Unlisted</v>
      </c>
      <c r="J1199" s="174" t="str">
        <f>IFERROR(__xludf.DUMMYFUNCTION("""COMPUTED_VALUE"""),"Unlisted")</f>
        <v>Unlisted</v>
      </c>
      <c r="K1199" s="174" t="str">
        <f>IFERROR(__xludf.DUMMYFUNCTION("""COMPUTED_VALUE"""),"Proficient")</f>
        <v>Proficient</v>
      </c>
      <c r="L1199" s="174" t="str">
        <f>IFERROR(__xludf.DUMMYFUNCTION("""COMPUTED_VALUE"""),"Unlisted")</f>
        <v>Unlisted</v>
      </c>
      <c r="M1199" s="174" t="str">
        <f>IFERROR(__xludf.DUMMYFUNCTION("""COMPUTED_VALUE"""),"Unlisted")</f>
        <v>Unlisted</v>
      </c>
      <c r="N1199" s="174" t="str">
        <f>IFERROR(__xludf.DUMMYFUNCTION("""COMPUTED_VALUE"""),"Unlisted")</f>
        <v>Unlisted</v>
      </c>
      <c r="O1199" s="174" t="str">
        <f>IFERROR(__xludf.DUMMYFUNCTION("""COMPUTED_VALUE"""),"Unlisted")</f>
        <v>Unlisted</v>
      </c>
      <c r="P1199" s="174" t="str">
        <f>IFERROR(__xludf.DUMMYFUNCTION("""COMPUTED_VALUE"""),"Unlisted")</f>
        <v>Unlisted</v>
      </c>
      <c r="Q1199" s="174" t="str">
        <f>IFERROR(__xludf.DUMMYFUNCTION("""COMPUTED_VALUE"""),"Unlisted")</f>
        <v>Unlisted</v>
      </c>
      <c r="R1199" s="174" t="str">
        <f>IFERROR(__xludf.DUMMYFUNCTION("""COMPUTED_VALUE"""),"Unlisted")</f>
        <v>Unlisted</v>
      </c>
    </row>
    <row r="1200">
      <c r="A1200" s="255" t="str">
        <f>IFERROR(__xludf.DUMMYFUNCTION("""COMPUTED_VALUE"""),"Poipole")</f>
        <v>Poipole</v>
      </c>
      <c r="B1200" s="174" t="str">
        <f>IFERROR(__xludf.DUMMYFUNCTION("""COMPUTED_VALUE"""),"Proficient")</f>
        <v>Proficient</v>
      </c>
      <c r="C1200" s="174" t="str">
        <f>IFERROR(__xludf.DUMMYFUNCTION("""COMPUTED_VALUE"""),"Unlisted")</f>
        <v>Unlisted</v>
      </c>
      <c r="D1200" s="174" t="str">
        <f>IFERROR(__xludf.DUMMYFUNCTION("""COMPUTED_VALUE"""),"Unlisted")</f>
        <v>Unlisted</v>
      </c>
      <c r="E1200" s="174" t="str">
        <f>IFERROR(__xludf.DUMMYFUNCTION("""COMPUTED_VALUE"""),"Unlisted")</f>
        <v>Unlisted</v>
      </c>
      <c r="F1200" s="174" t="str">
        <f>IFERROR(__xludf.DUMMYFUNCTION("""COMPUTED_VALUE"""),"Unlisted")</f>
        <v>Unlisted</v>
      </c>
      <c r="G1200" s="174" t="str">
        <f>IFERROR(__xludf.DUMMYFUNCTION("""COMPUTED_VALUE"""),"Unlisted")</f>
        <v>Unlisted</v>
      </c>
      <c r="H1200" s="174" t="str">
        <f>IFERROR(__xludf.DUMMYFUNCTION("""COMPUTED_VALUE"""),"Unlisted")</f>
        <v>Unlisted</v>
      </c>
      <c r="I1200" s="174" t="str">
        <f>IFERROR(__xludf.DUMMYFUNCTION("""COMPUTED_VALUE"""),"Unlisted")</f>
        <v>Unlisted</v>
      </c>
      <c r="J1200" s="174" t="str">
        <f>IFERROR(__xludf.DUMMYFUNCTION("""COMPUTED_VALUE"""),"Unlisted")</f>
        <v>Unlisted</v>
      </c>
      <c r="K1200" s="174" t="str">
        <f>IFERROR(__xludf.DUMMYFUNCTION("""COMPUTED_VALUE"""),"Unlisted")</f>
        <v>Unlisted</v>
      </c>
      <c r="L1200" s="174" t="str">
        <f>IFERROR(__xludf.DUMMYFUNCTION("""COMPUTED_VALUE"""),"Proficient")</f>
        <v>Proficient</v>
      </c>
      <c r="M1200" s="174" t="str">
        <f>IFERROR(__xludf.DUMMYFUNCTION("""COMPUTED_VALUE"""),"Unlisted")</f>
        <v>Unlisted</v>
      </c>
      <c r="N1200" s="174" t="str">
        <f>IFERROR(__xludf.DUMMYFUNCTION("""COMPUTED_VALUE"""),"Unlisted")</f>
        <v>Unlisted</v>
      </c>
      <c r="O1200" s="174" t="str">
        <f>IFERROR(__xludf.DUMMYFUNCTION("""COMPUTED_VALUE"""),"Unlisted")</f>
        <v>Unlisted</v>
      </c>
      <c r="P1200" s="174" t="str">
        <f>IFERROR(__xludf.DUMMYFUNCTION("""COMPUTED_VALUE"""),"Unlisted")</f>
        <v>Unlisted</v>
      </c>
      <c r="Q1200" s="174" t="str">
        <f>IFERROR(__xludf.DUMMYFUNCTION("""COMPUTED_VALUE"""),"Unlisted")</f>
        <v>Unlisted</v>
      </c>
      <c r="R1200" s="174" t="str">
        <f>IFERROR(__xludf.DUMMYFUNCTION("""COMPUTED_VALUE"""),"Unlisted")</f>
        <v>Unlisted</v>
      </c>
    </row>
    <row r="1201">
      <c r="A1201" s="255" t="str">
        <f>IFERROR(__xludf.DUMMYFUNCTION("""COMPUTED_VALUE"""),"Naganadel")</f>
        <v>Naganadel</v>
      </c>
      <c r="B1201" s="174" t="str">
        <f>IFERROR(__xludf.DUMMYFUNCTION("""COMPUTED_VALUE"""),"Proficient")</f>
        <v>Proficient</v>
      </c>
      <c r="C1201" s="174" t="str">
        <f>IFERROR(__xludf.DUMMYFUNCTION("""COMPUTED_VALUE"""),"Unlisted")</f>
        <v>Unlisted</v>
      </c>
      <c r="D1201" s="174" t="str">
        <f>IFERROR(__xludf.DUMMYFUNCTION("""COMPUTED_VALUE"""),"Unlisted")</f>
        <v>Unlisted</v>
      </c>
      <c r="E1201" s="174" t="str">
        <f>IFERROR(__xludf.DUMMYFUNCTION("""COMPUTED_VALUE"""),"Proficient")</f>
        <v>Proficient</v>
      </c>
      <c r="F1201" s="174" t="str">
        <f>IFERROR(__xludf.DUMMYFUNCTION("""COMPUTED_VALUE"""),"Unlisted")</f>
        <v>Unlisted</v>
      </c>
      <c r="G1201" s="174" t="str">
        <f>IFERROR(__xludf.DUMMYFUNCTION("""COMPUTED_VALUE"""),"Proficient")</f>
        <v>Proficient</v>
      </c>
      <c r="H1201" s="174" t="str">
        <f>IFERROR(__xludf.DUMMYFUNCTION("""COMPUTED_VALUE"""),"Unlisted")</f>
        <v>Unlisted</v>
      </c>
      <c r="I1201" s="174" t="str">
        <f>IFERROR(__xludf.DUMMYFUNCTION("""COMPUTED_VALUE"""),"Unlisted")</f>
        <v>Unlisted</v>
      </c>
      <c r="J1201" s="174" t="str">
        <f>IFERROR(__xludf.DUMMYFUNCTION("""COMPUTED_VALUE"""),"Unlisted")</f>
        <v>Unlisted</v>
      </c>
      <c r="K1201" s="174" t="str">
        <f>IFERROR(__xludf.DUMMYFUNCTION("""COMPUTED_VALUE"""),"Unlisted")</f>
        <v>Unlisted</v>
      </c>
      <c r="L1201" s="174" t="str">
        <f>IFERROR(__xludf.DUMMYFUNCTION("""COMPUTED_VALUE"""),"Unlisted")</f>
        <v>Unlisted</v>
      </c>
      <c r="M1201" s="174" t="str">
        <f>IFERROR(__xludf.DUMMYFUNCTION("""COMPUTED_VALUE"""),"Unlisted")</f>
        <v>Unlisted</v>
      </c>
      <c r="N1201" s="174" t="str">
        <f>IFERROR(__xludf.DUMMYFUNCTION("""COMPUTED_VALUE"""),"Unlisted")</f>
        <v>Unlisted</v>
      </c>
      <c r="O1201" s="174" t="str">
        <f>IFERROR(__xludf.DUMMYFUNCTION("""COMPUTED_VALUE"""),"Unlisted")</f>
        <v>Unlisted</v>
      </c>
      <c r="P1201" s="174" t="str">
        <f>IFERROR(__xludf.DUMMYFUNCTION("""COMPUTED_VALUE"""),"Unlisted")</f>
        <v>Unlisted</v>
      </c>
      <c r="Q1201" s="174" t="str">
        <f>IFERROR(__xludf.DUMMYFUNCTION("""COMPUTED_VALUE"""),"Unlisted")</f>
        <v>Unlisted</v>
      </c>
      <c r="R1201" s="174" t="str">
        <f>IFERROR(__xludf.DUMMYFUNCTION("""COMPUTED_VALUE"""),"Unlisted")</f>
        <v>Unlisted</v>
      </c>
    </row>
    <row r="1202">
      <c r="A1202" s="255" t="str">
        <f>IFERROR(__xludf.DUMMYFUNCTION("""COMPUTED_VALUE"""),"Nihilego")</f>
        <v>Nihilego</v>
      </c>
      <c r="B1202" s="174" t="str">
        <f>IFERROR(__xludf.DUMMYFUNCTION("""COMPUTED_VALUE"""),"Unlisted")</f>
        <v>Unlisted</v>
      </c>
      <c r="C1202" s="174" t="str">
        <f>IFERROR(__xludf.DUMMYFUNCTION("""COMPUTED_VALUE"""),"Unlisted")</f>
        <v>Unlisted</v>
      </c>
      <c r="D1202" s="174" t="str">
        <f>IFERROR(__xludf.DUMMYFUNCTION("""COMPUTED_VALUE"""),"Unlisted")</f>
        <v>Unlisted</v>
      </c>
      <c r="E1202" s="174" t="str">
        <f>IFERROR(__xludf.DUMMYFUNCTION("""COMPUTED_VALUE"""),"Unlisted")</f>
        <v>Unlisted</v>
      </c>
      <c r="F1202" s="174" t="str">
        <f>IFERROR(__xludf.DUMMYFUNCTION("""COMPUTED_VALUE"""),"Unlisted")</f>
        <v>Unlisted</v>
      </c>
      <c r="G1202" s="174" t="str">
        <f>IFERROR(__xludf.DUMMYFUNCTION("""COMPUTED_VALUE"""),"Proficient")</f>
        <v>Proficient</v>
      </c>
      <c r="H1202" s="174" t="str">
        <f>IFERROR(__xludf.DUMMYFUNCTION("""COMPUTED_VALUE"""),"Unlisted")</f>
        <v>Unlisted</v>
      </c>
      <c r="I1202" s="174" t="str">
        <f>IFERROR(__xludf.DUMMYFUNCTION("""COMPUTED_VALUE"""),"Unlisted")</f>
        <v>Unlisted</v>
      </c>
      <c r="J1202" s="174" t="str">
        <f>IFERROR(__xludf.DUMMYFUNCTION("""COMPUTED_VALUE"""),"Unlisted")</f>
        <v>Unlisted</v>
      </c>
      <c r="K1202" s="174" t="str">
        <f>IFERROR(__xludf.DUMMYFUNCTION("""COMPUTED_VALUE"""),"Unlisted")</f>
        <v>Unlisted</v>
      </c>
      <c r="L1202" s="174" t="str">
        <f>IFERROR(__xludf.DUMMYFUNCTION("""COMPUTED_VALUE"""),"Proficient")</f>
        <v>Proficient</v>
      </c>
      <c r="M1202" s="174" t="str">
        <f>IFERROR(__xludf.DUMMYFUNCTION("""COMPUTED_VALUE"""),"Unlisted")</f>
        <v>Unlisted</v>
      </c>
      <c r="N1202" s="174" t="str">
        <f>IFERROR(__xludf.DUMMYFUNCTION("""COMPUTED_VALUE"""),"Unlisted")</f>
        <v>Unlisted</v>
      </c>
      <c r="O1202" s="174" t="str">
        <f>IFERROR(__xludf.DUMMYFUNCTION("""COMPUTED_VALUE"""),"Unlisted")</f>
        <v>Unlisted</v>
      </c>
      <c r="P1202" s="174" t="str">
        <f>IFERROR(__xludf.DUMMYFUNCTION("""COMPUTED_VALUE"""),"Unlisted")</f>
        <v>Unlisted</v>
      </c>
      <c r="Q1202" s="174" t="str">
        <f>IFERROR(__xludf.DUMMYFUNCTION("""COMPUTED_VALUE"""),"Unlisted")</f>
        <v>Unlisted</v>
      </c>
      <c r="R1202" s="174" t="str">
        <f>IFERROR(__xludf.DUMMYFUNCTION("""COMPUTED_VALUE"""),"Unlisted")</f>
        <v>Unlisted</v>
      </c>
    </row>
    <row r="1203">
      <c r="A1203" s="255" t="str">
        <f>IFERROR(__xludf.DUMMYFUNCTION("""COMPUTED_VALUE"""),"Stakataka")</f>
        <v>Stakataka</v>
      </c>
      <c r="B1203" s="174" t="str">
        <f>IFERROR(__xludf.DUMMYFUNCTION("""COMPUTED_VALUE"""),"Unlisted")</f>
        <v>Unlisted</v>
      </c>
      <c r="C1203" s="174" t="str">
        <f>IFERROR(__xludf.DUMMYFUNCTION("""COMPUTED_VALUE"""),"Proficient")</f>
        <v>Proficient</v>
      </c>
      <c r="D1203" s="174" t="str">
        <f>IFERROR(__xludf.DUMMYFUNCTION("""COMPUTED_VALUE"""),"Unlisted")</f>
        <v>Unlisted</v>
      </c>
      <c r="E1203" s="174" t="str">
        <f>IFERROR(__xludf.DUMMYFUNCTION("""COMPUTED_VALUE"""),"Unlisted")</f>
        <v>Unlisted</v>
      </c>
      <c r="F1203" s="174" t="str">
        <f>IFERROR(__xludf.DUMMYFUNCTION("""COMPUTED_VALUE"""),"Unlisted")</f>
        <v>Unlisted</v>
      </c>
      <c r="G1203" s="174" t="str">
        <f>IFERROR(__xludf.DUMMYFUNCTION("""COMPUTED_VALUE"""),"Proficient")</f>
        <v>Proficient</v>
      </c>
      <c r="H1203" s="174" t="str">
        <f>IFERROR(__xludf.DUMMYFUNCTION("""COMPUTED_VALUE"""),"Unlisted")</f>
        <v>Unlisted</v>
      </c>
      <c r="I1203" s="174" t="str">
        <f>IFERROR(__xludf.DUMMYFUNCTION("""COMPUTED_VALUE"""),"Unlisted")</f>
        <v>Unlisted</v>
      </c>
      <c r="J1203" s="174" t="str">
        <f>IFERROR(__xludf.DUMMYFUNCTION("""COMPUTED_VALUE"""),"Unlisted")</f>
        <v>Unlisted</v>
      </c>
      <c r="K1203" s="174" t="str">
        <f>IFERROR(__xludf.DUMMYFUNCTION("""COMPUTED_VALUE"""),"Mastered")</f>
        <v>Mastered</v>
      </c>
      <c r="L1203" s="174" t="str">
        <f>IFERROR(__xludf.DUMMYFUNCTION("""COMPUTED_VALUE"""),"Unlisted")</f>
        <v>Unlisted</v>
      </c>
      <c r="M1203" s="174" t="str">
        <f>IFERROR(__xludf.DUMMYFUNCTION("""COMPUTED_VALUE"""),"Unlisted")</f>
        <v>Unlisted</v>
      </c>
      <c r="N1203" s="174" t="str">
        <f>IFERROR(__xludf.DUMMYFUNCTION("""COMPUTED_VALUE"""),"Unlisted")</f>
        <v>Unlisted</v>
      </c>
      <c r="O1203" s="174" t="str">
        <f>IFERROR(__xludf.DUMMYFUNCTION("""COMPUTED_VALUE"""),"Unlisted")</f>
        <v>Unlisted</v>
      </c>
      <c r="P1203" s="174" t="str">
        <f>IFERROR(__xludf.DUMMYFUNCTION("""COMPUTED_VALUE"""),"Unlisted")</f>
        <v>Unlisted</v>
      </c>
      <c r="Q1203" s="174" t="str">
        <f>IFERROR(__xludf.DUMMYFUNCTION("""COMPUTED_VALUE"""),"Unlisted")</f>
        <v>Unlisted</v>
      </c>
      <c r="R1203" s="174" t="str">
        <f>IFERROR(__xludf.DUMMYFUNCTION("""COMPUTED_VALUE"""),"Unlisted")</f>
        <v>Unlisted</v>
      </c>
    </row>
    <row r="1204">
      <c r="A1204" s="255" t="str">
        <f>IFERROR(__xludf.DUMMYFUNCTION("""COMPUTED_VALUE"""),"Celesteela")</f>
        <v>Celesteela</v>
      </c>
      <c r="B1204" s="174" t="str">
        <f>IFERROR(__xludf.DUMMYFUNCTION("""COMPUTED_VALUE"""),"Proficient")</f>
        <v>Proficient</v>
      </c>
      <c r="C1204" s="174" t="str">
        <f>IFERROR(__xludf.DUMMYFUNCTION("""COMPUTED_VALUE"""),"Mastered")</f>
        <v>Mastered</v>
      </c>
      <c r="D1204" s="174" t="str">
        <f>IFERROR(__xludf.DUMMYFUNCTION("""COMPUTED_VALUE"""),"Unlisted")</f>
        <v>Unlisted</v>
      </c>
      <c r="E1204" s="174" t="str">
        <f>IFERROR(__xludf.DUMMYFUNCTION("""COMPUTED_VALUE"""),"Unlisted")</f>
        <v>Unlisted</v>
      </c>
      <c r="F1204" s="174" t="str">
        <f>IFERROR(__xludf.DUMMYFUNCTION("""COMPUTED_VALUE"""),"Unlisted")</f>
        <v>Unlisted</v>
      </c>
      <c r="G1204" s="174" t="str">
        <f>IFERROR(__xludf.DUMMYFUNCTION("""COMPUTED_VALUE"""),"Unlisted")</f>
        <v>Unlisted</v>
      </c>
      <c r="H1204" s="174" t="str">
        <f>IFERROR(__xludf.DUMMYFUNCTION("""COMPUTED_VALUE"""),"Unlisted")</f>
        <v>Unlisted</v>
      </c>
      <c r="I1204" s="174" t="str">
        <f>IFERROR(__xludf.DUMMYFUNCTION("""COMPUTED_VALUE"""),"Unlisted")</f>
        <v>Unlisted</v>
      </c>
      <c r="J1204" s="174" t="str">
        <f>IFERROR(__xludf.DUMMYFUNCTION("""COMPUTED_VALUE"""),"Unlisted")</f>
        <v>Unlisted</v>
      </c>
      <c r="K1204" s="174" t="str">
        <f>IFERROR(__xludf.DUMMYFUNCTION("""COMPUTED_VALUE"""),"Proficient")</f>
        <v>Proficient</v>
      </c>
      <c r="L1204" s="174" t="str">
        <f>IFERROR(__xludf.DUMMYFUNCTION("""COMPUTED_VALUE"""),"Unlisted")</f>
        <v>Unlisted</v>
      </c>
      <c r="M1204" s="174" t="str">
        <f>IFERROR(__xludf.DUMMYFUNCTION("""COMPUTED_VALUE"""),"Unlisted")</f>
        <v>Unlisted</v>
      </c>
      <c r="N1204" s="174" t="str">
        <f>IFERROR(__xludf.DUMMYFUNCTION("""COMPUTED_VALUE"""),"Unlisted")</f>
        <v>Unlisted</v>
      </c>
      <c r="O1204" s="174" t="str">
        <f>IFERROR(__xludf.DUMMYFUNCTION("""COMPUTED_VALUE"""),"Unlisted")</f>
        <v>Unlisted</v>
      </c>
      <c r="P1204" s="174" t="str">
        <f>IFERROR(__xludf.DUMMYFUNCTION("""COMPUTED_VALUE"""),"Unlisted")</f>
        <v>Unlisted</v>
      </c>
      <c r="Q1204" s="174" t="str">
        <f>IFERROR(__xludf.DUMMYFUNCTION("""COMPUTED_VALUE"""),"Unlisted")</f>
        <v>Unlisted</v>
      </c>
      <c r="R1204" s="174" t="str">
        <f>IFERROR(__xludf.DUMMYFUNCTION("""COMPUTED_VALUE"""),"Unlisted")</f>
        <v>Unlisted</v>
      </c>
    </row>
    <row r="1205">
      <c r="A1205" s="255"/>
      <c r="B1205" s="174" t="str">
        <f>IFERROR(__xludf.DUMMYFUNCTION("""COMPUTED_VALUE"""),"Unlisted")</f>
        <v>Unlisted</v>
      </c>
      <c r="C1205" s="174" t="str">
        <f>IFERROR(__xludf.DUMMYFUNCTION("""COMPUTED_VALUE"""),"Unlisted")</f>
        <v>Unlisted</v>
      </c>
      <c r="D1205" s="174" t="str">
        <f>IFERROR(__xludf.DUMMYFUNCTION("""COMPUTED_VALUE"""),"Unlisted")</f>
        <v>Unlisted</v>
      </c>
      <c r="E1205" s="174" t="str">
        <f>IFERROR(__xludf.DUMMYFUNCTION("""COMPUTED_VALUE"""),"Unlisted")</f>
        <v>Unlisted</v>
      </c>
      <c r="F1205" s="174" t="str">
        <f>IFERROR(__xludf.DUMMYFUNCTION("""COMPUTED_VALUE"""),"Unlisted")</f>
        <v>Unlisted</v>
      </c>
      <c r="G1205" s="174" t="str">
        <f>IFERROR(__xludf.DUMMYFUNCTION("""COMPUTED_VALUE"""),"Unlisted")</f>
        <v>Unlisted</v>
      </c>
      <c r="H1205" s="174" t="str">
        <f>IFERROR(__xludf.DUMMYFUNCTION("""COMPUTED_VALUE"""),"Unlisted")</f>
        <v>Unlisted</v>
      </c>
      <c r="I1205" s="174" t="str">
        <f>IFERROR(__xludf.DUMMYFUNCTION("""COMPUTED_VALUE"""),"Unlisted")</f>
        <v>Unlisted</v>
      </c>
      <c r="J1205" s="174" t="str">
        <f>IFERROR(__xludf.DUMMYFUNCTION("""COMPUTED_VALUE"""),"Unlisted")</f>
        <v>Unlisted</v>
      </c>
      <c r="K1205" s="174" t="str">
        <f>IFERROR(__xludf.DUMMYFUNCTION("""COMPUTED_VALUE"""),"Unlisted")</f>
        <v>Unlisted</v>
      </c>
      <c r="L1205" s="174" t="str">
        <f>IFERROR(__xludf.DUMMYFUNCTION("""COMPUTED_VALUE"""),"Unlisted")</f>
        <v>Unlisted</v>
      </c>
      <c r="M1205" s="174" t="str">
        <f>IFERROR(__xludf.DUMMYFUNCTION("""COMPUTED_VALUE"""),"Unlisted")</f>
        <v>Unlisted</v>
      </c>
      <c r="N1205" s="174" t="str">
        <f>IFERROR(__xludf.DUMMYFUNCTION("""COMPUTED_VALUE"""),"Unlisted")</f>
        <v>Unlisted</v>
      </c>
      <c r="O1205" s="174" t="str">
        <f>IFERROR(__xludf.DUMMYFUNCTION("""COMPUTED_VALUE"""),"Unlisted")</f>
        <v>Unlisted</v>
      </c>
      <c r="P1205" s="174" t="str">
        <f>IFERROR(__xludf.DUMMYFUNCTION("""COMPUTED_VALUE"""),"Unlisted")</f>
        <v>Unlisted</v>
      </c>
      <c r="Q1205" s="174" t="str">
        <f>IFERROR(__xludf.DUMMYFUNCTION("""COMPUTED_VALUE"""),"Unlisted")</f>
        <v>Unlisted</v>
      </c>
      <c r="R1205" s="174" t="str">
        <f>IFERROR(__xludf.DUMMYFUNCTION("""COMPUTED_VALUE"""),"Unlisted")</f>
        <v>Unlisted</v>
      </c>
    </row>
    <row r="1206">
      <c r="A1206" s="255"/>
      <c r="B1206" s="174"/>
      <c r="C1206" s="174"/>
      <c r="D1206" s="174"/>
      <c r="E1206" s="174"/>
      <c r="F1206" s="174"/>
      <c r="G1206" s="174"/>
      <c r="H1206" s="174"/>
      <c r="I1206" s="174"/>
      <c r="J1206" s="174"/>
      <c r="K1206" s="174"/>
      <c r="L1206" s="174"/>
      <c r="M1206" s="174"/>
      <c r="N1206" s="174"/>
      <c r="O1206" s="174"/>
      <c r="P1206" s="174"/>
      <c r="Q1206" s="174"/>
      <c r="R1206" s="174"/>
    </row>
    <row r="1207">
      <c r="A1207" s="255"/>
      <c r="B1207" s="174"/>
      <c r="C1207" s="174"/>
      <c r="D1207" s="174"/>
      <c r="E1207" s="174"/>
      <c r="F1207" s="174"/>
      <c r="G1207" s="174"/>
      <c r="H1207" s="174"/>
      <c r="I1207" s="174"/>
      <c r="J1207" s="174"/>
      <c r="K1207" s="174"/>
      <c r="L1207" s="174"/>
      <c r="M1207" s="174"/>
      <c r="N1207" s="174"/>
      <c r="O1207" s="174"/>
      <c r="P1207" s="174"/>
      <c r="Q1207" s="174"/>
      <c r="R1207" s="174"/>
    </row>
    <row r="1208">
      <c r="A1208" s="255"/>
      <c r="B1208" s="174"/>
      <c r="C1208" s="174"/>
      <c r="D1208" s="174"/>
      <c r="E1208" s="174"/>
      <c r="F1208" s="174"/>
      <c r="G1208" s="174"/>
      <c r="H1208" s="174"/>
      <c r="I1208" s="174"/>
      <c r="J1208" s="174"/>
      <c r="K1208" s="174"/>
      <c r="L1208" s="174"/>
      <c r="M1208" s="174"/>
      <c r="N1208" s="174"/>
      <c r="O1208" s="174"/>
      <c r="P1208" s="174"/>
      <c r="Q1208" s="174"/>
      <c r="R1208" s="174"/>
    </row>
    <row r="1209">
      <c r="A1209" s="255"/>
      <c r="B1209" s="174"/>
      <c r="C1209" s="174"/>
      <c r="D1209" s="174"/>
      <c r="E1209" s="174"/>
      <c r="F1209" s="174"/>
      <c r="G1209" s="174"/>
      <c r="H1209" s="174"/>
      <c r="I1209" s="174"/>
      <c r="J1209" s="174"/>
      <c r="K1209" s="174"/>
      <c r="L1209" s="174"/>
      <c r="M1209" s="174"/>
      <c r="N1209" s="174"/>
      <c r="O1209" s="174"/>
      <c r="P1209" s="174"/>
      <c r="Q1209" s="174"/>
      <c r="R1209" s="174"/>
    </row>
    <row r="1210">
      <c r="A1210" s="255"/>
      <c r="B1210" s="174"/>
      <c r="C1210" s="174"/>
      <c r="D1210" s="174"/>
      <c r="E1210" s="174"/>
      <c r="F1210" s="174"/>
      <c r="G1210" s="174"/>
      <c r="H1210" s="174"/>
      <c r="I1210" s="174"/>
      <c r="J1210" s="174"/>
      <c r="K1210" s="174"/>
      <c r="L1210" s="174"/>
      <c r="M1210" s="174"/>
      <c r="N1210" s="174"/>
      <c r="O1210" s="174"/>
      <c r="P1210" s="174"/>
      <c r="Q1210" s="174"/>
      <c r="R1210" s="174"/>
    </row>
    <row r="1211">
      <c r="A1211" s="255"/>
      <c r="B1211" s="174"/>
      <c r="C1211" s="174"/>
      <c r="D1211" s="174"/>
      <c r="E1211" s="174"/>
      <c r="F1211" s="174"/>
      <c r="G1211" s="174"/>
      <c r="H1211" s="174"/>
      <c r="I1211" s="174"/>
      <c r="J1211" s="174"/>
      <c r="K1211" s="174"/>
      <c r="L1211" s="174"/>
      <c r="M1211" s="174"/>
      <c r="N1211" s="174"/>
      <c r="O1211" s="174"/>
      <c r="P1211" s="174"/>
      <c r="Q1211" s="174"/>
      <c r="R1211" s="174"/>
    </row>
    <row r="1212">
      <c r="A1212" s="255"/>
      <c r="B1212" s="174"/>
      <c r="C1212" s="174"/>
      <c r="D1212" s="174"/>
      <c r="E1212" s="174"/>
      <c r="F1212" s="174"/>
      <c r="G1212" s="174"/>
      <c r="H1212" s="174"/>
      <c r="I1212" s="174"/>
      <c r="J1212" s="174"/>
      <c r="K1212" s="174"/>
      <c r="L1212" s="174"/>
      <c r="M1212" s="174"/>
      <c r="N1212" s="174"/>
      <c r="O1212" s="174"/>
      <c r="P1212" s="174"/>
      <c r="Q1212" s="174"/>
      <c r="R1212" s="174"/>
    </row>
    <row r="1213">
      <c r="A1213" s="255"/>
      <c r="B1213" s="174"/>
      <c r="C1213" s="174"/>
      <c r="D1213" s="174"/>
      <c r="E1213" s="174"/>
      <c r="F1213" s="174"/>
      <c r="G1213" s="174"/>
      <c r="H1213" s="174"/>
      <c r="I1213" s="174"/>
      <c r="J1213" s="174"/>
      <c r="K1213" s="174"/>
      <c r="L1213" s="174"/>
      <c r="M1213" s="174"/>
      <c r="N1213" s="174"/>
      <c r="O1213" s="174"/>
      <c r="P1213" s="174"/>
      <c r="Q1213" s="174"/>
      <c r="R1213" s="174"/>
    </row>
    <row r="1214">
      <c r="A1214" s="255"/>
      <c r="B1214" s="174"/>
      <c r="C1214" s="174"/>
      <c r="D1214" s="174"/>
      <c r="E1214" s="174"/>
      <c r="F1214" s="174"/>
      <c r="G1214" s="174"/>
      <c r="H1214" s="174"/>
      <c r="I1214" s="174"/>
      <c r="J1214" s="174"/>
      <c r="K1214" s="174"/>
      <c r="L1214" s="174"/>
      <c r="M1214" s="174"/>
      <c r="N1214" s="174"/>
      <c r="O1214" s="174"/>
      <c r="P1214" s="174"/>
      <c r="Q1214" s="174"/>
      <c r="R1214" s="174"/>
    </row>
    <row r="1215">
      <c r="A1215" s="255"/>
      <c r="B1215" s="174"/>
      <c r="C1215" s="174"/>
      <c r="D1215" s="174"/>
      <c r="E1215" s="174"/>
      <c r="F1215" s="174"/>
      <c r="G1215" s="174"/>
      <c r="H1215" s="174"/>
      <c r="I1215" s="174"/>
      <c r="J1215" s="174"/>
      <c r="K1215" s="174"/>
      <c r="L1215" s="174"/>
      <c r="M1215" s="174"/>
      <c r="N1215" s="174"/>
      <c r="O1215" s="174"/>
      <c r="P1215" s="174"/>
      <c r="Q1215" s="174"/>
      <c r="R1215" s="174"/>
    </row>
    <row r="1216">
      <c r="A1216" s="255"/>
      <c r="B1216" s="174"/>
      <c r="C1216" s="174"/>
      <c r="D1216" s="174"/>
      <c r="E1216" s="174"/>
      <c r="F1216" s="174"/>
      <c r="G1216" s="174"/>
      <c r="H1216" s="174"/>
      <c r="I1216" s="174"/>
      <c r="J1216" s="174"/>
      <c r="K1216" s="174"/>
      <c r="L1216" s="174"/>
      <c r="M1216" s="174"/>
      <c r="N1216" s="174"/>
      <c r="O1216" s="174"/>
      <c r="P1216" s="174"/>
      <c r="Q1216" s="174"/>
      <c r="R1216" s="174"/>
    </row>
    <row r="1217">
      <c r="A1217" s="255"/>
      <c r="B1217" s="174"/>
      <c r="C1217" s="174"/>
      <c r="D1217" s="174"/>
      <c r="E1217" s="174"/>
      <c r="F1217" s="174"/>
      <c r="G1217" s="174"/>
      <c r="H1217" s="174"/>
      <c r="I1217" s="174"/>
      <c r="J1217" s="174"/>
      <c r="K1217" s="174"/>
      <c r="L1217" s="174"/>
      <c r="M1217" s="174"/>
      <c r="N1217" s="174"/>
      <c r="O1217" s="174"/>
      <c r="P1217" s="174"/>
      <c r="Q1217" s="174"/>
      <c r="R1217" s="174"/>
    </row>
    <row r="1218">
      <c r="A1218" s="255"/>
      <c r="B1218" s="174"/>
      <c r="C1218" s="174"/>
      <c r="D1218" s="174"/>
      <c r="E1218" s="174"/>
      <c r="F1218" s="174"/>
      <c r="G1218" s="174"/>
      <c r="H1218" s="174"/>
      <c r="I1218" s="174"/>
      <c r="J1218" s="174"/>
      <c r="K1218" s="174"/>
      <c r="L1218" s="174"/>
      <c r="M1218" s="174"/>
      <c r="N1218" s="174"/>
      <c r="O1218" s="174"/>
      <c r="P1218" s="174"/>
      <c r="Q1218" s="174"/>
      <c r="R1218" s="174"/>
    </row>
    <row r="1219">
      <c r="A1219" s="255"/>
      <c r="B1219" s="174"/>
      <c r="C1219" s="174"/>
      <c r="D1219" s="174"/>
      <c r="E1219" s="174"/>
      <c r="F1219" s="174"/>
      <c r="G1219" s="174"/>
      <c r="H1219" s="174"/>
      <c r="I1219" s="174"/>
      <c r="J1219" s="174"/>
      <c r="K1219" s="174"/>
      <c r="L1219" s="174"/>
      <c r="M1219" s="174"/>
      <c r="N1219" s="174"/>
      <c r="O1219" s="174"/>
      <c r="P1219" s="174"/>
      <c r="Q1219" s="174"/>
      <c r="R1219" s="174"/>
    </row>
    <row r="1220">
      <c r="A1220" s="255"/>
      <c r="B1220" s="174"/>
      <c r="C1220" s="174"/>
      <c r="D1220" s="174"/>
      <c r="E1220" s="174"/>
      <c r="F1220" s="174"/>
      <c r="G1220" s="174"/>
      <c r="H1220" s="174"/>
      <c r="I1220" s="174"/>
      <c r="J1220" s="174"/>
      <c r="K1220" s="174"/>
      <c r="L1220" s="174"/>
      <c r="M1220" s="174"/>
      <c r="N1220" s="174"/>
      <c r="O1220" s="174"/>
      <c r="P1220" s="174"/>
      <c r="Q1220" s="174"/>
      <c r="R1220" s="174"/>
    </row>
    <row r="1221">
      <c r="A1221" s="255"/>
      <c r="B1221" s="174"/>
      <c r="C1221" s="174"/>
      <c r="D1221" s="174"/>
      <c r="E1221" s="174"/>
      <c r="F1221" s="174"/>
      <c r="G1221" s="174"/>
      <c r="H1221" s="174"/>
      <c r="I1221" s="174"/>
      <c r="J1221" s="174"/>
      <c r="K1221" s="174"/>
      <c r="L1221" s="174"/>
      <c r="M1221" s="174"/>
      <c r="N1221" s="174"/>
      <c r="O1221" s="174"/>
      <c r="P1221" s="174"/>
      <c r="Q1221" s="174"/>
      <c r="R1221" s="174"/>
    </row>
    <row r="1222">
      <c r="A1222" s="255"/>
      <c r="B1222" s="174"/>
      <c r="C1222" s="174"/>
      <c r="D1222" s="174"/>
      <c r="E1222" s="174"/>
      <c r="F1222" s="174"/>
      <c r="G1222" s="174"/>
      <c r="H1222" s="174"/>
      <c r="I1222" s="174"/>
      <c r="J1222" s="174"/>
      <c r="K1222" s="174"/>
      <c r="L1222" s="174"/>
      <c r="M1222" s="174"/>
      <c r="N1222" s="174"/>
      <c r="O1222" s="174"/>
      <c r="P1222" s="174"/>
      <c r="Q1222" s="174"/>
      <c r="R1222" s="174"/>
    </row>
    <row r="1223">
      <c r="A1223" s="255"/>
      <c r="B1223" s="174"/>
      <c r="C1223" s="174"/>
      <c r="D1223" s="174"/>
      <c r="E1223" s="174"/>
      <c r="F1223" s="174"/>
      <c r="G1223" s="174"/>
      <c r="H1223" s="174"/>
      <c r="I1223" s="174"/>
      <c r="J1223" s="174"/>
      <c r="K1223" s="174"/>
      <c r="L1223" s="174"/>
      <c r="M1223" s="174"/>
      <c r="N1223" s="174"/>
      <c r="O1223" s="174"/>
      <c r="P1223" s="174"/>
      <c r="Q1223" s="174"/>
      <c r="R1223" s="174"/>
    </row>
    <row r="1224">
      <c r="A1224" s="255"/>
      <c r="B1224" s="174"/>
      <c r="C1224" s="174"/>
      <c r="D1224" s="174"/>
      <c r="E1224" s="174"/>
      <c r="F1224" s="174"/>
      <c r="G1224" s="174"/>
      <c r="H1224" s="174"/>
      <c r="I1224" s="174"/>
      <c r="J1224" s="174"/>
      <c r="K1224" s="174"/>
      <c r="L1224" s="174"/>
      <c r="M1224" s="174"/>
      <c r="N1224" s="174"/>
      <c r="O1224" s="174"/>
      <c r="P1224" s="174"/>
      <c r="Q1224" s="174"/>
      <c r="R1224" s="174"/>
    </row>
    <row r="1225">
      <c r="A1225" s="255"/>
      <c r="B1225" s="174"/>
      <c r="C1225" s="174"/>
      <c r="D1225" s="174"/>
      <c r="E1225" s="174"/>
      <c r="F1225" s="174"/>
      <c r="G1225" s="174"/>
      <c r="H1225" s="174"/>
      <c r="I1225" s="174"/>
      <c r="J1225" s="174"/>
      <c r="K1225" s="174"/>
      <c r="L1225" s="174"/>
      <c r="M1225" s="174"/>
      <c r="N1225" s="174"/>
      <c r="O1225" s="174"/>
      <c r="P1225" s="174"/>
      <c r="Q1225" s="174"/>
      <c r="R1225" s="174"/>
    </row>
    <row r="1226">
      <c r="A1226" s="255"/>
      <c r="B1226" s="174"/>
      <c r="C1226" s="174"/>
      <c r="D1226" s="174"/>
      <c r="E1226" s="174"/>
      <c r="F1226" s="174"/>
      <c r="G1226" s="174"/>
      <c r="H1226" s="174"/>
      <c r="I1226" s="174"/>
      <c r="J1226" s="174"/>
      <c r="K1226" s="174"/>
      <c r="L1226" s="174"/>
      <c r="M1226" s="174"/>
      <c r="N1226" s="174"/>
      <c r="O1226" s="174"/>
      <c r="P1226" s="174"/>
      <c r="Q1226" s="174"/>
      <c r="R1226" s="174"/>
    </row>
    <row r="1227">
      <c r="A1227" s="255"/>
      <c r="B1227" s="174"/>
      <c r="C1227" s="174"/>
      <c r="D1227" s="174"/>
      <c r="E1227" s="174"/>
      <c r="F1227" s="174"/>
      <c r="G1227" s="174"/>
      <c r="H1227" s="174"/>
      <c r="I1227" s="174"/>
      <c r="J1227" s="174"/>
      <c r="K1227" s="174"/>
      <c r="L1227" s="174"/>
      <c r="M1227" s="174"/>
      <c r="N1227" s="174"/>
      <c r="O1227" s="174"/>
      <c r="P1227" s="174"/>
      <c r="Q1227" s="174"/>
      <c r="R1227" s="174"/>
    </row>
    <row r="1228">
      <c r="A1228" s="255"/>
      <c r="B1228" s="174"/>
      <c r="C1228" s="174"/>
      <c r="D1228" s="174"/>
      <c r="E1228" s="174"/>
      <c r="F1228" s="174"/>
      <c r="G1228" s="174"/>
      <c r="H1228" s="174"/>
      <c r="I1228" s="174"/>
      <c r="J1228" s="174"/>
      <c r="K1228" s="174"/>
      <c r="L1228" s="174"/>
      <c r="M1228" s="174"/>
      <c r="N1228" s="174"/>
      <c r="O1228" s="174"/>
      <c r="P1228" s="174"/>
      <c r="Q1228" s="174"/>
      <c r="R1228" s="174"/>
    </row>
    <row r="1229">
      <c r="A1229" s="255"/>
      <c r="B1229" s="174"/>
      <c r="C1229" s="174"/>
      <c r="D1229" s="174"/>
      <c r="E1229" s="174"/>
      <c r="F1229" s="174"/>
      <c r="G1229" s="174"/>
      <c r="H1229" s="174"/>
      <c r="I1229" s="174"/>
      <c r="J1229" s="174"/>
      <c r="K1229" s="174"/>
      <c r="L1229" s="174"/>
      <c r="M1229" s="174"/>
      <c r="N1229" s="174"/>
      <c r="O1229" s="174"/>
      <c r="P1229" s="174"/>
      <c r="Q1229" s="174"/>
      <c r="R1229" s="174"/>
    </row>
    <row r="1230">
      <c r="A1230" s="255"/>
      <c r="B1230" s="174"/>
      <c r="C1230" s="174"/>
      <c r="D1230" s="174"/>
      <c r="E1230" s="174"/>
      <c r="F1230" s="174"/>
      <c r="G1230" s="174"/>
      <c r="H1230" s="174"/>
      <c r="I1230" s="174"/>
      <c r="J1230" s="174"/>
      <c r="K1230" s="174"/>
      <c r="L1230" s="174"/>
      <c r="M1230" s="174"/>
      <c r="N1230" s="174"/>
      <c r="O1230" s="174"/>
      <c r="P1230" s="174"/>
      <c r="Q1230" s="174"/>
      <c r="R1230" s="174"/>
    </row>
    <row r="1231">
      <c r="A1231" s="255"/>
      <c r="B1231" s="174"/>
      <c r="C1231" s="174"/>
      <c r="D1231" s="174"/>
      <c r="E1231" s="174"/>
      <c r="F1231" s="174"/>
      <c r="G1231" s="174"/>
      <c r="H1231" s="174"/>
      <c r="I1231" s="174"/>
      <c r="J1231" s="174"/>
      <c r="K1231" s="174"/>
      <c r="L1231" s="174"/>
      <c r="M1231" s="174"/>
      <c r="N1231" s="174"/>
      <c r="O1231" s="174"/>
      <c r="P1231" s="174"/>
      <c r="Q1231" s="174"/>
      <c r="R1231" s="174"/>
    </row>
    <row r="1232">
      <c r="A1232" s="255"/>
      <c r="B1232" s="174"/>
      <c r="C1232" s="174"/>
      <c r="D1232" s="174"/>
      <c r="E1232" s="174"/>
      <c r="F1232" s="174"/>
      <c r="G1232" s="174"/>
      <c r="H1232" s="174"/>
      <c r="I1232" s="174"/>
      <c r="J1232" s="174"/>
      <c r="K1232" s="174"/>
      <c r="L1232" s="174"/>
      <c r="M1232" s="174"/>
      <c r="N1232" s="174"/>
      <c r="O1232" s="174"/>
      <c r="P1232" s="174"/>
      <c r="Q1232" s="174"/>
      <c r="R1232" s="174"/>
    </row>
    <row r="1233">
      <c r="A1233" s="255"/>
      <c r="B1233" s="174"/>
      <c r="C1233" s="174"/>
      <c r="D1233" s="174"/>
      <c r="E1233" s="174"/>
      <c r="F1233" s="174"/>
      <c r="G1233" s="174"/>
      <c r="H1233" s="174"/>
      <c r="I1233" s="174"/>
      <c r="J1233" s="174"/>
      <c r="K1233" s="174"/>
      <c r="L1233" s="174"/>
      <c r="M1233" s="174"/>
      <c r="N1233" s="174"/>
      <c r="O1233" s="174"/>
      <c r="P1233" s="174"/>
      <c r="Q1233" s="174"/>
      <c r="R1233" s="174"/>
    </row>
    <row r="1234">
      <c r="A1234" s="255"/>
      <c r="B1234" s="174"/>
      <c r="C1234" s="174"/>
      <c r="D1234" s="174"/>
      <c r="E1234" s="174"/>
      <c r="F1234" s="174"/>
      <c r="G1234" s="174"/>
      <c r="H1234" s="174"/>
      <c r="I1234" s="174"/>
      <c r="J1234" s="174"/>
      <c r="K1234" s="174"/>
      <c r="L1234" s="174"/>
      <c r="M1234" s="174"/>
      <c r="N1234" s="174"/>
      <c r="O1234" s="174"/>
      <c r="P1234" s="174"/>
      <c r="Q1234" s="174"/>
      <c r="R1234" s="174"/>
    </row>
    <row r="1235">
      <c r="A1235" s="255"/>
      <c r="B1235" s="174"/>
      <c r="C1235" s="174"/>
      <c r="D1235" s="174"/>
      <c r="E1235" s="174"/>
      <c r="F1235" s="174"/>
      <c r="G1235" s="174"/>
      <c r="H1235" s="174"/>
      <c r="I1235" s="174"/>
      <c r="J1235" s="174"/>
      <c r="K1235" s="174"/>
      <c r="L1235" s="174"/>
      <c r="M1235" s="174"/>
      <c r="N1235" s="174"/>
      <c r="O1235" s="174"/>
      <c r="P1235" s="174"/>
      <c r="Q1235" s="174"/>
      <c r="R1235" s="174"/>
    </row>
    <row r="1236">
      <c r="A1236" s="255"/>
      <c r="B1236" s="174"/>
      <c r="C1236" s="174"/>
      <c r="D1236" s="174"/>
      <c r="E1236" s="174"/>
      <c r="F1236" s="174"/>
      <c r="G1236" s="174"/>
      <c r="H1236" s="174"/>
      <c r="I1236" s="174"/>
      <c r="J1236" s="174"/>
      <c r="K1236" s="174"/>
      <c r="L1236" s="174"/>
      <c r="M1236" s="174"/>
      <c r="N1236" s="174"/>
      <c r="O1236" s="174"/>
      <c r="P1236" s="174"/>
      <c r="Q1236" s="174"/>
      <c r="R1236" s="174"/>
    </row>
    <row r="1237">
      <c r="A1237" s="255"/>
      <c r="B1237" s="174"/>
      <c r="C1237" s="174"/>
      <c r="D1237" s="174"/>
      <c r="E1237" s="174"/>
      <c r="F1237" s="174"/>
      <c r="G1237" s="174"/>
      <c r="H1237" s="174"/>
      <c r="I1237" s="174"/>
      <c r="J1237" s="174"/>
      <c r="K1237" s="174"/>
      <c r="L1237" s="174"/>
      <c r="M1237" s="174"/>
      <c r="N1237" s="174"/>
      <c r="O1237" s="174"/>
      <c r="P1237" s="174"/>
      <c r="Q1237" s="174"/>
      <c r="R1237" s="174"/>
    </row>
    <row r="1238">
      <c r="A1238" s="255"/>
      <c r="B1238" s="174"/>
      <c r="C1238" s="174"/>
      <c r="D1238" s="174"/>
      <c r="E1238" s="174"/>
      <c r="F1238" s="174"/>
      <c r="G1238" s="174"/>
      <c r="H1238" s="174"/>
      <c r="I1238" s="174"/>
      <c r="J1238" s="174"/>
      <c r="K1238" s="174"/>
      <c r="L1238" s="174"/>
      <c r="M1238" s="174"/>
      <c r="N1238" s="174"/>
      <c r="O1238" s="174"/>
      <c r="P1238" s="174"/>
      <c r="Q1238" s="174"/>
      <c r="R1238" s="174"/>
    </row>
    <row r="1239">
      <c r="A1239" s="255"/>
      <c r="B1239" s="174"/>
      <c r="C1239" s="174"/>
      <c r="D1239" s="174"/>
      <c r="E1239" s="174"/>
      <c r="F1239" s="174"/>
      <c r="G1239" s="174"/>
      <c r="H1239" s="174"/>
      <c r="I1239" s="174"/>
      <c r="J1239" s="174"/>
      <c r="K1239" s="174"/>
      <c r="L1239" s="174"/>
      <c r="M1239" s="174"/>
      <c r="N1239" s="174"/>
      <c r="O1239" s="174"/>
      <c r="P1239" s="174"/>
      <c r="Q1239" s="174"/>
      <c r="R1239" s="174"/>
    </row>
    <row r="1240">
      <c r="A1240" s="255"/>
      <c r="B1240" s="174"/>
      <c r="C1240" s="174"/>
      <c r="D1240" s="174"/>
      <c r="E1240" s="174"/>
      <c r="F1240" s="174"/>
      <c r="G1240" s="174"/>
      <c r="H1240" s="174"/>
      <c r="I1240" s="174"/>
      <c r="J1240" s="174"/>
      <c r="K1240" s="174"/>
      <c r="L1240" s="174"/>
      <c r="M1240" s="174"/>
      <c r="N1240" s="174"/>
      <c r="O1240" s="174"/>
      <c r="P1240" s="174"/>
      <c r="Q1240" s="174"/>
      <c r="R1240" s="174"/>
    </row>
    <row r="1241">
      <c r="A1241" s="255"/>
      <c r="B1241" s="174"/>
      <c r="C1241" s="174"/>
      <c r="D1241" s="174"/>
      <c r="E1241" s="174"/>
      <c r="F1241" s="174"/>
      <c r="G1241" s="174"/>
      <c r="H1241" s="174"/>
      <c r="I1241" s="174"/>
      <c r="J1241" s="174"/>
      <c r="K1241" s="174"/>
      <c r="L1241" s="174"/>
      <c r="M1241" s="174"/>
      <c r="N1241" s="174"/>
      <c r="O1241" s="174"/>
      <c r="P1241" s="174"/>
      <c r="Q1241" s="174"/>
      <c r="R1241" s="174"/>
    </row>
    <row r="1242">
      <c r="A1242" s="255"/>
      <c r="B1242" s="174"/>
      <c r="C1242" s="174"/>
      <c r="D1242" s="174"/>
      <c r="E1242" s="174"/>
      <c r="F1242" s="174"/>
      <c r="G1242" s="174"/>
      <c r="H1242" s="174"/>
      <c r="I1242" s="174"/>
      <c r="J1242" s="174"/>
      <c r="K1242" s="174"/>
      <c r="L1242" s="174"/>
      <c r="M1242" s="174"/>
      <c r="N1242" s="174"/>
      <c r="O1242" s="174"/>
      <c r="P1242" s="174"/>
      <c r="Q1242" s="174"/>
      <c r="R1242" s="174"/>
    </row>
    <row r="1243">
      <c r="A1243" s="255"/>
      <c r="B1243" s="174"/>
      <c r="C1243" s="174"/>
      <c r="D1243" s="174"/>
      <c r="E1243" s="174"/>
      <c r="F1243" s="174"/>
      <c r="G1243" s="174"/>
      <c r="H1243" s="174"/>
      <c r="I1243" s="174"/>
      <c r="J1243" s="174"/>
      <c r="K1243" s="174"/>
      <c r="L1243" s="174"/>
      <c r="M1243" s="174"/>
      <c r="N1243" s="174"/>
      <c r="O1243" s="174"/>
      <c r="P1243" s="174"/>
      <c r="Q1243" s="174"/>
      <c r="R1243" s="174"/>
    </row>
    <row r="1244">
      <c r="A1244" s="255"/>
      <c r="B1244" s="174"/>
      <c r="C1244" s="174"/>
      <c r="D1244" s="174"/>
      <c r="E1244" s="174"/>
      <c r="F1244" s="174"/>
      <c r="G1244" s="174"/>
      <c r="H1244" s="174"/>
      <c r="I1244" s="174"/>
      <c r="J1244" s="174"/>
      <c r="K1244" s="174"/>
      <c r="L1244" s="174"/>
      <c r="M1244" s="174"/>
      <c r="N1244" s="174"/>
      <c r="O1244" s="174"/>
      <c r="P1244" s="174"/>
      <c r="Q1244" s="174"/>
      <c r="R1244" s="174"/>
    </row>
    <row r="1245">
      <c r="A1245" s="255"/>
      <c r="B1245" s="174"/>
      <c r="C1245" s="174"/>
      <c r="D1245" s="174"/>
      <c r="E1245" s="174"/>
      <c r="F1245" s="174"/>
      <c r="G1245" s="174"/>
      <c r="H1245" s="174"/>
      <c r="I1245" s="174"/>
      <c r="J1245" s="174"/>
      <c r="K1245" s="174"/>
      <c r="L1245" s="174"/>
      <c r="M1245" s="174"/>
      <c r="N1245" s="174"/>
      <c r="O1245" s="174"/>
      <c r="P1245" s="174"/>
      <c r="Q1245" s="174"/>
      <c r="R1245" s="174"/>
    </row>
    <row r="1246">
      <c r="A1246" s="255"/>
      <c r="B1246" s="174"/>
      <c r="C1246" s="174"/>
      <c r="D1246" s="174"/>
      <c r="E1246" s="174"/>
      <c r="F1246" s="174"/>
      <c r="G1246" s="174"/>
      <c r="H1246" s="174"/>
      <c r="I1246" s="174"/>
      <c r="J1246" s="174"/>
      <c r="K1246" s="174"/>
      <c r="L1246" s="174"/>
      <c r="M1246" s="174"/>
      <c r="N1246" s="174"/>
      <c r="O1246" s="174"/>
      <c r="P1246" s="174"/>
      <c r="Q1246" s="174"/>
      <c r="R1246" s="174"/>
    </row>
    <row r="1247">
      <c r="A1247" s="255"/>
      <c r="B1247" s="174"/>
      <c r="C1247" s="174"/>
      <c r="D1247" s="174"/>
      <c r="E1247" s="174"/>
      <c r="F1247" s="174"/>
      <c r="G1247" s="174"/>
      <c r="H1247" s="174"/>
      <c r="I1247" s="174"/>
      <c r="J1247" s="174"/>
      <c r="K1247" s="174"/>
      <c r="L1247" s="174"/>
      <c r="M1247" s="174"/>
      <c r="N1247" s="174"/>
      <c r="O1247" s="174"/>
      <c r="P1247" s="174"/>
      <c r="Q1247" s="174"/>
      <c r="R1247" s="174"/>
    </row>
    <row r="1248">
      <c r="A1248" s="255"/>
      <c r="B1248" s="174"/>
      <c r="C1248" s="174"/>
      <c r="D1248" s="174"/>
      <c r="E1248" s="174"/>
      <c r="F1248" s="174"/>
      <c r="G1248" s="174"/>
      <c r="H1248" s="174"/>
      <c r="I1248" s="174"/>
      <c r="J1248" s="174"/>
      <c r="K1248" s="174"/>
      <c r="L1248" s="174"/>
      <c r="M1248" s="174"/>
      <c r="N1248" s="174"/>
      <c r="O1248" s="174"/>
      <c r="P1248" s="174"/>
      <c r="Q1248" s="174"/>
      <c r="R1248" s="174"/>
    </row>
    <row r="1249">
      <c r="A1249" s="255"/>
      <c r="B1249" s="174"/>
      <c r="C1249" s="174"/>
      <c r="D1249" s="174"/>
      <c r="E1249" s="174"/>
      <c r="F1249" s="174"/>
      <c r="G1249" s="174"/>
      <c r="H1249" s="174"/>
      <c r="I1249" s="174"/>
      <c r="J1249" s="174"/>
      <c r="K1249" s="174"/>
      <c r="L1249" s="174"/>
      <c r="M1249" s="174"/>
      <c r="N1249" s="174"/>
      <c r="O1249" s="174"/>
      <c r="P1249" s="174"/>
      <c r="Q1249" s="174"/>
      <c r="R1249" s="174"/>
    </row>
    <row r="1250">
      <c r="A1250" s="255"/>
      <c r="B1250" s="174"/>
      <c r="C1250" s="174"/>
      <c r="D1250" s="174"/>
      <c r="E1250" s="174"/>
      <c r="F1250" s="174"/>
      <c r="G1250" s="174"/>
      <c r="H1250" s="174"/>
      <c r="I1250" s="174"/>
      <c r="J1250" s="174"/>
      <c r="K1250" s="174"/>
      <c r="L1250" s="174"/>
      <c r="M1250" s="174"/>
      <c r="N1250" s="174"/>
      <c r="O1250" s="174"/>
      <c r="P1250" s="174"/>
      <c r="Q1250" s="174"/>
      <c r="R1250" s="174"/>
    </row>
    <row r="1251">
      <c r="A1251" s="255"/>
      <c r="B1251" s="174"/>
      <c r="C1251" s="174"/>
      <c r="D1251" s="174"/>
      <c r="E1251" s="174"/>
      <c r="F1251" s="174"/>
      <c r="G1251" s="174"/>
      <c r="H1251" s="174"/>
      <c r="I1251" s="174"/>
      <c r="J1251" s="174"/>
      <c r="K1251" s="174"/>
      <c r="L1251" s="174"/>
      <c r="M1251" s="174"/>
      <c r="N1251" s="174"/>
      <c r="O1251" s="174"/>
      <c r="P1251" s="174"/>
      <c r="Q1251" s="174"/>
      <c r="R1251" s="174"/>
    </row>
    <row r="1252">
      <c r="A1252" s="255"/>
      <c r="B1252" s="174"/>
      <c r="C1252" s="174"/>
      <c r="D1252" s="174"/>
      <c r="E1252" s="174"/>
      <c r="F1252" s="174"/>
      <c r="G1252" s="174"/>
      <c r="H1252" s="174"/>
      <c r="I1252" s="174"/>
      <c r="J1252" s="174"/>
      <c r="K1252" s="174"/>
      <c r="L1252" s="174"/>
      <c r="M1252" s="174"/>
      <c r="N1252" s="174"/>
      <c r="O1252" s="174"/>
      <c r="P1252" s="174"/>
      <c r="Q1252" s="174"/>
      <c r="R1252" s="174"/>
    </row>
    <row r="1253">
      <c r="A1253" s="255"/>
      <c r="B1253" s="174"/>
      <c r="C1253" s="174"/>
      <c r="D1253" s="174"/>
      <c r="E1253" s="174"/>
      <c r="F1253" s="174"/>
      <c r="G1253" s="174"/>
      <c r="H1253" s="174"/>
      <c r="I1253" s="174"/>
      <c r="J1253" s="174"/>
      <c r="K1253" s="174"/>
      <c r="L1253" s="174"/>
      <c r="M1253" s="174"/>
      <c r="N1253" s="174"/>
      <c r="O1253" s="174"/>
      <c r="P1253" s="174"/>
      <c r="Q1253" s="174"/>
      <c r="R1253" s="174"/>
    </row>
    <row r="1254">
      <c r="A1254" s="255"/>
      <c r="B1254" s="174"/>
      <c r="C1254" s="174"/>
      <c r="D1254" s="174"/>
      <c r="E1254" s="174"/>
      <c r="F1254" s="174"/>
      <c r="G1254" s="174"/>
      <c r="H1254" s="174"/>
      <c r="I1254" s="174"/>
      <c r="J1254" s="174"/>
      <c r="K1254" s="174"/>
      <c r="L1254" s="174"/>
      <c r="M1254" s="174"/>
      <c r="N1254" s="174"/>
      <c r="O1254" s="174"/>
      <c r="P1254" s="174"/>
      <c r="Q1254" s="174"/>
      <c r="R1254" s="174"/>
    </row>
    <row r="1255">
      <c r="A1255" s="255"/>
      <c r="B1255" s="174"/>
      <c r="C1255" s="174"/>
      <c r="D1255" s="174"/>
      <c r="E1255" s="174"/>
      <c r="F1255" s="174"/>
      <c r="G1255" s="174"/>
      <c r="H1255" s="174"/>
      <c r="I1255" s="174"/>
      <c r="J1255" s="174"/>
      <c r="K1255" s="174"/>
      <c r="L1255" s="174"/>
      <c r="M1255" s="174"/>
      <c r="N1255" s="174"/>
      <c r="O1255" s="174"/>
      <c r="P1255" s="174"/>
      <c r="Q1255" s="174"/>
      <c r="R1255" s="174"/>
    </row>
    <row r="1256">
      <c r="A1256" s="255"/>
      <c r="B1256" s="174"/>
      <c r="C1256" s="174"/>
      <c r="D1256" s="174"/>
      <c r="E1256" s="174"/>
      <c r="F1256" s="174"/>
      <c r="G1256" s="174"/>
      <c r="H1256" s="174"/>
      <c r="I1256" s="174"/>
      <c r="J1256" s="174"/>
      <c r="K1256" s="174"/>
      <c r="L1256" s="174"/>
      <c r="M1256" s="174"/>
      <c r="N1256" s="174"/>
      <c r="O1256" s="174"/>
      <c r="P1256" s="174"/>
      <c r="Q1256" s="174"/>
      <c r="R1256" s="174"/>
    </row>
    <row r="1257">
      <c r="A1257" s="255"/>
      <c r="B1257" s="174"/>
      <c r="C1257" s="174"/>
      <c r="D1257" s="174"/>
      <c r="E1257" s="174"/>
      <c r="F1257" s="174"/>
      <c r="G1257" s="174"/>
      <c r="H1257" s="174"/>
      <c r="I1257" s="174"/>
      <c r="J1257" s="174"/>
      <c r="K1257" s="174"/>
      <c r="L1257" s="174"/>
      <c r="M1257" s="174"/>
      <c r="N1257" s="174"/>
      <c r="O1257" s="174"/>
      <c r="P1257" s="174"/>
      <c r="Q1257" s="174"/>
      <c r="R1257" s="174"/>
    </row>
    <row r="1258">
      <c r="A1258" s="255"/>
      <c r="B1258" s="174"/>
      <c r="C1258" s="174"/>
      <c r="D1258" s="174"/>
      <c r="E1258" s="174"/>
      <c r="F1258" s="174"/>
      <c r="G1258" s="174"/>
      <c r="H1258" s="174"/>
      <c r="I1258" s="174"/>
      <c r="J1258" s="174"/>
      <c r="K1258" s="174"/>
      <c r="L1258" s="174"/>
      <c r="M1258" s="174"/>
      <c r="N1258" s="174"/>
      <c r="O1258" s="174"/>
      <c r="P1258" s="174"/>
      <c r="Q1258" s="174"/>
      <c r="R1258" s="174"/>
    </row>
    <row r="1259">
      <c r="A1259" s="255"/>
      <c r="B1259" s="174"/>
      <c r="C1259" s="174"/>
      <c r="D1259" s="174"/>
      <c r="E1259" s="174"/>
      <c r="F1259" s="174"/>
      <c r="G1259" s="174"/>
      <c r="H1259" s="174"/>
      <c r="I1259" s="174"/>
      <c r="J1259" s="174"/>
      <c r="K1259" s="174"/>
      <c r="L1259" s="174"/>
      <c r="M1259" s="174"/>
      <c r="N1259" s="174"/>
      <c r="O1259" s="174"/>
      <c r="P1259" s="174"/>
      <c r="Q1259" s="174"/>
      <c r="R1259" s="174"/>
    </row>
    <row r="1260">
      <c r="A1260" s="255"/>
      <c r="B1260" s="174"/>
      <c r="C1260" s="174"/>
      <c r="D1260" s="174"/>
      <c r="E1260" s="174"/>
      <c r="F1260" s="174"/>
      <c r="G1260" s="174"/>
      <c r="H1260" s="174"/>
      <c r="I1260" s="174"/>
      <c r="J1260" s="174"/>
      <c r="K1260" s="174"/>
      <c r="L1260" s="174"/>
      <c r="M1260" s="174"/>
      <c r="N1260" s="174"/>
      <c r="O1260" s="174"/>
      <c r="P1260" s="174"/>
      <c r="Q1260" s="174"/>
      <c r="R1260" s="174"/>
    </row>
    <row r="1261">
      <c r="A1261" s="255"/>
      <c r="B1261" s="174"/>
      <c r="C1261" s="174"/>
      <c r="D1261" s="174"/>
      <c r="E1261" s="174"/>
      <c r="F1261" s="174"/>
      <c r="G1261" s="174"/>
      <c r="H1261" s="174"/>
      <c r="I1261" s="174"/>
      <c r="J1261" s="174"/>
      <c r="K1261" s="174"/>
      <c r="L1261" s="174"/>
      <c r="M1261" s="174"/>
      <c r="N1261" s="174"/>
      <c r="O1261" s="174"/>
      <c r="P1261" s="174"/>
      <c r="Q1261" s="174"/>
      <c r="R1261" s="174"/>
    </row>
    <row r="1262">
      <c r="A1262" s="255"/>
      <c r="B1262" s="174"/>
      <c r="C1262" s="174"/>
      <c r="D1262" s="174"/>
      <c r="E1262" s="174"/>
      <c r="F1262" s="174"/>
      <c r="G1262" s="174"/>
      <c r="H1262" s="174"/>
      <c r="I1262" s="174"/>
      <c r="J1262" s="174"/>
      <c r="K1262" s="174"/>
      <c r="L1262" s="174"/>
      <c r="M1262" s="174"/>
      <c r="N1262" s="174"/>
      <c r="O1262" s="174"/>
      <c r="P1262" s="174"/>
      <c r="Q1262" s="174"/>
      <c r="R1262" s="174"/>
    </row>
    <row r="1263">
      <c r="A1263" s="255"/>
      <c r="B1263" s="174"/>
      <c r="C1263" s="174"/>
      <c r="D1263" s="174"/>
      <c r="E1263" s="174"/>
      <c r="F1263" s="174"/>
      <c r="G1263" s="174"/>
      <c r="H1263" s="174"/>
      <c r="I1263" s="174"/>
      <c r="J1263" s="174"/>
      <c r="K1263" s="174"/>
      <c r="L1263" s="174"/>
      <c r="M1263" s="174"/>
      <c r="N1263" s="174"/>
      <c r="O1263" s="174"/>
      <c r="P1263" s="174"/>
      <c r="Q1263" s="174"/>
      <c r="R1263" s="174"/>
    </row>
    <row r="1264">
      <c r="A1264" s="255"/>
      <c r="B1264" s="174"/>
      <c r="C1264" s="174"/>
      <c r="D1264" s="174"/>
      <c r="E1264" s="174"/>
      <c r="F1264" s="174"/>
      <c r="G1264" s="174"/>
      <c r="H1264" s="174"/>
      <c r="I1264" s="174"/>
      <c r="J1264" s="174"/>
      <c r="K1264" s="174"/>
      <c r="L1264" s="174"/>
      <c r="M1264" s="174"/>
      <c r="N1264" s="174"/>
      <c r="O1264" s="174"/>
      <c r="P1264" s="174"/>
      <c r="Q1264" s="174"/>
      <c r="R1264" s="174"/>
    </row>
    <row r="1265">
      <c r="A1265" s="255"/>
      <c r="B1265" s="174"/>
      <c r="C1265" s="174"/>
      <c r="D1265" s="174"/>
      <c r="E1265" s="174"/>
      <c r="F1265" s="174"/>
      <c r="G1265" s="174"/>
      <c r="H1265" s="174"/>
      <c r="I1265" s="174"/>
      <c r="J1265" s="174"/>
      <c r="K1265" s="174"/>
      <c r="L1265" s="174"/>
      <c r="M1265" s="174"/>
      <c r="N1265" s="174"/>
      <c r="O1265" s="174"/>
      <c r="P1265" s="174"/>
      <c r="Q1265" s="174"/>
      <c r="R1265" s="174"/>
    </row>
    <row r="1266">
      <c r="A1266" s="255"/>
      <c r="B1266" s="174"/>
      <c r="C1266" s="174"/>
      <c r="D1266" s="174"/>
      <c r="E1266" s="174"/>
      <c r="F1266" s="174"/>
      <c r="G1266" s="174"/>
      <c r="H1266" s="174"/>
      <c r="I1266" s="174"/>
      <c r="J1266" s="174"/>
      <c r="K1266" s="174"/>
      <c r="L1266" s="174"/>
      <c r="M1266" s="174"/>
      <c r="N1266" s="174"/>
      <c r="O1266" s="174"/>
      <c r="P1266" s="174"/>
      <c r="Q1266" s="174"/>
      <c r="R1266" s="174"/>
    </row>
    <row r="1267">
      <c r="A1267" s="255"/>
      <c r="B1267" s="174"/>
      <c r="C1267" s="174"/>
      <c r="D1267" s="174"/>
      <c r="E1267" s="174"/>
      <c r="F1267" s="174"/>
      <c r="G1267" s="174"/>
      <c r="H1267" s="174"/>
      <c r="I1267" s="174"/>
      <c r="J1267" s="174"/>
      <c r="K1267" s="174"/>
      <c r="L1267" s="174"/>
      <c r="M1267" s="174"/>
      <c r="N1267" s="174"/>
      <c r="O1267" s="174"/>
      <c r="P1267" s="174"/>
      <c r="Q1267" s="174"/>
      <c r="R1267" s="174"/>
    </row>
    <row r="1268">
      <c r="A1268" s="255"/>
      <c r="B1268" s="174"/>
      <c r="C1268" s="174"/>
      <c r="D1268" s="174"/>
      <c r="E1268" s="174"/>
      <c r="F1268" s="174"/>
      <c r="G1268" s="174"/>
      <c r="H1268" s="174"/>
      <c r="I1268" s="174"/>
      <c r="J1268" s="174"/>
      <c r="K1268" s="174"/>
      <c r="L1268" s="174"/>
      <c r="M1268" s="174"/>
      <c r="N1268" s="174"/>
      <c r="O1268" s="174"/>
      <c r="P1268" s="174"/>
      <c r="Q1268" s="174"/>
      <c r="R1268" s="174"/>
    </row>
    <row r="1269">
      <c r="A1269" s="255"/>
      <c r="B1269" s="174"/>
      <c r="C1269" s="174"/>
      <c r="D1269" s="174"/>
      <c r="E1269" s="174"/>
      <c r="F1269" s="174"/>
      <c r="G1269" s="174"/>
      <c r="H1269" s="174"/>
      <c r="I1269" s="174"/>
      <c r="J1269" s="174"/>
      <c r="K1269" s="174"/>
      <c r="L1269" s="174"/>
      <c r="M1269" s="174"/>
      <c r="N1269" s="174"/>
      <c r="O1269" s="174"/>
      <c r="P1269" s="174"/>
      <c r="Q1269" s="174"/>
      <c r="R1269" s="174"/>
    </row>
    <row r="1270">
      <c r="A1270" s="255"/>
      <c r="B1270" s="174"/>
      <c r="C1270" s="174"/>
      <c r="D1270" s="174"/>
      <c r="E1270" s="174"/>
      <c r="F1270" s="174"/>
      <c r="G1270" s="174"/>
      <c r="H1270" s="174"/>
      <c r="I1270" s="174"/>
      <c r="J1270" s="174"/>
      <c r="K1270" s="174"/>
      <c r="L1270" s="174"/>
      <c r="M1270" s="174"/>
      <c r="N1270" s="174"/>
      <c r="O1270" s="174"/>
      <c r="P1270" s="174"/>
      <c r="Q1270" s="174"/>
      <c r="R1270" s="174"/>
    </row>
    <row r="1271">
      <c r="A1271" s="255"/>
      <c r="B1271" s="174"/>
      <c r="C1271" s="174"/>
      <c r="D1271" s="174"/>
      <c r="E1271" s="174"/>
      <c r="F1271" s="174"/>
      <c r="G1271" s="174"/>
      <c r="H1271" s="174"/>
      <c r="I1271" s="174"/>
      <c r="J1271" s="174"/>
      <c r="K1271" s="174"/>
      <c r="L1271" s="174"/>
      <c r="M1271" s="174"/>
      <c r="N1271" s="174"/>
      <c r="O1271" s="174"/>
      <c r="P1271" s="174"/>
      <c r="Q1271" s="174"/>
      <c r="R1271" s="174"/>
    </row>
    <row r="1272">
      <c r="A1272" s="255"/>
      <c r="B1272" s="174"/>
      <c r="C1272" s="174"/>
      <c r="D1272" s="174"/>
      <c r="E1272" s="174"/>
      <c r="F1272" s="174"/>
      <c r="G1272" s="174"/>
      <c r="H1272" s="174"/>
      <c r="I1272" s="174"/>
      <c r="J1272" s="174"/>
      <c r="K1272" s="174"/>
      <c r="L1272" s="174"/>
      <c r="M1272" s="174"/>
      <c r="N1272" s="174"/>
      <c r="O1272" s="174"/>
      <c r="P1272" s="174"/>
      <c r="Q1272" s="174"/>
      <c r="R1272" s="174"/>
    </row>
    <row r="1273">
      <c r="A1273" s="255"/>
      <c r="B1273" s="174"/>
      <c r="C1273" s="174"/>
      <c r="D1273" s="174"/>
      <c r="E1273" s="174"/>
      <c r="F1273" s="174"/>
      <c r="G1273" s="174"/>
      <c r="H1273" s="174"/>
      <c r="I1273" s="174"/>
      <c r="J1273" s="174"/>
      <c r="K1273" s="174"/>
      <c r="L1273" s="174"/>
      <c r="M1273" s="174"/>
      <c r="N1273" s="174"/>
      <c r="O1273" s="174"/>
      <c r="P1273" s="174"/>
      <c r="Q1273" s="174"/>
      <c r="R1273" s="174"/>
    </row>
    <row r="1274">
      <c r="A1274" s="255"/>
      <c r="B1274" s="174"/>
      <c r="C1274" s="174"/>
      <c r="D1274" s="174"/>
      <c r="E1274" s="174"/>
      <c r="F1274" s="174"/>
      <c r="G1274" s="174"/>
      <c r="H1274" s="174"/>
      <c r="I1274" s="174"/>
      <c r="J1274" s="174"/>
      <c r="K1274" s="174"/>
      <c r="L1274" s="174"/>
      <c r="M1274" s="174"/>
      <c r="N1274" s="174"/>
      <c r="O1274" s="174"/>
      <c r="P1274" s="174"/>
      <c r="Q1274" s="174"/>
      <c r="R1274" s="174"/>
    </row>
    <row r="1275">
      <c r="A1275" s="255"/>
      <c r="B1275" s="174"/>
      <c r="C1275" s="174"/>
      <c r="D1275" s="174"/>
      <c r="E1275" s="174"/>
      <c r="F1275" s="174"/>
      <c r="G1275" s="174"/>
      <c r="H1275" s="174"/>
      <c r="I1275" s="174"/>
      <c r="J1275" s="174"/>
      <c r="K1275" s="174"/>
      <c r="L1275" s="174"/>
      <c r="M1275" s="174"/>
      <c r="N1275" s="174"/>
      <c r="O1275" s="174"/>
      <c r="P1275" s="174"/>
      <c r="Q1275" s="174"/>
      <c r="R1275" s="174"/>
    </row>
    <row r="1276">
      <c r="A1276" s="255"/>
      <c r="B1276" s="174"/>
      <c r="C1276" s="174"/>
      <c r="D1276" s="174"/>
      <c r="E1276" s="174"/>
      <c r="F1276" s="174"/>
      <c r="G1276" s="174"/>
      <c r="H1276" s="174"/>
      <c r="I1276" s="174"/>
      <c r="J1276" s="174"/>
      <c r="K1276" s="174"/>
      <c r="L1276" s="174"/>
      <c r="M1276" s="174"/>
      <c r="N1276" s="174"/>
      <c r="O1276" s="174"/>
      <c r="P1276" s="174"/>
      <c r="Q1276" s="174"/>
      <c r="R1276" s="174"/>
    </row>
    <row r="1277">
      <c r="A1277" s="255"/>
      <c r="B1277" s="174"/>
      <c r="C1277" s="174"/>
      <c r="D1277" s="174"/>
      <c r="E1277" s="174"/>
      <c r="F1277" s="174"/>
      <c r="G1277" s="174"/>
      <c r="H1277" s="174"/>
      <c r="I1277" s="174"/>
      <c r="J1277" s="174"/>
      <c r="K1277" s="174"/>
      <c r="L1277" s="174"/>
      <c r="M1277" s="174"/>
      <c r="N1277" s="174"/>
      <c r="O1277" s="174"/>
      <c r="P1277" s="174"/>
      <c r="Q1277" s="174"/>
      <c r="R1277" s="174"/>
    </row>
    <row r="1278">
      <c r="A1278" s="255"/>
      <c r="B1278" s="174"/>
      <c r="C1278" s="174"/>
      <c r="D1278" s="174"/>
      <c r="E1278" s="174"/>
      <c r="F1278" s="174"/>
      <c r="G1278" s="174"/>
      <c r="H1278" s="174"/>
      <c r="I1278" s="174"/>
      <c r="J1278" s="174"/>
      <c r="K1278" s="174"/>
      <c r="L1278" s="174"/>
      <c r="M1278" s="174"/>
      <c r="N1278" s="174"/>
      <c r="O1278" s="174"/>
      <c r="P1278" s="174"/>
      <c r="Q1278" s="174"/>
      <c r="R1278" s="174"/>
    </row>
    <row r="1279">
      <c r="A1279" s="255"/>
      <c r="B1279" s="174"/>
      <c r="C1279" s="174"/>
      <c r="D1279" s="174"/>
      <c r="E1279" s="174"/>
      <c r="F1279" s="174"/>
      <c r="G1279" s="174"/>
      <c r="H1279" s="174"/>
      <c r="I1279" s="174"/>
      <c r="J1279" s="174"/>
      <c r="K1279" s="174"/>
      <c r="L1279" s="174"/>
      <c r="M1279" s="174"/>
      <c r="N1279" s="174"/>
      <c r="O1279" s="174"/>
      <c r="P1279" s="174"/>
      <c r="Q1279" s="174"/>
      <c r="R1279" s="174"/>
    </row>
    <row r="1280">
      <c r="A1280" s="255"/>
      <c r="B1280" s="174"/>
      <c r="C1280" s="174"/>
      <c r="D1280" s="174"/>
      <c r="E1280" s="174"/>
      <c r="F1280" s="174"/>
      <c r="G1280" s="174"/>
      <c r="H1280" s="174"/>
      <c r="I1280" s="174"/>
      <c r="J1280" s="174"/>
      <c r="K1280" s="174"/>
      <c r="L1280" s="174"/>
      <c r="M1280" s="174"/>
      <c r="N1280" s="174"/>
      <c r="O1280" s="174"/>
      <c r="P1280" s="174"/>
      <c r="Q1280" s="174"/>
      <c r="R1280" s="174"/>
    </row>
    <row r="1281">
      <c r="A1281" s="255"/>
      <c r="B1281" s="174"/>
      <c r="C1281" s="174"/>
      <c r="D1281" s="174"/>
      <c r="E1281" s="174"/>
      <c r="F1281" s="174"/>
      <c r="G1281" s="174"/>
      <c r="H1281" s="174"/>
      <c r="I1281" s="174"/>
      <c r="J1281" s="174"/>
      <c r="K1281" s="174"/>
      <c r="L1281" s="174"/>
      <c r="M1281" s="174"/>
      <c r="N1281" s="174"/>
      <c r="O1281" s="174"/>
      <c r="P1281" s="174"/>
      <c r="Q1281" s="174"/>
      <c r="R1281" s="174"/>
    </row>
    <row r="1282">
      <c r="A1282" s="255"/>
      <c r="B1282" s="174"/>
      <c r="C1282" s="174"/>
      <c r="D1282" s="174"/>
      <c r="E1282" s="174"/>
      <c r="F1282" s="174"/>
      <c r="G1282" s="174"/>
      <c r="H1282" s="174"/>
      <c r="I1282" s="174"/>
      <c r="J1282" s="174"/>
      <c r="K1282" s="174"/>
      <c r="L1282" s="174"/>
      <c r="M1282" s="174"/>
      <c r="N1282" s="174"/>
      <c r="O1282" s="174"/>
      <c r="P1282" s="174"/>
      <c r="Q1282" s="174"/>
      <c r="R1282" s="174"/>
    </row>
    <row r="1283">
      <c r="A1283" s="255"/>
      <c r="B1283" s="174"/>
      <c r="C1283" s="174"/>
      <c r="D1283" s="174"/>
      <c r="E1283" s="174"/>
      <c r="F1283" s="174"/>
      <c r="G1283" s="174"/>
      <c r="H1283" s="174"/>
      <c r="I1283" s="174"/>
      <c r="J1283" s="174"/>
      <c r="K1283" s="174"/>
      <c r="L1283" s="174"/>
      <c r="M1283" s="174"/>
      <c r="N1283" s="174"/>
      <c r="O1283" s="174"/>
      <c r="P1283" s="174"/>
      <c r="Q1283" s="174"/>
      <c r="R1283" s="174"/>
    </row>
    <row r="1284">
      <c r="A1284" s="255"/>
      <c r="B1284" s="174"/>
      <c r="C1284" s="174"/>
      <c r="D1284" s="174"/>
      <c r="E1284" s="174"/>
      <c r="F1284" s="174"/>
      <c r="G1284" s="174"/>
      <c r="H1284" s="174"/>
      <c r="I1284" s="174"/>
      <c r="J1284" s="174"/>
      <c r="K1284" s="174"/>
      <c r="L1284" s="174"/>
      <c r="M1284" s="174"/>
      <c r="N1284" s="174"/>
      <c r="O1284" s="174"/>
      <c r="P1284" s="174"/>
      <c r="Q1284" s="174"/>
      <c r="R1284" s="174"/>
    </row>
    <row r="1285">
      <c r="A1285" s="255"/>
      <c r="B1285" s="174"/>
      <c r="C1285" s="174"/>
      <c r="D1285" s="174"/>
      <c r="E1285" s="174"/>
      <c r="F1285" s="174"/>
      <c r="G1285" s="174"/>
      <c r="H1285" s="174"/>
      <c r="I1285" s="174"/>
      <c r="J1285" s="174"/>
      <c r="K1285" s="174"/>
      <c r="L1285" s="174"/>
      <c r="M1285" s="174"/>
      <c r="N1285" s="174"/>
      <c r="O1285" s="174"/>
      <c r="P1285" s="174"/>
      <c r="Q1285" s="174"/>
      <c r="R1285" s="174"/>
    </row>
    <row r="1286">
      <c r="A1286" s="255"/>
      <c r="B1286" s="174"/>
      <c r="C1286" s="174"/>
      <c r="D1286" s="174"/>
      <c r="E1286" s="174"/>
      <c r="F1286" s="174"/>
      <c r="G1286" s="174"/>
      <c r="H1286" s="174"/>
      <c r="I1286" s="174"/>
      <c r="J1286" s="174"/>
      <c r="K1286" s="174"/>
      <c r="L1286" s="174"/>
      <c r="M1286" s="174"/>
      <c r="N1286" s="174"/>
      <c r="O1286" s="174"/>
      <c r="P1286" s="174"/>
      <c r="Q1286" s="174"/>
      <c r="R1286" s="174"/>
    </row>
    <row r="1287">
      <c r="A1287" s="255"/>
      <c r="B1287" s="174"/>
      <c r="C1287" s="174"/>
      <c r="D1287" s="174"/>
      <c r="E1287" s="174"/>
      <c r="F1287" s="174"/>
      <c r="G1287" s="174"/>
      <c r="H1287" s="174"/>
      <c r="I1287" s="174"/>
      <c r="J1287" s="174"/>
      <c r="K1287" s="174"/>
      <c r="L1287" s="174"/>
      <c r="M1287" s="174"/>
      <c r="N1287" s="174"/>
      <c r="O1287" s="174"/>
      <c r="P1287" s="174"/>
      <c r="Q1287" s="174"/>
      <c r="R1287" s="174"/>
    </row>
    <row r="1288">
      <c r="A1288" s="255"/>
      <c r="B1288" s="174"/>
      <c r="C1288" s="174"/>
      <c r="D1288" s="174"/>
      <c r="E1288" s="174"/>
      <c r="F1288" s="174"/>
      <c r="G1288" s="174"/>
      <c r="H1288" s="174"/>
      <c r="I1288" s="174"/>
      <c r="J1288" s="174"/>
      <c r="K1288" s="174"/>
      <c r="L1288" s="174"/>
      <c r="M1288" s="174"/>
      <c r="N1288" s="174"/>
      <c r="O1288" s="174"/>
      <c r="P1288" s="174"/>
      <c r="Q1288" s="174"/>
      <c r="R1288" s="174"/>
    </row>
    <row r="1289">
      <c r="A1289" s="255"/>
      <c r="B1289" s="174"/>
      <c r="C1289" s="174"/>
      <c r="D1289" s="174"/>
      <c r="E1289" s="174"/>
      <c r="F1289" s="174"/>
      <c r="G1289" s="174"/>
      <c r="H1289" s="174"/>
      <c r="I1289" s="174"/>
      <c r="J1289" s="174"/>
      <c r="K1289" s="174"/>
      <c r="L1289" s="174"/>
      <c r="M1289" s="174"/>
      <c r="N1289" s="174"/>
      <c r="O1289" s="174"/>
      <c r="P1289" s="174"/>
      <c r="Q1289" s="174"/>
      <c r="R1289" s="174"/>
    </row>
    <row r="1290">
      <c r="A1290" s="255"/>
      <c r="B1290" s="174"/>
      <c r="C1290" s="174"/>
      <c r="D1290" s="174"/>
      <c r="E1290" s="174"/>
      <c r="F1290" s="174"/>
      <c r="G1290" s="174"/>
      <c r="H1290" s="174"/>
      <c r="I1290" s="174"/>
      <c r="J1290" s="174"/>
      <c r="K1290" s="174"/>
      <c r="L1290" s="174"/>
      <c r="M1290" s="174"/>
      <c r="N1290" s="174"/>
      <c r="O1290" s="174"/>
      <c r="P1290" s="174"/>
      <c r="Q1290" s="174"/>
      <c r="R1290" s="174"/>
    </row>
    <row r="1291">
      <c r="A1291" s="255"/>
      <c r="B1291" s="174"/>
      <c r="C1291" s="174"/>
      <c r="D1291" s="174"/>
      <c r="E1291" s="174"/>
      <c r="F1291" s="174"/>
      <c r="G1291" s="174"/>
      <c r="H1291" s="174"/>
      <c r="I1291" s="174"/>
      <c r="J1291" s="174"/>
      <c r="K1291" s="174"/>
      <c r="L1291" s="174"/>
      <c r="M1291" s="174"/>
      <c r="N1291" s="174"/>
      <c r="O1291" s="174"/>
      <c r="P1291" s="174"/>
      <c r="Q1291" s="174"/>
      <c r="R1291" s="174"/>
    </row>
    <row r="1292">
      <c r="A1292" s="255"/>
      <c r="B1292" s="174"/>
      <c r="C1292" s="174"/>
      <c r="D1292" s="174"/>
      <c r="E1292" s="174"/>
      <c r="F1292" s="174"/>
      <c r="G1292" s="174"/>
      <c r="H1292" s="174"/>
      <c r="I1292" s="174"/>
      <c r="J1292" s="174"/>
      <c r="K1292" s="174"/>
      <c r="L1292" s="174"/>
      <c r="M1292" s="174"/>
      <c r="N1292" s="174"/>
      <c r="O1292" s="174"/>
      <c r="P1292" s="174"/>
      <c r="Q1292" s="174"/>
      <c r="R1292" s="174"/>
    </row>
    <row r="1293">
      <c r="A1293" s="255"/>
      <c r="B1293" s="174"/>
      <c r="C1293" s="174"/>
      <c r="D1293" s="174"/>
      <c r="E1293" s="174"/>
      <c r="F1293" s="174"/>
      <c r="G1293" s="174"/>
      <c r="H1293" s="174"/>
      <c r="I1293" s="174"/>
      <c r="J1293" s="174"/>
      <c r="K1293" s="174"/>
      <c r="L1293" s="174"/>
      <c r="M1293" s="174"/>
      <c r="N1293" s="174"/>
      <c r="O1293" s="174"/>
      <c r="P1293" s="174"/>
      <c r="Q1293" s="174"/>
      <c r="R1293" s="174"/>
    </row>
    <row r="1294">
      <c r="A1294" s="255"/>
      <c r="B1294" s="174"/>
      <c r="C1294" s="174"/>
      <c r="D1294" s="174"/>
      <c r="E1294" s="174"/>
      <c r="F1294" s="174"/>
      <c r="G1294" s="174"/>
      <c r="H1294" s="174"/>
      <c r="I1294" s="174"/>
      <c r="J1294" s="174"/>
      <c r="K1294" s="174"/>
      <c r="L1294" s="174"/>
      <c r="M1294" s="174"/>
      <c r="N1294" s="174"/>
      <c r="O1294" s="174"/>
      <c r="P1294" s="174"/>
      <c r="Q1294" s="174"/>
      <c r="R1294" s="174"/>
    </row>
    <row r="1295">
      <c r="A1295" s="255"/>
      <c r="B1295" s="174"/>
      <c r="C1295" s="174"/>
      <c r="D1295" s="174"/>
      <c r="E1295" s="174"/>
      <c r="F1295" s="174"/>
      <c r="G1295" s="174"/>
      <c r="H1295" s="174"/>
      <c r="I1295" s="174"/>
      <c r="J1295" s="174"/>
      <c r="K1295" s="174"/>
      <c r="L1295" s="174"/>
      <c r="M1295" s="174"/>
      <c r="N1295" s="174"/>
      <c r="O1295" s="174"/>
      <c r="P1295" s="174"/>
      <c r="Q1295" s="174"/>
      <c r="R1295" s="174"/>
    </row>
    <row r="1296">
      <c r="A1296" s="255"/>
      <c r="B1296" s="174"/>
      <c r="C1296" s="174"/>
      <c r="D1296" s="174"/>
      <c r="E1296" s="174"/>
      <c r="F1296" s="174"/>
      <c r="G1296" s="174"/>
      <c r="H1296" s="174"/>
      <c r="I1296" s="174"/>
      <c r="J1296" s="174"/>
      <c r="K1296" s="174"/>
      <c r="L1296" s="174"/>
      <c r="M1296" s="174"/>
      <c r="N1296" s="174"/>
      <c r="O1296" s="174"/>
      <c r="P1296" s="174"/>
      <c r="Q1296" s="174"/>
      <c r="R1296" s="174"/>
    </row>
    <row r="1297">
      <c r="A1297" s="255"/>
      <c r="B1297" s="174"/>
      <c r="C1297" s="174"/>
      <c r="D1297" s="174"/>
      <c r="E1297" s="174"/>
      <c r="F1297" s="174"/>
      <c r="G1297" s="174"/>
      <c r="H1297" s="174"/>
      <c r="I1297" s="174"/>
      <c r="J1297" s="174"/>
      <c r="K1297" s="174"/>
      <c r="L1297" s="174"/>
      <c r="M1297" s="174"/>
      <c r="N1297" s="174"/>
      <c r="O1297" s="174"/>
      <c r="P1297" s="174"/>
      <c r="Q1297" s="174"/>
      <c r="R1297" s="174"/>
    </row>
    <row r="1298">
      <c r="A1298" s="255"/>
      <c r="B1298" s="174"/>
      <c r="C1298" s="174"/>
      <c r="D1298" s="174"/>
      <c r="E1298" s="174"/>
      <c r="F1298" s="174"/>
      <c r="G1298" s="174"/>
      <c r="H1298" s="174"/>
      <c r="I1298" s="174"/>
      <c r="J1298" s="174"/>
      <c r="K1298" s="174"/>
      <c r="L1298" s="174"/>
      <c r="M1298" s="174"/>
      <c r="N1298" s="174"/>
      <c r="O1298" s="174"/>
      <c r="P1298" s="174"/>
      <c r="Q1298" s="174"/>
      <c r="R1298" s="174"/>
    </row>
    <row r="1299">
      <c r="A1299" s="255"/>
      <c r="B1299" s="174"/>
      <c r="C1299" s="174"/>
      <c r="D1299" s="174"/>
      <c r="E1299" s="174"/>
      <c r="F1299" s="174"/>
      <c r="G1299" s="174"/>
      <c r="H1299" s="174"/>
      <c r="I1299" s="174"/>
      <c r="J1299" s="174"/>
      <c r="K1299" s="174"/>
      <c r="L1299" s="174"/>
      <c r="M1299" s="174"/>
      <c r="N1299" s="174"/>
      <c r="O1299" s="174"/>
      <c r="P1299" s="174"/>
      <c r="Q1299" s="174"/>
      <c r="R1299" s="174"/>
    </row>
    <row r="1300">
      <c r="A1300" s="255"/>
      <c r="B1300" s="174"/>
      <c r="C1300" s="174"/>
      <c r="D1300" s="174"/>
      <c r="E1300" s="174"/>
      <c r="F1300" s="174"/>
      <c r="G1300" s="174"/>
      <c r="H1300" s="174"/>
      <c r="I1300" s="174"/>
      <c r="J1300" s="174"/>
      <c r="K1300" s="174"/>
      <c r="L1300" s="174"/>
      <c r="M1300" s="174"/>
      <c r="N1300" s="174"/>
      <c r="O1300" s="174"/>
      <c r="P1300" s="174"/>
      <c r="Q1300" s="174"/>
      <c r="R1300" s="174"/>
    </row>
    <row r="1301">
      <c r="A1301" s="255"/>
      <c r="B1301" s="174"/>
      <c r="C1301" s="174"/>
      <c r="D1301" s="174"/>
      <c r="E1301" s="174"/>
      <c r="F1301" s="174"/>
      <c r="G1301" s="174"/>
      <c r="H1301" s="174"/>
      <c r="I1301" s="174"/>
      <c r="J1301" s="174"/>
      <c r="K1301" s="174"/>
      <c r="L1301" s="174"/>
      <c r="M1301" s="174"/>
      <c r="N1301" s="174"/>
      <c r="O1301" s="174"/>
      <c r="P1301" s="174"/>
      <c r="Q1301" s="174"/>
      <c r="R1301" s="174"/>
    </row>
    <row r="1302">
      <c r="A1302" s="255"/>
      <c r="B1302" s="174"/>
      <c r="C1302" s="174"/>
      <c r="D1302" s="174"/>
      <c r="E1302" s="174"/>
      <c r="F1302" s="174"/>
      <c r="G1302" s="174"/>
      <c r="H1302" s="174"/>
      <c r="I1302" s="174"/>
      <c r="J1302" s="174"/>
      <c r="K1302" s="174"/>
      <c r="L1302" s="174"/>
      <c r="M1302" s="174"/>
      <c r="N1302" s="174"/>
      <c r="O1302" s="174"/>
      <c r="P1302" s="174"/>
      <c r="Q1302" s="174"/>
      <c r="R1302" s="174"/>
    </row>
    <row r="1303">
      <c r="A1303" s="255"/>
      <c r="B1303" s="174"/>
      <c r="C1303" s="174"/>
      <c r="D1303" s="174"/>
      <c r="E1303" s="174"/>
      <c r="F1303" s="174"/>
      <c r="G1303" s="174"/>
      <c r="H1303" s="174"/>
      <c r="I1303" s="174"/>
      <c r="J1303" s="174"/>
      <c r="K1303" s="174"/>
      <c r="L1303" s="174"/>
      <c r="M1303" s="174"/>
      <c r="N1303" s="174"/>
      <c r="O1303" s="174"/>
      <c r="P1303" s="174"/>
      <c r="Q1303" s="174"/>
      <c r="R1303" s="174"/>
    </row>
    <row r="1304">
      <c r="A1304" s="255"/>
      <c r="B1304" s="174"/>
      <c r="C1304" s="174"/>
      <c r="D1304" s="174"/>
      <c r="E1304" s="174"/>
      <c r="F1304" s="174"/>
      <c r="G1304" s="174"/>
      <c r="H1304" s="174"/>
      <c r="I1304" s="174"/>
      <c r="J1304" s="174"/>
      <c r="K1304" s="174"/>
      <c r="L1304" s="174"/>
      <c r="M1304" s="174"/>
      <c r="N1304" s="174"/>
      <c r="O1304" s="174"/>
      <c r="P1304" s="174"/>
      <c r="Q1304" s="174"/>
      <c r="R1304" s="174"/>
    </row>
    <row r="1305">
      <c r="A1305" s="255"/>
      <c r="B1305" s="174"/>
      <c r="C1305" s="174"/>
      <c r="D1305" s="174"/>
      <c r="E1305" s="174"/>
      <c r="F1305" s="174"/>
      <c r="G1305" s="174"/>
      <c r="H1305" s="174"/>
      <c r="I1305" s="174"/>
      <c r="J1305" s="174"/>
      <c r="K1305" s="174"/>
      <c r="L1305" s="174"/>
      <c r="M1305" s="174"/>
      <c r="N1305" s="174"/>
      <c r="O1305" s="174"/>
      <c r="P1305" s="174"/>
      <c r="Q1305" s="174"/>
      <c r="R1305" s="174"/>
    </row>
    <row r="1306">
      <c r="A1306" s="255"/>
      <c r="B1306" s="174"/>
      <c r="C1306" s="174"/>
      <c r="D1306" s="174"/>
      <c r="E1306" s="174"/>
      <c r="F1306" s="174"/>
      <c r="G1306" s="174"/>
      <c r="H1306" s="174"/>
      <c r="I1306" s="174"/>
      <c r="J1306" s="174"/>
      <c r="K1306" s="174"/>
      <c r="L1306" s="174"/>
      <c r="M1306" s="174"/>
      <c r="N1306" s="174"/>
      <c r="O1306" s="174"/>
      <c r="P1306" s="174"/>
      <c r="Q1306" s="174"/>
      <c r="R1306" s="174"/>
    </row>
    <row r="1307">
      <c r="A1307" s="255"/>
      <c r="B1307" s="174"/>
      <c r="C1307" s="174"/>
      <c r="D1307" s="174"/>
      <c r="E1307" s="174"/>
      <c r="F1307" s="174"/>
      <c r="G1307" s="174"/>
      <c r="H1307" s="174"/>
      <c r="I1307" s="174"/>
      <c r="J1307" s="174"/>
      <c r="K1307" s="174"/>
      <c r="L1307" s="174"/>
      <c r="M1307" s="174"/>
      <c r="N1307" s="174"/>
      <c r="O1307" s="174"/>
      <c r="P1307" s="174"/>
      <c r="Q1307" s="174"/>
      <c r="R1307" s="174"/>
    </row>
    <row r="1308">
      <c r="A1308" s="255"/>
      <c r="B1308" s="174"/>
      <c r="C1308" s="174"/>
      <c r="D1308" s="174"/>
      <c r="E1308" s="174"/>
      <c r="F1308" s="174"/>
      <c r="G1308" s="174"/>
      <c r="H1308" s="174"/>
      <c r="I1308" s="174"/>
      <c r="J1308" s="174"/>
      <c r="K1308" s="174"/>
      <c r="L1308" s="174"/>
      <c r="M1308" s="174"/>
      <c r="N1308" s="174"/>
      <c r="O1308" s="174"/>
      <c r="P1308" s="174"/>
      <c r="Q1308" s="174"/>
      <c r="R1308" s="174"/>
    </row>
    <row r="1309">
      <c r="A1309" s="255"/>
      <c r="B1309" s="174"/>
      <c r="C1309" s="174"/>
      <c r="D1309" s="174"/>
      <c r="E1309" s="174"/>
      <c r="F1309" s="174"/>
      <c r="G1309" s="174"/>
      <c r="H1309" s="174"/>
      <c r="I1309" s="174"/>
      <c r="J1309" s="174"/>
      <c r="K1309" s="174"/>
      <c r="L1309" s="174"/>
      <c r="M1309" s="174"/>
      <c r="N1309" s="174"/>
      <c r="O1309" s="174"/>
      <c r="P1309" s="174"/>
      <c r="Q1309" s="174"/>
      <c r="R1309" s="174"/>
    </row>
    <row r="1310">
      <c r="A1310" s="255"/>
      <c r="B1310" s="174"/>
      <c r="C1310" s="174"/>
      <c r="D1310" s="174"/>
      <c r="E1310" s="174"/>
      <c r="F1310" s="174"/>
      <c r="G1310" s="174"/>
      <c r="H1310" s="174"/>
      <c r="I1310" s="174"/>
      <c r="J1310" s="174"/>
      <c r="K1310" s="174"/>
      <c r="L1310" s="174"/>
      <c r="M1310" s="174"/>
      <c r="N1310" s="174"/>
      <c r="O1310" s="174"/>
      <c r="P1310" s="174"/>
      <c r="Q1310" s="174"/>
      <c r="R1310" s="174"/>
    </row>
    <row r="1311">
      <c r="A1311" s="255"/>
      <c r="B1311" s="174"/>
      <c r="C1311" s="174"/>
      <c r="D1311" s="174"/>
      <c r="E1311" s="174"/>
      <c r="F1311" s="174"/>
      <c r="G1311" s="174"/>
      <c r="H1311" s="174"/>
      <c r="I1311" s="174"/>
      <c r="J1311" s="174"/>
      <c r="K1311" s="174"/>
      <c r="L1311" s="174"/>
      <c r="M1311" s="174"/>
      <c r="N1311" s="174"/>
      <c r="O1311" s="174"/>
      <c r="P1311" s="174"/>
      <c r="Q1311" s="174"/>
      <c r="R1311" s="174"/>
    </row>
    <row r="1312">
      <c r="A1312" s="255"/>
      <c r="B1312" s="174"/>
      <c r="C1312" s="174"/>
      <c r="D1312" s="174"/>
      <c r="E1312" s="174"/>
      <c r="F1312" s="174"/>
      <c r="G1312" s="174"/>
      <c r="H1312" s="174"/>
      <c r="I1312" s="174"/>
      <c r="J1312" s="174"/>
      <c r="K1312" s="174"/>
      <c r="L1312" s="174"/>
      <c r="M1312" s="174"/>
      <c r="N1312" s="174"/>
      <c r="O1312" s="174"/>
      <c r="P1312" s="174"/>
      <c r="Q1312" s="174"/>
      <c r="R1312" s="174"/>
    </row>
    <row r="1313">
      <c r="A1313" s="255"/>
      <c r="B1313" s="174"/>
      <c r="C1313" s="174"/>
      <c r="D1313" s="174"/>
      <c r="E1313" s="174"/>
      <c r="F1313" s="174"/>
      <c r="G1313" s="174"/>
      <c r="H1313" s="174"/>
      <c r="I1313" s="174"/>
      <c r="J1313" s="174"/>
      <c r="K1313" s="174"/>
      <c r="L1313" s="174"/>
      <c r="M1313" s="174"/>
      <c r="N1313" s="174"/>
      <c r="O1313" s="174"/>
      <c r="P1313" s="174"/>
      <c r="Q1313" s="174"/>
      <c r="R1313" s="174"/>
    </row>
    <row r="1314">
      <c r="A1314" s="255"/>
      <c r="B1314" s="174"/>
      <c r="C1314" s="174"/>
      <c r="D1314" s="174"/>
      <c r="E1314" s="174"/>
      <c r="F1314" s="174"/>
      <c r="G1314" s="174"/>
      <c r="H1314" s="174"/>
      <c r="I1314" s="174"/>
      <c r="J1314" s="174"/>
      <c r="K1314" s="174"/>
      <c r="L1314" s="174"/>
      <c r="M1314" s="174"/>
      <c r="N1314" s="174"/>
      <c r="O1314" s="174"/>
      <c r="P1314" s="174"/>
      <c r="Q1314" s="174"/>
      <c r="R1314" s="174"/>
    </row>
    <row r="1315">
      <c r="A1315" s="255"/>
      <c r="B1315" s="174"/>
      <c r="C1315" s="174"/>
      <c r="D1315" s="174"/>
      <c r="E1315" s="174"/>
      <c r="F1315" s="174"/>
      <c r="G1315" s="174"/>
      <c r="H1315" s="174"/>
      <c r="I1315" s="174"/>
      <c r="J1315" s="174"/>
      <c r="K1315" s="174"/>
      <c r="L1315" s="174"/>
      <c r="M1315" s="174"/>
      <c r="N1315" s="174"/>
      <c r="O1315" s="174"/>
      <c r="P1315" s="174"/>
      <c r="Q1315" s="174"/>
      <c r="R1315" s="174"/>
    </row>
    <row r="1316">
      <c r="A1316" s="255"/>
      <c r="B1316" s="174"/>
      <c r="C1316" s="174"/>
      <c r="D1316" s="174"/>
      <c r="E1316" s="174"/>
      <c r="F1316" s="174"/>
      <c r="G1316" s="174"/>
      <c r="H1316" s="174"/>
      <c r="I1316" s="174"/>
      <c r="J1316" s="174"/>
      <c r="K1316" s="174"/>
      <c r="L1316" s="174"/>
      <c r="M1316" s="174"/>
      <c r="N1316" s="174"/>
      <c r="O1316" s="174"/>
      <c r="P1316" s="174"/>
      <c r="Q1316" s="174"/>
      <c r="R1316" s="174"/>
    </row>
    <row r="1317">
      <c r="A1317" s="255"/>
      <c r="B1317" s="174"/>
      <c r="C1317" s="174"/>
      <c r="D1317" s="174"/>
      <c r="E1317" s="174"/>
      <c r="F1317" s="174"/>
      <c r="G1317" s="174"/>
      <c r="H1317" s="174"/>
      <c r="I1317" s="174"/>
      <c r="J1317" s="174"/>
      <c r="K1317" s="174"/>
      <c r="L1317" s="174"/>
      <c r="M1317" s="174"/>
      <c r="N1317" s="174"/>
      <c r="O1317" s="174"/>
      <c r="P1317" s="174"/>
      <c r="Q1317" s="174"/>
      <c r="R1317" s="174"/>
    </row>
    <row r="1318">
      <c r="A1318" s="255"/>
      <c r="B1318" s="174"/>
      <c r="C1318" s="174"/>
      <c r="D1318" s="174"/>
      <c r="E1318" s="174"/>
      <c r="F1318" s="174"/>
      <c r="G1318" s="174"/>
      <c r="H1318" s="174"/>
      <c r="I1318" s="174"/>
      <c r="J1318" s="174"/>
      <c r="K1318" s="174"/>
      <c r="L1318" s="174"/>
      <c r="M1318" s="174"/>
      <c r="N1318" s="174"/>
      <c r="O1318" s="174"/>
      <c r="P1318" s="174"/>
      <c r="Q1318" s="174"/>
      <c r="R1318" s="174"/>
    </row>
    <row r="1319">
      <c r="A1319" s="255"/>
      <c r="B1319" s="174"/>
      <c r="C1319" s="174"/>
      <c r="D1319" s="174"/>
      <c r="E1319" s="174"/>
      <c r="F1319" s="174"/>
      <c r="G1319" s="174"/>
      <c r="H1319" s="174"/>
      <c r="I1319" s="174"/>
      <c r="J1319" s="174"/>
      <c r="K1319" s="174"/>
      <c r="L1319" s="174"/>
      <c r="M1319" s="174"/>
      <c r="N1319" s="174"/>
      <c r="O1319" s="174"/>
      <c r="P1319" s="174"/>
      <c r="Q1319" s="174"/>
      <c r="R1319" s="174"/>
    </row>
    <row r="1320">
      <c r="A1320" s="255"/>
      <c r="B1320" s="174"/>
      <c r="C1320" s="174"/>
      <c r="D1320" s="174"/>
      <c r="E1320" s="174"/>
      <c r="F1320" s="174"/>
      <c r="G1320" s="174"/>
      <c r="H1320" s="174"/>
      <c r="I1320" s="174"/>
      <c r="J1320" s="174"/>
      <c r="K1320" s="174"/>
      <c r="L1320" s="174"/>
      <c r="M1320" s="174"/>
      <c r="N1320" s="174"/>
      <c r="O1320" s="174"/>
      <c r="P1320" s="174"/>
      <c r="Q1320" s="174"/>
      <c r="R1320" s="174"/>
    </row>
    <row r="1321">
      <c r="A1321" s="255"/>
      <c r="B1321" s="174"/>
      <c r="C1321" s="174"/>
      <c r="D1321" s="174"/>
      <c r="E1321" s="174"/>
      <c r="F1321" s="174"/>
      <c r="G1321" s="174"/>
      <c r="H1321" s="174"/>
      <c r="I1321" s="174"/>
      <c r="J1321" s="174"/>
      <c r="K1321" s="174"/>
      <c r="L1321" s="174"/>
      <c r="M1321" s="174"/>
      <c r="N1321" s="174"/>
      <c r="O1321" s="174"/>
      <c r="P1321" s="174"/>
      <c r="Q1321" s="174"/>
      <c r="R1321" s="174"/>
    </row>
    <row r="1322">
      <c r="A1322" s="255"/>
      <c r="B1322" s="174"/>
      <c r="C1322" s="174"/>
      <c r="D1322" s="174"/>
      <c r="E1322" s="174"/>
      <c r="F1322" s="174"/>
      <c r="G1322" s="174"/>
      <c r="H1322" s="174"/>
      <c r="I1322" s="174"/>
      <c r="J1322" s="174"/>
      <c r="K1322" s="174"/>
      <c r="L1322" s="174"/>
      <c r="M1322" s="174"/>
      <c r="N1322" s="174"/>
      <c r="O1322" s="174"/>
      <c r="P1322" s="174"/>
      <c r="Q1322" s="174"/>
      <c r="R1322" s="174"/>
    </row>
    <row r="1323">
      <c r="A1323" s="255"/>
      <c r="B1323" s="174"/>
      <c r="C1323" s="174"/>
      <c r="D1323" s="174"/>
      <c r="E1323" s="174"/>
      <c r="F1323" s="174"/>
      <c r="G1323" s="174"/>
      <c r="H1323" s="174"/>
      <c r="I1323" s="174"/>
      <c r="J1323" s="174"/>
      <c r="K1323" s="174"/>
      <c r="L1323" s="174"/>
      <c r="M1323" s="174"/>
      <c r="N1323" s="174"/>
      <c r="O1323" s="174"/>
      <c r="P1323" s="174"/>
      <c r="Q1323" s="174"/>
      <c r="R1323" s="174"/>
    </row>
    <row r="1324">
      <c r="A1324" s="255"/>
      <c r="B1324" s="174"/>
      <c r="C1324" s="174"/>
      <c r="D1324" s="174"/>
      <c r="E1324" s="174"/>
      <c r="F1324" s="174"/>
      <c r="G1324" s="174"/>
      <c r="H1324" s="174"/>
      <c r="I1324" s="174"/>
      <c r="J1324" s="174"/>
      <c r="K1324" s="174"/>
      <c r="L1324" s="174"/>
      <c r="M1324" s="174"/>
      <c r="N1324" s="174"/>
      <c r="O1324" s="174"/>
      <c r="P1324" s="174"/>
      <c r="Q1324" s="174"/>
      <c r="R1324" s="174"/>
    </row>
    <row r="1325">
      <c r="A1325" s="255"/>
      <c r="B1325" s="174"/>
      <c r="C1325" s="174"/>
      <c r="D1325" s="174"/>
      <c r="E1325" s="174"/>
      <c r="F1325" s="174"/>
      <c r="G1325" s="174"/>
      <c r="H1325" s="174"/>
      <c r="I1325" s="174"/>
      <c r="J1325" s="174"/>
      <c r="K1325" s="174"/>
      <c r="L1325" s="174"/>
      <c r="M1325" s="174"/>
      <c r="N1325" s="174"/>
      <c r="O1325" s="174"/>
      <c r="P1325" s="174"/>
      <c r="Q1325" s="174"/>
      <c r="R1325" s="174"/>
    </row>
    <row r="1326">
      <c r="A1326" s="255"/>
      <c r="B1326" s="174"/>
      <c r="C1326" s="174"/>
      <c r="D1326" s="174"/>
      <c r="E1326" s="174"/>
      <c r="F1326" s="174"/>
      <c r="G1326" s="174"/>
      <c r="H1326" s="174"/>
      <c r="I1326" s="174"/>
      <c r="J1326" s="174"/>
      <c r="K1326" s="174"/>
      <c r="L1326" s="174"/>
      <c r="M1326" s="174"/>
      <c r="N1326" s="174"/>
      <c r="O1326" s="174"/>
      <c r="P1326" s="174"/>
      <c r="Q1326" s="174"/>
      <c r="R1326" s="174"/>
    </row>
    <row r="1327">
      <c r="A1327" s="255"/>
      <c r="B1327" s="174"/>
      <c r="C1327" s="174"/>
      <c r="D1327" s="174"/>
      <c r="E1327" s="174"/>
      <c r="F1327" s="174"/>
      <c r="G1327" s="174"/>
      <c r="H1327" s="174"/>
      <c r="I1327" s="174"/>
      <c r="J1327" s="174"/>
      <c r="K1327" s="174"/>
      <c r="L1327" s="174"/>
      <c r="M1327" s="174"/>
      <c r="N1327" s="174"/>
      <c r="O1327" s="174"/>
      <c r="P1327" s="174"/>
      <c r="Q1327" s="174"/>
      <c r="R1327" s="174"/>
    </row>
    <row r="1328">
      <c r="A1328" s="255"/>
      <c r="B1328" s="174"/>
      <c r="C1328" s="174"/>
      <c r="D1328" s="174"/>
      <c r="E1328" s="174"/>
      <c r="F1328" s="174"/>
      <c r="G1328" s="174"/>
      <c r="H1328" s="174"/>
      <c r="I1328" s="174"/>
      <c r="J1328" s="174"/>
      <c r="K1328" s="174"/>
      <c r="L1328" s="174"/>
      <c r="M1328" s="174"/>
      <c r="N1328" s="174"/>
      <c r="O1328" s="174"/>
      <c r="P1328" s="174"/>
      <c r="Q1328" s="174"/>
      <c r="R1328" s="174"/>
    </row>
    <row r="1329">
      <c r="A1329" s="255"/>
      <c r="B1329" s="174"/>
      <c r="C1329" s="174"/>
      <c r="D1329" s="174"/>
      <c r="E1329" s="174"/>
      <c r="F1329" s="174"/>
      <c r="G1329" s="174"/>
      <c r="H1329" s="174"/>
      <c r="I1329" s="174"/>
      <c r="J1329" s="174"/>
      <c r="K1329" s="174"/>
      <c r="L1329" s="174"/>
      <c r="M1329" s="174"/>
      <c r="N1329" s="174"/>
      <c r="O1329" s="174"/>
      <c r="P1329" s="174"/>
      <c r="Q1329" s="174"/>
      <c r="R1329" s="174"/>
    </row>
    <row r="1330">
      <c r="A1330" s="255"/>
      <c r="B1330" s="174"/>
      <c r="C1330" s="174"/>
      <c r="D1330" s="174"/>
      <c r="E1330" s="174"/>
      <c r="F1330" s="174"/>
      <c r="G1330" s="174"/>
      <c r="H1330" s="174"/>
      <c r="I1330" s="174"/>
      <c r="J1330" s="174"/>
      <c r="K1330" s="174"/>
      <c r="L1330" s="174"/>
      <c r="M1330" s="174"/>
      <c r="N1330" s="174"/>
      <c r="O1330" s="174"/>
      <c r="P1330" s="174"/>
      <c r="Q1330" s="174"/>
      <c r="R1330" s="174"/>
    </row>
    <row r="1331">
      <c r="A1331" s="255"/>
      <c r="B1331" s="174"/>
      <c r="C1331" s="174"/>
      <c r="D1331" s="174"/>
      <c r="E1331" s="174"/>
      <c r="F1331" s="174"/>
      <c r="G1331" s="174"/>
      <c r="H1331" s="174"/>
      <c r="I1331" s="174"/>
      <c r="J1331" s="174"/>
      <c r="K1331" s="174"/>
      <c r="L1331" s="174"/>
      <c r="M1331" s="174"/>
      <c r="N1331" s="174"/>
      <c r="O1331" s="174"/>
      <c r="P1331" s="174"/>
      <c r="Q1331" s="174"/>
      <c r="R1331" s="174"/>
    </row>
    <row r="1332">
      <c r="A1332" s="255"/>
      <c r="B1332" s="174"/>
      <c r="C1332" s="174"/>
      <c r="D1332" s="174"/>
      <c r="E1332" s="174"/>
      <c r="F1332" s="174"/>
      <c r="G1332" s="174"/>
      <c r="H1332" s="174"/>
      <c r="I1332" s="174"/>
      <c r="J1332" s="174"/>
      <c r="K1332" s="174"/>
      <c r="L1332" s="174"/>
      <c r="M1332" s="174"/>
      <c r="N1332" s="174"/>
      <c r="O1332" s="174"/>
      <c r="P1332" s="174"/>
      <c r="Q1332" s="174"/>
      <c r="R1332" s="174"/>
    </row>
    <row r="1333">
      <c r="A1333" s="255"/>
      <c r="B1333" s="174"/>
      <c r="C1333" s="174"/>
      <c r="D1333" s="174"/>
      <c r="E1333" s="174"/>
      <c r="F1333" s="174"/>
      <c r="G1333" s="174"/>
      <c r="H1333" s="174"/>
      <c r="I1333" s="174"/>
      <c r="J1333" s="174"/>
      <c r="K1333" s="174"/>
      <c r="L1333" s="174"/>
      <c r="M1333" s="174"/>
      <c r="N1333" s="174"/>
      <c r="O1333" s="174"/>
      <c r="P1333" s="174"/>
      <c r="Q1333" s="174"/>
      <c r="R1333" s="174"/>
    </row>
    <row r="1334">
      <c r="A1334" s="255"/>
      <c r="B1334" s="174"/>
      <c r="C1334" s="174"/>
      <c r="D1334" s="174"/>
      <c r="E1334" s="174"/>
      <c r="F1334" s="174"/>
      <c r="G1334" s="174"/>
      <c r="H1334" s="174"/>
      <c r="I1334" s="174"/>
      <c r="J1334" s="174"/>
      <c r="K1334" s="174"/>
      <c r="L1334" s="174"/>
      <c r="M1334" s="174"/>
      <c r="N1334" s="174"/>
      <c r="O1334" s="174"/>
      <c r="P1334" s="174"/>
      <c r="Q1334" s="174"/>
      <c r="R1334" s="174"/>
    </row>
    <row r="1335">
      <c r="A1335" s="255"/>
      <c r="B1335" s="174"/>
      <c r="C1335" s="174"/>
      <c r="D1335" s="174"/>
      <c r="E1335" s="174"/>
      <c r="F1335" s="174"/>
      <c r="G1335" s="174"/>
      <c r="H1335" s="174"/>
      <c r="I1335" s="174"/>
      <c r="J1335" s="174"/>
      <c r="K1335" s="174"/>
      <c r="L1335" s="174"/>
      <c r="M1335" s="174"/>
      <c r="N1335" s="174"/>
      <c r="O1335" s="174"/>
      <c r="P1335" s="174"/>
      <c r="Q1335" s="174"/>
      <c r="R1335" s="174"/>
    </row>
    <row r="1336">
      <c r="A1336" s="255"/>
      <c r="B1336" s="174"/>
      <c r="C1336" s="174"/>
      <c r="D1336" s="174"/>
      <c r="E1336" s="174"/>
      <c r="F1336" s="174"/>
      <c r="G1336" s="174"/>
      <c r="H1336" s="174"/>
      <c r="I1336" s="174"/>
      <c r="J1336" s="174"/>
      <c r="K1336" s="174"/>
      <c r="L1336" s="174"/>
      <c r="M1336" s="174"/>
      <c r="N1336" s="174"/>
      <c r="O1336" s="174"/>
      <c r="P1336" s="174"/>
      <c r="Q1336" s="174"/>
      <c r="R1336" s="174"/>
    </row>
    <row r="1337">
      <c r="A1337" s="255"/>
      <c r="B1337" s="174"/>
      <c r="C1337" s="174"/>
      <c r="D1337" s="174"/>
      <c r="E1337" s="174"/>
      <c r="F1337" s="174"/>
      <c r="G1337" s="174"/>
      <c r="H1337" s="174"/>
      <c r="I1337" s="174"/>
      <c r="J1337" s="174"/>
      <c r="K1337" s="174"/>
      <c r="L1337" s="174"/>
      <c r="M1337" s="174"/>
      <c r="N1337" s="174"/>
      <c r="O1337" s="174"/>
      <c r="P1337" s="174"/>
      <c r="Q1337" s="174"/>
      <c r="R1337" s="174"/>
    </row>
    <row r="1338">
      <c r="A1338" s="255"/>
      <c r="B1338" s="174"/>
      <c r="C1338" s="174"/>
      <c r="D1338" s="174"/>
      <c r="E1338" s="174"/>
      <c r="F1338" s="174"/>
      <c r="G1338" s="174"/>
      <c r="H1338" s="174"/>
      <c r="I1338" s="174"/>
      <c r="J1338" s="174"/>
      <c r="K1338" s="174"/>
      <c r="L1338" s="174"/>
      <c r="M1338" s="174"/>
      <c r="N1338" s="174"/>
      <c r="O1338" s="174"/>
      <c r="P1338" s="174"/>
      <c r="Q1338" s="174"/>
      <c r="R1338" s="174"/>
    </row>
    <row r="1339">
      <c r="A1339" s="255"/>
      <c r="B1339" s="174"/>
      <c r="C1339" s="174"/>
      <c r="D1339" s="174"/>
      <c r="E1339" s="174"/>
      <c r="F1339" s="174"/>
      <c r="G1339" s="174"/>
      <c r="H1339" s="174"/>
      <c r="I1339" s="174"/>
      <c r="J1339" s="174"/>
      <c r="K1339" s="174"/>
      <c r="L1339" s="174"/>
      <c r="M1339" s="174"/>
      <c r="N1339" s="174"/>
      <c r="O1339" s="174"/>
      <c r="P1339" s="174"/>
      <c r="Q1339" s="174"/>
      <c r="R1339" s="174"/>
    </row>
    <row r="1340">
      <c r="A1340" s="255"/>
      <c r="B1340" s="174"/>
      <c r="C1340" s="174"/>
      <c r="D1340" s="174"/>
      <c r="E1340" s="174"/>
      <c r="F1340" s="174"/>
      <c r="G1340" s="174"/>
      <c r="H1340" s="174"/>
      <c r="I1340" s="174"/>
      <c r="J1340" s="174"/>
      <c r="K1340" s="174"/>
      <c r="L1340" s="174"/>
      <c r="M1340" s="174"/>
      <c r="N1340" s="174"/>
      <c r="O1340" s="174"/>
      <c r="P1340" s="174"/>
      <c r="Q1340" s="174"/>
      <c r="R1340" s="174"/>
    </row>
    <row r="1341">
      <c r="A1341" s="255"/>
      <c r="B1341" s="174"/>
      <c r="C1341" s="174"/>
      <c r="D1341" s="174"/>
      <c r="E1341" s="174"/>
      <c r="F1341" s="174"/>
      <c r="G1341" s="174"/>
      <c r="H1341" s="174"/>
      <c r="I1341" s="174"/>
      <c r="J1341" s="174"/>
      <c r="K1341" s="174"/>
      <c r="L1341" s="174"/>
      <c r="M1341" s="174"/>
      <c r="N1341" s="174"/>
      <c r="O1341" s="174"/>
      <c r="P1341" s="174"/>
      <c r="Q1341" s="174"/>
      <c r="R1341" s="174"/>
    </row>
    <row r="1342">
      <c r="A1342" s="255"/>
      <c r="B1342" s="174"/>
      <c r="C1342" s="174"/>
      <c r="D1342" s="174"/>
      <c r="E1342" s="174"/>
      <c r="F1342" s="174"/>
      <c r="G1342" s="174"/>
      <c r="H1342" s="174"/>
      <c r="I1342" s="174"/>
      <c r="J1342" s="174"/>
      <c r="K1342" s="174"/>
      <c r="L1342" s="174"/>
      <c r="M1342" s="174"/>
      <c r="N1342" s="174"/>
      <c r="O1342" s="174"/>
      <c r="P1342" s="174"/>
      <c r="Q1342" s="174"/>
      <c r="R1342" s="174"/>
    </row>
    <row r="1343">
      <c r="A1343" s="255"/>
      <c r="B1343" s="174"/>
      <c r="C1343" s="174"/>
      <c r="D1343" s="174"/>
      <c r="E1343" s="174"/>
      <c r="F1343" s="174"/>
      <c r="G1343" s="174"/>
      <c r="H1343" s="174"/>
      <c r="I1343" s="174"/>
      <c r="J1343" s="174"/>
      <c r="K1343" s="174"/>
      <c r="L1343" s="174"/>
      <c r="M1343" s="174"/>
      <c r="N1343" s="174"/>
      <c r="O1343" s="174"/>
      <c r="P1343" s="174"/>
      <c r="Q1343" s="174"/>
      <c r="R1343" s="174"/>
    </row>
    <row r="1344">
      <c r="A1344" s="255"/>
      <c r="B1344" s="174"/>
      <c r="C1344" s="174"/>
      <c r="D1344" s="174"/>
      <c r="E1344" s="174"/>
      <c r="F1344" s="174"/>
      <c r="G1344" s="174"/>
      <c r="H1344" s="174"/>
      <c r="I1344" s="174"/>
      <c r="J1344" s="174"/>
      <c r="K1344" s="174"/>
      <c r="L1344" s="174"/>
      <c r="M1344" s="174"/>
      <c r="N1344" s="174"/>
      <c r="O1344" s="174"/>
      <c r="P1344" s="174"/>
      <c r="Q1344" s="174"/>
      <c r="R1344" s="174"/>
    </row>
    <row r="1345">
      <c r="A1345" s="255"/>
      <c r="B1345" s="174"/>
      <c r="C1345" s="174"/>
      <c r="D1345" s="174"/>
      <c r="E1345" s="174"/>
      <c r="F1345" s="174"/>
      <c r="G1345" s="174"/>
      <c r="H1345" s="174"/>
      <c r="I1345" s="174"/>
      <c r="J1345" s="174"/>
      <c r="K1345" s="174"/>
      <c r="L1345" s="174"/>
      <c r="M1345" s="174"/>
      <c r="N1345" s="174"/>
      <c r="O1345" s="174"/>
      <c r="P1345" s="174"/>
      <c r="Q1345" s="174"/>
      <c r="R1345" s="174"/>
    </row>
    <row r="1346">
      <c r="A1346" s="255"/>
      <c r="B1346" s="174"/>
      <c r="C1346" s="174"/>
      <c r="D1346" s="174"/>
      <c r="E1346" s="174"/>
      <c r="F1346" s="174"/>
      <c r="G1346" s="174"/>
      <c r="H1346" s="174"/>
      <c r="I1346" s="174"/>
      <c r="J1346" s="174"/>
      <c r="K1346" s="174"/>
      <c r="L1346" s="174"/>
      <c r="M1346" s="174"/>
      <c r="N1346" s="174"/>
      <c r="O1346" s="174"/>
      <c r="P1346" s="174"/>
      <c r="Q1346" s="174"/>
      <c r="R1346" s="174"/>
    </row>
    <row r="1347">
      <c r="A1347" s="255"/>
      <c r="B1347" s="174"/>
      <c r="C1347" s="174"/>
      <c r="D1347" s="174"/>
      <c r="E1347" s="174"/>
      <c r="F1347" s="174"/>
      <c r="G1347" s="174"/>
      <c r="H1347" s="174"/>
      <c r="I1347" s="174"/>
      <c r="J1347" s="174"/>
      <c r="K1347" s="174"/>
      <c r="L1347" s="174"/>
      <c r="M1347" s="174"/>
      <c r="N1347" s="174"/>
      <c r="O1347" s="174"/>
      <c r="P1347" s="174"/>
      <c r="Q1347" s="174"/>
      <c r="R1347" s="174"/>
    </row>
    <row r="1348">
      <c r="A1348" s="255"/>
      <c r="B1348" s="174"/>
      <c r="C1348" s="174"/>
      <c r="D1348" s="174"/>
      <c r="E1348" s="174"/>
      <c r="F1348" s="174"/>
      <c r="G1348" s="174"/>
      <c r="H1348" s="174"/>
      <c r="I1348" s="174"/>
      <c r="J1348" s="174"/>
      <c r="K1348" s="174"/>
      <c r="L1348" s="174"/>
      <c r="M1348" s="174"/>
      <c r="N1348" s="174"/>
      <c r="O1348" s="174"/>
      <c r="P1348" s="174"/>
      <c r="Q1348" s="174"/>
      <c r="R1348" s="174"/>
    </row>
    <row r="1349">
      <c r="A1349" s="255"/>
      <c r="B1349" s="174"/>
      <c r="C1349" s="174"/>
      <c r="D1349" s="174"/>
      <c r="E1349" s="174"/>
      <c r="F1349" s="174"/>
      <c r="G1349" s="174"/>
      <c r="H1349" s="174"/>
      <c r="I1349" s="174"/>
      <c r="J1349" s="174"/>
      <c r="K1349" s="174"/>
      <c r="L1349" s="174"/>
      <c r="M1349" s="174"/>
      <c r="N1349" s="174"/>
      <c r="O1349" s="174"/>
      <c r="P1349" s="174"/>
      <c r="Q1349" s="174"/>
      <c r="R1349" s="174"/>
    </row>
    <row r="1350">
      <c r="A1350" s="255"/>
      <c r="B1350" s="174"/>
      <c r="C1350" s="174"/>
      <c r="D1350" s="174"/>
      <c r="E1350" s="174"/>
      <c r="F1350" s="174"/>
      <c r="G1350" s="174"/>
      <c r="H1350" s="174"/>
      <c r="I1350" s="174"/>
      <c r="J1350" s="174"/>
      <c r="K1350" s="174"/>
      <c r="L1350" s="174"/>
      <c r="M1350" s="174"/>
      <c r="N1350" s="174"/>
      <c r="O1350" s="174"/>
      <c r="P1350" s="174"/>
      <c r="Q1350" s="174"/>
      <c r="R1350" s="174"/>
    </row>
    <row r="1351">
      <c r="A1351" s="255"/>
      <c r="B1351" s="174"/>
      <c r="C1351" s="174"/>
      <c r="D1351" s="174"/>
      <c r="E1351" s="174"/>
      <c r="F1351" s="174"/>
      <c r="G1351" s="174"/>
      <c r="H1351" s="174"/>
      <c r="I1351" s="174"/>
      <c r="J1351" s="174"/>
      <c r="K1351" s="174"/>
      <c r="L1351" s="174"/>
      <c r="M1351" s="174"/>
      <c r="N1351" s="174"/>
      <c r="O1351" s="174"/>
      <c r="P1351" s="174"/>
      <c r="Q1351" s="174"/>
      <c r="R1351" s="174"/>
    </row>
    <row r="1352">
      <c r="A1352" s="255"/>
      <c r="B1352" s="174"/>
      <c r="C1352" s="174"/>
      <c r="D1352" s="174"/>
      <c r="E1352" s="174"/>
      <c r="F1352" s="174"/>
      <c r="G1352" s="174"/>
      <c r="H1352" s="174"/>
      <c r="I1352" s="174"/>
      <c r="J1352" s="174"/>
      <c r="K1352" s="174"/>
      <c r="L1352" s="174"/>
      <c r="M1352" s="174"/>
      <c r="N1352" s="174"/>
      <c r="O1352" s="174"/>
      <c r="P1352" s="174"/>
      <c r="Q1352" s="174"/>
      <c r="R1352" s="174"/>
    </row>
    <row r="1353">
      <c r="A1353" s="255"/>
      <c r="B1353" s="174"/>
      <c r="C1353" s="174"/>
      <c r="D1353" s="174"/>
      <c r="E1353" s="174"/>
      <c r="F1353" s="174"/>
      <c r="G1353" s="174"/>
      <c r="H1353" s="174"/>
      <c r="I1353" s="174"/>
      <c r="J1353" s="174"/>
      <c r="K1353" s="174"/>
      <c r="L1353" s="174"/>
      <c r="M1353" s="174"/>
      <c r="N1353" s="174"/>
      <c r="O1353" s="174"/>
      <c r="P1353" s="174"/>
      <c r="Q1353" s="174"/>
      <c r="R1353" s="174"/>
    </row>
    <row r="1354">
      <c r="A1354" s="255"/>
      <c r="B1354" s="174"/>
      <c r="C1354" s="174"/>
      <c r="D1354" s="174"/>
      <c r="E1354" s="174"/>
      <c r="F1354" s="174"/>
      <c r="G1354" s="174"/>
      <c r="H1354" s="174"/>
      <c r="I1354" s="174"/>
      <c r="J1354" s="174"/>
      <c r="K1354" s="174"/>
      <c r="L1354" s="174"/>
      <c r="M1354" s="174"/>
      <c r="N1354" s="174"/>
      <c r="O1354" s="174"/>
      <c r="P1354" s="174"/>
      <c r="Q1354" s="174"/>
      <c r="R1354" s="174"/>
    </row>
    <row r="1355">
      <c r="A1355" s="255"/>
      <c r="B1355" s="174"/>
      <c r="C1355" s="174"/>
      <c r="D1355" s="174"/>
      <c r="E1355" s="174"/>
      <c r="F1355" s="174"/>
      <c r="G1355" s="174"/>
      <c r="H1355" s="174"/>
      <c r="I1355" s="174"/>
      <c r="J1355" s="174"/>
      <c r="K1355" s="174"/>
      <c r="L1355" s="174"/>
      <c r="M1355" s="174"/>
      <c r="N1355" s="174"/>
      <c r="O1355" s="174"/>
      <c r="P1355" s="174"/>
      <c r="Q1355" s="174"/>
      <c r="R1355" s="174"/>
    </row>
    <row r="1356">
      <c r="A1356" s="255"/>
      <c r="B1356" s="174"/>
      <c r="C1356" s="174"/>
      <c r="D1356" s="174"/>
      <c r="E1356" s="174"/>
      <c r="F1356" s="174"/>
      <c r="G1356" s="174"/>
      <c r="H1356" s="174"/>
      <c r="I1356" s="174"/>
      <c r="J1356" s="174"/>
      <c r="K1356" s="174"/>
      <c r="L1356" s="174"/>
      <c r="M1356" s="174"/>
      <c r="N1356" s="174"/>
      <c r="O1356" s="174"/>
      <c r="P1356" s="174"/>
      <c r="Q1356" s="174"/>
      <c r="R1356" s="174"/>
    </row>
    <row r="1357">
      <c r="A1357" s="255"/>
      <c r="B1357" s="174"/>
      <c r="C1357" s="174"/>
      <c r="D1357" s="174"/>
      <c r="E1357" s="174"/>
      <c r="F1357" s="174"/>
      <c r="G1357" s="174"/>
      <c r="H1357" s="174"/>
      <c r="I1357" s="174"/>
      <c r="J1357" s="174"/>
      <c r="K1357" s="174"/>
      <c r="L1357" s="174"/>
      <c r="M1357" s="174"/>
      <c r="N1357" s="174"/>
      <c r="O1357" s="174"/>
      <c r="P1357" s="174"/>
      <c r="Q1357" s="174"/>
      <c r="R1357" s="174"/>
    </row>
    <row r="1358">
      <c r="A1358" s="255"/>
      <c r="B1358" s="174"/>
      <c r="C1358" s="174"/>
      <c r="D1358" s="174"/>
      <c r="E1358" s="174"/>
      <c r="F1358" s="174"/>
      <c r="G1358" s="174"/>
      <c r="H1358" s="174"/>
      <c r="I1358" s="174"/>
      <c r="J1358" s="174"/>
      <c r="K1358" s="174"/>
      <c r="L1358" s="174"/>
      <c r="M1358" s="174"/>
      <c r="N1358" s="174"/>
      <c r="O1358" s="174"/>
      <c r="P1358" s="174"/>
      <c r="Q1358" s="174"/>
      <c r="R1358" s="174"/>
    </row>
    <row r="1359">
      <c r="A1359" s="255"/>
      <c r="B1359" s="174"/>
      <c r="C1359" s="174"/>
      <c r="D1359" s="174"/>
      <c r="E1359" s="174"/>
      <c r="F1359" s="174"/>
      <c r="G1359" s="174"/>
      <c r="H1359" s="174"/>
      <c r="I1359" s="174"/>
      <c r="J1359" s="174"/>
      <c r="K1359" s="174"/>
      <c r="L1359" s="174"/>
      <c r="M1359" s="174"/>
      <c r="N1359" s="174"/>
      <c r="O1359" s="174"/>
      <c r="P1359" s="174"/>
      <c r="Q1359" s="174"/>
      <c r="R1359" s="174"/>
    </row>
    <row r="1360">
      <c r="A1360" s="255"/>
      <c r="B1360" s="174"/>
      <c r="C1360" s="174"/>
      <c r="D1360" s="174"/>
      <c r="E1360" s="174"/>
      <c r="F1360" s="174"/>
      <c r="G1360" s="174"/>
      <c r="H1360" s="174"/>
      <c r="I1360" s="174"/>
      <c r="J1360" s="174"/>
      <c r="K1360" s="174"/>
      <c r="L1360" s="174"/>
      <c r="M1360" s="174"/>
      <c r="N1360" s="174"/>
      <c r="O1360" s="174"/>
      <c r="P1360" s="174"/>
      <c r="Q1360" s="174"/>
      <c r="R1360" s="174"/>
    </row>
    <row r="1361">
      <c r="A1361" s="255"/>
      <c r="B1361" s="174"/>
      <c r="C1361" s="174"/>
      <c r="D1361" s="174"/>
      <c r="E1361" s="174"/>
      <c r="F1361" s="174"/>
      <c r="G1361" s="174"/>
      <c r="H1361" s="174"/>
      <c r="I1361" s="174"/>
      <c r="J1361" s="174"/>
      <c r="K1361" s="174"/>
      <c r="L1361" s="174"/>
      <c r="M1361" s="174"/>
      <c r="N1361" s="174"/>
      <c r="O1361" s="174"/>
      <c r="P1361" s="174"/>
      <c r="Q1361" s="174"/>
      <c r="R1361" s="174"/>
    </row>
    <row r="1362">
      <c r="A1362" s="255"/>
      <c r="B1362" s="174"/>
      <c r="C1362" s="174"/>
      <c r="D1362" s="174"/>
      <c r="E1362" s="174"/>
      <c r="F1362" s="174"/>
      <c r="G1362" s="174"/>
      <c r="H1362" s="174"/>
      <c r="I1362" s="174"/>
      <c r="J1362" s="174"/>
      <c r="K1362" s="174"/>
      <c r="L1362" s="174"/>
      <c r="M1362" s="174"/>
      <c r="N1362" s="174"/>
      <c r="O1362" s="174"/>
      <c r="P1362" s="174"/>
      <c r="Q1362" s="174"/>
      <c r="R1362" s="174"/>
    </row>
    <row r="1363">
      <c r="A1363" s="255"/>
      <c r="B1363" s="174"/>
      <c r="C1363" s="174"/>
      <c r="D1363" s="174"/>
      <c r="E1363" s="174"/>
      <c r="F1363" s="174"/>
      <c r="G1363" s="174"/>
      <c r="H1363" s="174"/>
      <c r="I1363" s="174"/>
      <c r="J1363" s="174"/>
      <c r="K1363" s="174"/>
      <c r="L1363" s="174"/>
      <c r="M1363" s="174"/>
      <c r="N1363" s="174"/>
      <c r="O1363" s="174"/>
      <c r="P1363" s="174"/>
      <c r="Q1363" s="174"/>
      <c r="R1363" s="174"/>
    </row>
    <row r="1364">
      <c r="A1364" s="255"/>
      <c r="B1364" s="174"/>
      <c r="C1364" s="174"/>
      <c r="D1364" s="174"/>
      <c r="E1364" s="174"/>
      <c r="F1364" s="174"/>
      <c r="G1364" s="174"/>
      <c r="H1364" s="174"/>
      <c r="I1364" s="174"/>
      <c r="J1364" s="174"/>
      <c r="K1364" s="174"/>
      <c r="L1364" s="174"/>
      <c r="M1364" s="174"/>
      <c r="N1364" s="174"/>
      <c r="O1364" s="174"/>
      <c r="P1364" s="174"/>
      <c r="Q1364" s="174"/>
      <c r="R1364" s="174"/>
    </row>
    <row r="1365">
      <c r="A1365" s="255"/>
      <c r="B1365" s="174"/>
      <c r="C1365" s="174"/>
      <c r="D1365" s="174"/>
      <c r="E1365" s="174"/>
      <c r="F1365" s="174"/>
      <c r="G1365" s="174"/>
      <c r="H1365" s="174"/>
      <c r="I1365" s="174"/>
      <c r="J1365" s="174"/>
      <c r="K1365" s="174"/>
      <c r="L1365" s="174"/>
      <c r="M1365" s="174"/>
      <c r="N1365" s="174"/>
      <c r="O1365" s="174"/>
      <c r="P1365" s="174"/>
      <c r="Q1365" s="174"/>
      <c r="R1365" s="174"/>
    </row>
    <row r="1366">
      <c r="A1366" s="255"/>
      <c r="B1366" s="174"/>
      <c r="C1366" s="174"/>
      <c r="D1366" s="174"/>
      <c r="E1366" s="174"/>
      <c r="F1366" s="174"/>
      <c r="G1366" s="174"/>
      <c r="H1366" s="174"/>
      <c r="I1366" s="174"/>
      <c r="J1366" s="174"/>
      <c r="K1366" s="174"/>
      <c r="L1366" s="174"/>
      <c r="M1366" s="174"/>
      <c r="N1366" s="174"/>
      <c r="O1366" s="174"/>
      <c r="P1366" s="174"/>
      <c r="Q1366" s="174"/>
      <c r="R1366" s="174"/>
    </row>
    <row r="1367">
      <c r="A1367" s="255"/>
      <c r="B1367" s="174"/>
      <c r="C1367" s="174"/>
      <c r="D1367" s="174"/>
      <c r="E1367" s="174"/>
      <c r="F1367" s="174"/>
      <c r="G1367" s="174"/>
      <c r="H1367" s="174"/>
      <c r="I1367" s="174"/>
      <c r="J1367" s="174"/>
      <c r="K1367" s="174"/>
      <c r="L1367" s="174"/>
      <c r="M1367" s="174"/>
      <c r="N1367" s="174"/>
      <c r="O1367" s="174"/>
      <c r="P1367" s="174"/>
      <c r="Q1367" s="174"/>
      <c r="R1367" s="174"/>
    </row>
    <row r="1368">
      <c r="A1368" s="255"/>
      <c r="B1368" s="174"/>
      <c r="C1368" s="174"/>
      <c r="D1368" s="174"/>
      <c r="E1368" s="174"/>
      <c r="F1368" s="174"/>
      <c r="G1368" s="174"/>
      <c r="H1368" s="174"/>
      <c r="I1368" s="174"/>
      <c r="J1368" s="174"/>
      <c r="K1368" s="174"/>
      <c r="L1368" s="174"/>
      <c r="M1368" s="174"/>
      <c r="N1368" s="174"/>
      <c r="O1368" s="174"/>
      <c r="P1368" s="174"/>
      <c r="Q1368" s="174"/>
      <c r="R1368" s="174"/>
    </row>
    <row r="1369">
      <c r="A1369" s="255"/>
      <c r="B1369" s="174"/>
      <c r="C1369" s="174"/>
      <c r="D1369" s="174"/>
      <c r="E1369" s="174"/>
      <c r="F1369" s="174"/>
      <c r="G1369" s="174"/>
      <c r="H1369" s="174"/>
      <c r="I1369" s="174"/>
      <c r="J1369" s="174"/>
      <c r="K1369" s="174"/>
      <c r="L1369" s="174"/>
      <c r="M1369" s="174"/>
      <c r="N1369" s="174"/>
      <c r="O1369" s="174"/>
      <c r="P1369" s="174"/>
      <c r="Q1369" s="174"/>
      <c r="R1369" s="174"/>
    </row>
    <row r="1370">
      <c r="A1370" s="255"/>
      <c r="B1370" s="174"/>
      <c r="C1370" s="174"/>
      <c r="D1370" s="174"/>
      <c r="E1370" s="174"/>
      <c r="F1370" s="174"/>
      <c r="G1370" s="174"/>
      <c r="H1370" s="174"/>
      <c r="I1370" s="174"/>
      <c r="J1370" s="174"/>
      <c r="K1370" s="174"/>
      <c r="L1370" s="174"/>
      <c r="M1370" s="174"/>
      <c r="N1370" s="174"/>
      <c r="O1370" s="174"/>
      <c r="P1370" s="174"/>
      <c r="Q1370" s="174"/>
      <c r="R1370" s="174"/>
    </row>
    <row r="1371">
      <c r="A1371" s="255"/>
      <c r="B1371" s="174"/>
      <c r="C1371" s="174"/>
      <c r="D1371" s="174"/>
      <c r="E1371" s="174"/>
      <c r="F1371" s="174"/>
      <c r="G1371" s="174"/>
      <c r="H1371" s="174"/>
      <c r="I1371" s="174"/>
      <c r="J1371" s="174"/>
      <c r="K1371" s="174"/>
      <c r="L1371" s="174"/>
      <c r="M1371" s="174"/>
      <c r="N1371" s="174"/>
      <c r="O1371" s="174"/>
      <c r="P1371" s="174"/>
      <c r="Q1371" s="174"/>
      <c r="R1371" s="174"/>
    </row>
    <row r="1372">
      <c r="A1372" s="255"/>
      <c r="B1372" s="174"/>
      <c r="C1372" s="174"/>
      <c r="D1372" s="174"/>
      <c r="E1372" s="174"/>
      <c r="F1372" s="174"/>
      <c r="G1372" s="174"/>
      <c r="H1372" s="174"/>
      <c r="I1372" s="174"/>
      <c r="J1372" s="174"/>
      <c r="K1372" s="174"/>
      <c r="L1372" s="174"/>
      <c r="M1372" s="174"/>
      <c r="N1372" s="174"/>
      <c r="O1372" s="174"/>
      <c r="P1372" s="174"/>
      <c r="Q1372" s="174"/>
      <c r="R1372" s="174"/>
    </row>
    <row r="1373">
      <c r="A1373" s="255"/>
      <c r="B1373" s="174"/>
      <c r="C1373" s="174"/>
      <c r="D1373" s="174"/>
      <c r="E1373" s="174"/>
      <c r="F1373" s="174"/>
      <c r="G1373" s="174"/>
      <c r="H1373" s="174"/>
      <c r="I1373" s="174"/>
      <c r="J1373" s="174"/>
      <c r="K1373" s="174"/>
      <c r="L1373" s="174"/>
      <c r="M1373" s="174"/>
      <c r="N1373" s="174"/>
      <c r="O1373" s="174"/>
      <c r="P1373" s="174"/>
      <c r="Q1373" s="174"/>
      <c r="R1373" s="174"/>
    </row>
    <row r="1374">
      <c r="A1374" s="255"/>
      <c r="B1374" s="174"/>
      <c r="C1374" s="174"/>
      <c r="D1374" s="174"/>
      <c r="E1374" s="174"/>
      <c r="F1374" s="174"/>
      <c r="G1374" s="174"/>
      <c r="H1374" s="174"/>
      <c r="I1374" s="174"/>
      <c r="J1374" s="174"/>
      <c r="K1374" s="174"/>
      <c r="L1374" s="174"/>
      <c r="M1374" s="174"/>
      <c r="N1374" s="174"/>
      <c r="O1374" s="174"/>
      <c r="P1374" s="174"/>
      <c r="Q1374" s="174"/>
      <c r="R1374" s="174"/>
    </row>
    <row r="1375">
      <c r="A1375" s="255"/>
      <c r="B1375" s="174"/>
      <c r="C1375" s="174"/>
      <c r="D1375" s="174"/>
      <c r="E1375" s="174"/>
      <c r="F1375" s="174"/>
      <c r="G1375" s="174"/>
      <c r="H1375" s="174"/>
      <c r="I1375" s="174"/>
      <c r="J1375" s="174"/>
      <c r="K1375" s="174"/>
      <c r="L1375" s="174"/>
      <c r="M1375" s="174"/>
      <c r="N1375" s="174"/>
      <c r="O1375" s="174"/>
      <c r="P1375" s="174"/>
      <c r="Q1375" s="174"/>
      <c r="R1375" s="174"/>
    </row>
    <row r="1376">
      <c r="A1376" s="255"/>
      <c r="B1376" s="174"/>
      <c r="C1376" s="174"/>
      <c r="D1376" s="174"/>
      <c r="E1376" s="174"/>
      <c r="F1376" s="174"/>
      <c r="G1376" s="174"/>
      <c r="H1376" s="174"/>
      <c r="I1376" s="174"/>
      <c r="J1376" s="174"/>
      <c r="K1376" s="174"/>
      <c r="L1376" s="174"/>
      <c r="M1376" s="174"/>
      <c r="N1376" s="174"/>
      <c r="O1376" s="174"/>
      <c r="P1376" s="174"/>
      <c r="Q1376" s="174"/>
      <c r="R1376" s="174"/>
    </row>
    <row r="1377">
      <c r="A1377" s="255"/>
      <c r="B1377" s="174"/>
      <c r="C1377" s="174"/>
      <c r="D1377" s="174"/>
      <c r="E1377" s="174"/>
      <c r="F1377" s="174"/>
      <c r="G1377" s="174"/>
      <c r="H1377" s="174"/>
      <c r="I1377" s="174"/>
      <c r="J1377" s="174"/>
      <c r="K1377" s="174"/>
      <c r="L1377" s="174"/>
      <c r="M1377" s="174"/>
      <c r="N1377" s="174"/>
      <c r="O1377" s="174"/>
      <c r="P1377" s="174"/>
      <c r="Q1377" s="174"/>
      <c r="R1377" s="174"/>
    </row>
    <row r="1378">
      <c r="A1378" s="255"/>
      <c r="B1378" s="174"/>
      <c r="C1378" s="174"/>
      <c r="D1378" s="174"/>
      <c r="E1378" s="174"/>
      <c r="F1378" s="174"/>
      <c r="G1378" s="174"/>
      <c r="H1378" s="174"/>
      <c r="I1378" s="174"/>
      <c r="J1378" s="174"/>
      <c r="K1378" s="174"/>
      <c r="L1378" s="174"/>
      <c r="M1378" s="174"/>
      <c r="N1378" s="174"/>
      <c r="O1378" s="174"/>
      <c r="P1378" s="174"/>
      <c r="Q1378" s="174"/>
      <c r="R1378" s="174"/>
    </row>
    <row r="1379">
      <c r="A1379" s="255"/>
      <c r="B1379" s="174"/>
      <c r="C1379" s="174"/>
      <c r="D1379" s="174"/>
      <c r="E1379" s="174"/>
      <c r="F1379" s="174"/>
      <c r="G1379" s="174"/>
      <c r="H1379" s="174"/>
      <c r="I1379" s="174"/>
      <c r="J1379" s="174"/>
      <c r="K1379" s="174"/>
      <c r="L1379" s="174"/>
      <c r="M1379" s="174"/>
      <c r="N1379" s="174"/>
      <c r="O1379" s="174"/>
      <c r="P1379" s="174"/>
      <c r="Q1379" s="174"/>
      <c r="R1379" s="174"/>
    </row>
    <row r="1380">
      <c r="A1380" s="255"/>
      <c r="B1380" s="174"/>
      <c r="C1380" s="174"/>
      <c r="D1380" s="174"/>
      <c r="E1380" s="174"/>
      <c r="F1380" s="174"/>
      <c r="G1380" s="174"/>
      <c r="H1380" s="174"/>
      <c r="I1380" s="174"/>
      <c r="J1380" s="174"/>
      <c r="K1380" s="174"/>
      <c r="L1380" s="174"/>
      <c r="M1380" s="174"/>
      <c r="N1380" s="174"/>
      <c r="O1380" s="174"/>
      <c r="P1380" s="174"/>
      <c r="Q1380" s="174"/>
      <c r="R1380" s="174"/>
    </row>
    <row r="1381">
      <c r="A1381" s="255"/>
      <c r="B1381" s="174"/>
      <c r="C1381" s="174"/>
      <c r="D1381" s="174"/>
      <c r="E1381" s="174"/>
      <c r="F1381" s="174"/>
      <c r="G1381" s="174"/>
      <c r="H1381" s="174"/>
      <c r="I1381" s="174"/>
      <c r="J1381" s="174"/>
      <c r="K1381" s="174"/>
      <c r="L1381" s="174"/>
      <c r="M1381" s="174"/>
      <c r="N1381" s="174"/>
      <c r="O1381" s="174"/>
      <c r="P1381" s="174"/>
      <c r="Q1381" s="174"/>
      <c r="R1381" s="174"/>
    </row>
    <row r="1382">
      <c r="A1382" s="255"/>
      <c r="B1382" s="174"/>
      <c r="C1382" s="174"/>
      <c r="D1382" s="174"/>
      <c r="E1382" s="174"/>
      <c r="F1382" s="174"/>
      <c r="G1382" s="174"/>
      <c r="H1382" s="174"/>
      <c r="I1382" s="174"/>
      <c r="J1382" s="174"/>
      <c r="K1382" s="174"/>
      <c r="L1382" s="174"/>
      <c r="M1382" s="174"/>
      <c r="N1382" s="174"/>
      <c r="O1382" s="174"/>
      <c r="P1382" s="174"/>
      <c r="Q1382" s="174"/>
      <c r="R1382" s="174"/>
    </row>
    <row r="1383">
      <c r="A1383" s="255"/>
      <c r="B1383" s="174"/>
      <c r="C1383" s="174"/>
      <c r="D1383" s="174"/>
      <c r="E1383" s="174"/>
      <c r="F1383" s="174"/>
      <c r="G1383" s="174"/>
      <c r="H1383" s="174"/>
      <c r="I1383" s="174"/>
      <c r="J1383" s="174"/>
      <c r="K1383" s="174"/>
      <c r="L1383" s="174"/>
      <c r="M1383" s="174"/>
      <c r="N1383" s="174"/>
      <c r="O1383" s="174"/>
      <c r="P1383" s="174"/>
      <c r="Q1383" s="174"/>
      <c r="R1383" s="174"/>
    </row>
    <row r="1384">
      <c r="A1384" s="255"/>
      <c r="B1384" s="174"/>
      <c r="C1384" s="174"/>
      <c r="D1384" s="174"/>
      <c r="E1384" s="174"/>
      <c r="F1384" s="174"/>
      <c r="G1384" s="174"/>
      <c r="H1384" s="174"/>
      <c r="I1384" s="174"/>
      <c r="J1384" s="174"/>
      <c r="K1384" s="174"/>
      <c r="L1384" s="174"/>
      <c r="M1384" s="174"/>
      <c r="N1384" s="174"/>
      <c r="O1384" s="174"/>
      <c r="P1384" s="174"/>
      <c r="Q1384" s="174"/>
      <c r="R1384" s="174"/>
    </row>
    <row r="1385">
      <c r="A1385" s="255"/>
      <c r="B1385" s="174"/>
      <c r="C1385" s="174"/>
      <c r="D1385" s="174"/>
      <c r="E1385" s="174"/>
      <c r="F1385" s="174"/>
      <c r="G1385" s="174"/>
      <c r="H1385" s="174"/>
      <c r="I1385" s="174"/>
      <c r="J1385" s="174"/>
      <c r="K1385" s="174"/>
      <c r="L1385" s="174"/>
      <c r="M1385" s="174"/>
      <c r="N1385" s="174"/>
      <c r="O1385" s="174"/>
      <c r="P1385" s="174"/>
      <c r="Q1385" s="174"/>
      <c r="R1385" s="174"/>
    </row>
    <row r="1386">
      <c r="A1386" s="255"/>
      <c r="B1386" s="174"/>
      <c r="C1386" s="174"/>
      <c r="D1386" s="174"/>
      <c r="E1386" s="174"/>
      <c r="F1386" s="174"/>
      <c r="G1386" s="174"/>
      <c r="H1386" s="174"/>
      <c r="I1386" s="174"/>
      <c r="J1386" s="174"/>
      <c r="K1386" s="174"/>
      <c r="L1386" s="174"/>
      <c r="M1386" s="174"/>
      <c r="N1386" s="174"/>
      <c r="O1386" s="174"/>
      <c r="P1386" s="174"/>
      <c r="Q1386" s="174"/>
      <c r="R1386" s="174"/>
    </row>
    <row r="1387">
      <c r="A1387" s="255"/>
      <c r="B1387" s="174"/>
      <c r="C1387" s="174"/>
      <c r="D1387" s="174"/>
      <c r="E1387" s="174"/>
      <c r="F1387" s="174"/>
      <c r="G1387" s="174"/>
      <c r="H1387" s="174"/>
      <c r="I1387" s="174"/>
      <c r="J1387" s="174"/>
      <c r="K1387" s="174"/>
      <c r="L1387" s="174"/>
      <c r="M1387" s="174"/>
      <c r="N1387" s="174"/>
      <c r="O1387" s="174"/>
      <c r="P1387" s="174"/>
      <c r="Q1387" s="174"/>
      <c r="R1387" s="174"/>
    </row>
    <row r="1388">
      <c r="A1388" s="255"/>
      <c r="B1388" s="174"/>
      <c r="C1388" s="174"/>
      <c r="D1388" s="174"/>
      <c r="E1388" s="174"/>
      <c r="F1388" s="174"/>
      <c r="G1388" s="174"/>
      <c r="H1388" s="174"/>
      <c r="I1388" s="174"/>
      <c r="J1388" s="174"/>
      <c r="K1388" s="174"/>
      <c r="L1388" s="174"/>
      <c r="M1388" s="174"/>
      <c r="N1388" s="174"/>
      <c r="O1388" s="174"/>
      <c r="P1388" s="174"/>
      <c r="Q1388" s="174"/>
      <c r="R1388" s="174"/>
    </row>
    <row r="1389">
      <c r="A1389" s="255"/>
      <c r="B1389" s="174"/>
      <c r="C1389" s="174"/>
      <c r="D1389" s="174"/>
      <c r="E1389" s="174"/>
      <c r="F1389" s="174"/>
      <c r="G1389" s="174"/>
      <c r="H1389" s="174"/>
      <c r="I1389" s="174"/>
      <c r="J1389" s="174"/>
      <c r="K1389" s="174"/>
      <c r="L1389" s="174"/>
      <c r="M1389" s="174"/>
      <c r="N1389" s="174"/>
      <c r="O1389" s="174"/>
      <c r="P1389" s="174"/>
      <c r="Q1389" s="174"/>
      <c r="R1389" s="174"/>
    </row>
    <row r="1390">
      <c r="A1390" s="255"/>
      <c r="B1390" s="174"/>
      <c r="C1390" s="174"/>
      <c r="D1390" s="174"/>
      <c r="E1390" s="174"/>
      <c r="F1390" s="174"/>
      <c r="G1390" s="174"/>
      <c r="H1390" s="174"/>
      <c r="I1390" s="174"/>
      <c r="J1390" s="174"/>
      <c r="K1390" s="174"/>
      <c r="L1390" s="174"/>
      <c r="M1390" s="174"/>
      <c r="N1390" s="174"/>
      <c r="O1390" s="174"/>
      <c r="P1390" s="174"/>
      <c r="Q1390" s="174"/>
      <c r="R1390" s="174"/>
    </row>
    <row r="1391">
      <c r="A1391" s="255"/>
      <c r="B1391" s="174"/>
      <c r="C1391" s="174"/>
      <c r="D1391" s="174"/>
      <c r="E1391" s="174"/>
      <c r="F1391" s="174"/>
      <c r="G1391" s="174"/>
      <c r="H1391" s="174"/>
      <c r="I1391" s="174"/>
      <c r="J1391" s="174"/>
      <c r="K1391" s="174"/>
      <c r="L1391" s="174"/>
      <c r="M1391" s="174"/>
      <c r="N1391" s="174"/>
      <c r="O1391" s="174"/>
      <c r="P1391" s="174"/>
      <c r="Q1391" s="174"/>
      <c r="R1391" s="174"/>
    </row>
    <row r="1392">
      <c r="A1392" s="255"/>
      <c r="B1392" s="174"/>
      <c r="C1392" s="174"/>
      <c r="D1392" s="174"/>
      <c r="E1392" s="174"/>
      <c r="F1392" s="174"/>
      <c r="G1392" s="174"/>
      <c r="H1392" s="174"/>
      <c r="I1392" s="174"/>
      <c r="J1392" s="174"/>
      <c r="K1392" s="174"/>
      <c r="L1392" s="174"/>
      <c r="M1392" s="174"/>
      <c r="N1392" s="174"/>
      <c r="O1392" s="174"/>
      <c r="P1392" s="174"/>
      <c r="Q1392" s="174"/>
      <c r="R1392" s="174"/>
    </row>
    <row r="1393">
      <c r="A1393" s="255"/>
      <c r="B1393" s="174"/>
      <c r="C1393" s="174"/>
      <c r="D1393" s="174"/>
      <c r="E1393" s="174"/>
      <c r="F1393" s="174"/>
      <c r="G1393" s="174"/>
      <c r="H1393" s="174"/>
      <c r="I1393" s="174"/>
      <c r="J1393" s="174"/>
      <c r="K1393" s="174"/>
      <c r="L1393" s="174"/>
      <c r="M1393" s="174"/>
      <c r="N1393" s="174"/>
      <c r="O1393" s="174"/>
      <c r="P1393" s="174"/>
      <c r="Q1393" s="174"/>
      <c r="R1393" s="174"/>
    </row>
    <row r="1394">
      <c r="A1394" s="255"/>
      <c r="B1394" s="174"/>
      <c r="C1394" s="174"/>
      <c r="D1394" s="174"/>
      <c r="E1394" s="174"/>
      <c r="F1394" s="174"/>
      <c r="G1394" s="174"/>
      <c r="H1394" s="174"/>
      <c r="I1394" s="174"/>
      <c r="J1394" s="174"/>
      <c r="K1394" s="174"/>
      <c r="L1394" s="174"/>
      <c r="M1394" s="174"/>
      <c r="N1394" s="174"/>
      <c r="O1394" s="174"/>
      <c r="P1394" s="174"/>
      <c r="Q1394" s="174"/>
      <c r="R1394" s="174"/>
    </row>
    <row r="1395">
      <c r="A1395" s="255"/>
      <c r="B1395" s="174"/>
      <c r="C1395" s="174"/>
      <c r="D1395" s="174"/>
      <c r="E1395" s="174"/>
      <c r="F1395" s="174"/>
      <c r="G1395" s="174"/>
      <c r="H1395" s="174"/>
      <c r="I1395" s="174"/>
      <c r="J1395" s="174"/>
      <c r="K1395" s="174"/>
      <c r="L1395" s="174"/>
      <c r="M1395" s="174"/>
      <c r="N1395" s="174"/>
      <c r="O1395" s="174"/>
      <c r="P1395" s="174"/>
      <c r="Q1395" s="174"/>
      <c r="R1395" s="174"/>
    </row>
    <row r="1396">
      <c r="A1396" s="255"/>
      <c r="B1396" s="174"/>
      <c r="C1396" s="174"/>
      <c r="D1396" s="174"/>
      <c r="E1396" s="174"/>
      <c r="F1396" s="174"/>
      <c r="G1396" s="174"/>
      <c r="H1396" s="174"/>
      <c r="I1396" s="174"/>
      <c r="J1396" s="174"/>
      <c r="K1396" s="174"/>
      <c r="L1396" s="174"/>
      <c r="M1396" s="174"/>
      <c r="N1396" s="174"/>
      <c r="O1396" s="174"/>
      <c r="P1396" s="174"/>
      <c r="Q1396" s="174"/>
      <c r="R1396" s="174"/>
    </row>
    <row r="1397">
      <c r="A1397" s="255"/>
      <c r="B1397" s="174"/>
      <c r="C1397" s="174"/>
      <c r="D1397" s="174"/>
      <c r="E1397" s="174"/>
      <c r="F1397" s="174"/>
      <c r="G1397" s="174"/>
      <c r="H1397" s="174"/>
      <c r="I1397" s="174"/>
      <c r="J1397" s="174"/>
      <c r="K1397" s="174"/>
      <c r="L1397" s="174"/>
      <c r="M1397" s="174"/>
      <c r="N1397" s="174"/>
      <c r="O1397" s="174"/>
      <c r="P1397" s="174"/>
      <c r="Q1397" s="174"/>
      <c r="R1397" s="174"/>
    </row>
    <row r="1398">
      <c r="A1398" s="255"/>
      <c r="B1398" s="174"/>
      <c r="C1398" s="174"/>
      <c r="D1398" s="174"/>
      <c r="E1398" s="174"/>
      <c r="F1398" s="174"/>
      <c r="G1398" s="174"/>
      <c r="H1398" s="174"/>
      <c r="I1398" s="174"/>
      <c r="J1398" s="174"/>
      <c r="K1398" s="174"/>
      <c r="L1398" s="174"/>
      <c r="M1398" s="174"/>
      <c r="N1398" s="174"/>
      <c r="O1398" s="174"/>
      <c r="P1398" s="174"/>
      <c r="Q1398" s="174"/>
      <c r="R1398" s="174"/>
    </row>
    <row r="1399">
      <c r="A1399" s="255"/>
      <c r="B1399" s="174"/>
      <c r="C1399" s="174"/>
      <c r="D1399" s="174"/>
      <c r="E1399" s="174"/>
      <c r="F1399" s="174"/>
      <c r="G1399" s="174"/>
      <c r="H1399" s="174"/>
      <c r="I1399" s="174"/>
      <c r="J1399" s="174"/>
      <c r="K1399" s="174"/>
      <c r="L1399" s="174"/>
      <c r="M1399" s="174"/>
      <c r="N1399" s="174"/>
      <c r="O1399" s="174"/>
      <c r="P1399" s="174"/>
      <c r="Q1399" s="174"/>
      <c r="R1399" s="174"/>
    </row>
    <row r="1400">
      <c r="A1400" s="255"/>
      <c r="B1400" s="174"/>
      <c r="C1400" s="174"/>
      <c r="D1400" s="174"/>
      <c r="E1400" s="174"/>
      <c r="F1400" s="174"/>
      <c r="G1400" s="174"/>
      <c r="H1400" s="174"/>
      <c r="I1400" s="174"/>
      <c r="J1400" s="174"/>
      <c r="K1400" s="174"/>
      <c r="L1400" s="174"/>
      <c r="M1400" s="174"/>
      <c r="N1400" s="174"/>
      <c r="O1400" s="174"/>
      <c r="P1400" s="174"/>
      <c r="Q1400" s="174"/>
      <c r="R1400" s="174"/>
    </row>
    <row r="1401">
      <c r="A1401" s="255"/>
      <c r="B1401" s="174"/>
      <c r="C1401" s="174"/>
      <c r="D1401" s="174"/>
      <c r="E1401" s="174"/>
      <c r="F1401" s="174"/>
      <c r="G1401" s="174"/>
      <c r="H1401" s="174"/>
      <c r="I1401" s="174"/>
      <c r="J1401" s="174"/>
      <c r="K1401" s="174"/>
      <c r="L1401" s="174"/>
      <c r="M1401" s="174"/>
      <c r="N1401" s="174"/>
      <c r="O1401" s="174"/>
      <c r="P1401" s="174"/>
      <c r="Q1401" s="174"/>
      <c r="R1401" s="174"/>
    </row>
    <row r="1402">
      <c r="A1402" s="255"/>
      <c r="B1402" s="174"/>
      <c r="C1402" s="174"/>
      <c r="D1402" s="174"/>
      <c r="E1402" s="174"/>
      <c r="F1402" s="174"/>
      <c r="G1402" s="174"/>
      <c r="H1402" s="174"/>
      <c r="I1402" s="174"/>
      <c r="J1402" s="174"/>
      <c r="K1402" s="174"/>
      <c r="L1402" s="174"/>
      <c r="M1402" s="174"/>
      <c r="N1402" s="174"/>
      <c r="O1402" s="174"/>
      <c r="P1402" s="174"/>
      <c r="Q1402" s="174"/>
      <c r="R1402" s="174"/>
    </row>
    <row r="1403">
      <c r="A1403" s="255"/>
      <c r="B1403" s="174"/>
      <c r="C1403" s="174"/>
      <c r="D1403" s="174"/>
      <c r="E1403" s="174"/>
      <c r="F1403" s="174"/>
      <c r="G1403" s="174"/>
      <c r="H1403" s="174"/>
      <c r="I1403" s="174"/>
      <c r="J1403" s="174"/>
      <c r="K1403" s="174"/>
      <c r="L1403" s="174"/>
      <c r="M1403" s="174"/>
      <c r="N1403" s="174"/>
      <c r="O1403" s="174"/>
      <c r="P1403" s="174"/>
      <c r="Q1403" s="174"/>
      <c r="R1403" s="174"/>
    </row>
    <row r="1404">
      <c r="A1404" s="255"/>
      <c r="B1404" s="174"/>
      <c r="C1404" s="174"/>
      <c r="D1404" s="174"/>
      <c r="E1404" s="174"/>
      <c r="F1404" s="174"/>
      <c r="G1404" s="174"/>
      <c r="H1404" s="174"/>
      <c r="I1404" s="174"/>
      <c r="J1404" s="174"/>
      <c r="K1404" s="174"/>
      <c r="L1404" s="174"/>
      <c r="M1404" s="174"/>
      <c r="N1404" s="174"/>
      <c r="O1404" s="174"/>
      <c r="P1404" s="174"/>
      <c r="Q1404" s="174"/>
      <c r="R1404" s="174"/>
    </row>
    <row r="1405">
      <c r="A1405" s="255"/>
      <c r="B1405" s="174"/>
      <c r="C1405" s="174"/>
      <c r="D1405" s="174"/>
      <c r="E1405" s="174"/>
      <c r="F1405" s="174"/>
      <c r="G1405" s="174"/>
      <c r="H1405" s="174"/>
      <c r="I1405" s="174"/>
      <c r="J1405" s="174"/>
      <c r="K1405" s="174"/>
      <c r="L1405" s="174"/>
      <c r="M1405" s="174"/>
      <c r="N1405" s="174"/>
      <c r="O1405" s="174"/>
      <c r="P1405" s="174"/>
      <c r="Q1405" s="174"/>
      <c r="R1405" s="174"/>
    </row>
    <row r="1406">
      <c r="A1406" s="255"/>
      <c r="B1406" s="174"/>
      <c r="C1406" s="174"/>
      <c r="D1406" s="174"/>
      <c r="E1406" s="174"/>
      <c r="F1406" s="174"/>
      <c r="G1406" s="174"/>
      <c r="H1406" s="174"/>
      <c r="I1406" s="174"/>
      <c r="J1406" s="174"/>
      <c r="K1406" s="174"/>
      <c r="L1406" s="174"/>
      <c r="M1406" s="174"/>
      <c r="N1406" s="174"/>
      <c r="O1406" s="174"/>
      <c r="P1406" s="174"/>
      <c r="Q1406" s="174"/>
      <c r="R1406" s="174"/>
    </row>
    <row r="1407">
      <c r="A1407" s="255"/>
      <c r="B1407" s="174"/>
      <c r="C1407" s="174"/>
      <c r="D1407" s="174"/>
      <c r="E1407" s="174"/>
      <c r="F1407" s="174"/>
      <c r="G1407" s="174"/>
      <c r="H1407" s="174"/>
      <c r="I1407" s="174"/>
      <c r="J1407" s="174"/>
      <c r="K1407" s="174"/>
      <c r="L1407" s="174"/>
      <c r="M1407" s="174"/>
      <c r="N1407" s="174"/>
      <c r="O1407" s="174"/>
      <c r="P1407" s="174"/>
      <c r="Q1407" s="174"/>
      <c r="R1407" s="174"/>
    </row>
    <row r="1408">
      <c r="A1408" s="255"/>
      <c r="B1408" s="174"/>
      <c r="C1408" s="174"/>
      <c r="D1408" s="174"/>
      <c r="E1408" s="174"/>
      <c r="F1408" s="174"/>
      <c r="G1408" s="174"/>
      <c r="H1408" s="174"/>
      <c r="I1408" s="174"/>
      <c r="J1408" s="174"/>
      <c r="K1408" s="174"/>
      <c r="L1408" s="174"/>
      <c r="M1408" s="174"/>
      <c r="N1408" s="174"/>
      <c r="O1408" s="174"/>
      <c r="P1408" s="174"/>
      <c r="Q1408" s="174"/>
      <c r="R1408" s="174"/>
    </row>
    <row r="1409">
      <c r="A1409" s="255"/>
      <c r="B1409" s="174"/>
      <c r="C1409" s="174"/>
      <c r="D1409" s="174"/>
      <c r="E1409" s="174"/>
      <c r="F1409" s="174"/>
      <c r="G1409" s="174"/>
      <c r="H1409" s="174"/>
      <c r="I1409" s="174"/>
      <c r="J1409" s="174"/>
      <c r="K1409" s="174"/>
      <c r="L1409" s="174"/>
      <c r="M1409" s="174"/>
      <c r="N1409" s="174"/>
      <c r="O1409" s="174"/>
      <c r="P1409" s="174"/>
      <c r="Q1409" s="174"/>
      <c r="R1409" s="174"/>
    </row>
    <row r="1410">
      <c r="A1410" s="255"/>
      <c r="B1410" s="174"/>
      <c r="C1410" s="174"/>
      <c r="D1410" s="174"/>
      <c r="E1410" s="174"/>
      <c r="F1410" s="174"/>
      <c r="G1410" s="174"/>
      <c r="H1410" s="174"/>
      <c r="I1410" s="174"/>
      <c r="J1410" s="174"/>
      <c r="K1410" s="174"/>
      <c r="L1410" s="174"/>
      <c r="M1410" s="174"/>
      <c r="N1410" s="174"/>
      <c r="O1410" s="174"/>
      <c r="P1410" s="174"/>
      <c r="Q1410" s="174"/>
      <c r="R1410" s="174"/>
    </row>
    <row r="1411">
      <c r="A1411" s="255"/>
      <c r="B1411" s="174"/>
      <c r="C1411" s="174"/>
      <c r="D1411" s="174"/>
      <c r="E1411" s="174"/>
      <c r="F1411" s="174"/>
      <c r="G1411" s="174"/>
      <c r="H1411" s="174"/>
      <c r="I1411" s="174"/>
      <c r="J1411" s="174"/>
      <c r="K1411" s="174"/>
      <c r="L1411" s="174"/>
      <c r="M1411" s="174"/>
      <c r="N1411" s="174"/>
      <c r="O1411" s="174"/>
      <c r="P1411" s="174"/>
      <c r="Q1411" s="174"/>
      <c r="R1411" s="174"/>
    </row>
    <row r="1412">
      <c r="A1412" s="255"/>
      <c r="B1412" s="174"/>
      <c r="C1412" s="174"/>
      <c r="D1412" s="174"/>
      <c r="E1412" s="174"/>
      <c r="F1412" s="174"/>
      <c r="G1412" s="174"/>
      <c r="H1412" s="174"/>
      <c r="I1412" s="174"/>
      <c r="J1412" s="174"/>
      <c r="K1412" s="174"/>
      <c r="L1412" s="174"/>
      <c r="M1412" s="174"/>
      <c r="N1412" s="174"/>
      <c r="O1412" s="174"/>
      <c r="P1412" s="174"/>
      <c r="Q1412" s="174"/>
      <c r="R1412" s="174"/>
    </row>
    <row r="1413">
      <c r="A1413" s="255"/>
      <c r="B1413" s="174"/>
      <c r="C1413" s="174"/>
      <c r="D1413" s="174"/>
      <c r="E1413" s="174"/>
      <c r="F1413" s="174"/>
      <c r="G1413" s="174"/>
      <c r="H1413" s="174"/>
      <c r="I1413" s="174"/>
      <c r="J1413" s="174"/>
      <c r="K1413" s="174"/>
      <c r="L1413" s="174"/>
      <c r="M1413" s="174"/>
      <c r="N1413" s="174"/>
      <c r="O1413" s="174"/>
      <c r="P1413" s="174"/>
      <c r="Q1413" s="174"/>
      <c r="R1413" s="174"/>
    </row>
    <row r="1414">
      <c r="A1414" s="255"/>
      <c r="B1414" s="174"/>
      <c r="C1414" s="174"/>
      <c r="D1414" s="174"/>
      <c r="E1414" s="174"/>
      <c r="F1414" s="174"/>
      <c r="G1414" s="174"/>
      <c r="H1414" s="174"/>
      <c r="I1414" s="174"/>
      <c r="J1414" s="174"/>
      <c r="K1414" s="174"/>
      <c r="L1414" s="174"/>
      <c r="M1414" s="174"/>
      <c r="N1414" s="174"/>
      <c r="O1414" s="174"/>
      <c r="P1414" s="174"/>
      <c r="Q1414" s="174"/>
      <c r="R1414" s="174"/>
    </row>
    <row r="1415">
      <c r="A1415" s="255"/>
      <c r="B1415" s="174"/>
      <c r="C1415" s="174"/>
      <c r="D1415" s="174"/>
      <c r="E1415" s="174"/>
      <c r="F1415" s="174"/>
      <c r="G1415" s="174"/>
      <c r="H1415" s="174"/>
      <c r="I1415" s="174"/>
      <c r="J1415" s="174"/>
      <c r="K1415" s="174"/>
      <c r="L1415" s="174"/>
      <c r="M1415" s="174"/>
      <c r="N1415" s="174"/>
      <c r="O1415" s="174"/>
      <c r="P1415" s="174"/>
      <c r="Q1415" s="174"/>
      <c r="R1415" s="174"/>
    </row>
    <row r="1416">
      <c r="A1416" s="255"/>
      <c r="B1416" s="174"/>
      <c r="C1416" s="174"/>
      <c r="D1416" s="174"/>
      <c r="E1416" s="174"/>
      <c r="F1416" s="174"/>
      <c r="G1416" s="174"/>
      <c r="H1416" s="174"/>
      <c r="I1416" s="174"/>
      <c r="J1416" s="174"/>
      <c r="K1416" s="174"/>
      <c r="L1416" s="174"/>
      <c r="M1416" s="174"/>
      <c r="N1416" s="174"/>
      <c r="O1416" s="174"/>
      <c r="P1416" s="174"/>
      <c r="Q1416" s="174"/>
      <c r="R1416" s="174"/>
    </row>
    <row r="1417">
      <c r="A1417" s="255"/>
      <c r="B1417" s="174"/>
      <c r="C1417" s="174"/>
      <c r="D1417" s="174"/>
      <c r="E1417" s="174"/>
      <c r="F1417" s="174"/>
      <c r="G1417" s="174"/>
      <c r="H1417" s="174"/>
      <c r="I1417" s="174"/>
      <c r="J1417" s="174"/>
      <c r="K1417" s="174"/>
      <c r="L1417" s="174"/>
      <c r="M1417" s="174"/>
      <c r="N1417" s="174"/>
      <c r="O1417" s="174"/>
      <c r="P1417" s="174"/>
      <c r="Q1417" s="174"/>
      <c r="R1417" s="174"/>
    </row>
    <row r="1418">
      <c r="A1418" s="255"/>
      <c r="B1418" s="174"/>
      <c r="C1418" s="174"/>
      <c r="D1418" s="174"/>
      <c r="E1418" s="174"/>
      <c r="F1418" s="174"/>
      <c r="G1418" s="174"/>
      <c r="H1418" s="174"/>
      <c r="I1418" s="174"/>
      <c r="J1418" s="174"/>
      <c r="K1418" s="174"/>
      <c r="L1418" s="174"/>
      <c r="M1418" s="174"/>
      <c r="N1418" s="174"/>
      <c r="O1418" s="174"/>
      <c r="P1418" s="174"/>
      <c r="Q1418" s="174"/>
      <c r="R1418" s="174"/>
    </row>
    <row r="1419">
      <c r="A1419" s="255"/>
      <c r="B1419" s="174"/>
      <c r="C1419" s="174"/>
      <c r="D1419" s="174"/>
      <c r="E1419" s="174"/>
      <c r="F1419" s="174"/>
      <c r="G1419" s="174"/>
      <c r="H1419" s="174"/>
      <c r="I1419" s="174"/>
      <c r="J1419" s="174"/>
      <c r="K1419" s="174"/>
      <c r="L1419" s="174"/>
      <c r="M1419" s="174"/>
      <c r="N1419" s="174"/>
      <c r="O1419" s="174"/>
      <c r="P1419" s="174"/>
      <c r="Q1419" s="174"/>
      <c r="R1419" s="174"/>
    </row>
    <row r="1420">
      <c r="A1420" s="255"/>
      <c r="B1420" s="174"/>
      <c r="C1420" s="174"/>
      <c r="D1420" s="174"/>
      <c r="E1420" s="174"/>
      <c r="F1420" s="174"/>
      <c r="G1420" s="174"/>
      <c r="H1420" s="174"/>
      <c r="I1420" s="174"/>
      <c r="J1420" s="174"/>
      <c r="K1420" s="174"/>
      <c r="L1420" s="174"/>
      <c r="M1420" s="174"/>
      <c r="N1420" s="174"/>
      <c r="O1420" s="174"/>
      <c r="P1420" s="174"/>
      <c r="Q1420" s="174"/>
      <c r="R1420" s="174"/>
    </row>
    <row r="1421">
      <c r="A1421" s="255"/>
      <c r="B1421" s="174"/>
      <c r="C1421" s="174"/>
      <c r="D1421" s="174"/>
      <c r="E1421" s="174"/>
      <c r="F1421" s="174"/>
      <c r="G1421" s="174"/>
      <c r="H1421" s="174"/>
      <c r="I1421" s="174"/>
      <c r="J1421" s="174"/>
      <c r="K1421" s="174"/>
      <c r="L1421" s="174"/>
      <c r="M1421" s="174"/>
      <c r="N1421" s="174"/>
      <c r="O1421" s="174"/>
      <c r="P1421" s="174"/>
      <c r="Q1421" s="174"/>
      <c r="R1421" s="174"/>
    </row>
    <row r="1422">
      <c r="A1422" s="255"/>
      <c r="B1422" s="174"/>
      <c r="C1422" s="174"/>
      <c r="D1422" s="174"/>
      <c r="E1422" s="174"/>
      <c r="F1422" s="174"/>
      <c r="G1422" s="174"/>
      <c r="H1422" s="174"/>
      <c r="I1422" s="174"/>
      <c r="J1422" s="174"/>
      <c r="K1422" s="174"/>
      <c r="L1422" s="174"/>
      <c r="M1422" s="174"/>
      <c r="N1422" s="174"/>
      <c r="O1422" s="174"/>
      <c r="P1422" s="174"/>
      <c r="Q1422" s="174"/>
      <c r="R1422" s="174"/>
    </row>
    <row r="1423">
      <c r="A1423" s="255"/>
      <c r="B1423" s="174"/>
      <c r="C1423" s="174"/>
      <c r="D1423" s="174"/>
      <c r="E1423" s="174"/>
      <c r="F1423" s="174"/>
      <c r="G1423" s="174"/>
      <c r="H1423" s="174"/>
      <c r="I1423" s="174"/>
      <c r="J1423" s="174"/>
      <c r="K1423" s="174"/>
      <c r="L1423" s="174"/>
      <c r="M1423" s="174"/>
      <c r="N1423" s="174"/>
      <c r="O1423" s="174"/>
      <c r="P1423" s="174"/>
      <c r="Q1423" s="174"/>
      <c r="R1423" s="174"/>
    </row>
    <row r="1424">
      <c r="A1424" s="255"/>
      <c r="B1424" s="174"/>
      <c r="C1424" s="174"/>
      <c r="D1424" s="174"/>
      <c r="E1424" s="174"/>
      <c r="F1424" s="174"/>
      <c r="G1424" s="174"/>
      <c r="H1424" s="174"/>
      <c r="I1424" s="174"/>
      <c r="J1424" s="174"/>
      <c r="K1424" s="174"/>
      <c r="L1424" s="174"/>
      <c r="M1424" s="174"/>
      <c r="N1424" s="174"/>
      <c r="O1424" s="174"/>
      <c r="P1424" s="174"/>
      <c r="Q1424" s="174"/>
      <c r="R1424" s="174"/>
    </row>
    <row r="1425">
      <c r="A1425" s="255"/>
      <c r="B1425" s="174"/>
      <c r="C1425" s="174"/>
      <c r="D1425" s="174"/>
      <c r="E1425" s="174"/>
      <c r="F1425" s="174"/>
      <c r="G1425" s="174"/>
      <c r="H1425" s="174"/>
      <c r="I1425" s="174"/>
      <c r="J1425" s="174"/>
      <c r="K1425" s="174"/>
      <c r="L1425" s="174"/>
      <c r="M1425" s="174"/>
      <c r="N1425" s="174"/>
      <c r="O1425" s="174"/>
      <c r="P1425" s="174"/>
      <c r="Q1425" s="174"/>
      <c r="R1425" s="174"/>
    </row>
    <row r="1426">
      <c r="A1426" s="255"/>
      <c r="B1426" s="174"/>
      <c r="C1426" s="174"/>
      <c r="D1426" s="174"/>
      <c r="E1426" s="174"/>
      <c r="F1426" s="174"/>
      <c r="G1426" s="174"/>
      <c r="H1426" s="174"/>
      <c r="I1426" s="174"/>
      <c r="J1426" s="174"/>
      <c r="K1426" s="174"/>
      <c r="L1426" s="174"/>
      <c r="M1426" s="174"/>
      <c r="N1426" s="174"/>
      <c r="O1426" s="174"/>
      <c r="P1426" s="174"/>
      <c r="Q1426" s="174"/>
      <c r="R1426" s="174"/>
    </row>
    <row r="1427">
      <c r="A1427" s="255"/>
      <c r="B1427" s="174"/>
      <c r="C1427" s="174"/>
      <c r="D1427" s="174"/>
      <c r="E1427" s="174"/>
      <c r="F1427" s="174"/>
      <c r="G1427" s="174"/>
      <c r="H1427" s="174"/>
      <c r="I1427" s="174"/>
      <c r="J1427" s="174"/>
      <c r="K1427" s="174"/>
      <c r="L1427" s="174"/>
      <c r="M1427" s="174"/>
      <c r="N1427" s="174"/>
      <c r="O1427" s="174"/>
      <c r="P1427" s="174"/>
      <c r="Q1427" s="174"/>
      <c r="R1427" s="174"/>
    </row>
    <row r="1428">
      <c r="A1428" s="255"/>
      <c r="B1428" s="174"/>
      <c r="C1428" s="174"/>
      <c r="D1428" s="174"/>
      <c r="E1428" s="174"/>
      <c r="F1428" s="174"/>
      <c r="G1428" s="174"/>
      <c r="H1428" s="174"/>
      <c r="I1428" s="174"/>
      <c r="J1428" s="174"/>
      <c r="K1428" s="174"/>
      <c r="L1428" s="174"/>
      <c r="M1428" s="174"/>
      <c r="N1428" s="174"/>
      <c r="O1428" s="174"/>
      <c r="P1428" s="174"/>
      <c r="Q1428" s="174"/>
      <c r="R1428" s="174"/>
    </row>
    <row r="1429">
      <c r="A1429" s="255"/>
      <c r="B1429" s="174"/>
      <c r="C1429" s="174"/>
      <c r="D1429" s="174"/>
      <c r="E1429" s="174"/>
      <c r="F1429" s="174"/>
      <c r="G1429" s="174"/>
      <c r="H1429" s="174"/>
      <c r="I1429" s="174"/>
      <c r="J1429" s="174"/>
      <c r="K1429" s="174"/>
      <c r="L1429" s="174"/>
      <c r="M1429" s="174"/>
      <c r="N1429" s="174"/>
      <c r="O1429" s="174"/>
      <c r="P1429" s="174"/>
      <c r="Q1429" s="174"/>
      <c r="R1429" s="174"/>
    </row>
    <row r="1430">
      <c r="A1430" s="255"/>
      <c r="B1430" s="174"/>
      <c r="C1430" s="174"/>
      <c r="D1430" s="174"/>
      <c r="E1430" s="174"/>
      <c r="F1430" s="174"/>
      <c r="G1430" s="174"/>
      <c r="H1430" s="174"/>
      <c r="I1430" s="174"/>
      <c r="J1430" s="174"/>
      <c r="K1430" s="174"/>
      <c r="L1430" s="174"/>
      <c r="M1430" s="174"/>
      <c r="N1430" s="174"/>
      <c r="O1430" s="174"/>
      <c r="P1430" s="174"/>
      <c r="Q1430" s="174"/>
      <c r="R1430" s="174"/>
    </row>
    <row r="1431">
      <c r="A1431" s="255"/>
      <c r="B1431" s="174"/>
      <c r="C1431" s="174"/>
      <c r="D1431" s="174"/>
      <c r="E1431" s="174"/>
      <c r="F1431" s="174"/>
      <c r="G1431" s="174"/>
      <c r="H1431" s="174"/>
      <c r="I1431" s="174"/>
      <c r="J1431" s="174"/>
      <c r="K1431" s="174"/>
      <c r="L1431" s="174"/>
      <c r="M1431" s="174"/>
      <c r="N1431" s="174"/>
      <c r="O1431" s="174"/>
      <c r="P1431" s="174"/>
      <c r="Q1431" s="174"/>
      <c r="R1431" s="174"/>
    </row>
    <row r="1432">
      <c r="A1432" s="255"/>
      <c r="B1432" s="174"/>
      <c r="C1432" s="174"/>
      <c r="D1432" s="174"/>
      <c r="E1432" s="174"/>
      <c r="F1432" s="174"/>
      <c r="G1432" s="174"/>
      <c r="H1432" s="174"/>
      <c r="I1432" s="174"/>
      <c r="J1432" s="174"/>
      <c r="K1432" s="174"/>
      <c r="L1432" s="174"/>
      <c r="M1432" s="174"/>
      <c r="N1432" s="174"/>
      <c r="O1432" s="174"/>
      <c r="P1432" s="174"/>
      <c r="Q1432" s="174"/>
      <c r="R1432" s="174"/>
    </row>
    <row r="1433">
      <c r="A1433" s="255"/>
      <c r="B1433" s="174"/>
      <c r="C1433" s="174"/>
      <c r="D1433" s="174"/>
      <c r="E1433" s="174"/>
      <c r="F1433" s="174"/>
      <c r="G1433" s="174"/>
      <c r="H1433" s="174"/>
      <c r="I1433" s="174"/>
      <c r="J1433" s="174"/>
      <c r="K1433" s="174"/>
      <c r="L1433" s="174"/>
      <c r="M1433" s="174"/>
      <c r="N1433" s="174"/>
      <c r="O1433" s="174"/>
      <c r="P1433" s="174"/>
      <c r="Q1433" s="174"/>
      <c r="R1433" s="174"/>
    </row>
    <row r="1434">
      <c r="A1434" s="255"/>
      <c r="B1434" s="174"/>
      <c r="C1434" s="174"/>
      <c r="D1434" s="174"/>
      <c r="E1434" s="174"/>
      <c r="F1434" s="174"/>
      <c r="G1434" s="174"/>
      <c r="H1434" s="174"/>
      <c r="I1434" s="174"/>
      <c r="J1434" s="174"/>
      <c r="K1434" s="174"/>
      <c r="L1434" s="174"/>
      <c r="M1434" s="174"/>
      <c r="N1434" s="174"/>
      <c r="O1434" s="174"/>
      <c r="P1434" s="174"/>
      <c r="Q1434" s="174"/>
      <c r="R1434" s="174"/>
    </row>
    <row r="1435">
      <c r="A1435" s="255"/>
      <c r="B1435" s="174"/>
      <c r="C1435" s="174"/>
      <c r="D1435" s="174"/>
      <c r="E1435" s="174"/>
      <c r="F1435" s="174"/>
      <c r="G1435" s="174"/>
      <c r="H1435" s="174"/>
      <c r="I1435" s="174"/>
      <c r="J1435" s="174"/>
      <c r="K1435" s="174"/>
      <c r="L1435" s="174"/>
      <c r="M1435" s="174"/>
      <c r="N1435" s="174"/>
      <c r="O1435" s="174"/>
      <c r="P1435" s="174"/>
      <c r="Q1435" s="174"/>
      <c r="R1435" s="174"/>
    </row>
    <row r="1436">
      <c r="A1436" s="255"/>
      <c r="B1436" s="174"/>
      <c r="C1436" s="174"/>
      <c r="D1436" s="174"/>
      <c r="E1436" s="174"/>
      <c r="F1436" s="174"/>
      <c r="G1436" s="174"/>
      <c r="H1436" s="174"/>
      <c r="I1436" s="174"/>
      <c r="J1436" s="174"/>
      <c r="K1436" s="174"/>
      <c r="L1436" s="174"/>
      <c r="M1436" s="174"/>
      <c r="N1436" s="174"/>
      <c r="O1436" s="174"/>
      <c r="P1436" s="174"/>
      <c r="Q1436" s="174"/>
      <c r="R1436" s="174"/>
    </row>
    <row r="1437">
      <c r="A1437" s="255"/>
      <c r="B1437" s="174"/>
      <c r="C1437" s="174"/>
      <c r="D1437" s="174"/>
      <c r="E1437" s="174"/>
      <c r="F1437" s="174"/>
      <c r="G1437" s="174"/>
      <c r="H1437" s="174"/>
      <c r="I1437" s="174"/>
      <c r="J1437" s="174"/>
      <c r="K1437" s="174"/>
      <c r="L1437" s="174"/>
      <c r="M1437" s="174"/>
      <c r="N1437" s="174"/>
      <c r="O1437" s="174"/>
      <c r="P1437" s="174"/>
      <c r="Q1437" s="174"/>
      <c r="R1437" s="174"/>
    </row>
    <row r="1438">
      <c r="A1438" s="255"/>
      <c r="B1438" s="174"/>
      <c r="C1438" s="174"/>
      <c r="D1438" s="174"/>
      <c r="E1438" s="174"/>
      <c r="F1438" s="174"/>
      <c r="G1438" s="174"/>
      <c r="H1438" s="174"/>
      <c r="I1438" s="174"/>
      <c r="J1438" s="174"/>
      <c r="K1438" s="174"/>
      <c r="L1438" s="174"/>
      <c r="M1438" s="174"/>
      <c r="N1438" s="174"/>
      <c r="O1438" s="174"/>
      <c r="P1438" s="174"/>
      <c r="Q1438" s="174"/>
      <c r="R1438" s="174"/>
    </row>
    <row r="1439">
      <c r="A1439" s="255"/>
      <c r="B1439" s="174"/>
      <c r="C1439" s="174"/>
      <c r="D1439" s="174"/>
      <c r="E1439" s="174"/>
      <c r="F1439" s="174"/>
      <c r="G1439" s="174"/>
      <c r="H1439" s="174"/>
      <c r="I1439" s="174"/>
      <c r="J1439" s="174"/>
      <c r="K1439" s="174"/>
      <c r="L1439" s="174"/>
      <c r="M1439" s="174"/>
      <c r="N1439" s="174"/>
      <c r="O1439" s="174"/>
      <c r="P1439" s="174"/>
      <c r="Q1439" s="174"/>
      <c r="R1439" s="174"/>
    </row>
    <row r="1440">
      <c r="A1440" s="255"/>
      <c r="B1440" s="174"/>
      <c r="C1440" s="174"/>
      <c r="D1440" s="174"/>
      <c r="E1440" s="174"/>
      <c r="F1440" s="174"/>
      <c r="G1440" s="174"/>
      <c r="H1440" s="174"/>
      <c r="I1440" s="174"/>
      <c r="J1440" s="174"/>
      <c r="K1440" s="174"/>
      <c r="L1440" s="174"/>
      <c r="M1440" s="174"/>
      <c r="N1440" s="174"/>
      <c r="O1440" s="174"/>
      <c r="P1440" s="174"/>
      <c r="Q1440" s="174"/>
      <c r="R1440" s="174"/>
    </row>
    <row r="1441">
      <c r="A1441" s="255"/>
      <c r="B1441" s="174"/>
      <c r="C1441" s="174"/>
      <c r="D1441" s="174"/>
      <c r="E1441" s="174"/>
      <c r="F1441" s="174"/>
      <c r="G1441" s="174"/>
      <c r="H1441" s="174"/>
      <c r="I1441" s="174"/>
      <c r="J1441" s="174"/>
      <c r="K1441" s="174"/>
      <c r="L1441" s="174"/>
      <c r="M1441" s="174"/>
      <c r="N1441" s="174"/>
      <c r="O1441" s="174"/>
      <c r="P1441" s="174"/>
      <c r="Q1441" s="174"/>
      <c r="R1441" s="174"/>
    </row>
    <row r="1442">
      <c r="A1442" s="255"/>
      <c r="B1442" s="174"/>
      <c r="C1442" s="174"/>
      <c r="D1442" s="174"/>
      <c r="E1442" s="174"/>
      <c r="F1442" s="174"/>
      <c r="G1442" s="174"/>
      <c r="H1442" s="174"/>
      <c r="I1442" s="174"/>
      <c r="J1442" s="174"/>
      <c r="K1442" s="174"/>
      <c r="L1442" s="174"/>
      <c r="M1442" s="174"/>
      <c r="N1442" s="174"/>
      <c r="O1442" s="174"/>
      <c r="P1442" s="174"/>
      <c r="Q1442" s="174"/>
      <c r="R1442" s="174"/>
    </row>
    <row r="1443">
      <c r="A1443" s="255"/>
      <c r="B1443" s="174"/>
      <c r="C1443" s="174"/>
      <c r="D1443" s="174"/>
      <c r="E1443" s="174"/>
      <c r="F1443" s="174"/>
      <c r="G1443" s="174"/>
      <c r="H1443" s="174"/>
      <c r="I1443" s="174"/>
      <c r="J1443" s="174"/>
      <c r="K1443" s="174"/>
      <c r="L1443" s="174"/>
      <c r="M1443" s="174"/>
      <c r="N1443" s="174"/>
      <c r="O1443" s="174"/>
      <c r="P1443" s="174"/>
      <c r="Q1443" s="174"/>
      <c r="R1443" s="174"/>
    </row>
    <row r="1444">
      <c r="A1444" s="255"/>
      <c r="B1444" s="174"/>
      <c r="C1444" s="174"/>
      <c r="D1444" s="174"/>
      <c r="E1444" s="174"/>
      <c r="F1444" s="174"/>
      <c r="G1444" s="174"/>
      <c r="H1444" s="174"/>
      <c r="I1444" s="174"/>
      <c r="J1444" s="174"/>
      <c r="K1444" s="174"/>
      <c r="L1444" s="174"/>
      <c r="M1444" s="174"/>
      <c r="N1444" s="174"/>
      <c r="O1444" s="174"/>
      <c r="P1444" s="174"/>
      <c r="Q1444" s="174"/>
      <c r="R1444" s="174"/>
    </row>
    <row r="1445">
      <c r="A1445" s="255"/>
      <c r="B1445" s="174"/>
      <c r="C1445" s="174"/>
      <c r="D1445" s="174"/>
      <c r="E1445" s="174"/>
      <c r="F1445" s="174"/>
      <c r="G1445" s="174"/>
      <c r="H1445" s="174"/>
      <c r="I1445" s="174"/>
      <c r="J1445" s="174"/>
      <c r="K1445" s="174"/>
      <c r="L1445" s="174"/>
      <c r="M1445" s="174"/>
      <c r="N1445" s="174"/>
      <c r="O1445" s="174"/>
      <c r="P1445" s="174"/>
      <c r="Q1445" s="174"/>
      <c r="R1445" s="174"/>
    </row>
    <row r="1446">
      <c r="A1446" s="255"/>
      <c r="B1446" s="174"/>
      <c r="C1446" s="174"/>
      <c r="D1446" s="174"/>
      <c r="E1446" s="174"/>
      <c r="F1446" s="174"/>
      <c r="G1446" s="174"/>
      <c r="H1446" s="174"/>
      <c r="I1446" s="174"/>
      <c r="J1446" s="174"/>
      <c r="K1446" s="174"/>
      <c r="L1446" s="174"/>
      <c r="M1446" s="174"/>
      <c r="N1446" s="174"/>
      <c r="O1446" s="174"/>
      <c r="P1446" s="174"/>
      <c r="Q1446" s="174"/>
      <c r="R1446" s="174"/>
    </row>
    <row r="1447">
      <c r="A1447" s="255"/>
      <c r="B1447" s="174"/>
      <c r="C1447" s="174"/>
      <c r="D1447" s="174"/>
      <c r="E1447" s="174"/>
      <c r="F1447" s="174"/>
      <c r="G1447" s="174"/>
      <c r="H1447" s="174"/>
      <c r="I1447" s="174"/>
      <c r="J1447" s="174"/>
      <c r="K1447" s="174"/>
      <c r="L1447" s="174"/>
      <c r="M1447" s="174"/>
      <c r="N1447" s="174"/>
      <c r="O1447" s="174"/>
      <c r="P1447" s="174"/>
      <c r="Q1447" s="174"/>
      <c r="R1447" s="174"/>
    </row>
    <row r="1448">
      <c r="A1448" s="255"/>
      <c r="B1448" s="174"/>
      <c r="C1448" s="174"/>
      <c r="D1448" s="174"/>
      <c r="E1448" s="174"/>
      <c r="F1448" s="174"/>
      <c r="G1448" s="174"/>
      <c r="H1448" s="174"/>
      <c r="I1448" s="174"/>
      <c r="J1448" s="174"/>
      <c r="K1448" s="174"/>
      <c r="L1448" s="174"/>
      <c r="M1448" s="174"/>
      <c r="N1448" s="174"/>
      <c r="O1448" s="174"/>
      <c r="P1448" s="174"/>
      <c r="Q1448" s="174"/>
      <c r="R1448" s="174"/>
    </row>
    <row r="1449">
      <c r="A1449" s="255"/>
      <c r="B1449" s="174"/>
      <c r="C1449" s="174"/>
      <c r="D1449" s="174"/>
      <c r="E1449" s="174"/>
      <c r="F1449" s="174"/>
      <c r="G1449" s="174"/>
      <c r="H1449" s="174"/>
      <c r="I1449" s="174"/>
      <c r="J1449" s="174"/>
      <c r="K1449" s="174"/>
      <c r="L1449" s="174"/>
      <c r="M1449" s="174"/>
      <c r="N1449" s="174"/>
      <c r="O1449" s="174"/>
      <c r="P1449" s="174"/>
      <c r="Q1449" s="174"/>
      <c r="R1449" s="174"/>
    </row>
    <row r="1450">
      <c r="A1450" s="255"/>
      <c r="B1450" s="174"/>
      <c r="C1450" s="174"/>
      <c r="D1450" s="174"/>
      <c r="E1450" s="174"/>
      <c r="F1450" s="174"/>
      <c r="G1450" s="174"/>
      <c r="H1450" s="174"/>
      <c r="I1450" s="174"/>
      <c r="J1450" s="174"/>
      <c r="K1450" s="174"/>
      <c r="L1450" s="174"/>
      <c r="M1450" s="174"/>
      <c r="N1450" s="174"/>
      <c r="O1450" s="174"/>
      <c r="P1450" s="174"/>
      <c r="Q1450" s="174"/>
      <c r="R1450" s="174"/>
    </row>
    <row r="1451">
      <c r="A1451" s="255"/>
      <c r="B1451" s="174"/>
      <c r="C1451" s="174"/>
      <c r="D1451" s="174"/>
      <c r="E1451" s="174"/>
      <c r="F1451" s="174"/>
      <c r="G1451" s="174"/>
      <c r="H1451" s="174"/>
      <c r="I1451" s="174"/>
      <c r="J1451" s="174"/>
      <c r="K1451" s="174"/>
      <c r="L1451" s="174"/>
      <c r="M1451" s="174"/>
      <c r="N1451" s="174"/>
      <c r="O1451" s="174"/>
      <c r="P1451" s="174"/>
      <c r="Q1451" s="174"/>
      <c r="R1451" s="174"/>
    </row>
    <row r="1452">
      <c r="A1452" s="255"/>
      <c r="B1452" s="174"/>
      <c r="C1452" s="174"/>
      <c r="D1452" s="174"/>
      <c r="E1452" s="174"/>
      <c r="F1452" s="174"/>
      <c r="G1452" s="174"/>
      <c r="H1452" s="174"/>
      <c r="I1452" s="174"/>
      <c r="J1452" s="174"/>
      <c r="K1452" s="174"/>
      <c r="L1452" s="174"/>
      <c r="M1452" s="174"/>
      <c r="N1452" s="174"/>
      <c r="O1452" s="174"/>
      <c r="P1452" s="174"/>
      <c r="Q1452" s="174"/>
      <c r="R1452" s="174"/>
    </row>
    <row r="1453">
      <c r="A1453" s="255"/>
      <c r="B1453" s="174"/>
      <c r="C1453" s="174"/>
      <c r="D1453" s="174"/>
      <c r="E1453" s="174"/>
      <c r="F1453" s="174"/>
      <c r="G1453" s="174"/>
      <c r="H1453" s="174"/>
      <c r="I1453" s="174"/>
      <c r="J1453" s="174"/>
      <c r="K1453" s="174"/>
      <c r="L1453" s="174"/>
      <c r="M1453" s="174"/>
      <c r="N1453" s="174"/>
      <c r="O1453" s="174"/>
      <c r="P1453" s="174"/>
      <c r="Q1453" s="174"/>
      <c r="R1453" s="174"/>
    </row>
    <row r="1454">
      <c r="A1454" s="255"/>
      <c r="B1454" s="174"/>
      <c r="C1454" s="174"/>
      <c r="D1454" s="174"/>
      <c r="E1454" s="174"/>
      <c r="F1454" s="174"/>
      <c r="G1454" s="174"/>
      <c r="H1454" s="174"/>
      <c r="I1454" s="174"/>
      <c r="J1454" s="174"/>
      <c r="K1454" s="174"/>
      <c r="L1454" s="174"/>
      <c r="M1454" s="174"/>
      <c r="N1454" s="174"/>
      <c r="O1454" s="174"/>
      <c r="P1454" s="174"/>
      <c r="Q1454" s="174"/>
      <c r="R1454" s="174"/>
    </row>
    <row r="1455">
      <c r="A1455" s="255"/>
      <c r="B1455" s="174"/>
      <c r="C1455" s="174"/>
      <c r="D1455" s="174"/>
      <c r="E1455" s="174"/>
      <c r="F1455" s="174"/>
      <c r="G1455" s="174"/>
      <c r="H1455" s="174"/>
      <c r="I1455" s="174"/>
      <c r="J1455" s="174"/>
      <c r="K1455" s="174"/>
      <c r="L1455" s="174"/>
      <c r="M1455" s="174"/>
      <c r="N1455" s="174"/>
      <c r="O1455" s="174"/>
      <c r="P1455" s="174"/>
      <c r="Q1455" s="174"/>
      <c r="R1455" s="174"/>
    </row>
    <row r="1456">
      <c r="A1456" s="255"/>
      <c r="B1456" s="174"/>
      <c r="C1456" s="174"/>
      <c r="D1456" s="174"/>
      <c r="E1456" s="174"/>
      <c r="F1456" s="174"/>
      <c r="G1456" s="174"/>
      <c r="H1456" s="174"/>
      <c r="I1456" s="174"/>
      <c r="J1456" s="174"/>
      <c r="K1456" s="174"/>
      <c r="L1456" s="174"/>
      <c r="M1456" s="174"/>
      <c r="N1456" s="174"/>
      <c r="O1456" s="174"/>
      <c r="P1456" s="174"/>
      <c r="Q1456" s="174"/>
      <c r="R1456" s="174"/>
    </row>
    <row r="1457">
      <c r="A1457" s="255"/>
      <c r="B1457" s="174"/>
      <c r="C1457" s="174"/>
      <c r="D1457" s="174"/>
      <c r="E1457" s="174"/>
      <c r="F1457" s="174"/>
      <c r="G1457" s="174"/>
      <c r="H1457" s="174"/>
      <c r="I1457" s="174"/>
      <c r="J1457" s="174"/>
      <c r="K1457" s="174"/>
      <c r="L1457" s="174"/>
      <c r="M1457" s="174"/>
      <c r="N1457" s="174"/>
      <c r="O1457" s="174"/>
      <c r="P1457" s="174"/>
      <c r="Q1457" s="174"/>
      <c r="R1457" s="174"/>
    </row>
    <row r="1458">
      <c r="A1458" s="255"/>
      <c r="B1458" s="174"/>
      <c r="C1458" s="174"/>
      <c r="D1458" s="174"/>
      <c r="E1458" s="174"/>
      <c r="F1458" s="174"/>
      <c r="G1458" s="174"/>
      <c r="H1458" s="174"/>
      <c r="I1458" s="174"/>
      <c r="J1458" s="174"/>
      <c r="K1458" s="174"/>
      <c r="L1458" s="174"/>
      <c r="M1458" s="174"/>
      <c r="N1458" s="174"/>
      <c r="O1458" s="174"/>
      <c r="P1458" s="174"/>
      <c r="Q1458" s="174"/>
      <c r="R1458" s="174"/>
    </row>
    <row r="1459">
      <c r="A1459" s="255"/>
      <c r="B1459" s="174"/>
      <c r="C1459" s="174"/>
      <c r="D1459" s="174"/>
      <c r="E1459" s="174"/>
      <c r="F1459" s="174"/>
      <c r="G1459" s="174"/>
      <c r="H1459" s="174"/>
      <c r="I1459" s="174"/>
      <c r="J1459" s="174"/>
      <c r="K1459" s="174"/>
      <c r="L1459" s="174"/>
      <c r="M1459" s="174"/>
      <c r="N1459" s="174"/>
      <c r="O1459" s="174"/>
      <c r="P1459" s="174"/>
      <c r="Q1459" s="174"/>
      <c r="R1459" s="174"/>
    </row>
    <row r="1460">
      <c r="A1460" s="255"/>
      <c r="B1460" s="174"/>
      <c r="C1460" s="174"/>
      <c r="D1460" s="174"/>
      <c r="E1460" s="174"/>
      <c r="F1460" s="174"/>
      <c r="G1460" s="174"/>
      <c r="H1460" s="174"/>
      <c r="I1460" s="174"/>
      <c r="J1460" s="174"/>
      <c r="K1460" s="174"/>
      <c r="L1460" s="174"/>
      <c r="M1460" s="174"/>
      <c r="N1460" s="174"/>
      <c r="O1460" s="174"/>
      <c r="P1460" s="174"/>
      <c r="Q1460" s="174"/>
      <c r="R1460" s="174"/>
    </row>
    <row r="1461">
      <c r="A1461" s="255"/>
      <c r="B1461" s="174"/>
      <c r="C1461" s="174"/>
      <c r="D1461" s="174"/>
      <c r="E1461" s="174"/>
      <c r="F1461" s="174"/>
      <c r="G1461" s="174"/>
      <c r="H1461" s="174"/>
      <c r="I1461" s="174"/>
      <c r="J1461" s="174"/>
      <c r="K1461" s="174"/>
      <c r="L1461" s="174"/>
      <c r="M1461" s="174"/>
      <c r="N1461" s="174"/>
      <c r="O1461" s="174"/>
      <c r="P1461" s="174"/>
      <c r="Q1461" s="174"/>
      <c r="R1461" s="174"/>
    </row>
    <row r="1462">
      <c r="A1462" s="255"/>
      <c r="B1462" s="174"/>
      <c r="C1462" s="174"/>
      <c r="D1462" s="174"/>
      <c r="E1462" s="174"/>
      <c r="F1462" s="174"/>
      <c r="G1462" s="174"/>
      <c r="H1462" s="174"/>
      <c r="I1462" s="174"/>
      <c r="J1462" s="174"/>
      <c r="K1462" s="174"/>
      <c r="L1462" s="174"/>
      <c r="M1462" s="174"/>
      <c r="N1462" s="174"/>
      <c r="O1462" s="174"/>
      <c r="P1462" s="174"/>
      <c r="Q1462" s="174"/>
      <c r="R1462" s="174"/>
    </row>
    <row r="1463">
      <c r="A1463" s="255"/>
      <c r="B1463" s="174"/>
      <c r="C1463" s="174"/>
      <c r="D1463" s="174"/>
      <c r="E1463" s="174"/>
      <c r="F1463" s="174"/>
      <c r="G1463" s="174"/>
      <c r="H1463" s="174"/>
      <c r="I1463" s="174"/>
      <c r="J1463" s="174"/>
      <c r="K1463" s="174"/>
      <c r="L1463" s="174"/>
      <c r="M1463" s="174"/>
      <c r="N1463" s="174"/>
      <c r="O1463" s="174"/>
      <c r="P1463" s="174"/>
      <c r="Q1463" s="174"/>
      <c r="R1463" s="174"/>
    </row>
    <row r="1464">
      <c r="A1464" s="255"/>
      <c r="B1464" s="174"/>
      <c r="C1464" s="174"/>
      <c r="D1464" s="174"/>
      <c r="E1464" s="174"/>
      <c r="F1464" s="174"/>
      <c r="G1464" s="174"/>
      <c r="H1464" s="174"/>
      <c r="I1464" s="174"/>
      <c r="J1464" s="174"/>
      <c r="K1464" s="174"/>
      <c r="L1464" s="174"/>
      <c r="M1464" s="174"/>
      <c r="N1464" s="174"/>
      <c r="O1464" s="174"/>
      <c r="P1464" s="174"/>
      <c r="Q1464" s="174"/>
      <c r="R1464" s="174"/>
    </row>
    <row r="1465">
      <c r="A1465" s="255"/>
      <c r="B1465" s="174"/>
      <c r="C1465" s="174"/>
      <c r="D1465" s="174"/>
      <c r="E1465" s="174"/>
      <c r="F1465" s="174"/>
      <c r="G1465" s="174"/>
      <c r="H1465" s="174"/>
      <c r="I1465" s="174"/>
      <c r="J1465" s="174"/>
      <c r="K1465" s="174"/>
      <c r="L1465" s="174"/>
      <c r="M1465" s="174"/>
      <c r="N1465" s="174"/>
      <c r="O1465" s="174"/>
      <c r="P1465" s="174"/>
      <c r="Q1465" s="174"/>
      <c r="R1465" s="174"/>
    </row>
    <row r="1466">
      <c r="A1466" s="255"/>
      <c r="B1466" s="174"/>
      <c r="C1466" s="174"/>
      <c r="D1466" s="174"/>
      <c r="E1466" s="174"/>
      <c r="F1466" s="174"/>
      <c r="G1466" s="174"/>
      <c r="H1466" s="174"/>
      <c r="I1466" s="174"/>
      <c r="J1466" s="174"/>
      <c r="K1466" s="174"/>
      <c r="L1466" s="174"/>
      <c r="M1466" s="174"/>
      <c r="N1466" s="174"/>
      <c r="O1466" s="174"/>
      <c r="P1466" s="174"/>
      <c r="Q1466" s="174"/>
      <c r="R1466" s="174"/>
    </row>
    <row r="1467">
      <c r="A1467" s="255"/>
      <c r="B1467" s="174"/>
      <c r="C1467" s="174"/>
      <c r="D1467" s="174"/>
      <c r="E1467" s="174"/>
      <c r="F1467" s="174"/>
      <c r="G1467" s="174"/>
      <c r="H1467" s="174"/>
      <c r="I1467" s="174"/>
      <c r="J1467" s="174"/>
      <c r="K1467" s="174"/>
      <c r="L1467" s="174"/>
      <c r="M1467" s="174"/>
      <c r="N1467" s="174"/>
      <c r="O1467" s="174"/>
      <c r="P1467" s="174"/>
      <c r="Q1467" s="174"/>
      <c r="R1467" s="174"/>
    </row>
    <row r="1468">
      <c r="A1468" s="255"/>
      <c r="B1468" s="174"/>
      <c r="C1468" s="174"/>
      <c r="D1468" s="174"/>
      <c r="E1468" s="174"/>
      <c r="F1468" s="174"/>
      <c r="G1468" s="174"/>
      <c r="H1468" s="174"/>
      <c r="I1468" s="174"/>
      <c r="J1468" s="174"/>
      <c r="K1468" s="174"/>
      <c r="L1468" s="174"/>
      <c r="M1468" s="174"/>
      <c r="N1468" s="174"/>
      <c r="O1468" s="174"/>
      <c r="P1468" s="174"/>
      <c r="Q1468" s="174"/>
      <c r="R1468" s="174"/>
    </row>
    <row r="1469">
      <c r="A1469" s="255"/>
      <c r="B1469" s="174"/>
      <c r="C1469" s="174"/>
      <c r="D1469" s="174"/>
      <c r="E1469" s="174"/>
      <c r="F1469" s="174"/>
      <c r="G1469" s="174"/>
      <c r="H1469" s="174"/>
      <c r="I1469" s="174"/>
      <c r="J1469" s="174"/>
      <c r="K1469" s="174"/>
      <c r="L1469" s="174"/>
      <c r="M1469" s="174"/>
      <c r="N1469" s="174"/>
      <c r="O1469" s="174"/>
      <c r="P1469" s="174"/>
      <c r="Q1469" s="174"/>
      <c r="R1469" s="174"/>
    </row>
    <row r="1470">
      <c r="A1470" s="255"/>
      <c r="B1470" s="174"/>
      <c r="C1470" s="174"/>
      <c r="D1470" s="174"/>
      <c r="E1470" s="174"/>
      <c r="F1470" s="174"/>
      <c r="G1470" s="174"/>
      <c r="H1470" s="174"/>
      <c r="I1470" s="174"/>
      <c r="J1470" s="174"/>
      <c r="K1470" s="174"/>
      <c r="L1470" s="174"/>
      <c r="M1470" s="174"/>
      <c r="N1470" s="174"/>
      <c r="O1470" s="174"/>
      <c r="P1470" s="174"/>
      <c r="Q1470" s="174"/>
      <c r="R1470" s="174"/>
    </row>
    <row r="1471">
      <c r="A1471" s="255"/>
      <c r="B1471" s="174"/>
      <c r="C1471" s="174"/>
      <c r="D1471" s="174"/>
      <c r="E1471" s="174"/>
      <c r="F1471" s="174"/>
      <c r="G1471" s="174"/>
      <c r="H1471" s="174"/>
      <c r="I1471" s="174"/>
      <c r="J1471" s="174"/>
      <c r="K1471" s="174"/>
      <c r="L1471" s="174"/>
      <c r="M1471" s="174"/>
      <c r="N1471" s="174"/>
      <c r="O1471" s="174"/>
      <c r="P1471" s="174"/>
      <c r="Q1471" s="174"/>
      <c r="R1471" s="174"/>
    </row>
    <row r="1472">
      <c r="A1472" s="255"/>
      <c r="B1472" s="174"/>
      <c r="C1472" s="174"/>
      <c r="D1472" s="174"/>
      <c r="E1472" s="174"/>
      <c r="F1472" s="174"/>
      <c r="G1472" s="174"/>
      <c r="H1472" s="174"/>
      <c r="I1472" s="174"/>
      <c r="J1472" s="174"/>
      <c r="K1472" s="174"/>
      <c r="L1472" s="174"/>
      <c r="M1472" s="174"/>
      <c r="N1472" s="174"/>
      <c r="O1472" s="174"/>
      <c r="P1472" s="174"/>
      <c r="Q1472" s="174"/>
      <c r="R1472" s="174"/>
    </row>
    <row r="1473">
      <c r="A1473" s="255"/>
      <c r="B1473" s="174"/>
      <c r="C1473" s="174"/>
      <c r="D1473" s="174"/>
      <c r="E1473" s="174"/>
      <c r="F1473" s="174"/>
      <c r="G1473" s="174"/>
      <c r="H1473" s="174"/>
      <c r="I1473" s="174"/>
      <c r="J1473" s="174"/>
      <c r="K1473" s="174"/>
      <c r="L1473" s="174"/>
      <c r="M1473" s="174"/>
      <c r="N1473" s="174"/>
      <c r="O1473" s="174"/>
      <c r="P1473" s="174"/>
      <c r="Q1473" s="174"/>
      <c r="R1473" s="174"/>
    </row>
    <row r="1474">
      <c r="A1474" s="255"/>
      <c r="B1474" s="174"/>
      <c r="C1474" s="174"/>
      <c r="D1474" s="174"/>
      <c r="E1474" s="174"/>
      <c r="F1474" s="174"/>
      <c r="G1474" s="174"/>
      <c r="H1474" s="174"/>
      <c r="I1474" s="174"/>
      <c r="J1474" s="174"/>
      <c r="K1474" s="174"/>
      <c r="L1474" s="174"/>
      <c r="M1474" s="174"/>
      <c r="N1474" s="174"/>
      <c r="O1474" s="174"/>
      <c r="P1474" s="174"/>
      <c r="Q1474" s="174"/>
      <c r="R1474" s="174"/>
    </row>
    <row r="1475">
      <c r="A1475" s="255"/>
      <c r="B1475" s="174"/>
      <c r="C1475" s="174"/>
      <c r="D1475" s="174"/>
      <c r="E1475" s="174"/>
      <c r="F1475" s="174"/>
      <c r="G1475" s="174"/>
      <c r="H1475" s="174"/>
      <c r="I1475" s="174"/>
      <c r="J1475" s="174"/>
      <c r="K1475" s="174"/>
      <c r="L1475" s="174"/>
      <c r="M1475" s="174"/>
      <c r="N1475" s="174"/>
      <c r="O1475" s="174"/>
      <c r="P1475" s="174"/>
      <c r="Q1475" s="174"/>
      <c r="R1475" s="174"/>
    </row>
    <row r="1476">
      <c r="A1476" s="255"/>
      <c r="B1476" s="174"/>
      <c r="C1476" s="174"/>
      <c r="D1476" s="174"/>
      <c r="E1476" s="174"/>
      <c r="F1476" s="174"/>
      <c r="G1476" s="174"/>
      <c r="H1476" s="174"/>
      <c r="I1476" s="174"/>
      <c r="J1476" s="174"/>
      <c r="K1476" s="174"/>
      <c r="L1476" s="174"/>
      <c r="M1476" s="174"/>
      <c r="N1476" s="174"/>
      <c r="O1476" s="174"/>
      <c r="P1476" s="174"/>
      <c r="Q1476" s="174"/>
      <c r="R1476" s="174"/>
    </row>
    <row r="1477">
      <c r="A1477" s="255"/>
      <c r="B1477" s="174"/>
      <c r="C1477" s="174"/>
      <c r="D1477" s="174"/>
      <c r="E1477" s="174"/>
      <c r="F1477" s="174"/>
      <c r="G1477" s="174"/>
      <c r="H1477" s="174"/>
      <c r="I1477" s="174"/>
      <c r="J1477" s="174"/>
      <c r="K1477" s="174"/>
      <c r="L1477" s="174"/>
      <c r="M1477" s="174"/>
      <c r="N1477" s="174"/>
      <c r="O1477" s="174"/>
      <c r="P1477" s="174"/>
      <c r="Q1477" s="174"/>
      <c r="R1477" s="174"/>
    </row>
    <row r="1478">
      <c r="A1478" s="255"/>
      <c r="B1478" s="174"/>
      <c r="C1478" s="174"/>
      <c r="D1478" s="174"/>
      <c r="E1478" s="174"/>
      <c r="F1478" s="174"/>
      <c r="G1478" s="174"/>
      <c r="H1478" s="174"/>
      <c r="I1478" s="174"/>
      <c r="J1478" s="174"/>
      <c r="K1478" s="174"/>
      <c r="L1478" s="174"/>
      <c r="M1478" s="174"/>
      <c r="N1478" s="174"/>
      <c r="O1478" s="174"/>
      <c r="P1478" s="174"/>
      <c r="Q1478" s="174"/>
      <c r="R1478" s="174"/>
    </row>
    <row r="1479">
      <c r="A1479" s="255"/>
      <c r="B1479" s="174"/>
      <c r="C1479" s="174"/>
      <c r="D1479" s="174"/>
      <c r="E1479" s="174"/>
      <c r="F1479" s="174"/>
      <c r="G1479" s="174"/>
      <c r="H1479" s="174"/>
      <c r="I1479" s="174"/>
      <c r="J1479" s="174"/>
      <c r="K1479" s="174"/>
      <c r="L1479" s="174"/>
      <c r="M1479" s="174"/>
      <c r="N1479" s="174"/>
      <c r="O1479" s="174"/>
      <c r="P1479" s="174"/>
      <c r="Q1479" s="174"/>
      <c r="R1479" s="174"/>
    </row>
    <row r="1480">
      <c r="A1480" s="255"/>
      <c r="B1480" s="174"/>
      <c r="C1480" s="174"/>
      <c r="D1480" s="174"/>
      <c r="E1480" s="174"/>
      <c r="F1480" s="174"/>
      <c r="G1480" s="174"/>
      <c r="H1480" s="174"/>
      <c r="I1480" s="174"/>
      <c r="J1480" s="174"/>
      <c r="K1480" s="174"/>
      <c r="L1480" s="174"/>
      <c r="M1480" s="174"/>
      <c r="N1480" s="174"/>
      <c r="O1480" s="174"/>
      <c r="P1480" s="174"/>
      <c r="Q1480" s="174"/>
      <c r="R1480" s="174"/>
    </row>
    <row r="1481">
      <c r="A1481" s="255"/>
      <c r="B1481" s="174"/>
      <c r="C1481" s="174"/>
      <c r="D1481" s="174"/>
      <c r="E1481" s="174"/>
      <c r="F1481" s="174"/>
      <c r="G1481" s="174"/>
      <c r="H1481" s="174"/>
      <c r="I1481" s="174"/>
      <c r="J1481" s="174"/>
      <c r="K1481" s="174"/>
      <c r="L1481" s="174"/>
      <c r="M1481" s="174"/>
      <c r="N1481" s="174"/>
      <c r="O1481" s="174"/>
      <c r="P1481" s="174"/>
      <c r="Q1481" s="174"/>
      <c r="R1481" s="174"/>
    </row>
    <row r="1482">
      <c r="A1482" s="255"/>
      <c r="B1482" s="174"/>
      <c r="C1482" s="174"/>
      <c r="D1482" s="174"/>
      <c r="E1482" s="174"/>
      <c r="F1482" s="174"/>
      <c r="G1482" s="174"/>
      <c r="H1482" s="174"/>
      <c r="I1482" s="174"/>
      <c r="J1482" s="174"/>
      <c r="K1482" s="174"/>
      <c r="L1482" s="174"/>
      <c r="M1482" s="174"/>
      <c r="N1482" s="174"/>
      <c r="O1482" s="174"/>
      <c r="P1482" s="174"/>
      <c r="Q1482" s="174"/>
      <c r="R1482" s="174"/>
    </row>
    <row r="1483">
      <c r="A1483" s="255"/>
      <c r="B1483" s="174"/>
      <c r="C1483" s="174"/>
      <c r="D1483" s="174"/>
      <c r="E1483" s="174"/>
      <c r="F1483" s="174"/>
      <c r="G1483" s="174"/>
      <c r="H1483" s="174"/>
      <c r="I1483" s="174"/>
      <c r="J1483" s="174"/>
      <c r="K1483" s="174"/>
      <c r="L1483" s="174"/>
      <c r="M1483" s="174"/>
      <c r="N1483" s="174"/>
      <c r="O1483" s="174"/>
      <c r="P1483" s="174"/>
      <c r="Q1483" s="174"/>
      <c r="R1483" s="174"/>
    </row>
    <row r="1484">
      <c r="A1484" s="255"/>
      <c r="B1484" s="174"/>
      <c r="C1484" s="174"/>
      <c r="D1484" s="174"/>
      <c r="E1484" s="174"/>
      <c r="F1484" s="174"/>
      <c r="G1484" s="174"/>
      <c r="H1484" s="174"/>
      <c r="I1484" s="174"/>
      <c r="J1484" s="174"/>
      <c r="K1484" s="174"/>
      <c r="L1484" s="174"/>
      <c r="M1484" s="174"/>
      <c r="N1484" s="174"/>
      <c r="O1484" s="174"/>
      <c r="P1484" s="174"/>
      <c r="Q1484" s="174"/>
      <c r="R1484" s="174"/>
    </row>
    <row r="1485">
      <c r="A1485" s="255"/>
      <c r="B1485" s="174"/>
      <c r="C1485" s="174"/>
      <c r="D1485" s="174"/>
      <c r="E1485" s="174"/>
      <c r="F1485" s="174"/>
      <c r="G1485" s="174"/>
      <c r="H1485" s="174"/>
      <c r="I1485" s="174"/>
      <c r="J1485" s="174"/>
      <c r="K1485" s="174"/>
      <c r="L1485" s="174"/>
      <c r="M1485" s="174"/>
      <c r="N1485" s="174"/>
      <c r="O1485" s="174"/>
      <c r="P1485" s="174"/>
      <c r="Q1485" s="174"/>
      <c r="R1485" s="174"/>
    </row>
    <row r="1486">
      <c r="A1486" s="255"/>
      <c r="B1486" s="174"/>
      <c r="C1486" s="174"/>
      <c r="D1486" s="174"/>
      <c r="E1486" s="174"/>
      <c r="F1486" s="174"/>
      <c r="G1486" s="174"/>
      <c r="H1486" s="174"/>
      <c r="I1486" s="174"/>
      <c r="J1486" s="174"/>
      <c r="K1486" s="174"/>
      <c r="L1486" s="174"/>
      <c r="M1486" s="174"/>
      <c r="N1486" s="174"/>
      <c r="O1486" s="174"/>
      <c r="P1486" s="174"/>
      <c r="Q1486" s="174"/>
      <c r="R1486" s="174"/>
    </row>
    <row r="1487">
      <c r="A1487" s="255"/>
      <c r="B1487" s="174"/>
      <c r="C1487" s="174"/>
      <c r="D1487" s="174"/>
      <c r="E1487" s="174"/>
      <c r="F1487" s="174"/>
      <c r="G1487" s="174"/>
      <c r="H1487" s="174"/>
      <c r="I1487" s="174"/>
      <c r="J1487" s="174"/>
      <c r="K1487" s="174"/>
      <c r="L1487" s="174"/>
      <c r="M1487" s="174"/>
      <c r="N1487" s="174"/>
      <c r="O1487" s="174"/>
      <c r="P1487" s="174"/>
      <c r="Q1487" s="174"/>
      <c r="R1487" s="174"/>
    </row>
    <row r="1488">
      <c r="A1488" s="255"/>
      <c r="B1488" s="174"/>
      <c r="C1488" s="174"/>
      <c r="D1488" s="174"/>
      <c r="E1488" s="174"/>
      <c r="F1488" s="174"/>
      <c r="G1488" s="174"/>
      <c r="H1488" s="174"/>
      <c r="I1488" s="174"/>
      <c r="J1488" s="174"/>
      <c r="K1488" s="174"/>
      <c r="L1488" s="174"/>
      <c r="M1488" s="174"/>
      <c r="N1488" s="174"/>
      <c r="O1488" s="174"/>
      <c r="P1488" s="174"/>
      <c r="Q1488" s="174"/>
      <c r="R1488" s="174"/>
    </row>
    <row r="1489">
      <c r="A1489" s="255"/>
      <c r="B1489" s="174"/>
      <c r="C1489" s="174"/>
      <c r="D1489" s="174"/>
      <c r="E1489" s="174"/>
      <c r="F1489" s="174"/>
      <c r="G1489" s="174"/>
      <c r="H1489" s="174"/>
      <c r="I1489" s="174"/>
      <c r="J1489" s="174"/>
      <c r="K1489" s="174"/>
      <c r="L1489" s="174"/>
      <c r="M1489" s="174"/>
      <c r="N1489" s="174"/>
      <c r="O1489" s="174"/>
      <c r="P1489" s="174"/>
      <c r="Q1489" s="174"/>
      <c r="R1489" s="174"/>
    </row>
    <row r="1490">
      <c r="A1490" s="255"/>
      <c r="B1490" s="174"/>
      <c r="C1490" s="174"/>
      <c r="D1490" s="174"/>
      <c r="E1490" s="174"/>
      <c r="F1490" s="174"/>
      <c r="G1490" s="174"/>
      <c r="H1490" s="174"/>
      <c r="I1490" s="174"/>
      <c r="J1490" s="174"/>
      <c r="K1490" s="174"/>
      <c r="L1490" s="174"/>
      <c r="M1490" s="174"/>
      <c r="N1490" s="174"/>
      <c r="O1490" s="174"/>
      <c r="P1490" s="174"/>
      <c r="Q1490" s="174"/>
      <c r="R1490" s="174"/>
    </row>
    <row r="1491">
      <c r="A1491" s="255"/>
      <c r="B1491" s="174"/>
      <c r="C1491" s="174"/>
      <c r="D1491" s="174"/>
      <c r="E1491" s="174"/>
      <c r="F1491" s="174"/>
      <c r="G1491" s="174"/>
      <c r="H1491" s="174"/>
      <c r="I1491" s="174"/>
      <c r="J1491" s="174"/>
      <c r="K1491" s="174"/>
      <c r="L1491" s="174"/>
      <c r="M1491" s="174"/>
      <c r="N1491" s="174"/>
      <c r="O1491" s="174"/>
      <c r="P1491" s="174"/>
      <c r="Q1491" s="174"/>
      <c r="R1491" s="174"/>
    </row>
    <row r="1492">
      <c r="A1492" s="255"/>
      <c r="B1492" s="174"/>
      <c r="C1492" s="174"/>
      <c r="D1492" s="174"/>
      <c r="E1492" s="174"/>
      <c r="F1492" s="174"/>
      <c r="G1492" s="174"/>
      <c r="H1492" s="174"/>
      <c r="I1492" s="174"/>
      <c r="J1492" s="174"/>
      <c r="K1492" s="174"/>
      <c r="L1492" s="174"/>
      <c r="M1492" s="174"/>
      <c r="N1492" s="174"/>
      <c r="O1492" s="174"/>
      <c r="P1492" s="174"/>
      <c r="Q1492" s="174"/>
      <c r="R1492" s="174"/>
    </row>
    <row r="1493">
      <c r="A1493" s="255"/>
      <c r="B1493" s="174"/>
      <c r="C1493" s="174"/>
      <c r="D1493" s="174"/>
      <c r="E1493" s="174"/>
      <c r="F1493" s="174"/>
      <c r="G1493" s="174"/>
      <c r="H1493" s="174"/>
      <c r="I1493" s="174"/>
      <c r="J1493" s="174"/>
      <c r="K1493" s="174"/>
      <c r="L1493" s="174"/>
      <c r="M1493" s="174"/>
      <c r="N1493" s="174"/>
      <c r="O1493" s="174"/>
      <c r="P1493" s="174"/>
      <c r="Q1493" s="174"/>
      <c r="R1493" s="174"/>
    </row>
    <row r="1494">
      <c r="A1494" s="255"/>
      <c r="B1494" s="174"/>
      <c r="C1494" s="174"/>
      <c r="D1494" s="174"/>
      <c r="E1494" s="174"/>
      <c r="F1494" s="174"/>
      <c r="G1494" s="174"/>
      <c r="H1494" s="174"/>
      <c r="I1494" s="174"/>
      <c r="J1494" s="174"/>
      <c r="K1494" s="174"/>
      <c r="L1494" s="174"/>
      <c r="M1494" s="174"/>
      <c r="N1494" s="174"/>
      <c r="O1494" s="174"/>
      <c r="P1494" s="174"/>
      <c r="Q1494" s="174"/>
      <c r="R1494" s="174"/>
    </row>
    <row r="1495">
      <c r="A1495" s="255"/>
      <c r="B1495" s="174"/>
      <c r="C1495" s="174"/>
      <c r="D1495" s="174"/>
      <c r="E1495" s="174"/>
      <c r="F1495" s="174"/>
      <c r="G1495" s="174"/>
      <c r="H1495" s="174"/>
      <c r="I1495" s="174"/>
      <c r="J1495" s="174"/>
      <c r="K1495" s="174"/>
      <c r="L1495" s="174"/>
      <c r="M1495" s="174"/>
      <c r="N1495" s="174"/>
      <c r="O1495" s="174"/>
      <c r="P1495" s="174"/>
      <c r="Q1495" s="174"/>
      <c r="R1495" s="174"/>
    </row>
    <row r="1496">
      <c r="A1496" s="255"/>
      <c r="B1496" s="174"/>
      <c r="C1496" s="174"/>
      <c r="D1496" s="174"/>
      <c r="E1496" s="174"/>
      <c r="F1496" s="174"/>
      <c r="G1496" s="174"/>
      <c r="H1496" s="174"/>
      <c r="I1496" s="174"/>
      <c r="J1496" s="174"/>
      <c r="K1496" s="174"/>
      <c r="L1496" s="174"/>
      <c r="M1496" s="174"/>
      <c r="N1496" s="174"/>
      <c r="O1496" s="174"/>
      <c r="P1496" s="174"/>
      <c r="Q1496" s="174"/>
      <c r="R1496" s="174"/>
    </row>
    <row r="1497">
      <c r="A1497" s="255"/>
      <c r="B1497" s="174"/>
      <c r="C1497" s="174"/>
      <c r="D1497" s="174"/>
      <c r="E1497" s="174"/>
      <c r="F1497" s="174"/>
      <c r="G1497" s="174"/>
      <c r="H1497" s="174"/>
      <c r="I1497" s="174"/>
      <c r="J1497" s="174"/>
      <c r="K1497" s="174"/>
      <c r="L1497" s="174"/>
      <c r="M1497" s="174"/>
      <c r="N1497" s="174"/>
      <c r="O1497" s="174"/>
      <c r="P1497" s="174"/>
      <c r="Q1497" s="174"/>
      <c r="R1497" s="174"/>
    </row>
    <row r="1498">
      <c r="A1498" s="255"/>
      <c r="B1498" s="174"/>
      <c r="C1498" s="174"/>
      <c r="D1498" s="174"/>
      <c r="E1498" s="174"/>
      <c r="F1498" s="174"/>
      <c r="G1498" s="174"/>
      <c r="H1498" s="174"/>
      <c r="I1498" s="174"/>
      <c r="J1498" s="174"/>
      <c r="K1498" s="174"/>
      <c r="L1498" s="174"/>
      <c r="M1498" s="174"/>
      <c r="N1498" s="174"/>
      <c r="O1498" s="174"/>
      <c r="P1498" s="174"/>
      <c r="Q1498" s="174"/>
      <c r="R1498" s="174"/>
    </row>
    <row r="1499">
      <c r="A1499" s="255"/>
      <c r="B1499" s="174"/>
      <c r="C1499" s="174"/>
      <c r="D1499" s="174"/>
      <c r="E1499" s="174"/>
      <c r="F1499" s="174"/>
      <c r="G1499" s="174"/>
      <c r="H1499" s="174"/>
      <c r="I1499" s="174"/>
      <c r="J1499" s="174"/>
      <c r="K1499" s="174"/>
      <c r="L1499" s="174"/>
      <c r="M1499" s="174"/>
      <c r="N1499" s="174"/>
      <c r="O1499" s="174"/>
      <c r="P1499" s="174"/>
      <c r="Q1499" s="174"/>
      <c r="R1499" s="174"/>
    </row>
    <row r="1500">
      <c r="A1500" s="255"/>
      <c r="B1500" s="174"/>
      <c r="C1500" s="174"/>
      <c r="D1500" s="174"/>
      <c r="E1500" s="174"/>
      <c r="F1500" s="174"/>
      <c r="G1500" s="174"/>
      <c r="H1500" s="174"/>
      <c r="I1500" s="174"/>
      <c r="J1500" s="174"/>
      <c r="K1500" s="174"/>
      <c r="L1500" s="174"/>
      <c r="M1500" s="174"/>
      <c r="N1500" s="174"/>
      <c r="O1500" s="174"/>
      <c r="P1500" s="174"/>
      <c r="Q1500" s="174"/>
      <c r="R1500" s="174"/>
    </row>
    <row r="1501">
      <c r="A1501" s="255"/>
      <c r="B1501" s="174"/>
      <c r="C1501" s="174"/>
      <c r="D1501" s="174"/>
      <c r="E1501" s="174"/>
      <c r="F1501" s="174"/>
      <c r="G1501" s="174"/>
      <c r="H1501" s="174"/>
      <c r="I1501" s="174"/>
      <c r="J1501" s="174"/>
      <c r="K1501" s="174"/>
      <c r="L1501" s="174"/>
      <c r="M1501" s="174"/>
      <c r="N1501" s="174"/>
      <c r="O1501" s="174"/>
      <c r="P1501" s="174"/>
      <c r="Q1501" s="174"/>
      <c r="R1501" s="174"/>
    </row>
    <row r="1502">
      <c r="A1502" s="255"/>
      <c r="B1502" s="174"/>
      <c r="C1502" s="174"/>
      <c r="D1502" s="174"/>
      <c r="E1502" s="174"/>
      <c r="F1502" s="174"/>
      <c r="G1502" s="174"/>
      <c r="H1502" s="174"/>
      <c r="I1502" s="174"/>
      <c r="J1502" s="174"/>
      <c r="K1502" s="174"/>
      <c r="L1502" s="174"/>
      <c r="M1502" s="174"/>
      <c r="N1502" s="174"/>
      <c r="O1502" s="174"/>
      <c r="P1502" s="174"/>
      <c r="Q1502" s="174"/>
      <c r="R1502" s="174"/>
    </row>
    <row r="1503">
      <c r="A1503" s="255"/>
      <c r="B1503" s="174"/>
      <c r="C1503" s="174"/>
      <c r="D1503" s="174"/>
      <c r="E1503" s="174"/>
      <c r="F1503" s="174"/>
      <c r="G1503" s="174"/>
      <c r="H1503" s="174"/>
      <c r="I1503" s="174"/>
      <c r="J1503" s="174"/>
      <c r="K1503" s="174"/>
      <c r="L1503" s="174"/>
      <c r="M1503" s="174"/>
      <c r="N1503" s="174"/>
      <c r="O1503" s="174"/>
      <c r="P1503" s="174"/>
      <c r="Q1503" s="174"/>
      <c r="R1503" s="174"/>
    </row>
    <row r="1504">
      <c r="A1504" s="255"/>
      <c r="B1504" s="174"/>
      <c r="C1504" s="174"/>
      <c r="D1504" s="174"/>
      <c r="E1504" s="174"/>
      <c r="F1504" s="174"/>
      <c r="G1504" s="174"/>
      <c r="H1504" s="174"/>
      <c r="I1504" s="174"/>
      <c r="J1504" s="174"/>
      <c r="K1504" s="174"/>
      <c r="L1504" s="174"/>
      <c r="M1504" s="174"/>
      <c r="N1504" s="174"/>
      <c r="O1504" s="174"/>
      <c r="P1504" s="174"/>
      <c r="Q1504" s="174"/>
      <c r="R1504" s="174"/>
    </row>
    <row r="1505">
      <c r="A1505" s="255"/>
      <c r="B1505" s="174"/>
      <c r="C1505" s="174"/>
      <c r="D1505" s="174"/>
      <c r="E1505" s="174"/>
      <c r="F1505" s="174"/>
      <c r="G1505" s="174"/>
      <c r="H1505" s="174"/>
      <c r="I1505" s="174"/>
      <c r="J1505" s="174"/>
      <c r="K1505" s="174"/>
      <c r="L1505" s="174"/>
      <c r="M1505" s="174"/>
      <c r="N1505" s="174"/>
      <c r="O1505" s="174"/>
      <c r="P1505" s="174"/>
      <c r="Q1505" s="174"/>
      <c r="R1505" s="174"/>
    </row>
    <row r="1506">
      <c r="A1506" s="255"/>
      <c r="B1506" s="174"/>
      <c r="C1506" s="174"/>
      <c r="D1506" s="174"/>
      <c r="E1506" s="174"/>
      <c r="F1506" s="174"/>
      <c r="G1506" s="174"/>
      <c r="H1506" s="174"/>
      <c r="I1506" s="174"/>
      <c r="J1506" s="174"/>
      <c r="K1506" s="174"/>
      <c r="L1506" s="174"/>
      <c r="M1506" s="174"/>
      <c r="N1506" s="174"/>
      <c r="O1506" s="174"/>
      <c r="P1506" s="174"/>
      <c r="Q1506" s="174"/>
      <c r="R1506" s="174"/>
    </row>
  </sheetData>
  <conditionalFormatting sqref="B2:R1506">
    <cfRule type="cellIs" dxfId="46" priority="1" operator="equal">
      <formula>"Inept"</formula>
    </cfRule>
  </conditionalFormatting>
  <conditionalFormatting sqref="B2:R1506">
    <cfRule type="cellIs" dxfId="47" priority="2" operator="equal">
      <formula>"Unlisted"</formula>
    </cfRule>
  </conditionalFormatting>
  <conditionalFormatting sqref="B2:R1506">
    <cfRule type="cellIs" dxfId="48" priority="3" operator="equal">
      <formula>"Proficient"</formula>
    </cfRule>
  </conditionalFormatting>
  <conditionalFormatting sqref="B2:R1506">
    <cfRule type="cellIs" dxfId="49" priority="4" operator="equal">
      <formula>"Mastered"</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0"/>
  </cols>
  <sheetData>
    <row r="1">
      <c r="A1" s="145" t="s">
        <v>245</v>
      </c>
      <c r="C1" s="25"/>
      <c r="D1" s="258" t="s">
        <v>246</v>
      </c>
      <c r="E1" s="6"/>
      <c r="F1" s="259" t="s">
        <v>247</v>
      </c>
      <c r="G1" s="260" t="s">
        <v>248</v>
      </c>
      <c r="H1" s="260" t="s">
        <v>249</v>
      </c>
      <c r="I1" s="260" t="s">
        <v>250</v>
      </c>
      <c r="J1" s="260" t="s">
        <v>251</v>
      </c>
      <c r="K1" s="261" t="s">
        <v>252</v>
      </c>
      <c r="L1" s="260" t="s">
        <v>253</v>
      </c>
      <c r="M1" s="260" t="s">
        <v>254</v>
      </c>
      <c r="N1" s="260" t="s">
        <v>255</v>
      </c>
      <c r="O1" s="260" t="s">
        <v>256</v>
      </c>
      <c r="P1" s="260" t="s">
        <v>257</v>
      </c>
      <c r="Q1" s="260" t="s">
        <v>258</v>
      </c>
      <c r="R1" s="260" t="s">
        <v>259</v>
      </c>
      <c r="S1" s="260" t="s">
        <v>260</v>
      </c>
      <c r="T1" s="260" t="s">
        <v>261</v>
      </c>
      <c r="U1" s="260" t="s">
        <v>262</v>
      </c>
      <c r="V1" s="260" t="s">
        <v>263</v>
      </c>
      <c r="W1" s="260" t="s">
        <v>264</v>
      </c>
      <c r="X1" s="260" t="s">
        <v>265</v>
      </c>
      <c r="Y1" s="251" t="str">
        <f>IFERROR(__xludf.DUMMYFUNCTION("UNIQUE(QUERY({QUERY({'Attack Data'!$A$1:$K1582},""select Col1 where Col11 contains TRUE"")},""select * order by Col1""))"),"#REF!")</f>
        <v>#REF!</v>
      </c>
    </row>
    <row r="2">
      <c r="A2" s="145">
        <v>1.0</v>
      </c>
      <c r="B2" s="145" t="s">
        <v>266</v>
      </c>
      <c r="C2" s="262">
        <v>1.0</v>
      </c>
      <c r="D2" s="263">
        <v>1.0</v>
      </c>
      <c r="E2" s="262">
        <v>5.0</v>
      </c>
      <c r="F2" s="264" t="s">
        <v>248</v>
      </c>
      <c r="G2" s="265">
        <v>1.0</v>
      </c>
      <c r="H2" s="265">
        <v>1.0</v>
      </c>
      <c r="I2" s="265">
        <v>1.0</v>
      </c>
      <c r="J2" s="265">
        <v>1.0</v>
      </c>
      <c r="K2" s="266">
        <v>1.0</v>
      </c>
      <c r="L2" s="267">
        <v>0.5</v>
      </c>
      <c r="M2" s="268">
        <v>2.0</v>
      </c>
      <c r="N2" s="268">
        <v>2.0</v>
      </c>
      <c r="O2" s="265">
        <v>1.0</v>
      </c>
      <c r="P2" s="267">
        <v>0.5</v>
      </c>
      <c r="Q2" s="267">
        <v>0.5</v>
      </c>
      <c r="R2" s="265">
        <v>1.0</v>
      </c>
      <c r="S2" s="265">
        <v>1.0</v>
      </c>
      <c r="T2" s="265">
        <v>1.0</v>
      </c>
      <c r="U2" s="265">
        <v>1.0</v>
      </c>
      <c r="V2" s="268">
        <v>2.0</v>
      </c>
      <c r="W2" s="265">
        <v>1.0</v>
      </c>
      <c r="X2" s="265">
        <v>1.0</v>
      </c>
    </row>
    <row r="3">
      <c r="A3" s="145">
        <v>2.0</v>
      </c>
      <c r="B3" s="145" t="s">
        <v>267</v>
      </c>
      <c r="C3" s="262">
        <v>2.0</v>
      </c>
      <c r="D3" s="263">
        <v>2.0</v>
      </c>
      <c r="E3" s="262">
        <v>10.0</v>
      </c>
      <c r="F3" s="264" t="s">
        <v>249</v>
      </c>
      <c r="G3" s="268">
        <v>2.0</v>
      </c>
      <c r="H3" s="267">
        <v>0.5</v>
      </c>
      <c r="I3" s="265">
        <v>1.0</v>
      </c>
      <c r="J3" s="265">
        <v>1.0</v>
      </c>
      <c r="K3" s="269">
        <v>2.0</v>
      </c>
      <c r="L3" s="268">
        <v>2.0</v>
      </c>
      <c r="M3" s="265">
        <v>1.0</v>
      </c>
      <c r="N3" s="265">
        <v>1.0</v>
      </c>
      <c r="O3" s="267">
        <v>0.5</v>
      </c>
      <c r="P3" s="265">
        <v>1.0</v>
      </c>
      <c r="Q3" s="265">
        <v>1.0</v>
      </c>
      <c r="R3" s="265">
        <v>1.0</v>
      </c>
      <c r="S3" s="265">
        <v>1.0</v>
      </c>
      <c r="T3" s="265">
        <v>1.0</v>
      </c>
      <c r="U3" s="270">
        <v>0.0</v>
      </c>
      <c r="V3" s="265">
        <v>1.0</v>
      </c>
      <c r="W3" s="265">
        <v>1.0</v>
      </c>
      <c r="X3" s="265">
        <v>1.0</v>
      </c>
    </row>
    <row r="4">
      <c r="A4" s="145">
        <v>3.0</v>
      </c>
      <c r="B4" s="145" t="s">
        <v>268</v>
      </c>
      <c r="C4" s="262">
        <v>3.0</v>
      </c>
      <c r="D4" s="263">
        <v>3.0</v>
      </c>
      <c r="E4" s="262">
        <v>15.0</v>
      </c>
      <c r="F4" s="264" t="s">
        <v>250</v>
      </c>
      <c r="G4" s="265">
        <v>1.0</v>
      </c>
      <c r="H4" s="265">
        <v>1.0</v>
      </c>
      <c r="I4" s="268">
        <v>2.0</v>
      </c>
      <c r="J4" s="267">
        <v>0.5</v>
      </c>
      <c r="K4" s="269">
        <v>2.0</v>
      </c>
      <c r="L4" s="265">
        <v>1.0</v>
      </c>
      <c r="M4" s="267">
        <v>0.5</v>
      </c>
      <c r="N4" s="265">
        <v>1.0</v>
      </c>
      <c r="O4" s="265">
        <v>1.0</v>
      </c>
      <c r="P4" s="267">
        <v>0.5</v>
      </c>
      <c r="Q4" s="265">
        <v>1.0</v>
      </c>
      <c r="R4" s="268">
        <v>2.0</v>
      </c>
      <c r="S4" s="265">
        <v>1.0</v>
      </c>
      <c r="T4" s="265">
        <v>1.0</v>
      </c>
      <c r="U4" s="265">
        <v>1.0</v>
      </c>
      <c r="V4" s="265">
        <v>1.0</v>
      </c>
      <c r="W4" s="265">
        <v>1.0</v>
      </c>
      <c r="X4" s="267">
        <v>0.5</v>
      </c>
    </row>
    <row r="5">
      <c r="A5" s="145">
        <v>4.0</v>
      </c>
      <c r="B5" s="145" t="s">
        <v>269</v>
      </c>
      <c r="C5" s="262">
        <v>4.0</v>
      </c>
      <c r="D5" s="263">
        <v>4.0</v>
      </c>
      <c r="E5" s="262">
        <v>20.0</v>
      </c>
      <c r="F5" s="264" t="s">
        <v>251</v>
      </c>
      <c r="G5" s="265">
        <v>1.0</v>
      </c>
      <c r="H5" s="265">
        <v>1.0</v>
      </c>
      <c r="I5" s="265">
        <v>1.0</v>
      </c>
      <c r="J5" s="267">
        <v>0.5</v>
      </c>
      <c r="K5" s="266">
        <v>1.0</v>
      </c>
      <c r="L5" s="265">
        <v>1.0</v>
      </c>
      <c r="M5" s="265">
        <v>1.0</v>
      </c>
      <c r="N5" s="267">
        <v>0.5</v>
      </c>
      <c r="O5" s="265">
        <v>1.0</v>
      </c>
      <c r="P5" s="265">
        <v>1.0</v>
      </c>
      <c r="Q5" s="268">
        <v>2.0</v>
      </c>
      <c r="R5" s="265">
        <v>1.0</v>
      </c>
      <c r="S5" s="265">
        <v>1.0</v>
      </c>
      <c r="T5" s="265">
        <v>1.0</v>
      </c>
      <c r="U5" s="265">
        <v>1.0</v>
      </c>
      <c r="V5" s="265">
        <v>1.0</v>
      </c>
      <c r="W5" s="267">
        <v>0.5</v>
      </c>
      <c r="X5" s="265">
        <v>1.0</v>
      </c>
    </row>
    <row r="6">
      <c r="A6" s="145">
        <v>5.0</v>
      </c>
      <c r="B6" s="145" t="s">
        <v>270</v>
      </c>
      <c r="C6" s="262">
        <v>5.0</v>
      </c>
      <c r="D6" s="263">
        <v>5.0</v>
      </c>
      <c r="E6" s="262">
        <v>25.0</v>
      </c>
      <c r="F6" s="271" t="s">
        <v>252</v>
      </c>
      <c r="G6" s="272">
        <v>0.5</v>
      </c>
      <c r="H6" s="272">
        <v>0.5</v>
      </c>
      <c r="I6" s="273">
        <v>0.0</v>
      </c>
      <c r="J6" s="266">
        <v>1.0</v>
      </c>
      <c r="K6" s="266">
        <v>1.0</v>
      </c>
      <c r="L6" s="272">
        <v>0.5</v>
      </c>
      <c r="M6" s="266">
        <v>1.0</v>
      </c>
      <c r="N6" s="266">
        <v>1.0</v>
      </c>
      <c r="O6" s="266">
        <v>1.0</v>
      </c>
      <c r="P6" s="266">
        <v>1.0</v>
      </c>
      <c r="Q6" s="266">
        <v>1.0</v>
      </c>
      <c r="R6" s="266">
        <v>1.0</v>
      </c>
      <c r="S6" s="266">
        <v>1.0</v>
      </c>
      <c r="T6" s="269">
        <v>2.0</v>
      </c>
      <c r="U6" s="266">
        <v>1.0</v>
      </c>
      <c r="V6" s="266">
        <v>1.0</v>
      </c>
      <c r="W6" s="269">
        <v>2.0</v>
      </c>
      <c r="X6" s="266">
        <v>1.0</v>
      </c>
    </row>
    <row r="7">
      <c r="A7" s="145">
        <v>6.0</v>
      </c>
      <c r="B7" s="145" t="s">
        <v>271</v>
      </c>
      <c r="C7" s="262">
        <v>6.0</v>
      </c>
      <c r="D7" s="263">
        <v>6.0</v>
      </c>
      <c r="E7" s="262">
        <v>30.0</v>
      </c>
      <c r="F7" s="264" t="s">
        <v>253</v>
      </c>
      <c r="G7" s="267">
        <v>0.5</v>
      </c>
      <c r="H7" s="267">
        <v>0.5</v>
      </c>
      <c r="I7" s="265">
        <v>1.0</v>
      </c>
      <c r="J7" s="265">
        <v>1.0</v>
      </c>
      <c r="K7" s="269">
        <v>2.0</v>
      </c>
      <c r="L7" s="265">
        <v>1.0</v>
      </c>
      <c r="M7" s="265">
        <v>1.0</v>
      </c>
      <c r="N7" s="268">
        <v>2.0</v>
      </c>
      <c r="O7" s="265">
        <v>1.0</v>
      </c>
      <c r="P7" s="265">
        <v>1.0</v>
      </c>
      <c r="Q7" s="265">
        <v>1.0</v>
      </c>
      <c r="R7" s="265">
        <v>1.0</v>
      </c>
      <c r="S7" s="265">
        <v>1.0</v>
      </c>
      <c r="T7" s="265">
        <v>1.0</v>
      </c>
      <c r="U7" s="268">
        <v>2.0</v>
      </c>
      <c r="V7" s="267">
        <v>0.5</v>
      </c>
      <c r="W7" s="265">
        <v>1.0</v>
      </c>
      <c r="X7" s="265">
        <v>1.0</v>
      </c>
    </row>
    <row r="8">
      <c r="A8" s="145">
        <v>7.0</v>
      </c>
      <c r="B8" s="145" t="s">
        <v>272</v>
      </c>
      <c r="C8" s="262">
        <v>6.0</v>
      </c>
      <c r="D8" s="263">
        <v>7.0</v>
      </c>
      <c r="E8" s="262">
        <v>35.0</v>
      </c>
      <c r="F8" s="264" t="s">
        <v>254</v>
      </c>
      <c r="G8" s="267">
        <v>0.5</v>
      </c>
      <c r="H8" s="265">
        <v>1.0</v>
      </c>
      <c r="I8" s="265">
        <v>1.0</v>
      </c>
      <c r="J8" s="265">
        <v>1.0</v>
      </c>
      <c r="K8" s="272">
        <v>0.5</v>
      </c>
      <c r="L8" s="265">
        <v>1.0</v>
      </c>
      <c r="M8" s="267">
        <v>0.5</v>
      </c>
      <c r="N8" s="265">
        <v>1.0</v>
      </c>
      <c r="O8" s="265">
        <v>1.0</v>
      </c>
      <c r="P8" s="267">
        <v>0.5</v>
      </c>
      <c r="Q8" s="268">
        <v>2.0</v>
      </c>
      <c r="R8" s="267">
        <v>0.5</v>
      </c>
      <c r="S8" s="265">
        <v>1.0</v>
      </c>
      <c r="T8" s="265">
        <v>1.0</v>
      </c>
      <c r="U8" s="265">
        <v>1.0</v>
      </c>
      <c r="V8" s="268">
        <v>2.0</v>
      </c>
      <c r="W8" s="267">
        <v>0.5</v>
      </c>
      <c r="X8" s="268">
        <v>2.0</v>
      </c>
    </row>
    <row r="9">
      <c r="A9" s="274">
        <v>8.0</v>
      </c>
      <c r="B9" s="274" t="s">
        <v>104</v>
      </c>
      <c r="C9" s="275" t="s">
        <v>104</v>
      </c>
      <c r="D9" s="263">
        <v>8.0</v>
      </c>
      <c r="E9" s="262">
        <v>40.0</v>
      </c>
      <c r="F9" s="264" t="s">
        <v>255</v>
      </c>
      <c r="G9" s="267">
        <v>0.5</v>
      </c>
      <c r="H9" s="265">
        <v>1.0</v>
      </c>
      <c r="I9" s="265">
        <v>1.0</v>
      </c>
      <c r="J9" s="268">
        <v>2.0</v>
      </c>
      <c r="K9" s="266">
        <v>1.0</v>
      </c>
      <c r="L9" s="267">
        <v>0.5</v>
      </c>
      <c r="M9" s="265">
        <v>1.0</v>
      </c>
      <c r="N9" s="265">
        <v>1.0</v>
      </c>
      <c r="O9" s="265">
        <v>1.0</v>
      </c>
      <c r="P9" s="267">
        <v>0.5</v>
      </c>
      <c r="Q9" s="270">
        <v>0.0</v>
      </c>
      <c r="R9" s="268">
        <v>2.0</v>
      </c>
      <c r="S9" s="265">
        <v>1.0</v>
      </c>
      <c r="T9" s="265">
        <v>1.0</v>
      </c>
      <c r="U9" s="265">
        <v>1.0</v>
      </c>
      <c r="V9" s="268">
        <v>2.0</v>
      </c>
      <c r="W9" s="265">
        <v>1.0</v>
      </c>
      <c r="X9" s="265">
        <v>1.0</v>
      </c>
    </row>
    <row r="10">
      <c r="A10" s="276" t="s">
        <v>273</v>
      </c>
      <c r="B10" s="277" t="s">
        <v>274</v>
      </c>
      <c r="C10" s="278"/>
      <c r="D10" s="263">
        <v>9.0</v>
      </c>
      <c r="E10" s="262">
        <v>45.0</v>
      </c>
      <c r="F10" s="264" t="s">
        <v>256</v>
      </c>
      <c r="G10" s="267">
        <v>0.5</v>
      </c>
      <c r="H10" s="268">
        <v>2.0</v>
      </c>
      <c r="I10" s="265">
        <v>1.0</v>
      </c>
      <c r="J10" s="265">
        <v>1.0</v>
      </c>
      <c r="K10" s="266">
        <v>1.0</v>
      </c>
      <c r="L10" s="270">
        <v>0.0</v>
      </c>
      <c r="M10" s="265">
        <v>1.0</v>
      </c>
      <c r="N10" s="265">
        <v>1.0</v>
      </c>
      <c r="O10" s="268">
        <v>2.0</v>
      </c>
      <c r="P10" s="265">
        <v>1.0</v>
      </c>
      <c r="Q10" s="265">
        <v>1.0</v>
      </c>
      <c r="R10" s="265">
        <v>1.0</v>
      </c>
      <c r="S10" s="270">
        <v>0.0</v>
      </c>
      <c r="T10" s="267">
        <v>0.5</v>
      </c>
      <c r="U10" s="265">
        <v>1.0</v>
      </c>
      <c r="V10" s="265">
        <v>1.0</v>
      </c>
      <c r="W10" s="265">
        <v>1.0</v>
      </c>
      <c r="X10" s="265">
        <v>1.0</v>
      </c>
    </row>
    <row r="11">
      <c r="A11" s="145">
        <v>1.0</v>
      </c>
      <c r="B11" s="145" t="s">
        <v>275</v>
      </c>
      <c r="D11" s="263">
        <v>10.0</v>
      </c>
      <c r="E11" s="262">
        <v>50.0</v>
      </c>
      <c r="F11" s="264" t="s">
        <v>257</v>
      </c>
      <c r="G11" s="268">
        <v>2.0</v>
      </c>
      <c r="H11" s="265">
        <v>1.0</v>
      </c>
      <c r="I11" s="265">
        <v>1.0</v>
      </c>
      <c r="J11" s="267">
        <v>0.5</v>
      </c>
      <c r="K11" s="266">
        <v>1.0</v>
      </c>
      <c r="L11" s="265">
        <v>1.0</v>
      </c>
      <c r="M11" s="268">
        <v>2.0</v>
      </c>
      <c r="N11" s="268">
        <v>2.0</v>
      </c>
      <c r="O11" s="265">
        <v>1.0</v>
      </c>
      <c r="P11" s="267">
        <v>0.5</v>
      </c>
      <c r="Q11" s="267">
        <v>0.5</v>
      </c>
      <c r="R11" s="268">
        <v>2.0</v>
      </c>
      <c r="S11" s="265">
        <v>1.0</v>
      </c>
      <c r="T11" s="268">
        <v>2.0</v>
      </c>
      <c r="U11" s="265">
        <v>1.0</v>
      </c>
      <c r="V11" s="265">
        <v>1.0</v>
      </c>
      <c r="W11" s="265">
        <v>1.0</v>
      </c>
      <c r="X11" s="267">
        <v>0.5</v>
      </c>
    </row>
    <row r="12">
      <c r="A12" s="145">
        <v>2.0</v>
      </c>
      <c r="B12" s="145" t="s">
        <v>276</v>
      </c>
      <c r="D12" s="263">
        <v>11.0</v>
      </c>
      <c r="E12" s="262">
        <v>55.0</v>
      </c>
      <c r="F12" s="264" t="s">
        <v>258</v>
      </c>
      <c r="G12" s="265">
        <v>1.0</v>
      </c>
      <c r="H12" s="265">
        <v>1.0</v>
      </c>
      <c r="I12" s="265">
        <v>1.0</v>
      </c>
      <c r="J12" s="270">
        <v>0.0</v>
      </c>
      <c r="K12" s="266">
        <v>1.0</v>
      </c>
      <c r="L12" s="265">
        <v>1.0</v>
      </c>
      <c r="M12" s="265">
        <v>1.0</v>
      </c>
      <c r="N12" s="265">
        <v>1.0</v>
      </c>
      <c r="O12" s="265">
        <v>1.0</v>
      </c>
      <c r="P12" s="268">
        <v>2.0</v>
      </c>
      <c r="Q12" s="265">
        <v>1.0</v>
      </c>
      <c r="R12" s="268">
        <v>2.0</v>
      </c>
      <c r="S12" s="265">
        <v>1.0</v>
      </c>
      <c r="T12" s="267">
        <v>0.5</v>
      </c>
      <c r="U12" s="265">
        <v>1.0</v>
      </c>
      <c r="V12" s="267">
        <v>0.5</v>
      </c>
      <c r="W12" s="265">
        <v>1.0</v>
      </c>
      <c r="X12" s="268">
        <v>2.0</v>
      </c>
    </row>
    <row r="13">
      <c r="A13" s="145">
        <v>3.0</v>
      </c>
      <c r="B13" s="145" t="s">
        <v>277</v>
      </c>
      <c r="D13" s="263">
        <v>12.0</v>
      </c>
      <c r="E13" s="262">
        <v>60.0</v>
      </c>
      <c r="F13" s="264" t="s">
        <v>259</v>
      </c>
      <c r="G13" s="265">
        <v>1.0</v>
      </c>
      <c r="H13" s="265">
        <v>1.0</v>
      </c>
      <c r="I13" s="265">
        <v>1.0</v>
      </c>
      <c r="J13" s="265">
        <v>1.0</v>
      </c>
      <c r="K13" s="266">
        <v>1.0</v>
      </c>
      <c r="L13" s="268">
        <v>2.0</v>
      </c>
      <c r="M13" s="268">
        <v>2.0</v>
      </c>
      <c r="N13" s="265">
        <v>1.0</v>
      </c>
      <c r="O13" s="265">
        <v>1.0</v>
      </c>
      <c r="P13" s="265">
        <v>1.0</v>
      </c>
      <c r="Q13" s="265">
        <v>1.0</v>
      </c>
      <c r="R13" s="267">
        <v>0.5</v>
      </c>
      <c r="S13" s="265">
        <v>1.0</v>
      </c>
      <c r="T13" s="265">
        <v>1.0</v>
      </c>
      <c r="U13" s="265">
        <v>1.0</v>
      </c>
      <c r="V13" s="268">
        <v>2.0</v>
      </c>
      <c r="W13" s="268">
        <v>2.0</v>
      </c>
      <c r="X13" s="265">
        <v>1.0</v>
      </c>
    </row>
    <row r="14">
      <c r="A14" s="145">
        <v>4.0</v>
      </c>
      <c r="B14" s="145" t="s">
        <v>278</v>
      </c>
      <c r="D14" s="263">
        <v>13.0</v>
      </c>
      <c r="E14" s="262">
        <v>65.0</v>
      </c>
      <c r="F14" s="271" t="s">
        <v>279</v>
      </c>
      <c r="G14" s="266">
        <v>1.0</v>
      </c>
      <c r="H14" s="266">
        <v>1.0</v>
      </c>
      <c r="I14" s="266">
        <v>1.0</v>
      </c>
      <c r="J14" s="266">
        <v>1.0</v>
      </c>
      <c r="K14" s="266">
        <v>1.0</v>
      </c>
      <c r="L14" s="266">
        <v>1.0</v>
      </c>
      <c r="M14" s="266">
        <v>1.0</v>
      </c>
      <c r="N14" s="266">
        <v>1.0</v>
      </c>
      <c r="O14" s="266">
        <v>1.0</v>
      </c>
      <c r="P14" s="266">
        <v>1.0</v>
      </c>
      <c r="Q14" s="266">
        <v>1.0</v>
      </c>
      <c r="R14" s="266">
        <v>1.0</v>
      </c>
      <c r="S14" s="266">
        <v>1.0</v>
      </c>
      <c r="T14" s="266">
        <v>1.0</v>
      </c>
      <c r="U14" s="266">
        <v>1.0</v>
      </c>
      <c r="V14" s="266">
        <v>1.0</v>
      </c>
      <c r="W14" s="266">
        <v>1.0</v>
      </c>
      <c r="X14" s="266">
        <v>1.0</v>
      </c>
    </row>
    <row r="15">
      <c r="A15" s="145">
        <v>5.0</v>
      </c>
      <c r="B15" s="145" t="s">
        <v>280</v>
      </c>
      <c r="D15" s="263">
        <v>14.0</v>
      </c>
      <c r="E15" s="262">
        <v>70.0</v>
      </c>
      <c r="F15" s="264" t="s">
        <v>260</v>
      </c>
      <c r="G15" s="265">
        <v>1.0</v>
      </c>
      <c r="H15" s="265">
        <v>1.0</v>
      </c>
      <c r="I15" s="265">
        <v>1.0</v>
      </c>
      <c r="J15" s="265">
        <v>1.0</v>
      </c>
      <c r="K15" s="266">
        <v>1.0</v>
      </c>
      <c r="L15" s="268">
        <v>2.0</v>
      </c>
      <c r="M15" s="265">
        <v>1.0</v>
      </c>
      <c r="N15" s="265">
        <v>1.0</v>
      </c>
      <c r="O15" s="270">
        <v>0.0</v>
      </c>
      <c r="P15" s="265">
        <v>1.0</v>
      </c>
      <c r="Q15" s="265">
        <v>1.0</v>
      </c>
      <c r="R15" s="265">
        <v>1.0</v>
      </c>
      <c r="S15" s="265">
        <v>1.0</v>
      </c>
      <c r="T15" s="265">
        <v>1.0</v>
      </c>
      <c r="U15" s="265">
        <v>1.0</v>
      </c>
      <c r="V15" s="265">
        <v>1.0</v>
      </c>
      <c r="W15" s="265">
        <v>1.0</v>
      </c>
      <c r="X15" s="265">
        <v>1.0</v>
      </c>
    </row>
    <row r="16">
      <c r="A16" s="145">
        <v>6.0</v>
      </c>
      <c r="B16" s="145" t="s">
        <v>281</v>
      </c>
      <c r="D16" s="263">
        <v>15.0</v>
      </c>
      <c r="E16" s="262">
        <v>75.0</v>
      </c>
      <c r="F16" s="264" t="s">
        <v>261</v>
      </c>
      <c r="G16" s="267">
        <v>0.5</v>
      </c>
      <c r="H16" s="265">
        <v>1.0</v>
      </c>
      <c r="I16" s="265">
        <v>1.0</v>
      </c>
      <c r="J16" s="265">
        <v>1.0</v>
      </c>
      <c r="K16" s="272">
        <v>0.5</v>
      </c>
      <c r="L16" s="267">
        <v>0.5</v>
      </c>
      <c r="M16" s="265">
        <v>1.0</v>
      </c>
      <c r="N16" s="265">
        <v>1.0</v>
      </c>
      <c r="O16" s="265">
        <v>1.0</v>
      </c>
      <c r="P16" s="267">
        <v>0.5</v>
      </c>
      <c r="Q16" s="268">
        <v>2.0</v>
      </c>
      <c r="R16" s="265">
        <v>1.0</v>
      </c>
      <c r="S16" s="265">
        <v>1.0</v>
      </c>
      <c r="T16" s="267">
        <v>0.5</v>
      </c>
      <c r="U16" s="268">
        <v>2.0</v>
      </c>
      <c r="V16" s="265">
        <v>1.0</v>
      </c>
      <c r="W16" s="265">
        <v>1.0</v>
      </c>
      <c r="X16" s="265">
        <v>1.0</v>
      </c>
    </row>
    <row r="17">
      <c r="A17" s="145">
        <v>7.0</v>
      </c>
      <c r="B17" s="145" t="s">
        <v>282</v>
      </c>
      <c r="D17" s="263">
        <v>16.0</v>
      </c>
      <c r="E17" s="262">
        <v>80.0</v>
      </c>
      <c r="F17" s="264" t="s">
        <v>262</v>
      </c>
      <c r="G17" s="268">
        <v>2.0</v>
      </c>
      <c r="H17" s="268">
        <v>2.0</v>
      </c>
      <c r="I17" s="265">
        <v>1.0</v>
      </c>
      <c r="J17" s="265">
        <v>1.0</v>
      </c>
      <c r="K17" s="266">
        <v>1.0</v>
      </c>
      <c r="L17" s="267">
        <v>0.5</v>
      </c>
      <c r="M17" s="265">
        <v>1.0</v>
      </c>
      <c r="N17" s="265">
        <v>1.0</v>
      </c>
      <c r="O17" s="268">
        <v>2.0</v>
      </c>
      <c r="P17" s="265">
        <v>1.0</v>
      </c>
      <c r="Q17" s="265">
        <v>1.0</v>
      </c>
      <c r="R17" s="265">
        <v>1.0</v>
      </c>
      <c r="S17" s="265">
        <v>1.0</v>
      </c>
      <c r="T17" s="265">
        <v>1.0</v>
      </c>
      <c r="U17" s="267">
        <v>0.5</v>
      </c>
      <c r="V17" s="265">
        <v>1.0</v>
      </c>
      <c r="W17" s="265">
        <v>1.0</v>
      </c>
      <c r="X17" s="265">
        <v>1.0</v>
      </c>
    </row>
    <row r="18">
      <c r="A18" s="145">
        <v>8.0</v>
      </c>
      <c r="B18" s="145" t="s">
        <v>283</v>
      </c>
      <c r="D18" s="263">
        <v>17.0</v>
      </c>
      <c r="E18" s="262">
        <v>85.0</v>
      </c>
      <c r="F18" s="264" t="s">
        <v>263</v>
      </c>
      <c r="G18" s="265">
        <v>1.0</v>
      </c>
      <c r="H18" s="265">
        <v>1.0</v>
      </c>
      <c r="I18" s="265">
        <v>1.0</v>
      </c>
      <c r="J18" s="265">
        <v>1.0</v>
      </c>
      <c r="K18" s="266">
        <v>1.0</v>
      </c>
      <c r="L18" s="268">
        <v>2.0</v>
      </c>
      <c r="M18" s="267">
        <v>0.5</v>
      </c>
      <c r="N18" s="267">
        <v>0.5</v>
      </c>
      <c r="O18" s="265">
        <v>1.0</v>
      </c>
      <c r="P18" s="268">
        <v>2.0</v>
      </c>
      <c r="Q18" s="268">
        <v>2.0</v>
      </c>
      <c r="R18" s="265">
        <v>1.0</v>
      </c>
      <c r="S18" s="267">
        <v>0.5</v>
      </c>
      <c r="T18" s="267">
        <v>0.5</v>
      </c>
      <c r="U18" s="265">
        <v>1.0</v>
      </c>
      <c r="V18" s="265">
        <v>1.0</v>
      </c>
      <c r="W18" s="268">
        <v>2.0</v>
      </c>
      <c r="X18" s="268">
        <v>2.0</v>
      </c>
    </row>
    <row r="19">
      <c r="A19" s="145">
        <v>9.0</v>
      </c>
      <c r="B19" s="145" t="s">
        <v>284</v>
      </c>
      <c r="D19" s="263">
        <v>18.0</v>
      </c>
      <c r="E19" s="262">
        <v>90.0</v>
      </c>
      <c r="F19" s="264" t="s">
        <v>264</v>
      </c>
      <c r="G19" s="267">
        <v>0.5</v>
      </c>
      <c r="H19" s="265">
        <v>1.0</v>
      </c>
      <c r="I19" s="267">
        <v>0.5</v>
      </c>
      <c r="J19" s="265">
        <v>1.0</v>
      </c>
      <c r="K19" s="272">
        <v>0.5</v>
      </c>
      <c r="L19" s="268">
        <v>2.0</v>
      </c>
      <c r="M19" s="268">
        <v>2.0</v>
      </c>
      <c r="N19" s="267">
        <v>0.5</v>
      </c>
      <c r="O19" s="265">
        <v>1.0</v>
      </c>
      <c r="P19" s="267">
        <v>0.5</v>
      </c>
      <c r="Q19" s="268">
        <v>2.0</v>
      </c>
      <c r="R19" s="267">
        <v>0.5</v>
      </c>
      <c r="S19" s="267">
        <v>0.5</v>
      </c>
      <c r="T19" s="270">
        <v>0.0</v>
      </c>
      <c r="U19" s="267">
        <v>0.5</v>
      </c>
      <c r="V19" s="267">
        <v>0.5</v>
      </c>
      <c r="W19" s="267">
        <v>0.5</v>
      </c>
      <c r="X19" s="265">
        <v>1.0</v>
      </c>
    </row>
    <row r="20">
      <c r="A20" s="145">
        <v>10.0</v>
      </c>
      <c r="B20" s="145" t="s">
        <v>285</v>
      </c>
      <c r="D20" s="263">
        <v>19.0</v>
      </c>
      <c r="E20" s="262">
        <v>95.0</v>
      </c>
      <c r="F20" s="264" t="s">
        <v>265</v>
      </c>
      <c r="G20" s="265">
        <v>1.0</v>
      </c>
      <c r="H20" s="265">
        <v>1.0</v>
      </c>
      <c r="I20" s="265">
        <v>1.0</v>
      </c>
      <c r="J20" s="268">
        <v>2.0</v>
      </c>
      <c r="K20" s="266">
        <v>1.0</v>
      </c>
      <c r="L20" s="265">
        <v>1.0</v>
      </c>
      <c r="M20" s="267">
        <v>0.5</v>
      </c>
      <c r="N20" s="265">
        <v>1.0</v>
      </c>
      <c r="O20" s="265">
        <v>1.0</v>
      </c>
      <c r="P20" s="268">
        <v>2.0</v>
      </c>
      <c r="Q20" s="265">
        <v>1.0</v>
      </c>
      <c r="R20" s="267">
        <v>0.5</v>
      </c>
      <c r="S20" s="265">
        <v>1.0</v>
      </c>
      <c r="T20" s="265">
        <v>1.0</v>
      </c>
      <c r="U20" s="265">
        <v>1.0</v>
      </c>
      <c r="V20" s="265">
        <v>1.0</v>
      </c>
      <c r="W20" s="267">
        <v>0.5</v>
      </c>
      <c r="X20" s="267">
        <v>0.5</v>
      </c>
    </row>
    <row r="21">
      <c r="A21" s="145">
        <v>11.0</v>
      </c>
      <c r="B21" s="145" t="s">
        <v>286</v>
      </c>
      <c r="D21" s="279">
        <v>20.0</v>
      </c>
      <c r="E21" s="275">
        <v>100.0</v>
      </c>
      <c r="F21" s="280" t="s">
        <v>287</v>
      </c>
      <c r="G21" s="281">
        <v>1.0</v>
      </c>
      <c r="H21" s="281">
        <v>2.0</v>
      </c>
      <c r="I21" s="282">
        <v>3.0</v>
      </c>
    </row>
    <row r="22">
      <c r="A22" s="145">
        <v>12.0</v>
      </c>
      <c r="B22" s="145" t="s">
        <v>288</v>
      </c>
      <c r="D22" s="283" t="s">
        <v>289</v>
      </c>
      <c r="E22" s="6"/>
      <c r="F22" s="284" t="s">
        <v>290</v>
      </c>
      <c r="G22" s="285">
        <v>1.0</v>
      </c>
      <c r="H22" s="285">
        <v>1.0</v>
      </c>
      <c r="I22" s="286">
        <v>2.0</v>
      </c>
    </row>
    <row r="23">
      <c r="A23" s="145">
        <v>13.0</v>
      </c>
      <c r="B23" s="145" t="s">
        <v>291</v>
      </c>
      <c r="D23" s="287" t="s">
        <v>266</v>
      </c>
      <c r="E23" s="288">
        <v>1.0</v>
      </c>
      <c r="F23" s="284" t="s">
        <v>292</v>
      </c>
      <c r="G23" s="285">
        <v>2.0</v>
      </c>
      <c r="H23" s="285">
        <v>2.0</v>
      </c>
      <c r="I23" s="286">
        <v>3.0</v>
      </c>
    </row>
    <row r="24">
      <c r="A24" s="145">
        <v>14.0</v>
      </c>
      <c r="B24" s="145" t="s">
        <v>293</v>
      </c>
      <c r="D24" s="287" t="s">
        <v>267</v>
      </c>
      <c r="E24" s="288">
        <v>2.0</v>
      </c>
      <c r="F24" s="284" t="s">
        <v>294</v>
      </c>
      <c r="G24" s="285">
        <v>3.0</v>
      </c>
      <c r="H24" s="285">
        <v>4.0</v>
      </c>
      <c r="I24" s="286">
        <v>5.0</v>
      </c>
    </row>
    <row r="25">
      <c r="A25" s="145">
        <v>15.0</v>
      </c>
      <c r="B25" s="145" t="s">
        <v>295</v>
      </c>
      <c r="D25" s="287" t="s">
        <v>268</v>
      </c>
      <c r="E25" s="288">
        <v>3.0</v>
      </c>
      <c r="F25" s="289" t="s">
        <v>296</v>
      </c>
      <c r="G25" s="290">
        <v>4.0</v>
      </c>
      <c r="H25" s="290">
        <v>5.0</v>
      </c>
      <c r="I25" s="291">
        <v>6.0</v>
      </c>
    </row>
    <row r="26">
      <c r="A26" s="145">
        <v>16.0</v>
      </c>
      <c r="B26" s="145" t="s">
        <v>297</v>
      </c>
      <c r="D26" s="287" t="s">
        <v>269</v>
      </c>
      <c r="E26" s="288">
        <v>4.0</v>
      </c>
    </row>
    <row r="27">
      <c r="A27" s="145">
        <v>17.0</v>
      </c>
      <c r="B27" s="145" t="s">
        <v>298</v>
      </c>
      <c r="D27" s="287" t="s">
        <v>270</v>
      </c>
      <c r="E27" s="288">
        <v>5.0</v>
      </c>
    </row>
    <row r="28">
      <c r="A28" s="145">
        <v>18.0</v>
      </c>
      <c r="B28" s="145" t="s">
        <v>299</v>
      </c>
      <c r="D28" s="287" t="s">
        <v>271</v>
      </c>
      <c r="E28" s="288">
        <v>6.0</v>
      </c>
    </row>
    <row r="29">
      <c r="A29" s="145">
        <v>19.0</v>
      </c>
      <c r="B29" s="145" t="s">
        <v>300</v>
      </c>
      <c r="D29" s="292" t="s">
        <v>272</v>
      </c>
      <c r="E29" s="293">
        <v>8.0</v>
      </c>
    </row>
    <row r="30">
      <c r="A30" s="145">
        <v>20.0</v>
      </c>
      <c r="B30" s="145" t="s">
        <v>301</v>
      </c>
    </row>
    <row r="31">
      <c r="A31" s="145">
        <v>21.0</v>
      </c>
      <c r="B31" s="145" t="s">
        <v>302</v>
      </c>
    </row>
    <row r="32">
      <c r="A32" s="145">
        <v>22.0</v>
      </c>
      <c r="B32" s="145" t="s">
        <v>303</v>
      </c>
    </row>
    <row r="33">
      <c r="A33" s="145">
        <v>23.0</v>
      </c>
      <c r="B33" s="145" t="s">
        <v>304</v>
      </c>
    </row>
    <row r="34">
      <c r="A34" s="145">
        <v>24.0</v>
      </c>
      <c r="B34" s="145" t="s">
        <v>305</v>
      </c>
    </row>
    <row r="35">
      <c r="A35" s="145">
        <v>25.0</v>
      </c>
      <c r="B35" s="145" t="s">
        <v>306</v>
      </c>
    </row>
    <row r="36">
      <c r="A36" s="145">
        <v>26.0</v>
      </c>
      <c r="B36" s="145" t="s">
        <v>307</v>
      </c>
    </row>
    <row r="37">
      <c r="A37" s="145">
        <v>27.0</v>
      </c>
      <c r="B37" s="145" t="s">
        <v>308</v>
      </c>
    </row>
    <row r="38">
      <c r="A38" s="145">
        <v>28.0</v>
      </c>
      <c r="B38" s="145" t="s">
        <v>309</v>
      </c>
    </row>
  </sheetData>
  <mergeCells count="3">
    <mergeCell ref="A1:C1"/>
    <mergeCell ref="D1:E1"/>
    <mergeCell ref="D22:E22"/>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4" t="s">
        <v>310</v>
      </c>
      <c r="B1" s="295"/>
      <c r="C1" s="295"/>
      <c r="D1" s="296"/>
    </row>
    <row r="2">
      <c r="A2" s="297" t="s">
        <v>311</v>
      </c>
      <c r="D2" s="25"/>
    </row>
    <row r="3">
      <c r="D3" s="25"/>
    </row>
    <row r="4">
      <c r="D4" s="25"/>
    </row>
    <row r="5">
      <c r="A5" s="298"/>
      <c r="B5" s="298"/>
      <c r="C5" s="298"/>
      <c r="D5" s="299"/>
    </row>
    <row r="6">
      <c r="A6" s="300" t="s">
        <v>312</v>
      </c>
    </row>
  </sheetData>
  <mergeCells count="3">
    <mergeCell ref="A1:D1"/>
    <mergeCell ref="A2:D5"/>
    <mergeCell ref="A6:D6"/>
  </mergeCells>
  <hyperlinks>
    <hyperlink r:id="rId1" location="gid=33601565" ref="A6"/>
  </hyperlinks>
  <drawing r:id="rId2"/>
</worksheet>
</file>